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u00025471\Desktop\"/>
    </mc:Choice>
  </mc:AlternateContent>
  <xr:revisionPtr revIDLastSave="0" documentId="13_ncr:1_{924C37BE-020D-4831-B37B-6A2E85EA1EB1}" xr6:coauthVersionLast="36" xr6:coauthVersionMax="36" xr10:uidLastSave="{00000000-0000-0000-0000-000000000000}"/>
  <bookViews>
    <workbookView xWindow="0" yWindow="0" windowWidth="37000" windowHeight="17450" firstSheet="2" activeTab="2" xr2:uid="{28BB71C2-ADAD-48F0-A77E-5E6F09221EF8}"/>
  </bookViews>
  <sheets>
    <sheet name="расчеты" sheetId="3" state="veryHidden" r:id="rId1"/>
    <sheet name="данные" sheetId="2" state="veryHidden" r:id="rId2"/>
    <sheet name="депозитный калькулятор" sheetId="1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G8" i="1" l="1"/>
  <c r="J23" i="3"/>
  <c r="F23" i="3"/>
  <c r="L23" i="3" s="1"/>
  <c r="K23" i="3" l="1"/>
  <c r="G23" i="3" s="1"/>
  <c r="A23" i="3"/>
  <c r="I23" i="3"/>
  <c r="N23" i="3"/>
  <c r="M23" i="3"/>
  <c r="O23" i="3" l="1"/>
  <c r="C23" i="3" l="1"/>
  <c r="F10" i="1"/>
  <c r="K9" i="1"/>
  <c r="F24" i="3" l="1"/>
  <c r="P23" i="3"/>
  <c r="Q23" i="3"/>
  <c r="U23" i="3"/>
  <c r="N24" i="3" l="1"/>
  <c r="M24" i="3"/>
  <c r="L24" i="3"/>
  <c r="K24" i="3"/>
  <c r="J24" i="3"/>
  <c r="A24" i="3"/>
  <c r="D25" i="3"/>
  <c r="E25" i="3"/>
  <c r="F25" i="3"/>
  <c r="W23" i="3"/>
  <c r="Y23" i="3" s="1"/>
  <c r="V23" i="3"/>
  <c r="G24" i="3" l="1"/>
  <c r="H24" i="3" s="1"/>
  <c r="I24" i="3" s="1"/>
  <c r="O24" i="3"/>
  <c r="B24" i="3" s="1"/>
  <c r="C24" i="3" s="1"/>
  <c r="D26" i="3"/>
  <c r="E26" i="3"/>
  <c r="A25" i="3"/>
  <c r="N25" i="3"/>
  <c r="M25" i="3"/>
  <c r="L25" i="3"/>
  <c r="K25" i="3"/>
  <c r="F26" i="3"/>
  <c r="P24" i="3" l="1"/>
  <c r="J25" i="3" s="1"/>
  <c r="G25" i="3" s="1"/>
  <c r="P25" i="3" s="1"/>
  <c r="J26" i="3" s="1"/>
  <c r="Q24" i="3"/>
  <c r="O25" i="3"/>
  <c r="B25" i="3" s="1"/>
  <c r="C25" i="3" s="1"/>
  <c r="D27" i="3"/>
  <c r="M26" i="3"/>
  <c r="L26" i="3"/>
  <c r="K26" i="3"/>
  <c r="A26" i="3"/>
  <c r="F27" i="3"/>
  <c r="N26" i="3"/>
  <c r="E27" i="3"/>
  <c r="H25" i="3" l="1"/>
  <c r="I25" i="3" s="1"/>
  <c r="G26" i="3" s="1"/>
  <c r="H26" i="3" s="1"/>
  <c r="I26" i="3" s="1"/>
  <c r="Q25" i="3"/>
  <c r="E28" i="3"/>
  <c r="D28" i="3"/>
  <c r="F28" i="3"/>
  <c r="N27" i="3"/>
  <c r="M27" i="3"/>
  <c r="L27" i="3"/>
  <c r="K27" i="3"/>
  <c r="A27" i="3"/>
  <c r="E29" i="3" l="1"/>
  <c r="O26" i="3"/>
  <c r="B26" i="3" s="1"/>
  <c r="C26" i="3" s="1"/>
  <c r="Q26" i="3"/>
  <c r="P26" i="3"/>
  <c r="J27" i="3" s="1"/>
  <c r="G27" i="3" s="1"/>
  <c r="Q27" i="3" s="1"/>
  <c r="O27" i="3"/>
  <c r="B27" i="3" s="1"/>
  <c r="C27" i="3" s="1"/>
  <c r="D29" i="3"/>
  <c r="F29" i="3"/>
  <c r="A28" i="3"/>
  <c r="N28" i="3"/>
  <c r="M28" i="3"/>
  <c r="L28" i="3"/>
  <c r="K28" i="3"/>
  <c r="E30" i="3" l="1"/>
  <c r="P27" i="3"/>
  <c r="J28" i="3" s="1"/>
  <c r="H27" i="3"/>
  <c r="I27" i="3" s="1"/>
  <c r="D30" i="3"/>
  <c r="F30" i="3"/>
  <c r="M29" i="3"/>
  <c r="L29" i="3"/>
  <c r="K29" i="3"/>
  <c r="A29" i="3"/>
  <c r="N29" i="3"/>
  <c r="D31" i="3" l="1"/>
  <c r="G28" i="3"/>
  <c r="O29" i="3"/>
  <c r="B29" i="3" s="1"/>
  <c r="C29" i="3" s="1"/>
  <c r="F31" i="3"/>
  <c r="D32" i="3" s="1"/>
  <c r="N30" i="3"/>
  <c r="M30" i="3"/>
  <c r="L30" i="3"/>
  <c r="K30" i="3"/>
  <c r="A30" i="3"/>
  <c r="E31" i="3"/>
  <c r="H28" i="3" l="1"/>
  <c r="I28" i="3" s="1"/>
  <c r="O28" i="3"/>
  <c r="B28" i="3" s="1"/>
  <c r="C28" i="3" s="1"/>
  <c r="O30" i="3"/>
  <c r="B30" i="3" s="1"/>
  <c r="C30" i="3" s="1"/>
  <c r="P28" i="3"/>
  <c r="J29" i="3" s="1"/>
  <c r="G29" i="3" s="1"/>
  <c r="P29" i="3" s="1"/>
  <c r="J30" i="3" s="1"/>
  <c r="Q28" i="3"/>
  <c r="E32" i="3"/>
  <c r="F32" i="3"/>
  <c r="E33" i="3" s="1"/>
  <c r="A31" i="3"/>
  <c r="N31" i="3"/>
  <c r="M31" i="3"/>
  <c r="O31" i="3" s="1"/>
  <c r="B31" i="3" s="1"/>
  <c r="C31" i="3" s="1"/>
  <c r="L31" i="3"/>
  <c r="K31" i="3"/>
  <c r="H29" i="3" l="1"/>
  <c r="I29" i="3" s="1"/>
  <c r="G30" i="3" s="1"/>
  <c r="P30" i="3" s="1"/>
  <c r="J31" i="3" s="1"/>
  <c r="Q29" i="3"/>
  <c r="F33" i="3"/>
  <c r="E34" i="3" s="1"/>
  <c r="N32" i="3"/>
  <c r="M32" i="3"/>
  <c r="L32" i="3"/>
  <c r="K32" i="3"/>
  <c r="A32" i="3"/>
  <c r="D33" i="3"/>
  <c r="O32" i="3" l="1"/>
  <c r="B32" i="3" s="1"/>
  <c r="C32" i="3" s="1"/>
  <c r="H30" i="3"/>
  <c r="I30" i="3" s="1"/>
  <c r="G31" i="3" s="1"/>
  <c r="Q30" i="3"/>
  <c r="F34" i="3"/>
  <c r="N33" i="3"/>
  <c r="M33" i="3"/>
  <c r="L33" i="3"/>
  <c r="K33" i="3"/>
  <c r="A33" i="3"/>
  <c r="D34" i="3"/>
  <c r="P31" i="3" l="1"/>
  <c r="J32" i="3" s="1"/>
  <c r="Q31" i="3"/>
  <c r="H31" i="3"/>
  <c r="I31" i="3" s="1"/>
  <c r="F35" i="3"/>
  <c r="K34" i="3"/>
  <c r="A34" i="3"/>
  <c r="N34" i="3"/>
  <c r="M34" i="3"/>
  <c r="L34" i="3"/>
  <c r="E35" i="3"/>
  <c r="D35" i="3"/>
  <c r="G32" i="3" l="1"/>
  <c r="Q32" i="3" s="1"/>
  <c r="O34" i="3"/>
  <c r="B34" i="3" s="1"/>
  <c r="C34" i="3" s="1"/>
  <c r="D36" i="3"/>
  <c r="F36" i="3"/>
  <c r="N35" i="3"/>
  <c r="M35" i="3"/>
  <c r="L35" i="3"/>
  <c r="K35" i="3"/>
  <c r="A35" i="3"/>
  <c r="E36" i="3"/>
  <c r="P32" i="3" l="1"/>
  <c r="J33" i="3" s="1"/>
  <c r="H32" i="3"/>
  <c r="I32" i="3" s="1"/>
  <c r="D37" i="3"/>
  <c r="F37" i="3"/>
  <c r="N36" i="3"/>
  <c r="M36" i="3"/>
  <c r="O36" i="3" s="1"/>
  <c r="B36" i="3" s="1"/>
  <c r="C36" i="3" s="1"/>
  <c r="L36" i="3"/>
  <c r="K36" i="3"/>
  <c r="A36" i="3"/>
  <c r="E37" i="3"/>
  <c r="G33" i="3" l="1"/>
  <c r="D38" i="3"/>
  <c r="O35" i="3"/>
  <c r="B35" i="3" s="1"/>
  <c r="C35" i="3" s="1"/>
  <c r="F38" i="3"/>
  <c r="A37" i="3"/>
  <c r="N37" i="3"/>
  <c r="M37" i="3"/>
  <c r="O37" i="3" s="1"/>
  <c r="B37" i="3" s="1"/>
  <c r="C37" i="3" s="1"/>
  <c r="L37" i="3"/>
  <c r="K37" i="3"/>
  <c r="E38" i="3"/>
  <c r="P33" i="3" l="1"/>
  <c r="J34" i="3" s="1"/>
  <c r="D39" i="3"/>
  <c r="Q33" i="3"/>
  <c r="H33" i="3"/>
  <c r="I33" i="3" s="1"/>
  <c r="G34" i="3" s="1"/>
  <c r="P34" i="3" s="1"/>
  <c r="J35" i="3" s="1"/>
  <c r="F39" i="3"/>
  <c r="N38" i="3"/>
  <c r="M38" i="3"/>
  <c r="L38" i="3"/>
  <c r="K38" i="3"/>
  <c r="A38" i="3"/>
  <c r="E39" i="3"/>
  <c r="O33" i="3" l="1"/>
  <c r="B33" i="3" s="1"/>
  <c r="C33" i="3" s="1"/>
  <c r="H34" i="3"/>
  <c r="I34" i="3" s="1"/>
  <c r="G35" i="3" s="1"/>
  <c r="P35" i="3" s="1"/>
  <c r="J36" i="3" s="1"/>
  <c r="D40" i="3"/>
  <c r="Q34" i="3"/>
  <c r="F40" i="3"/>
  <c r="D41" i="3" s="1"/>
  <c r="N39" i="3"/>
  <c r="M39" i="3"/>
  <c r="L39" i="3"/>
  <c r="K39" i="3"/>
  <c r="A39" i="3"/>
  <c r="E40" i="3"/>
  <c r="H35" i="3" l="1"/>
  <c r="I35" i="3" s="1"/>
  <c r="G36" i="3" s="1"/>
  <c r="Q35" i="3"/>
  <c r="O39" i="3"/>
  <c r="B39" i="3" s="1"/>
  <c r="C39" i="3" s="1"/>
  <c r="F41" i="3"/>
  <c r="D42" i="3" s="1"/>
  <c r="K40" i="3"/>
  <c r="A40" i="3"/>
  <c r="N40" i="3"/>
  <c r="M40" i="3"/>
  <c r="O40" i="3" s="1"/>
  <c r="B40" i="3" s="1"/>
  <c r="C40" i="3" s="1"/>
  <c r="L40" i="3"/>
  <c r="E41" i="3"/>
  <c r="Q36" i="3" l="1"/>
  <c r="H36" i="3"/>
  <c r="I36" i="3" s="1"/>
  <c r="P36" i="3"/>
  <c r="J37" i="3" s="1"/>
  <c r="F42" i="3"/>
  <c r="D43" i="3" s="1"/>
  <c r="N41" i="3"/>
  <c r="M41" i="3"/>
  <c r="O41" i="3" s="1"/>
  <c r="B41" i="3" s="1"/>
  <c r="C41" i="3" s="1"/>
  <c r="L41" i="3"/>
  <c r="K41" i="3"/>
  <c r="A41" i="3"/>
  <c r="E42" i="3"/>
  <c r="G37" i="3" l="1"/>
  <c r="P37" i="3" s="1"/>
  <c r="J38" i="3" s="1"/>
  <c r="O38" i="3"/>
  <c r="B38" i="3" s="1"/>
  <c r="C38" i="3" s="1"/>
  <c r="F43" i="3"/>
  <c r="A42" i="3"/>
  <c r="N42" i="3"/>
  <c r="M42" i="3"/>
  <c r="L42" i="3"/>
  <c r="K42" i="3"/>
  <c r="E43" i="3"/>
  <c r="O42" i="3" l="1"/>
  <c r="B42" i="3" s="1"/>
  <c r="C42" i="3" s="1"/>
  <c r="H37" i="3"/>
  <c r="I37" i="3" s="1"/>
  <c r="G38" i="3" s="1"/>
  <c r="Q37" i="3"/>
  <c r="F44" i="3"/>
  <c r="L43" i="3"/>
  <c r="K43" i="3"/>
  <c r="A43" i="3"/>
  <c r="N43" i="3"/>
  <c r="M43" i="3"/>
  <c r="E44" i="3"/>
  <c r="D44" i="3"/>
  <c r="O43" i="3" l="1"/>
  <c r="B43" i="3" s="1"/>
  <c r="C43" i="3" s="1"/>
  <c r="P38" i="3"/>
  <c r="J39" i="3" s="1"/>
  <c r="Q38" i="3"/>
  <c r="H38" i="3"/>
  <c r="I38" i="3" s="1"/>
  <c r="F45" i="3"/>
  <c r="N44" i="3"/>
  <c r="M44" i="3"/>
  <c r="L44" i="3"/>
  <c r="K44" i="3"/>
  <c r="A44" i="3"/>
  <c r="E45" i="3"/>
  <c r="D45" i="3"/>
  <c r="G39" i="3" l="1"/>
  <c r="O44" i="3"/>
  <c r="B44" i="3" s="1"/>
  <c r="C44" i="3" s="1"/>
  <c r="F46" i="3"/>
  <c r="A45" i="3"/>
  <c r="N45" i="3"/>
  <c r="M45" i="3"/>
  <c r="O45" i="3" s="1"/>
  <c r="B45" i="3" s="1"/>
  <c r="C45" i="3" s="1"/>
  <c r="L45" i="3"/>
  <c r="K45" i="3"/>
  <c r="E46" i="3"/>
  <c r="D46" i="3"/>
  <c r="P39" i="3" l="1"/>
  <c r="J40" i="3" s="1"/>
  <c r="Q39" i="3"/>
  <c r="H39" i="3"/>
  <c r="I39" i="3" s="1"/>
  <c r="D47" i="3"/>
  <c r="F47" i="3"/>
  <c r="M46" i="3"/>
  <c r="L46" i="3"/>
  <c r="K46" i="3"/>
  <c r="A46" i="3"/>
  <c r="N46" i="3"/>
  <c r="E47" i="3"/>
  <c r="G40" i="3" l="1"/>
  <c r="P40" i="3" s="1"/>
  <c r="J41" i="3" s="1"/>
  <c r="H40" i="3"/>
  <c r="I40" i="3" s="1"/>
  <c r="O46" i="3"/>
  <c r="B46" i="3" s="1"/>
  <c r="C46" i="3" s="1"/>
  <c r="F48" i="3"/>
  <c r="N47" i="3"/>
  <c r="M47" i="3"/>
  <c r="O47" i="3" s="1"/>
  <c r="B47" i="3" s="1"/>
  <c r="C47" i="3" s="1"/>
  <c r="L47" i="3"/>
  <c r="K47" i="3"/>
  <c r="A47" i="3"/>
  <c r="E48" i="3"/>
  <c r="D48" i="3"/>
  <c r="Q40" i="3" l="1"/>
  <c r="G41" i="3"/>
  <c r="Q41" i="3" s="1"/>
  <c r="P41" i="3"/>
  <c r="J42" i="3" s="1"/>
  <c r="D49" i="3"/>
  <c r="F49" i="3"/>
  <c r="D50" i="3" s="1"/>
  <c r="A48" i="3"/>
  <c r="N48" i="3"/>
  <c r="M48" i="3"/>
  <c r="L48" i="3"/>
  <c r="K48" i="3"/>
  <c r="E49" i="3"/>
  <c r="H41" i="3" l="1"/>
  <c r="I41" i="3" s="1"/>
  <c r="O48" i="3"/>
  <c r="B48" i="3" s="1"/>
  <c r="C48" i="3" s="1"/>
  <c r="G42" i="3"/>
  <c r="Q42" i="3" s="1"/>
  <c r="H42" i="3"/>
  <c r="I42" i="3" s="1"/>
  <c r="F50" i="3"/>
  <c r="D51" i="3" s="1"/>
  <c r="M49" i="3"/>
  <c r="L49" i="3"/>
  <c r="K49" i="3"/>
  <c r="A49" i="3"/>
  <c r="N49" i="3"/>
  <c r="E50" i="3"/>
  <c r="P42" i="3" l="1"/>
  <c r="J43" i="3" s="1"/>
  <c r="G43" i="3" s="1"/>
  <c r="P43" i="3" s="1"/>
  <c r="J44" i="3" s="1"/>
  <c r="O49" i="3"/>
  <c r="B49" i="3" s="1"/>
  <c r="C49" i="3" s="1"/>
  <c r="F51" i="3"/>
  <c r="D52" i="3" s="1"/>
  <c r="N50" i="3"/>
  <c r="M50" i="3"/>
  <c r="O50" i="3" s="1"/>
  <c r="B50" i="3" s="1"/>
  <c r="C50" i="3" s="1"/>
  <c r="L50" i="3"/>
  <c r="K50" i="3"/>
  <c r="A50" i="3"/>
  <c r="E51" i="3"/>
  <c r="Q43" i="3" l="1"/>
  <c r="H43" i="3"/>
  <c r="I43" i="3" s="1"/>
  <c r="G44" i="3" s="1"/>
  <c r="F52" i="3"/>
  <c r="D53" i="3" s="1"/>
  <c r="A51" i="3"/>
  <c r="N51" i="3"/>
  <c r="M51" i="3"/>
  <c r="L51" i="3"/>
  <c r="K51" i="3"/>
  <c r="E52" i="3"/>
  <c r="Q44" i="3" l="1"/>
  <c r="H44" i="3"/>
  <c r="I44" i="3" s="1"/>
  <c r="P44" i="3"/>
  <c r="J45" i="3" s="1"/>
  <c r="F53" i="3"/>
  <c r="D54" i="3" s="1"/>
  <c r="N52" i="3"/>
  <c r="M52" i="3"/>
  <c r="L52" i="3"/>
  <c r="K52" i="3"/>
  <c r="A52" i="3"/>
  <c r="E53" i="3"/>
  <c r="G45" i="3" l="1"/>
  <c r="Q45" i="3" s="1"/>
  <c r="O51" i="3"/>
  <c r="B51" i="3" s="1"/>
  <c r="C51" i="3" s="1"/>
  <c r="F54" i="3"/>
  <c r="N53" i="3"/>
  <c r="M53" i="3"/>
  <c r="L53" i="3"/>
  <c r="K53" i="3"/>
  <c r="A53" i="3"/>
  <c r="E54" i="3"/>
  <c r="P45" i="3" l="1"/>
  <c r="J46" i="3" s="1"/>
  <c r="H45" i="3"/>
  <c r="I45" i="3" s="1"/>
  <c r="O52" i="3"/>
  <c r="B52" i="3" s="1"/>
  <c r="C52" i="3" s="1"/>
  <c r="O53" i="3"/>
  <c r="B53" i="3" s="1"/>
  <c r="C53" i="3" s="1"/>
  <c r="F55" i="3"/>
  <c r="K54" i="3"/>
  <c r="A54" i="3"/>
  <c r="N54" i="3"/>
  <c r="M54" i="3"/>
  <c r="L54" i="3"/>
  <c r="E55" i="3"/>
  <c r="D55" i="3"/>
  <c r="P54" i="3"/>
  <c r="G46" i="3" l="1"/>
  <c r="D56" i="3"/>
  <c r="F56" i="3"/>
  <c r="N55" i="3"/>
  <c r="M55" i="3"/>
  <c r="L55" i="3"/>
  <c r="K55" i="3"/>
  <c r="J55" i="3"/>
  <c r="A55" i="3"/>
  <c r="E56" i="3"/>
  <c r="P46" i="3" l="1"/>
  <c r="J47" i="3" s="1"/>
  <c r="H46" i="3"/>
  <c r="I46" i="3" s="1"/>
  <c r="Q46" i="3"/>
  <c r="D57" i="3"/>
  <c r="F57" i="3"/>
  <c r="D58" i="3" s="1"/>
  <c r="N56" i="3"/>
  <c r="M56" i="3"/>
  <c r="L56" i="3"/>
  <c r="K56" i="3"/>
  <c r="A56" i="3"/>
  <c r="E57" i="3"/>
  <c r="G47" i="3" l="1"/>
  <c r="H53" i="3"/>
  <c r="F58" i="3"/>
  <c r="K57" i="3"/>
  <c r="A57" i="3"/>
  <c r="N57" i="3"/>
  <c r="M57" i="3"/>
  <c r="L57" i="3"/>
  <c r="E58" i="3"/>
  <c r="O56" i="3"/>
  <c r="B56" i="3" s="1"/>
  <c r="C56" i="3" s="1"/>
  <c r="O57" i="3" l="1"/>
  <c r="B57" i="3" s="1"/>
  <c r="C57" i="3" s="1"/>
  <c r="P47" i="3"/>
  <c r="J48" i="3" s="1"/>
  <c r="Q47" i="3"/>
  <c r="H47" i="3"/>
  <c r="I47" i="3" s="1"/>
  <c r="G48" i="3" s="1"/>
  <c r="O54" i="3"/>
  <c r="B54" i="3" s="1"/>
  <c r="C54" i="3" s="1"/>
  <c r="F59" i="3"/>
  <c r="N58" i="3"/>
  <c r="M58" i="3"/>
  <c r="L58" i="3"/>
  <c r="K58" i="3"/>
  <c r="A58" i="3"/>
  <c r="E59" i="3"/>
  <c r="D59" i="3"/>
  <c r="P48" i="3" l="1"/>
  <c r="J49" i="3" s="1"/>
  <c r="H48" i="3"/>
  <c r="I48" i="3" s="1"/>
  <c r="G49" i="3" s="1"/>
  <c r="Q48" i="3"/>
  <c r="O55" i="3"/>
  <c r="B55" i="3" s="1"/>
  <c r="C55" i="3" s="1"/>
  <c r="D60" i="3"/>
  <c r="F60" i="3"/>
  <c r="A59" i="3"/>
  <c r="N59" i="3"/>
  <c r="M59" i="3"/>
  <c r="L59" i="3"/>
  <c r="K59" i="3"/>
  <c r="E60" i="3"/>
  <c r="P49" i="3" l="1"/>
  <c r="J50" i="3" s="1"/>
  <c r="H49" i="3"/>
  <c r="I49" i="3" s="1"/>
  <c r="Q49" i="3"/>
  <c r="I53" i="3"/>
  <c r="D61" i="3"/>
  <c r="O59" i="3"/>
  <c r="B59" i="3" s="1"/>
  <c r="C59" i="3" s="1"/>
  <c r="F61" i="3"/>
  <c r="A60" i="3"/>
  <c r="N60" i="3"/>
  <c r="M60" i="3"/>
  <c r="O60" i="3" s="1"/>
  <c r="B60" i="3" s="1"/>
  <c r="C60" i="3" s="1"/>
  <c r="L60" i="3"/>
  <c r="K60" i="3"/>
  <c r="E61" i="3"/>
  <c r="O58" i="3"/>
  <c r="B58" i="3" s="1"/>
  <c r="C58" i="3" s="1"/>
  <c r="G50" i="3" l="1"/>
  <c r="P50" i="3" s="1"/>
  <c r="J51" i="3" s="1"/>
  <c r="D62" i="3"/>
  <c r="F62" i="3"/>
  <c r="D63" i="3" s="1"/>
  <c r="K61" i="3"/>
  <c r="A61" i="3"/>
  <c r="N61" i="3"/>
  <c r="M61" i="3"/>
  <c r="L61" i="3"/>
  <c r="E62" i="3"/>
  <c r="Q50" i="3" l="1"/>
  <c r="H50" i="3"/>
  <c r="I50" i="3" s="1"/>
  <c r="G51" i="3" s="1"/>
  <c r="P51" i="3" s="1"/>
  <c r="J52" i="3" s="1"/>
  <c r="O61" i="3"/>
  <c r="B61" i="3" s="1"/>
  <c r="C61" i="3" s="1"/>
  <c r="F63" i="3"/>
  <c r="D64" i="3" s="1"/>
  <c r="L62" i="3"/>
  <c r="K62" i="3"/>
  <c r="A62" i="3"/>
  <c r="N62" i="3"/>
  <c r="M62" i="3"/>
  <c r="E63" i="3"/>
  <c r="H51" i="3" l="1"/>
  <c r="I51" i="3" s="1"/>
  <c r="Q51" i="3"/>
  <c r="G52" i="3"/>
  <c r="P52" i="3" s="1"/>
  <c r="J53" i="3" s="1"/>
  <c r="H52" i="3"/>
  <c r="I52" i="3" s="1"/>
  <c r="O62" i="3"/>
  <c r="B62" i="3" s="1"/>
  <c r="C62" i="3" s="1"/>
  <c r="F64" i="3"/>
  <c r="D65" i="3" s="1"/>
  <c r="M63" i="3"/>
  <c r="L63" i="3"/>
  <c r="K63" i="3"/>
  <c r="A63" i="3"/>
  <c r="N63" i="3"/>
  <c r="E64" i="3"/>
  <c r="Q52" i="3" l="1"/>
  <c r="G53" i="3"/>
  <c r="Q53" i="3"/>
  <c r="P53" i="3"/>
  <c r="J54" i="3" s="1"/>
  <c r="G54" i="3" s="1"/>
  <c r="O63" i="3"/>
  <c r="B63" i="3" s="1"/>
  <c r="C63" i="3" s="1"/>
  <c r="F65" i="3"/>
  <c r="D66" i="3" s="1"/>
  <c r="N64" i="3"/>
  <c r="M64" i="3"/>
  <c r="O64" i="3" s="1"/>
  <c r="B64" i="3" s="1"/>
  <c r="C64" i="3" s="1"/>
  <c r="L64" i="3"/>
  <c r="K64" i="3"/>
  <c r="A64" i="3"/>
  <c r="E65" i="3"/>
  <c r="Q54" i="3" l="1"/>
  <c r="H54" i="3"/>
  <c r="I54" i="3" s="1"/>
  <c r="G55" i="3" s="1"/>
  <c r="F66" i="3"/>
  <c r="D67" i="3" s="1"/>
  <c r="N65" i="3"/>
  <c r="M65" i="3"/>
  <c r="O65" i="3" s="1"/>
  <c r="B65" i="3" s="1"/>
  <c r="C65" i="3" s="1"/>
  <c r="L65" i="3"/>
  <c r="K65" i="3"/>
  <c r="A65" i="3"/>
  <c r="E66" i="3"/>
  <c r="P55" i="3" l="1"/>
  <c r="J56" i="3" s="1"/>
  <c r="H55" i="3"/>
  <c r="I55" i="3" s="1"/>
  <c r="Q55" i="3"/>
  <c r="F67" i="3"/>
  <c r="D68" i="3" s="1"/>
  <c r="N66" i="3"/>
  <c r="M66" i="3"/>
  <c r="O66" i="3" s="1"/>
  <c r="B66" i="3" s="1"/>
  <c r="C66" i="3" s="1"/>
  <c r="L66" i="3"/>
  <c r="K66" i="3"/>
  <c r="A66" i="3"/>
  <c r="E67" i="3"/>
  <c r="G56" i="3" l="1"/>
  <c r="Q56" i="3"/>
  <c r="P56" i="3"/>
  <c r="J57" i="3" s="1"/>
  <c r="H56" i="3"/>
  <c r="I56" i="3" s="1"/>
  <c r="F68" i="3"/>
  <c r="D69" i="3" s="1"/>
  <c r="N67" i="3"/>
  <c r="M67" i="3"/>
  <c r="O67" i="3" s="1"/>
  <c r="B67" i="3" s="1"/>
  <c r="C67" i="3" s="1"/>
  <c r="L67" i="3"/>
  <c r="K67" i="3"/>
  <c r="A67" i="3"/>
  <c r="E68" i="3"/>
  <c r="G57" i="3" l="1"/>
  <c r="P57" i="3"/>
  <c r="J58" i="3" s="1"/>
  <c r="Q57" i="3"/>
  <c r="H57" i="3"/>
  <c r="I57" i="3" s="1"/>
  <c r="G58" i="3" s="1"/>
  <c r="F69" i="3"/>
  <c r="D70" i="3" s="1"/>
  <c r="N68" i="3"/>
  <c r="M68" i="3"/>
  <c r="L68" i="3"/>
  <c r="K68" i="3"/>
  <c r="A68" i="3"/>
  <c r="E69" i="3"/>
  <c r="P58" i="3" l="1"/>
  <c r="J59" i="3" s="1"/>
  <c r="Q58" i="3"/>
  <c r="H58" i="3"/>
  <c r="I58" i="3" s="1"/>
  <c r="G59" i="3" s="1"/>
  <c r="O68" i="3"/>
  <c r="B68" i="3" s="1"/>
  <c r="C68" i="3" s="1"/>
  <c r="F70" i="3"/>
  <c r="D71" i="3" s="1"/>
  <c r="A69" i="3"/>
  <c r="N69" i="3"/>
  <c r="M69" i="3"/>
  <c r="L69" i="3"/>
  <c r="K69" i="3"/>
  <c r="E70" i="3"/>
  <c r="Q59" i="3" l="1"/>
  <c r="H59" i="3"/>
  <c r="I59" i="3" s="1"/>
  <c r="P59" i="3"/>
  <c r="J60" i="3" s="1"/>
  <c r="G60" i="3" s="1"/>
  <c r="O69" i="3"/>
  <c r="B69" i="3" s="1"/>
  <c r="C69" i="3" s="1"/>
  <c r="F71" i="3"/>
  <c r="D72" i="3" s="1"/>
  <c r="A70" i="3"/>
  <c r="N70" i="3"/>
  <c r="M70" i="3"/>
  <c r="L70" i="3"/>
  <c r="K70" i="3"/>
  <c r="E71" i="3"/>
  <c r="H60" i="3" l="1"/>
  <c r="I60" i="3" s="1"/>
  <c r="Q60" i="3"/>
  <c r="P60" i="3"/>
  <c r="J61" i="3" s="1"/>
  <c r="G61" i="3" s="1"/>
  <c r="O70" i="3"/>
  <c r="B70" i="3" s="1"/>
  <c r="C70" i="3" s="1"/>
  <c r="F72" i="3"/>
  <c r="D73" i="3" s="1"/>
  <c r="A71" i="3"/>
  <c r="N71" i="3"/>
  <c r="M71" i="3"/>
  <c r="O71" i="3" s="1"/>
  <c r="B71" i="3" s="1"/>
  <c r="C71" i="3" s="1"/>
  <c r="L71" i="3"/>
  <c r="K71" i="3"/>
  <c r="E72" i="3"/>
  <c r="P61" i="3" l="1"/>
  <c r="J62" i="3" s="1"/>
  <c r="H61" i="3"/>
  <c r="I61" i="3" s="1"/>
  <c r="G62" i="3" s="1"/>
  <c r="Q61" i="3"/>
  <c r="F73" i="3"/>
  <c r="D74" i="3" s="1"/>
  <c r="A72" i="3"/>
  <c r="N72" i="3"/>
  <c r="M72" i="3"/>
  <c r="O72" i="3" s="1"/>
  <c r="B72" i="3" s="1"/>
  <c r="C72" i="3" s="1"/>
  <c r="L72" i="3"/>
  <c r="K72" i="3"/>
  <c r="E73" i="3"/>
  <c r="P62" i="3" l="1"/>
  <c r="J63" i="3" s="1"/>
  <c r="H62" i="3"/>
  <c r="I62" i="3" s="1"/>
  <c r="G63" i="3" s="1"/>
  <c r="Q62" i="3"/>
  <c r="F74" i="3"/>
  <c r="D75" i="3" s="1"/>
  <c r="K73" i="3"/>
  <c r="A73" i="3"/>
  <c r="N73" i="3"/>
  <c r="M73" i="3"/>
  <c r="O73" i="3" s="1"/>
  <c r="B73" i="3" s="1"/>
  <c r="C73" i="3" s="1"/>
  <c r="L73" i="3"/>
  <c r="E74" i="3"/>
  <c r="P63" i="3" l="1"/>
  <c r="J64" i="3" s="1"/>
  <c r="H63" i="3"/>
  <c r="I63" i="3" s="1"/>
  <c r="Q63" i="3"/>
  <c r="F75" i="3"/>
  <c r="D76" i="3" s="1"/>
  <c r="L74" i="3"/>
  <c r="K74" i="3"/>
  <c r="A74" i="3"/>
  <c r="N74" i="3"/>
  <c r="M74" i="3"/>
  <c r="O74" i="3" s="1"/>
  <c r="B74" i="3" s="1"/>
  <c r="C74" i="3" s="1"/>
  <c r="E75" i="3"/>
  <c r="G64" i="3" l="1"/>
  <c r="Q64" i="3"/>
  <c r="P64" i="3"/>
  <c r="J65" i="3" s="1"/>
  <c r="H64" i="3"/>
  <c r="I64" i="3" s="1"/>
  <c r="F76" i="3"/>
  <c r="D77" i="3" s="1"/>
  <c r="M75" i="3"/>
  <c r="L75" i="3"/>
  <c r="K75" i="3"/>
  <c r="A75" i="3"/>
  <c r="N75" i="3"/>
  <c r="E76" i="3"/>
  <c r="G65" i="3" l="1"/>
  <c r="H65" i="3" s="1"/>
  <c r="I65" i="3" s="1"/>
  <c r="P65" i="3"/>
  <c r="J66" i="3" s="1"/>
  <c r="G66" i="3" s="1"/>
  <c r="Q66" i="3" s="1"/>
  <c r="Q65" i="3"/>
  <c r="O75" i="3"/>
  <c r="B75" i="3" s="1"/>
  <c r="C75" i="3" s="1"/>
  <c r="F77" i="3"/>
  <c r="D78" i="3" s="1"/>
  <c r="N76" i="3"/>
  <c r="M76" i="3"/>
  <c r="O76" i="3" s="1"/>
  <c r="B76" i="3" s="1"/>
  <c r="C76" i="3" s="1"/>
  <c r="L76" i="3"/>
  <c r="K76" i="3"/>
  <c r="A76" i="3"/>
  <c r="E77" i="3"/>
  <c r="H66" i="3" l="1"/>
  <c r="I66" i="3" s="1"/>
  <c r="P66" i="3"/>
  <c r="J67" i="3" s="1"/>
  <c r="G67" i="3" s="1"/>
  <c r="F78" i="3"/>
  <c r="D79" i="3" s="1"/>
  <c r="N77" i="3"/>
  <c r="M77" i="3"/>
  <c r="O77" i="3" s="1"/>
  <c r="B77" i="3" s="1"/>
  <c r="C77" i="3" s="1"/>
  <c r="L77" i="3"/>
  <c r="K77" i="3"/>
  <c r="A77" i="3"/>
  <c r="E78" i="3"/>
  <c r="H67" i="3" l="1"/>
  <c r="I67" i="3" s="1"/>
  <c r="P67" i="3"/>
  <c r="J68" i="3" s="1"/>
  <c r="G68" i="3" s="1"/>
  <c r="Q67" i="3"/>
  <c r="F79" i="3"/>
  <c r="D80" i="3" s="1"/>
  <c r="N78" i="3"/>
  <c r="M78" i="3"/>
  <c r="O78" i="3" s="1"/>
  <c r="B78" i="3" s="1"/>
  <c r="C78" i="3" s="1"/>
  <c r="L78" i="3"/>
  <c r="K78" i="3"/>
  <c r="A78" i="3"/>
  <c r="E79" i="3"/>
  <c r="H68" i="3" l="1"/>
  <c r="I68" i="3" s="1"/>
  <c r="P68" i="3"/>
  <c r="J69" i="3" s="1"/>
  <c r="G69" i="3" s="1"/>
  <c r="Q68" i="3"/>
  <c r="F80" i="3"/>
  <c r="D81" i="3" s="1"/>
  <c r="N79" i="3"/>
  <c r="M79" i="3"/>
  <c r="L79" i="3"/>
  <c r="K79" i="3"/>
  <c r="A79" i="3"/>
  <c r="E80" i="3"/>
  <c r="P69" i="3" l="1"/>
  <c r="J70" i="3" s="1"/>
  <c r="H69" i="3"/>
  <c r="I69" i="3" s="1"/>
  <c r="Q69" i="3"/>
  <c r="O79" i="3"/>
  <c r="B79" i="3" s="1"/>
  <c r="C79" i="3" s="1"/>
  <c r="F81" i="3"/>
  <c r="D82" i="3" s="1"/>
  <c r="N80" i="3"/>
  <c r="M80" i="3"/>
  <c r="O80" i="3" s="1"/>
  <c r="B80" i="3" s="1"/>
  <c r="C80" i="3" s="1"/>
  <c r="L80" i="3"/>
  <c r="K80" i="3"/>
  <c r="A80" i="3"/>
  <c r="E81" i="3"/>
  <c r="G70" i="3" l="1"/>
  <c r="P70" i="3" s="1"/>
  <c r="J71" i="3" s="1"/>
  <c r="F82" i="3"/>
  <c r="D83" i="3" s="1"/>
  <c r="A81" i="3"/>
  <c r="N81" i="3"/>
  <c r="M81" i="3"/>
  <c r="L81" i="3"/>
  <c r="K81" i="3"/>
  <c r="E82" i="3"/>
  <c r="H70" i="3" l="1"/>
  <c r="I70" i="3" s="1"/>
  <c r="Q70" i="3"/>
  <c r="G71" i="3"/>
  <c r="P71" i="3" s="1"/>
  <c r="J72" i="3" s="1"/>
  <c r="O81" i="3"/>
  <c r="B81" i="3" s="1"/>
  <c r="C81" i="3" s="1"/>
  <c r="F83" i="3"/>
  <c r="D84" i="3" s="1"/>
  <c r="A82" i="3"/>
  <c r="N82" i="3"/>
  <c r="M82" i="3"/>
  <c r="L82" i="3"/>
  <c r="K82" i="3"/>
  <c r="E83" i="3"/>
  <c r="Q71" i="3" l="1"/>
  <c r="H71" i="3"/>
  <c r="I71" i="3" s="1"/>
  <c r="G72" i="3" s="1"/>
  <c r="O82" i="3"/>
  <c r="B82" i="3" s="1"/>
  <c r="C82" i="3" s="1"/>
  <c r="F84" i="3"/>
  <c r="D85" i="3" s="1"/>
  <c r="A83" i="3"/>
  <c r="P83" i="3"/>
  <c r="N83" i="3"/>
  <c r="M83" i="3"/>
  <c r="O83" i="3" s="1"/>
  <c r="B83" i="3" s="1"/>
  <c r="C83" i="3" s="1"/>
  <c r="L83" i="3"/>
  <c r="K83" i="3"/>
  <c r="E84" i="3"/>
  <c r="Q72" i="3" l="1"/>
  <c r="H72" i="3"/>
  <c r="I72" i="3" s="1"/>
  <c r="P72" i="3"/>
  <c r="J73" i="3" s="1"/>
  <c r="F85" i="3"/>
  <c r="D86" i="3" s="1"/>
  <c r="J84" i="3"/>
  <c r="A84" i="3"/>
  <c r="N84" i="3"/>
  <c r="M84" i="3"/>
  <c r="O84" i="3" s="1"/>
  <c r="B84" i="3" s="1"/>
  <c r="C84" i="3" s="1"/>
  <c r="L84" i="3"/>
  <c r="K84" i="3"/>
  <c r="E85" i="3"/>
  <c r="G73" i="3" l="1"/>
  <c r="F86" i="3"/>
  <c r="D87" i="3" s="1"/>
  <c r="K85" i="3"/>
  <c r="A85" i="3"/>
  <c r="N85" i="3"/>
  <c r="M85" i="3"/>
  <c r="L85" i="3"/>
  <c r="E86" i="3"/>
  <c r="P73" i="3" l="1"/>
  <c r="J74" i="3" s="1"/>
  <c r="H73" i="3"/>
  <c r="I73" i="3" s="1"/>
  <c r="G74" i="3" s="1"/>
  <c r="Q73" i="3"/>
  <c r="O85" i="3"/>
  <c r="B85" i="3" s="1"/>
  <c r="C85" i="3" s="1"/>
  <c r="F87" i="3"/>
  <c r="D88" i="3" s="1"/>
  <c r="L86" i="3"/>
  <c r="K86" i="3"/>
  <c r="A86" i="3"/>
  <c r="N86" i="3"/>
  <c r="M86" i="3"/>
  <c r="E87" i="3"/>
  <c r="H74" i="3" l="1"/>
  <c r="I74" i="3" s="1"/>
  <c r="P74" i="3"/>
  <c r="J75" i="3" s="1"/>
  <c r="Q74" i="3"/>
  <c r="O86" i="3"/>
  <c r="B86" i="3" s="1"/>
  <c r="C86" i="3" s="1"/>
  <c r="F88" i="3"/>
  <c r="D89" i="3" s="1"/>
  <c r="M87" i="3"/>
  <c r="L87" i="3"/>
  <c r="K87" i="3"/>
  <c r="A87" i="3"/>
  <c r="N87" i="3"/>
  <c r="E88" i="3"/>
  <c r="G75" i="3" l="1"/>
  <c r="O87" i="3"/>
  <c r="B87" i="3" s="1"/>
  <c r="C87" i="3" s="1"/>
  <c r="F89" i="3"/>
  <c r="D90" i="3" s="1"/>
  <c r="N88" i="3"/>
  <c r="M88" i="3"/>
  <c r="O88" i="3" s="1"/>
  <c r="B88" i="3" s="1"/>
  <c r="C88" i="3" s="1"/>
  <c r="L88" i="3"/>
  <c r="K88" i="3"/>
  <c r="A88" i="3"/>
  <c r="E89" i="3"/>
  <c r="P75" i="3" l="1"/>
  <c r="J76" i="3" s="1"/>
  <c r="Q75" i="3"/>
  <c r="H75" i="3"/>
  <c r="I75" i="3" s="1"/>
  <c r="F90" i="3"/>
  <c r="D91" i="3" s="1"/>
  <c r="N89" i="3"/>
  <c r="M89" i="3"/>
  <c r="O89" i="3" s="1"/>
  <c r="B89" i="3" s="1"/>
  <c r="C89" i="3" s="1"/>
  <c r="L89" i="3"/>
  <c r="K89" i="3"/>
  <c r="A89" i="3"/>
  <c r="E90" i="3"/>
  <c r="G76" i="3" l="1"/>
  <c r="H76" i="3"/>
  <c r="I76" i="3" s="1"/>
  <c r="P76" i="3"/>
  <c r="J77" i="3" s="1"/>
  <c r="G77" i="3" s="1"/>
  <c r="Q76" i="3"/>
  <c r="F91" i="3"/>
  <c r="D92" i="3" s="1"/>
  <c r="N90" i="3"/>
  <c r="M90" i="3"/>
  <c r="O90" i="3" s="1"/>
  <c r="B90" i="3" s="1"/>
  <c r="C90" i="3" s="1"/>
  <c r="L90" i="3"/>
  <c r="K90" i="3"/>
  <c r="A90" i="3"/>
  <c r="E91" i="3"/>
  <c r="P77" i="3" l="1"/>
  <c r="J78" i="3" s="1"/>
  <c r="H77" i="3"/>
  <c r="I77" i="3" s="1"/>
  <c r="G78" i="3" s="1"/>
  <c r="Q77" i="3"/>
  <c r="F92" i="3"/>
  <c r="D93" i="3" s="1"/>
  <c r="N91" i="3"/>
  <c r="M91" i="3"/>
  <c r="L91" i="3"/>
  <c r="K91" i="3"/>
  <c r="A91" i="3"/>
  <c r="E92" i="3"/>
  <c r="Q78" i="3" l="1"/>
  <c r="H78" i="3"/>
  <c r="I78" i="3" s="1"/>
  <c r="P78" i="3"/>
  <c r="J79" i="3" s="1"/>
  <c r="G79" i="3" s="1"/>
  <c r="O91" i="3"/>
  <c r="B91" i="3" s="1"/>
  <c r="C91" i="3" s="1"/>
  <c r="F93" i="3"/>
  <c r="D94" i="3" s="1"/>
  <c r="N92" i="3"/>
  <c r="M92" i="3"/>
  <c r="L92" i="3"/>
  <c r="K92" i="3"/>
  <c r="A92" i="3"/>
  <c r="E93" i="3"/>
  <c r="Q79" i="3" l="1"/>
  <c r="H79" i="3"/>
  <c r="I79" i="3" s="1"/>
  <c r="P79" i="3"/>
  <c r="J80" i="3" s="1"/>
  <c r="G80" i="3" s="1"/>
  <c r="O92" i="3"/>
  <c r="B92" i="3" s="1"/>
  <c r="C92" i="3" s="1"/>
  <c r="F94" i="3"/>
  <c r="D95" i="3" s="1"/>
  <c r="A93" i="3"/>
  <c r="N93" i="3"/>
  <c r="M93" i="3"/>
  <c r="L93" i="3"/>
  <c r="K93" i="3"/>
  <c r="E94" i="3"/>
  <c r="P80" i="3" l="1"/>
  <c r="J81" i="3" s="1"/>
  <c r="Q80" i="3"/>
  <c r="H80" i="3"/>
  <c r="I80" i="3" s="1"/>
  <c r="G81" i="3" s="1"/>
  <c r="O93" i="3"/>
  <c r="B93" i="3" s="1"/>
  <c r="C93" i="3" s="1"/>
  <c r="F95" i="3"/>
  <c r="D96" i="3" s="1"/>
  <c r="A94" i="3"/>
  <c r="N94" i="3"/>
  <c r="M94" i="3"/>
  <c r="L94" i="3"/>
  <c r="K94" i="3"/>
  <c r="E95" i="3"/>
  <c r="Q81" i="3" l="1"/>
  <c r="H81" i="3"/>
  <c r="I81" i="3" s="1"/>
  <c r="P81" i="3"/>
  <c r="J82" i="3" s="1"/>
  <c r="O94" i="3"/>
  <c r="B94" i="3" s="1"/>
  <c r="C94" i="3" s="1"/>
  <c r="F96" i="3"/>
  <c r="D97" i="3" s="1"/>
  <c r="A95" i="3"/>
  <c r="N95" i="3"/>
  <c r="M95" i="3"/>
  <c r="L95" i="3"/>
  <c r="K95" i="3"/>
  <c r="E96" i="3"/>
  <c r="G82" i="3" l="1"/>
  <c r="H82" i="3"/>
  <c r="I82" i="3" s="1"/>
  <c r="P82" i="3"/>
  <c r="J83" i="3" s="1"/>
  <c r="G83" i="3" s="1"/>
  <c r="Q82" i="3"/>
  <c r="O95" i="3"/>
  <c r="B95" i="3" s="1"/>
  <c r="C95" i="3" s="1"/>
  <c r="F97" i="3"/>
  <c r="D98" i="3" s="1"/>
  <c r="A96" i="3"/>
  <c r="N96" i="3"/>
  <c r="M96" i="3"/>
  <c r="L96" i="3"/>
  <c r="K96" i="3"/>
  <c r="E97" i="3"/>
  <c r="Q83" i="3" l="1"/>
  <c r="H83" i="3"/>
  <c r="I83" i="3" s="1"/>
  <c r="G84" i="3" s="1"/>
  <c r="O96" i="3"/>
  <c r="B96" i="3" s="1"/>
  <c r="C96" i="3" s="1"/>
  <c r="F98" i="3"/>
  <c r="D99" i="3" s="1"/>
  <c r="K97" i="3"/>
  <c r="A97" i="3"/>
  <c r="N97" i="3"/>
  <c r="M97" i="3"/>
  <c r="L97" i="3"/>
  <c r="E98" i="3"/>
  <c r="P84" i="3" l="1"/>
  <c r="J85" i="3" s="1"/>
  <c r="Q84" i="3"/>
  <c r="H84" i="3"/>
  <c r="I84" i="3" s="1"/>
  <c r="G85" i="3" s="1"/>
  <c r="O97" i="3"/>
  <c r="B97" i="3" s="1"/>
  <c r="C97" i="3" s="1"/>
  <c r="F99" i="3"/>
  <c r="D100" i="3" s="1"/>
  <c r="L98" i="3"/>
  <c r="K98" i="3"/>
  <c r="A98" i="3"/>
  <c r="N98" i="3"/>
  <c r="M98" i="3"/>
  <c r="E99" i="3"/>
  <c r="Q85" i="3" l="1"/>
  <c r="P85" i="3"/>
  <c r="J86" i="3" s="1"/>
  <c r="H85" i="3"/>
  <c r="I85" i="3" s="1"/>
  <c r="G86" i="3" s="1"/>
  <c r="O98" i="3"/>
  <c r="B98" i="3" s="1"/>
  <c r="C98" i="3" s="1"/>
  <c r="F100" i="3"/>
  <c r="D101" i="3" s="1"/>
  <c r="M99" i="3"/>
  <c r="L99" i="3"/>
  <c r="K99" i="3"/>
  <c r="A99" i="3"/>
  <c r="N99" i="3"/>
  <c r="E100" i="3"/>
  <c r="Q86" i="3" l="1"/>
  <c r="H86" i="3"/>
  <c r="I86" i="3" s="1"/>
  <c r="P86" i="3"/>
  <c r="J87" i="3" s="1"/>
  <c r="O99" i="3"/>
  <c r="B99" i="3" s="1"/>
  <c r="C99" i="3" s="1"/>
  <c r="F101" i="3"/>
  <c r="D102" i="3" s="1"/>
  <c r="N100" i="3"/>
  <c r="M100" i="3"/>
  <c r="L100" i="3"/>
  <c r="K100" i="3"/>
  <c r="A100" i="3"/>
  <c r="E101" i="3"/>
  <c r="G87" i="3" l="1"/>
  <c r="Q87" i="3"/>
  <c r="P87" i="3"/>
  <c r="J88" i="3" s="1"/>
  <c r="H87" i="3"/>
  <c r="I87" i="3" s="1"/>
  <c r="G88" i="3" s="1"/>
  <c r="O100" i="3"/>
  <c r="B100" i="3" s="1"/>
  <c r="C100" i="3" s="1"/>
  <c r="F102" i="3"/>
  <c r="D103" i="3" s="1"/>
  <c r="N101" i="3"/>
  <c r="M101" i="3"/>
  <c r="L101" i="3"/>
  <c r="K101" i="3"/>
  <c r="A101" i="3"/>
  <c r="E102" i="3"/>
  <c r="P88" i="3" l="1"/>
  <c r="J89" i="3" s="1"/>
  <c r="H88" i="3"/>
  <c r="I88" i="3" s="1"/>
  <c r="Q88" i="3"/>
  <c r="G89" i="3"/>
  <c r="O101" i="3"/>
  <c r="B101" i="3" s="1"/>
  <c r="C101" i="3" s="1"/>
  <c r="F103" i="3"/>
  <c r="D104" i="3" s="1"/>
  <c r="N102" i="3"/>
  <c r="M102" i="3"/>
  <c r="O102" i="3" s="1"/>
  <c r="B102" i="3" s="1"/>
  <c r="C102" i="3" s="1"/>
  <c r="L102" i="3"/>
  <c r="K102" i="3"/>
  <c r="A102" i="3"/>
  <c r="E103" i="3"/>
  <c r="Q89" i="3" l="1"/>
  <c r="H89" i="3"/>
  <c r="I89" i="3" s="1"/>
  <c r="P89" i="3"/>
  <c r="J90" i="3" s="1"/>
  <c r="G90" i="3" s="1"/>
  <c r="P90" i="3" s="1"/>
  <c r="J91" i="3" s="1"/>
  <c r="F104" i="3"/>
  <c r="D105" i="3" s="1"/>
  <c r="N103" i="3"/>
  <c r="M103" i="3"/>
  <c r="O103" i="3" s="1"/>
  <c r="B103" i="3" s="1"/>
  <c r="C103" i="3" s="1"/>
  <c r="L103" i="3"/>
  <c r="K103" i="3"/>
  <c r="A103" i="3"/>
  <c r="E104" i="3"/>
  <c r="H90" i="3" l="1"/>
  <c r="I90" i="3" s="1"/>
  <c r="Q90" i="3"/>
  <c r="G91" i="3"/>
  <c r="Q91" i="3" s="1"/>
  <c r="H91" i="3"/>
  <c r="I91" i="3" s="1"/>
  <c r="F105" i="3"/>
  <c r="D106" i="3" s="1"/>
  <c r="N104" i="3"/>
  <c r="M104" i="3"/>
  <c r="O104" i="3" s="1"/>
  <c r="B104" i="3" s="1"/>
  <c r="C104" i="3" s="1"/>
  <c r="L104" i="3"/>
  <c r="K104" i="3"/>
  <c r="A104" i="3"/>
  <c r="E105" i="3"/>
  <c r="P91" i="3" l="1"/>
  <c r="J92" i="3" s="1"/>
  <c r="G92" i="3" s="1"/>
  <c r="F106" i="3"/>
  <c r="D107" i="3" s="1"/>
  <c r="A105" i="3"/>
  <c r="N105" i="3"/>
  <c r="M105" i="3"/>
  <c r="L105" i="3"/>
  <c r="K105" i="3"/>
  <c r="E106" i="3"/>
  <c r="P92" i="3" l="1"/>
  <c r="J93" i="3" s="1"/>
  <c r="H92" i="3"/>
  <c r="I92" i="3" s="1"/>
  <c r="G93" i="3" s="1"/>
  <c r="Q92" i="3"/>
  <c r="O105" i="3"/>
  <c r="B105" i="3" s="1"/>
  <c r="C105" i="3" s="1"/>
  <c r="F107" i="3"/>
  <c r="D108" i="3" s="1"/>
  <c r="A106" i="3"/>
  <c r="N106" i="3"/>
  <c r="M106" i="3"/>
  <c r="L106" i="3"/>
  <c r="K106" i="3"/>
  <c r="E107" i="3"/>
  <c r="P93" i="3" l="1"/>
  <c r="J94" i="3" s="1"/>
  <c r="H93" i="3"/>
  <c r="I93" i="3" s="1"/>
  <c r="Q93" i="3"/>
  <c r="O106" i="3"/>
  <c r="B106" i="3" s="1"/>
  <c r="C106" i="3" s="1"/>
  <c r="F108" i="3"/>
  <c r="D109" i="3" s="1"/>
  <c r="A107" i="3"/>
  <c r="N107" i="3"/>
  <c r="M107" i="3"/>
  <c r="O107" i="3" s="1"/>
  <c r="B107" i="3" s="1"/>
  <c r="C107" i="3" s="1"/>
  <c r="L107" i="3"/>
  <c r="K107" i="3"/>
  <c r="E108" i="3"/>
  <c r="G94" i="3" l="1"/>
  <c r="P94" i="3" s="1"/>
  <c r="J95" i="3" s="1"/>
  <c r="F109" i="3"/>
  <c r="D110" i="3" s="1"/>
  <c r="A108" i="3"/>
  <c r="N108" i="3"/>
  <c r="M108" i="3"/>
  <c r="O108" i="3" s="1"/>
  <c r="B108" i="3" s="1"/>
  <c r="C108" i="3" s="1"/>
  <c r="L108" i="3"/>
  <c r="K108" i="3"/>
  <c r="E109" i="3"/>
  <c r="H94" i="3" l="1"/>
  <c r="I94" i="3" s="1"/>
  <c r="G95" i="3" s="1"/>
  <c r="Q94" i="3"/>
  <c r="F110" i="3"/>
  <c r="D111" i="3" s="1"/>
  <c r="K109" i="3"/>
  <c r="A109" i="3"/>
  <c r="N109" i="3"/>
  <c r="M109" i="3"/>
  <c r="L109" i="3"/>
  <c r="E110" i="3"/>
  <c r="Q95" i="3" l="1"/>
  <c r="H95" i="3"/>
  <c r="I95" i="3" s="1"/>
  <c r="P95" i="3"/>
  <c r="J96" i="3" s="1"/>
  <c r="O109" i="3"/>
  <c r="B109" i="3" s="1"/>
  <c r="C109" i="3" s="1"/>
  <c r="F111" i="3"/>
  <c r="D112" i="3" s="1"/>
  <c r="L110" i="3"/>
  <c r="K110" i="3"/>
  <c r="A110" i="3"/>
  <c r="N110" i="3"/>
  <c r="M110" i="3"/>
  <c r="O110" i="3" s="1"/>
  <c r="B110" i="3" s="1"/>
  <c r="C110" i="3" s="1"/>
  <c r="E111" i="3"/>
  <c r="G96" i="3" l="1"/>
  <c r="H96" i="3" s="1"/>
  <c r="I96" i="3" s="1"/>
  <c r="P96" i="3"/>
  <c r="J97" i="3" s="1"/>
  <c r="G97" i="3" s="1"/>
  <c r="Q97" i="3" s="1"/>
  <c r="F112" i="3"/>
  <c r="D113" i="3" s="1"/>
  <c r="M111" i="3"/>
  <c r="L111" i="3"/>
  <c r="K111" i="3"/>
  <c r="A111" i="3"/>
  <c r="N111" i="3"/>
  <c r="E112" i="3"/>
  <c r="Q96" i="3" l="1"/>
  <c r="P97" i="3"/>
  <c r="J98" i="3" s="1"/>
  <c r="H97" i="3"/>
  <c r="I97" i="3" s="1"/>
  <c r="O111" i="3"/>
  <c r="B111" i="3" s="1"/>
  <c r="C111" i="3" s="1"/>
  <c r="F113" i="3"/>
  <c r="D114" i="3" s="1"/>
  <c r="N112" i="3"/>
  <c r="M112" i="3"/>
  <c r="O112" i="3" s="1"/>
  <c r="B112" i="3" s="1"/>
  <c r="C112" i="3" s="1"/>
  <c r="L112" i="3"/>
  <c r="K112" i="3"/>
  <c r="A112" i="3"/>
  <c r="E113" i="3"/>
  <c r="G98" i="3" l="1"/>
  <c r="P98" i="3" s="1"/>
  <c r="J99" i="3" s="1"/>
  <c r="G99" i="3" s="1"/>
  <c r="H98" i="3"/>
  <c r="I98" i="3" s="1"/>
  <c r="Q98" i="3"/>
  <c r="F114" i="3"/>
  <c r="D115" i="3" s="1"/>
  <c r="N113" i="3"/>
  <c r="M113" i="3"/>
  <c r="O113" i="3" s="1"/>
  <c r="B113" i="3" s="1"/>
  <c r="C113" i="3" s="1"/>
  <c r="L113" i="3"/>
  <c r="K113" i="3"/>
  <c r="H113" i="3"/>
  <c r="A113" i="3"/>
  <c r="E114" i="3"/>
  <c r="P99" i="3" l="1"/>
  <c r="J100" i="3" s="1"/>
  <c r="H99" i="3"/>
  <c r="I99" i="3" s="1"/>
  <c r="G100" i="3" s="1"/>
  <c r="Q99" i="3"/>
  <c r="F115" i="3"/>
  <c r="D116" i="3" s="1"/>
  <c r="P114" i="3"/>
  <c r="N114" i="3"/>
  <c r="M114" i="3"/>
  <c r="L114" i="3"/>
  <c r="K114" i="3"/>
  <c r="A114" i="3"/>
  <c r="E115" i="3"/>
  <c r="P100" i="3" l="1"/>
  <c r="J101" i="3" s="1"/>
  <c r="H100" i="3"/>
  <c r="I100" i="3" s="1"/>
  <c r="Q100" i="3"/>
  <c r="F116" i="3"/>
  <c r="D117" i="3" s="1"/>
  <c r="N115" i="3"/>
  <c r="M115" i="3"/>
  <c r="L115" i="3"/>
  <c r="K115" i="3"/>
  <c r="J115" i="3"/>
  <c r="A115" i="3"/>
  <c r="E116" i="3"/>
  <c r="G101" i="3" l="1"/>
  <c r="P101" i="3" s="1"/>
  <c r="J102" i="3" s="1"/>
  <c r="Q101" i="3"/>
  <c r="H101" i="3"/>
  <c r="I101" i="3" s="1"/>
  <c r="O115" i="3"/>
  <c r="B115" i="3" s="1"/>
  <c r="C115" i="3" s="1"/>
  <c r="F117" i="3"/>
  <c r="D118" i="3" s="1"/>
  <c r="N116" i="3"/>
  <c r="M116" i="3"/>
  <c r="O116" i="3" s="1"/>
  <c r="B116" i="3" s="1"/>
  <c r="C116" i="3" s="1"/>
  <c r="L116" i="3"/>
  <c r="K116" i="3"/>
  <c r="A116" i="3"/>
  <c r="E117" i="3"/>
  <c r="G102" i="3" l="1"/>
  <c r="F118" i="3"/>
  <c r="D119" i="3" s="1"/>
  <c r="A117" i="3"/>
  <c r="N117" i="3"/>
  <c r="M117" i="3"/>
  <c r="L117" i="3"/>
  <c r="K117" i="3"/>
  <c r="E118" i="3"/>
  <c r="P102" i="3" l="1"/>
  <c r="J103" i="3" s="1"/>
  <c r="Q102" i="3"/>
  <c r="H102" i="3"/>
  <c r="I102" i="3" s="1"/>
  <c r="G103" i="3" s="1"/>
  <c r="Q103" i="3" s="1"/>
  <c r="O117" i="3"/>
  <c r="B117" i="3" s="1"/>
  <c r="C117" i="3" s="1"/>
  <c r="F119" i="3"/>
  <c r="D120" i="3" s="1"/>
  <c r="A118" i="3"/>
  <c r="N118" i="3"/>
  <c r="M118" i="3"/>
  <c r="O118" i="3" s="1"/>
  <c r="B118" i="3" s="1"/>
  <c r="C118" i="3" s="1"/>
  <c r="L118" i="3"/>
  <c r="K118" i="3"/>
  <c r="E119" i="3"/>
  <c r="P103" i="3" l="1"/>
  <c r="J104" i="3" s="1"/>
  <c r="H103" i="3"/>
  <c r="I103" i="3" s="1"/>
  <c r="G104" i="3" s="1"/>
  <c r="H104" i="3" s="1"/>
  <c r="F120" i="3"/>
  <c r="D121" i="3" s="1"/>
  <c r="A119" i="3"/>
  <c r="N119" i="3"/>
  <c r="M119" i="3"/>
  <c r="O119" i="3" s="1"/>
  <c r="B119" i="3" s="1"/>
  <c r="C119" i="3" s="1"/>
  <c r="L119" i="3"/>
  <c r="K119" i="3"/>
  <c r="E120" i="3"/>
  <c r="Q104" i="3" l="1"/>
  <c r="P104" i="3"/>
  <c r="J105" i="3" s="1"/>
  <c r="I104" i="3"/>
  <c r="F121" i="3"/>
  <c r="D122" i="3" s="1"/>
  <c r="A120" i="3"/>
  <c r="N120" i="3"/>
  <c r="M120" i="3"/>
  <c r="O120" i="3" s="1"/>
  <c r="B120" i="3" s="1"/>
  <c r="C120" i="3" s="1"/>
  <c r="L120" i="3"/>
  <c r="K120" i="3"/>
  <c r="E121" i="3"/>
  <c r="G105" i="3" l="1"/>
  <c r="P105" i="3" s="1"/>
  <c r="J106" i="3" s="1"/>
  <c r="Q105" i="3"/>
  <c r="H105" i="3"/>
  <c r="F122" i="3"/>
  <c r="D123" i="3" s="1"/>
  <c r="K121" i="3"/>
  <c r="A121" i="3"/>
  <c r="N121" i="3"/>
  <c r="M121" i="3"/>
  <c r="L121" i="3"/>
  <c r="E122" i="3"/>
  <c r="I105" i="3" l="1"/>
  <c r="G106" i="3" s="1"/>
  <c r="O121" i="3"/>
  <c r="B121" i="3" s="1"/>
  <c r="C121" i="3" s="1"/>
  <c r="F123" i="3"/>
  <c r="D124" i="3" s="1"/>
  <c r="L122" i="3"/>
  <c r="K122" i="3"/>
  <c r="A122" i="3"/>
  <c r="N122" i="3"/>
  <c r="M122" i="3"/>
  <c r="O122" i="3" s="1"/>
  <c r="B122" i="3" s="1"/>
  <c r="C122" i="3" s="1"/>
  <c r="E123" i="3"/>
  <c r="P106" i="3" l="1"/>
  <c r="J107" i="3" s="1"/>
  <c r="H106" i="3"/>
  <c r="Q106" i="3"/>
  <c r="F124" i="3"/>
  <c r="D125" i="3" s="1"/>
  <c r="M123" i="3"/>
  <c r="L123" i="3"/>
  <c r="K123" i="3"/>
  <c r="A123" i="3"/>
  <c r="N123" i="3"/>
  <c r="E124" i="3"/>
  <c r="I106" i="3" l="1"/>
  <c r="G107" i="3" s="1"/>
  <c r="O123" i="3"/>
  <c r="B123" i="3" s="1"/>
  <c r="C123" i="3" s="1"/>
  <c r="F125" i="3"/>
  <c r="D126" i="3" s="1"/>
  <c r="N124" i="3"/>
  <c r="M124" i="3"/>
  <c r="L124" i="3"/>
  <c r="K124" i="3"/>
  <c r="A124" i="3"/>
  <c r="E125" i="3"/>
  <c r="P107" i="3" l="1"/>
  <c r="J108" i="3" s="1"/>
  <c r="H107" i="3"/>
  <c r="I107" i="3" s="1"/>
  <c r="G108" i="3" s="1"/>
  <c r="Q107" i="3"/>
  <c r="O124" i="3"/>
  <c r="B124" i="3" s="1"/>
  <c r="C124" i="3" s="1"/>
  <c r="F126" i="3"/>
  <c r="D127" i="3" s="1"/>
  <c r="N125" i="3"/>
  <c r="M125" i="3"/>
  <c r="O125" i="3" s="1"/>
  <c r="B125" i="3" s="1"/>
  <c r="C125" i="3" s="1"/>
  <c r="L125" i="3"/>
  <c r="K125" i="3"/>
  <c r="A125" i="3"/>
  <c r="E126" i="3"/>
  <c r="P108" i="3" l="1"/>
  <c r="J109" i="3" s="1"/>
  <c r="H108" i="3"/>
  <c r="I108" i="3" s="1"/>
  <c r="Q108" i="3"/>
  <c r="F127" i="3"/>
  <c r="D128" i="3" s="1"/>
  <c r="N126" i="3"/>
  <c r="M126" i="3"/>
  <c r="O126" i="3" s="1"/>
  <c r="B126" i="3" s="1"/>
  <c r="C126" i="3" s="1"/>
  <c r="L126" i="3"/>
  <c r="K126" i="3"/>
  <c r="A126" i="3"/>
  <c r="E127" i="3"/>
  <c r="G109" i="3" l="1"/>
  <c r="P109" i="3" s="1"/>
  <c r="J110" i="3" s="1"/>
  <c r="H109" i="3"/>
  <c r="I109" i="3" s="1"/>
  <c r="F128" i="3"/>
  <c r="D129" i="3" s="1"/>
  <c r="N127" i="3"/>
  <c r="M127" i="3"/>
  <c r="O127" i="3" s="1"/>
  <c r="B127" i="3" s="1"/>
  <c r="C127" i="3" s="1"/>
  <c r="L127" i="3"/>
  <c r="K127" i="3"/>
  <c r="A127" i="3"/>
  <c r="E128" i="3"/>
  <c r="Q109" i="3" l="1"/>
  <c r="G110" i="3"/>
  <c r="H110" i="3"/>
  <c r="I110" i="3" s="1"/>
  <c r="Q110" i="3"/>
  <c r="P110" i="3"/>
  <c r="J111" i="3" s="1"/>
  <c r="F129" i="3"/>
  <c r="D130" i="3" s="1"/>
  <c r="N128" i="3"/>
  <c r="M128" i="3"/>
  <c r="L128" i="3"/>
  <c r="K128" i="3"/>
  <c r="A128" i="3"/>
  <c r="E129" i="3"/>
  <c r="G111" i="3" l="1"/>
  <c r="P111" i="3" s="1"/>
  <c r="J112" i="3" s="1"/>
  <c r="Q111" i="3"/>
  <c r="H111" i="3"/>
  <c r="I111" i="3" s="1"/>
  <c r="O128" i="3"/>
  <c r="B128" i="3" s="1"/>
  <c r="C128" i="3" s="1"/>
  <c r="F130" i="3"/>
  <c r="D131" i="3" s="1"/>
  <c r="A129" i="3"/>
  <c r="N129" i="3"/>
  <c r="M129" i="3"/>
  <c r="L129" i="3"/>
  <c r="K129" i="3"/>
  <c r="E130" i="3"/>
  <c r="G112" i="3" l="1"/>
  <c r="Q112" i="3"/>
  <c r="P112" i="3"/>
  <c r="J113" i="3" s="1"/>
  <c r="H112" i="3"/>
  <c r="O129" i="3"/>
  <c r="B129" i="3" s="1"/>
  <c r="C129" i="3" s="1"/>
  <c r="F131" i="3"/>
  <c r="D132" i="3" s="1"/>
  <c r="A130" i="3"/>
  <c r="N130" i="3"/>
  <c r="M130" i="3"/>
  <c r="O130" i="3" s="1"/>
  <c r="B130" i="3" s="1"/>
  <c r="C130" i="3" s="1"/>
  <c r="L130" i="3"/>
  <c r="K130" i="3"/>
  <c r="E131" i="3"/>
  <c r="I112" i="3" l="1"/>
  <c r="G113" i="3" s="1"/>
  <c r="F132" i="3"/>
  <c r="D133" i="3" s="1"/>
  <c r="A131" i="3"/>
  <c r="N131" i="3"/>
  <c r="M131" i="3"/>
  <c r="L131" i="3"/>
  <c r="K131" i="3"/>
  <c r="E132" i="3"/>
  <c r="I113" i="3" l="1"/>
  <c r="P113" i="3"/>
  <c r="J114" i="3" s="1"/>
  <c r="Q113" i="3"/>
  <c r="O131" i="3"/>
  <c r="B131" i="3" s="1"/>
  <c r="C131" i="3" s="1"/>
  <c r="F133" i="3"/>
  <c r="D134" i="3" s="1"/>
  <c r="A132" i="3"/>
  <c r="N132" i="3"/>
  <c r="M132" i="3"/>
  <c r="O132" i="3" s="1"/>
  <c r="B132" i="3" s="1"/>
  <c r="C132" i="3" s="1"/>
  <c r="L132" i="3"/>
  <c r="K132" i="3"/>
  <c r="E133" i="3"/>
  <c r="G114" i="3" l="1"/>
  <c r="F134" i="3"/>
  <c r="D135" i="3" s="1"/>
  <c r="K133" i="3"/>
  <c r="A133" i="3"/>
  <c r="N133" i="3"/>
  <c r="M133" i="3"/>
  <c r="O133" i="3" s="1"/>
  <c r="B133" i="3" s="1"/>
  <c r="C133" i="3" s="1"/>
  <c r="L133" i="3"/>
  <c r="E134" i="3"/>
  <c r="Q114" i="3" l="1"/>
  <c r="H114" i="3"/>
  <c r="I114" i="3" s="1"/>
  <c r="O114" i="3" s="1"/>
  <c r="B114" i="3" s="1"/>
  <c r="C114" i="3" s="1"/>
  <c r="F135" i="3"/>
  <c r="D136" i="3" s="1"/>
  <c r="L134" i="3"/>
  <c r="K134" i="3"/>
  <c r="A134" i="3"/>
  <c r="N134" i="3"/>
  <c r="M134" i="3"/>
  <c r="O134" i="3" s="1"/>
  <c r="B134" i="3" s="1"/>
  <c r="C134" i="3" s="1"/>
  <c r="E135" i="3"/>
  <c r="G115" i="3" l="1"/>
  <c r="F136" i="3"/>
  <c r="D137" i="3" s="1"/>
  <c r="M135" i="3"/>
  <c r="L135" i="3"/>
  <c r="K135" i="3"/>
  <c r="A135" i="3"/>
  <c r="N135" i="3"/>
  <c r="E136" i="3"/>
  <c r="P115" i="3" l="1"/>
  <c r="J116" i="3" s="1"/>
  <c r="Q115" i="3"/>
  <c r="H115" i="3"/>
  <c r="I115" i="3" s="1"/>
  <c r="O135" i="3"/>
  <c r="B135" i="3" s="1"/>
  <c r="C135" i="3" s="1"/>
  <c r="F137" i="3"/>
  <c r="D138" i="3" s="1"/>
  <c r="N136" i="3"/>
  <c r="M136" i="3"/>
  <c r="O136" i="3" s="1"/>
  <c r="B136" i="3" s="1"/>
  <c r="C136" i="3" s="1"/>
  <c r="L136" i="3"/>
  <c r="K136" i="3"/>
  <c r="A136" i="3"/>
  <c r="E137" i="3"/>
  <c r="G116" i="3" l="1"/>
  <c r="F138" i="3"/>
  <c r="D139" i="3" s="1"/>
  <c r="N137" i="3"/>
  <c r="M137" i="3"/>
  <c r="O137" i="3" s="1"/>
  <c r="B137" i="3" s="1"/>
  <c r="C137" i="3" s="1"/>
  <c r="L137" i="3"/>
  <c r="K137" i="3"/>
  <c r="A137" i="3"/>
  <c r="E138" i="3"/>
  <c r="P116" i="3" l="1"/>
  <c r="J117" i="3" s="1"/>
  <c r="Q116" i="3"/>
  <c r="H116" i="3"/>
  <c r="I116" i="3" s="1"/>
  <c r="F139" i="3"/>
  <c r="D140" i="3" s="1"/>
  <c r="N138" i="3"/>
  <c r="M138" i="3"/>
  <c r="O138" i="3" s="1"/>
  <c r="B138" i="3" s="1"/>
  <c r="C138" i="3" s="1"/>
  <c r="L138" i="3"/>
  <c r="K138" i="3"/>
  <c r="A138" i="3"/>
  <c r="E139" i="3"/>
  <c r="G117" i="3" l="1"/>
  <c r="F140" i="3"/>
  <c r="D141" i="3" s="1"/>
  <c r="N139" i="3"/>
  <c r="M139" i="3"/>
  <c r="O139" i="3" s="1"/>
  <c r="B139" i="3" s="1"/>
  <c r="C139" i="3" s="1"/>
  <c r="L139" i="3"/>
  <c r="K139" i="3"/>
  <c r="A139" i="3"/>
  <c r="E140" i="3"/>
  <c r="Q117" i="3" l="1"/>
  <c r="H117" i="3"/>
  <c r="I117" i="3" s="1"/>
  <c r="P117" i="3"/>
  <c r="J118" i="3" s="1"/>
  <c r="G118" i="3" s="1"/>
  <c r="F141" i="3"/>
  <c r="D142" i="3" s="1"/>
  <c r="N140" i="3"/>
  <c r="M140" i="3"/>
  <c r="O140" i="3" s="1"/>
  <c r="B140" i="3" s="1"/>
  <c r="C140" i="3" s="1"/>
  <c r="L140" i="3"/>
  <c r="K140" i="3"/>
  <c r="A140" i="3"/>
  <c r="E141" i="3"/>
  <c r="P118" i="3" l="1"/>
  <c r="J119" i="3" s="1"/>
  <c r="H118" i="3"/>
  <c r="I118" i="3" s="1"/>
  <c r="Q118" i="3"/>
  <c r="F142" i="3"/>
  <c r="D143" i="3" s="1"/>
  <c r="M141" i="3"/>
  <c r="A141" i="3"/>
  <c r="N141" i="3"/>
  <c r="O141" i="3" s="1"/>
  <c r="B141" i="3" s="1"/>
  <c r="C141" i="3" s="1"/>
  <c r="L141" i="3"/>
  <c r="K141" i="3"/>
  <c r="E142" i="3"/>
  <c r="G119" i="3" l="1"/>
  <c r="F143" i="3"/>
  <c r="D144" i="3" s="1"/>
  <c r="N142" i="3"/>
  <c r="A142" i="3"/>
  <c r="M142" i="3"/>
  <c r="L142" i="3"/>
  <c r="K142" i="3"/>
  <c r="E143" i="3"/>
  <c r="Q119" i="3" l="1"/>
  <c r="H119" i="3"/>
  <c r="I119" i="3" s="1"/>
  <c r="P119" i="3"/>
  <c r="J120" i="3" s="1"/>
  <c r="G120" i="3" s="1"/>
  <c r="O142" i="3"/>
  <c r="B142" i="3" s="1"/>
  <c r="C142" i="3" s="1"/>
  <c r="F144" i="3"/>
  <c r="D145" i="3" s="1"/>
  <c r="A143" i="3"/>
  <c r="N143" i="3"/>
  <c r="M143" i="3"/>
  <c r="O143" i="3" s="1"/>
  <c r="B143" i="3" s="1"/>
  <c r="C143" i="3" s="1"/>
  <c r="L143" i="3"/>
  <c r="K143" i="3"/>
  <c r="E144" i="3"/>
  <c r="Q120" i="3" l="1"/>
  <c r="P120" i="3"/>
  <c r="J121" i="3" s="1"/>
  <c r="H120" i="3"/>
  <c r="I120" i="3" s="1"/>
  <c r="F145" i="3"/>
  <c r="D146" i="3" s="1"/>
  <c r="A144" i="3"/>
  <c r="P144" i="3"/>
  <c r="N144" i="3"/>
  <c r="M144" i="3"/>
  <c r="L144" i="3"/>
  <c r="K144" i="3"/>
  <c r="E145" i="3"/>
  <c r="G121" i="3" l="1"/>
  <c r="H121" i="3"/>
  <c r="I121" i="3" s="1"/>
  <c r="Q121" i="3"/>
  <c r="P121" i="3"/>
  <c r="J122" i="3" s="1"/>
  <c r="G122" i="3" s="1"/>
  <c r="O144" i="3"/>
  <c r="B144" i="3" s="1"/>
  <c r="C144" i="3" s="1"/>
  <c r="F146" i="3"/>
  <c r="D147" i="3" s="1"/>
  <c r="K145" i="3"/>
  <c r="J145" i="3"/>
  <c r="A145" i="3"/>
  <c r="N145" i="3"/>
  <c r="M145" i="3"/>
  <c r="L145" i="3"/>
  <c r="E146" i="3"/>
  <c r="H122" i="3" l="1"/>
  <c r="I122" i="3" s="1"/>
  <c r="P122" i="3"/>
  <c r="J123" i="3" s="1"/>
  <c r="G123" i="3" s="1"/>
  <c r="Q122" i="3"/>
  <c r="O145" i="3"/>
  <c r="B145" i="3" s="1"/>
  <c r="C145" i="3" s="1"/>
  <c r="F147" i="3"/>
  <c r="D148" i="3" s="1"/>
  <c r="L146" i="3"/>
  <c r="K146" i="3"/>
  <c r="A146" i="3"/>
  <c r="N146" i="3"/>
  <c r="M146" i="3"/>
  <c r="E147" i="3"/>
  <c r="Q123" i="3" l="1"/>
  <c r="P123" i="3"/>
  <c r="J124" i="3" s="1"/>
  <c r="H123" i="3"/>
  <c r="I123" i="3" s="1"/>
  <c r="O146" i="3"/>
  <c r="B146" i="3" s="1"/>
  <c r="C146" i="3" s="1"/>
  <c r="F148" i="3"/>
  <c r="D149" i="3" s="1"/>
  <c r="M147" i="3"/>
  <c r="L147" i="3"/>
  <c r="K147" i="3"/>
  <c r="A147" i="3"/>
  <c r="N147" i="3"/>
  <c r="E148" i="3"/>
  <c r="O147" i="3" l="1"/>
  <c r="B147" i="3" s="1"/>
  <c r="C147" i="3" s="1"/>
  <c r="G124" i="3"/>
  <c r="F149" i="3"/>
  <c r="D150" i="3" s="1"/>
  <c r="N148" i="3"/>
  <c r="M148" i="3"/>
  <c r="L148" i="3"/>
  <c r="K148" i="3"/>
  <c r="A148" i="3"/>
  <c r="E149" i="3"/>
  <c r="P124" i="3" l="1"/>
  <c r="J125" i="3" s="1"/>
  <c r="Q124" i="3"/>
  <c r="H124" i="3"/>
  <c r="I124" i="3" s="1"/>
  <c r="G125" i="3" s="1"/>
  <c r="F150" i="3"/>
  <c r="N149" i="3"/>
  <c r="M149" i="3"/>
  <c r="L149" i="3"/>
  <c r="K149" i="3"/>
  <c r="A149" i="3"/>
  <c r="E150" i="3"/>
  <c r="H125" i="3" l="1"/>
  <c r="I125" i="3" s="1"/>
  <c r="Q125" i="3"/>
  <c r="P125" i="3"/>
  <c r="J126" i="3" s="1"/>
  <c r="G126" i="3" s="1"/>
  <c r="O149" i="3"/>
  <c r="B149" i="3" s="1"/>
  <c r="C149" i="3" s="1"/>
  <c r="D151" i="3"/>
  <c r="F151" i="3"/>
  <c r="N150" i="3"/>
  <c r="M150" i="3"/>
  <c r="O150" i="3" s="1"/>
  <c r="B150" i="3" s="1"/>
  <c r="C150" i="3" s="1"/>
  <c r="L150" i="3"/>
  <c r="K150" i="3"/>
  <c r="A150" i="3"/>
  <c r="E151" i="3"/>
  <c r="P126" i="3" l="1"/>
  <c r="J127" i="3" s="1"/>
  <c r="Q126" i="3"/>
  <c r="H126" i="3"/>
  <c r="I126" i="3" s="1"/>
  <c r="G127" i="3" s="1"/>
  <c r="D152" i="3"/>
  <c r="O148" i="3"/>
  <c r="B148" i="3" s="1"/>
  <c r="C148" i="3" s="1"/>
  <c r="F152" i="3"/>
  <c r="N151" i="3"/>
  <c r="M151" i="3"/>
  <c r="L151" i="3"/>
  <c r="K151" i="3"/>
  <c r="A151" i="3"/>
  <c r="E152" i="3"/>
  <c r="Q127" i="3" l="1"/>
  <c r="H127" i="3"/>
  <c r="I127" i="3" s="1"/>
  <c r="P127" i="3"/>
  <c r="J128" i="3" s="1"/>
  <c r="G128" i="3" s="1"/>
  <c r="O151" i="3"/>
  <c r="B151" i="3" s="1"/>
  <c r="C151" i="3" s="1"/>
  <c r="D153" i="3"/>
  <c r="F153" i="3"/>
  <c r="N152" i="3"/>
  <c r="M152" i="3"/>
  <c r="O152" i="3" s="1"/>
  <c r="B152" i="3" s="1"/>
  <c r="C152" i="3" s="1"/>
  <c r="L152" i="3"/>
  <c r="K152" i="3"/>
  <c r="A152" i="3"/>
  <c r="E153" i="3"/>
  <c r="P128" i="3" l="1"/>
  <c r="J129" i="3" s="1"/>
  <c r="Q128" i="3"/>
  <c r="H128" i="3"/>
  <c r="I128" i="3" s="1"/>
  <c r="D154" i="3"/>
  <c r="F154" i="3"/>
  <c r="A153" i="3"/>
  <c r="N153" i="3"/>
  <c r="M153" i="3"/>
  <c r="O153" i="3" s="1"/>
  <c r="B153" i="3" s="1"/>
  <c r="C153" i="3" s="1"/>
  <c r="L153" i="3"/>
  <c r="K153" i="3"/>
  <c r="E154" i="3"/>
  <c r="G129" i="3" l="1"/>
  <c r="Q129" i="3"/>
  <c r="P129" i="3"/>
  <c r="J130" i="3" s="1"/>
  <c r="H129" i="3"/>
  <c r="I129" i="3" s="1"/>
  <c r="D155" i="3"/>
  <c r="F155" i="3"/>
  <c r="A154" i="3"/>
  <c r="N154" i="3"/>
  <c r="M154" i="3"/>
  <c r="O154" i="3" s="1"/>
  <c r="B154" i="3" s="1"/>
  <c r="C154" i="3" s="1"/>
  <c r="L154" i="3"/>
  <c r="K154" i="3"/>
  <c r="E155" i="3"/>
  <c r="G130" i="3" l="1"/>
  <c r="Q130" i="3"/>
  <c r="P130" i="3"/>
  <c r="J131" i="3" s="1"/>
  <c r="H130" i="3"/>
  <c r="I130" i="3" s="1"/>
  <c r="D156" i="3"/>
  <c r="F156" i="3"/>
  <c r="A155" i="3"/>
  <c r="N155" i="3"/>
  <c r="M155" i="3"/>
  <c r="O155" i="3" s="1"/>
  <c r="B155" i="3" s="1"/>
  <c r="C155" i="3" s="1"/>
  <c r="L155" i="3"/>
  <c r="K155" i="3"/>
  <c r="E156" i="3"/>
  <c r="G131" i="3" l="1"/>
  <c r="P131" i="3"/>
  <c r="J132" i="3" s="1"/>
  <c r="Q131" i="3"/>
  <c r="H131" i="3"/>
  <c r="I131" i="3" s="1"/>
  <c r="D157" i="3"/>
  <c r="F157" i="3"/>
  <c r="A156" i="3"/>
  <c r="N156" i="3"/>
  <c r="M156" i="3"/>
  <c r="O156" i="3" s="1"/>
  <c r="B156" i="3" s="1"/>
  <c r="C156" i="3" s="1"/>
  <c r="L156" i="3"/>
  <c r="K156" i="3"/>
  <c r="E157" i="3"/>
  <c r="G132" i="3" l="1"/>
  <c r="D158" i="3"/>
  <c r="F158" i="3"/>
  <c r="K157" i="3"/>
  <c r="A157" i="3"/>
  <c r="N157" i="3"/>
  <c r="M157" i="3"/>
  <c r="L157" i="3"/>
  <c r="E158" i="3"/>
  <c r="O157" i="3" l="1"/>
  <c r="B157" i="3" s="1"/>
  <c r="C157" i="3" s="1"/>
  <c r="Q132" i="3"/>
  <c r="H132" i="3"/>
  <c r="I132" i="3" s="1"/>
  <c r="P132" i="3"/>
  <c r="J133" i="3" s="1"/>
  <c r="G133" i="3" s="1"/>
  <c r="D159" i="3"/>
  <c r="F159" i="3"/>
  <c r="L158" i="3"/>
  <c r="K158" i="3"/>
  <c r="A158" i="3"/>
  <c r="N158" i="3"/>
  <c r="M158" i="3"/>
  <c r="O158" i="3" s="1"/>
  <c r="B158" i="3" s="1"/>
  <c r="C158" i="3" s="1"/>
  <c r="E159" i="3"/>
  <c r="Q133" i="3" l="1"/>
  <c r="H133" i="3"/>
  <c r="I133" i="3" s="1"/>
  <c r="P133" i="3"/>
  <c r="J134" i="3" s="1"/>
  <c r="D160" i="3"/>
  <c r="F160" i="3"/>
  <c r="M159" i="3"/>
  <c r="L159" i="3"/>
  <c r="K159" i="3"/>
  <c r="A159" i="3"/>
  <c r="N159" i="3"/>
  <c r="E160" i="3"/>
  <c r="G134" i="3" l="1"/>
  <c r="O159" i="3"/>
  <c r="B159" i="3" s="1"/>
  <c r="C159" i="3" s="1"/>
  <c r="D161" i="3"/>
  <c r="F161" i="3"/>
  <c r="N160" i="3"/>
  <c r="M160" i="3"/>
  <c r="O160" i="3" s="1"/>
  <c r="B160" i="3" s="1"/>
  <c r="C160" i="3" s="1"/>
  <c r="L160" i="3"/>
  <c r="K160" i="3"/>
  <c r="A160" i="3"/>
  <c r="E161" i="3"/>
  <c r="Q134" i="3" l="1"/>
  <c r="P134" i="3"/>
  <c r="J135" i="3" s="1"/>
  <c r="H134" i="3"/>
  <c r="I134" i="3" s="1"/>
  <c r="D162" i="3"/>
  <c r="F162" i="3"/>
  <c r="N161" i="3"/>
  <c r="M161" i="3"/>
  <c r="O161" i="3" s="1"/>
  <c r="B161" i="3" s="1"/>
  <c r="C161" i="3" s="1"/>
  <c r="L161" i="3"/>
  <c r="K161" i="3"/>
  <c r="A161" i="3"/>
  <c r="E162" i="3"/>
  <c r="G135" i="3" l="1"/>
  <c r="H135" i="3"/>
  <c r="I135" i="3" s="1"/>
  <c r="P135" i="3"/>
  <c r="J136" i="3" s="1"/>
  <c r="Q135" i="3"/>
  <c r="D163" i="3"/>
  <c r="F163" i="3"/>
  <c r="N162" i="3"/>
  <c r="M162" i="3"/>
  <c r="O162" i="3" s="1"/>
  <c r="B162" i="3" s="1"/>
  <c r="C162" i="3" s="1"/>
  <c r="L162" i="3"/>
  <c r="K162" i="3"/>
  <c r="A162" i="3"/>
  <c r="E163" i="3"/>
  <c r="G136" i="3" l="1"/>
  <c r="Q136" i="3" s="1"/>
  <c r="D164" i="3"/>
  <c r="F164" i="3"/>
  <c r="N163" i="3"/>
  <c r="M163" i="3"/>
  <c r="O163" i="3" s="1"/>
  <c r="B163" i="3" s="1"/>
  <c r="C163" i="3" s="1"/>
  <c r="L163" i="3"/>
  <c r="K163" i="3"/>
  <c r="A163" i="3"/>
  <c r="E164" i="3"/>
  <c r="P136" i="3" l="1"/>
  <c r="J137" i="3" s="1"/>
  <c r="H136" i="3"/>
  <c r="I136" i="3" s="1"/>
  <c r="D165" i="3"/>
  <c r="F165" i="3"/>
  <c r="N164" i="3"/>
  <c r="M164" i="3"/>
  <c r="O164" i="3" s="1"/>
  <c r="B164" i="3" s="1"/>
  <c r="C164" i="3" s="1"/>
  <c r="L164" i="3"/>
  <c r="K164" i="3"/>
  <c r="A164" i="3"/>
  <c r="E165" i="3"/>
  <c r="G137" i="3" l="1"/>
  <c r="D166" i="3"/>
  <c r="F166" i="3"/>
  <c r="A165" i="3"/>
  <c r="N165" i="3"/>
  <c r="M165" i="3"/>
  <c r="O165" i="3" s="1"/>
  <c r="B165" i="3" s="1"/>
  <c r="C165" i="3" s="1"/>
  <c r="L165" i="3"/>
  <c r="K165" i="3"/>
  <c r="E166" i="3"/>
  <c r="P137" i="3" l="1"/>
  <c r="J138" i="3" s="1"/>
  <c r="H137" i="3"/>
  <c r="I137" i="3" s="1"/>
  <c r="Q137" i="3"/>
  <c r="D167" i="3"/>
  <c r="F167" i="3"/>
  <c r="D168" i="3" s="1"/>
  <c r="A166" i="3"/>
  <c r="N166" i="3"/>
  <c r="M166" i="3"/>
  <c r="L166" i="3"/>
  <c r="K166" i="3"/>
  <c r="E167" i="3"/>
  <c r="G138" i="3" l="1"/>
  <c r="P138" i="3"/>
  <c r="J139" i="3" s="1"/>
  <c r="Q138" i="3"/>
  <c r="H138" i="3"/>
  <c r="I138" i="3" s="1"/>
  <c r="O166" i="3"/>
  <c r="B166" i="3" s="1"/>
  <c r="C166" i="3" s="1"/>
  <c r="F168" i="3"/>
  <c r="D169" i="3" s="1"/>
  <c r="A167" i="3"/>
  <c r="N167" i="3"/>
  <c r="M167" i="3"/>
  <c r="O167" i="3" s="1"/>
  <c r="B167" i="3" s="1"/>
  <c r="C167" i="3" s="1"/>
  <c r="L167" i="3"/>
  <c r="K167" i="3"/>
  <c r="E168" i="3"/>
  <c r="G139" i="3" l="1"/>
  <c r="F169" i="3"/>
  <c r="D170" i="3" s="1"/>
  <c r="A168" i="3"/>
  <c r="N168" i="3"/>
  <c r="M168" i="3"/>
  <c r="L168" i="3"/>
  <c r="K168" i="3"/>
  <c r="E169" i="3"/>
  <c r="H139" i="3" l="1"/>
  <c r="I139" i="3" s="1"/>
  <c r="P139" i="3"/>
  <c r="J140" i="3" s="1"/>
  <c r="G140" i="3" s="1"/>
  <c r="Q139" i="3"/>
  <c r="O168" i="3"/>
  <c r="B168" i="3" s="1"/>
  <c r="C168" i="3" s="1"/>
  <c r="F170" i="3"/>
  <c r="D171" i="3" s="1"/>
  <c r="K169" i="3"/>
  <c r="A169" i="3"/>
  <c r="N169" i="3"/>
  <c r="M169" i="3"/>
  <c r="O169" i="3" s="1"/>
  <c r="B169" i="3" s="1"/>
  <c r="C169" i="3" s="1"/>
  <c r="L169" i="3"/>
  <c r="E170" i="3"/>
  <c r="H140" i="3" l="1"/>
  <c r="I140" i="3" s="1"/>
  <c r="P140" i="3"/>
  <c r="J141" i="3" s="1"/>
  <c r="G141" i="3" s="1"/>
  <c r="Q140" i="3"/>
  <c r="F171" i="3"/>
  <c r="D172" i="3" s="1"/>
  <c r="L170" i="3"/>
  <c r="K170" i="3"/>
  <c r="A170" i="3"/>
  <c r="N170" i="3"/>
  <c r="M170" i="3"/>
  <c r="E171" i="3"/>
  <c r="P141" i="3" l="1"/>
  <c r="J142" i="3" s="1"/>
  <c r="H141" i="3"/>
  <c r="I141" i="3" s="1"/>
  <c r="Q141" i="3"/>
  <c r="O170" i="3"/>
  <c r="B170" i="3" s="1"/>
  <c r="C170" i="3" s="1"/>
  <c r="F172" i="3"/>
  <c r="D173" i="3" s="1"/>
  <c r="M171" i="3"/>
  <c r="L171" i="3"/>
  <c r="K171" i="3"/>
  <c r="A171" i="3"/>
  <c r="N171" i="3"/>
  <c r="E172" i="3"/>
  <c r="G142" i="3" l="1"/>
  <c r="H142" i="3"/>
  <c r="I142" i="3" s="1"/>
  <c r="P142" i="3"/>
  <c r="J143" i="3" s="1"/>
  <c r="G143" i="3" s="1"/>
  <c r="Q142" i="3"/>
  <c r="O171" i="3"/>
  <c r="B171" i="3" s="1"/>
  <c r="C171" i="3" s="1"/>
  <c r="F173" i="3"/>
  <c r="D174" i="3" s="1"/>
  <c r="N172" i="3"/>
  <c r="M172" i="3"/>
  <c r="O172" i="3" s="1"/>
  <c r="B172" i="3" s="1"/>
  <c r="C172" i="3" s="1"/>
  <c r="L172" i="3"/>
  <c r="K172" i="3"/>
  <c r="A172" i="3"/>
  <c r="E173" i="3"/>
  <c r="P143" i="3" l="1"/>
  <c r="J144" i="3" s="1"/>
  <c r="Q143" i="3"/>
  <c r="H143" i="3"/>
  <c r="I143" i="3" s="1"/>
  <c r="G144" i="3" s="1"/>
  <c r="F174" i="3"/>
  <c r="D175" i="3" s="1"/>
  <c r="N173" i="3"/>
  <c r="M173" i="3"/>
  <c r="O173" i="3" s="1"/>
  <c r="B173" i="3" s="1"/>
  <c r="C173" i="3" s="1"/>
  <c r="L173" i="3"/>
  <c r="K173" i="3"/>
  <c r="A173" i="3"/>
  <c r="E174" i="3"/>
  <c r="Q144" i="3" l="1"/>
  <c r="H144" i="3"/>
  <c r="I144" i="3" s="1"/>
  <c r="G145" i="3" s="1"/>
  <c r="F175" i="3"/>
  <c r="D176" i="3" s="1"/>
  <c r="N174" i="3"/>
  <c r="M174" i="3"/>
  <c r="O174" i="3" s="1"/>
  <c r="B174" i="3" s="1"/>
  <c r="C174" i="3" s="1"/>
  <c r="L174" i="3"/>
  <c r="K174" i="3"/>
  <c r="H174" i="3"/>
  <c r="I174" i="3" s="1"/>
  <c r="A174" i="3"/>
  <c r="E175" i="3"/>
  <c r="P145" i="3" l="1"/>
  <c r="J146" i="3" s="1"/>
  <c r="Q145" i="3"/>
  <c r="H145" i="3"/>
  <c r="I145" i="3" s="1"/>
  <c r="F176" i="3"/>
  <c r="D177" i="3" s="1"/>
  <c r="P175" i="3"/>
  <c r="N175" i="3"/>
  <c r="M175" i="3"/>
  <c r="O175" i="3" s="1"/>
  <c r="B175" i="3" s="1"/>
  <c r="C175" i="3" s="1"/>
  <c r="L175" i="3"/>
  <c r="K175" i="3"/>
  <c r="A175" i="3"/>
  <c r="E176" i="3"/>
  <c r="G146" i="3" l="1"/>
  <c r="F177" i="3"/>
  <c r="D178" i="3" s="1"/>
  <c r="N176" i="3"/>
  <c r="M176" i="3"/>
  <c r="O176" i="3" s="1"/>
  <c r="B176" i="3" s="1"/>
  <c r="C176" i="3" s="1"/>
  <c r="L176" i="3"/>
  <c r="K176" i="3"/>
  <c r="J176" i="3"/>
  <c r="A176" i="3"/>
  <c r="E177" i="3"/>
  <c r="H146" i="3" l="1"/>
  <c r="I146" i="3" s="1"/>
  <c r="Q146" i="3"/>
  <c r="P146" i="3"/>
  <c r="J147" i="3" s="1"/>
  <c r="G147" i="3" s="1"/>
  <c r="F178" i="3"/>
  <c r="D179" i="3" s="1"/>
  <c r="A177" i="3"/>
  <c r="N177" i="3"/>
  <c r="M177" i="3"/>
  <c r="O177" i="3" s="1"/>
  <c r="B177" i="3" s="1"/>
  <c r="C177" i="3" s="1"/>
  <c r="L177" i="3"/>
  <c r="K177" i="3"/>
  <c r="E178" i="3"/>
  <c r="P147" i="3" l="1"/>
  <c r="J148" i="3" s="1"/>
  <c r="Q147" i="3"/>
  <c r="H147" i="3"/>
  <c r="I147" i="3" s="1"/>
  <c r="F179" i="3"/>
  <c r="D180" i="3" s="1"/>
  <c r="A178" i="3"/>
  <c r="N178" i="3"/>
  <c r="M178" i="3"/>
  <c r="L178" i="3"/>
  <c r="K178" i="3"/>
  <c r="E179" i="3"/>
  <c r="G148" i="3" l="1"/>
  <c r="O178" i="3"/>
  <c r="B178" i="3" s="1"/>
  <c r="C178" i="3" s="1"/>
  <c r="F180" i="3"/>
  <c r="D181" i="3" s="1"/>
  <c r="A179" i="3"/>
  <c r="N179" i="3"/>
  <c r="M179" i="3"/>
  <c r="L179" i="3"/>
  <c r="K179" i="3"/>
  <c r="E180" i="3"/>
  <c r="P148" i="3" l="1"/>
  <c r="J149" i="3" s="1"/>
  <c r="Q148" i="3"/>
  <c r="H148" i="3"/>
  <c r="I148" i="3" s="1"/>
  <c r="O179" i="3"/>
  <c r="B179" i="3" s="1"/>
  <c r="C179" i="3" s="1"/>
  <c r="F181" i="3"/>
  <c r="D182" i="3" s="1"/>
  <c r="A180" i="3"/>
  <c r="N180" i="3"/>
  <c r="M180" i="3"/>
  <c r="O180" i="3" s="1"/>
  <c r="B180" i="3" s="1"/>
  <c r="C180" i="3" s="1"/>
  <c r="L180" i="3"/>
  <c r="K180" i="3"/>
  <c r="E181" i="3"/>
  <c r="G149" i="3" l="1"/>
  <c r="F182" i="3"/>
  <c r="D183" i="3" s="1"/>
  <c r="K181" i="3"/>
  <c r="A181" i="3"/>
  <c r="N181" i="3"/>
  <c r="M181" i="3"/>
  <c r="L181" i="3"/>
  <c r="E182" i="3"/>
  <c r="P149" i="3" l="1"/>
  <c r="J150" i="3" s="1"/>
  <c r="Q149" i="3"/>
  <c r="H149" i="3"/>
  <c r="I149" i="3" s="1"/>
  <c r="G150" i="3" s="1"/>
  <c r="O181" i="3"/>
  <c r="B181" i="3" s="1"/>
  <c r="C181" i="3" s="1"/>
  <c r="F183" i="3"/>
  <c r="D184" i="3" s="1"/>
  <c r="L182" i="3"/>
  <c r="K182" i="3"/>
  <c r="A182" i="3"/>
  <c r="N182" i="3"/>
  <c r="M182" i="3"/>
  <c r="E183" i="3"/>
  <c r="H150" i="3" l="1"/>
  <c r="I150" i="3" s="1"/>
  <c r="Q150" i="3"/>
  <c r="P150" i="3"/>
  <c r="J151" i="3" s="1"/>
  <c r="G151" i="3" s="1"/>
  <c r="O182" i="3"/>
  <c r="B182" i="3" s="1"/>
  <c r="C182" i="3" s="1"/>
  <c r="F184" i="3"/>
  <c r="D185" i="3" s="1"/>
  <c r="M183" i="3"/>
  <c r="L183" i="3"/>
  <c r="K183" i="3"/>
  <c r="A183" i="3"/>
  <c r="N183" i="3"/>
  <c r="E184" i="3"/>
  <c r="P151" i="3" l="1"/>
  <c r="J152" i="3" s="1"/>
  <c r="H151" i="3"/>
  <c r="I151" i="3" s="1"/>
  <c r="Q151" i="3"/>
  <c r="G152" i="3"/>
  <c r="O183" i="3"/>
  <c r="B183" i="3" s="1"/>
  <c r="C183" i="3" s="1"/>
  <c r="F185" i="3"/>
  <c r="D186" i="3" s="1"/>
  <c r="N184" i="3"/>
  <c r="M184" i="3"/>
  <c r="O184" i="3" s="1"/>
  <c r="B184" i="3" s="1"/>
  <c r="C184" i="3" s="1"/>
  <c r="L184" i="3"/>
  <c r="K184" i="3"/>
  <c r="A184" i="3"/>
  <c r="E185" i="3"/>
  <c r="H152" i="3" l="1"/>
  <c r="I152" i="3" s="1"/>
  <c r="P152" i="3"/>
  <c r="J153" i="3" s="1"/>
  <c r="Q152" i="3"/>
  <c r="F186" i="3"/>
  <c r="D187" i="3" s="1"/>
  <c r="N185" i="3"/>
  <c r="M185" i="3"/>
  <c r="L185" i="3"/>
  <c r="K185" i="3"/>
  <c r="A185" i="3"/>
  <c r="E186" i="3"/>
  <c r="G153" i="3" l="1"/>
  <c r="P153" i="3"/>
  <c r="J154" i="3" s="1"/>
  <c r="Q153" i="3"/>
  <c r="H153" i="3"/>
  <c r="I153" i="3" s="1"/>
  <c r="G154" i="3" s="1"/>
  <c r="O185" i="3"/>
  <c r="B185" i="3" s="1"/>
  <c r="C185" i="3" s="1"/>
  <c r="F187" i="3"/>
  <c r="D188" i="3" s="1"/>
  <c r="N186" i="3"/>
  <c r="M186" i="3"/>
  <c r="O186" i="3" s="1"/>
  <c r="B186" i="3" s="1"/>
  <c r="C186" i="3" s="1"/>
  <c r="L186" i="3"/>
  <c r="K186" i="3"/>
  <c r="A186" i="3"/>
  <c r="E187" i="3"/>
  <c r="Q154" i="3" l="1"/>
  <c r="P154" i="3"/>
  <c r="J155" i="3" s="1"/>
  <c r="H154" i="3"/>
  <c r="I154" i="3" s="1"/>
  <c r="F188" i="3"/>
  <c r="D189" i="3" s="1"/>
  <c r="N187" i="3"/>
  <c r="M187" i="3"/>
  <c r="O187" i="3" s="1"/>
  <c r="B187" i="3" s="1"/>
  <c r="C187" i="3" s="1"/>
  <c r="L187" i="3"/>
  <c r="K187" i="3"/>
  <c r="A187" i="3"/>
  <c r="E188" i="3"/>
  <c r="G155" i="3" l="1"/>
  <c r="H155" i="3"/>
  <c r="I155" i="3" s="1"/>
  <c r="Q155" i="3"/>
  <c r="P155" i="3"/>
  <c r="J156" i="3" s="1"/>
  <c r="G156" i="3" s="1"/>
  <c r="F189" i="3"/>
  <c r="D190" i="3" s="1"/>
  <c r="N188" i="3"/>
  <c r="M188" i="3"/>
  <c r="O188" i="3" s="1"/>
  <c r="B188" i="3" s="1"/>
  <c r="C188" i="3" s="1"/>
  <c r="L188" i="3"/>
  <c r="K188" i="3"/>
  <c r="A188" i="3"/>
  <c r="E189" i="3"/>
  <c r="H156" i="3" l="1"/>
  <c r="I156" i="3" s="1"/>
  <c r="Q156" i="3"/>
  <c r="P156" i="3"/>
  <c r="J157" i="3" s="1"/>
  <c r="G157" i="3" s="1"/>
  <c r="F190" i="3"/>
  <c r="D191" i="3" s="1"/>
  <c r="A189" i="3"/>
  <c r="N189" i="3"/>
  <c r="M189" i="3"/>
  <c r="O189" i="3" s="1"/>
  <c r="B189" i="3" s="1"/>
  <c r="C189" i="3" s="1"/>
  <c r="L189" i="3"/>
  <c r="K189" i="3"/>
  <c r="E190" i="3"/>
  <c r="P157" i="3" l="1"/>
  <c r="J158" i="3" s="1"/>
  <c r="Q157" i="3"/>
  <c r="H157" i="3"/>
  <c r="I157" i="3" s="1"/>
  <c r="G158" i="3" s="1"/>
  <c r="F191" i="3"/>
  <c r="D192" i="3" s="1"/>
  <c r="A190" i="3"/>
  <c r="N190" i="3"/>
  <c r="M190" i="3"/>
  <c r="L190" i="3"/>
  <c r="K190" i="3"/>
  <c r="E191" i="3"/>
  <c r="H158" i="3" l="1"/>
  <c r="I158" i="3" s="1"/>
  <c r="Q158" i="3"/>
  <c r="P158" i="3"/>
  <c r="J159" i="3" s="1"/>
  <c r="G159" i="3" s="1"/>
  <c r="O190" i="3"/>
  <c r="B190" i="3" s="1"/>
  <c r="C190" i="3" s="1"/>
  <c r="F192" i="3"/>
  <c r="D193" i="3" s="1"/>
  <c r="A191" i="3"/>
  <c r="N191" i="3"/>
  <c r="M191" i="3"/>
  <c r="O191" i="3" s="1"/>
  <c r="B191" i="3" s="1"/>
  <c r="C191" i="3" s="1"/>
  <c r="L191" i="3"/>
  <c r="K191" i="3"/>
  <c r="E192" i="3"/>
  <c r="H159" i="3" l="1"/>
  <c r="I159" i="3" s="1"/>
  <c r="P159" i="3"/>
  <c r="J160" i="3" s="1"/>
  <c r="Q159" i="3"/>
  <c r="F193" i="3"/>
  <c r="D194" i="3" s="1"/>
  <c r="A192" i="3"/>
  <c r="N192" i="3"/>
  <c r="M192" i="3"/>
  <c r="O192" i="3" s="1"/>
  <c r="B192" i="3" s="1"/>
  <c r="C192" i="3" s="1"/>
  <c r="L192" i="3"/>
  <c r="K192" i="3"/>
  <c r="E193" i="3"/>
  <c r="G160" i="3" l="1"/>
  <c r="F194" i="3"/>
  <c r="D195" i="3" s="1"/>
  <c r="K193" i="3"/>
  <c r="A193" i="3"/>
  <c r="N193" i="3"/>
  <c r="M193" i="3"/>
  <c r="L193" i="3"/>
  <c r="E194" i="3"/>
  <c r="H160" i="3" l="1"/>
  <c r="I160" i="3" s="1"/>
  <c r="Q160" i="3"/>
  <c r="P160" i="3"/>
  <c r="J161" i="3" s="1"/>
  <c r="G161" i="3" s="1"/>
  <c r="O193" i="3"/>
  <c r="B193" i="3" s="1"/>
  <c r="C193" i="3" s="1"/>
  <c r="F195" i="3"/>
  <c r="D196" i="3" s="1"/>
  <c r="L194" i="3"/>
  <c r="K194" i="3"/>
  <c r="A194" i="3"/>
  <c r="N194" i="3"/>
  <c r="M194" i="3"/>
  <c r="O194" i="3" s="1"/>
  <c r="B194" i="3" s="1"/>
  <c r="C194" i="3" s="1"/>
  <c r="E195" i="3"/>
  <c r="Q161" i="3" l="1"/>
  <c r="H161" i="3"/>
  <c r="I161" i="3" s="1"/>
  <c r="P161" i="3"/>
  <c r="J162" i="3" s="1"/>
  <c r="G162" i="3" s="1"/>
  <c r="F196" i="3"/>
  <c r="D197" i="3" s="1"/>
  <c r="M195" i="3"/>
  <c r="L195" i="3"/>
  <c r="K195" i="3"/>
  <c r="A195" i="3"/>
  <c r="N195" i="3"/>
  <c r="E196" i="3"/>
  <c r="H162" i="3" l="1"/>
  <c r="I162" i="3" s="1"/>
  <c r="Q162" i="3"/>
  <c r="P162" i="3"/>
  <c r="J163" i="3" s="1"/>
  <c r="G163" i="3" s="1"/>
  <c r="O195" i="3"/>
  <c r="B195" i="3" s="1"/>
  <c r="C195" i="3" s="1"/>
  <c r="F197" i="3"/>
  <c r="D198" i="3" s="1"/>
  <c r="N196" i="3"/>
  <c r="M196" i="3"/>
  <c r="O196" i="3" s="1"/>
  <c r="B196" i="3" s="1"/>
  <c r="C196" i="3" s="1"/>
  <c r="L196" i="3"/>
  <c r="K196" i="3"/>
  <c r="A196" i="3"/>
  <c r="E197" i="3"/>
  <c r="P163" i="3" l="1"/>
  <c r="J164" i="3" s="1"/>
  <c r="H163" i="3"/>
  <c r="I163" i="3" s="1"/>
  <c r="Q163" i="3"/>
  <c r="G164" i="3"/>
  <c r="F198" i="3"/>
  <c r="D199" i="3" s="1"/>
  <c r="N197" i="3"/>
  <c r="M197" i="3"/>
  <c r="O197" i="3" s="1"/>
  <c r="B197" i="3" s="1"/>
  <c r="C197" i="3" s="1"/>
  <c r="L197" i="3"/>
  <c r="K197" i="3"/>
  <c r="A197" i="3"/>
  <c r="E198" i="3"/>
  <c r="P164" i="3" l="1"/>
  <c r="J165" i="3" s="1"/>
  <c r="H164" i="3"/>
  <c r="I164" i="3" s="1"/>
  <c r="G165" i="3" s="1"/>
  <c r="Q164" i="3"/>
  <c r="F199" i="3"/>
  <c r="D200" i="3" s="1"/>
  <c r="N198" i="3"/>
  <c r="M198" i="3"/>
  <c r="O198" i="3" s="1"/>
  <c r="B198" i="3" s="1"/>
  <c r="C198" i="3" s="1"/>
  <c r="L198" i="3"/>
  <c r="K198" i="3"/>
  <c r="A198" i="3"/>
  <c r="E199" i="3"/>
  <c r="Q165" i="3" l="1"/>
  <c r="H165" i="3"/>
  <c r="I165" i="3" s="1"/>
  <c r="P165" i="3"/>
  <c r="J166" i="3" s="1"/>
  <c r="F200" i="3"/>
  <c r="D201" i="3" s="1"/>
  <c r="N199" i="3"/>
  <c r="M199" i="3"/>
  <c r="O199" i="3" s="1"/>
  <c r="B199" i="3" s="1"/>
  <c r="C199" i="3" s="1"/>
  <c r="L199" i="3"/>
  <c r="K199" i="3"/>
  <c r="A199" i="3"/>
  <c r="E200" i="3"/>
  <c r="G166" i="3" l="1"/>
  <c r="P166" i="3"/>
  <c r="J167" i="3" s="1"/>
  <c r="H166" i="3"/>
  <c r="I166" i="3" s="1"/>
  <c r="Q166" i="3"/>
  <c r="F201" i="3"/>
  <c r="D202" i="3" s="1"/>
  <c r="N200" i="3"/>
  <c r="M200" i="3"/>
  <c r="O200" i="3" s="1"/>
  <c r="B200" i="3" s="1"/>
  <c r="C200" i="3" s="1"/>
  <c r="L200" i="3"/>
  <c r="K200" i="3"/>
  <c r="A200" i="3"/>
  <c r="E201" i="3"/>
  <c r="G167" i="3" l="1"/>
  <c r="Q167" i="3"/>
  <c r="P167" i="3"/>
  <c r="J168" i="3" s="1"/>
  <c r="H167" i="3"/>
  <c r="I167" i="3" s="1"/>
  <c r="G168" i="3" s="1"/>
  <c r="F202" i="3"/>
  <c r="D203" i="3" s="1"/>
  <c r="A201" i="3"/>
  <c r="N201" i="3"/>
  <c r="M201" i="3"/>
  <c r="O201" i="3" s="1"/>
  <c r="B201" i="3" s="1"/>
  <c r="C201" i="3" s="1"/>
  <c r="L201" i="3"/>
  <c r="K201" i="3"/>
  <c r="E202" i="3"/>
  <c r="H168" i="3" l="1"/>
  <c r="I168" i="3" s="1"/>
  <c r="Q168" i="3"/>
  <c r="P168" i="3"/>
  <c r="J169" i="3" s="1"/>
  <c r="G169" i="3" s="1"/>
  <c r="F203" i="3"/>
  <c r="D204" i="3" s="1"/>
  <c r="A202" i="3"/>
  <c r="N202" i="3"/>
  <c r="M202" i="3"/>
  <c r="L202" i="3"/>
  <c r="K202" i="3"/>
  <c r="E203" i="3"/>
  <c r="P169" i="3" l="1"/>
  <c r="J170" i="3" s="1"/>
  <c r="Q169" i="3"/>
  <c r="H169" i="3"/>
  <c r="I169" i="3" s="1"/>
  <c r="G170" i="3" s="1"/>
  <c r="O202" i="3"/>
  <c r="B202" i="3" s="1"/>
  <c r="C202" i="3" s="1"/>
  <c r="F204" i="3"/>
  <c r="D205" i="3" s="1"/>
  <c r="A203" i="3"/>
  <c r="N203" i="3"/>
  <c r="M203" i="3"/>
  <c r="O203" i="3" s="1"/>
  <c r="B203" i="3" s="1"/>
  <c r="C203" i="3" s="1"/>
  <c r="L203" i="3"/>
  <c r="K203" i="3"/>
  <c r="E204" i="3"/>
  <c r="P170" i="3" l="1"/>
  <c r="J171" i="3" s="1"/>
  <c r="Q170" i="3"/>
  <c r="H170" i="3"/>
  <c r="I170" i="3" s="1"/>
  <c r="G171" i="3" s="1"/>
  <c r="F205" i="3"/>
  <c r="A204" i="3"/>
  <c r="N204" i="3"/>
  <c r="M204" i="3"/>
  <c r="O204" i="3" s="1"/>
  <c r="B204" i="3" s="1"/>
  <c r="C204" i="3" s="1"/>
  <c r="L204" i="3"/>
  <c r="K204" i="3"/>
  <c r="E205" i="3"/>
  <c r="Q171" i="3" l="1"/>
  <c r="P171" i="3"/>
  <c r="J172" i="3" s="1"/>
  <c r="H171" i="3"/>
  <c r="I171" i="3" s="1"/>
  <c r="D206" i="3"/>
  <c r="F206" i="3"/>
  <c r="K205" i="3"/>
  <c r="A205" i="3"/>
  <c r="P205" i="3"/>
  <c r="N205" i="3"/>
  <c r="M205" i="3"/>
  <c r="L205" i="3"/>
  <c r="E206" i="3"/>
  <c r="G172" i="3" l="1"/>
  <c r="D207" i="3"/>
  <c r="O205" i="3"/>
  <c r="B205" i="3" s="1"/>
  <c r="C205" i="3" s="1"/>
  <c r="F207" i="3"/>
  <c r="D208" i="3" s="1"/>
  <c r="L206" i="3"/>
  <c r="K206" i="3"/>
  <c r="J206" i="3"/>
  <c r="A206" i="3"/>
  <c r="N206" i="3"/>
  <c r="M206" i="3"/>
  <c r="O206" i="3" s="1"/>
  <c r="B206" i="3" s="1"/>
  <c r="C206" i="3" s="1"/>
  <c r="E207" i="3"/>
  <c r="P172" i="3" l="1"/>
  <c r="J173" i="3" s="1"/>
  <c r="H172" i="3"/>
  <c r="I172" i="3" s="1"/>
  <c r="Q172" i="3"/>
  <c r="F208" i="3"/>
  <c r="D209" i="3" s="1"/>
  <c r="M207" i="3"/>
  <c r="L207" i="3"/>
  <c r="K207" i="3"/>
  <c r="A207" i="3"/>
  <c r="N207" i="3"/>
  <c r="E208" i="3"/>
  <c r="G173" i="3" l="1"/>
  <c r="H173" i="3"/>
  <c r="I173" i="3" s="1"/>
  <c r="Q173" i="3"/>
  <c r="P173" i="3"/>
  <c r="J174" i="3" s="1"/>
  <c r="G174" i="3" s="1"/>
  <c r="O207" i="3"/>
  <c r="B207" i="3" s="1"/>
  <c r="C207" i="3" s="1"/>
  <c r="F209" i="3"/>
  <c r="D210" i="3" s="1"/>
  <c r="N208" i="3"/>
  <c r="M208" i="3"/>
  <c r="O208" i="3" s="1"/>
  <c r="B208" i="3" s="1"/>
  <c r="C208" i="3" s="1"/>
  <c r="L208" i="3"/>
  <c r="K208" i="3"/>
  <c r="A208" i="3"/>
  <c r="E209" i="3"/>
  <c r="P174" i="3" l="1"/>
  <c r="J175" i="3" s="1"/>
  <c r="G175" i="3" s="1"/>
  <c r="Q175" i="3" s="1"/>
  <c r="Q174" i="3"/>
  <c r="F210" i="3"/>
  <c r="D211" i="3" s="1"/>
  <c r="N209" i="3"/>
  <c r="M209" i="3"/>
  <c r="O209" i="3" s="1"/>
  <c r="B209" i="3" s="1"/>
  <c r="C209" i="3" s="1"/>
  <c r="L209" i="3"/>
  <c r="K209" i="3"/>
  <c r="A209" i="3"/>
  <c r="E210" i="3"/>
  <c r="H175" i="3" l="1"/>
  <c r="I175" i="3" s="1"/>
  <c r="G176" i="3" s="1"/>
  <c r="P176" i="3" s="1"/>
  <c r="J177" i="3" s="1"/>
  <c r="H176" i="3"/>
  <c r="I176" i="3" s="1"/>
  <c r="F211" i="3"/>
  <c r="D212" i="3" s="1"/>
  <c r="N210" i="3"/>
  <c r="M210" i="3"/>
  <c r="O210" i="3" s="1"/>
  <c r="B210" i="3" s="1"/>
  <c r="C210" i="3" s="1"/>
  <c r="L210" i="3"/>
  <c r="K210" i="3"/>
  <c r="A210" i="3"/>
  <c r="E211" i="3"/>
  <c r="Q176" i="3" l="1"/>
  <c r="G177" i="3"/>
  <c r="F212" i="3"/>
  <c r="D213" i="3" s="1"/>
  <c r="N211" i="3"/>
  <c r="M211" i="3"/>
  <c r="O211" i="3" s="1"/>
  <c r="B211" i="3" s="1"/>
  <c r="C211" i="3" s="1"/>
  <c r="L211" i="3"/>
  <c r="K211" i="3"/>
  <c r="A211" i="3"/>
  <c r="E212" i="3"/>
  <c r="H177" i="3" l="1"/>
  <c r="I177" i="3" s="1"/>
  <c r="P177" i="3"/>
  <c r="J178" i="3" s="1"/>
  <c r="G178" i="3" s="1"/>
  <c r="Q177" i="3"/>
  <c r="F213" i="3"/>
  <c r="D214" i="3" s="1"/>
  <c r="N212" i="3"/>
  <c r="M212" i="3"/>
  <c r="L212" i="3"/>
  <c r="K212" i="3"/>
  <c r="A212" i="3"/>
  <c r="E213" i="3"/>
  <c r="O212" i="3" l="1"/>
  <c r="B212" i="3" s="1"/>
  <c r="C212" i="3" s="1"/>
  <c r="Q178" i="3"/>
  <c r="H178" i="3"/>
  <c r="I178" i="3" s="1"/>
  <c r="P178" i="3"/>
  <c r="J179" i="3" s="1"/>
  <c r="G179" i="3" s="1"/>
  <c r="F214" i="3"/>
  <c r="D215" i="3" s="1"/>
  <c r="A213" i="3"/>
  <c r="N213" i="3"/>
  <c r="M213" i="3"/>
  <c r="O213" i="3" s="1"/>
  <c r="B213" i="3" s="1"/>
  <c r="C213" i="3" s="1"/>
  <c r="L213" i="3"/>
  <c r="K213" i="3"/>
  <c r="E214" i="3"/>
  <c r="Q179" i="3" l="1"/>
  <c r="H179" i="3"/>
  <c r="I179" i="3" s="1"/>
  <c r="P179" i="3"/>
  <c r="J180" i="3" s="1"/>
  <c r="G180" i="3" s="1"/>
  <c r="F215" i="3"/>
  <c r="D216" i="3" s="1"/>
  <c r="A214" i="3"/>
  <c r="N214" i="3"/>
  <c r="M214" i="3"/>
  <c r="L214" i="3"/>
  <c r="K214" i="3"/>
  <c r="E215" i="3"/>
  <c r="O214" i="3" l="1"/>
  <c r="B214" i="3" s="1"/>
  <c r="C214" i="3" s="1"/>
  <c r="P180" i="3"/>
  <c r="J181" i="3" s="1"/>
  <c r="Q180" i="3"/>
  <c r="H180" i="3"/>
  <c r="I180" i="3" s="1"/>
  <c r="G181" i="3" s="1"/>
  <c r="F216" i="3"/>
  <c r="D217" i="3" s="1"/>
  <c r="A215" i="3"/>
  <c r="N215" i="3"/>
  <c r="M215" i="3"/>
  <c r="L215" i="3"/>
  <c r="K215" i="3"/>
  <c r="E216" i="3"/>
  <c r="P181" i="3" l="1"/>
  <c r="J182" i="3" s="1"/>
  <c r="Q181" i="3"/>
  <c r="H181" i="3"/>
  <c r="I181" i="3" s="1"/>
  <c r="G182" i="3" s="1"/>
  <c r="O215" i="3"/>
  <c r="B215" i="3" s="1"/>
  <c r="C215" i="3" s="1"/>
  <c r="F217" i="3"/>
  <c r="D218" i="3" s="1"/>
  <c r="A216" i="3"/>
  <c r="N216" i="3"/>
  <c r="M216" i="3"/>
  <c r="O216" i="3" s="1"/>
  <c r="B216" i="3" s="1"/>
  <c r="C216" i="3" s="1"/>
  <c r="L216" i="3"/>
  <c r="K216" i="3"/>
  <c r="E217" i="3"/>
  <c r="H182" i="3" l="1"/>
  <c r="I182" i="3" s="1"/>
  <c r="P182" i="3"/>
  <c r="J183" i="3" s="1"/>
  <c r="G183" i="3" s="1"/>
  <c r="Q182" i="3"/>
  <c r="F218" i="3"/>
  <c r="D219" i="3" s="1"/>
  <c r="K217" i="3"/>
  <c r="A217" i="3"/>
  <c r="N217" i="3"/>
  <c r="M217" i="3"/>
  <c r="O217" i="3" s="1"/>
  <c r="B217" i="3" s="1"/>
  <c r="C217" i="3" s="1"/>
  <c r="L217" i="3"/>
  <c r="E218" i="3"/>
  <c r="H183" i="3" l="1"/>
  <c r="I183" i="3" s="1"/>
  <c r="P183" i="3"/>
  <c r="J184" i="3" s="1"/>
  <c r="G184" i="3" s="1"/>
  <c r="Q183" i="3"/>
  <c r="F219" i="3"/>
  <c r="D220" i="3" s="1"/>
  <c r="L218" i="3"/>
  <c r="K218" i="3"/>
  <c r="A218" i="3"/>
  <c r="N218" i="3"/>
  <c r="M218" i="3"/>
  <c r="E219" i="3"/>
  <c r="Q184" i="3" l="1"/>
  <c r="P184" i="3"/>
  <c r="J185" i="3" s="1"/>
  <c r="H184" i="3"/>
  <c r="I184" i="3" s="1"/>
  <c r="O218" i="3"/>
  <c r="B218" i="3" s="1"/>
  <c r="C218" i="3" s="1"/>
  <c r="F220" i="3"/>
  <c r="D221" i="3" s="1"/>
  <c r="M219" i="3"/>
  <c r="L219" i="3"/>
  <c r="K219" i="3"/>
  <c r="A219" i="3"/>
  <c r="N219" i="3"/>
  <c r="E220" i="3"/>
  <c r="G185" i="3" l="1"/>
  <c r="O219" i="3"/>
  <c r="B219" i="3" s="1"/>
  <c r="C219" i="3" s="1"/>
  <c r="F221" i="3"/>
  <c r="D222" i="3" s="1"/>
  <c r="N220" i="3"/>
  <c r="M220" i="3"/>
  <c r="L220" i="3"/>
  <c r="K220" i="3"/>
  <c r="A220" i="3"/>
  <c r="E221" i="3"/>
  <c r="O220" i="3" l="1"/>
  <c r="B220" i="3" s="1"/>
  <c r="C220" i="3" s="1"/>
  <c r="Q185" i="3"/>
  <c r="H185" i="3"/>
  <c r="I185" i="3" s="1"/>
  <c r="P185" i="3"/>
  <c r="J186" i="3" s="1"/>
  <c r="G186" i="3" s="1"/>
  <c r="F222" i="3"/>
  <c r="D223" i="3" s="1"/>
  <c r="N221" i="3"/>
  <c r="M221" i="3"/>
  <c r="O221" i="3" s="1"/>
  <c r="B221" i="3" s="1"/>
  <c r="C221" i="3" s="1"/>
  <c r="L221" i="3"/>
  <c r="K221" i="3"/>
  <c r="A221" i="3"/>
  <c r="E222" i="3"/>
  <c r="Q186" i="3" l="1"/>
  <c r="H186" i="3"/>
  <c r="I186" i="3" s="1"/>
  <c r="P186" i="3"/>
  <c r="J187" i="3" s="1"/>
  <c r="G187" i="3" s="1"/>
  <c r="F223" i="3"/>
  <c r="D224" i="3" s="1"/>
  <c r="N222" i="3"/>
  <c r="M222" i="3"/>
  <c r="O222" i="3" s="1"/>
  <c r="B222" i="3" s="1"/>
  <c r="C222" i="3" s="1"/>
  <c r="L222" i="3"/>
  <c r="K222" i="3"/>
  <c r="A222" i="3"/>
  <c r="E223" i="3"/>
  <c r="H187" i="3" l="1"/>
  <c r="I187" i="3" s="1"/>
  <c r="P187" i="3"/>
  <c r="J188" i="3" s="1"/>
  <c r="G188" i="3" s="1"/>
  <c r="Q187" i="3"/>
  <c r="F224" i="3"/>
  <c r="D225" i="3" s="1"/>
  <c r="N223" i="3"/>
  <c r="M223" i="3"/>
  <c r="O223" i="3" s="1"/>
  <c r="B223" i="3" s="1"/>
  <c r="C223" i="3" s="1"/>
  <c r="L223" i="3"/>
  <c r="K223" i="3"/>
  <c r="A223" i="3"/>
  <c r="E224" i="3"/>
  <c r="Q188" i="3" l="1"/>
  <c r="P188" i="3"/>
  <c r="J189" i="3" s="1"/>
  <c r="H188" i="3"/>
  <c r="I188" i="3" s="1"/>
  <c r="F225" i="3"/>
  <c r="D226" i="3" s="1"/>
  <c r="N224" i="3"/>
  <c r="M224" i="3"/>
  <c r="O224" i="3" s="1"/>
  <c r="B224" i="3" s="1"/>
  <c r="C224" i="3" s="1"/>
  <c r="L224" i="3"/>
  <c r="K224" i="3"/>
  <c r="A224" i="3"/>
  <c r="E225" i="3"/>
  <c r="G189" i="3" l="1"/>
  <c r="F226" i="3"/>
  <c r="D227" i="3" s="1"/>
  <c r="A225" i="3"/>
  <c r="N225" i="3"/>
  <c r="M225" i="3"/>
  <c r="L225" i="3"/>
  <c r="K225" i="3"/>
  <c r="E226" i="3"/>
  <c r="O225" i="3" l="1"/>
  <c r="B225" i="3" s="1"/>
  <c r="C225" i="3" s="1"/>
  <c r="P189" i="3"/>
  <c r="J190" i="3" s="1"/>
  <c r="H189" i="3"/>
  <c r="I189" i="3" s="1"/>
  <c r="G190" i="3" s="1"/>
  <c r="Q189" i="3"/>
  <c r="F227" i="3"/>
  <c r="D228" i="3" s="1"/>
  <c r="A226" i="3"/>
  <c r="N226" i="3"/>
  <c r="M226" i="3"/>
  <c r="L226" i="3"/>
  <c r="K226" i="3"/>
  <c r="E227" i="3"/>
  <c r="P190" i="3" l="1"/>
  <c r="J191" i="3" s="1"/>
  <c r="H190" i="3"/>
  <c r="I190" i="3" s="1"/>
  <c r="Q190" i="3"/>
  <c r="O226" i="3"/>
  <c r="B226" i="3" s="1"/>
  <c r="C226" i="3" s="1"/>
  <c r="F228" i="3"/>
  <c r="D229" i="3" s="1"/>
  <c r="A227" i="3"/>
  <c r="N227" i="3"/>
  <c r="M227" i="3"/>
  <c r="O227" i="3" s="1"/>
  <c r="B227" i="3" s="1"/>
  <c r="C227" i="3" s="1"/>
  <c r="L227" i="3"/>
  <c r="K227" i="3"/>
  <c r="E228" i="3"/>
  <c r="G191" i="3" l="1"/>
  <c r="P191" i="3" s="1"/>
  <c r="J192" i="3" s="1"/>
  <c r="Q191" i="3"/>
  <c r="H191" i="3"/>
  <c r="I191" i="3" s="1"/>
  <c r="F229" i="3"/>
  <c r="D230" i="3" s="1"/>
  <c r="A228" i="3"/>
  <c r="N228" i="3"/>
  <c r="M228" i="3"/>
  <c r="O228" i="3" s="1"/>
  <c r="B228" i="3" s="1"/>
  <c r="C228" i="3" s="1"/>
  <c r="L228" i="3"/>
  <c r="K228" i="3"/>
  <c r="E229" i="3"/>
  <c r="G192" i="3" l="1"/>
  <c r="F230" i="3"/>
  <c r="D231" i="3" s="1"/>
  <c r="K229" i="3"/>
  <c r="A229" i="3"/>
  <c r="N229" i="3"/>
  <c r="M229" i="3"/>
  <c r="L229" i="3"/>
  <c r="E230" i="3"/>
  <c r="O229" i="3" l="1"/>
  <c r="B229" i="3" s="1"/>
  <c r="C229" i="3" s="1"/>
  <c r="P192" i="3"/>
  <c r="J193" i="3" s="1"/>
  <c r="Q192" i="3"/>
  <c r="H192" i="3"/>
  <c r="I192" i="3" s="1"/>
  <c r="F231" i="3"/>
  <c r="D232" i="3" s="1"/>
  <c r="L230" i="3"/>
  <c r="K230" i="3"/>
  <c r="A230" i="3"/>
  <c r="N230" i="3"/>
  <c r="M230" i="3"/>
  <c r="E231" i="3"/>
  <c r="O230" i="3" l="1"/>
  <c r="B230" i="3" s="1"/>
  <c r="C230" i="3" s="1"/>
  <c r="G193" i="3"/>
  <c r="F232" i="3"/>
  <c r="D233" i="3" s="1"/>
  <c r="M231" i="3"/>
  <c r="L231" i="3"/>
  <c r="K231" i="3"/>
  <c r="A231" i="3"/>
  <c r="N231" i="3"/>
  <c r="E232" i="3"/>
  <c r="P193" i="3" l="1"/>
  <c r="J194" i="3" s="1"/>
  <c r="Q193" i="3"/>
  <c r="H193" i="3"/>
  <c r="I193" i="3" s="1"/>
  <c r="G194" i="3" s="1"/>
  <c r="O231" i="3"/>
  <c r="B231" i="3" s="1"/>
  <c r="C231" i="3" s="1"/>
  <c r="F233" i="3"/>
  <c r="D234" i="3" s="1"/>
  <c r="N232" i="3"/>
  <c r="M232" i="3"/>
  <c r="O232" i="3" s="1"/>
  <c r="B232" i="3" s="1"/>
  <c r="C232" i="3" s="1"/>
  <c r="L232" i="3"/>
  <c r="K232" i="3"/>
  <c r="A232" i="3"/>
  <c r="E233" i="3"/>
  <c r="P194" i="3" l="1"/>
  <c r="J195" i="3" s="1"/>
  <c r="Q194" i="3"/>
  <c r="H194" i="3"/>
  <c r="I194" i="3" s="1"/>
  <c r="F234" i="3"/>
  <c r="D235" i="3" s="1"/>
  <c r="N233" i="3"/>
  <c r="M233" i="3"/>
  <c r="O233" i="3" s="1"/>
  <c r="B233" i="3" s="1"/>
  <c r="C233" i="3" s="1"/>
  <c r="L233" i="3"/>
  <c r="K233" i="3"/>
  <c r="A233" i="3"/>
  <c r="E234" i="3"/>
  <c r="G195" i="3" l="1"/>
  <c r="F235" i="3"/>
  <c r="D236" i="3" s="1"/>
  <c r="N234" i="3"/>
  <c r="M234" i="3"/>
  <c r="O234" i="3" s="1"/>
  <c r="B234" i="3" s="1"/>
  <c r="C234" i="3" s="1"/>
  <c r="L234" i="3"/>
  <c r="K234" i="3"/>
  <c r="A234" i="3"/>
  <c r="E235" i="3"/>
  <c r="P195" i="3" l="1"/>
  <c r="J196" i="3" s="1"/>
  <c r="H195" i="3"/>
  <c r="I195" i="3" s="1"/>
  <c r="Q195" i="3"/>
  <c r="F236" i="3"/>
  <c r="D237" i="3" s="1"/>
  <c r="N235" i="3"/>
  <c r="M235" i="3"/>
  <c r="O235" i="3" s="1"/>
  <c r="B235" i="3" s="1"/>
  <c r="C235" i="3" s="1"/>
  <c r="L235" i="3"/>
  <c r="K235" i="3"/>
  <c r="H235" i="3"/>
  <c r="I235" i="3" s="1"/>
  <c r="A235" i="3"/>
  <c r="E236" i="3"/>
  <c r="G196" i="3" l="1"/>
  <c r="P196" i="3"/>
  <c r="J197" i="3" s="1"/>
  <c r="Q196" i="3"/>
  <c r="H196" i="3"/>
  <c r="I196" i="3" s="1"/>
  <c r="F237" i="3"/>
  <c r="D238" i="3" s="1"/>
  <c r="P236" i="3"/>
  <c r="N236" i="3"/>
  <c r="M236" i="3"/>
  <c r="O236" i="3" s="1"/>
  <c r="B236" i="3" s="1"/>
  <c r="C236" i="3" s="1"/>
  <c r="L236" i="3"/>
  <c r="K236" i="3"/>
  <c r="A236" i="3"/>
  <c r="E237" i="3"/>
  <c r="G197" i="3" l="1"/>
  <c r="F238" i="3"/>
  <c r="D239" i="3" s="1"/>
  <c r="A237" i="3"/>
  <c r="N237" i="3"/>
  <c r="M237" i="3"/>
  <c r="O237" i="3" s="1"/>
  <c r="B237" i="3" s="1"/>
  <c r="C237" i="3" s="1"/>
  <c r="L237" i="3"/>
  <c r="K237" i="3"/>
  <c r="J237" i="3"/>
  <c r="E238" i="3"/>
  <c r="P197" i="3" l="1"/>
  <c r="J198" i="3" s="1"/>
  <c r="Q197" i="3"/>
  <c r="H197" i="3"/>
  <c r="I197" i="3" s="1"/>
  <c r="F239" i="3"/>
  <c r="D240" i="3" s="1"/>
  <c r="A238" i="3"/>
  <c r="N238" i="3"/>
  <c r="M238" i="3"/>
  <c r="L238" i="3"/>
  <c r="K238" i="3"/>
  <c r="E239" i="3"/>
  <c r="G198" i="3" l="1"/>
  <c r="O238" i="3"/>
  <c r="B238" i="3" s="1"/>
  <c r="C238" i="3" s="1"/>
  <c r="F240" i="3"/>
  <c r="D241" i="3" s="1"/>
  <c r="A239" i="3"/>
  <c r="N239" i="3"/>
  <c r="M239" i="3"/>
  <c r="O239" i="3" s="1"/>
  <c r="B239" i="3" s="1"/>
  <c r="C239" i="3" s="1"/>
  <c r="L239" i="3"/>
  <c r="K239" i="3"/>
  <c r="E240" i="3"/>
  <c r="Q198" i="3" l="1"/>
  <c r="H198" i="3"/>
  <c r="I198" i="3" s="1"/>
  <c r="P198" i="3"/>
  <c r="J199" i="3" s="1"/>
  <c r="G199" i="3" s="1"/>
  <c r="F241" i="3"/>
  <c r="D242" i="3" s="1"/>
  <c r="A240" i="3"/>
  <c r="N240" i="3"/>
  <c r="M240" i="3"/>
  <c r="O240" i="3" s="1"/>
  <c r="B240" i="3" s="1"/>
  <c r="C240" i="3" s="1"/>
  <c r="L240" i="3"/>
  <c r="K240" i="3"/>
  <c r="E241" i="3"/>
  <c r="P199" i="3" l="1"/>
  <c r="J200" i="3" s="1"/>
  <c r="H199" i="3"/>
  <c r="I199" i="3" s="1"/>
  <c r="Q199" i="3"/>
  <c r="F242" i="3"/>
  <c r="D243" i="3" s="1"/>
  <c r="K241" i="3"/>
  <c r="A241" i="3"/>
  <c r="N241" i="3"/>
  <c r="M241" i="3"/>
  <c r="O241" i="3" s="1"/>
  <c r="B241" i="3" s="1"/>
  <c r="C241" i="3" s="1"/>
  <c r="L241" i="3"/>
  <c r="E242" i="3"/>
  <c r="G200" i="3" l="1"/>
  <c r="Q200" i="3" s="1"/>
  <c r="H200" i="3"/>
  <c r="I200" i="3" s="1"/>
  <c r="P200" i="3"/>
  <c r="J201" i="3" s="1"/>
  <c r="F243" i="3"/>
  <c r="D244" i="3" s="1"/>
  <c r="L242" i="3"/>
  <c r="K242" i="3"/>
  <c r="A242" i="3"/>
  <c r="N242" i="3"/>
  <c r="M242" i="3"/>
  <c r="E243" i="3"/>
  <c r="G201" i="3" l="1"/>
  <c r="P201" i="3"/>
  <c r="J202" i="3" s="1"/>
  <c r="Q201" i="3"/>
  <c r="H201" i="3"/>
  <c r="I201" i="3" s="1"/>
  <c r="O242" i="3"/>
  <c r="B242" i="3" s="1"/>
  <c r="C242" i="3" s="1"/>
  <c r="F244" i="3"/>
  <c r="D245" i="3" s="1"/>
  <c r="M243" i="3"/>
  <c r="L243" i="3"/>
  <c r="K243" i="3"/>
  <c r="A243" i="3"/>
  <c r="N243" i="3"/>
  <c r="E244" i="3"/>
  <c r="G202" i="3" l="1"/>
  <c r="O243" i="3"/>
  <c r="B243" i="3" s="1"/>
  <c r="C243" i="3" s="1"/>
  <c r="F245" i="3"/>
  <c r="D246" i="3" s="1"/>
  <c r="N244" i="3"/>
  <c r="M244" i="3"/>
  <c r="O244" i="3" s="1"/>
  <c r="B244" i="3" s="1"/>
  <c r="C244" i="3" s="1"/>
  <c r="L244" i="3"/>
  <c r="K244" i="3"/>
  <c r="A244" i="3"/>
  <c r="E245" i="3"/>
  <c r="H202" i="3" l="1"/>
  <c r="I202" i="3" s="1"/>
  <c r="P202" i="3"/>
  <c r="J203" i="3" s="1"/>
  <c r="G203" i="3" s="1"/>
  <c r="Q202" i="3"/>
  <c r="F246" i="3"/>
  <c r="D247" i="3" s="1"/>
  <c r="N245" i="3"/>
  <c r="M245" i="3"/>
  <c r="O245" i="3" s="1"/>
  <c r="B245" i="3" s="1"/>
  <c r="C245" i="3" s="1"/>
  <c r="L245" i="3"/>
  <c r="K245" i="3"/>
  <c r="A245" i="3"/>
  <c r="E246" i="3"/>
  <c r="Q203" i="3" l="1"/>
  <c r="P203" i="3"/>
  <c r="J204" i="3" s="1"/>
  <c r="H203" i="3"/>
  <c r="I203" i="3" s="1"/>
  <c r="F247" i="3"/>
  <c r="D248" i="3" s="1"/>
  <c r="N246" i="3"/>
  <c r="M246" i="3"/>
  <c r="O246" i="3" s="1"/>
  <c r="B246" i="3" s="1"/>
  <c r="C246" i="3" s="1"/>
  <c r="L246" i="3"/>
  <c r="K246" i="3"/>
  <c r="A246" i="3"/>
  <c r="E247" i="3"/>
  <c r="G204" i="3" l="1"/>
  <c r="H204" i="3"/>
  <c r="I204" i="3" s="1"/>
  <c r="P204" i="3"/>
  <c r="J205" i="3" s="1"/>
  <c r="G205" i="3" s="1"/>
  <c r="Q204" i="3"/>
  <c r="F248" i="3"/>
  <c r="D249" i="3" s="1"/>
  <c r="N247" i="3"/>
  <c r="M247" i="3"/>
  <c r="O247" i="3" s="1"/>
  <c r="B247" i="3" s="1"/>
  <c r="C247" i="3" s="1"/>
  <c r="L247" i="3"/>
  <c r="K247" i="3"/>
  <c r="A247" i="3"/>
  <c r="E248" i="3"/>
  <c r="H205" i="3" l="1"/>
  <c r="I205" i="3" s="1"/>
  <c r="G206" i="3" s="1"/>
  <c r="Q205" i="3"/>
  <c r="F249" i="3"/>
  <c r="D250" i="3" s="1"/>
  <c r="N248" i="3"/>
  <c r="M248" i="3"/>
  <c r="L248" i="3"/>
  <c r="K248" i="3"/>
  <c r="A248" i="3"/>
  <c r="E249" i="3"/>
  <c r="H206" i="3" l="1"/>
  <c r="I206" i="3" s="1"/>
  <c r="Q206" i="3"/>
  <c r="P206" i="3"/>
  <c r="J207" i="3" s="1"/>
  <c r="G207" i="3" s="1"/>
  <c r="O248" i="3"/>
  <c r="B248" i="3" s="1"/>
  <c r="C248" i="3" s="1"/>
  <c r="F250" i="3"/>
  <c r="D251" i="3" s="1"/>
  <c r="A249" i="3"/>
  <c r="N249" i="3"/>
  <c r="M249" i="3"/>
  <c r="O249" i="3" s="1"/>
  <c r="B249" i="3" s="1"/>
  <c r="C249" i="3" s="1"/>
  <c r="L249" i="3"/>
  <c r="K249" i="3"/>
  <c r="E250" i="3"/>
  <c r="P207" i="3" l="1"/>
  <c r="J208" i="3" s="1"/>
  <c r="H207" i="3"/>
  <c r="I207" i="3" s="1"/>
  <c r="Q207" i="3"/>
  <c r="F251" i="3"/>
  <c r="D252" i="3" s="1"/>
  <c r="A250" i="3"/>
  <c r="N250" i="3"/>
  <c r="M250" i="3"/>
  <c r="L250" i="3"/>
  <c r="K250" i="3"/>
  <c r="E251" i="3"/>
  <c r="G208" i="3" l="1"/>
  <c r="P208" i="3" s="1"/>
  <c r="J209" i="3" s="1"/>
  <c r="Q208" i="3"/>
  <c r="H208" i="3"/>
  <c r="I208" i="3" s="1"/>
  <c r="O250" i="3"/>
  <c r="B250" i="3" s="1"/>
  <c r="C250" i="3" s="1"/>
  <c r="F252" i="3"/>
  <c r="D253" i="3" s="1"/>
  <c r="A251" i="3"/>
  <c r="N251" i="3"/>
  <c r="M251" i="3"/>
  <c r="O251" i="3" s="1"/>
  <c r="B251" i="3" s="1"/>
  <c r="C251" i="3" s="1"/>
  <c r="L251" i="3"/>
  <c r="K251" i="3"/>
  <c r="E252" i="3"/>
  <c r="G209" i="3" l="1"/>
  <c r="F253" i="3"/>
  <c r="D254" i="3" s="1"/>
  <c r="A252" i="3"/>
  <c r="N252" i="3"/>
  <c r="M252" i="3"/>
  <c r="O252" i="3" s="1"/>
  <c r="B252" i="3" s="1"/>
  <c r="C252" i="3" s="1"/>
  <c r="L252" i="3"/>
  <c r="K252" i="3"/>
  <c r="E253" i="3"/>
  <c r="P209" i="3" l="1"/>
  <c r="J210" i="3" s="1"/>
  <c r="Q209" i="3"/>
  <c r="H209" i="3"/>
  <c r="I209" i="3" s="1"/>
  <c r="F254" i="3"/>
  <c r="D255" i="3" s="1"/>
  <c r="K253" i="3"/>
  <c r="A253" i="3"/>
  <c r="N253" i="3"/>
  <c r="M253" i="3"/>
  <c r="L253" i="3"/>
  <c r="E254" i="3"/>
  <c r="O253" i="3" l="1"/>
  <c r="B253" i="3" s="1"/>
  <c r="C253" i="3" s="1"/>
  <c r="G210" i="3"/>
  <c r="F255" i="3"/>
  <c r="D256" i="3" s="1"/>
  <c r="L254" i="3"/>
  <c r="K254" i="3"/>
  <c r="A254" i="3"/>
  <c r="N254" i="3"/>
  <c r="M254" i="3"/>
  <c r="O254" i="3" s="1"/>
  <c r="B254" i="3" s="1"/>
  <c r="C254" i="3" s="1"/>
  <c r="E255" i="3"/>
  <c r="P210" i="3" l="1"/>
  <c r="J211" i="3" s="1"/>
  <c r="Q210" i="3"/>
  <c r="H210" i="3"/>
  <c r="I210" i="3" s="1"/>
  <c r="F256" i="3"/>
  <c r="D257" i="3" s="1"/>
  <c r="M255" i="3"/>
  <c r="L255" i="3"/>
  <c r="K255" i="3"/>
  <c r="A255" i="3"/>
  <c r="N255" i="3"/>
  <c r="E256" i="3"/>
  <c r="G211" i="3" l="1"/>
  <c r="O255" i="3"/>
  <c r="B255" i="3" s="1"/>
  <c r="C255" i="3" s="1"/>
  <c r="F257" i="3"/>
  <c r="D258" i="3" s="1"/>
  <c r="N256" i="3"/>
  <c r="M256" i="3"/>
  <c r="O256" i="3" s="1"/>
  <c r="B256" i="3" s="1"/>
  <c r="C256" i="3" s="1"/>
  <c r="L256" i="3"/>
  <c r="K256" i="3"/>
  <c r="A256" i="3"/>
  <c r="E257" i="3"/>
  <c r="P211" i="3" l="1"/>
  <c r="J212" i="3" s="1"/>
  <c r="H211" i="3"/>
  <c r="I211" i="3" s="1"/>
  <c r="Q211" i="3"/>
  <c r="F258" i="3"/>
  <c r="D259" i="3" s="1"/>
  <c r="N257" i="3"/>
  <c r="M257" i="3"/>
  <c r="O257" i="3" s="1"/>
  <c r="B257" i="3" s="1"/>
  <c r="C257" i="3" s="1"/>
  <c r="L257" i="3"/>
  <c r="K257" i="3"/>
  <c r="A257" i="3"/>
  <c r="E258" i="3"/>
  <c r="G212" i="3" l="1"/>
  <c r="P212" i="3" s="1"/>
  <c r="J213" i="3" s="1"/>
  <c r="F259" i="3"/>
  <c r="D260" i="3" s="1"/>
  <c r="N258" i="3"/>
  <c r="M258" i="3"/>
  <c r="O258" i="3" s="1"/>
  <c r="B258" i="3" s="1"/>
  <c r="C258" i="3" s="1"/>
  <c r="L258" i="3"/>
  <c r="K258" i="3"/>
  <c r="A258" i="3"/>
  <c r="E259" i="3"/>
  <c r="H212" i="3" l="1"/>
  <c r="I212" i="3" s="1"/>
  <c r="G213" i="3" s="1"/>
  <c r="Q212" i="3"/>
  <c r="F260" i="3"/>
  <c r="D261" i="3" s="1"/>
  <c r="N259" i="3"/>
  <c r="M259" i="3"/>
  <c r="O259" i="3" s="1"/>
  <c r="B259" i="3" s="1"/>
  <c r="C259" i="3" s="1"/>
  <c r="L259" i="3"/>
  <c r="K259" i="3"/>
  <c r="A259" i="3"/>
  <c r="E260" i="3"/>
  <c r="P213" i="3" l="1"/>
  <c r="J214" i="3" s="1"/>
  <c r="Q213" i="3"/>
  <c r="H213" i="3"/>
  <c r="I213" i="3" s="1"/>
  <c r="G214" i="3" s="1"/>
  <c r="F261" i="3"/>
  <c r="D262" i="3" s="1"/>
  <c r="N260" i="3"/>
  <c r="M260" i="3"/>
  <c r="O260" i="3" s="1"/>
  <c r="B260" i="3" s="1"/>
  <c r="C260" i="3" s="1"/>
  <c r="L260" i="3"/>
  <c r="K260" i="3"/>
  <c r="A260" i="3"/>
  <c r="E261" i="3"/>
  <c r="H214" i="3" l="1"/>
  <c r="I214" i="3" s="1"/>
  <c r="Q214" i="3"/>
  <c r="P214" i="3"/>
  <c r="J215" i="3" s="1"/>
  <c r="F262" i="3"/>
  <c r="D263" i="3" s="1"/>
  <c r="A261" i="3"/>
  <c r="N261" i="3"/>
  <c r="M261" i="3"/>
  <c r="O261" i="3" s="1"/>
  <c r="B261" i="3" s="1"/>
  <c r="C261" i="3" s="1"/>
  <c r="L261" i="3"/>
  <c r="K261" i="3"/>
  <c r="E262" i="3"/>
  <c r="G215" i="3" l="1"/>
  <c r="H215" i="3" s="1"/>
  <c r="I215" i="3" s="1"/>
  <c r="Q215" i="3"/>
  <c r="F263" i="3"/>
  <c r="D264" i="3" s="1"/>
  <c r="A262" i="3"/>
  <c r="N262" i="3"/>
  <c r="M262" i="3"/>
  <c r="L262" i="3"/>
  <c r="K262" i="3"/>
  <c r="E263" i="3"/>
  <c r="P215" i="3" l="1"/>
  <c r="J216" i="3" s="1"/>
  <c r="G216" i="3" s="1"/>
  <c r="H216" i="3" s="1"/>
  <c r="I216" i="3" s="1"/>
  <c r="O262" i="3"/>
  <c r="B262" i="3" s="1"/>
  <c r="C262" i="3" s="1"/>
  <c r="F264" i="3"/>
  <c r="D265" i="3" s="1"/>
  <c r="A263" i="3"/>
  <c r="N263" i="3"/>
  <c r="M263" i="3"/>
  <c r="O263" i="3" s="1"/>
  <c r="B263" i="3" s="1"/>
  <c r="C263" i="3" s="1"/>
  <c r="L263" i="3"/>
  <c r="K263" i="3"/>
  <c r="E264" i="3"/>
  <c r="P216" i="3" l="1"/>
  <c r="J217" i="3" s="1"/>
  <c r="G217" i="3" s="1"/>
  <c r="H217" i="3" s="1"/>
  <c r="I217" i="3" s="1"/>
  <c r="Q216" i="3"/>
  <c r="F265" i="3"/>
  <c r="D266" i="3" s="1"/>
  <c r="A264" i="3"/>
  <c r="N264" i="3"/>
  <c r="M264" i="3"/>
  <c r="L264" i="3"/>
  <c r="K264" i="3"/>
  <c r="E265" i="3"/>
  <c r="Q217" i="3" l="1"/>
  <c r="P217" i="3"/>
  <c r="J218" i="3" s="1"/>
  <c r="G218" i="3" s="1"/>
  <c r="P218" i="3" s="1"/>
  <c r="J219" i="3" s="1"/>
  <c r="O264" i="3"/>
  <c r="B264" i="3" s="1"/>
  <c r="C264" i="3" s="1"/>
  <c r="F266" i="3"/>
  <c r="D267" i="3" s="1"/>
  <c r="K265" i="3"/>
  <c r="A265" i="3"/>
  <c r="N265" i="3"/>
  <c r="M265" i="3"/>
  <c r="L265" i="3"/>
  <c r="E266" i="3"/>
  <c r="H218" i="3" l="1"/>
  <c r="I218" i="3" s="1"/>
  <c r="Q218" i="3"/>
  <c r="O265" i="3"/>
  <c r="B265" i="3" s="1"/>
  <c r="C265" i="3" s="1"/>
  <c r="G219" i="3"/>
  <c r="F267" i="3"/>
  <c r="D268" i="3" s="1"/>
  <c r="L266" i="3"/>
  <c r="K266" i="3"/>
  <c r="H266" i="3"/>
  <c r="I266" i="3" s="1"/>
  <c r="A266" i="3"/>
  <c r="N266" i="3"/>
  <c r="M266" i="3"/>
  <c r="E267" i="3"/>
  <c r="P219" i="3" l="1"/>
  <c r="J220" i="3" s="1"/>
  <c r="H219" i="3"/>
  <c r="I219" i="3" s="1"/>
  <c r="Q219" i="3"/>
  <c r="O266" i="3"/>
  <c r="B266" i="3" s="1"/>
  <c r="C266" i="3" s="1"/>
  <c r="F268" i="3"/>
  <c r="D269" i="3" s="1"/>
  <c r="M267" i="3"/>
  <c r="L267" i="3"/>
  <c r="K267" i="3"/>
  <c r="A267" i="3"/>
  <c r="P267" i="3"/>
  <c r="N267" i="3"/>
  <c r="E268" i="3"/>
  <c r="G220" i="3" l="1"/>
  <c r="Q220" i="3"/>
  <c r="P220" i="3"/>
  <c r="J221" i="3" s="1"/>
  <c r="H220" i="3"/>
  <c r="I220" i="3" s="1"/>
  <c r="O267" i="3"/>
  <c r="B267" i="3" s="1"/>
  <c r="C267" i="3" s="1"/>
  <c r="F269" i="3"/>
  <c r="D270" i="3" s="1"/>
  <c r="N268" i="3"/>
  <c r="M268" i="3"/>
  <c r="L268" i="3"/>
  <c r="K268" i="3"/>
  <c r="J268" i="3"/>
  <c r="A268" i="3"/>
  <c r="E269" i="3"/>
  <c r="O268" i="3" l="1"/>
  <c r="B268" i="3" s="1"/>
  <c r="C268" i="3" s="1"/>
  <c r="G221" i="3"/>
  <c r="F270" i="3"/>
  <c r="D271" i="3" s="1"/>
  <c r="N269" i="3"/>
  <c r="M269" i="3"/>
  <c r="L269" i="3"/>
  <c r="K269" i="3"/>
  <c r="A269" i="3"/>
  <c r="E270" i="3"/>
  <c r="O269" i="3" l="1"/>
  <c r="B269" i="3" s="1"/>
  <c r="C269" i="3" s="1"/>
  <c r="Q221" i="3"/>
  <c r="H221" i="3"/>
  <c r="I221" i="3" s="1"/>
  <c r="P221" i="3"/>
  <c r="J222" i="3" s="1"/>
  <c r="G222" i="3" s="1"/>
  <c r="F271" i="3"/>
  <c r="D272" i="3" s="1"/>
  <c r="N270" i="3"/>
  <c r="M270" i="3"/>
  <c r="O270" i="3" s="1"/>
  <c r="B270" i="3" s="1"/>
  <c r="C270" i="3" s="1"/>
  <c r="L270" i="3"/>
  <c r="K270" i="3"/>
  <c r="A270" i="3"/>
  <c r="E271" i="3"/>
  <c r="Q222" i="3" l="1"/>
  <c r="H222" i="3"/>
  <c r="I222" i="3" s="1"/>
  <c r="P222" i="3"/>
  <c r="J223" i="3" s="1"/>
  <c r="G223" i="3" s="1"/>
  <c r="F272" i="3"/>
  <c r="D273" i="3" s="1"/>
  <c r="N271" i="3"/>
  <c r="M271" i="3"/>
  <c r="O271" i="3" s="1"/>
  <c r="B271" i="3" s="1"/>
  <c r="C271" i="3" s="1"/>
  <c r="L271" i="3"/>
  <c r="K271" i="3"/>
  <c r="A271" i="3"/>
  <c r="E272" i="3"/>
  <c r="P223" i="3" l="1"/>
  <c r="J224" i="3" s="1"/>
  <c r="H223" i="3"/>
  <c r="I223" i="3" s="1"/>
  <c r="Q223" i="3"/>
  <c r="F273" i="3"/>
  <c r="D274" i="3" s="1"/>
  <c r="N272" i="3"/>
  <c r="M272" i="3"/>
  <c r="O272" i="3" s="1"/>
  <c r="B272" i="3" s="1"/>
  <c r="C272" i="3" s="1"/>
  <c r="L272" i="3"/>
  <c r="K272" i="3"/>
  <c r="A272" i="3"/>
  <c r="E273" i="3"/>
  <c r="G224" i="3" l="1"/>
  <c r="P224" i="3"/>
  <c r="J225" i="3" s="1"/>
  <c r="H224" i="3"/>
  <c r="I224" i="3" s="1"/>
  <c r="Q224" i="3"/>
  <c r="F274" i="3"/>
  <c r="D275" i="3" s="1"/>
  <c r="A273" i="3"/>
  <c r="N273" i="3"/>
  <c r="M273" i="3"/>
  <c r="L273" i="3"/>
  <c r="K273" i="3"/>
  <c r="E274" i="3"/>
  <c r="G225" i="3" l="1"/>
  <c r="Q225" i="3" s="1"/>
  <c r="O273" i="3"/>
  <c r="B273" i="3" s="1"/>
  <c r="C273" i="3" s="1"/>
  <c r="F275" i="3"/>
  <c r="D276" i="3" s="1"/>
  <c r="A274" i="3"/>
  <c r="N274" i="3"/>
  <c r="M274" i="3"/>
  <c r="L274" i="3"/>
  <c r="K274" i="3"/>
  <c r="E275" i="3"/>
  <c r="P225" i="3" l="1"/>
  <c r="J226" i="3" s="1"/>
  <c r="H225" i="3"/>
  <c r="I225" i="3" s="1"/>
  <c r="O274" i="3"/>
  <c r="B274" i="3" s="1"/>
  <c r="C274" i="3" s="1"/>
  <c r="F276" i="3"/>
  <c r="D277" i="3" s="1"/>
  <c r="A275" i="3"/>
  <c r="N275" i="3"/>
  <c r="M275" i="3"/>
  <c r="L275" i="3"/>
  <c r="K275" i="3"/>
  <c r="E276" i="3"/>
  <c r="G226" i="3" l="1"/>
  <c r="O275" i="3"/>
  <c r="B275" i="3" s="1"/>
  <c r="C275" i="3" s="1"/>
  <c r="F277" i="3"/>
  <c r="D278" i="3" s="1"/>
  <c r="A276" i="3"/>
  <c r="N276" i="3"/>
  <c r="M276" i="3"/>
  <c r="O276" i="3" s="1"/>
  <c r="B276" i="3" s="1"/>
  <c r="C276" i="3" s="1"/>
  <c r="L276" i="3"/>
  <c r="K276" i="3"/>
  <c r="E277" i="3"/>
  <c r="Q226" i="3" l="1"/>
  <c r="H226" i="3"/>
  <c r="I226" i="3" s="1"/>
  <c r="P226" i="3"/>
  <c r="J227" i="3" s="1"/>
  <c r="F278" i="3"/>
  <c r="D279" i="3" s="1"/>
  <c r="K277" i="3"/>
  <c r="A277" i="3"/>
  <c r="N277" i="3"/>
  <c r="M277" i="3"/>
  <c r="L277" i="3"/>
  <c r="E278" i="3"/>
  <c r="G227" i="3" l="1"/>
  <c r="O277" i="3"/>
  <c r="B277" i="3" s="1"/>
  <c r="C277" i="3" s="1"/>
  <c r="F279" i="3"/>
  <c r="D280" i="3" s="1"/>
  <c r="L278" i="3"/>
  <c r="K278" i="3"/>
  <c r="A278" i="3"/>
  <c r="N278" i="3"/>
  <c r="M278" i="3"/>
  <c r="E279" i="3"/>
  <c r="Q227" i="3" l="1"/>
  <c r="P227" i="3"/>
  <c r="J228" i="3" s="1"/>
  <c r="H227" i="3"/>
  <c r="I227" i="3" s="1"/>
  <c r="O278" i="3"/>
  <c r="B278" i="3" s="1"/>
  <c r="C278" i="3" s="1"/>
  <c r="F280" i="3"/>
  <c r="D281" i="3" s="1"/>
  <c r="M279" i="3"/>
  <c r="L279" i="3"/>
  <c r="K279" i="3"/>
  <c r="A279" i="3"/>
  <c r="N279" i="3"/>
  <c r="E280" i="3"/>
  <c r="G228" i="3" l="1"/>
  <c r="P228" i="3"/>
  <c r="J229" i="3" s="1"/>
  <c r="Q228" i="3"/>
  <c r="H228" i="3"/>
  <c r="I228" i="3" s="1"/>
  <c r="G229" i="3" s="1"/>
  <c r="O279" i="3"/>
  <c r="B279" i="3" s="1"/>
  <c r="C279" i="3" s="1"/>
  <c r="F281" i="3"/>
  <c r="D282" i="3" s="1"/>
  <c r="N280" i="3"/>
  <c r="M280" i="3"/>
  <c r="L280" i="3"/>
  <c r="K280" i="3"/>
  <c r="A280" i="3"/>
  <c r="E281" i="3"/>
  <c r="P229" i="3" l="1"/>
  <c r="J230" i="3" s="1"/>
  <c r="H229" i="3"/>
  <c r="I229" i="3" s="1"/>
  <c r="Q229" i="3"/>
  <c r="G230" i="3"/>
  <c r="O280" i="3"/>
  <c r="B280" i="3" s="1"/>
  <c r="C280" i="3" s="1"/>
  <c r="F282" i="3"/>
  <c r="D283" i="3" s="1"/>
  <c r="N281" i="3"/>
  <c r="M281" i="3"/>
  <c r="O281" i="3" s="1"/>
  <c r="B281" i="3" s="1"/>
  <c r="C281" i="3" s="1"/>
  <c r="L281" i="3"/>
  <c r="K281" i="3"/>
  <c r="A281" i="3"/>
  <c r="E282" i="3"/>
  <c r="Q230" i="3" l="1"/>
  <c r="P230" i="3"/>
  <c r="J231" i="3" s="1"/>
  <c r="H230" i="3"/>
  <c r="I230" i="3" s="1"/>
  <c r="F283" i="3"/>
  <c r="D284" i="3" s="1"/>
  <c r="N282" i="3"/>
  <c r="M282" i="3"/>
  <c r="O282" i="3" s="1"/>
  <c r="B282" i="3" s="1"/>
  <c r="C282" i="3" s="1"/>
  <c r="L282" i="3"/>
  <c r="K282" i="3"/>
  <c r="A282" i="3"/>
  <c r="E283" i="3"/>
  <c r="G231" i="3" l="1"/>
  <c r="P231" i="3" s="1"/>
  <c r="J232" i="3" s="1"/>
  <c r="Q231" i="3"/>
  <c r="H231" i="3"/>
  <c r="I231" i="3" s="1"/>
  <c r="G232" i="3" s="1"/>
  <c r="F284" i="3"/>
  <c r="D285" i="3" s="1"/>
  <c r="N283" i="3"/>
  <c r="M283" i="3"/>
  <c r="O283" i="3" s="1"/>
  <c r="B283" i="3" s="1"/>
  <c r="C283" i="3" s="1"/>
  <c r="L283" i="3"/>
  <c r="K283" i="3"/>
  <c r="A283" i="3"/>
  <c r="E284" i="3"/>
  <c r="P232" i="3" l="1"/>
  <c r="J233" i="3" s="1"/>
  <c r="Q232" i="3"/>
  <c r="H232" i="3"/>
  <c r="I232" i="3" s="1"/>
  <c r="G233" i="3" s="1"/>
  <c r="F285" i="3"/>
  <c r="D286" i="3" s="1"/>
  <c r="N284" i="3"/>
  <c r="M284" i="3"/>
  <c r="O284" i="3" s="1"/>
  <c r="B284" i="3" s="1"/>
  <c r="C284" i="3" s="1"/>
  <c r="L284" i="3"/>
  <c r="K284" i="3"/>
  <c r="A284" i="3"/>
  <c r="E285" i="3"/>
  <c r="Q233" i="3" l="1"/>
  <c r="H233" i="3"/>
  <c r="I233" i="3" s="1"/>
  <c r="P233" i="3"/>
  <c r="J234" i="3" s="1"/>
  <c r="G234" i="3" s="1"/>
  <c r="F286" i="3"/>
  <c r="D287" i="3" s="1"/>
  <c r="A285" i="3"/>
  <c r="N285" i="3"/>
  <c r="M285" i="3"/>
  <c r="O285" i="3" s="1"/>
  <c r="B285" i="3" s="1"/>
  <c r="C285" i="3" s="1"/>
  <c r="L285" i="3"/>
  <c r="K285" i="3"/>
  <c r="E286" i="3"/>
  <c r="Q234" i="3" l="1"/>
  <c r="H234" i="3"/>
  <c r="I234" i="3" s="1"/>
  <c r="P234" i="3"/>
  <c r="J235" i="3" s="1"/>
  <c r="G235" i="3" s="1"/>
  <c r="F287" i="3"/>
  <c r="D288" i="3" s="1"/>
  <c r="A286" i="3"/>
  <c r="N286" i="3"/>
  <c r="M286" i="3"/>
  <c r="L286" i="3"/>
  <c r="K286" i="3"/>
  <c r="E287" i="3"/>
  <c r="Q235" i="3" l="1"/>
  <c r="P235" i="3"/>
  <c r="J236" i="3" s="1"/>
  <c r="G236" i="3" s="1"/>
  <c r="O286" i="3"/>
  <c r="B286" i="3" s="1"/>
  <c r="C286" i="3" s="1"/>
  <c r="F288" i="3"/>
  <c r="D289" i="3" s="1"/>
  <c r="A287" i="3"/>
  <c r="N287" i="3"/>
  <c r="M287" i="3"/>
  <c r="O287" i="3" s="1"/>
  <c r="B287" i="3" s="1"/>
  <c r="C287" i="3" s="1"/>
  <c r="L287" i="3"/>
  <c r="K287" i="3"/>
  <c r="E288" i="3"/>
  <c r="Q236" i="3" l="1"/>
  <c r="H236" i="3"/>
  <c r="I236" i="3" s="1"/>
  <c r="G237" i="3" s="1"/>
  <c r="F289" i="3"/>
  <c r="D290" i="3" s="1"/>
  <c r="A288" i="3"/>
  <c r="N288" i="3"/>
  <c r="M288" i="3"/>
  <c r="O288" i="3" s="1"/>
  <c r="B288" i="3" s="1"/>
  <c r="C288" i="3" s="1"/>
  <c r="L288" i="3"/>
  <c r="K288" i="3"/>
  <c r="E289" i="3"/>
  <c r="H237" i="3" l="1"/>
  <c r="I237" i="3" s="1"/>
  <c r="Q237" i="3"/>
  <c r="P237" i="3"/>
  <c r="J238" i="3" s="1"/>
  <c r="F290" i="3"/>
  <c r="D291" i="3" s="1"/>
  <c r="K289" i="3"/>
  <c r="A289" i="3"/>
  <c r="N289" i="3"/>
  <c r="M289" i="3"/>
  <c r="L289" i="3"/>
  <c r="E290" i="3"/>
  <c r="G238" i="3" l="1"/>
  <c r="Q238" i="3"/>
  <c r="P238" i="3"/>
  <c r="J239" i="3" s="1"/>
  <c r="H238" i="3"/>
  <c r="I238" i="3" s="1"/>
  <c r="O289" i="3"/>
  <c r="B289" i="3" s="1"/>
  <c r="C289" i="3" s="1"/>
  <c r="F291" i="3"/>
  <c r="D292" i="3" s="1"/>
  <c r="L290" i="3"/>
  <c r="K290" i="3"/>
  <c r="A290" i="3"/>
  <c r="N290" i="3"/>
  <c r="M290" i="3"/>
  <c r="O290" i="3" s="1"/>
  <c r="B290" i="3" s="1"/>
  <c r="C290" i="3" s="1"/>
  <c r="E291" i="3"/>
  <c r="G239" i="3" l="1"/>
  <c r="P239" i="3" s="1"/>
  <c r="J240" i="3" s="1"/>
  <c r="Q239" i="3"/>
  <c r="H239" i="3"/>
  <c r="I239" i="3" s="1"/>
  <c r="F292" i="3"/>
  <c r="D293" i="3" s="1"/>
  <c r="M291" i="3"/>
  <c r="L291" i="3"/>
  <c r="K291" i="3"/>
  <c r="A291" i="3"/>
  <c r="N291" i="3"/>
  <c r="E292" i="3"/>
  <c r="G240" i="3" l="1"/>
  <c r="O291" i="3"/>
  <c r="B291" i="3" s="1"/>
  <c r="C291" i="3" s="1"/>
  <c r="F293" i="3"/>
  <c r="D294" i="3" s="1"/>
  <c r="N292" i="3"/>
  <c r="M292" i="3"/>
  <c r="O292" i="3" s="1"/>
  <c r="B292" i="3" s="1"/>
  <c r="C292" i="3" s="1"/>
  <c r="L292" i="3"/>
  <c r="K292" i="3"/>
  <c r="A292" i="3"/>
  <c r="E293" i="3"/>
  <c r="P240" i="3" l="1"/>
  <c r="J241" i="3" s="1"/>
  <c r="H240" i="3"/>
  <c r="I240" i="3" s="1"/>
  <c r="Q240" i="3"/>
  <c r="F294" i="3"/>
  <c r="D295" i="3" s="1"/>
  <c r="N293" i="3"/>
  <c r="M293" i="3"/>
  <c r="O293" i="3" s="1"/>
  <c r="B293" i="3" s="1"/>
  <c r="C293" i="3" s="1"/>
  <c r="L293" i="3"/>
  <c r="K293" i="3"/>
  <c r="A293" i="3"/>
  <c r="E294" i="3"/>
  <c r="G241" i="3" l="1"/>
  <c r="P241" i="3" s="1"/>
  <c r="J242" i="3" s="1"/>
  <c r="H241" i="3"/>
  <c r="I241" i="3" s="1"/>
  <c r="Q241" i="3"/>
  <c r="F295" i="3"/>
  <c r="D296" i="3" s="1"/>
  <c r="N294" i="3"/>
  <c r="M294" i="3"/>
  <c r="O294" i="3" s="1"/>
  <c r="B294" i="3" s="1"/>
  <c r="C294" i="3" s="1"/>
  <c r="L294" i="3"/>
  <c r="K294" i="3"/>
  <c r="A294" i="3"/>
  <c r="E295" i="3"/>
  <c r="G242" i="3" l="1"/>
  <c r="H242" i="3"/>
  <c r="I242" i="3" s="1"/>
  <c r="P242" i="3"/>
  <c r="J243" i="3" s="1"/>
  <c r="Q242" i="3"/>
  <c r="F296" i="3"/>
  <c r="D297" i="3" s="1"/>
  <c r="N295" i="3"/>
  <c r="M295" i="3"/>
  <c r="O295" i="3" s="1"/>
  <c r="B295" i="3" s="1"/>
  <c r="C295" i="3" s="1"/>
  <c r="L295" i="3"/>
  <c r="K295" i="3"/>
  <c r="A295" i="3"/>
  <c r="E296" i="3"/>
  <c r="G243" i="3" l="1"/>
  <c r="H243" i="3"/>
  <c r="I243" i="3" s="1"/>
  <c r="Q243" i="3"/>
  <c r="P243" i="3"/>
  <c r="J244" i="3" s="1"/>
  <c r="G244" i="3" s="1"/>
  <c r="F297" i="3"/>
  <c r="D298" i="3" s="1"/>
  <c r="N296" i="3"/>
  <c r="M296" i="3"/>
  <c r="O296" i="3" s="1"/>
  <c r="B296" i="3" s="1"/>
  <c r="C296" i="3" s="1"/>
  <c r="L296" i="3"/>
  <c r="K296" i="3"/>
  <c r="A296" i="3"/>
  <c r="E297" i="3"/>
  <c r="Q244" i="3" l="1"/>
  <c r="P244" i="3"/>
  <c r="J245" i="3" s="1"/>
  <c r="H244" i="3"/>
  <c r="I244" i="3" s="1"/>
  <c r="F298" i="3"/>
  <c r="D299" i="3" s="1"/>
  <c r="A297" i="3"/>
  <c r="P297" i="3"/>
  <c r="N297" i="3"/>
  <c r="M297" i="3"/>
  <c r="L297" i="3"/>
  <c r="K297" i="3"/>
  <c r="E298" i="3"/>
  <c r="O297" i="3" l="1"/>
  <c r="B297" i="3" s="1"/>
  <c r="C297" i="3" s="1"/>
  <c r="G245" i="3"/>
  <c r="F299" i="3"/>
  <c r="D300" i="3" s="1"/>
  <c r="A298" i="3"/>
  <c r="N298" i="3"/>
  <c r="M298" i="3"/>
  <c r="L298" i="3"/>
  <c r="K298" i="3"/>
  <c r="J298" i="3"/>
  <c r="E299" i="3"/>
  <c r="O298" i="3" l="1"/>
  <c r="B298" i="3" s="1"/>
  <c r="C298" i="3" s="1"/>
  <c r="Q245" i="3"/>
  <c r="H245" i="3"/>
  <c r="I245" i="3" s="1"/>
  <c r="P245" i="3"/>
  <c r="J246" i="3" s="1"/>
  <c r="G246" i="3" s="1"/>
  <c r="F300" i="3"/>
  <c r="D301" i="3" s="1"/>
  <c r="A299" i="3"/>
  <c r="N299" i="3"/>
  <c r="M299" i="3"/>
  <c r="O299" i="3" s="1"/>
  <c r="B299" i="3" s="1"/>
  <c r="C299" i="3" s="1"/>
  <c r="L299" i="3"/>
  <c r="K299" i="3"/>
  <c r="E300" i="3"/>
  <c r="P246" i="3" l="1"/>
  <c r="J247" i="3" s="1"/>
  <c r="Q246" i="3"/>
  <c r="H246" i="3"/>
  <c r="I246" i="3" s="1"/>
  <c r="F301" i="3"/>
  <c r="D302" i="3" s="1"/>
  <c r="A300" i="3"/>
  <c r="N300" i="3"/>
  <c r="M300" i="3"/>
  <c r="O300" i="3" s="1"/>
  <c r="B300" i="3" s="1"/>
  <c r="C300" i="3" s="1"/>
  <c r="L300" i="3"/>
  <c r="K300" i="3"/>
  <c r="E301" i="3"/>
  <c r="G247" i="3" l="1"/>
  <c r="F302" i="3"/>
  <c r="D303" i="3" s="1"/>
  <c r="K301" i="3"/>
  <c r="A301" i="3"/>
  <c r="N301" i="3"/>
  <c r="M301" i="3"/>
  <c r="O301" i="3" s="1"/>
  <c r="B301" i="3" s="1"/>
  <c r="C301" i="3" s="1"/>
  <c r="L301" i="3"/>
  <c r="E302" i="3"/>
  <c r="P247" i="3" l="1"/>
  <c r="J248" i="3" s="1"/>
  <c r="H247" i="3"/>
  <c r="I247" i="3" s="1"/>
  <c r="Q247" i="3"/>
  <c r="F303" i="3"/>
  <c r="D304" i="3" s="1"/>
  <c r="L302" i="3"/>
  <c r="K302" i="3"/>
  <c r="A302" i="3"/>
  <c r="N302" i="3"/>
  <c r="M302" i="3"/>
  <c r="E303" i="3"/>
  <c r="O302" i="3" l="1"/>
  <c r="B302" i="3" s="1"/>
  <c r="C302" i="3" s="1"/>
  <c r="G248" i="3"/>
  <c r="F304" i="3"/>
  <c r="D305" i="3" s="1"/>
  <c r="M303" i="3"/>
  <c r="L303" i="3"/>
  <c r="K303" i="3"/>
  <c r="A303" i="3"/>
  <c r="N303" i="3"/>
  <c r="E304" i="3"/>
  <c r="Q248" i="3" l="1"/>
  <c r="H248" i="3"/>
  <c r="I248" i="3" s="1"/>
  <c r="P248" i="3"/>
  <c r="J249" i="3" s="1"/>
  <c r="G249" i="3" s="1"/>
  <c r="O303" i="3"/>
  <c r="B303" i="3" s="1"/>
  <c r="C303" i="3" s="1"/>
  <c r="F305" i="3"/>
  <c r="D306" i="3" s="1"/>
  <c r="N304" i="3"/>
  <c r="M304" i="3"/>
  <c r="O304" i="3" s="1"/>
  <c r="B304" i="3" s="1"/>
  <c r="C304" i="3" s="1"/>
  <c r="L304" i="3"/>
  <c r="K304" i="3"/>
  <c r="A304" i="3"/>
  <c r="E305" i="3"/>
  <c r="Q249" i="3" l="1"/>
  <c r="H249" i="3"/>
  <c r="I249" i="3" s="1"/>
  <c r="P249" i="3"/>
  <c r="J250" i="3" s="1"/>
  <c r="G250" i="3" s="1"/>
  <c r="F306" i="3"/>
  <c r="D307" i="3" s="1"/>
  <c r="N305" i="3"/>
  <c r="M305" i="3"/>
  <c r="O305" i="3" s="1"/>
  <c r="B305" i="3" s="1"/>
  <c r="C305" i="3" s="1"/>
  <c r="L305" i="3"/>
  <c r="K305" i="3"/>
  <c r="A305" i="3"/>
  <c r="E306" i="3"/>
  <c r="P250" i="3" l="1"/>
  <c r="J251" i="3" s="1"/>
  <c r="H250" i="3"/>
  <c r="I250" i="3" s="1"/>
  <c r="Q250" i="3"/>
  <c r="F307" i="3"/>
  <c r="D308" i="3" s="1"/>
  <c r="N306" i="3"/>
  <c r="M306" i="3"/>
  <c r="O306" i="3" s="1"/>
  <c r="B306" i="3" s="1"/>
  <c r="C306" i="3" s="1"/>
  <c r="L306" i="3"/>
  <c r="K306" i="3"/>
  <c r="A306" i="3"/>
  <c r="E307" i="3"/>
  <c r="G251" i="3" l="1"/>
  <c r="P251" i="3" s="1"/>
  <c r="J252" i="3" s="1"/>
  <c r="H251" i="3"/>
  <c r="I251" i="3" s="1"/>
  <c r="Q251" i="3"/>
  <c r="F308" i="3"/>
  <c r="D309" i="3" s="1"/>
  <c r="N307" i="3"/>
  <c r="M307" i="3"/>
  <c r="O307" i="3" s="1"/>
  <c r="B307" i="3" s="1"/>
  <c r="C307" i="3" s="1"/>
  <c r="L307" i="3"/>
  <c r="K307" i="3"/>
  <c r="A307" i="3"/>
  <c r="E308" i="3"/>
  <c r="G252" i="3" l="1"/>
  <c r="F309" i="3"/>
  <c r="D310" i="3" s="1"/>
  <c r="N308" i="3"/>
  <c r="M308" i="3"/>
  <c r="O308" i="3" s="1"/>
  <c r="B308" i="3" s="1"/>
  <c r="C308" i="3" s="1"/>
  <c r="L308" i="3"/>
  <c r="K308" i="3"/>
  <c r="A308" i="3"/>
  <c r="E309" i="3"/>
  <c r="P252" i="3" l="1"/>
  <c r="J253" i="3" s="1"/>
  <c r="Q252" i="3"/>
  <c r="H252" i="3"/>
  <c r="I252" i="3" s="1"/>
  <c r="F310" i="3"/>
  <c r="D311" i="3" s="1"/>
  <c r="A309" i="3"/>
  <c r="N309" i="3"/>
  <c r="M309" i="3"/>
  <c r="L309" i="3"/>
  <c r="K309" i="3"/>
  <c r="E310" i="3"/>
  <c r="G253" i="3" l="1"/>
  <c r="P253" i="3" s="1"/>
  <c r="J254" i="3" s="1"/>
  <c r="Q253" i="3"/>
  <c r="H253" i="3"/>
  <c r="I253" i="3" s="1"/>
  <c r="O309" i="3"/>
  <c r="B309" i="3" s="1"/>
  <c r="C309" i="3" s="1"/>
  <c r="F311" i="3"/>
  <c r="D312" i="3" s="1"/>
  <c r="A310" i="3"/>
  <c r="N310" i="3"/>
  <c r="M310" i="3"/>
  <c r="L310" i="3"/>
  <c r="K310" i="3"/>
  <c r="E311" i="3"/>
  <c r="O310" i="3" l="1"/>
  <c r="B310" i="3" s="1"/>
  <c r="C310" i="3" s="1"/>
  <c r="G254" i="3"/>
  <c r="F312" i="3"/>
  <c r="D313" i="3" s="1"/>
  <c r="A311" i="3"/>
  <c r="N311" i="3"/>
  <c r="M311" i="3"/>
  <c r="O311" i="3" s="1"/>
  <c r="B311" i="3" s="1"/>
  <c r="C311" i="3" s="1"/>
  <c r="L311" i="3"/>
  <c r="K311" i="3"/>
  <c r="E312" i="3"/>
  <c r="H254" i="3" l="1"/>
  <c r="I254" i="3" s="1"/>
  <c r="Q254" i="3"/>
  <c r="P254" i="3"/>
  <c r="J255" i="3" s="1"/>
  <c r="G255" i="3" s="1"/>
  <c r="F313" i="3"/>
  <c r="D314" i="3" s="1"/>
  <c r="A312" i="3"/>
  <c r="N312" i="3"/>
  <c r="M312" i="3"/>
  <c r="O312" i="3" s="1"/>
  <c r="B312" i="3" s="1"/>
  <c r="C312" i="3" s="1"/>
  <c r="L312" i="3"/>
  <c r="K312" i="3"/>
  <c r="E313" i="3"/>
  <c r="H255" i="3" l="1"/>
  <c r="I255" i="3" s="1"/>
  <c r="Q255" i="3"/>
  <c r="P255" i="3"/>
  <c r="J256" i="3" s="1"/>
  <c r="G256" i="3" s="1"/>
  <c r="F314" i="3"/>
  <c r="D315" i="3" s="1"/>
  <c r="K313" i="3"/>
  <c r="A313" i="3"/>
  <c r="N313" i="3"/>
  <c r="M313" i="3"/>
  <c r="L313" i="3"/>
  <c r="E314" i="3"/>
  <c r="Q256" i="3" l="1"/>
  <c r="P256" i="3"/>
  <c r="J257" i="3" s="1"/>
  <c r="H256" i="3"/>
  <c r="I256" i="3" s="1"/>
  <c r="O313" i="3"/>
  <c r="B313" i="3" s="1"/>
  <c r="C313" i="3" s="1"/>
  <c r="F315" i="3"/>
  <c r="D316" i="3" s="1"/>
  <c r="L314" i="3"/>
  <c r="K314" i="3"/>
  <c r="A314" i="3"/>
  <c r="N314" i="3"/>
  <c r="M314" i="3"/>
  <c r="E315" i="3"/>
  <c r="G257" i="3" l="1"/>
  <c r="O314" i="3"/>
  <c r="B314" i="3" s="1"/>
  <c r="C314" i="3" s="1"/>
  <c r="P257" i="3"/>
  <c r="J258" i="3" s="1"/>
  <c r="Q257" i="3"/>
  <c r="H257" i="3"/>
  <c r="I257" i="3" s="1"/>
  <c r="F316" i="3"/>
  <c r="D317" i="3" s="1"/>
  <c r="M315" i="3"/>
  <c r="L315" i="3"/>
  <c r="K315" i="3"/>
  <c r="A315" i="3"/>
  <c r="N315" i="3"/>
  <c r="E316" i="3"/>
  <c r="G258" i="3" l="1"/>
  <c r="O315" i="3"/>
  <c r="B315" i="3" s="1"/>
  <c r="C315" i="3" s="1"/>
  <c r="F317" i="3"/>
  <c r="D318" i="3" s="1"/>
  <c r="N316" i="3"/>
  <c r="M316" i="3"/>
  <c r="O316" i="3" s="1"/>
  <c r="B316" i="3" s="1"/>
  <c r="C316" i="3" s="1"/>
  <c r="L316" i="3"/>
  <c r="K316" i="3"/>
  <c r="A316" i="3"/>
  <c r="E317" i="3"/>
  <c r="Q258" i="3" l="1"/>
  <c r="H258" i="3"/>
  <c r="I258" i="3" s="1"/>
  <c r="P258" i="3"/>
  <c r="J259" i="3" s="1"/>
  <c r="G259" i="3" s="1"/>
  <c r="F318" i="3"/>
  <c r="D319" i="3" s="1"/>
  <c r="N317" i="3"/>
  <c r="M317" i="3"/>
  <c r="L317" i="3"/>
  <c r="K317" i="3"/>
  <c r="A317" i="3"/>
  <c r="E318" i="3"/>
  <c r="P259" i="3" l="1"/>
  <c r="J260" i="3" s="1"/>
  <c r="Q259" i="3"/>
  <c r="H259" i="3"/>
  <c r="I259" i="3" s="1"/>
  <c r="O317" i="3"/>
  <c r="B317" i="3" s="1"/>
  <c r="C317" i="3" s="1"/>
  <c r="F319" i="3"/>
  <c r="D320" i="3" s="1"/>
  <c r="N318" i="3"/>
  <c r="M318" i="3"/>
  <c r="L318" i="3"/>
  <c r="K318" i="3"/>
  <c r="A318" i="3"/>
  <c r="E319" i="3"/>
  <c r="O318" i="3" l="1"/>
  <c r="B318" i="3" s="1"/>
  <c r="C318" i="3" s="1"/>
  <c r="G260" i="3"/>
  <c r="F320" i="3"/>
  <c r="D321" i="3" s="1"/>
  <c r="N319" i="3"/>
  <c r="M319" i="3"/>
  <c r="O319" i="3" s="1"/>
  <c r="B319" i="3" s="1"/>
  <c r="C319" i="3" s="1"/>
  <c r="L319" i="3"/>
  <c r="K319" i="3"/>
  <c r="A319" i="3"/>
  <c r="E320" i="3"/>
  <c r="P260" i="3" l="1"/>
  <c r="J261" i="3" s="1"/>
  <c r="H260" i="3"/>
  <c r="I260" i="3" s="1"/>
  <c r="Q260" i="3"/>
  <c r="F321" i="3"/>
  <c r="D322" i="3" s="1"/>
  <c r="N320" i="3"/>
  <c r="M320" i="3"/>
  <c r="O320" i="3" s="1"/>
  <c r="B320" i="3" s="1"/>
  <c r="C320" i="3" s="1"/>
  <c r="L320" i="3"/>
  <c r="K320" i="3"/>
  <c r="A320" i="3"/>
  <c r="E321" i="3"/>
  <c r="G261" i="3" l="1"/>
  <c r="F322" i="3"/>
  <c r="D323" i="3" s="1"/>
  <c r="A321" i="3"/>
  <c r="N321" i="3"/>
  <c r="M321" i="3"/>
  <c r="O321" i="3" s="1"/>
  <c r="B321" i="3" s="1"/>
  <c r="C321" i="3" s="1"/>
  <c r="L321" i="3"/>
  <c r="K321" i="3"/>
  <c r="E322" i="3"/>
  <c r="P261" i="3" l="1"/>
  <c r="J262" i="3" s="1"/>
  <c r="H261" i="3"/>
  <c r="I261" i="3" s="1"/>
  <c r="Q261" i="3"/>
  <c r="F323" i="3"/>
  <c r="D324" i="3" s="1"/>
  <c r="A322" i="3"/>
  <c r="N322" i="3"/>
  <c r="M322" i="3"/>
  <c r="L322" i="3"/>
  <c r="K322" i="3"/>
  <c r="E323" i="3"/>
  <c r="G262" i="3" l="1"/>
  <c r="Q262" i="3"/>
  <c r="P262" i="3"/>
  <c r="J263" i="3" s="1"/>
  <c r="H262" i="3"/>
  <c r="I262" i="3" s="1"/>
  <c r="O322" i="3"/>
  <c r="B322" i="3" s="1"/>
  <c r="C322" i="3" s="1"/>
  <c r="F324" i="3"/>
  <c r="D325" i="3" s="1"/>
  <c r="A323" i="3"/>
  <c r="N323" i="3"/>
  <c r="M323" i="3"/>
  <c r="L323" i="3"/>
  <c r="K323" i="3"/>
  <c r="E324" i="3"/>
  <c r="O323" i="3" l="1"/>
  <c r="B323" i="3" s="1"/>
  <c r="C323" i="3" s="1"/>
  <c r="G263" i="3"/>
  <c r="F325" i="3"/>
  <c r="D326" i="3" s="1"/>
  <c r="A324" i="3"/>
  <c r="N324" i="3"/>
  <c r="M324" i="3"/>
  <c r="O324" i="3" s="1"/>
  <c r="B324" i="3" s="1"/>
  <c r="C324" i="3" s="1"/>
  <c r="L324" i="3"/>
  <c r="K324" i="3"/>
  <c r="E325" i="3"/>
  <c r="H263" i="3" l="1"/>
  <c r="I263" i="3" s="1"/>
  <c r="P263" i="3"/>
  <c r="J264" i="3" s="1"/>
  <c r="G264" i="3" s="1"/>
  <c r="Q263" i="3"/>
  <c r="F326" i="3"/>
  <c r="D327" i="3" s="1"/>
  <c r="K325" i="3"/>
  <c r="A325" i="3"/>
  <c r="N325" i="3"/>
  <c r="M325" i="3"/>
  <c r="L325" i="3"/>
  <c r="E326" i="3"/>
  <c r="H264" i="3" l="1"/>
  <c r="I264" i="3" s="1"/>
  <c r="P264" i="3"/>
  <c r="J265" i="3" s="1"/>
  <c r="G265" i="3" s="1"/>
  <c r="Q264" i="3"/>
  <c r="O325" i="3"/>
  <c r="B325" i="3" s="1"/>
  <c r="C325" i="3" s="1"/>
  <c r="F327" i="3"/>
  <c r="D328" i="3" s="1"/>
  <c r="L326" i="3"/>
  <c r="K326" i="3"/>
  <c r="A326" i="3"/>
  <c r="N326" i="3"/>
  <c r="M326" i="3"/>
  <c r="E327" i="3"/>
  <c r="P265" i="3" l="1"/>
  <c r="J266" i="3" s="1"/>
  <c r="Q265" i="3"/>
  <c r="H265" i="3"/>
  <c r="I265" i="3" s="1"/>
  <c r="G266" i="3" s="1"/>
  <c r="O326" i="3"/>
  <c r="B326" i="3" s="1"/>
  <c r="C326" i="3" s="1"/>
  <c r="F328" i="3"/>
  <c r="D329" i="3" s="1"/>
  <c r="M327" i="3"/>
  <c r="L327" i="3"/>
  <c r="K327" i="3"/>
  <c r="H327" i="3"/>
  <c r="I327" i="3" s="1"/>
  <c r="A327" i="3"/>
  <c r="N327" i="3"/>
  <c r="E328" i="3"/>
  <c r="P266" i="3" l="1"/>
  <c r="J267" i="3" s="1"/>
  <c r="G267" i="3" s="1"/>
  <c r="Q266" i="3"/>
  <c r="O327" i="3"/>
  <c r="B327" i="3" s="1"/>
  <c r="C327" i="3" s="1"/>
  <c r="F329" i="3"/>
  <c r="D330" i="3" s="1"/>
  <c r="N328" i="3"/>
  <c r="M328" i="3"/>
  <c r="L328" i="3"/>
  <c r="K328" i="3"/>
  <c r="A328" i="3"/>
  <c r="P328" i="3"/>
  <c r="E329" i="3"/>
  <c r="O328" i="3" l="1"/>
  <c r="B328" i="3" s="1"/>
  <c r="C328" i="3" s="1"/>
  <c r="H267" i="3"/>
  <c r="I267" i="3" s="1"/>
  <c r="G268" i="3" s="1"/>
  <c r="Q267" i="3"/>
  <c r="F330" i="3"/>
  <c r="D331" i="3" s="1"/>
  <c r="N329" i="3"/>
  <c r="M329" i="3"/>
  <c r="O329" i="3" s="1"/>
  <c r="B329" i="3" s="1"/>
  <c r="C329" i="3" s="1"/>
  <c r="L329" i="3"/>
  <c r="K329" i="3"/>
  <c r="J329" i="3"/>
  <c r="A329" i="3"/>
  <c r="E330" i="3"/>
  <c r="P268" i="3" l="1"/>
  <c r="J269" i="3" s="1"/>
  <c r="Q268" i="3"/>
  <c r="H268" i="3"/>
  <c r="I268" i="3" s="1"/>
  <c r="F331" i="3"/>
  <c r="D332" i="3" s="1"/>
  <c r="N330" i="3"/>
  <c r="M330" i="3"/>
  <c r="O330" i="3" s="1"/>
  <c r="B330" i="3" s="1"/>
  <c r="C330" i="3" s="1"/>
  <c r="L330" i="3"/>
  <c r="K330" i="3"/>
  <c r="A330" i="3"/>
  <c r="E331" i="3"/>
  <c r="G269" i="3" l="1"/>
  <c r="F332" i="3"/>
  <c r="D333" i="3" s="1"/>
  <c r="N331" i="3"/>
  <c r="M331" i="3"/>
  <c r="O331" i="3" s="1"/>
  <c r="B331" i="3" s="1"/>
  <c r="C331" i="3" s="1"/>
  <c r="L331" i="3"/>
  <c r="K331" i="3"/>
  <c r="A331" i="3"/>
  <c r="E332" i="3"/>
  <c r="Q269" i="3" l="1"/>
  <c r="P269" i="3"/>
  <c r="J270" i="3" s="1"/>
  <c r="H269" i="3"/>
  <c r="I269" i="3" s="1"/>
  <c r="F333" i="3"/>
  <c r="D334" i="3" s="1"/>
  <c r="N332" i="3"/>
  <c r="M332" i="3"/>
  <c r="O332" i="3" s="1"/>
  <c r="B332" i="3" s="1"/>
  <c r="C332" i="3" s="1"/>
  <c r="L332" i="3"/>
  <c r="K332" i="3"/>
  <c r="A332" i="3"/>
  <c r="E333" i="3"/>
  <c r="G270" i="3" l="1"/>
  <c r="F334" i="3"/>
  <c r="D335" i="3" s="1"/>
  <c r="A333" i="3"/>
  <c r="N333" i="3"/>
  <c r="M333" i="3"/>
  <c r="O333" i="3" s="1"/>
  <c r="B333" i="3" s="1"/>
  <c r="C333" i="3" s="1"/>
  <c r="L333" i="3"/>
  <c r="K333" i="3"/>
  <c r="E334" i="3"/>
  <c r="P270" i="3" l="1"/>
  <c r="J271" i="3" s="1"/>
  <c r="H270" i="3"/>
  <c r="I270" i="3" s="1"/>
  <c r="Q270" i="3"/>
  <c r="F335" i="3"/>
  <c r="D336" i="3" s="1"/>
  <c r="A334" i="3"/>
  <c r="N334" i="3"/>
  <c r="M334" i="3"/>
  <c r="L334" i="3"/>
  <c r="K334" i="3"/>
  <c r="E335" i="3"/>
  <c r="G271" i="3" l="1"/>
  <c r="P271" i="3"/>
  <c r="J272" i="3" s="1"/>
  <c r="G272" i="3" s="1"/>
  <c r="H271" i="3"/>
  <c r="I271" i="3" s="1"/>
  <c r="Q271" i="3"/>
  <c r="O334" i="3"/>
  <c r="B334" i="3" s="1"/>
  <c r="C334" i="3" s="1"/>
  <c r="F336" i="3"/>
  <c r="D337" i="3" s="1"/>
  <c r="A335" i="3"/>
  <c r="N335" i="3"/>
  <c r="M335" i="3"/>
  <c r="O335" i="3" s="1"/>
  <c r="B335" i="3" s="1"/>
  <c r="C335" i="3" s="1"/>
  <c r="L335" i="3"/>
  <c r="K335" i="3"/>
  <c r="E336" i="3"/>
  <c r="P272" i="3" l="1"/>
  <c r="J273" i="3" s="1"/>
  <c r="H272" i="3"/>
  <c r="I272" i="3" s="1"/>
  <c r="Q272" i="3"/>
  <c r="F337" i="3"/>
  <c r="D338" i="3" s="1"/>
  <c r="A336" i="3"/>
  <c r="N336" i="3"/>
  <c r="M336" i="3"/>
  <c r="O336" i="3" s="1"/>
  <c r="B336" i="3" s="1"/>
  <c r="C336" i="3" s="1"/>
  <c r="L336" i="3"/>
  <c r="K336" i="3"/>
  <c r="E337" i="3"/>
  <c r="G273" i="3" l="1"/>
  <c r="H273" i="3" s="1"/>
  <c r="I273" i="3" s="1"/>
  <c r="Q273" i="3"/>
  <c r="F338" i="3"/>
  <c r="D339" i="3" s="1"/>
  <c r="K337" i="3"/>
  <c r="A337" i="3"/>
  <c r="N337" i="3"/>
  <c r="M337" i="3"/>
  <c r="L337" i="3"/>
  <c r="E338" i="3"/>
  <c r="P273" i="3" l="1"/>
  <c r="J274" i="3" s="1"/>
  <c r="G274" i="3" s="1"/>
  <c r="O337" i="3"/>
  <c r="B337" i="3" s="1"/>
  <c r="C337" i="3" s="1"/>
  <c r="F339" i="3"/>
  <c r="D340" i="3" s="1"/>
  <c r="L338" i="3"/>
  <c r="K338" i="3"/>
  <c r="A338" i="3"/>
  <c r="N338" i="3"/>
  <c r="M338" i="3"/>
  <c r="E339" i="3"/>
  <c r="P274" i="3" l="1"/>
  <c r="J275" i="3" s="1"/>
  <c r="H274" i="3"/>
  <c r="I274" i="3" s="1"/>
  <c r="G275" i="3" s="1"/>
  <c r="Q274" i="3"/>
  <c r="O338" i="3"/>
  <c r="B338" i="3" s="1"/>
  <c r="C338" i="3" s="1"/>
  <c r="F340" i="3"/>
  <c r="D341" i="3" s="1"/>
  <c r="M339" i="3"/>
  <c r="L339" i="3"/>
  <c r="K339" i="3"/>
  <c r="A339" i="3"/>
  <c r="N339" i="3"/>
  <c r="E340" i="3"/>
  <c r="P275" i="3" l="1"/>
  <c r="J276" i="3" s="1"/>
  <c r="Q275" i="3"/>
  <c r="H275" i="3"/>
  <c r="I275" i="3" s="1"/>
  <c r="O339" i="3"/>
  <c r="B339" i="3" s="1"/>
  <c r="C339" i="3" s="1"/>
  <c r="F341" i="3"/>
  <c r="D342" i="3" s="1"/>
  <c r="N340" i="3"/>
  <c r="M340" i="3"/>
  <c r="O340" i="3" s="1"/>
  <c r="B340" i="3" s="1"/>
  <c r="C340" i="3" s="1"/>
  <c r="L340" i="3"/>
  <c r="K340" i="3"/>
  <c r="A340" i="3"/>
  <c r="E341" i="3"/>
  <c r="G276" i="3" l="1"/>
  <c r="F342" i="3"/>
  <c r="D343" i="3" s="1"/>
  <c r="N341" i="3"/>
  <c r="M341" i="3"/>
  <c r="O341" i="3" s="1"/>
  <c r="B341" i="3" s="1"/>
  <c r="C341" i="3" s="1"/>
  <c r="L341" i="3"/>
  <c r="K341" i="3"/>
  <c r="A341" i="3"/>
  <c r="E342" i="3"/>
  <c r="H276" i="3" l="1"/>
  <c r="I276" i="3" s="1"/>
  <c r="Q276" i="3"/>
  <c r="P276" i="3"/>
  <c r="J277" i="3" s="1"/>
  <c r="G277" i="3" s="1"/>
  <c r="F343" i="3"/>
  <c r="D344" i="3" s="1"/>
  <c r="N342" i="3"/>
  <c r="M342" i="3"/>
  <c r="O342" i="3" s="1"/>
  <c r="B342" i="3" s="1"/>
  <c r="C342" i="3" s="1"/>
  <c r="L342" i="3"/>
  <c r="K342" i="3"/>
  <c r="A342" i="3"/>
  <c r="E343" i="3"/>
  <c r="H277" i="3" l="1"/>
  <c r="I277" i="3" s="1"/>
  <c r="P277" i="3"/>
  <c r="J278" i="3" s="1"/>
  <c r="Q277" i="3"/>
  <c r="F344" i="3"/>
  <c r="D345" i="3" s="1"/>
  <c r="N343" i="3"/>
  <c r="M343" i="3"/>
  <c r="L343" i="3"/>
  <c r="K343" i="3"/>
  <c r="A343" i="3"/>
  <c r="E344" i="3"/>
  <c r="G278" i="3" l="1"/>
  <c r="O343" i="3"/>
  <c r="B343" i="3" s="1"/>
  <c r="C343" i="3" s="1"/>
  <c r="P278" i="3"/>
  <c r="J279" i="3" s="1"/>
  <c r="H278" i="3"/>
  <c r="I278" i="3" s="1"/>
  <c r="Q278" i="3"/>
  <c r="F345" i="3"/>
  <c r="D346" i="3" s="1"/>
  <c r="N344" i="3"/>
  <c r="M344" i="3"/>
  <c r="O344" i="3" s="1"/>
  <c r="B344" i="3" s="1"/>
  <c r="C344" i="3" s="1"/>
  <c r="L344" i="3"/>
  <c r="K344" i="3"/>
  <c r="A344" i="3"/>
  <c r="E345" i="3"/>
  <c r="G279" i="3" l="1"/>
  <c r="P279" i="3"/>
  <c r="J280" i="3" s="1"/>
  <c r="H279" i="3"/>
  <c r="I279" i="3" s="1"/>
  <c r="Q279" i="3"/>
  <c r="F346" i="3"/>
  <c r="D347" i="3" s="1"/>
  <c r="A345" i="3"/>
  <c r="N345" i="3"/>
  <c r="M345" i="3"/>
  <c r="O345" i="3" s="1"/>
  <c r="B345" i="3" s="1"/>
  <c r="C345" i="3" s="1"/>
  <c r="L345" i="3"/>
  <c r="K345" i="3"/>
  <c r="E346" i="3"/>
  <c r="G280" i="3" l="1"/>
  <c r="P280" i="3"/>
  <c r="J281" i="3" s="1"/>
  <c r="Q280" i="3"/>
  <c r="H280" i="3"/>
  <c r="I280" i="3" s="1"/>
  <c r="F347" i="3"/>
  <c r="D348" i="3" s="1"/>
  <c r="A346" i="3"/>
  <c r="N346" i="3"/>
  <c r="M346" i="3"/>
  <c r="O346" i="3" s="1"/>
  <c r="B346" i="3" s="1"/>
  <c r="C346" i="3" s="1"/>
  <c r="L346" i="3"/>
  <c r="K346" i="3"/>
  <c r="E347" i="3"/>
  <c r="G281" i="3" l="1"/>
  <c r="F348" i="3"/>
  <c r="D349" i="3" s="1"/>
  <c r="A347" i="3"/>
  <c r="N347" i="3"/>
  <c r="M347" i="3"/>
  <c r="L347" i="3"/>
  <c r="K347" i="3"/>
  <c r="E348" i="3"/>
  <c r="O347" i="3" l="1"/>
  <c r="B347" i="3" s="1"/>
  <c r="C347" i="3" s="1"/>
  <c r="Q281" i="3"/>
  <c r="P281" i="3"/>
  <c r="J282" i="3" s="1"/>
  <c r="H281" i="3"/>
  <c r="I281" i="3" s="1"/>
  <c r="F349" i="3"/>
  <c r="D350" i="3" s="1"/>
  <c r="A348" i="3"/>
  <c r="N348" i="3"/>
  <c r="M348" i="3"/>
  <c r="O348" i="3" s="1"/>
  <c r="B348" i="3" s="1"/>
  <c r="C348" i="3" s="1"/>
  <c r="L348" i="3"/>
  <c r="K348" i="3"/>
  <c r="E349" i="3"/>
  <c r="G282" i="3" l="1"/>
  <c r="H282" i="3"/>
  <c r="I282" i="3" s="1"/>
  <c r="P282" i="3"/>
  <c r="J283" i="3" s="1"/>
  <c r="Q282" i="3"/>
  <c r="F350" i="3"/>
  <c r="D351" i="3" s="1"/>
  <c r="K349" i="3"/>
  <c r="A349" i="3"/>
  <c r="N349" i="3"/>
  <c r="M349" i="3"/>
  <c r="L349" i="3"/>
  <c r="E350" i="3"/>
  <c r="G283" i="3" l="1"/>
  <c r="P283" i="3" s="1"/>
  <c r="J284" i="3" s="1"/>
  <c r="O349" i="3"/>
  <c r="B349" i="3" s="1"/>
  <c r="C349" i="3" s="1"/>
  <c r="F351" i="3"/>
  <c r="D352" i="3" s="1"/>
  <c r="L350" i="3"/>
  <c r="K350" i="3"/>
  <c r="A350" i="3"/>
  <c r="N350" i="3"/>
  <c r="M350" i="3"/>
  <c r="E351" i="3"/>
  <c r="H283" i="3" l="1"/>
  <c r="I283" i="3" s="1"/>
  <c r="Q283" i="3"/>
  <c r="G284" i="3"/>
  <c r="P284" i="3" s="1"/>
  <c r="J285" i="3" s="1"/>
  <c r="O350" i="3"/>
  <c r="B350" i="3" s="1"/>
  <c r="C350" i="3" s="1"/>
  <c r="H284" i="3"/>
  <c r="I284" i="3" s="1"/>
  <c r="F352" i="3"/>
  <c r="D353" i="3" s="1"/>
  <c r="M351" i="3"/>
  <c r="L351" i="3"/>
  <c r="K351" i="3"/>
  <c r="A351" i="3"/>
  <c r="N351" i="3"/>
  <c r="E352" i="3"/>
  <c r="Q284" i="3" l="1"/>
  <c r="G285" i="3"/>
  <c r="O351" i="3"/>
  <c r="B351" i="3" s="1"/>
  <c r="C351" i="3" s="1"/>
  <c r="F353" i="3"/>
  <c r="D354" i="3" s="1"/>
  <c r="N352" i="3"/>
  <c r="M352" i="3"/>
  <c r="O352" i="3" s="1"/>
  <c r="B352" i="3" s="1"/>
  <c r="C352" i="3" s="1"/>
  <c r="L352" i="3"/>
  <c r="K352" i="3"/>
  <c r="A352" i="3"/>
  <c r="E353" i="3"/>
  <c r="P285" i="3" l="1"/>
  <c r="J286" i="3" s="1"/>
  <c r="H285" i="3"/>
  <c r="I285" i="3" s="1"/>
  <c r="Q285" i="3"/>
  <c r="F354" i="3"/>
  <c r="D355" i="3" s="1"/>
  <c r="N353" i="3"/>
  <c r="M353" i="3"/>
  <c r="O353" i="3" s="1"/>
  <c r="B353" i="3" s="1"/>
  <c r="C353" i="3" s="1"/>
  <c r="L353" i="3"/>
  <c r="K353" i="3"/>
  <c r="A353" i="3"/>
  <c r="E354" i="3"/>
  <c r="G286" i="3" l="1"/>
  <c r="P286" i="3"/>
  <c r="J287" i="3" s="1"/>
  <c r="Q286" i="3"/>
  <c r="H286" i="3"/>
  <c r="I286" i="3" s="1"/>
  <c r="F355" i="3"/>
  <c r="D356" i="3" s="1"/>
  <c r="N354" i="3"/>
  <c r="M354" i="3"/>
  <c r="O354" i="3" s="1"/>
  <c r="B354" i="3" s="1"/>
  <c r="C354" i="3" s="1"/>
  <c r="L354" i="3"/>
  <c r="K354" i="3"/>
  <c r="A354" i="3"/>
  <c r="E355" i="3"/>
  <c r="G287" i="3" l="1"/>
  <c r="F356" i="3"/>
  <c r="D357" i="3" s="1"/>
  <c r="N355" i="3"/>
  <c r="M355" i="3"/>
  <c r="O355" i="3" s="1"/>
  <c r="B355" i="3" s="1"/>
  <c r="C355" i="3" s="1"/>
  <c r="L355" i="3"/>
  <c r="K355" i="3"/>
  <c r="A355" i="3"/>
  <c r="E356" i="3"/>
  <c r="H287" i="3" l="1"/>
  <c r="I287" i="3" s="1"/>
  <c r="Q287" i="3"/>
  <c r="P287" i="3"/>
  <c r="J288" i="3" s="1"/>
  <c r="F357" i="3"/>
  <c r="D358" i="3" s="1"/>
  <c r="N356" i="3"/>
  <c r="M356" i="3"/>
  <c r="O356" i="3" s="1"/>
  <c r="B356" i="3" s="1"/>
  <c r="C356" i="3" s="1"/>
  <c r="L356" i="3"/>
  <c r="K356" i="3"/>
  <c r="A356" i="3"/>
  <c r="E357" i="3"/>
  <c r="G288" i="3" l="1"/>
  <c r="P288" i="3" s="1"/>
  <c r="J289" i="3" s="1"/>
  <c r="F358" i="3"/>
  <c r="D359" i="3" s="1"/>
  <c r="A357" i="3"/>
  <c r="N357" i="3"/>
  <c r="M357" i="3"/>
  <c r="O357" i="3" s="1"/>
  <c r="B357" i="3" s="1"/>
  <c r="C357" i="3" s="1"/>
  <c r="L357" i="3"/>
  <c r="K357" i="3"/>
  <c r="E358" i="3"/>
  <c r="H288" i="3" l="1"/>
  <c r="I288" i="3" s="1"/>
  <c r="G289" i="3" s="1"/>
  <c r="Q289" i="3" s="1"/>
  <c r="Q288" i="3"/>
  <c r="F359" i="3"/>
  <c r="D360" i="3" s="1"/>
  <c r="A358" i="3"/>
  <c r="P358" i="3"/>
  <c r="N358" i="3"/>
  <c r="M358" i="3"/>
  <c r="L358" i="3"/>
  <c r="K358" i="3"/>
  <c r="E359" i="3"/>
  <c r="H289" i="3" l="1"/>
  <c r="I289" i="3" s="1"/>
  <c r="P289" i="3"/>
  <c r="J290" i="3" s="1"/>
  <c r="O358" i="3"/>
  <c r="B358" i="3" s="1"/>
  <c r="C358" i="3" s="1"/>
  <c r="F360" i="3"/>
  <c r="D361" i="3" s="1"/>
  <c r="A359" i="3"/>
  <c r="N359" i="3"/>
  <c r="M359" i="3"/>
  <c r="O359" i="3" s="1"/>
  <c r="B359" i="3" s="1"/>
  <c r="C359" i="3" s="1"/>
  <c r="L359" i="3"/>
  <c r="K359" i="3"/>
  <c r="J359" i="3"/>
  <c r="E360" i="3"/>
  <c r="G290" i="3" l="1"/>
  <c r="P290" i="3"/>
  <c r="J291" i="3" s="1"/>
  <c r="H290" i="3"/>
  <c r="I290" i="3" s="1"/>
  <c r="Q290" i="3"/>
  <c r="F361" i="3"/>
  <c r="D362" i="3" s="1"/>
  <c r="A360" i="3"/>
  <c r="N360" i="3"/>
  <c r="M360" i="3"/>
  <c r="O360" i="3" s="1"/>
  <c r="B360" i="3" s="1"/>
  <c r="C360" i="3" s="1"/>
  <c r="L360" i="3"/>
  <c r="K360" i="3"/>
  <c r="E361" i="3"/>
  <c r="G291" i="3" l="1"/>
  <c r="P291" i="3" s="1"/>
  <c r="J292" i="3" s="1"/>
  <c r="H291" i="3"/>
  <c r="I291" i="3" s="1"/>
  <c r="Q291" i="3"/>
  <c r="F362" i="3"/>
  <c r="D363" i="3" s="1"/>
  <c r="K361" i="3"/>
  <c r="A361" i="3"/>
  <c r="N361" i="3"/>
  <c r="M361" i="3"/>
  <c r="O361" i="3" s="1"/>
  <c r="B361" i="3" s="1"/>
  <c r="C361" i="3" s="1"/>
  <c r="L361" i="3"/>
  <c r="E362" i="3"/>
  <c r="G292" i="3" l="1"/>
  <c r="P292" i="3"/>
  <c r="J293" i="3" s="1"/>
  <c r="G293" i="3" s="1"/>
  <c r="P293" i="3" s="1"/>
  <c r="J294" i="3" s="1"/>
  <c r="H292" i="3"/>
  <c r="I292" i="3" s="1"/>
  <c r="Q292" i="3"/>
  <c r="F363" i="3"/>
  <c r="D364" i="3" s="1"/>
  <c r="L362" i="3"/>
  <c r="K362" i="3"/>
  <c r="A362" i="3"/>
  <c r="N362" i="3"/>
  <c r="M362" i="3"/>
  <c r="E363" i="3"/>
  <c r="H293" i="3" l="1"/>
  <c r="I293" i="3" s="1"/>
  <c r="Q293" i="3"/>
  <c r="G294" i="3"/>
  <c r="O362" i="3"/>
  <c r="B362" i="3" s="1"/>
  <c r="C362" i="3" s="1"/>
  <c r="F364" i="3"/>
  <c r="D365" i="3" s="1"/>
  <c r="M363" i="3"/>
  <c r="L363" i="3"/>
  <c r="K363" i="3"/>
  <c r="A363" i="3"/>
  <c r="N363" i="3"/>
  <c r="E364" i="3"/>
  <c r="Q294" i="3" l="1"/>
  <c r="H294" i="3"/>
  <c r="I294" i="3" s="1"/>
  <c r="P294" i="3"/>
  <c r="J295" i="3" s="1"/>
  <c r="G295" i="3" s="1"/>
  <c r="O363" i="3"/>
  <c r="B363" i="3" s="1"/>
  <c r="C363" i="3" s="1"/>
  <c r="F365" i="3"/>
  <c r="D366" i="3" s="1"/>
  <c r="N364" i="3"/>
  <c r="M364" i="3"/>
  <c r="O364" i="3" s="1"/>
  <c r="B364" i="3" s="1"/>
  <c r="C364" i="3" s="1"/>
  <c r="L364" i="3"/>
  <c r="K364" i="3"/>
  <c r="A364" i="3"/>
  <c r="E365" i="3"/>
  <c r="Q295" i="3" l="1"/>
  <c r="H295" i="3"/>
  <c r="I295" i="3" s="1"/>
  <c r="P295" i="3"/>
  <c r="J296" i="3" s="1"/>
  <c r="G296" i="3" s="1"/>
  <c r="F366" i="3"/>
  <c r="D367" i="3" s="1"/>
  <c r="N365" i="3"/>
  <c r="M365" i="3"/>
  <c r="O365" i="3" s="1"/>
  <c r="B365" i="3" s="1"/>
  <c r="C365" i="3" s="1"/>
  <c r="L365" i="3"/>
  <c r="K365" i="3"/>
  <c r="A365" i="3"/>
  <c r="E366" i="3"/>
  <c r="Q296" i="3" l="1"/>
  <c r="H296" i="3"/>
  <c r="I296" i="3" s="1"/>
  <c r="P296" i="3"/>
  <c r="J297" i="3" s="1"/>
  <c r="G297" i="3" s="1"/>
  <c r="F367" i="3"/>
  <c r="D368" i="3" s="1"/>
  <c r="N366" i="3"/>
  <c r="M366" i="3"/>
  <c r="O366" i="3" s="1"/>
  <c r="B366" i="3" s="1"/>
  <c r="C366" i="3" s="1"/>
  <c r="L366" i="3"/>
  <c r="K366" i="3"/>
  <c r="A366" i="3"/>
  <c r="E367" i="3"/>
  <c r="H297" i="3" l="1"/>
  <c r="I297" i="3" s="1"/>
  <c r="G298" i="3" s="1"/>
  <c r="Q297" i="3"/>
  <c r="F368" i="3"/>
  <c r="D369" i="3" s="1"/>
  <c r="N367" i="3"/>
  <c r="M367" i="3"/>
  <c r="L367" i="3"/>
  <c r="K367" i="3"/>
  <c r="A367" i="3"/>
  <c r="E368" i="3"/>
  <c r="O367" i="3" l="1"/>
  <c r="B367" i="3" s="1"/>
  <c r="C367" i="3" s="1"/>
  <c r="P298" i="3"/>
  <c r="J299" i="3" s="1"/>
  <c r="Q298" i="3"/>
  <c r="H298" i="3"/>
  <c r="I298" i="3" s="1"/>
  <c r="F369" i="3"/>
  <c r="D370" i="3" s="1"/>
  <c r="N368" i="3"/>
  <c r="M368" i="3"/>
  <c r="O368" i="3" s="1"/>
  <c r="B368" i="3" s="1"/>
  <c r="C368" i="3" s="1"/>
  <c r="L368" i="3"/>
  <c r="K368" i="3"/>
  <c r="A368" i="3"/>
  <c r="E369" i="3"/>
  <c r="G299" i="3" l="1"/>
  <c r="F370" i="3"/>
  <c r="D371" i="3" s="1"/>
  <c r="A369" i="3"/>
  <c r="N369" i="3"/>
  <c r="M369" i="3"/>
  <c r="O369" i="3" s="1"/>
  <c r="B369" i="3" s="1"/>
  <c r="C369" i="3" s="1"/>
  <c r="L369" i="3"/>
  <c r="K369" i="3"/>
  <c r="E370" i="3"/>
  <c r="Q299" i="3" l="1"/>
  <c r="H299" i="3"/>
  <c r="I299" i="3" s="1"/>
  <c r="P299" i="3"/>
  <c r="J300" i="3" s="1"/>
  <c r="G300" i="3" s="1"/>
  <c r="F371" i="3"/>
  <c r="D372" i="3" s="1"/>
  <c r="A370" i="3"/>
  <c r="N370" i="3"/>
  <c r="M370" i="3"/>
  <c r="L370" i="3"/>
  <c r="K370" i="3"/>
  <c r="E371" i="3"/>
  <c r="O370" i="3" l="1"/>
  <c r="B370" i="3" s="1"/>
  <c r="C370" i="3" s="1"/>
  <c r="H300" i="3"/>
  <c r="I300" i="3" s="1"/>
  <c r="P300" i="3"/>
  <c r="J301" i="3" s="1"/>
  <c r="Q300" i="3"/>
  <c r="F372" i="3"/>
  <c r="D373" i="3" s="1"/>
  <c r="A371" i="3"/>
  <c r="N371" i="3"/>
  <c r="M371" i="3"/>
  <c r="O371" i="3" s="1"/>
  <c r="B371" i="3" s="1"/>
  <c r="C371" i="3" s="1"/>
  <c r="L371" i="3"/>
  <c r="K371" i="3"/>
  <c r="E372" i="3"/>
  <c r="G301" i="3" l="1"/>
  <c r="Q301" i="3"/>
  <c r="P301" i="3"/>
  <c r="J302" i="3" s="1"/>
  <c r="H301" i="3"/>
  <c r="I301" i="3" s="1"/>
  <c r="F373" i="3"/>
  <c r="D374" i="3" s="1"/>
  <c r="A372" i="3"/>
  <c r="N372" i="3"/>
  <c r="M372" i="3"/>
  <c r="L372" i="3"/>
  <c r="K372" i="3"/>
  <c r="E373" i="3"/>
  <c r="G302" i="3" l="1"/>
  <c r="P302" i="3" s="1"/>
  <c r="J303" i="3" s="1"/>
  <c r="O372" i="3"/>
  <c r="B372" i="3" s="1"/>
  <c r="C372" i="3" s="1"/>
  <c r="F374" i="3"/>
  <c r="D375" i="3" s="1"/>
  <c r="K373" i="3"/>
  <c r="A373" i="3"/>
  <c r="N373" i="3"/>
  <c r="M373" i="3"/>
  <c r="L373" i="3"/>
  <c r="E374" i="3"/>
  <c r="Q302" i="3" l="1"/>
  <c r="H302" i="3"/>
  <c r="I302" i="3" s="1"/>
  <c r="G303" i="3" s="1"/>
  <c r="O373" i="3"/>
  <c r="B373" i="3" s="1"/>
  <c r="C373" i="3" s="1"/>
  <c r="F375" i="3"/>
  <c r="D376" i="3" s="1"/>
  <c r="L374" i="3"/>
  <c r="K374" i="3"/>
  <c r="A374" i="3"/>
  <c r="N374" i="3"/>
  <c r="M374" i="3"/>
  <c r="E375" i="3"/>
  <c r="P303" i="3" l="1"/>
  <c r="J304" i="3" s="1"/>
  <c r="Q303" i="3"/>
  <c r="H303" i="3"/>
  <c r="I303" i="3" s="1"/>
  <c r="G304" i="3" s="1"/>
  <c r="O374" i="3"/>
  <c r="B374" i="3" s="1"/>
  <c r="C374" i="3" s="1"/>
  <c r="F376" i="3"/>
  <c r="D377" i="3" s="1"/>
  <c r="M375" i="3"/>
  <c r="L375" i="3"/>
  <c r="K375" i="3"/>
  <c r="A375" i="3"/>
  <c r="N375" i="3"/>
  <c r="E376" i="3"/>
  <c r="P304" i="3" l="1"/>
  <c r="J305" i="3" s="1"/>
  <c r="Q304" i="3"/>
  <c r="H304" i="3"/>
  <c r="I304" i="3" s="1"/>
  <c r="O375" i="3"/>
  <c r="B375" i="3" s="1"/>
  <c r="C375" i="3" s="1"/>
  <c r="F377" i="3"/>
  <c r="D378" i="3" s="1"/>
  <c r="N376" i="3"/>
  <c r="M376" i="3"/>
  <c r="O376" i="3" s="1"/>
  <c r="B376" i="3" s="1"/>
  <c r="C376" i="3" s="1"/>
  <c r="L376" i="3"/>
  <c r="K376" i="3"/>
  <c r="A376" i="3"/>
  <c r="E377" i="3"/>
  <c r="G305" i="3" l="1"/>
  <c r="F378" i="3"/>
  <c r="D379" i="3" s="1"/>
  <c r="N377" i="3"/>
  <c r="M377" i="3"/>
  <c r="O377" i="3" s="1"/>
  <c r="B377" i="3" s="1"/>
  <c r="C377" i="3" s="1"/>
  <c r="L377" i="3"/>
  <c r="K377" i="3"/>
  <c r="A377" i="3"/>
  <c r="E378" i="3"/>
  <c r="P305" i="3" l="1"/>
  <c r="J306" i="3" s="1"/>
  <c r="Q305" i="3"/>
  <c r="H305" i="3"/>
  <c r="I305" i="3" s="1"/>
  <c r="F379" i="3"/>
  <c r="D380" i="3" s="1"/>
  <c r="N378" i="3"/>
  <c r="M378" i="3"/>
  <c r="O378" i="3" s="1"/>
  <c r="B378" i="3" s="1"/>
  <c r="C378" i="3" s="1"/>
  <c r="L378" i="3"/>
  <c r="K378" i="3"/>
  <c r="A378" i="3"/>
  <c r="E379" i="3"/>
  <c r="G306" i="3" l="1"/>
  <c r="F380" i="3"/>
  <c r="D381" i="3" s="1"/>
  <c r="N379" i="3"/>
  <c r="M379" i="3"/>
  <c r="O379" i="3" s="1"/>
  <c r="B379" i="3" s="1"/>
  <c r="C379" i="3" s="1"/>
  <c r="L379" i="3"/>
  <c r="K379" i="3"/>
  <c r="A379" i="3"/>
  <c r="E380" i="3"/>
  <c r="Q306" i="3" l="1"/>
  <c r="P306" i="3"/>
  <c r="J307" i="3" s="1"/>
  <c r="H306" i="3"/>
  <c r="I306" i="3" s="1"/>
  <c r="F381" i="3"/>
  <c r="D382" i="3" s="1"/>
  <c r="N380" i="3"/>
  <c r="M380" i="3"/>
  <c r="O380" i="3" s="1"/>
  <c r="B380" i="3" s="1"/>
  <c r="C380" i="3" s="1"/>
  <c r="L380" i="3"/>
  <c r="K380" i="3"/>
  <c r="A380" i="3"/>
  <c r="E381" i="3"/>
  <c r="G307" i="3" l="1"/>
  <c r="P307" i="3" s="1"/>
  <c r="J308" i="3" s="1"/>
  <c r="Q307" i="3"/>
  <c r="H307" i="3"/>
  <c r="I307" i="3" s="1"/>
  <c r="F382" i="3"/>
  <c r="D383" i="3" s="1"/>
  <c r="A381" i="3"/>
  <c r="N381" i="3"/>
  <c r="M381" i="3"/>
  <c r="O381" i="3" s="1"/>
  <c r="B381" i="3" s="1"/>
  <c r="C381" i="3" s="1"/>
  <c r="L381" i="3"/>
  <c r="K381" i="3"/>
  <c r="E382" i="3"/>
  <c r="G308" i="3" l="1"/>
  <c r="F383" i="3"/>
  <c r="D384" i="3" s="1"/>
  <c r="A382" i="3"/>
  <c r="N382" i="3"/>
  <c r="M382" i="3"/>
  <c r="O382" i="3" s="1"/>
  <c r="B382" i="3" s="1"/>
  <c r="C382" i="3" s="1"/>
  <c r="L382" i="3"/>
  <c r="K382" i="3"/>
  <c r="E383" i="3"/>
  <c r="P308" i="3" l="1"/>
  <c r="J309" i="3" s="1"/>
  <c r="Q308" i="3"/>
  <c r="H308" i="3"/>
  <c r="I308" i="3" s="1"/>
  <c r="F384" i="3"/>
  <c r="D385" i="3" s="1"/>
  <c r="A383" i="3"/>
  <c r="N383" i="3"/>
  <c r="M383" i="3"/>
  <c r="O383" i="3" s="1"/>
  <c r="B383" i="3" s="1"/>
  <c r="C383" i="3" s="1"/>
  <c r="L383" i="3"/>
  <c r="K383" i="3"/>
  <c r="E384" i="3"/>
  <c r="G309" i="3" l="1"/>
  <c r="F385" i="3"/>
  <c r="D386" i="3" s="1"/>
  <c r="A384" i="3"/>
  <c r="N384" i="3"/>
  <c r="M384" i="3"/>
  <c r="O384" i="3" s="1"/>
  <c r="B384" i="3" s="1"/>
  <c r="C384" i="3" s="1"/>
  <c r="L384" i="3"/>
  <c r="K384" i="3"/>
  <c r="E385" i="3"/>
  <c r="P309" i="3" l="1"/>
  <c r="J310" i="3" s="1"/>
  <c r="Q309" i="3"/>
  <c r="H309" i="3"/>
  <c r="I309" i="3" s="1"/>
  <c r="F386" i="3"/>
  <c r="D387" i="3" s="1"/>
  <c r="K385" i="3"/>
  <c r="A385" i="3"/>
  <c r="N385" i="3"/>
  <c r="M385" i="3"/>
  <c r="L385" i="3"/>
  <c r="E386" i="3"/>
  <c r="O385" i="3" l="1"/>
  <c r="B385" i="3" s="1"/>
  <c r="C385" i="3" s="1"/>
  <c r="G310" i="3"/>
  <c r="F387" i="3"/>
  <c r="D388" i="3" s="1"/>
  <c r="L386" i="3"/>
  <c r="K386" i="3"/>
  <c r="A386" i="3"/>
  <c r="N386" i="3"/>
  <c r="M386" i="3"/>
  <c r="O386" i="3" s="1"/>
  <c r="B386" i="3" s="1"/>
  <c r="C386" i="3" s="1"/>
  <c r="E387" i="3"/>
  <c r="P310" i="3" l="1"/>
  <c r="J311" i="3" s="1"/>
  <c r="Q310" i="3"/>
  <c r="H310" i="3"/>
  <c r="I310" i="3" s="1"/>
  <c r="F388" i="3"/>
  <c r="D389" i="3" s="1"/>
  <c r="M387" i="3"/>
  <c r="L387" i="3"/>
  <c r="K387" i="3"/>
  <c r="A387" i="3"/>
  <c r="N387" i="3"/>
  <c r="E388" i="3"/>
  <c r="G311" i="3" l="1"/>
  <c r="P311" i="3"/>
  <c r="J312" i="3" s="1"/>
  <c r="Q311" i="3"/>
  <c r="H311" i="3"/>
  <c r="I311" i="3" s="1"/>
  <c r="O387" i="3"/>
  <c r="B387" i="3" s="1"/>
  <c r="C387" i="3" s="1"/>
  <c r="F389" i="3"/>
  <c r="D390" i="3" s="1"/>
  <c r="N388" i="3"/>
  <c r="M388" i="3"/>
  <c r="O388" i="3" s="1"/>
  <c r="B388" i="3" s="1"/>
  <c r="C388" i="3" s="1"/>
  <c r="L388" i="3"/>
  <c r="K388" i="3"/>
  <c r="H388" i="3"/>
  <c r="I388" i="3" s="1"/>
  <c r="A388" i="3"/>
  <c r="E389" i="3"/>
  <c r="G312" i="3" l="1"/>
  <c r="F390" i="3"/>
  <c r="D391" i="3" s="1"/>
  <c r="N389" i="3"/>
  <c r="M389" i="3"/>
  <c r="O389" i="3" s="1"/>
  <c r="B389" i="3" s="1"/>
  <c r="C389" i="3" s="1"/>
  <c r="L389" i="3"/>
  <c r="K389" i="3"/>
  <c r="A389" i="3"/>
  <c r="P389" i="3"/>
  <c r="E390" i="3"/>
  <c r="Q312" i="3" l="1"/>
  <c r="P312" i="3"/>
  <c r="J313" i="3" s="1"/>
  <c r="H312" i="3"/>
  <c r="I312" i="3" s="1"/>
  <c r="F391" i="3"/>
  <c r="D392" i="3" s="1"/>
  <c r="N390" i="3"/>
  <c r="M390" i="3"/>
  <c r="O390" i="3" s="1"/>
  <c r="B390" i="3" s="1"/>
  <c r="C390" i="3" s="1"/>
  <c r="L390" i="3"/>
  <c r="K390" i="3"/>
  <c r="J390" i="3"/>
  <c r="A390" i="3"/>
  <c r="E391" i="3"/>
  <c r="G313" i="3" l="1"/>
  <c r="Q313" i="3"/>
  <c r="P313" i="3"/>
  <c r="J314" i="3" s="1"/>
  <c r="H313" i="3"/>
  <c r="I313" i="3" s="1"/>
  <c r="F392" i="3"/>
  <c r="N391" i="3"/>
  <c r="M391" i="3"/>
  <c r="O391" i="3" s="1"/>
  <c r="B391" i="3" s="1"/>
  <c r="C391" i="3" s="1"/>
  <c r="L391" i="3"/>
  <c r="K391" i="3"/>
  <c r="A391" i="3"/>
  <c r="E392" i="3"/>
  <c r="G314" i="3" l="1"/>
  <c r="H314" i="3" s="1"/>
  <c r="I314" i="3" s="1"/>
  <c r="D393" i="3"/>
  <c r="F393" i="3"/>
  <c r="N392" i="3"/>
  <c r="M392" i="3"/>
  <c r="O392" i="3" s="1"/>
  <c r="B392" i="3" s="1"/>
  <c r="C392" i="3" s="1"/>
  <c r="L392" i="3"/>
  <c r="K392" i="3"/>
  <c r="A392" i="3"/>
  <c r="E393" i="3"/>
  <c r="P314" i="3" l="1"/>
  <c r="J315" i="3" s="1"/>
  <c r="G315" i="3" s="1"/>
  <c r="Q315" i="3" s="1"/>
  <c r="Q314" i="3"/>
  <c r="D394" i="3"/>
  <c r="F394" i="3"/>
  <c r="A393" i="3"/>
  <c r="N393" i="3"/>
  <c r="M393" i="3"/>
  <c r="O393" i="3" s="1"/>
  <c r="B393" i="3" s="1"/>
  <c r="C393" i="3" s="1"/>
  <c r="L393" i="3"/>
  <c r="K393" i="3"/>
  <c r="E394" i="3"/>
  <c r="H315" i="3" l="1"/>
  <c r="I315" i="3" s="1"/>
  <c r="P315" i="3"/>
  <c r="J316" i="3" s="1"/>
  <c r="D395" i="3"/>
  <c r="F395" i="3"/>
  <c r="D396" i="3" s="1"/>
  <c r="A394" i="3"/>
  <c r="N394" i="3"/>
  <c r="M394" i="3"/>
  <c r="L394" i="3"/>
  <c r="K394" i="3"/>
  <c r="E395" i="3"/>
  <c r="G316" i="3" l="1"/>
  <c r="P316" i="3" s="1"/>
  <c r="J317" i="3" s="1"/>
  <c r="H316" i="3"/>
  <c r="I316" i="3" s="1"/>
  <c r="Q316" i="3"/>
  <c r="O394" i="3"/>
  <c r="B394" i="3" s="1"/>
  <c r="C394" i="3" s="1"/>
  <c r="F396" i="3"/>
  <c r="D397" i="3" s="1"/>
  <c r="A395" i="3"/>
  <c r="N395" i="3"/>
  <c r="M395" i="3"/>
  <c r="O395" i="3" s="1"/>
  <c r="B395" i="3" s="1"/>
  <c r="C395" i="3" s="1"/>
  <c r="L395" i="3"/>
  <c r="K395" i="3"/>
  <c r="E396" i="3"/>
  <c r="G317" i="3" l="1"/>
  <c r="Q317" i="3"/>
  <c r="H317" i="3"/>
  <c r="I317" i="3" s="1"/>
  <c r="P317" i="3"/>
  <c r="J318" i="3" s="1"/>
  <c r="F397" i="3"/>
  <c r="D398" i="3" s="1"/>
  <c r="A396" i="3"/>
  <c r="N396" i="3"/>
  <c r="M396" i="3"/>
  <c r="L396" i="3"/>
  <c r="K396" i="3"/>
  <c r="E397" i="3"/>
  <c r="G318" i="3" l="1"/>
  <c r="P318" i="3" s="1"/>
  <c r="J319" i="3" s="1"/>
  <c r="O396" i="3"/>
  <c r="B396" i="3" s="1"/>
  <c r="C396" i="3" s="1"/>
  <c r="F398" i="3"/>
  <c r="D399" i="3" s="1"/>
  <c r="K397" i="3"/>
  <c r="A397" i="3"/>
  <c r="N397" i="3"/>
  <c r="M397" i="3"/>
  <c r="L397" i="3"/>
  <c r="E398" i="3"/>
  <c r="H318" i="3" l="1"/>
  <c r="I318" i="3" s="1"/>
  <c r="G319" i="3" s="1"/>
  <c r="Q318" i="3"/>
  <c r="O397" i="3"/>
  <c r="B397" i="3" s="1"/>
  <c r="C397" i="3" s="1"/>
  <c r="F399" i="3"/>
  <c r="D400" i="3" s="1"/>
  <c r="L398" i="3"/>
  <c r="K398" i="3"/>
  <c r="A398" i="3"/>
  <c r="N398" i="3"/>
  <c r="M398" i="3"/>
  <c r="E399" i="3"/>
  <c r="Q319" i="3" l="1"/>
  <c r="H319" i="3"/>
  <c r="I319" i="3" s="1"/>
  <c r="P319" i="3"/>
  <c r="J320" i="3" s="1"/>
  <c r="G320" i="3" s="1"/>
  <c r="Q320" i="3" s="1"/>
  <c r="O398" i="3"/>
  <c r="B398" i="3" s="1"/>
  <c r="C398" i="3" s="1"/>
  <c r="F400" i="3"/>
  <c r="D401" i="3" s="1"/>
  <c r="M399" i="3"/>
  <c r="L399" i="3"/>
  <c r="K399" i="3"/>
  <c r="A399" i="3"/>
  <c r="N399" i="3"/>
  <c r="E400" i="3"/>
  <c r="H320" i="3" l="1"/>
  <c r="I320" i="3" s="1"/>
  <c r="P320" i="3"/>
  <c r="J321" i="3" s="1"/>
  <c r="G321" i="3" s="1"/>
  <c r="H321" i="3" s="1"/>
  <c r="I321" i="3" s="1"/>
  <c r="O399" i="3"/>
  <c r="B399" i="3" s="1"/>
  <c r="C399" i="3" s="1"/>
  <c r="F401" i="3"/>
  <c r="D402" i="3" s="1"/>
  <c r="N400" i="3"/>
  <c r="M400" i="3"/>
  <c r="O400" i="3" s="1"/>
  <c r="B400" i="3" s="1"/>
  <c r="C400" i="3" s="1"/>
  <c r="L400" i="3"/>
  <c r="K400" i="3"/>
  <c r="A400" i="3"/>
  <c r="E401" i="3"/>
  <c r="Q321" i="3" l="1"/>
  <c r="P321" i="3"/>
  <c r="J322" i="3" s="1"/>
  <c r="G322" i="3" s="1"/>
  <c r="F402" i="3"/>
  <c r="D403" i="3" s="1"/>
  <c r="N401" i="3"/>
  <c r="M401" i="3"/>
  <c r="O401" i="3" s="1"/>
  <c r="B401" i="3" s="1"/>
  <c r="C401" i="3" s="1"/>
  <c r="L401" i="3"/>
  <c r="K401" i="3"/>
  <c r="A401" i="3"/>
  <c r="E402" i="3"/>
  <c r="P322" i="3" l="1"/>
  <c r="J323" i="3" s="1"/>
  <c r="Q322" i="3"/>
  <c r="H322" i="3"/>
  <c r="I322" i="3" s="1"/>
  <c r="F403" i="3"/>
  <c r="D404" i="3" s="1"/>
  <c r="N402" i="3"/>
  <c r="M402" i="3"/>
  <c r="O402" i="3" s="1"/>
  <c r="B402" i="3" s="1"/>
  <c r="C402" i="3" s="1"/>
  <c r="L402" i="3"/>
  <c r="K402" i="3"/>
  <c r="A402" i="3"/>
  <c r="E403" i="3"/>
  <c r="G323" i="3" l="1"/>
  <c r="F404" i="3"/>
  <c r="D405" i="3" s="1"/>
  <c r="N403" i="3"/>
  <c r="M403" i="3"/>
  <c r="O403" i="3" s="1"/>
  <c r="B403" i="3" s="1"/>
  <c r="C403" i="3" s="1"/>
  <c r="L403" i="3"/>
  <c r="K403" i="3"/>
  <c r="A403" i="3"/>
  <c r="E404" i="3"/>
  <c r="P323" i="3" l="1"/>
  <c r="J324" i="3" s="1"/>
  <c r="Q323" i="3"/>
  <c r="H323" i="3"/>
  <c r="I323" i="3" s="1"/>
  <c r="G324" i="3" s="1"/>
  <c r="P324" i="3" s="1"/>
  <c r="J325" i="3" s="1"/>
  <c r="F405" i="3"/>
  <c r="D406" i="3" s="1"/>
  <c r="N404" i="3"/>
  <c r="M404" i="3"/>
  <c r="O404" i="3" s="1"/>
  <c r="B404" i="3" s="1"/>
  <c r="C404" i="3" s="1"/>
  <c r="L404" i="3"/>
  <c r="K404" i="3"/>
  <c r="A404" i="3"/>
  <c r="E405" i="3"/>
  <c r="H324" i="3" l="1"/>
  <c r="I324" i="3" s="1"/>
  <c r="G325" i="3" s="1"/>
  <c r="Q324" i="3"/>
  <c r="F406" i="3"/>
  <c r="D407" i="3" s="1"/>
  <c r="A405" i="3"/>
  <c r="N405" i="3"/>
  <c r="M405" i="3"/>
  <c r="O405" i="3" s="1"/>
  <c r="B405" i="3" s="1"/>
  <c r="C405" i="3" s="1"/>
  <c r="L405" i="3"/>
  <c r="K405" i="3"/>
  <c r="E406" i="3"/>
  <c r="Q325" i="3" l="1"/>
  <c r="P325" i="3"/>
  <c r="J326" i="3" s="1"/>
  <c r="H325" i="3"/>
  <c r="I325" i="3" s="1"/>
  <c r="G326" i="3" s="1"/>
  <c r="F407" i="3"/>
  <c r="D408" i="3" s="1"/>
  <c r="A406" i="3"/>
  <c r="N406" i="3"/>
  <c r="M406" i="3"/>
  <c r="O406" i="3" s="1"/>
  <c r="B406" i="3" s="1"/>
  <c r="C406" i="3" s="1"/>
  <c r="L406" i="3"/>
  <c r="K406" i="3"/>
  <c r="E407" i="3"/>
  <c r="P326" i="3" l="1"/>
  <c r="J327" i="3" s="1"/>
  <c r="Q326" i="3"/>
  <c r="H326" i="3"/>
  <c r="I326" i="3" s="1"/>
  <c r="F408" i="3"/>
  <c r="D409" i="3" s="1"/>
  <c r="A407" i="3"/>
  <c r="N407" i="3"/>
  <c r="M407" i="3"/>
  <c r="O407" i="3" s="1"/>
  <c r="B407" i="3" s="1"/>
  <c r="C407" i="3" s="1"/>
  <c r="L407" i="3"/>
  <c r="K407" i="3"/>
  <c r="E408" i="3"/>
  <c r="G327" i="3" l="1"/>
  <c r="P327" i="3"/>
  <c r="J328" i="3" s="1"/>
  <c r="G328" i="3" s="1"/>
  <c r="Q327" i="3"/>
  <c r="F409" i="3"/>
  <c r="D410" i="3" s="1"/>
  <c r="A408" i="3"/>
  <c r="N408" i="3"/>
  <c r="M408" i="3"/>
  <c r="O408" i="3" s="1"/>
  <c r="B408" i="3" s="1"/>
  <c r="C408" i="3" s="1"/>
  <c r="L408" i="3"/>
  <c r="K408" i="3"/>
  <c r="E409" i="3"/>
  <c r="Q328" i="3" l="1"/>
  <c r="H328" i="3"/>
  <c r="I328" i="3" s="1"/>
  <c r="G329" i="3" s="1"/>
  <c r="F410" i="3"/>
  <c r="D411" i="3" s="1"/>
  <c r="K409" i="3"/>
  <c r="A409" i="3"/>
  <c r="N409" i="3"/>
  <c r="M409" i="3"/>
  <c r="L409" i="3"/>
  <c r="E410" i="3"/>
  <c r="H329" i="3" l="1"/>
  <c r="I329" i="3" s="1"/>
  <c r="Q329" i="3"/>
  <c r="P329" i="3"/>
  <c r="J330" i="3" s="1"/>
  <c r="G330" i="3" s="1"/>
  <c r="O409" i="3"/>
  <c r="B409" i="3" s="1"/>
  <c r="C409" i="3" s="1"/>
  <c r="F411" i="3"/>
  <c r="D412" i="3" s="1"/>
  <c r="L410" i="3"/>
  <c r="K410" i="3"/>
  <c r="A410" i="3"/>
  <c r="N410" i="3"/>
  <c r="M410" i="3"/>
  <c r="O410" i="3" s="1"/>
  <c r="B410" i="3" s="1"/>
  <c r="C410" i="3" s="1"/>
  <c r="E411" i="3"/>
  <c r="Q330" i="3" l="1"/>
  <c r="P330" i="3"/>
  <c r="J331" i="3" s="1"/>
  <c r="H330" i="3"/>
  <c r="I330" i="3" s="1"/>
  <c r="F412" i="3"/>
  <c r="D413" i="3" s="1"/>
  <c r="M411" i="3"/>
  <c r="L411" i="3"/>
  <c r="K411" i="3"/>
  <c r="A411" i="3"/>
  <c r="N411" i="3"/>
  <c r="E412" i="3"/>
  <c r="G331" i="3" l="1"/>
  <c r="Q331" i="3"/>
  <c r="P331" i="3"/>
  <c r="J332" i="3" s="1"/>
  <c r="H331" i="3"/>
  <c r="I331" i="3" s="1"/>
  <c r="O411" i="3"/>
  <c r="B411" i="3" s="1"/>
  <c r="C411" i="3" s="1"/>
  <c r="F413" i="3"/>
  <c r="D414" i="3" s="1"/>
  <c r="N412" i="3"/>
  <c r="M412" i="3"/>
  <c r="O412" i="3" s="1"/>
  <c r="B412" i="3" s="1"/>
  <c r="C412" i="3" s="1"/>
  <c r="L412" i="3"/>
  <c r="K412" i="3"/>
  <c r="A412" i="3"/>
  <c r="E413" i="3"/>
  <c r="G332" i="3" l="1"/>
  <c r="F414" i="3"/>
  <c r="D415" i="3" s="1"/>
  <c r="N413" i="3"/>
  <c r="M413" i="3"/>
  <c r="O413" i="3" s="1"/>
  <c r="B413" i="3" s="1"/>
  <c r="C413" i="3" s="1"/>
  <c r="L413" i="3"/>
  <c r="K413" i="3"/>
  <c r="A413" i="3"/>
  <c r="E414" i="3"/>
  <c r="P332" i="3" l="1"/>
  <c r="J333" i="3" s="1"/>
  <c r="H332" i="3"/>
  <c r="I332" i="3" s="1"/>
  <c r="Q332" i="3"/>
  <c r="F415" i="3"/>
  <c r="D416" i="3" s="1"/>
  <c r="N414" i="3"/>
  <c r="M414" i="3"/>
  <c r="O414" i="3" s="1"/>
  <c r="B414" i="3" s="1"/>
  <c r="C414" i="3" s="1"/>
  <c r="L414" i="3"/>
  <c r="K414" i="3"/>
  <c r="A414" i="3"/>
  <c r="E415" i="3"/>
  <c r="G333" i="3" l="1"/>
  <c r="P333" i="3" s="1"/>
  <c r="J334" i="3" s="1"/>
  <c r="H333" i="3"/>
  <c r="I333" i="3" s="1"/>
  <c r="Q333" i="3"/>
  <c r="G334" i="3"/>
  <c r="F416" i="3"/>
  <c r="D417" i="3" s="1"/>
  <c r="N415" i="3"/>
  <c r="M415" i="3"/>
  <c r="O415" i="3" s="1"/>
  <c r="B415" i="3" s="1"/>
  <c r="C415" i="3" s="1"/>
  <c r="L415" i="3"/>
  <c r="K415" i="3"/>
  <c r="A415" i="3"/>
  <c r="E416" i="3"/>
  <c r="P334" i="3" l="1"/>
  <c r="J335" i="3" s="1"/>
  <c r="Q334" i="3"/>
  <c r="H334" i="3"/>
  <c r="I334" i="3" s="1"/>
  <c r="F417" i="3"/>
  <c r="D418" i="3" s="1"/>
  <c r="N416" i="3"/>
  <c r="M416" i="3"/>
  <c r="O416" i="3" s="1"/>
  <c r="B416" i="3" s="1"/>
  <c r="C416" i="3" s="1"/>
  <c r="L416" i="3"/>
  <c r="K416" i="3"/>
  <c r="A416" i="3"/>
  <c r="E417" i="3"/>
  <c r="G335" i="3" l="1"/>
  <c r="F418" i="3"/>
  <c r="D419" i="3" s="1"/>
  <c r="A417" i="3"/>
  <c r="N417" i="3"/>
  <c r="M417" i="3"/>
  <c r="O417" i="3" s="1"/>
  <c r="B417" i="3" s="1"/>
  <c r="C417" i="3" s="1"/>
  <c r="L417" i="3"/>
  <c r="K417" i="3"/>
  <c r="E418" i="3"/>
  <c r="Q335" i="3" l="1"/>
  <c r="H335" i="3"/>
  <c r="I335" i="3" s="1"/>
  <c r="P335" i="3"/>
  <c r="J336" i="3" s="1"/>
  <c r="F419" i="3"/>
  <c r="D420" i="3" s="1"/>
  <c r="A418" i="3"/>
  <c r="N418" i="3"/>
  <c r="M418" i="3"/>
  <c r="L418" i="3"/>
  <c r="K418" i="3"/>
  <c r="E419" i="3"/>
  <c r="G336" i="3" l="1"/>
  <c r="Q336" i="3" s="1"/>
  <c r="H336" i="3"/>
  <c r="I336" i="3" s="1"/>
  <c r="O418" i="3"/>
  <c r="B418" i="3" s="1"/>
  <c r="C418" i="3" s="1"/>
  <c r="F420" i="3"/>
  <c r="D421" i="3" s="1"/>
  <c r="H419" i="3"/>
  <c r="I419" i="3" s="1"/>
  <c r="A419" i="3"/>
  <c r="N419" i="3"/>
  <c r="M419" i="3"/>
  <c r="O419" i="3" s="1"/>
  <c r="B419" i="3" s="1"/>
  <c r="C419" i="3" s="1"/>
  <c r="L419" i="3"/>
  <c r="K419" i="3"/>
  <c r="E420" i="3"/>
  <c r="P336" i="3" l="1"/>
  <c r="J337" i="3" s="1"/>
  <c r="G337" i="3" s="1"/>
  <c r="F421" i="3"/>
  <c r="D422" i="3" s="1"/>
  <c r="A420" i="3"/>
  <c r="P420" i="3"/>
  <c r="N420" i="3"/>
  <c r="M420" i="3"/>
  <c r="O420" i="3" s="1"/>
  <c r="B420" i="3" s="1"/>
  <c r="C420" i="3" s="1"/>
  <c r="L420" i="3"/>
  <c r="K420" i="3"/>
  <c r="E421" i="3"/>
  <c r="P337" i="3" l="1"/>
  <c r="J338" i="3" s="1"/>
  <c r="Q337" i="3"/>
  <c r="H337" i="3"/>
  <c r="I337" i="3" s="1"/>
  <c r="G338" i="3" s="1"/>
  <c r="F422" i="3"/>
  <c r="D423" i="3" s="1"/>
  <c r="K421" i="3"/>
  <c r="J421" i="3"/>
  <c r="A421" i="3"/>
  <c r="N421" i="3"/>
  <c r="M421" i="3"/>
  <c r="L421" i="3"/>
  <c r="E422" i="3"/>
  <c r="H338" i="3" l="1"/>
  <c r="I338" i="3" s="1"/>
  <c r="Q338" i="3"/>
  <c r="P338" i="3"/>
  <c r="J339" i="3" s="1"/>
  <c r="G339" i="3" s="1"/>
  <c r="O421" i="3"/>
  <c r="B421" i="3" s="1"/>
  <c r="C421" i="3" s="1"/>
  <c r="F423" i="3"/>
  <c r="D424" i="3" s="1"/>
  <c r="L422" i="3"/>
  <c r="K422" i="3"/>
  <c r="A422" i="3"/>
  <c r="N422" i="3"/>
  <c r="M422" i="3"/>
  <c r="E423" i="3"/>
  <c r="H339" i="3" l="1"/>
  <c r="I339" i="3" s="1"/>
  <c r="Q339" i="3"/>
  <c r="P339" i="3"/>
  <c r="J340" i="3" s="1"/>
  <c r="G340" i="3" s="1"/>
  <c r="O422" i="3"/>
  <c r="B422" i="3" s="1"/>
  <c r="C422" i="3" s="1"/>
  <c r="F424" i="3"/>
  <c r="D425" i="3" s="1"/>
  <c r="M423" i="3"/>
  <c r="L423" i="3"/>
  <c r="K423" i="3"/>
  <c r="A423" i="3"/>
  <c r="N423" i="3"/>
  <c r="E424" i="3"/>
  <c r="P340" i="3" l="1"/>
  <c r="J341" i="3" s="1"/>
  <c r="Q340" i="3"/>
  <c r="H340" i="3"/>
  <c r="I340" i="3" s="1"/>
  <c r="G341" i="3" s="1"/>
  <c r="O423" i="3"/>
  <c r="B423" i="3" s="1"/>
  <c r="C423" i="3" s="1"/>
  <c r="F425" i="3"/>
  <c r="D426" i="3" s="1"/>
  <c r="N424" i="3"/>
  <c r="M424" i="3"/>
  <c r="O424" i="3" s="1"/>
  <c r="B424" i="3" s="1"/>
  <c r="C424" i="3" s="1"/>
  <c r="L424" i="3"/>
  <c r="K424" i="3"/>
  <c r="A424" i="3"/>
  <c r="E425" i="3"/>
  <c r="P341" i="3" l="1"/>
  <c r="J342" i="3" s="1"/>
  <c r="Q341" i="3"/>
  <c r="H341" i="3"/>
  <c r="I341" i="3" s="1"/>
  <c r="G342" i="3" s="1"/>
  <c r="F426" i="3"/>
  <c r="D427" i="3" s="1"/>
  <c r="N425" i="3"/>
  <c r="M425" i="3"/>
  <c r="O425" i="3" s="1"/>
  <c r="B425" i="3" s="1"/>
  <c r="C425" i="3" s="1"/>
  <c r="L425" i="3"/>
  <c r="K425" i="3"/>
  <c r="A425" i="3"/>
  <c r="E426" i="3"/>
  <c r="P342" i="3" l="1"/>
  <c r="J343" i="3" s="1"/>
  <c r="Q342" i="3"/>
  <c r="H342" i="3"/>
  <c r="I342" i="3" s="1"/>
  <c r="G343" i="3" s="1"/>
  <c r="F427" i="3"/>
  <c r="D428" i="3" s="1"/>
  <c r="N426" i="3"/>
  <c r="M426" i="3"/>
  <c r="O426" i="3" s="1"/>
  <c r="B426" i="3" s="1"/>
  <c r="C426" i="3" s="1"/>
  <c r="L426" i="3"/>
  <c r="K426" i="3"/>
  <c r="A426" i="3"/>
  <c r="E427" i="3"/>
  <c r="Q343" i="3" l="1"/>
  <c r="P343" i="3"/>
  <c r="J344" i="3" s="1"/>
  <c r="G344" i="3" s="1"/>
  <c r="Q344" i="3" s="1"/>
  <c r="H343" i="3"/>
  <c r="I343" i="3" s="1"/>
  <c r="F428" i="3"/>
  <c r="D429" i="3" s="1"/>
  <c r="N427" i="3"/>
  <c r="M427" i="3"/>
  <c r="O427" i="3" s="1"/>
  <c r="B427" i="3" s="1"/>
  <c r="C427" i="3" s="1"/>
  <c r="L427" i="3"/>
  <c r="K427" i="3"/>
  <c r="A427" i="3"/>
  <c r="E428" i="3"/>
  <c r="H344" i="3" l="1"/>
  <c r="I344" i="3" s="1"/>
  <c r="P344" i="3"/>
  <c r="J345" i="3" s="1"/>
  <c r="G345" i="3" s="1"/>
  <c r="F429" i="3"/>
  <c r="D430" i="3" s="1"/>
  <c r="N428" i="3"/>
  <c r="M428" i="3"/>
  <c r="O428" i="3" s="1"/>
  <c r="B428" i="3" s="1"/>
  <c r="C428" i="3" s="1"/>
  <c r="L428" i="3"/>
  <c r="K428" i="3"/>
  <c r="A428" i="3"/>
  <c r="E429" i="3"/>
  <c r="H345" i="3" l="1"/>
  <c r="I345" i="3" s="1"/>
  <c r="Q345" i="3"/>
  <c r="P345" i="3"/>
  <c r="J346" i="3" s="1"/>
  <c r="G346" i="3" s="1"/>
  <c r="P346" i="3" s="1"/>
  <c r="J347" i="3" s="1"/>
  <c r="F430" i="3"/>
  <c r="D431" i="3" s="1"/>
  <c r="A429" i="3"/>
  <c r="N429" i="3"/>
  <c r="M429" i="3"/>
  <c r="O429" i="3" s="1"/>
  <c r="B429" i="3" s="1"/>
  <c r="C429" i="3" s="1"/>
  <c r="L429" i="3"/>
  <c r="K429" i="3"/>
  <c r="E430" i="3"/>
  <c r="H346" i="3" l="1"/>
  <c r="I346" i="3" s="1"/>
  <c r="Q346" i="3"/>
  <c r="G347" i="3"/>
  <c r="F431" i="3"/>
  <c r="D432" i="3" s="1"/>
  <c r="A430" i="3"/>
  <c r="N430" i="3"/>
  <c r="M430" i="3"/>
  <c r="L430" i="3"/>
  <c r="K430" i="3"/>
  <c r="E431" i="3"/>
  <c r="O430" i="3" l="1"/>
  <c r="B430" i="3" s="1"/>
  <c r="C430" i="3" s="1"/>
  <c r="H347" i="3"/>
  <c r="I347" i="3" s="1"/>
  <c r="P347" i="3"/>
  <c r="J348" i="3" s="1"/>
  <c r="G348" i="3" s="1"/>
  <c r="Q347" i="3"/>
  <c r="F432" i="3"/>
  <c r="D433" i="3" s="1"/>
  <c r="A431" i="3"/>
  <c r="N431" i="3"/>
  <c r="M431" i="3"/>
  <c r="L431" i="3"/>
  <c r="K431" i="3"/>
  <c r="E432" i="3"/>
  <c r="Q348" i="3" l="1"/>
  <c r="H348" i="3"/>
  <c r="I348" i="3" s="1"/>
  <c r="P348" i="3"/>
  <c r="J349" i="3" s="1"/>
  <c r="G349" i="3" s="1"/>
  <c r="O431" i="3"/>
  <c r="B431" i="3" s="1"/>
  <c r="C431" i="3" s="1"/>
  <c r="F433" i="3"/>
  <c r="D434" i="3" s="1"/>
  <c r="A432" i="3"/>
  <c r="N432" i="3"/>
  <c r="M432" i="3"/>
  <c r="O432" i="3" s="1"/>
  <c r="B432" i="3" s="1"/>
  <c r="C432" i="3" s="1"/>
  <c r="L432" i="3"/>
  <c r="K432" i="3"/>
  <c r="E433" i="3"/>
  <c r="Q349" i="3" l="1"/>
  <c r="H349" i="3"/>
  <c r="I349" i="3" s="1"/>
  <c r="P349" i="3"/>
  <c r="J350" i="3" s="1"/>
  <c r="G350" i="3" s="1"/>
  <c r="F434" i="3"/>
  <c r="D435" i="3" s="1"/>
  <c r="K433" i="3"/>
  <c r="A433" i="3"/>
  <c r="N433" i="3"/>
  <c r="M433" i="3"/>
  <c r="L433" i="3"/>
  <c r="E434" i="3"/>
  <c r="P350" i="3" l="1"/>
  <c r="J351" i="3" s="1"/>
  <c r="Q350" i="3"/>
  <c r="H350" i="3"/>
  <c r="I350" i="3" s="1"/>
  <c r="O433" i="3"/>
  <c r="B433" i="3" s="1"/>
  <c r="C433" i="3" s="1"/>
  <c r="F435" i="3"/>
  <c r="D436" i="3" s="1"/>
  <c r="L434" i="3"/>
  <c r="K434" i="3"/>
  <c r="A434" i="3"/>
  <c r="N434" i="3"/>
  <c r="M434" i="3"/>
  <c r="E435" i="3"/>
  <c r="O434" i="3" l="1"/>
  <c r="B434" i="3" s="1"/>
  <c r="C434" i="3" s="1"/>
  <c r="G351" i="3"/>
  <c r="F436" i="3"/>
  <c r="D437" i="3" s="1"/>
  <c r="M435" i="3"/>
  <c r="L435" i="3"/>
  <c r="K435" i="3"/>
  <c r="A435" i="3"/>
  <c r="N435" i="3"/>
  <c r="E436" i="3"/>
  <c r="P351" i="3" l="1"/>
  <c r="J352" i="3" s="1"/>
  <c r="H351" i="3"/>
  <c r="I351" i="3" s="1"/>
  <c r="Q351" i="3"/>
  <c r="O435" i="3"/>
  <c r="B435" i="3" s="1"/>
  <c r="C435" i="3" s="1"/>
  <c r="F437" i="3"/>
  <c r="D438" i="3" s="1"/>
  <c r="N436" i="3"/>
  <c r="M436" i="3"/>
  <c r="O436" i="3" s="1"/>
  <c r="B436" i="3" s="1"/>
  <c r="C436" i="3" s="1"/>
  <c r="L436" i="3"/>
  <c r="K436" i="3"/>
  <c r="A436" i="3"/>
  <c r="E437" i="3"/>
  <c r="G352" i="3" l="1"/>
  <c r="H352" i="3"/>
  <c r="I352" i="3" s="1"/>
  <c r="Q352" i="3"/>
  <c r="P352" i="3"/>
  <c r="J353" i="3" s="1"/>
  <c r="G353" i="3" s="1"/>
  <c r="F438" i="3"/>
  <c r="D439" i="3" s="1"/>
  <c r="N437" i="3"/>
  <c r="M437" i="3"/>
  <c r="O437" i="3" s="1"/>
  <c r="B437" i="3" s="1"/>
  <c r="C437" i="3" s="1"/>
  <c r="L437" i="3"/>
  <c r="K437" i="3"/>
  <c r="A437" i="3"/>
  <c r="E438" i="3"/>
  <c r="Q353" i="3" l="1"/>
  <c r="H353" i="3"/>
  <c r="I353" i="3" s="1"/>
  <c r="P353" i="3"/>
  <c r="J354" i="3" s="1"/>
  <c r="G354" i="3" s="1"/>
  <c r="F439" i="3"/>
  <c r="D440" i="3" s="1"/>
  <c r="N438" i="3"/>
  <c r="M438" i="3"/>
  <c r="O438" i="3" s="1"/>
  <c r="B438" i="3" s="1"/>
  <c r="C438" i="3" s="1"/>
  <c r="L438" i="3"/>
  <c r="K438" i="3"/>
  <c r="A438" i="3"/>
  <c r="E439" i="3"/>
  <c r="P354" i="3" l="1"/>
  <c r="J355" i="3" s="1"/>
  <c r="Q354" i="3"/>
  <c r="H354" i="3"/>
  <c r="I354" i="3" s="1"/>
  <c r="F440" i="3"/>
  <c r="D441" i="3" s="1"/>
  <c r="N439" i="3"/>
  <c r="M439" i="3"/>
  <c r="L439" i="3"/>
  <c r="K439" i="3"/>
  <c r="A439" i="3"/>
  <c r="E440" i="3"/>
  <c r="O439" i="3" l="1"/>
  <c r="B439" i="3" s="1"/>
  <c r="C439" i="3" s="1"/>
  <c r="G355" i="3"/>
  <c r="F441" i="3"/>
  <c r="D442" i="3" s="1"/>
  <c r="N440" i="3"/>
  <c r="M440" i="3"/>
  <c r="O440" i="3" s="1"/>
  <c r="B440" i="3" s="1"/>
  <c r="C440" i="3" s="1"/>
  <c r="L440" i="3"/>
  <c r="K440" i="3"/>
  <c r="A440" i="3"/>
  <c r="E441" i="3"/>
  <c r="Q355" i="3" l="1"/>
  <c r="P355" i="3"/>
  <c r="J356" i="3" s="1"/>
  <c r="H355" i="3"/>
  <c r="I355" i="3" s="1"/>
  <c r="F442" i="3"/>
  <c r="D443" i="3" s="1"/>
  <c r="A441" i="3"/>
  <c r="N441" i="3"/>
  <c r="M441" i="3"/>
  <c r="O441" i="3" s="1"/>
  <c r="B441" i="3" s="1"/>
  <c r="C441" i="3" s="1"/>
  <c r="L441" i="3"/>
  <c r="K441" i="3"/>
  <c r="E442" i="3"/>
  <c r="G356" i="3" l="1"/>
  <c r="P356" i="3"/>
  <c r="J357" i="3" s="1"/>
  <c r="H356" i="3"/>
  <c r="I356" i="3" s="1"/>
  <c r="Q356" i="3"/>
  <c r="F443" i="3"/>
  <c r="D444" i="3" s="1"/>
  <c r="A442" i="3"/>
  <c r="N442" i="3"/>
  <c r="M442" i="3"/>
  <c r="L442" i="3"/>
  <c r="K442" i="3"/>
  <c r="E443" i="3"/>
  <c r="G357" i="3" l="1"/>
  <c r="P357" i="3"/>
  <c r="J358" i="3" s="1"/>
  <c r="H357" i="3"/>
  <c r="I357" i="3" s="1"/>
  <c r="Q357" i="3"/>
  <c r="O442" i="3"/>
  <c r="B442" i="3" s="1"/>
  <c r="C442" i="3" s="1"/>
  <c r="F444" i="3"/>
  <c r="D445" i="3" s="1"/>
  <c r="A443" i="3"/>
  <c r="N443" i="3"/>
  <c r="M443" i="3"/>
  <c r="O443" i="3" s="1"/>
  <c r="B443" i="3" s="1"/>
  <c r="C443" i="3" s="1"/>
  <c r="L443" i="3"/>
  <c r="K443" i="3"/>
  <c r="E444" i="3"/>
  <c r="G358" i="3" l="1"/>
  <c r="F445" i="3"/>
  <c r="D446" i="3" s="1"/>
  <c r="A444" i="3"/>
  <c r="N444" i="3"/>
  <c r="M444" i="3"/>
  <c r="O444" i="3" s="1"/>
  <c r="B444" i="3" s="1"/>
  <c r="C444" i="3" s="1"/>
  <c r="L444" i="3"/>
  <c r="K444" i="3"/>
  <c r="E445" i="3"/>
  <c r="Q358" i="3" l="1"/>
  <c r="H358" i="3"/>
  <c r="I358" i="3" s="1"/>
  <c r="G359" i="3" s="1"/>
  <c r="F446" i="3"/>
  <c r="D447" i="3" s="1"/>
  <c r="K445" i="3"/>
  <c r="A445" i="3"/>
  <c r="N445" i="3"/>
  <c r="M445" i="3"/>
  <c r="L445" i="3"/>
  <c r="E446" i="3"/>
  <c r="P359" i="3" l="1"/>
  <c r="J360" i="3" s="1"/>
  <c r="Q359" i="3"/>
  <c r="H359" i="3"/>
  <c r="I359" i="3" s="1"/>
  <c r="O445" i="3"/>
  <c r="B445" i="3" s="1"/>
  <c r="C445" i="3" s="1"/>
  <c r="F447" i="3"/>
  <c r="D448" i="3" s="1"/>
  <c r="L446" i="3"/>
  <c r="K446" i="3"/>
  <c r="A446" i="3"/>
  <c r="N446" i="3"/>
  <c r="M446" i="3"/>
  <c r="E447" i="3"/>
  <c r="O446" i="3" l="1"/>
  <c r="B446" i="3" s="1"/>
  <c r="C446" i="3" s="1"/>
  <c r="G360" i="3"/>
  <c r="F448" i="3"/>
  <c r="D449" i="3" s="1"/>
  <c r="M447" i="3"/>
  <c r="L447" i="3"/>
  <c r="K447" i="3"/>
  <c r="A447" i="3"/>
  <c r="N447" i="3"/>
  <c r="E448" i="3"/>
  <c r="H360" i="3" l="1"/>
  <c r="I360" i="3" s="1"/>
  <c r="Q360" i="3"/>
  <c r="P360" i="3"/>
  <c r="J361" i="3" s="1"/>
  <c r="G361" i="3" s="1"/>
  <c r="O447" i="3"/>
  <c r="B447" i="3" s="1"/>
  <c r="C447" i="3" s="1"/>
  <c r="F449" i="3"/>
  <c r="D450" i="3" s="1"/>
  <c r="N448" i="3"/>
  <c r="M448" i="3"/>
  <c r="L448" i="3"/>
  <c r="K448" i="3"/>
  <c r="A448" i="3"/>
  <c r="P448" i="3"/>
  <c r="E449" i="3"/>
  <c r="H361" i="3" l="1"/>
  <c r="I361" i="3" s="1"/>
  <c r="P361" i="3"/>
  <c r="J362" i="3" s="1"/>
  <c r="Q361" i="3"/>
  <c r="O448" i="3"/>
  <c r="B448" i="3" s="1"/>
  <c r="C448" i="3" s="1"/>
  <c r="F450" i="3"/>
  <c r="D451" i="3" s="1"/>
  <c r="N449" i="3"/>
  <c r="M449" i="3"/>
  <c r="O449" i="3" s="1"/>
  <c r="B449" i="3" s="1"/>
  <c r="C449" i="3" s="1"/>
  <c r="L449" i="3"/>
  <c r="K449" i="3"/>
  <c r="J449" i="3"/>
  <c r="A449" i="3"/>
  <c r="E450" i="3"/>
  <c r="G362" i="3" l="1"/>
  <c r="Q362" i="3" s="1"/>
  <c r="H362" i="3"/>
  <c r="I362" i="3" s="1"/>
  <c r="P362" i="3"/>
  <c r="J363" i="3" s="1"/>
  <c r="F451" i="3"/>
  <c r="D452" i="3" s="1"/>
  <c r="N450" i="3"/>
  <c r="M450" i="3"/>
  <c r="O450" i="3" s="1"/>
  <c r="B450" i="3" s="1"/>
  <c r="C450" i="3" s="1"/>
  <c r="L450" i="3"/>
  <c r="K450" i="3"/>
  <c r="A450" i="3"/>
  <c r="E451" i="3"/>
  <c r="G363" i="3" l="1"/>
  <c r="P363" i="3"/>
  <c r="J364" i="3" s="1"/>
  <c r="H363" i="3"/>
  <c r="I363" i="3" s="1"/>
  <c r="Q363" i="3"/>
  <c r="F452" i="3"/>
  <c r="D453" i="3" s="1"/>
  <c r="N451" i="3"/>
  <c r="M451" i="3"/>
  <c r="O451" i="3" s="1"/>
  <c r="B451" i="3" s="1"/>
  <c r="C451" i="3" s="1"/>
  <c r="L451" i="3"/>
  <c r="K451" i="3"/>
  <c r="A451" i="3"/>
  <c r="E452" i="3"/>
  <c r="G364" i="3" l="1"/>
  <c r="P364" i="3"/>
  <c r="J365" i="3" s="1"/>
  <c r="Q364" i="3"/>
  <c r="H364" i="3"/>
  <c r="I364" i="3" s="1"/>
  <c r="F453" i="3"/>
  <c r="D454" i="3" s="1"/>
  <c r="N452" i="3"/>
  <c r="M452" i="3"/>
  <c r="O452" i="3" s="1"/>
  <c r="B452" i="3" s="1"/>
  <c r="C452" i="3" s="1"/>
  <c r="L452" i="3"/>
  <c r="K452" i="3"/>
  <c r="A452" i="3"/>
  <c r="E453" i="3"/>
  <c r="G365" i="3" l="1"/>
  <c r="F454" i="3"/>
  <c r="D455" i="3" s="1"/>
  <c r="A453" i="3"/>
  <c r="N453" i="3"/>
  <c r="M453" i="3"/>
  <c r="O453" i="3" s="1"/>
  <c r="B453" i="3" s="1"/>
  <c r="C453" i="3" s="1"/>
  <c r="L453" i="3"/>
  <c r="K453" i="3"/>
  <c r="E454" i="3"/>
  <c r="Q365" i="3" l="1"/>
  <c r="H365" i="3"/>
  <c r="I365" i="3" s="1"/>
  <c r="P365" i="3"/>
  <c r="J366" i="3" s="1"/>
  <c r="G366" i="3" s="1"/>
  <c r="F455" i="3"/>
  <c r="D456" i="3" s="1"/>
  <c r="A454" i="3"/>
  <c r="N454" i="3"/>
  <c r="M454" i="3"/>
  <c r="L454" i="3"/>
  <c r="K454" i="3"/>
  <c r="E455" i="3"/>
  <c r="Q366" i="3" l="1"/>
  <c r="H366" i="3"/>
  <c r="I366" i="3" s="1"/>
  <c r="P366" i="3"/>
  <c r="J367" i="3" s="1"/>
  <c r="G367" i="3" s="1"/>
  <c r="O454" i="3"/>
  <c r="B454" i="3" s="1"/>
  <c r="C454" i="3" s="1"/>
  <c r="F456" i="3"/>
  <c r="D457" i="3" s="1"/>
  <c r="A455" i="3"/>
  <c r="N455" i="3"/>
  <c r="M455" i="3"/>
  <c r="O455" i="3" s="1"/>
  <c r="B455" i="3" s="1"/>
  <c r="C455" i="3" s="1"/>
  <c r="L455" i="3"/>
  <c r="K455" i="3"/>
  <c r="E456" i="3"/>
  <c r="Q367" i="3" l="1"/>
  <c r="H367" i="3"/>
  <c r="I367" i="3" s="1"/>
  <c r="P367" i="3"/>
  <c r="J368" i="3" s="1"/>
  <c r="F457" i="3"/>
  <c r="D458" i="3" s="1"/>
  <c r="A456" i="3"/>
  <c r="N456" i="3"/>
  <c r="M456" i="3"/>
  <c r="O456" i="3" s="1"/>
  <c r="B456" i="3" s="1"/>
  <c r="C456" i="3" s="1"/>
  <c r="L456" i="3"/>
  <c r="K456" i="3"/>
  <c r="E457" i="3"/>
  <c r="G368" i="3" l="1"/>
  <c r="P368" i="3"/>
  <c r="J369" i="3" s="1"/>
  <c r="H368" i="3"/>
  <c r="I368" i="3" s="1"/>
  <c r="Q368" i="3"/>
  <c r="F458" i="3"/>
  <c r="D459" i="3" s="1"/>
  <c r="K457" i="3"/>
  <c r="A457" i="3"/>
  <c r="N457" i="3"/>
  <c r="M457" i="3"/>
  <c r="L457" i="3"/>
  <c r="E458" i="3"/>
  <c r="G369" i="3" l="1"/>
  <c r="P369" i="3" s="1"/>
  <c r="J370" i="3" s="1"/>
  <c r="O457" i="3"/>
  <c r="B457" i="3" s="1"/>
  <c r="C457" i="3" s="1"/>
  <c r="F459" i="3"/>
  <c r="D460" i="3" s="1"/>
  <c r="L458" i="3"/>
  <c r="K458" i="3"/>
  <c r="A458" i="3"/>
  <c r="N458" i="3"/>
  <c r="M458" i="3"/>
  <c r="E459" i="3"/>
  <c r="O458" i="3" l="1"/>
  <c r="B458" i="3" s="1"/>
  <c r="C458" i="3" s="1"/>
  <c r="H369" i="3"/>
  <c r="I369" i="3" s="1"/>
  <c r="G370" i="3" s="1"/>
  <c r="Q370" i="3" s="1"/>
  <c r="Q369" i="3"/>
  <c r="F460" i="3"/>
  <c r="D461" i="3" s="1"/>
  <c r="M459" i="3"/>
  <c r="L459" i="3"/>
  <c r="K459" i="3"/>
  <c r="A459" i="3"/>
  <c r="N459" i="3"/>
  <c r="E460" i="3"/>
  <c r="P370" i="3" l="1"/>
  <c r="J371" i="3" s="1"/>
  <c r="H370" i="3"/>
  <c r="I370" i="3" s="1"/>
  <c r="O459" i="3"/>
  <c r="B459" i="3" s="1"/>
  <c r="C459" i="3" s="1"/>
  <c r="F461" i="3"/>
  <c r="D462" i="3" s="1"/>
  <c r="N460" i="3"/>
  <c r="M460" i="3"/>
  <c r="O460" i="3" s="1"/>
  <c r="B460" i="3" s="1"/>
  <c r="C460" i="3" s="1"/>
  <c r="L460" i="3"/>
  <c r="K460" i="3"/>
  <c r="A460" i="3"/>
  <c r="E461" i="3"/>
  <c r="G371" i="3" l="1"/>
  <c r="P371" i="3" s="1"/>
  <c r="J372" i="3" s="1"/>
  <c r="Q371" i="3"/>
  <c r="H371" i="3"/>
  <c r="I371" i="3" s="1"/>
  <c r="G372" i="3" s="1"/>
  <c r="P372" i="3" s="1"/>
  <c r="J373" i="3" s="1"/>
  <c r="F462" i="3"/>
  <c r="D463" i="3" s="1"/>
  <c r="N461" i="3"/>
  <c r="M461" i="3"/>
  <c r="L461" i="3"/>
  <c r="K461" i="3"/>
  <c r="A461" i="3"/>
  <c r="E462" i="3"/>
  <c r="H372" i="3" l="1"/>
  <c r="I372" i="3" s="1"/>
  <c r="G373" i="3" s="1"/>
  <c r="Q372" i="3"/>
  <c r="O461" i="3"/>
  <c r="B461" i="3" s="1"/>
  <c r="C461" i="3" s="1"/>
  <c r="F463" i="3"/>
  <c r="D464" i="3" s="1"/>
  <c r="N462" i="3"/>
  <c r="M462" i="3"/>
  <c r="O462" i="3" s="1"/>
  <c r="B462" i="3" s="1"/>
  <c r="C462" i="3" s="1"/>
  <c r="L462" i="3"/>
  <c r="K462" i="3"/>
  <c r="A462" i="3"/>
  <c r="E463" i="3"/>
  <c r="P373" i="3" l="1"/>
  <c r="J374" i="3" s="1"/>
  <c r="Q373" i="3"/>
  <c r="H373" i="3"/>
  <c r="I373" i="3" s="1"/>
  <c r="F464" i="3"/>
  <c r="D465" i="3" s="1"/>
  <c r="N463" i="3"/>
  <c r="M463" i="3"/>
  <c r="O463" i="3" s="1"/>
  <c r="B463" i="3" s="1"/>
  <c r="C463" i="3" s="1"/>
  <c r="L463" i="3"/>
  <c r="K463" i="3"/>
  <c r="A463" i="3"/>
  <c r="E464" i="3"/>
  <c r="G374" i="3" l="1"/>
  <c r="H374" i="3" s="1"/>
  <c r="I374" i="3" s="1"/>
  <c r="F465" i="3"/>
  <c r="D466" i="3" s="1"/>
  <c r="N464" i="3"/>
  <c r="M464" i="3"/>
  <c r="O464" i="3" s="1"/>
  <c r="B464" i="3" s="1"/>
  <c r="C464" i="3" s="1"/>
  <c r="L464" i="3"/>
  <c r="K464" i="3"/>
  <c r="A464" i="3"/>
  <c r="E465" i="3"/>
  <c r="Q374" i="3" l="1"/>
  <c r="P374" i="3"/>
  <c r="J375" i="3" s="1"/>
  <c r="G375" i="3" s="1"/>
  <c r="H375" i="3" s="1"/>
  <c r="I375" i="3" s="1"/>
  <c r="F466" i="3"/>
  <c r="D467" i="3" s="1"/>
  <c r="A465" i="3"/>
  <c r="N465" i="3"/>
  <c r="M465" i="3"/>
  <c r="O465" i="3" s="1"/>
  <c r="B465" i="3" s="1"/>
  <c r="C465" i="3" s="1"/>
  <c r="L465" i="3"/>
  <c r="K465" i="3"/>
  <c r="E466" i="3"/>
  <c r="Q375" i="3" l="1"/>
  <c r="P375" i="3"/>
  <c r="J376" i="3" s="1"/>
  <c r="G376" i="3" s="1"/>
  <c r="P376" i="3" s="1"/>
  <c r="J377" i="3" s="1"/>
  <c r="F467" i="3"/>
  <c r="D468" i="3" s="1"/>
  <c r="A466" i="3"/>
  <c r="N466" i="3"/>
  <c r="M466" i="3"/>
  <c r="L466" i="3"/>
  <c r="K466" i="3"/>
  <c r="E467" i="3"/>
  <c r="H376" i="3" l="1"/>
  <c r="I376" i="3" s="1"/>
  <c r="G377" i="3" s="1"/>
  <c r="Q376" i="3"/>
  <c r="O466" i="3"/>
  <c r="B466" i="3" s="1"/>
  <c r="C466" i="3" s="1"/>
  <c r="F468" i="3"/>
  <c r="D469" i="3" s="1"/>
  <c r="A467" i="3"/>
  <c r="N467" i="3"/>
  <c r="M467" i="3"/>
  <c r="O467" i="3" s="1"/>
  <c r="B467" i="3" s="1"/>
  <c r="C467" i="3" s="1"/>
  <c r="L467" i="3"/>
  <c r="K467" i="3"/>
  <c r="E468" i="3"/>
  <c r="P377" i="3" l="1"/>
  <c r="J378" i="3" s="1"/>
  <c r="H377" i="3"/>
  <c r="I377" i="3" s="1"/>
  <c r="Q377" i="3"/>
  <c r="F469" i="3"/>
  <c r="D470" i="3" s="1"/>
  <c r="A468" i="3"/>
  <c r="N468" i="3"/>
  <c r="M468" i="3"/>
  <c r="L468" i="3"/>
  <c r="K468" i="3"/>
  <c r="E469" i="3"/>
  <c r="O468" i="3" l="1"/>
  <c r="B468" i="3" s="1"/>
  <c r="C468" i="3" s="1"/>
  <c r="G378" i="3"/>
  <c r="F470" i="3"/>
  <c r="D471" i="3" s="1"/>
  <c r="K469" i="3"/>
  <c r="A469" i="3"/>
  <c r="N469" i="3"/>
  <c r="M469" i="3"/>
  <c r="O469" i="3" s="1"/>
  <c r="B469" i="3" s="1"/>
  <c r="C469" i="3" s="1"/>
  <c r="L469" i="3"/>
  <c r="E470" i="3"/>
  <c r="P378" i="3" l="1"/>
  <c r="J379" i="3" s="1"/>
  <c r="H378" i="3"/>
  <c r="I378" i="3" s="1"/>
  <c r="Q378" i="3"/>
  <c r="F471" i="3"/>
  <c r="D472" i="3" s="1"/>
  <c r="L470" i="3"/>
  <c r="K470" i="3"/>
  <c r="A470" i="3"/>
  <c r="N470" i="3"/>
  <c r="M470" i="3"/>
  <c r="E471" i="3"/>
  <c r="G379" i="3" l="1"/>
  <c r="H379" i="3" s="1"/>
  <c r="I379" i="3" s="1"/>
  <c r="O470" i="3"/>
  <c r="B470" i="3" s="1"/>
  <c r="C470" i="3" s="1"/>
  <c r="F472" i="3"/>
  <c r="D473" i="3" s="1"/>
  <c r="M471" i="3"/>
  <c r="L471" i="3"/>
  <c r="K471" i="3"/>
  <c r="A471" i="3"/>
  <c r="N471" i="3"/>
  <c r="E472" i="3"/>
  <c r="Q379" i="3" l="1"/>
  <c r="P379" i="3"/>
  <c r="J380" i="3" s="1"/>
  <c r="G380" i="3" s="1"/>
  <c r="O471" i="3"/>
  <c r="B471" i="3" s="1"/>
  <c r="C471" i="3" s="1"/>
  <c r="F473" i="3"/>
  <c r="D474" i="3" s="1"/>
  <c r="N472" i="3"/>
  <c r="M472" i="3"/>
  <c r="O472" i="3" s="1"/>
  <c r="B472" i="3" s="1"/>
  <c r="C472" i="3" s="1"/>
  <c r="L472" i="3"/>
  <c r="K472" i="3"/>
  <c r="A472" i="3"/>
  <c r="E473" i="3"/>
  <c r="H380" i="3" l="1"/>
  <c r="I380" i="3" s="1"/>
  <c r="Q380" i="3"/>
  <c r="P380" i="3"/>
  <c r="J381" i="3" s="1"/>
  <c r="F474" i="3"/>
  <c r="D475" i="3" s="1"/>
  <c r="N473" i="3"/>
  <c r="M473" i="3"/>
  <c r="O473" i="3" s="1"/>
  <c r="B473" i="3" s="1"/>
  <c r="C473" i="3" s="1"/>
  <c r="L473" i="3"/>
  <c r="K473" i="3"/>
  <c r="A473" i="3"/>
  <c r="E474" i="3"/>
  <c r="G381" i="3" l="1"/>
  <c r="F475" i="3"/>
  <c r="D476" i="3" s="1"/>
  <c r="N474" i="3"/>
  <c r="M474" i="3"/>
  <c r="O474" i="3" s="1"/>
  <c r="B474" i="3" s="1"/>
  <c r="C474" i="3" s="1"/>
  <c r="L474" i="3"/>
  <c r="K474" i="3"/>
  <c r="A474" i="3"/>
  <c r="E475" i="3"/>
  <c r="Q381" i="3" l="1"/>
  <c r="H381" i="3"/>
  <c r="I381" i="3" s="1"/>
  <c r="P381" i="3"/>
  <c r="J382" i="3" s="1"/>
  <c r="F476" i="3"/>
  <c r="D477" i="3" s="1"/>
  <c r="N475" i="3"/>
  <c r="M475" i="3"/>
  <c r="L475" i="3"/>
  <c r="K475" i="3"/>
  <c r="A475" i="3"/>
  <c r="E476" i="3"/>
  <c r="G382" i="3" l="1"/>
  <c r="H382" i="3" s="1"/>
  <c r="I382" i="3" s="1"/>
  <c r="Q382" i="3"/>
  <c r="O475" i="3"/>
  <c r="B475" i="3" s="1"/>
  <c r="C475" i="3" s="1"/>
  <c r="P382" i="3"/>
  <c r="J383" i="3" s="1"/>
  <c r="G383" i="3" s="1"/>
  <c r="Q383" i="3" s="1"/>
  <c r="F477" i="3"/>
  <c r="D478" i="3" s="1"/>
  <c r="N476" i="3"/>
  <c r="M476" i="3"/>
  <c r="O476" i="3" s="1"/>
  <c r="B476" i="3" s="1"/>
  <c r="C476" i="3" s="1"/>
  <c r="L476" i="3"/>
  <c r="K476" i="3"/>
  <c r="A476" i="3"/>
  <c r="E477" i="3"/>
  <c r="H383" i="3" l="1"/>
  <c r="I383" i="3" s="1"/>
  <c r="P383" i="3"/>
  <c r="J384" i="3" s="1"/>
  <c r="G384" i="3" s="1"/>
  <c r="Q384" i="3" s="1"/>
  <c r="F478" i="3"/>
  <c r="D479" i="3" s="1"/>
  <c r="A477" i="3"/>
  <c r="N477" i="3"/>
  <c r="M477" i="3"/>
  <c r="O477" i="3" s="1"/>
  <c r="B477" i="3" s="1"/>
  <c r="C477" i="3" s="1"/>
  <c r="L477" i="3"/>
  <c r="K477" i="3"/>
  <c r="E478" i="3"/>
  <c r="P384" i="3" l="1"/>
  <c r="J385" i="3" s="1"/>
  <c r="H384" i="3"/>
  <c r="I384" i="3" s="1"/>
  <c r="G385" i="3" s="1"/>
  <c r="F479" i="3"/>
  <c r="D480" i="3" s="1"/>
  <c r="H478" i="3"/>
  <c r="I478" i="3" s="1"/>
  <c r="A478" i="3"/>
  <c r="N478" i="3"/>
  <c r="M478" i="3"/>
  <c r="L478" i="3"/>
  <c r="K478" i="3"/>
  <c r="E479" i="3"/>
  <c r="H385" i="3" l="1"/>
  <c r="I385" i="3" s="1"/>
  <c r="Q385" i="3"/>
  <c r="P385" i="3"/>
  <c r="J386" i="3" s="1"/>
  <c r="O478" i="3"/>
  <c r="B478" i="3" s="1"/>
  <c r="C478" i="3" s="1"/>
  <c r="F480" i="3"/>
  <c r="D481" i="3" s="1"/>
  <c r="A479" i="3"/>
  <c r="P479" i="3"/>
  <c r="N479" i="3"/>
  <c r="M479" i="3"/>
  <c r="L479" i="3"/>
  <c r="K479" i="3"/>
  <c r="E480" i="3"/>
  <c r="G386" i="3" l="1"/>
  <c r="O479" i="3"/>
  <c r="B479" i="3" s="1"/>
  <c r="C479" i="3" s="1"/>
  <c r="F481" i="3"/>
  <c r="D482" i="3" s="1"/>
  <c r="J480" i="3"/>
  <c r="A480" i="3"/>
  <c r="N480" i="3"/>
  <c r="M480" i="3"/>
  <c r="O480" i="3" s="1"/>
  <c r="B480" i="3" s="1"/>
  <c r="C480" i="3" s="1"/>
  <c r="L480" i="3"/>
  <c r="K480" i="3"/>
  <c r="E481" i="3"/>
  <c r="H386" i="3" l="1"/>
  <c r="I386" i="3" s="1"/>
  <c r="Q386" i="3"/>
  <c r="P386" i="3"/>
  <c r="J387" i="3" s="1"/>
  <c r="G387" i="3" s="1"/>
  <c r="F482" i="3"/>
  <c r="D483" i="3" s="1"/>
  <c r="K481" i="3"/>
  <c r="A481" i="3"/>
  <c r="N481" i="3"/>
  <c r="M481" i="3"/>
  <c r="O481" i="3" s="1"/>
  <c r="B481" i="3" s="1"/>
  <c r="C481" i="3" s="1"/>
  <c r="L481" i="3"/>
  <c r="E482" i="3"/>
  <c r="P387" i="3" l="1"/>
  <c r="J388" i="3" s="1"/>
  <c r="Q387" i="3"/>
  <c r="H387" i="3"/>
  <c r="I387" i="3" s="1"/>
  <c r="F483" i="3"/>
  <c r="D484" i="3" s="1"/>
  <c r="L482" i="3"/>
  <c r="K482" i="3"/>
  <c r="A482" i="3"/>
  <c r="N482" i="3"/>
  <c r="M482" i="3"/>
  <c r="E483" i="3"/>
  <c r="G388" i="3" l="1"/>
  <c r="O482" i="3"/>
  <c r="B482" i="3" s="1"/>
  <c r="C482" i="3" s="1"/>
  <c r="F484" i="3"/>
  <c r="D485" i="3" s="1"/>
  <c r="N483" i="3"/>
  <c r="M483" i="3"/>
  <c r="O483" i="3" s="1"/>
  <c r="B483" i="3" s="1"/>
  <c r="C483" i="3" s="1"/>
  <c r="L483" i="3"/>
  <c r="K483" i="3"/>
  <c r="A483" i="3"/>
  <c r="E484" i="3"/>
  <c r="Q388" i="3" l="1"/>
  <c r="P388" i="3"/>
  <c r="J389" i="3" s="1"/>
  <c r="G389" i="3" s="1"/>
  <c r="F485" i="3"/>
  <c r="D486" i="3" s="1"/>
  <c r="N484" i="3"/>
  <c r="M484" i="3"/>
  <c r="O484" i="3" s="1"/>
  <c r="B484" i="3" s="1"/>
  <c r="C484" i="3" s="1"/>
  <c r="L484" i="3"/>
  <c r="K484" i="3"/>
  <c r="A484" i="3"/>
  <c r="E485" i="3"/>
  <c r="Q389" i="3" l="1"/>
  <c r="H389" i="3"/>
  <c r="I389" i="3" s="1"/>
  <c r="G390" i="3" s="1"/>
  <c r="F486" i="3"/>
  <c r="D487" i="3" s="1"/>
  <c r="N485" i="3"/>
  <c r="M485" i="3"/>
  <c r="L485" i="3"/>
  <c r="K485" i="3"/>
  <c r="A485" i="3"/>
  <c r="E486" i="3"/>
  <c r="H390" i="3" l="1"/>
  <c r="I390" i="3" s="1"/>
  <c r="Q390" i="3"/>
  <c r="P390" i="3"/>
  <c r="J391" i="3" s="1"/>
  <c r="G391" i="3" s="1"/>
  <c r="O485" i="3"/>
  <c r="B485" i="3" s="1"/>
  <c r="C485" i="3" s="1"/>
  <c r="F487" i="3"/>
  <c r="D488" i="3" s="1"/>
  <c r="K486" i="3"/>
  <c r="A486" i="3"/>
  <c r="N486" i="3"/>
  <c r="M486" i="3"/>
  <c r="L486" i="3"/>
  <c r="E487" i="3"/>
  <c r="H391" i="3" l="1"/>
  <c r="I391" i="3" s="1"/>
  <c r="Q391" i="3"/>
  <c r="P391" i="3"/>
  <c r="J392" i="3" s="1"/>
  <c r="O486" i="3"/>
  <c r="B486" i="3" s="1"/>
  <c r="C486" i="3" s="1"/>
  <c r="F488" i="3"/>
  <c r="D489" i="3" s="1"/>
  <c r="L487" i="3"/>
  <c r="K487" i="3"/>
  <c r="A487" i="3"/>
  <c r="N487" i="3"/>
  <c r="M487" i="3"/>
  <c r="O487" i="3" s="1"/>
  <c r="B487" i="3" s="1"/>
  <c r="C487" i="3" s="1"/>
  <c r="E488" i="3"/>
  <c r="G392" i="3" l="1"/>
  <c r="Q392" i="3"/>
  <c r="H392" i="3"/>
  <c r="I392" i="3" s="1"/>
  <c r="P392" i="3"/>
  <c r="J393" i="3" s="1"/>
  <c r="G393" i="3" s="1"/>
  <c r="F489" i="3"/>
  <c r="D490" i="3" s="1"/>
  <c r="M488" i="3"/>
  <c r="L488" i="3"/>
  <c r="K488" i="3"/>
  <c r="A488" i="3"/>
  <c r="N488" i="3"/>
  <c r="E489" i="3"/>
  <c r="H393" i="3" l="1"/>
  <c r="I393" i="3" s="1"/>
  <c r="Q393" i="3"/>
  <c r="P393" i="3"/>
  <c r="J394" i="3" s="1"/>
  <c r="G394" i="3" s="1"/>
  <c r="O488" i="3"/>
  <c r="B488" i="3" s="1"/>
  <c r="C488" i="3" s="1"/>
  <c r="F490" i="3"/>
  <c r="D491" i="3" s="1"/>
  <c r="N489" i="3"/>
  <c r="M489" i="3"/>
  <c r="O489" i="3" s="1"/>
  <c r="B489" i="3" s="1"/>
  <c r="C489" i="3" s="1"/>
  <c r="L489" i="3"/>
  <c r="K489" i="3"/>
  <c r="A489" i="3"/>
  <c r="E490" i="3"/>
  <c r="H394" i="3" l="1"/>
  <c r="I394" i="3" s="1"/>
  <c r="Q394" i="3"/>
  <c r="P394" i="3"/>
  <c r="J395" i="3" s="1"/>
  <c r="G395" i="3" s="1"/>
  <c r="F491" i="3"/>
  <c r="D492" i="3" s="1"/>
  <c r="N490" i="3"/>
  <c r="M490" i="3"/>
  <c r="O490" i="3" s="1"/>
  <c r="B490" i="3" s="1"/>
  <c r="C490" i="3" s="1"/>
  <c r="L490" i="3"/>
  <c r="K490" i="3"/>
  <c r="A490" i="3"/>
  <c r="E491" i="3"/>
  <c r="P395" i="3" l="1"/>
  <c r="J396" i="3" s="1"/>
  <c r="Q395" i="3"/>
  <c r="H395" i="3"/>
  <c r="I395" i="3" s="1"/>
  <c r="F492" i="3"/>
  <c r="D493" i="3" s="1"/>
  <c r="N491" i="3"/>
  <c r="M491" i="3"/>
  <c r="O491" i="3" s="1"/>
  <c r="B491" i="3" s="1"/>
  <c r="C491" i="3" s="1"/>
  <c r="L491" i="3"/>
  <c r="K491" i="3"/>
  <c r="A491" i="3"/>
  <c r="E492" i="3"/>
  <c r="G396" i="3" l="1"/>
  <c r="Q396" i="3"/>
  <c r="H396" i="3"/>
  <c r="I396" i="3" s="1"/>
  <c r="P396" i="3"/>
  <c r="J397" i="3" s="1"/>
  <c r="G397" i="3" s="1"/>
  <c r="F493" i="3"/>
  <c r="D494" i="3" s="1"/>
  <c r="N492" i="3"/>
  <c r="M492" i="3"/>
  <c r="O492" i="3" s="1"/>
  <c r="B492" i="3" s="1"/>
  <c r="C492" i="3" s="1"/>
  <c r="L492" i="3"/>
  <c r="K492" i="3"/>
  <c r="A492" i="3"/>
  <c r="E493" i="3"/>
  <c r="P397" i="3" l="1"/>
  <c r="J398" i="3" s="1"/>
  <c r="H397" i="3"/>
  <c r="I397" i="3" s="1"/>
  <c r="G398" i="3" s="1"/>
  <c r="Q397" i="3"/>
  <c r="F494" i="3"/>
  <c r="D495" i="3" s="1"/>
  <c r="N493" i="3"/>
  <c r="M493" i="3"/>
  <c r="O493" i="3" s="1"/>
  <c r="B493" i="3" s="1"/>
  <c r="C493" i="3" s="1"/>
  <c r="L493" i="3"/>
  <c r="K493" i="3"/>
  <c r="A493" i="3"/>
  <c r="E494" i="3"/>
  <c r="H398" i="3" l="1"/>
  <c r="I398" i="3" s="1"/>
  <c r="Q398" i="3"/>
  <c r="P398" i="3"/>
  <c r="J399" i="3" s="1"/>
  <c r="G399" i="3" s="1"/>
  <c r="F495" i="3"/>
  <c r="D496" i="3" s="1"/>
  <c r="A494" i="3"/>
  <c r="N494" i="3"/>
  <c r="M494" i="3"/>
  <c r="O494" i="3" s="1"/>
  <c r="B494" i="3" s="1"/>
  <c r="C494" i="3" s="1"/>
  <c r="L494" i="3"/>
  <c r="K494" i="3"/>
  <c r="E495" i="3"/>
  <c r="Q399" i="3" l="1"/>
  <c r="P399" i="3"/>
  <c r="J400" i="3" s="1"/>
  <c r="H399" i="3"/>
  <c r="I399" i="3" s="1"/>
  <c r="F496" i="3"/>
  <c r="D497" i="3" s="1"/>
  <c r="A495" i="3"/>
  <c r="N495" i="3"/>
  <c r="M495" i="3"/>
  <c r="L495" i="3"/>
  <c r="K495" i="3"/>
  <c r="E496" i="3"/>
  <c r="G400" i="3" l="1"/>
  <c r="H400" i="3"/>
  <c r="I400" i="3" s="1"/>
  <c r="P400" i="3"/>
  <c r="J401" i="3" s="1"/>
  <c r="G401" i="3" s="1"/>
  <c r="Q400" i="3"/>
  <c r="O495" i="3"/>
  <c r="B495" i="3" s="1"/>
  <c r="C495" i="3" s="1"/>
  <c r="F497" i="3"/>
  <c r="D498" i="3" s="1"/>
  <c r="A496" i="3"/>
  <c r="N496" i="3"/>
  <c r="M496" i="3"/>
  <c r="O496" i="3" s="1"/>
  <c r="B496" i="3" s="1"/>
  <c r="C496" i="3" s="1"/>
  <c r="L496" i="3"/>
  <c r="K496" i="3"/>
  <c r="E497" i="3"/>
  <c r="P401" i="3" l="1"/>
  <c r="J402" i="3" s="1"/>
  <c r="H401" i="3"/>
  <c r="I401" i="3" s="1"/>
  <c r="G402" i="3" s="1"/>
  <c r="Q401" i="3"/>
  <c r="F498" i="3"/>
  <c r="D499" i="3" s="1"/>
  <c r="A497" i="3"/>
  <c r="N497" i="3"/>
  <c r="M497" i="3"/>
  <c r="O497" i="3" s="1"/>
  <c r="B497" i="3" s="1"/>
  <c r="C497" i="3" s="1"/>
  <c r="L497" i="3"/>
  <c r="K497" i="3"/>
  <c r="E498" i="3"/>
  <c r="H402" i="3" l="1"/>
  <c r="I402" i="3" s="1"/>
  <c r="Q402" i="3"/>
  <c r="P402" i="3"/>
  <c r="J403" i="3" s="1"/>
  <c r="G403" i="3" s="1"/>
  <c r="P403" i="3" s="1"/>
  <c r="J404" i="3" s="1"/>
  <c r="F499" i="3"/>
  <c r="D500" i="3" s="1"/>
  <c r="K498" i="3"/>
  <c r="A498" i="3"/>
  <c r="N498" i="3"/>
  <c r="M498" i="3"/>
  <c r="L498" i="3"/>
  <c r="E499" i="3"/>
  <c r="H403" i="3" l="1"/>
  <c r="I403" i="3" s="1"/>
  <c r="G404" i="3" s="1"/>
  <c r="Q403" i="3"/>
  <c r="O498" i="3"/>
  <c r="B498" i="3" s="1"/>
  <c r="C498" i="3" s="1"/>
  <c r="F500" i="3"/>
  <c r="D501" i="3" s="1"/>
  <c r="L499" i="3"/>
  <c r="K499" i="3"/>
  <c r="A499" i="3"/>
  <c r="N499" i="3"/>
  <c r="M499" i="3"/>
  <c r="E500" i="3"/>
  <c r="Q404" i="3" l="1"/>
  <c r="H404" i="3"/>
  <c r="I404" i="3" s="1"/>
  <c r="P404" i="3"/>
  <c r="J405" i="3" s="1"/>
  <c r="G405" i="3" s="1"/>
  <c r="Q405" i="3" s="1"/>
  <c r="O499" i="3"/>
  <c r="B499" i="3" s="1"/>
  <c r="C499" i="3" s="1"/>
  <c r="F501" i="3"/>
  <c r="D502" i="3" s="1"/>
  <c r="M500" i="3"/>
  <c r="L500" i="3"/>
  <c r="K500" i="3"/>
  <c r="A500" i="3"/>
  <c r="N500" i="3"/>
  <c r="E501" i="3"/>
  <c r="P405" i="3" l="1"/>
  <c r="J406" i="3" s="1"/>
  <c r="H405" i="3"/>
  <c r="I405" i="3" s="1"/>
  <c r="O500" i="3"/>
  <c r="B500" i="3" s="1"/>
  <c r="C500" i="3" s="1"/>
  <c r="F502" i="3"/>
  <c r="D503" i="3" s="1"/>
  <c r="N501" i="3"/>
  <c r="M501" i="3"/>
  <c r="O501" i="3" s="1"/>
  <c r="B501" i="3" s="1"/>
  <c r="C501" i="3" s="1"/>
  <c r="L501" i="3"/>
  <c r="K501" i="3"/>
  <c r="A501" i="3"/>
  <c r="E502" i="3"/>
  <c r="G406" i="3" l="1"/>
  <c r="Q406" i="3"/>
  <c r="H406" i="3"/>
  <c r="I406" i="3" s="1"/>
  <c r="P406" i="3"/>
  <c r="J407" i="3" s="1"/>
  <c r="G407" i="3" s="1"/>
  <c r="F503" i="3"/>
  <c r="D504" i="3" s="1"/>
  <c r="N502" i="3"/>
  <c r="M502" i="3"/>
  <c r="O502" i="3" s="1"/>
  <c r="B502" i="3" s="1"/>
  <c r="C502" i="3" s="1"/>
  <c r="L502" i="3"/>
  <c r="K502" i="3"/>
  <c r="A502" i="3"/>
  <c r="E503" i="3"/>
  <c r="P407" i="3" l="1"/>
  <c r="J408" i="3" s="1"/>
  <c r="Q407" i="3"/>
  <c r="H407" i="3"/>
  <c r="I407" i="3" s="1"/>
  <c r="F504" i="3"/>
  <c r="D505" i="3" s="1"/>
  <c r="N503" i="3"/>
  <c r="M503" i="3"/>
  <c r="O503" i="3" s="1"/>
  <c r="B503" i="3" s="1"/>
  <c r="C503" i="3" s="1"/>
  <c r="L503" i="3"/>
  <c r="K503" i="3"/>
  <c r="A503" i="3"/>
  <c r="E504" i="3"/>
  <c r="G408" i="3" l="1"/>
  <c r="F505" i="3"/>
  <c r="D506" i="3" s="1"/>
  <c r="N504" i="3"/>
  <c r="M504" i="3"/>
  <c r="O504" i="3" s="1"/>
  <c r="B504" i="3" s="1"/>
  <c r="C504" i="3" s="1"/>
  <c r="L504" i="3"/>
  <c r="K504" i="3"/>
  <c r="A504" i="3"/>
  <c r="E505" i="3"/>
  <c r="H408" i="3" l="1"/>
  <c r="I408" i="3" s="1"/>
  <c r="Q408" i="3"/>
  <c r="P408" i="3"/>
  <c r="J409" i="3" s="1"/>
  <c r="F506" i="3"/>
  <c r="D507" i="3" s="1"/>
  <c r="N505" i="3"/>
  <c r="M505" i="3"/>
  <c r="O505" i="3" s="1"/>
  <c r="B505" i="3" s="1"/>
  <c r="C505" i="3" s="1"/>
  <c r="L505" i="3"/>
  <c r="K505" i="3"/>
  <c r="A505" i="3"/>
  <c r="E506" i="3"/>
  <c r="G409" i="3" l="1"/>
  <c r="H409" i="3" s="1"/>
  <c r="I409" i="3" s="1"/>
  <c r="Q409" i="3"/>
  <c r="F507" i="3"/>
  <c r="D508" i="3" s="1"/>
  <c r="A506" i="3"/>
  <c r="N506" i="3"/>
  <c r="M506" i="3"/>
  <c r="O506" i="3" s="1"/>
  <c r="B506" i="3" s="1"/>
  <c r="C506" i="3" s="1"/>
  <c r="L506" i="3"/>
  <c r="K506" i="3"/>
  <c r="E507" i="3"/>
  <c r="P409" i="3" l="1"/>
  <c r="J410" i="3" s="1"/>
  <c r="G410" i="3" s="1"/>
  <c r="F508" i="3"/>
  <c r="D509" i="3" s="1"/>
  <c r="A507" i="3"/>
  <c r="N507" i="3"/>
  <c r="M507" i="3"/>
  <c r="L507" i="3"/>
  <c r="K507" i="3"/>
  <c r="E508" i="3"/>
  <c r="P410" i="3" l="1"/>
  <c r="J411" i="3" s="1"/>
  <c r="H410" i="3"/>
  <c r="I410" i="3" s="1"/>
  <c r="Q410" i="3"/>
  <c r="O507" i="3"/>
  <c r="B507" i="3" s="1"/>
  <c r="C507" i="3" s="1"/>
  <c r="F509" i="3"/>
  <c r="D510" i="3" s="1"/>
  <c r="A508" i="3"/>
  <c r="N508" i="3"/>
  <c r="M508" i="3"/>
  <c r="O508" i="3" s="1"/>
  <c r="B508" i="3" s="1"/>
  <c r="C508" i="3" s="1"/>
  <c r="L508" i="3"/>
  <c r="K508" i="3"/>
  <c r="E509" i="3"/>
  <c r="G411" i="3" l="1"/>
  <c r="F510" i="3"/>
  <c r="D511" i="3" s="1"/>
  <c r="A509" i="3"/>
  <c r="P509" i="3"/>
  <c r="N509" i="3"/>
  <c r="M509" i="3"/>
  <c r="L509" i="3"/>
  <c r="K509" i="3"/>
  <c r="E510" i="3"/>
  <c r="P411" i="3" l="1"/>
  <c r="J412" i="3" s="1"/>
  <c r="Q411" i="3"/>
  <c r="H411" i="3"/>
  <c r="I411" i="3" s="1"/>
  <c r="O509" i="3"/>
  <c r="B509" i="3" s="1"/>
  <c r="C509" i="3" s="1"/>
  <c r="F511" i="3"/>
  <c r="D512" i="3" s="1"/>
  <c r="K510" i="3"/>
  <c r="J510" i="3"/>
  <c r="A510" i="3"/>
  <c r="N510" i="3"/>
  <c r="M510" i="3"/>
  <c r="L510" i="3"/>
  <c r="E511" i="3"/>
  <c r="G412" i="3" l="1"/>
  <c r="P412" i="3"/>
  <c r="J413" i="3" s="1"/>
  <c r="Q412" i="3"/>
  <c r="H412" i="3"/>
  <c r="I412" i="3" s="1"/>
  <c r="G413" i="3" s="1"/>
  <c r="O510" i="3"/>
  <c r="B510" i="3" s="1"/>
  <c r="C510" i="3" s="1"/>
  <c r="F512" i="3"/>
  <c r="D513" i="3" s="1"/>
  <c r="L511" i="3"/>
  <c r="K511" i="3"/>
  <c r="A511" i="3"/>
  <c r="N511" i="3"/>
  <c r="M511" i="3"/>
  <c r="E512" i="3"/>
  <c r="Q413" i="3" l="1"/>
  <c r="H413" i="3"/>
  <c r="I413" i="3" s="1"/>
  <c r="P413" i="3"/>
  <c r="J414" i="3" s="1"/>
  <c r="O511" i="3"/>
  <c r="B511" i="3" s="1"/>
  <c r="C511" i="3" s="1"/>
  <c r="F513" i="3"/>
  <c r="D514" i="3" s="1"/>
  <c r="M512" i="3"/>
  <c r="L512" i="3"/>
  <c r="K512" i="3"/>
  <c r="A512" i="3"/>
  <c r="N512" i="3"/>
  <c r="E513" i="3"/>
  <c r="G414" i="3" l="1"/>
  <c r="P414" i="3" s="1"/>
  <c r="J415" i="3" s="1"/>
  <c r="H414" i="3"/>
  <c r="I414" i="3" s="1"/>
  <c r="Q414" i="3"/>
  <c r="O512" i="3"/>
  <c r="B512" i="3" s="1"/>
  <c r="C512" i="3" s="1"/>
  <c r="F514" i="3"/>
  <c r="D515" i="3" s="1"/>
  <c r="N513" i="3"/>
  <c r="M513" i="3"/>
  <c r="O513" i="3" s="1"/>
  <c r="B513" i="3" s="1"/>
  <c r="C513" i="3" s="1"/>
  <c r="L513" i="3"/>
  <c r="K513" i="3"/>
  <c r="A513" i="3"/>
  <c r="E514" i="3"/>
  <c r="G415" i="3" l="1"/>
  <c r="H415" i="3"/>
  <c r="I415" i="3" s="1"/>
  <c r="P415" i="3"/>
  <c r="J416" i="3" s="1"/>
  <c r="Q415" i="3"/>
  <c r="F515" i="3"/>
  <c r="D516" i="3" s="1"/>
  <c r="N514" i="3"/>
  <c r="M514" i="3"/>
  <c r="O514" i="3" s="1"/>
  <c r="B514" i="3" s="1"/>
  <c r="C514" i="3" s="1"/>
  <c r="L514" i="3"/>
  <c r="K514" i="3"/>
  <c r="A514" i="3"/>
  <c r="E515" i="3"/>
  <c r="G416" i="3" l="1"/>
  <c r="P416" i="3" s="1"/>
  <c r="J417" i="3" s="1"/>
  <c r="F516" i="3"/>
  <c r="D517" i="3" s="1"/>
  <c r="N515" i="3"/>
  <c r="M515" i="3"/>
  <c r="O515" i="3" s="1"/>
  <c r="B515" i="3" s="1"/>
  <c r="C515" i="3" s="1"/>
  <c r="L515" i="3"/>
  <c r="K515" i="3"/>
  <c r="A515" i="3"/>
  <c r="E516" i="3"/>
  <c r="H416" i="3" l="1"/>
  <c r="I416" i="3" s="1"/>
  <c r="G417" i="3" s="1"/>
  <c r="Q416" i="3"/>
  <c r="F517" i="3"/>
  <c r="D518" i="3" s="1"/>
  <c r="N516" i="3"/>
  <c r="M516" i="3"/>
  <c r="O516" i="3" s="1"/>
  <c r="B516" i="3" s="1"/>
  <c r="C516" i="3" s="1"/>
  <c r="L516" i="3"/>
  <c r="K516" i="3"/>
  <c r="A516" i="3"/>
  <c r="E517" i="3"/>
  <c r="H417" i="3" l="1"/>
  <c r="I417" i="3" s="1"/>
  <c r="P417" i="3"/>
  <c r="J418" i="3" s="1"/>
  <c r="G418" i="3" s="1"/>
  <c r="Q417" i="3"/>
  <c r="F518" i="3"/>
  <c r="D519" i="3" s="1"/>
  <c r="N517" i="3"/>
  <c r="M517" i="3"/>
  <c r="O517" i="3" s="1"/>
  <c r="B517" i="3" s="1"/>
  <c r="C517" i="3" s="1"/>
  <c r="L517" i="3"/>
  <c r="K517" i="3"/>
  <c r="A517" i="3"/>
  <c r="E518" i="3"/>
  <c r="H418" i="3" l="1"/>
  <c r="I418" i="3" s="1"/>
  <c r="Q418" i="3"/>
  <c r="P418" i="3"/>
  <c r="J419" i="3" s="1"/>
  <c r="F519" i="3"/>
  <c r="D520" i="3" s="1"/>
  <c r="A518" i="3"/>
  <c r="N518" i="3"/>
  <c r="M518" i="3"/>
  <c r="L518" i="3"/>
  <c r="K518" i="3"/>
  <c r="E519" i="3"/>
  <c r="G419" i="3" l="1"/>
  <c r="O518" i="3"/>
  <c r="B518" i="3" s="1"/>
  <c r="C518" i="3" s="1"/>
  <c r="F520" i="3"/>
  <c r="A519" i="3"/>
  <c r="N519" i="3"/>
  <c r="M519" i="3"/>
  <c r="L519" i="3"/>
  <c r="K519" i="3"/>
  <c r="E520" i="3"/>
  <c r="P419" i="3" l="1"/>
  <c r="J420" i="3" s="1"/>
  <c r="G420" i="3" s="1"/>
  <c r="Q419" i="3"/>
  <c r="O519" i="3"/>
  <c r="B519" i="3" s="1"/>
  <c r="C519" i="3" s="1"/>
  <c r="D521" i="3"/>
  <c r="F521" i="3"/>
  <c r="A520" i="3"/>
  <c r="N520" i="3"/>
  <c r="M520" i="3"/>
  <c r="L520" i="3"/>
  <c r="K520" i="3"/>
  <c r="E521" i="3"/>
  <c r="Q420" i="3" l="1"/>
  <c r="H420" i="3"/>
  <c r="I420" i="3" s="1"/>
  <c r="G421" i="3" s="1"/>
  <c r="O520" i="3"/>
  <c r="B520" i="3" s="1"/>
  <c r="C520" i="3" s="1"/>
  <c r="D522" i="3"/>
  <c r="F522" i="3"/>
  <c r="A521" i="3"/>
  <c r="N521" i="3"/>
  <c r="M521" i="3"/>
  <c r="L521" i="3"/>
  <c r="K521" i="3"/>
  <c r="E522" i="3"/>
  <c r="H421" i="3" l="1"/>
  <c r="I421" i="3" s="1"/>
  <c r="P421" i="3"/>
  <c r="J422" i="3" s="1"/>
  <c r="G422" i="3" s="1"/>
  <c r="Q421" i="3"/>
  <c r="O521" i="3"/>
  <c r="B521" i="3" s="1"/>
  <c r="C521" i="3" s="1"/>
  <c r="D523" i="3"/>
  <c r="F523" i="3"/>
  <c r="K522" i="3"/>
  <c r="A522" i="3"/>
  <c r="N522" i="3"/>
  <c r="M522" i="3"/>
  <c r="O522" i="3" s="1"/>
  <c r="B522" i="3" s="1"/>
  <c r="C522" i="3" s="1"/>
  <c r="L522" i="3"/>
  <c r="E523" i="3"/>
  <c r="D524" i="3" l="1"/>
  <c r="P422" i="3"/>
  <c r="J423" i="3" s="1"/>
  <c r="H422" i="3"/>
  <c r="I422" i="3" s="1"/>
  <c r="Q422" i="3"/>
  <c r="F524" i="3"/>
  <c r="L523" i="3"/>
  <c r="K523" i="3"/>
  <c r="A523" i="3"/>
  <c r="N523" i="3"/>
  <c r="M523" i="3"/>
  <c r="E524" i="3"/>
  <c r="G423" i="3" l="1"/>
  <c r="H423" i="3"/>
  <c r="I423" i="3" s="1"/>
  <c r="Q423" i="3"/>
  <c r="P423" i="3"/>
  <c r="J424" i="3" s="1"/>
  <c r="G424" i="3" s="1"/>
  <c r="O523" i="3"/>
  <c r="B523" i="3" s="1"/>
  <c r="C523" i="3" s="1"/>
  <c r="D525" i="3"/>
  <c r="F525" i="3"/>
  <c r="M524" i="3"/>
  <c r="L524" i="3"/>
  <c r="K524" i="3"/>
  <c r="A524" i="3"/>
  <c r="N524" i="3"/>
  <c r="E525" i="3"/>
  <c r="P424" i="3" l="1"/>
  <c r="J425" i="3" s="1"/>
  <c r="H424" i="3"/>
  <c r="I424" i="3" s="1"/>
  <c r="Q424" i="3"/>
  <c r="G425" i="3"/>
  <c r="O524" i="3"/>
  <c r="B524" i="3" s="1"/>
  <c r="C524" i="3" s="1"/>
  <c r="D526" i="3"/>
  <c r="F526" i="3"/>
  <c r="N525" i="3"/>
  <c r="M525" i="3"/>
  <c r="O525" i="3" s="1"/>
  <c r="B525" i="3" s="1"/>
  <c r="C525" i="3" s="1"/>
  <c r="L525" i="3"/>
  <c r="K525" i="3"/>
  <c r="A525" i="3"/>
  <c r="E526" i="3"/>
  <c r="P425" i="3" l="1"/>
  <c r="J426" i="3" s="1"/>
  <c r="Q425" i="3"/>
  <c r="H425" i="3"/>
  <c r="I425" i="3" s="1"/>
  <c r="G426" i="3" s="1"/>
  <c r="D527" i="3"/>
  <c r="F527" i="3"/>
  <c r="N526" i="3"/>
  <c r="M526" i="3"/>
  <c r="O526" i="3" s="1"/>
  <c r="B526" i="3" s="1"/>
  <c r="C526" i="3" s="1"/>
  <c r="L526" i="3"/>
  <c r="K526" i="3"/>
  <c r="A526" i="3"/>
  <c r="E527" i="3"/>
  <c r="P426" i="3" l="1"/>
  <c r="J427" i="3" s="1"/>
  <c r="Q426" i="3"/>
  <c r="H426" i="3"/>
  <c r="I426" i="3" s="1"/>
  <c r="G427" i="3" s="1"/>
  <c r="D528" i="3"/>
  <c r="F528" i="3"/>
  <c r="N527" i="3"/>
  <c r="M527" i="3"/>
  <c r="O527" i="3" s="1"/>
  <c r="B527" i="3" s="1"/>
  <c r="C527" i="3" s="1"/>
  <c r="L527" i="3"/>
  <c r="K527" i="3"/>
  <c r="A527" i="3"/>
  <c r="E528" i="3"/>
  <c r="Q427" i="3" l="1"/>
  <c r="P427" i="3"/>
  <c r="J428" i="3" s="1"/>
  <c r="H427" i="3"/>
  <c r="I427" i="3" s="1"/>
  <c r="D529" i="3"/>
  <c r="F529" i="3"/>
  <c r="N528" i="3"/>
  <c r="M528" i="3"/>
  <c r="O528" i="3" s="1"/>
  <c r="B528" i="3" s="1"/>
  <c r="C528" i="3" s="1"/>
  <c r="L528" i="3"/>
  <c r="K528" i="3"/>
  <c r="A528" i="3"/>
  <c r="E529" i="3"/>
  <c r="G428" i="3" l="1"/>
  <c r="D530" i="3"/>
  <c r="F530" i="3"/>
  <c r="N529" i="3"/>
  <c r="M529" i="3"/>
  <c r="O529" i="3" s="1"/>
  <c r="B529" i="3" s="1"/>
  <c r="C529" i="3" s="1"/>
  <c r="L529" i="3"/>
  <c r="K529" i="3"/>
  <c r="A529" i="3"/>
  <c r="E530" i="3"/>
  <c r="Q428" i="3" l="1"/>
  <c r="H428" i="3"/>
  <c r="I428" i="3" s="1"/>
  <c r="P428" i="3"/>
  <c r="J429" i="3" s="1"/>
  <c r="G429" i="3" s="1"/>
  <c r="D531" i="3"/>
  <c r="F531" i="3"/>
  <c r="A530" i="3"/>
  <c r="N530" i="3"/>
  <c r="M530" i="3"/>
  <c r="O530" i="3" s="1"/>
  <c r="B530" i="3" s="1"/>
  <c r="C530" i="3" s="1"/>
  <c r="L530" i="3"/>
  <c r="K530" i="3"/>
  <c r="E531" i="3"/>
  <c r="H429" i="3" l="1"/>
  <c r="I429" i="3" s="1"/>
  <c r="P429" i="3"/>
  <c r="J430" i="3" s="1"/>
  <c r="Q429" i="3"/>
  <c r="D532" i="3"/>
  <c r="F532" i="3"/>
  <c r="A531" i="3"/>
  <c r="N531" i="3"/>
  <c r="M531" i="3"/>
  <c r="L531" i="3"/>
  <c r="K531" i="3"/>
  <c r="E532" i="3"/>
  <c r="G430" i="3" l="1"/>
  <c r="O531" i="3"/>
  <c r="B531" i="3" s="1"/>
  <c r="C531" i="3" s="1"/>
  <c r="D533" i="3"/>
  <c r="F533" i="3"/>
  <c r="A532" i="3"/>
  <c r="N532" i="3"/>
  <c r="M532" i="3"/>
  <c r="L532" i="3"/>
  <c r="K532" i="3"/>
  <c r="E533" i="3"/>
  <c r="H430" i="3" l="1"/>
  <c r="I430" i="3" s="1"/>
  <c r="Q430" i="3"/>
  <c r="P430" i="3"/>
  <c r="J431" i="3" s="1"/>
  <c r="G431" i="3" s="1"/>
  <c r="O532" i="3"/>
  <c r="B532" i="3" s="1"/>
  <c r="C532" i="3" s="1"/>
  <c r="D534" i="3"/>
  <c r="F534" i="3"/>
  <c r="D535" i="3" s="1"/>
  <c r="A533" i="3"/>
  <c r="N533" i="3"/>
  <c r="M533" i="3"/>
  <c r="O533" i="3" s="1"/>
  <c r="B533" i="3" s="1"/>
  <c r="C533" i="3" s="1"/>
  <c r="L533" i="3"/>
  <c r="K533" i="3"/>
  <c r="E534" i="3"/>
  <c r="H431" i="3" l="1"/>
  <c r="I431" i="3" s="1"/>
  <c r="P431" i="3"/>
  <c r="J432" i="3" s="1"/>
  <c r="Q431" i="3"/>
  <c r="F535" i="3"/>
  <c r="D536" i="3" s="1"/>
  <c r="K534" i="3"/>
  <c r="A534" i="3"/>
  <c r="N534" i="3"/>
  <c r="M534" i="3"/>
  <c r="L534" i="3"/>
  <c r="E535" i="3"/>
  <c r="G432" i="3" l="1"/>
  <c r="Q432" i="3"/>
  <c r="P432" i="3"/>
  <c r="J433" i="3" s="1"/>
  <c r="H432" i="3"/>
  <c r="I432" i="3" s="1"/>
  <c r="O534" i="3"/>
  <c r="B534" i="3" s="1"/>
  <c r="C534" i="3" s="1"/>
  <c r="F536" i="3"/>
  <c r="D537" i="3" s="1"/>
  <c r="L535" i="3"/>
  <c r="K535" i="3"/>
  <c r="A535" i="3"/>
  <c r="N535" i="3"/>
  <c r="M535" i="3"/>
  <c r="E536" i="3"/>
  <c r="G433" i="3" l="1"/>
  <c r="O535" i="3"/>
  <c r="B535" i="3" s="1"/>
  <c r="C535" i="3" s="1"/>
  <c r="F537" i="3"/>
  <c r="D538" i="3" s="1"/>
  <c r="M536" i="3"/>
  <c r="L536" i="3"/>
  <c r="K536" i="3"/>
  <c r="A536" i="3"/>
  <c r="N536" i="3"/>
  <c r="E537" i="3"/>
  <c r="H433" i="3" l="1"/>
  <c r="I433" i="3" s="1"/>
  <c r="Q433" i="3"/>
  <c r="P433" i="3"/>
  <c r="J434" i="3" s="1"/>
  <c r="G434" i="3" s="1"/>
  <c r="O536" i="3"/>
  <c r="B536" i="3" s="1"/>
  <c r="C536" i="3" s="1"/>
  <c r="F538" i="3"/>
  <c r="D539" i="3" s="1"/>
  <c r="N537" i="3"/>
  <c r="M537" i="3"/>
  <c r="L537" i="3"/>
  <c r="K537" i="3"/>
  <c r="A537" i="3"/>
  <c r="E538" i="3"/>
  <c r="P434" i="3" l="1"/>
  <c r="J435" i="3" s="1"/>
  <c r="Q434" i="3"/>
  <c r="H434" i="3"/>
  <c r="I434" i="3" s="1"/>
  <c r="G435" i="3" s="1"/>
  <c r="O537" i="3"/>
  <c r="B537" i="3" s="1"/>
  <c r="C537" i="3" s="1"/>
  <c r="F539" i="3"/>
  <c r="D540" i="3" s="1"/>
  <c r="N538" i="3"/>
  <c r="M538" i="3"/>
  <c r="L538" i="3"/>
  <c r="K538" i="3"/>
  <c r="A538" i="3"/>
  <c r="E539" i="3"/>
  <c r="P435" i="3" l="1"/>
  <c r="J436" i="3" s="1"/>
  <c r="H435" i="3"/>
  <c r="I435" i="3" s="1"/>
  <c r="G436" i="3" s="1"/>
  <c r="Q435" i="3"/>
  <c r="O538" i="3"/>
  <c r="B538" i="3" s="1"/>
  <c r="C538" i="3" s="1"/>
  <c r="F540" i="3"/>
  <c r="D541" i="3" s="1"/>
  <c r="N539" i="3"/>
  <c r="M539" i="3"/>
  <c r="O539" i="3" s="1"/>
  <c r="B539" i="3" s="1"/>
  <c r="C539" i="3" s="1"/>
  <c r="L539" i="3"/>
  <c r="K539" i="3"/>
  <c r="H539" i="3"/>
  <c r="I539" i="3" s="1"/>
  <c r="A539" i="3"/>
  <c r="E540" i="3"/>
  <c r="P436" i="3" l="1"/>
  <c r="J437" i="3" s="1"/>
  <c r="H436" i="3"/>
  <c r="I436" i="3" s="1"/>
  <c r="Q436" i="3"/>
  <c r="F541" i="3"/>
  <c r="D542" i="3" s="1"/>
  <c r="P540" i="3"/>
  <c r="N540" i="3"/>
  <c r="M540" i="3"/>
  <c r="O540" i="3" s="1"/>
  <c r="B540" i="3" s="1"/>
  <c r="C540" i="3" s="1"/>
  <c r="L540" i="3"/>
  <c r="K540" i="3"/>
  <c r="A540" i="3"/>
  <c r="E541" i="3"/>
  <c r="G437" i="3" l="1"/>
  <c r="Q437" i="3"/>
  <c r="H437" i="3"/>
  <c r="I437" i="3" s="1"/>
  <c r="P437" i="3"/>
  <c r="J438" i="3" s="1"/>
  <c r="F542" i="3"/>
  <c r="D543" i="3" s="1"/>
  <c r="N541" i="3"/>
  <c r="M541" i="3"/>
  <c r="O541" i="3" s="1"/>
  <c r="B541" i="3" s="1"/>
  <c r="C541" i="3" s="1"/>
  <c r="L541" i="3"/>
  <c r="K541" i="3"/>
  <c r="J541" i="3"/>
  <c r="A541" i="3"/>
  <c r="E542" i="3"/>
  <c r="G438" i="3" l="1"/>
  <c r="P438" i="3"/>
  <c r="J439" i="3" s="1"/>
  <c r="G439" i="3" s="1"/>
  <c r="H438" i="3"/>
  <c r="I438" i="3" s="1"/>
  <c r="Q438" i="3"/>
  <c r="F543" i="3"/>
  <c r="D544" i="3" s="1"/>
  <c r="A542" i="3"/>
  <c r="N542" i="3"/>
  <c r="M542" i="3"/>
  <c r="O542" i="3" s="1"/>
  <c r="B542" i="3" s="1"/>
  <c r="C542" i="3" s="1"/>
  <c r="L542" i="3"/>
  <c r="K542" i="3"/>
  <c r="E543" i="3"/>
  <c r="P439" i="3" l="1"/>
  <c r="J440" i="3" s="1"/>
  <c r="H439" i="3"/>
  <c r="I439" i="3" s="1"/>
  <c r="G440" i="3" s="1"/>
  <c r="Q439" i="3"/>
  <c r="F544" i="3"/>
  <c r="D545" i="3" s="1"/>
  <c r="A543" i="3"/>
  <c r="N543" i="3"/>
  <c r="M543" i="3"/>
  <c r="L543" i="3"/>
  <c r="K543" i="3"/>
  <c r="E544" i="3"/>
  <c r="Q440" i="3" l="1"/>
  <c r="H440" i="3"/>
  <c r="I440" i="3" s="1"/>
  <c r="P440" i="3"/>
  <c r="J441" i="3" s="1"/>
  <c r="O543" i="3"/>
  <c r="B543" i="3" s="1"/>
  <c r="C543" i="3" s="1"/>
  <c r="F545" i="3"/>
  <c r="D546" i="3" s="1"/>
  <c r="A544" i="3"/>
  <c r="N544" i="3"/>
  <c r="M544" i="3"/>
  <c r="O544" i="3" s="1"/>
  <c r="B544" i="3" s="1"/>
  <c r="C544" i="3" s="1"/>
  <c r="L544" i="3"/>
  <c r="K544" i="3"/>
  <c r="E545" i="3"/>
  <c r="G441" i="3" l="1"/>
  <c r="Q441" i="3"/>
  <c r="P441" i="3"/>
  <c r="J442" i="3" s="1"/>
  <c r="H441" i="3"/>
  <c r="I441" i="3" s="1"/>
  <c r="F546" i="3"/>
  <c r="D547" i="3" s="1"/>
  <c r="A545" i="3"/>
  <c r="N545" i="3"/>
  <c r="M545" i="3"/>
  <c r="O545" i="3" s="1"/>
  <c r="B545" i="3" s="1"/>
  <c r="C545" i="3" s="1"/>
  <c r="L545" i="3"/>
  <c r="K545" i="3"/>
  <c r="E546" i="3"/>
  <c r="G442" i="3" l="1"/>
  <c r="Q442" i="3"/>
  <c r="H442" i="3"/>
  <c r="I442" i="3" s="1"/>
  <c r="P442" i="3"/>
  <c r="J443" i="3" s="1"/>
  <c r="G443" i="3" s="1"/>
  <c r="F547" i="3"/>
  <c r="D548" i="3" s="1"/>
  <c r="K546" i="3"/>
  <c r="A546" i="3"/>
  <c r="N546" i="3"/>
  <c r="M546" i="3"/>
  <c r="O546" i="3" s="1"/>
  <c r="B546" i="3" s="1"/>
  <c r="C546" i="3" s="1"/>
  <c r="L546" i="3"/>
  <c r="E547" i="3"/>
  <c r="P443" i="3" l="1"/>
  <c r="J444" i="3" s="1"/>
  <c r="Q443" i="3"/>
  <c r="H443" i="3"/>
  <c r="I443" i="3" s="1"/>
  <c r="G444" i="3" s="1"/>
  <c r="F548" i="3"/>
  <c r="D549" i="3" s="1"/>
  <c r="L547" i="3"/>
  <c r="K547" i="3"/>
  <c r="A547" i="3"/>
  <c r="N547" i="3"/>
  <c r="M547" i="3"/>
  <c r="E548" i="3"/>
  <c r="Q444" i="3" l="1"/>
  <c r="H444" i="3"/>
  <c r="I444" i="3" s="1"/>
  <c r="P444" i="3"/>
  <c r="J445" i="3" s="1"/>
  <c r="O547" i="3"/>
  <c r="B547" i="3" s="1"/>
  <c r="C547" i="3" s="1"/>
  <c r="F549" i="3"/>
  <c r="D550" i="3" s="1"/>
  <c r="M548" i="3"/>
  <c r="L548" i="3"/>
  <c r="K548" i="3"/>
  <c r="A548" i="3"/>
  <c r="N548" i="3"/>
  <c r="E549" i="3"/>
  <c r="G445" i="3" l="1"/>
  <c r="P445" i="3"/>
  <c r="J446" i="3" s="1"/>
  <c r="Q445" i="3"/>
  <c r="H445" i="3"/>
  <c r="I445" i="3" s="1"/>
  <c r="G446" i="3" s="1"/>
  <c r="O548" i="3"/>
  <c r="B548" i="3" s="1"/>
  <c r="C548" i="3" s="1"/>
  <c r="F550" i="3"/>
  <c r="D551" i="3" s="1"/>
  <c r="N549" i="3"/>
  <c r="M549" i="3"/>
  <c r="O549" i="3" s="1"/>
  <c r="B549" i="3" s="1"/>
  <c r="C549" i="3" s="1"/>
  <c r="L549" i="3"/>
  <c r="K549" i="3"/>
  <c r="A549" i="3"/>
  <c r="E550" i="3"/>
  <c r="H446" i="3" l="1"/>
  <c r="I446" i="3" s="1"/>
  <c r="P446" i="3"/>
  <c r="J447" i="3" s="1"/>
  <c r="G447" i="3" s="1"/>
  <c r="Q446" i="3"/>
  <c r="F551" i="3"/>
  <c r="D552" i="3" s="1"/>
  <c r="N550" i="3"/>
  <c r="M550" i="3"/>
  <c r="L550" i="3"/>
  <c r="K550" i="3"/>
  <c r="A550" i="3"/>
  <c r="E551" i="3"/>
  <c r="P447" i="3" l="1"/>
  <c r="J448" i="3" s="1"/>
  <c r="Q447" i="3"/>
  <c r="H447" i="3"/>
  <c r="I447" i="3" s="1"/>
  <c r="O550" i="3"/>
  <c r="B550" i="3" s="1"/>
  <c r="C550" i="3" s="1"/>
  <c r="F552" i="3"/>
  <c r="D553" i="3" s="1"/>
  <c r="N551" i="3"/>
  <c r="M551" i="3"/>
  <c r="O551" i="3" s="1"/>
  <c r="B551" i="3" s="1"/>
  <c r="C551" i="3" s="1"/>
  <c r="L551" i="3"/>
  <c r="K551" i="3"/>
  <c r="A551" i="3"/>
  <c r="E552" i="3"/>
  <c r="G448" i="3" l="1"/>
  <c r="F553" i="3"/>
  <c r="D554" i="3" s="1"/>
  <c r="N552" i="3"/>
  <c r="M552" i="3"/>
  <c r="O552" i="3" s="1"/>
  <c r="B552" i="3" s="1"/>
  <c r="C552" i="3" s="1"/>
  <c r="L552" i="3"/>
  <c r="K552" i="3"/>
  <c r="A552" i="3"/>
  <c r="E553" i="3"/>
  <c r="Q448" i="3" l="1"/>
  <c r="H448" i="3"/>
  <c r="I448" i="3" s="1"/>
  <c r="G449" i="3" s="1"/>
  <c r="F554" i="3"/>
  <c r="D555" i="3" s="1"/>
  <c r="N553" i="3"/>
  <c r="M553" i="3"/>
  <c r="O553" i="3" s="1"/>
  <c r="B553" i="3" s="1"/>
  <c r="C553" i="3" s="1"/>
  <c r="L553" i="3"/>
  <c r="K553" i="3"/>
  <c r="A553" i="3"/>
  <c r="E554" i="3"/>
  <c r="P449" i="3" l="1"/>
  <c r="J450" i="3" s="1"/>
  <c r="Q449" i="3"/>
  <c r="H449" i="3"/>
  <c r="I449" i="3" s="1"/>
  <c r="G450" i="3" s="1"/>
  <c r="F555" i="3"/>
  <c r="D556" i="3" s="1"/>
  <c r="A554" i="3"/>
  <c r="N554" i="3"/>
  <c r="M554" i="3"/>
  <c r="L554" i="3"/>
  <c r="K554" i="3"/>
  <c r="E555" i="3"/>
  <c r="Q450" i="3" l="1"/>
  <c r="H450" i="3"/>
  <c r="I450" i="3" s="1"/>
  <c r="P450" i="3"/>
  <c r="J451" i="3" s="1"/>
  <c r="G451" i="3" s="1"/>
  <c r="O554" i="3"/>
  <c r="B554" i="3" s="1"/>
  <c r="C554" i="3" s="1"/>
  <c r="F556" i="3"/>
  <c r="D557" i="3" s="1"/>
  <c r="A555" i="3"/>
  <c r="N555" i="3"/>
  <c r="M555" i="3"/>
  <c r="O555" i="3" s="1"/>
  <c r="B555" i="3" s="1"/>
  <c r="C555" i="3" s="1"/>
  <c r="L555" i="3"/>
  <c r="K555" i="3"/>
  <c r="E556" i="3"/>
  <c r="H451" i="3" l="1"/>
  <c r="I451" i="3" s="1"/>
  <c r="P451" i="3"/>
  <c r="J452" i="3" s="1"/>
  <c r="G452" i="3" s="1"/>
  <c r="Q451" i="3"/>
  <c r="F557" i="3"/>
  <c r="D558" i="3" s="1"/>
  <c r="A556" i="3"/>
  <c r="N556" i="3"/>
  <c r="M556" i="3"/>
  <c r="O556" i="3" s="1"/>
  <c r="B556" i="3" s="1"/>
  <c r="C556" i="3" s="1"/>
  <c r="L556" i="3"/>
  <c r="K556" i="3"/>
  <c r="E557" i="3"/>
  <c r="Q452" i="3" l="1"/>
  <c r="P452" i="3"/>
  <c r="J453" i="3" s="1"/>
  <c r="H452" i="3"/>
  <c r="I452" i="3" s="1"/>
  <c r="F558" i="3"/>
  <c r="D559" i="3" s="1"/>
  <c r="A557" i="3"/>
  <c r="N557" i="3"/>
  <c r="M557" i="3"/>
  <c r="O557" i="3" s="1"/>
  <c r="B557" i="3" s="1"/>
  <c r="C557" i="3" s="1"/>
  <c r="L557" i="3"/>
  <c r="K557" i="3"/>
  <c r="E558" i="3"/>
  <c r="G453" i="3" l="1"/>
  <c r="P453" i="3"/>
  <c r="J454" i="3" s="1"/>
  <c r="Q453" i="3"/>
  <c r="H453" i="3"/>
  <c r="I453" i="3" s="1"/>
  <c r="G454" i="3" s="1"/>
  <c r="F559" i="3"/>
  <c r="D560" i="3" s="1"/>
  <c r="K558" i="3"/>
  <c r="A558" i="3"/>
  <c r="N558" i="3"/>
  <c r="M558" i="3"/>
  <c r="L558" i="3"/>
  <c r="E559" i="3"/>
  <c r="P454" i="3" l="1"/>
  <c r="J455" i="3" s="1"/>
  <c r="Q454" i="3"/>
  <c r="H454" i="3"/>
  <c r="I454" i="3" s="1"/>
  <c r="O558" i="3"/>
  <c r="B558" i="3" s="1"/>
  <c r="C558" i="3" s="1"/>
  <c r="F560" i="3"/>
  <c r="D561" i="3" s="1"/>
  <c r="L559" i="3"/>
  <c r="K559" i="3"/>
  <c r="A559" i="3"/>
  <c r="N559" i="3"/>
  <c r="M559" i="3"/>
  <c r="O559" i="3" s="1"/>
  <c r="B559" i="3" s="1"/>
  <c r="C559" i="3" s="1"/>
  <c r="E560" i="3"/>
  <c r="G455" i="3" l="1"/>
  <c r="F561" i="3"/>
  <c r="D562" i="3" s="1"/>
  <c r="M560" i="3"/>
  <c r="L560" i="3"/>
  <c r="K560" i="3"/>
  <c r="A560" i="3"/>
  <c r="N560" i="3"/>
  <c r="E561" i="3"/>
  <c r="P455" i="3" l="1"/>
  <c r="J456" i="3" s="1"/>
  <c r="Q455" i="3"/>
  <c r="H455" i="3"/>
  <c r="I455" i="3" s="1"/>
  <c r="G456" i="3" s="1"/>
  <c r="O560" i="3"/>
  <c r="B560" i="3" s="1"/>
  <c r="C560" i="3" s="1"/>
  <c r="F562" i="3"/>
  <c r="D563" i="3" s="1"/>
  <c r="N561" i="3"/>
  <c r="M561" i="3"/>
  <c r="O561" i="3" s="1"/>
  <c r="B561" i="3" s="1"/>
  <c r="C561" i="3" s="1"/>
  <c r="L561" i="3"/>
  <c r="K561" i="3"/>
  <c r="A561" i="3"/>
  <c r="E562" i="3"/>
  <c r="P456" i="3" l="1"/>
  <c r="J457" i="3" s="1"/>
  <c r="H456" i="3"/>
  <c r="I456" i="3" s="1"/>
  <c r="Q456" i="3"/>
  <c r="F563" i="3"/>
  <c r="D564" i="3" s="1"/>
  <c r="N562" i="3"/>
  <c r="M562" i="3"/>
  <c r="O562" i="3" s="1"/>
  <c r="B562" i="3" s="1"/>
  <c r="C562" i="3" s="1"/>
  <c r="L562" i="3"/>
  <c r="K562" i="3"/>
  <c r="A562" i="3"/>
  <c r="E563" i="3"/>
  <c r="G457" i="3" l="1"/>
  <c r="Q457" i="3"/>
  <c r="P457" i="3"/>
  <c r="J458" i="3" s="1"/>
  <c r="H457" i="3"/>
  <c r="I457" i="3" s="1"/>
  <c r="G458" i="3" s="1"/>
  <c r="F564" i="3"/>
  <c r="D565" i="3" s="1"/>
  <c r="N563" i="3"/>
  <c r="M563" i="3"/>
  <c r="O563" i="3" s="1"/>
  <c r="B563" i="3" s="1"/>
  <c r="C563" i="3" s="1"/>
  <c r="L563" i="3"/>
  <c r="K563" i="3"/>
  <c r="A563" i="3"/>
  <c r="E564" i="3"/>
  <c r="P458" i="3" l="1"/>
  <c r="J459" i="3" s="1"/>
  <c r="H458" i="3"/>
  <c r="I458" i="3" s="1"/>
  <c r="Q458" i="3"/>
  <c r="F565" i="3"/>
  <c r="D566" i="3" s="1"/>
  <c r="N564" i="3"/>
  <c r="M564" i="3"/>
  <c r="L564" i="3"/>
  <c r="K564" i="3"/>
  <c r="A564" i="3"/>
  <c r="E565" i="3"/>
  <c r="G459" i="3" l="1"/>
  <c r="H459" i="3"/>
  <c r="I459" i="3" s="1"/>
  <c r="Q459" i="3"/>
  <c r="P459" i="3"/>
  <c r="J460" i="3" s="1"/>
  <c r="G460" i="3" s="1"/>
  <c r="O564" i="3"/>
  <c r="B564" i="3" s="1"/>
  <c r="C564" i="3" s="1"/>
  <c r="F566" i="3"/>
  <c r="D567" i="3" s="1"/>
  <c r="N565" i="3"/>
  <c r="M565" i="3"/>
  <c r="O565" i="3" s="1"/>
  <c r="B565" i="3" s="1"/>
  <c r="C565" i="3" s="1"/>
  <c r="L565" i="3"/>
  <c r="K565" i="3"/>
  <c r="A565" i="3"/>
  <c r="E566" i="3"/>
  <c r="Q460" i="3" l="1"/>
  <c r="H460" i="3"/>
  <c r="I460" i="3" s="1"/>
  <c r="P460" i="3"/>
  <c r="J461" i="3" s="1"/>
  <c r="G461" i="3" s="1"/>
  <c r="F567" i="3"/>
  <c r="D568" i="3" s="1"/>
  <c r="A566" i="3"/>
  <c r="N566" i="3"/>
  <c r="M566" i="3"/>
  <c r="O566" i="3" s="1"/>
  <c r="B566" i="3" s="1"/>
  <c r="C566" i="3" s="1"/>
  <c r="L566" i="3"/>
  <c r="K566" i="3"/>
  <c r="E567" i="3"/>
  <c r="Q461" i="3" l="1"/>
  <c r="H461" i="3"/>
  <c r="I461" i="3" s="1"/>
  <c r="P461" i="3"/>
  <c r="J462" i="3" s="1"/>
  <c r="F568" i="3"/>
  <c r="D569" i="3" s="1"/>
  <c r="A567" i="3"/>
  <c r="N567" i="3"/>
  <c r="O567" i="3" s="1"/>
  <c r="B567" i="3" s="1"/>
  <c r="C567" i="3" s="1"/>
  <c r="M567" i="3"/>
  <c r="L567" i="3"/>
  <c r="K567" i="3"/>
  <c r="E568" i="3"/>
  <c r="G462" i="3" l="1"/>
  <c r="Q462" i="3"/>
  <c r="P462" i="3"/>
  <c r="J463" i="3" s="1"/>
  <c r="H462" i="3"/>
  <c r="I462" i="3" s="1"/>
  <c r="F569" i="3"/>
  <c r="D570" i="3" s="1"/>
  <c r="A568" i="3"/>
  <c r="N568" i="3"/>
  <c r="M568" i="3"/>
  <c r="O568" i="3" s="1"/>
  <c r="B568" i="3" s="1"/>
  <c r="C568" i="3" s="1"/>
  <c r="L568" i="3"/>
  <c r="K568" i="3"/>
  <c r="E569" i="3"/>
  <c r="G463" i="3" l="1"/>
  <c r="P463" i="3"/>
  <c r="J464" i="3" s="1"/>
  <c r="Q463" i="3"/>
  <c r="H463" i="3"/>
  <c r="I463" i="3" s="1"/>
  <c r="G464" i="3" s="1"/>
  <c r="F570" i="3"/>
  <c r="D571" i="3" s="1"/>
  <c r="A569" i="3"/>
  <c r="N569" i="3"/>
  <c r="M569" i="3"/>
  <c r="O569" i="3" s="1"/>
  <c r="B569" i="3" s="1"/>
  <c r="C569" i="3" s="1"/>
  <c r="L569" i="3"/>
  <c r="K569" i="3"/>
  <c r="E570" i="3"/>
  <c r="P464" i="3" l="1"/>
  <c r="J465" i="3" s="1"/>
  <c r="H464" i="3"/>
  <c r="I464" i="3" s="1"/>
  <c r="Q464" i="3"/>
  <c r="F571" i="3"/>
  <c r="D572" i="3" s="1"/>
  <c r="K570" i="3"/>
  <c r="A570" i="3"/>
  <c r="P570" i="3"/>
  <c r="N570" i="3"/>
  <c r="M570" i="3"/>
  <c r="O570" i="3" s="1"/>
  <c r="B570" i="3" s="1"/>
  <c r="C570" i="3" s="1"/>
  <c r="L570" i="3"/>
  <c r="E571" i="3"/>
  <c r="G465" i="3" l="1"/>
  <c r="H465" i="3"/>
  <c r="I465" i="3" s="1"/>
  <c r="Q465" i="3"/>
  <c r="P465" i="3"/>
  <c r="J466" i="3" s="1"/>
  <c r="F572" i="3"/>
  <c r="D573" i="3" s="1"/>
  <c r="L571" i="3"/>
  <c r="K571" i="3"/>
  <c r="J571" i="3"/>
  <c r="A571" i="3"/>
  <c r="N571" i="3"/>
  <c r="M571" i="3"/>
  <c r="O571" i="3" s="1"/>
  <c r="B571" i="3" s="1"/>
  <c r="C571" i="3" s="1"/>
  <c r="E572" i="3"/>
  <c r="G466" i="3" l="1"/>
  <c r="Q466" i="3"/>
  <c r="H466" i="3"/>
  <c r="I466" i="3" s="1"/>
  <c r="P466" i="3"/>
  <c r="J467" i="3" s="1"/>
  <c r="G467" i="3" s="1"/>
  <c r="F573" i="3"/>
  <c r="D574" i="3" s="1"/>
  <c r="M572" i="3"/>
  <c r="L572" i="3"/>
  <c r="K572" i="3"/>
  <c r="A572" i="3"/>
  <c r="N572" i="3"/>
  <c r="E573" i="3"/>
  <c r="P467" i="3" l="1"/>
  <c r="J468" i="3" s="1"/>
  <c r="Q467" i="3"/>
  <c r="H467" i="3"/>
  <c r="I467" i="3" s="1"/>
  <c r="O572" i="3"/>
  <c r="B572" i="3" s="1"/>
  <c r="C572" i="3" s="1"/>
  <c r="F574" i="3"/>
  <c r="D575" i="3" s="1"/>
  <c r="N573" i="3"/>
  <c r="M573" i="3"/>
  <c r="O573" i="3" s="1"/>
  <c r="B573" i="3" s="1"/>
  <c r="C573" i="3" s="1"/>
  <c r="L573" i="3"/>
  <c r="K573" i="3"/>
  <c r="A573" i="3"/>
  <c r="E574" i="3"/>
  <c r="G468" i="3" l="1"/>
  <c r="F575" i="3"/>
  <c r="D576" i="3" s="1"/>
  <c r="N574" i="3"/>
  <c r="M574" i="3"/>
  <c r="O574" i="3" s="1"/>
  <c r="B574" i="3" s="1"/>
  <c r="C574" i="3" s="1"/>
  <c r="L574" i="3"/>
  <c r="K574" i="3"/>
  <c r="A574" i="3"/>
  <c r="E575" i="3"/>
  <c r="H468" i="3" l="1"/>
  <c r="I468" i="3" s="1"/>
  <c r="Q468" i="3"/>
  <c r="P468" i="3"/>
  <c r="J469" i="3" s="1"/>
  <c r="F576" i="3"/>
  <c r="D577" i="3" s="1"/>
  <c r="N575" i="3"/>
  <c r="M575" i="3"/>
  <c r="O575" i="3" s="1"/>
  <c r="B575" i="3" s="1"/>
  <c r="C575" i="3" s="1"/>
  <c r="L575" i="3"/>
  <c r="K575" i="3"/>
  <c r="A575" i="3"/>
  <c r="E576" i="3"/>
  <c r="G469" i="3" l="1"/>
  <c r="P469" i="3" s="1"/>
  <c r="J470" i="3" s="1"/>
  <c r="F577" i="3"/>
  <c r="D578" i="3" s="1"/>
  <c r="N576" i="3"/>
  <c r="M576" i="3"/>
  <c r="O576" i="3" s="1"/>
  <c r="B576" i="3" s="1"/>
  <c r="C576" i="3" s="1"/>
  <c r="L576" i="3"/>
  <c r="K576" i="3"/>
  <c r="A576" i="3"/>
  <c r="E577" i="3"/>
  <c r="H469" i="3" l="1"/>
  <c r="I469" i="3" s="1"/>
  <c r="G470" i="3" s="1"/>
  <c r="Q470" i="3" s="1"/>
  <c r="Q469" i="3"/>
  <c r="F578" i="3"/>
  <c r="D579" i="3" s="1"/>
  <c r="N577" i="3"/>
  <c r="M577" i="3"/>
  <c r="O577" i="3" s="1"/>
  <c r="B577" i="3" s="1"/>
  <c r="C577" i="3" s="1"/>
  <c r="L577" i="3"/>
  <c r="K577" i="3"/>
  <c r="A577" i="3"/>
  <c r="E578" i="3"/>
  <c r="P470" i="3" l="1"/>
  <c r="J471" i="3" s="1"/>
  <c r="H470" i="3"/>
  <c r="I470" i="3" s="1"/>
  <c r="F579" i="3"/>
  <c r="D580" i="3" s="1"/>
  <c r="A578" i="3"/>
  <c r="N578" i="3"/>
  <c r="M578" i="3"/>
  <c r="O578" i="3" s="1"/>
  <c r="B578" i="3" s="1"/>
  <c r="C578" i="3" s="1"/>
  <c r="L578" i="3"/>
  <c r="K578" i="3"/>
  <c r="E579" i="3"/>
  <c r="G471" i="3" l="1"/>
  <c r="F580" i="3"/>
  <c r="D581" i="3" s="1"/>
  <c r="A579" i="3"/>
  <c r="N579" i="3"/>
  <c r="M579" i="3"/>
  <c r="L579" i="3"/>
  <c r="K579" i="3"/>
  <c r="E580" i="3"/>
  <c r="H471" i="3" l="1"/>
  <c r="I471" i="3" s="1"/>
  <c r="Q471" i="3"/>
  <c r="P471" i="3"/>
  <c r="J472" i="3" s="1"/>
  <c r="G472" i="3" s="1"/>
  <c r="O579" i="3"/>
  <c r="B579" i="3" s="1"/>
  <c r="C579" i="3" s="1"/>
  <c r="F581" i="3"/>
  <c r="D582" i="3" s="1"/>
  <c r="A580" i="3"/>
  <c r="N580" i="3"/>
  <c r="M580" i="3"/>
  <c r="O580" i="3" s="1"/>
  <c r="B580" i="3" s="1"/>
  <c r="C580" i="3" s="1"/>
  <c r="L580" i="3"/>
  <c r="K580" i="3"/>
  <c r="E581" i="3"/>
  <c r="H472" i="3" l="1"/>
  <c r="I472" i="3" s="1"/>
  <c r="P472" i="3"/>
  <c r="J473" i="3" s="1"/>
  <c r="Q472" i="3"/>
  <c r="F582" i="3"/>
  <c r="D583" i="3" s="1"/>
  <c r="A581" i="3"/>
  <c r="N581" i="3"/>
  <c r="M581" i="3"/>
  <c r="O581" i="3" s="1"/>
  <c r="B581" i="3" s="1"/>
  <c r="C581" i="3" s="1"/>
  <c r="L581" i="3"/>
  <c r="K581" i="3"/>
  <c r="E582" i="3"/>
  <c r="G473" i="3" l="1"/>
  <c r="Q473" i="3"/>
  <c r="H473" i="3"/>
  <c r="I473" i="3" s="1"/>
  <c r="P473" i="3"/>
  <c r="J474" i="3" s="1"/>
  <c r="F583" i="3"/>
  <c r="D584" i="3" s="1"/>
  <c r="K582" i="3"/>
  <c r="A582" i="3"/>
  <c r="N582" i="3"/>
  <c r="M582" i="3"/>
  <c r="O582" i="3" s="1"/>
  <c r="B582" i="3" s="1"/>
  <c r="C582" i="3" s="1"/>
  <c r="L582" i="3"/>
  <c r="E583" i="3"/>
  <c r="G474" i="3" l="1"/>
  <c r="P474" i="3"/>
  <c r="J475" i="3" s="1"/>
  <c r="H474" i="3"/>
  <c r="I474" i="3" s="1"/>
  <c r="Q474" i="3"/>
  <c r="F584" i="3"/>
  <c r="D585" i="3" s="1"/>
  <c r="L583" i="3"/>
  <c r="K583" i="3"/>
  <c r="A583" i="3"/>
  <c r="N583" i="3"/>
  <c r="M583" i="3"/>
  <c r="E584" i="3"/>
  <c r="G475" i="3" l="1"/>
  <c r="O583" i="3"/>
  <c r="B583" i="3" s="1"/>
  <c r="C583" i="3" s="1"/>
  <c r="P475" i="3"/>
  <c r="J476" i="3" s="1"/>
  <c r="Q475" i="3"/>
  <c r="H475" i="3"/>
  <c r="I475" i="3" s="1"/>
  <c r="F585" i="3"/>
  <c r="D586" i="3" s="1"/>
  <c r="M584" i="3"/>
  <c r="L584" i="3"/>
  <c r="K584" i="3"/>
  <c r="A584" i="3"/>
  <c r="N584" i="3"/>
  <c r="E585" i="3"/>
  <c r="G476" i="3" l="1"/>
  <c r="O584" i="3"/>
  <c r="B584" i="3" s="1"/>
  <c r="C584" i="3" s="1"/>
  <c r="F586" i="3"/>
  <c r="D587" i="3" s="1"/>
  <c r="N585" i="3"/>
  <c r="M585" i="3"/>
  <c r="O585" i="3" s="1"/>
  <c r="B585" i="3" s="1"/>
  <c r="C585" i="3" s="1"/>
  <c r="L585" i="3"/>
  <c r="K585" i="3"/>
  <c r="A585" i="3"/>
  <c r="E586" i="3"/>
  <c r="Q476" i="3" l="1"/>
  <c r="H476" i="3"/>
  <c r="I476" i="3" s="1"/>
  <c r="P476" i="3"/>
  <c r="J477" i="3" s="1"/>
  <c r="F587" i="3"/>
  <c r="D588" i="3" s="1"/>
  <c r="N586" i="3"/>
  <c r="M586" i="3"/>
  <c r="L586" i="3"/>
  <c r="K586" i="3"/>
  <c r="A586" i="3"/>
  <c r="E587" i="3"/>
  <c r="G477" i="3" l="1"/>
  <c r="O586" i="3"/>
  <c r="B586" i="3" s="1"/>
  <c r="C586" i="3" s="1"/>
  <c r="Q477" i="3"/>
  <c r="H477" i="3"/>
  <c r="I477" i="3" s="1"/>
  <c r="P477" i="3"/>
  <c r="J478" i="3" s="1"/>
  <c r="G478" i="3" s="1"/>
  <c r="F588" i="3"/>
  <c r="D589" i="3" s="1"/>
  <c r="N587" i="3"/>
  <c r="M587" i="3"/>
  <c r="O587" i="3" s="1"/>
  <c r="B587" i="3" s="1"/>
  <c r="C587" i="3" s="1"/>
  <c r="L587" i="3"/>
  <c r="K587" i="3"/>
  <c r="A587" i="3"/>
  <c r="E588" i="3"/>
  <c r="P478" i="3" l="1"/>
  <c r="J479" i="3" s="1"/>
  <c r="G479" i="3" s="1"/>
  <c r="Q478" i="3"/>
  <c r="F589" i="3"/>
  <c r="D590" i="3" s="1"/>
  <c r="N588" i="3"/>
  <c r="M588" i="3"/>
  <c r="O588" i="3" s="1"/>
  <c r="B588" i="3" s="1"/>
  <c r="C588" i="3" s="1"/>
  <c r="L588" i="3"/>
  <c r="K588" i="3"/>
  <c r="A588" i="3"/>
  <c r="E589" i="3"/>
  <c r="H479" i="3" l="1"/>
  <c r="I479" i="3" s="1"/>
  <c r="G480" i="3" s="1"/>
  <c r="Q479" i="3"/>
  <c r="F590" i="3"/>
  <c r="D591" i="3" s="1"/>
  <c r="N589" i="3"/>
  <c r="M589" i="3"/>
  <c r="L589" i="3"/>
  <c r="K589" i="3"/>
  <c r="A589" i="3"/>
  <c r="E590" i="3"/>
  <c r="O589" i="3" l="1"/>
  <c r="B589" i="3" s="1"/>
  <c r="C589" i="3" s="1"/>
  <c r="P480" i="3"/>
  <c r="J481" i="3" s="1"/>
  <c r="Q480" i="3"/>
  <c r="H480" i="3"/>
  <c r="I480" i="3" s="1"/>
  <c r="F591" i="3"/>
  <c r="D592" i="3" s="1"/>
  <c r="A590" i="3"/>
  <c r="N590" i="3"/>
  <c r="M590" i="3"/>
  <c r="O590" i="3" s="1"/>
  <c r="B590" i="3" s="1"/>
  <c r="C590" i="3" s="1"/>
  <c r="L590" i="3"/>
  <c r="K590" i="3"/>
  <c r="E591" i="3"/>
  <c r="G481" i="3" l="1"/>
  <c r="F592" i="3"/>
  <c r="D593" i="3" s="1"/>
  <c r="A591" i="3"/>
  <c r="N591" i="3"/>
  <c r="M591" i="3"/>
  <c r="L591" i="3"/>
  <c r="K591" i="3"/>
  <c r="E592" i="3"/>
  <c r="P481" i="3" l="1"/>
  <c r="J482" i="3" s="1"/>
  <c r="H481" i="3"/>
  <c r="I481" i="3" s="1"/>
  <c r="G482" i="3" s="1"/>
  <c r="Q481" i="3"/>
  <c r="O591" i="3"/>
  <c r="B591" i="3" s="1"/>
  <c r="C591" i="3" s="1"/>
  <c r="F593" i="3"/>
  <c r="D594" i="3" s="1"/>
  <c r="A592" i="3"/>
  <c r="N592" i="3"/>
  <c r="M592" i="3"/>
  <c r="L592" i="3"/>
  <c r="K592" i="3"/>
  <c r="E593" i="3"/>
  <c r="P482" i="3" l="1"/>
  <c r="J483" i="3" s="1"/>
  <c r="H482" i="3"/>
  <c r="I482" i="3" s="1"/>
  <c r="Q482" i="3"/>
  <c r="O592" i="3"/>
  <c r="B592" i="3" s="1"/>
  <c r="C592" i="3" s="1"/>
  <c r="F594" i="3"/>
  <c r="D595" i="3" s="1"/>
  <c r="A593" i="3"/>
  <c r="N593" i="3"/>
  <c r="M593" i="3"/>
  <c r="L593" i="3"/>
  <c r="K593" i="3"/>
  <c r="E594" i="3"/>
  <c r="G483" i="3" l="1"/>
  <c r="P483" i="3" s="1"/>
  <c r="J484" i="3" s="1"/>
  <c r="O593" i="3"/>
  <c r="B593" i="3" s="1"/>
  <c r="C593" i="3" s="1"/>
  <c r="H483" i="3"/>
  <c r="I483" i="3" s="1"/>
  <c r="F595" i="3"/>
  <c r="D596" i="3" s="1"/>
  <c r="K594" i="3"/>
  <c r="A594" i="3"/>
  <c r="N594" i="3"/>
  <c r="M594" i="3"/>
  <c r="L594" i="3"/>
  <c r="E595" i="3"/>
  <c r="Q483" i="3" l="1"/>
  <c r="G484" i="3"/>
  <c r="O594" i="3"/>
  <c r="B594" i="3" s="1"/>
  <c r="C594" i="3" s="1"/>
  <c r="F596" i="3"/>
  <c r="D597" i="3" s="1"/>
  <c r="L595" i="3"/>
  <c r="K595" i="3"/>
  <c r="A595" i="3"/>
  <c r="N595" i="3"/>
  <c r="M595" i="3"/>
  <c r="E596" i="3"/>
  <c r="O595" i="3" l="1"/>
  <c r="B595" i="3" s="1"/>
  <c r="C595" i="3" s="1"/>
  <c r="Q484" i="3"/>
  <c r="H484" i="3"/>
  <c r="I484" i="3" s="1"/>
  <c r="P484" i="3"/>
  <c r="J485" i="3" s="1"/>
  <c r="G485" i="3" s="1"/>
  <c r="F597" i="3"/>
  <c r="D598" i="3" s="1"/>
  <c r="M596" i="3"/>
  <c r="L596" i="3"/>
  <c r="K596" i="3"/>
  <c r="A596" i="3"/>
  <c r="N596" i="3"/>
  <c r="E597" i="3"/>
  <c r="H485" i="3" l="1"/>
  <c r="I485" i="3" s="1"/>
  <c r="P485" i="3"/>
  <c r="J486" i="3" s="1"/>
  <c r="G486" i="3" s="1"/>
  <c r="Q485" i="3"/>
  <c r="O596" i="3"/>
  <c r="B596" i="3" s="1"/>
  <c r="C596" i="3" s="1"/>
  <c r="F598" i="3"/>
  <c r="D599" i="3" s="1"/>
  <c r="N597" i="3"/>
  <c r="M597" i="3"/>
  <c r="O597" i="3" s="1"/>
  <c r="B597" i="3" s="1"/>
  <c r="C597" i="3" s="1"/>
  <c r="L597" i="3"/>
  <c r="K597" i="3"/>
  <c r="A597" i="3"/>
  <c r="E598" i="3"/>
  <c r="H486" i="3" l="1"/>
  <c r="I486" i="3" s="1"/>
  <c r="P486" i="3"/>
  <c r="J487" i="3" s="1"/>
  <c r="G487" i="3" s="1"/>
  <c r="Q486" i="3"/>
  <c r="F599" i="3"/>
  <c r="D600" i="3" s="1"/>
  <c r="N598" i="3"/>
  <c r="M598" i="3"/>
  <c r="L598" i="3"/>
  <c r="K598" i="3"/>
  <c r="A598" i="3"/>
  <c r="E599" i="3"/>
  <c r="O598" i="3" l="1"/>
  <c r="B598" i="3" s="1"/>
  <c r="C598" i="3" s="1"/>
  <c r="H487" i="3"/>
  <c r="I487" i="3" s="1"/>
  <c r="P487" i="3"/>
  <c r="J488" i="3" s="1"/>
  <c r="G488" i="3" s="1"/>
  <c r="Q487" i="3"/>
  <c r="F600" i="3"/>
  <c r="D601" i="3" s="1"/>
  <c r="N599" i="3"/>
  <c r="M599" i="3"/>
  <c r="O599" i="3" s="1"/>
  <c r="B599" i="3" s="1"/>
  <c r="C599" i="3" s="1"/>
  <c r="L599" i="3"/>
  <c r="K599" i="3"/>
  <c r="A599" i="3"/>
  <c r="E600" i="3"/>
  <c r="P488" i="3" l="1"/>
  <c r="J489" i="3" s="1"/>
  <c r="H488" i="3"/>
  <c r="I488" i="3" s="1"/>
  <c r="Q488" i="3"/>
  <c r="F601" i="3"/>
  <c r="D602" i="3" s="1"/>
  <c r="N600" i="3"/>
  <c r="M600" i="3"/>
  <c r="O600" i="3" s="1"/>
  <c r="B600" i="3" s="1"/>
  <c r="C600" i="3" s="1"/>
  <c r="L600" i="3"/>
  <c r="K600" i="3"/>
  <c r="H600" i="3"/>
  <c r="I600" i="3" s="1"/>
  <c r="A600" i="3"/>
  <c r="E601" i="3"/>
  <c r="G489" i="3" l="1"/>
  <c r="Q489" i="3"/>
  <c r="P489" i="3"/>
  <c r="J490" i="3" s="1"/>
  <c r="H489" i="3"/>
  <c r="I489" i="3" s="1"/>
  <c r="F602" i="3"/>
  <c r="D603" i="3" s="1"/>
  <c r="P601" i="3"/>
  <c r="N601" i="3"/>
  <c r="M601" i="3"/>
  <c r="O601" i="3" s="1"/>
  <c r="B601" i="3" s="1"/>
  <c r="C601" i="3" s="1"/>
  <c r="L601" i="3"/>
  <c r="K601" i="3"/>
  <c r="A601" i="3"/>
  <c r="E602" i="3"/>
  <c r="G490" i="3" l="1"/>
  <c r="Q490" i="3"/>
  <c r="P490" i="3"/>
  <c r="J491" i="3" s="1"/>
  <c r="H490" i="3"/>
  <c r="I490" i="3" s="1"/>
  <c r="F603" i="3"/>
  <c r="D604" i="3" s="1"/>
  <c r="A602" i="3"/>
  <c r="N602" i="3"/>
  <c r="M602" i="3"/>
  <c r="O602" i="3" s="1"/>
  <c r="B602" i="3" s="1"/>
  <c r="C602" i="3" s="1"/>
  <c r="L602" i="3"/>
  <c r="K602" i="3"/>
  <c r="J602" i="3"/>
  <c r="E603" i="3"/>
  <c r="G491" i="3" l="1"/>
  <c r="P491" i="3" s="1"/>
  <c r="J492" i="3" s="1"/>
  <c r="Q491" i="3"/>
  <c r="H491" i="3"/>
  <c r="I491" i="3" s="1"/>
  <c r="F604" i="3"/>
  <c r="D605" i="3" s="1"/>
  <c r="A603" i="3"/>
  <c r="N603" i="3"/>
  <c r="M603" i="3"/>
  <c r="L603" i="3"/>
  <c r="K603" i="3"/>
  <c r="E604" i="3"/>
  <c r="O603" i="3" l="1"/>
  <c r="B603" i="3" s="1"/>
  <c r="C603" i="3" s="1"/>
  <c r="G492" i="3"/>
  <c r="F605" i="3"/>
  <c r="D606" i="3" s="1"/>
  <c r="A604" i="3"/>
  <c r="N604" i="3"/>
  <c r="M604" i="3"/>
  <c r="O604" i="3" s="1"/>
  <c r="B604" i="3" s="1"/>
  <c r="C604" i="3" s="1"/>
  <c r="L604" i="3"/>
  <c r="K604" i="3"/>
  <c r="E605" i="3"/>
  <c r="P492" i="3" l="1"/>
  <c r="J493" i="3" s="1"/>
  <c r="Q492" i="3"/>
  <c r="H492" i="3"/>
  <c r="I492" i="3" s="1"/>
  <c r="F606" i="3"/>
  <c r="D607" i="3" s="1"/>
  <c r="A605" i="3"/>
  <c r="N605" i="3"/>
  <c r="M605" i="3"/>
  <c r="O605" i="3" s="1"/>
  <c r="B605" i="3" s="1"/>
  <c r="C605" i="3" s="1"/>
  <c r="L605" i="3"/>
  <c r="K605" i="3"/>
  <c r="E606" i="3"/>
  <c r="G493" i="3" l="1"/>
  <c r="F607" i="3"/>
  <c r="D608" i="3" s="1"/>
  <c r="K606" i="3"/>
  <c r="A606" i="3"/>
  <c r="N606" i="3"/>
  <c r="M606" i="3"/>
  <c r="O606" i="3" s="1"/>
  <c r="B606" i="3" s="1"/>
  <c r="C606" i="3" s="1"/>
  <c r="L606" i="3"/>
  <c r="E607" i="3"/>
  <c r="Q493" i="3" l="1"/>
  <c r="H493" i="3"/>
  <c r="I493" i="3" s="1"/>
  <c r="P493" i="3"/>
  <c r="J494" i="3" s="1"/>
  <c r="G494" i="3" s="1"/>
  <c r="F608" i="3"/>
  <c r="D609" i="3" s="1"/>
  <c r="L607" i="3"/>
  <c r="K607" i="3"/>
  <c r="A607" i="3"/>
  <c r="N607" i="3"/>
  <c r="M607" i="3"/>
  <c r="E608" i="3"/>
  <c r="H494" i="3" l="1"/>
  <c r="I494" i="3" s="1"/>
  <c r="P494" i="3"/>
  <c r="J495" i="3" s="1"/>
  <c r="G495" i="3" s="1"/>
  <c r="Q494" i="3"/>
  <c r="O607" i="3"/>
  <c r="B607" i="3" s="1"/>
  <c r="C607" i="3" s="1"/>
  <c r="F609" i="3"/>
  <c r="D610" i="3" s="1"/>
  <c r="M608" i="3"/>
  <c r="L608" i="3"/>
  <c r="K608" i="3"/>
  <c r="A608" i="3"/>
  <c r="N608" i="3"/>
  <c r="E609" i="3"/>
  <c r="Q495" i="3" l="1"/>
  <c r="H495" i="3"/>
  <c r="I495" i="3" s="1"/>
  <c r="P495" i="3"/>
  <c r="J496" i="3" s="1"/>
  <c r="G496" i="3" s="1"/>
  <c r="O608" i="3"/>
  <c r="B608" i="3" s="1"/>
  <c r="C608" i="3" s="1"/>
  <c r="F610" i="3"/>
  <c r="D611" i="3" s="1"/>
  <c r="N609" i="3"/>
  <c r="M609" i="3"/>
  <c r="O609" i="3" s="1"/>
  <c r="B609" i="3" s="1"/>
  <c r="C609" i="3" s="1"/>
  <c r="L609" i="3"/>
  <c r="K609" i="3"/>
  <c r="A609" i="3"/>
  <c r="E610" i="3"/>
  <c r="H496" i="3" l="1"/>
  <c r="I496" i="3" s="1"/>
  <c r="P496" i="3"/>
  <c r="J497" i="3" s="1"/>
  <c r="G497" i="3" s="1"/>
  <c r="Q496" i="3"/>
  <c r="F611" i="3"/>
  <c r="D612" i="3" s="1"/>
  <c r="N610" i="3"/>
  <c r="M610" i="3"/>
  <c r="O610" i="3" s="1"/>
  <c r="B610" i="3" s="1"/>
  <c r="C610" i="3" s="1"/>
  <c r="L610" i="3"/>
  <c r="K610" i="3"/>
  <c r="A610" i="3"/>
  <c r="E611" i="3"/>
  <c r="Q497" i="3" l="1"/>
  <c r="P497" i="3"/>
  <c r="J498" i="3" s="1"/>
  <c r="H497" i="3"/>
  <c r="I497" i="3" s="1"/>
  <c r="F612" i="3"/>
  <c r="D613" i="3" s="1"/>
  <c r="N611" i="3"/>
  <c r="M611" i="3"/>
  <c r="O611" i="3" s="1"/>
  <c r="B611" i="3" s="1"/>
  <c r="C611" i="3" s="1"/>
  <c r="L611" i="3"/>
  <c r="K611" i="3"/>
  <c r="A611" i="3"/>
  <c r="E612" i="3"/>
  <c r="G498" i="3" l="1"/>
  <c r="Q498" i="3"/>
  <c r="H498" i="3"/>
  <c r="I498" i="3" s="1"/>
  <c r="P498" i="3"/>
  <c r="J499" i="3" s="1"/>
  <c r="F613" i="3"/>
  <c r="D614" i="3" s="1"/>
  <c r="N612" i="3"/>
  <c r="M612" i="3"/>
  <c r="O612" i="3" s="1"/>
  <c r="B612" i="3" s="1"/>
  <c r="C612" i="3" s="1"/>
  <c r="L612" i="3"/>
  <c r="K612" i="3"/>
  <c r="A612" i="3"/>
  <c r="E613" i="3"/>
  <c r="G499" i="3" l="1"/>
  <c r="P499" i="3"/>
  <c r="J500" i="3" s="1"/>
  <c r="G500" i="3" s="1"/>
  <c r="H499" i="3"/>
  <c r="I499" i="3" s="1"/>
  <c r="Q499" i="3"/>
  <c r="F614" i="3"/>
  <c r="D615" i="3" s="1"/>
  <c r="N613" i="3"/>
  <c r="M613" i="3"/>
  <c r="O613" i="3" s="1"/>
  <c r="B613" i="3" s="1"/>
  <c r="C613" i="3" s="1"/>
  <c r="L613" i="3"/>
  <c r="K613" i="3"/>
  <c r="A613" i="3"/>
  <c r="E614" i="3"/>
  <c r="P500" i="3" l="1"/>
  <c r="J501" i="3" s="1"/>
  <c r="H500" i="3"/>
  <c r="I500" i="3" s="1"/>
  <c r="Q500" i="3"/>
  <c r="F615" i="3"/>
  <c r="D616" i="3" s="1"/>
  <c r="A614" i="3"/>
  <c r="N614" i="3"/>
  <c r="M614" i="3"/>
  <c r="O614" i="3" s="1"/>
  <c r="B614" i="3" s="1"/>
  <c r="C614" i="3" s="1"/>
  <c r="L614" i="3"/>
  <c r="K614" i="3"/>
  <c r="E615" i="3"/>
  <c r="G501" i="3" l="1"/>
  <c r="P501" i="3" s="1"/>
  <c r="J502" i="3" s="1"/>
  <c r="Q501" i="3"/>
  <c r="H501" i="3"/>
  <c r="I501" i="3" s="1"/>
  <c r="F616" i="3"/>
  <c r="D617" i="3" s="1"/>
  <c r="A615" i="3"/>
  <c r="N615" i="3"/>
  <c r="M615" i="3"/>
  <c r="L615" i="3"/>
  <c r="K615" i="3"/>
  <c r="E616" i="3"/>
  <c r="O615" i="3" l="1"/>
  <c r="B615" i="3" s="1"/>
  <c r="C615" i="3" s="1"/>
  <c r="G502" i="3"/>
  <c r="F617" i="3"/>
  <c r="D618" i="3" s="1"/>
  <c r="A616" i="3"/>
  <c r="N616" i="3"/>
  <c r="M616" i="3"/>
  <c r="O616" i="3" s="1"/>
  <c r="B616" i="3" s="1"/>
  <c r="C616" i="3" s="1"/>
  <c r="L616" i="3"/>
  <c r="K616" i="3"/>
  <c r="E617" i="3"/>
  <c r="Q502" i="3" l="1"/>
  <c r="H502" i="3"/>
  <c r="I502" i="3" s="1"/>
  <c r="P502" i="3"/>
  <c r="J503" i="3" s="1"/>
  <c r="G503" i="3" s="1"/>
  <c r="F618" i="3"/>
  <c r="D619" i="3" s="1"/>
  <c r="A617" i="3"/>
  <c r="N617" i="3"/>
  <c r="M617" i="3"/>
  <c r="O617" i="3" s="1"/>
  <c r="B617" i="3" s="1"/>
  <c r="C617" i="3" s="1"/>
  <c r="L617" i="3"/>
  <c r="K617" i="3"/>
  <c r="E618" i="3"/>
  <c r="H503" i="3" l="1"/>
  <c r="I503" i="3" s="1"/>
  <c r="P503" i="3"/>
  <c r="J504" i="3" s="1"/>
  <c r="G504" i="3" s="1"/>
  <c r="Q503" i="3"/>
  <c r="F619" i="3"/>
  <c r="D620" i="3" s="1"/>
  <c r="K618" i="3"/>
  <c r="A618" i="3"/>
  <c r="N618" i="3"/>
  <c r="M618" i="3"/>
  <c r="O618" i="3" s="1"/>
  <c r="B618" i="3" s="1"/>
  <c r="C618" i="3" s="1"/>
  <c r="L618" i="3"/>
  <c r="E619" i="3"/>
  <c r="P504" i="3" l="1"/>
  <c r="J505" i="3" s="1"/>
  <c r="H504" i="3"/>
  <c r="I504" i="3" s="1"/>
  <c r="Q504" i="3"/>
  <c r="F620" i="3"/>
  <c r="D621" i="3" s="1"/>
  <c r="L619" i="3"/>
  <c r="K619" i="3"/>
  <c r="A619" i="3"/>
  <c r="N619" i="3"/>
  <c r="M619" i="3"/>
  <c r="E620" i="3"/>
  <c r="G505" i="3" l="1"/>
  <c r="O619" i="3"/>
  <c r="B619" i="3" s="1"/>
  <c r="C619" i="3" s="1"/>
  <c r="P505" i="3"/>
  <c r="J506" i="3" s="1"/>
  <c r="Q505" i="3"/>
  <c r="H505" i="3"/>
  <c r="I505" i="3" s="1"/>
  <c r="F621" i="3"/>
  <c r="D622" i="3" s="1"/>
  <c r="M620" i="3"/>
  <c r="L620" i="3"/>
  <c r="K620" i="3"/>
  <c r="A620" i="3"/>
  <c r="N620" i="3"/>
  <c r="E621" i="3"/>
  <c r="G506" i="3" l="1"/>
  <c r="O620" i="3"/>
  <c r="B620" i="3" s="1"/>
  <c r="C620" i="3" s="1"/>
  <c r="F622" i="3"/>
  <c r="D623" i="3" s="1"/>
  <c r="N621" i="3"/>
  <c r="M621" i="3"/>
  <c r="O621" i="3" s="1"/>
  <c r="B621" i="3" s="1"/>
  <c r="C621" i="3" s="1"/>
  <c r="L621" i="3"/>
  <c r="K621" i="3"/>
  <c r="A621" i="3"/>
  <c r="E622" i="3"/>
  <c r="Q506" i="3" l="1"/>
  <c r="P506" i="3"/>
  <c r="J507" i="3" s="1"/>
  <c r="H506" i="3"/>
  <c r="I506" i="3" s="1"/>
  <c r="F623" i="3"/>
  <c r="D624" i="3" s="1"/>
  <c r="N622" i="3"/>
  <c r="M622" i="3"/>
  <c r="O622" i="3" s="1"/>
  <c r="B622" i="3" s="1"/>
  <c r="C622" i="3" s="1"/>
  <c r="L622" i="3"/>
  <c r="K622" i="3"/>
  <c r="A622" i="3"/>
  <c r="E623" i="3"/>
  <c r="G507" i="3" l="1"/>
  <c r="F624" i="3"/>
  <c r="D625" i="3" s="1"/>
  <c r="N623" i="3"/>
  <c r="M623" i="3"/>
  <c r="O623" i="3" s="1"/>
  <c r="B623" i="3" s="1"/>
  <c r="C623" i="3" s="1"/>
  <c r="L623" i="3"/>
  <c r="K623" i="3"/>
  <c r="A623" i="3"/>
  <c r="E624" i="3"/>
  <c r="Q507" i="3" l="1"/>
  <c r="H507" i="3"/>
  <c r="I507" i="3" s="1"/>
  <c r="P507" i="3"/>
  <c r="J508" i="3" s="1"/>
  <c r="G508" i="3" s="1"/>
  <c r="F625" i="3"/>
  <c r="D626" i="3" s="1"/>
  <c r="N624" i="3"/>
  <c r="M624" i="3"/>
  <c r="O624" i="3" s="1"/>
  <c r="B624" i="3" s="1"/>
  <c r="C624" i="3" s="1"/>
  <c r="L624" i="3"/>
  <c r="K624" i="3"/>
  <c r="A624" i="3"/>
  <c r="E625" i="3"/>
  <c r="Q508" i="3" l="1"/>
  <c r="H508" i="3"/>
  <c r="I508" i="3" s="1"/>
  <c r="P508" i="3"/>
  <c r="J509" i="3" s="1"/>
  <c r="F626" i="3"/>
  <c r="D627" i="3" s="1"/>
  <c r="N625" i="3"/>
  <c r="M625" i="3"/>
  <c r="O625" i="3" s="1"/>
  <c r="B625" i="3" s="1"/>
  <c r="C625" i="3" s="1"/>
  <c r="L625" i="3"/>
  <c r="K625" i="3"/>
  <c r="A625" i="3"/>
  <c r="E626" i="3"/>
  <c r="G509" i="3" l="1"/>
  <c r="Q509" i="3"/>
  <c r="H509" i="3"/>
  <c r="I509" i="3" s="1"/>
  <c r="G510" i="3" s="1"/>
  <c r="F627" i="3"/>
  <c r="D628" i="3" s="1"/>
  <c r="A626" i="3"/>
  <c r="N626" i="3"/>
  <c r="M626" i="3"/>
  <c r="O626" i="3" s="1"/>
  <c r="B626" i="3" s="1"/>
  <c r="C626" i="3" s="1"/>
  <c r="L626" i="3"/>
  <c r="K626" i="3"/>
  <c r="E627" i="3"/>
  <c r="P510" i="3" l="1"/>
  <c r="J511" i="3" s="1"/>
  <c r="H510" i="3"/>
  <c r="I510" i="3" s="1"/>
  <c r="Q510" i="3"/>
  <c r="F628" i="3"/>
  <c r="D629" i="3" s="1"/>
  <c r="A627" i="3"/>
  <c r="N627" i="3"/>
  <c r="M627" i="3"/>
  <c r="O627" i="3" s="1"/>
  <c r="B627" i="3" s="1"/>
  <c r="C627" i="3" s="1"/>
  <c r="L627" i="3"/>
  <c r="K627" i="3"/>
  <c r="E628" i="3"/>
  <c r="G511" i="3" l="1"/>
  <c r="P511" i="3"/>
  <c r="J512" i="3" s="1"/>
  <c r="Q511" i="3"/>
  <c r="H511" i="3"/>
  <c r="I511" i="3" s="1"/>
  <c r="F629" i="3"/>
  <c r="D630" i="3" s="1"/>
  <c r="A628" i="3"/>
  <c r="N628" i="3"/>
  <c r="M628" i="3"/>
  <c r="O628" i="3" s="1"/>
  <c r="B628" i="3" s="1"/>
  <c r="C628" i="3" s="1"/>
  <c r="L628" i="3"/>
  <c r="K628" i="3"/>
  <c r="E629" i="3"/>
  <c r="G512" i="3" l="1"/>
  <c r="F630" i="3"/>
  <c r="D631" i="3" s="1"/>
  <c r="A629" i="3"/>
  <c r="N629" i="3"/>
  <c r="M629" i="3"/>
  <c r="O629" i="3" s="1"/>
  <c r="B629" i="3" s="1"/>
  <c r="C629" i="3" s="1"/>
  <c r="L629" i="3"/>
  <c r="K629" i="3"/>
  <c r="E630" i="3"/>
  <c r="P512" i="3" l="1"/>
  <c r="J513" i="3" s="1"/>
  <c r="H512" i="3"/>
  <c r="I512" i="3" s="1"/>
  <c r="Q512" i="3"/>
  <c r="F631" i="3"/>
  <c r="D632" i="3" s="1"/>
  <c r="K630" i="3"/>
  <c r="A630" i="3"/>
  <c r="N630" i="3"/>
  <c r="M630" i="3"/>
  <c r="L630" i="3"/>
  <c r="E631" i="3"/>
  <c r="G513" i="3" l="1"/>
  <c r="O630" i="3"/>
  <c r="B630" i="3" s="1"/>
  <c r="C630" i="3" s="1"/>
  <c r="P513" i="3"/>
  <c r="J514" i="3" s="1"/>
  <c r="Q513" i="3"/>
  <c r="H513" i="3"/>
  <c r="I513" i="3" s="1"/>
  <c r="F632" i="3"/>
  <c r="D633" i="3" s="1"/>
  <c r="L631" i="3"/>
  <c r="K631" i="3"/>
  <c r="H631" i="3"/>
  <c r="I631" i="3" s="1"/>
  <c r="A631" i="3"/>
  <c r="N631" i="3"/>
  <c r="M631" i="3"/>
  <c r="O631" i="3" s="1"/>
  <c r="B631" i="3" s="1"/>
  <c r="C631" i="3" s="1"/>
  <c r="E632" i="3"/>
  <c r="G514" i="3" l="1"/>
  <c r="F633" i="3"/>
  <c r="D634" i="3" s="1"/>
  <c r="M632" i="3"/>
  <c r="L632" i="3"/>
  <c r="K632" i="3"/>
  <c r="A632" i="3"/>
  <c r="P632" i="3"/>
  <c r="N632" i="3"/>
  <c r="E633" i="3"/>
  <c r="P514" i="3" l="1"/>
  <c r="J515" i="3" s="1"/>
  <c r="Q514" i="3"/>
  <c r="H514" i="3"/>
  <c r="I514" i="3" s="1"/>
  <c r="O632" i="3"/>
  <c r="B632" i="3" s="1"/>
  <c r="C632" i="3" s="1"/>
  <c r="F634" i="3"/>
  <c r="D635" i="3" s="1"/>
  <c r="N633" i="3"/>
  <c r="M633" i="3"/>
  <c r="O633" i="3" s="1"/>
  <c r="B633" i="3" s="1"/>
  <c r="C633" i="3" s="1"/>
  <c r="L633" i="3"/>
  <c r="K633" i="3"/>
  <c r="J633" i="3"/>
  <c r="A633" i="3"/>
  <c r="E634" i="3"/>
  <c r="G515" i="3" l="1"/>
  <c r="F635" i="3"/>
  <c r="D636" i="3" s="1"/>
  <c r="N634" i="3"/>
  <c r="M634" i="3"/>
  <c r="O634" i="3" s="1"/>
  <c r="B634" i="3" s="1"/>
  <c r="C634" i="3" s="1"/>
  <c r="L634" i="3"/>
  <c r="K634" i="3"/>
  <c r="A634" i="3"/>
  <c r="E635" i="3"/>
  <c r="P515" i="3" l="1"/>
  <c r="J516" i="3" s="1"/>
  <c r="H515" i="3"/>
  <c r="I515" i="3" s="1"/>
  <c r="Q515" i="3"/>
  <c r="F636" i="3"/>
  <c r="D637" i="3" s="1"/>
  <c r="N635" i="3"/>
  <c r="M635" i="3"/>
  <c r="O635" i="3" s="1"/>
  <c r="B635" i="3" s="1"/>
  <c r="C635" i="3" s="1"/>
  <c r="L635" i="3"/>
  <c r="K635" i="3"/>
  <c r="A635" i="3"/>
  <c r="E636" i="3"/>
  <c r="G516" i="3" l="1"/>
  <c r="Q516" i="3"/>
  <c r="H516" i="3"/>
  <c r="I516" i="3" s="1"/>
  <c r="P516" i="3"/>
  <c r="J517" i="3" s="1"/>
  <c r="G517" i="3" s="1"/>
  <c r="F637" i="3"/>
  <c r="D638" i="3" s="1"/>
  <c r="N636" i="3"/>
  <c r="M636" i="3"/>
  <c r="O636" i="3" s="1"/>
  <c r="B636" i="3" s="1"/>
  <c r="C636" i="3" s="1"/>
  <c r="L636" i="3"/>
  <c r="K636" i="3"/>
  <c r="A636" i="3"/>
  <c r="E637" i="3"/>
  <c r="Q517" i="3" l="1"/>
  <c r="P517" i="3"/>
  <c r="J518" i="3" s="1"/>
  <c r="H517" i="3"/>
  <c r="I517" i="3" s="1"/>
  <c r="F638" i="3"/>
  <c r="D639" i="3" s="1"/>
  <c r="N637" i="3"/>
  <c r="M637" i="3"/>
  <c r="O637" i="3" s="1"/>
  <c r="B637" i="3" s="1"/>
  <c r="C637" i="3" s="1"/>
  <c r="L637" i="3"/>
  <c r="K637" i="3"/>
  <c r="A637" i="3"/>
  <c r="E638" i="3"/>
  <c r="G518" i="3" l="1"/>
  <c r="F639" i="3"/>
  <c r="D640" i="3" s="1"/>
  <c r="A638" i="3"/>
  <c r="N638" i="3"/>
  <c r="M638" i="3"/>
  <c r="O638" i="3" s="1"/>
  <c r="B638" i="3" s="1"/>
  <c r="C638" i="3" s="1"/>
  <c r="L638" i="3"/>
  <c r="K638" i="3"/>
  <c r="E639" i="3"/>
  <c r="H518" i="3" l="1"/>
  <c r="I518" i="3" s="1"/>
  <c r="P518" i="3"/>
  <c r="J519" i="3" s="1"/>
  <c r="Q518" i="3"/>
  <c r="F640" i="3"/>
  <c r="D641" i="3" s="1"/>
  <c r="A639" i="3"/>
  <c r="N639" i="3"/>
  <c r="O639" i="3" s="1"/>
  <c r="B639" i="3" s="1"/>
  <c r="C639" i="3" s="1"/>
  <c r="M639" i="3"/>
  <c r="L639" i="3"/>
  <c r="K639" i="3"/>
  <c r="E640" i="3"/>
  <c r="G519" i="3" l="1"/>
  <c r="Q519" i="3"/>
  <c r="H519" i="3"/>
  <c r="I519" i="3" s="1"/>
  <c r="P519" i="3"/>
  <c r="J520" i="3" s="1"/>
  <c r="F641" i="3"/>
  <c r="D642" i="3" s="1"/>
  <c r="A640" i="3"/>
  <c r="N640" i="3"/>
  <c r="M640" i="3"/>
  <c r="O640" i="3" s="1"/>
  <c r="B640" i="3" s="1"/>
  <c r="C640" i="3" s="1"/>
  <c r="L640" i="3"/>
  <c r="K640" i="3"/>
  <c r="E641" i="3"/>
  <c r="G520" i="3" l="1"/>
  <c r="H520" i="3"/>
  <c r="I520" i="3" s="1"/>
  <c r="Q520" i="3"/>
  <c r="P520" i="3"/>
  <c r="J521" i="3" s="1"/>
  <c r="G521" i="3" s="1"/>
  <c r="F642" i="3"/>
  <c r="D643" i="3" s="1"/>
  <c r="A641" i="3"/>
  <c r="N641" i="3"/>
  <c r="M641" i="3"/>
  <c r="O641" i="3" s="1"/>
  <c r="B641" i="3" s="1"/>
  <c r="C641" i="3" s="1"/>
  <c r="L641" i="3"/>
  <c r="K641" i="3"/>
  <c r="E642" i="3"/>
  <c r="H521" i="3" l="1"/>
  <c r="I521" i="3" s="1"/>
  <c r="P521" i="3"/>
  <c r="J522" i="3" s="1"/>
  <c r="G522" i="3" s="1"/>
  <c r="Q521" i="3"/>
  <c r="F643" i="3"/>
  <c r="D644" i="3" s="1"/>
  <c r="K642" i="3"/>
  <c r="A642" i="3"/>
  <c r="N642" i="3"/>
  <c r="M642" i="3"/>
  <c r="O642" i="3" s="1"/>
  <c r="B642" i="3" s="1"/>
  <c r="C642" i="3" s="1"/>
  <c r="L642" i="3"/>
  <c r="E643" i="3"/>
  <c r="P522" i="3" l="1"/>
  <c r="J523" i="3" s="1"/>
  <c r="Q522" i="3"/>
  <c r="H522" i="3"/>
  <c r="I522" i="3" s="1"/>
  <c r="G523" i="3" s="1"/>
  <c r="F644" i="3"/>
  <c r="D645" i="3" s="1"/>
  <c r="L643" i="3"/>
  <c r="K643" i="3"/>
  <c r="A643" i="3"/>
  <c r="N643" i="3"/>
  <c r="M643" i="3"/>
  <c r="E644" i="3"/>
  <c r="H523" i="3" l="1"/>
  <c r="I523" i="3" s="1"/>
  <c r="P523" i="3"/>
  <c r="J524" i="3" s="1"/>
  <c r="G524" i="3" s="1"/>
  <c r="Q523" i="3"/>
  <c r="O643" i="3"/>
  <c r="B643" i="3" s="1"/>
  <c r="C643" i="3" s="1"/>
  <c r="F645" i="3"/>
  <c r="D646" i="3" s="1"/>
  <c r="M644" i="3"/>
  <c r="L644" i="3"/>
  <c r="K644" i="3"/>
  <c r="A644" i="3"/>
  <c r="N644" i="3"/>
  <c r="E645" i="3"/>
  <c r="P524" i="3" l="1"/>
  <c r="J525" i="3" s="1"/>
  <c r="H524" i="3"/>
  <c r="I524" i="3" s="1"/>
  <c r="Q524" i="3"/>
  <c r="O644" i="3"/>
  <c r="B644" i="3" s="1"/>
  <c r="C644" i="3" s="1"/>
  <c r="F646" i="3"/>
  <c r="D647" i="3" s="1"/>
  <c r="N645" i="3"/>
  <c r="M645" i="3"/>
  <c r="O645" i="3" s="1"/>
  <c r="B645" i="3" s="1"/>
  <c r="C645" i="3" s="1"/>
  <c r="L645" i="3"/>
  <c r="K645" i="3"/>
  <c r="A645" i="3"/>
  <c r="E646" i="3"/>
  <c r="G525" i="3" l="1"/>
  <c r="P525" i="3"/>
  <c r="J526" i="3" s="1"/>
  <c r="Q525" i="3"/>
  <c r="H525" i="3"/>
  <c r="I525" i="3" s="1"/>
  <c r="F647" i="3"/>
  <c r="D648" i="3" s="1"/>
  <c r="N646" i="3"/>
  <c r="M646" i="3"/>
  <c r="O646" i="3" s="1"/>
  <c r="B646" i="3" s="1"/>
  <c r="C646" i="3" s="1"/>
  <c r="L646" i="3"/>
  <c r="K646" i="3"/>
  <c r="A646" i="3"/>
  <c r="E647" i="3"/>
  <c r="G526" i="3" l="1"/>
  <c r="F648" i="3"/>
  <c r="D649" i="3" s="1"/>
  <c r="N647" i="3"/>
  <c r="M647" i="3"/>
  <c r="O647" i="3" s="1"/>
  <c r="B647" i="3" s="1"/>
  <c r="C647" i="3" s="1"/>
  <c r="L647" i="3"/>
  <c r="K647" i="3"/>
  <c r="A647" i="3"/>
  <c r="E648" i="3"/>
  <c r="Q526" i="3" l="1"/>
  <c r="H526" i="3"/>
  <c r="I526" i="3" s="1"/>
  <c r="P526" i="3"/>
  <c r="J527" i="3" s="1"/>
  <c r="F649" i="3"/>
  <c r="D650" i="3" s="1"/>
  <c r="N648" i="3"/>
  <c r="M648" i="3"/>
  <c r="L648" i="3"/>
  <c r="K648" i="3"/>
  <c r="A648" i="3"/>
  <c r="E649" i="3"/>
  <c r="G527" i="3" l="1"/>
  <c r="Q527" i="3"/>
  <c r="H527" i="3"/>
  <c r="I527" i="3" s="1"/>
  <c r="P527" i="3"/>
  <c r="J528" i="3" s="1"/>
  <c r="O648" i="3"/>
  <c r="B648" i="3" s="1"/>
  <c r="C648" i="3" s="1"/>
  <c r="F650" i="3"/>
  <c r="D651" i="3" s="1"/>
  <c r="N649" i="3"/>
  <c r="M649" i="3"/>
  <c r="O649" i="3" s="1"/>
  <c r="B649" i="3" s="1"/>
  <c r="C649" i="3" s="1"/>
  <c r="L649" i="3"/>
  <c r="K649" i="3"/>
  <c r="A649" i="3"/>
  <c r="E650" i="3"/>
  <c r="G528" i="3" l="1"/>
  <c r="Q528" i="3"/>
  <c r="H528" i="3"/>
  <c r="I528" i="3" s="1"/>
  <c r="P528" i="3"/>
  <c r="J529" i="3" s="1"/>
  <c r="G529" i="3" s="1"/>
  <c r="F651" i="3"/>
  <c r="D652" i="3" s="1"/>
  <c r="A650" i="3"/>
  <c r="N650" i="3"/>
  <c r="M650" i="3"/>
  <c r="O650" i="3" s="1"/>
  <c r="B650" i="3" s="1"/>
  <c r="C650" i="3" s="1"/>
  <c r="L650" i="3"/>
  <c r="K650" i="3"/>
  <c r="E651" i="3"/>
  <c r="Q529" i="3" l="1"/>
  <c r="H529" i="3"/>
  <c r="I529" i="3" s="1"/>
  <c r="P529" i="3"/>
  <c r="J530" i="3" s="1"/>
  <c r="G530" i="3" s="1"/>
  <c r="F652" i="3"/>
  <c r="D653" i="3" s="1"/>
  <c r="A651" i="3"/>
  <c r="N651" i="3"/>
  <c r="M651" i="3"/>
  <c r="L651" i="3"/>
  <c r="K651" i="3"/>
  <c r="E652" i="3"/>
  <c r="P530" i="3" l="1"/>
  <c r="J531" i="3" s="1"/>
  <c r="Q530" i="3"/>
  <c r="H530" i="3"/>
  <c r="I530" i="3" s="1"/>
  <c r="O651" i="3"/>
  <c r="B651" i="3" s="1"/>
  <c r="C651" i="3" s="1"/>
  <c r="F653" i="3"/>
  <c r="D654" i="3" s="1"/>
  <c r="A652" i="3"/>
  <c r="N652" i="3"/>
  <c r="M652" i="3"/>
  <c r="O652" i="3" s="1"/>
  <c r="B652" i="3" s="1"/>
  <c r="C652" i="3" s="1"/>
  <c r="L652" i="3"/>
  <c r="K652" i="3"/>
  <c r="E653" i="3"/>
  <c r="G531" i="3" l="1"/>
  <c r="F654" i="3"/>
  <c r="D655" i="3" s="1"/>
  <c r="A653" i="3"/>
  <c r="N653" i="3"/>
  <c r="M653" i="3"/>
  <c r="O653" i="3" s="1"/>
  <c r="B653" i="3" s="1"/>
  <c r="C653" i="3" s="1"/>
  <c r="L653" i="3"/>
  <c r="K653" i="3"/>
  <c r="E654" i="3"/>
  <c r="Q531" i="3" l="1"/>
  <c r="P531" i="3"/>
  <c r="J532" i="3" s="1"/>
  <c r="H531" i="3"/>
  <c r="I531" i="3" s="1"/>
  <c r="F655" i="3"/>
  <c r="D656" i="3" s="1"/>
  <c r="K654" i="3"/>
  <c r="A654" i="3"/>
  <c r="N654" i="3"/>
  <c r="M654" i="3"/>
  <c r="O654" i="3" s="1"/>
  <c r="B654" i="3" s="1"/>
  <c r="C654" i="3" s="1"/>
  <c r="L654" i="3"/>
  <c r="E655" i="3"/>
  <c r="G532" i="3" l="1"/>
  <c r="Q532" i="3"/>
  <c r="H532" i="3"/>
  <c r="I532" i="3" s="1"/>
  <c r="P532" i="3"/>
  <c r="J533" i="3" s="1"/>
  <c r="G533" i="3" s="1"/>
  <c r="F656" i="3"/>
  <c r="D657" i="3" s="1"/>
  <c r="L655" i="3"/>
  <c r="K655" i="3"/>
  <c r="A655" i="3"/>
  <c r="N655" i="3"/>
  <c r="M655" i="3"/>
  <c r="E656" i="3"/>
  <c r="O655" i="3" l="1"/>
  <c r="B655" i="3" s="1"/>
  <c r="C655" i="3" s="1"/>
  <c r="Q533" i="3"/>
  <c r="H533" i="3"/>
  <c r="I533" i="3" s="1"/>
  <c r="P533" i="3"/>
  <c r="J534" i="3" s="1"/>
  <c r="G534" i="3" s="1"/>
  <c r="F657" i="3"/>
  <c r="D658" i="3" s="1"/>
  <c r="M656" i="3"/>
  <c r="L656" i="3"/>
  <c r="K656" i="3"/>
  <c r="A656" i="3"/>
  <c r="N656" i="3"/>
  <c r="E657" i="3"/>
  <c r="Q534" i="3" l="1"/>
  <c r="P534" i="3"/>
  <c r="J535" i="3" s="1"/>
  <c r="H534" i="3"/>
  <c r="I534" i="3" s="1"/>
  <c r="O656" i="3"/>
  <c r="B656" i="3" s="1"/>
  <c r="C656" i="3" s="1"/>
  <c r="F658" i="3"/>
  <c r="D659" i="3" s="1"/>
  <c r="N657" i="3"/>
  <c r="M657" i="3"/>
  <c r="O657" i="3" s="1"/>
  <c r="B657" i="3" s="1"/>
  <c r="C657" i="3" s="1"/>
  <c r="L657" i="3"/>
  <c r="K657" i="3"/>
  <c r="A657" i="3"/>
  <c r="E658" i="3"/>
  <c r="G535" i="3" l="1"/>
  <c r="H535" i="3"/>
  <c r="I535" i="3" s="1"/>
  <c r="P535" i="3"/>
  <c r="J536" i="3" s="1"/>
  <c r="G536" i="3" s="1"/>
  <c r="Q535" i="3"/>
  <c r="F659" i="3"/>
  <c r="D660" i="3" s="1"/>
  <c r="N658" i="3"/>
  <c r="M658" i="3"/>
  <c r="O658" i="3" s="1"/>
  <c r="B658" i="3" s="1"/>
  <c r="C658" i="3" s="1"/>
  <c r="L658" i="3"/>
  <c r="K658" i="3"/>
  <c r="A658" i="3"/>
  <c r="E659" i="3"/>
  <c r="H536" i="3" l="1"/>
  <c r="I536" i="3" s="1"/>
  <c r="P536" i="3"/>
  <c r="J537" i="3" s="1"/>
  <c r="G537" i="3" s="1"/>
  <c r="Q536" i="3"/>
  <c r="F660" i="3"/>
  <c r="D661" i="3" s="1"/>
  <c r="N659" i="3"/>
  <c r="M659" i="3"/>
  <c r="O659" i="3" s="1"/>
  <c r="B659" i="3" s="1"/>
  <c r="C659" i="3" s="1"/>
  <c r="L659" i="3"/>
  <c r="K659" i="3"/>
  <c r="A659" i="3"/>
  <c r="E660" i="3"/>
  <c r="Q537" i="3" l="1"/>
  <c r="P537" i="3"/>
  <c r="J538" i="3" s="1"/>
  <c r="H537" i="3"/>
  <c r="I537" i="3" s="1"/>
  <c r="F661" i="3"/>
  <c r="D662" i="3" s="1"/>
  <c r="N660" i="3"/>
  <c r="M660" i="3"/>
  <c r="O660" i="3" s="1"/>
  <c r="B660" i="3" s="1"/>
  <c r="C660" i="3" s="1"/>
  <c r="L660" i="3"/>
  <c r="K660" i="3"/>
  <c r="A660" i="3"/>
  <c r="E661" i="3"/>
  <c r="G538" i="3" l="1"/>
  <c r="P538" i="3"/>
  <c r="J539" i="3" s="1"/>
  <c r="Q538" i="3"/>
  <c r="H538" i="3"/>
  <c r="I538" i="3" s="1"/>
  <c r="F662" i="3"/>
  <c r="D663" i="3" s="1"/>
  <c r="N661" i="3"/>
  <c r="M661" i="3"/>
  <c r="L661" i="3"/>
  <c r="K661" i="3"/>
  <c r="A661" i="3"/>
  <c r="E662" i="3"/>
  <c r="O661" i="3" l="1"/>
  <c r="B661" i="3" s="1"/>
  <c r="C661" i="3" s="1"/>
  <c r="G539" i="3"/>
  <c r="F663" i="3"/>
  <c r="D664" i="3" s="1"/>
  <c r="A662" i="3"/>
  <c r="P662" i="3"/>
  <c r="N662" i="3"/>
  <c r="M662" i="3"/>
  <c r="O662" i="3" s="1"/>
  <c r="B662" i="3" s="1"/>
  <c r="C662" i="3" s="1"/>
  <c r="L662" i="3"/>
  <c r="K662" i="3"/>
  <c r="E663" i="3"/>
  <c r="Q539" i="3" l="1"/>
  <c r="P539" i="3"/>
  <c r="J540" i="3" s="1"/>
  <c r="G540" i="3" s="1"/>
  <c r="F664" i="3"/>
  <c r="D665" i="3" s="1"/>
  <c r="A663" i="3"/>
  <c r="N663" i="3"/>
  <c r="M663" i="3"/>
  <c r="L663" i="3"/>
  <c r="K663" i="3"/>
  <c r="J663" i="3"/>
  <c r="E664" i="3"/>
  <c r="O663" i="3" l="1"/>
  <c r="B663" i="3" s="1"/>
  <c r="C663" i="3" s="1"/>
  <c r="Q540" i="3"/>
  <c r="H540" i="3"/>
  <c r="I540" i="3" s="1"/>
  <c r="G541" i="3" s="1"/>
  <c r="F665" i="3"/>
  <c r="D666" i="3" s="1"/>
  <c r="A664" i="3"/>
  <c r="N664" i="3"/>
  <c r="M664" i="3"/>
  <c r="O664" i="3" s="1"/>
  <c r="B664" i="3" s="1"/>
  <c r="C664" i="3" s="1"/>
  <c r="L664" i="3"/>
  <c r="K664" i="3"/>
  <c r="E665" i="3"/>
  <c r="Q541" i="3" l="1"/>
  <c r="H541" i="3"/>
  <c r="I541" i="3" s="1"/>
  <c r="P541" i="3"/>
  <c r="J542" i="3" s="1"/>
  <c r="F666" i="3"/>
  <c r="D667" i="3" s="1"/>
  <c r="A665" i="3"/>
  <c r="N665" i="3"/>
  <c r="M665" i="3"/>
  <c r="O665" i="3" s="1"/>
  <c r="B665" i="3" s="1"/>
  <c r="C665" i="3" s="1"/>
  <c r="L665" i="3"/>
  <c r="K665" i="3"/>
  <c r="E666" i="3"/>
  <c r="G542" i="3" l="1"/>
  <c r="Q542" i="3"/>
  <c r="P542" i="3"/>
  <c r="J543" i="3" s="1"/>
  <c r="H542" i="3"/>
  <c r="I542" i="3" s="1"/>
  <c r="F667" i="3"/>
  <c r="D668" i="3" s="1"/>
  <c r="K666" i="3"/>
  <c r="A666" i="3"/>
  <c r="N666" i="3"/>
  <c r="M666" i="3"/>
  <c r="L666" i="3"/>
  <c r="E667" i="3"/>
  <c r="G543" i="3" l="1"/>
  <c r="O666" i="3"/>
  <c r="B666" i="3" s="1"/>
  <c r="C666" i="3" s="1"/>
  <c r="F668" i="3"/>
  <c r="D669" i="3" s="1"/>
  <c r="L667" i="3"/>
  <c r="K667" i="3"/>
  <c r="A667" i="3"/>
  <c r="N667" i="3"/>
  <c r="M667" i="3"/>
  <c r="E668" i="3"/>
  <c r="O667" i="3" l="1"/>
  <c r="B667" i="3" s="1"/>
  <c r="C667" i="3" s="1"/>
  <c r="Q543" i="3"/>
  <c r="H543" i="3"/>
  <c r="I543" i="3" s="1"/>
  <c r="P543" i="3"/>
  <c r="J544" i="3" s="1"/>
  <c r="F669" i="3"/>
  <c r="D670" i="3" s="1"/>
  <c r="M668" i="3"/>
  <c r="L668" i="3"/>
  <c r="K668" i="3"/>
  <c r="A668" i="3"/>
  <c r="N668" i="3"/>
  <c r="E669" i="3"/>
  <c r="G544" i="3" l="1"/>
  <c r="H544" i="3"/>
  <c r="I544" i="3" s="1"/>
  <c r="P544" i="3"/>
  <c r="J545" i="3" s="1"/>
  <c r="Q544" i="3"/>
  <c r="O668" i="3"/>
  <c r="B668" i="3" s="1"/>
  <c r="C668" i="3" s="1"/>
  <c r="F670" i="3"/>
  <c r="D671" i="3" s="1"/>
  <c r="N669" i="3"/>
  <c r="M669" i="3"/>
  <c r="O669" i="3" s="1"/>
  <c r="B669" i="3" s="1"/>
  <c r="C669" i="3" s="1"/>
  <c r="L669" i="3"/>
  <c r="K669" i="3"/>
  <c r="A669" i="3"/>
  <c r="E670" i="3"/>
  <c r="G545" i="3" l="1"/>
  <c r="Q545" i="3" s="1"/>
  <c r="H545" i="3"/>
  <c r="I545" i="3" s="1"/>
  <c r="F671" i="3"/>
  <c r="D672" i="3" s="1"/>
  <c r="N670" i="3"/>
  <c r="M670" i="3"/>
  <c r="O670" i="3" s="1"/>
  <c r="B670" i="3" s="1"/>
  <c r="C670" i="3" s="1"/>
  <c r="L670" i="3"/>
  <c r="K670" i="3"/>
  <c r="A670" i="3"/>
  <c r="E671" i="3"/>
  <c r="P545" i="3" l="1"/>
  <c r="J546" i="3" s="1"/>
  <c r="G546" i="3" s="1"/>
  <c r="P546" i="3" s="1"/>
  <c r="J547" i="3" s="1"/>
  <c r="F672" i="3"/>
  <c r="D673" i="3" s="1"/>
  <c r="N671" i="3"/>
  <c r="M671" i="3"/>
  <c r="O671" i="3" s="1"/>
  <c r="B671" i="3" s="1"/>
  <c r="C671" i="3" s="1"/>
  <c r="L671" i="3"/>
  <c r="K671" i="3"/>
  <c r="A671" i="3"/>
  <c r="E672" i="3"/>
  <c r="Q546" i="3" l="1"/>
  <c r="H546" i="3"/>
  <c r="I546" i="3" s="1"/>
  <c r="G547" i="3" s="1"/>
  <c r="Q547" i="3" s="1"/>
  <c r="F673" i="3"/>
  <c r="D674" i="3" s="1"/>
  <c r="N672" i="3"/>
  <c r="M672" i="3"/>
  <c r="O672" i="3" s="1"/>
  <c r="B672" i="3" s="1"/>
  <c r="C672" i="3" s="1"/>
  <c r="L672" i="3"/>
  <c r="K672" i="3"/>
  <c r="A672" i="3"/>
  <c r="E673" i="3"/>
  <c r="H547" i="3" l="1"/>
  <c r="I547" i="3" s="1"/>
  <c r="P547" i="3"/>
  <c r="J548" i="3" s="1"/>
  <c r="G548" i="3" s="1"/>
  <c r="F674" i="3"/>
  <c r="D675" i="3" s="1"/>
  <c r="N673" i="3"/>
  <c r="M673" i="3"/>
  <c r="O673" i="3" s="1"/>
  <c r="B673" i="3" s="1"/>
  <c r="C673" i="3" s="1"/>
  <c r="L673" i="3"/>
  <c r="K673" i="3"/>
  <c r="A673" i="3"/>
  <c r="E674" i="3"/>
  <c r="H548" i="3" l="1"/>
  <c r="I548" i="3" s="1"/>
  <c r="P548" i="3"/>
  <c r="J549" i="3" s="1"/>
  <c r="G549" i="3" s="1"/>
  <c r="Q548" i="3"/>
  <c r="F675" i="3"/>
  <c r="D676" i="3" s="1"/>
  <c r="A674" i="3"/>
  <c r="N674" i="3"/>
  <c r="M674" i="3"/>
  <c r="O674" i="3" s="1"/>
  <c r="B674" i="3" s="1"/>
  <c r="C674" i="3" s="1"/>
  <c r="L674" i="3"/>
  <c r="K674" i="3"/>
  <c r="E675" i="3"/>
  <c r="Q549" i="3" l="1"/>
  <c r="P549" i="3"/>
  <c r="J550" i="3" s="1"/>
  <c r="H549" i="3"/>
  <c r="I549" i="3" s="1"/>
  <c r="F676" i="3"/>
  <c r="D677" i="3" s="1"/>
  <c r="A675" i="3"/>
  <c r="N675" i="3"/>
  <c r="M675" i="3"/>
  <c r="L675" i="3"/>
  <c r="K675" i="3"/>
  <c r="E676" i="3"/>
  <c r="G550" i="3" l="1"/>
  <c r="O675" i="3"/>
  <c r="B675" i="3" s="1"/>
  <c r="C675" i="3" s="1"/>
  <c r="F677" i="3"/>
  <c r="D678" i="3" s="1"/>
  <c r="A676" i="3"/>
  <c r="N676" i="3"/>
  <c r="M676" i="3"/>
  <c r="O676" i="3" s="1"/>
  <c r="B676" i="3" s="1"/>
  <c r="C676" i="3" s="1"/>
  <c r="L676" i="3"/>
  <c r="K676" i="3"/>
  <c r="E677" i="3"/>
  <c r="Q550" i="3" l="1"/>
  <c r="H550" i="3"/>
  <c r="I550" i="3" s="1"/>
  <c r="P550" i="3"/>
  <c r="J551" i="3" s="1"/>
  <c r="G551" i="3" s="1"/>
  <c r="F678" i="3"/>
  <c r="D679" i="3" s="1"/>
  <c r="A677" i="3"/>
  <c r="N677" i="3"/>
  <c r="M677" i="3"/>
  <c r="O677" i="3" s="1"/>
  <c r="B677" i="3" s="1"/>
  <c r="C677" i="3" s="1"/>
  <c r="L677" i="3"/>
  <c r="K677" i="3"/>
  <c r="E678" i="3"/>
  <c r="P551" i="3" l="1"/>
  <c r="J552" i="3" s="1"/>
  <c r="H551" i="3"/>
  <c r="I551" i="3" s="1"/>
  <c r="Q551" i="3"/>
  <c r="F679" i="3"/>
  <c r="D680" i="3" s="1"/>
  <c r="K678" i="3"/>
  <c r="A678" i="3"/>
  <c r="N678" i="3"/>
  <c r="M678" i="3"/>
  <c r="O678" i="3" s="1"/>
  <c r="B678" i="3" s="1"/>
  <c r="C678" i="3" s="1"/>
  <c r="L678" i="3"/>
  <c r="E679" i="3"/>
  <c r="G552" i="3" l="1"/>
  <c r="P552" i="3" s="1"/>
  <c r="J553" i="3" s="1"/>
  <c r="F680" i="3"/>
  <c r="D681" i="3" s="1"/>
  <c r="L679" i="3"/>
  <c r="K679" i="3"/>
  <c r="A679" i="3"/>
  <c r="N679" i="3"/>
  <c r="M679" i="3"/>
  <c r="E680" i="3"/>
  <c r="Q552" i="3" l="1"/>
  <c r="H552" i="3"/>
  <c r="I552" i="3" s="1"/>
  <c r="G553" i="3" s="1"/>
  <c r="O679" i="3"/>
  <c r="B679" i="3" s="1"/>
  <c r="C679" i="3" s="1"/>
  <c r="F681" i="3"/>
  <c r="D682" i="3" s="1"/>
  <c r="M680" i="3"/>
  <c r="L680" i="3"/>
  <c r="K680" i="3"/>
  <c r="A680" i="3"/>
  <c r="N680" i="3"/>
  <c r="E681" i="3"/>
  <c r="P553" i="3" l="1"/>
  <c r="J554" i="3" s="1"/>
  <c r="Q553" i="3"/>
  <c r="H553" i="3"/>
  <c r="I553" i="3" s="1"/>
  <c r="O680" i="3"/>
  <c r="B680" i="3" s="1"/>
  <c r="C680" i="3" s="1"/>
  <c r="F682" i="3"/>
  <c r="D683" i="3" s="1"/>
  <c r="N681" i="3"/>
  <c r="M681" i="3"/>
  <c r="O681" i="3" s="1"/>
  <c r="B681" i="3" s="1"/>
  <c r="C681" i="3" s="1"/>
  <c r="L681" i="3"/>
  <c r="K681" i="3"/>
  <c r="A681" i="3"/>
  <c r="E682" i="3"/>
  <c r="G554" i="3" l="1"/>
  <c r="F683" i="3"/>
  <c r="D684" i="3" s="1"/>
  <c r="N682" i="3"/>
  <c r="M682" i="3"/>
  <c r="O682" i="3" s="1"/>
  <c r="B682" i="3" s="1"/>
  <c r="C682" i="3" s="1"/>
  <c r="L682" i="3"/>
  <c r="K682" i="3"/>
  <c r="A682" i="3"/>
  <c r="E683" i="3"/>
  <c r="Q554" i="3" l="1"/>
  <c r="H554" i="3"/>
  <c r="I554" i="3" s="1"/>
  <c r="P554" i="3"/>
  <c r="J555" i="3" s="1"/>
  <c r="G555" i="3" s="1"/>
  <c r="F684" i="3"/>
  <c r="D685" i="3" s="1"/>
  <c r="N683" i="3"/>
  <c r="M683" i="3"/>
  <c r="O683" i="3" s="1"/>
  <c r="B683" i="3" s="1"/>
  <c r="C683" i="3" s="1"/>
  <c r="L683" i="3"/>
  <c r="K683" i="3"/>
  <c r="A683" i="3"/>
  <c r="E684" i="3"/>
  <c r="P555" i="3" l="1"/>
  <c r="J556" i="3" s="1"/>
  <c r="H555" i="3"/>
  <c r="I555" i="3" s="1"/>
  <c r="Q555" i="3"/>
  <c r="F685" i="3"/>
  <c r="D686" i="3" s="1"/>
  <c r="N684" i="3"/>
  <c r="M684" i="3"/>
  <c r="O684" i="3" s="1"/>
  <c r="B684" i="3" s="1"/>
  <c r="C684" i="3" s="1"/>
  <c r="L684" i="3"/>
  <c r="K684" i="3"/>
  <c r="A684" i="3"/>
  <c r="E685" i="3"/>
  <c r="G556" i="3" l="1"/>
  <c r="P556" i="3" s="1"/>
  <c r="J557" i="3" s="1"/>
  <c r="F686" i="3"/>
  <c r="D687" i="3" s="1"/>
  <c r="N685" i="3"/>
  <c r="M685" i="3"/>
  <c r="O685" i="3" s="1"/>
  <c r="B685" i="3" s="1"/>
  <c r="C685" i="3" s="1"/>
  <c r="L685" i="3"/>
  <c r="K685" i="3"/>
  <c r="A685" i="3"/>
  <c r="E686" i="3"/>
  <c r="Q556" i="3" l="1"/>
  <c r="H556" i="3"/>
  <c r="I556" i="3" s="1"/>
  <c r="G557" i="3" s="1"/>
  <c r="F687" i="3"/>
  <c r="D688" i="3" s="1"/>
  <c r="A686" i="3"/>
  <c r="N686" i="3"/>
  <c r="M686" i="3"/>
  <c r="O686" i="3" s="1"/>
  <c r="B686" i="3" s="1"/>
  <c r="C686" i="3" s="1"/>
  <c r="L686" i="3"/>
  <c r="K686" i="3"/>
  <c r="E687" i="3"/>
  <c r="Q557" i="3" l="1"/>
  <c r="H557" i="3"/>
  <c r="I557" i="3" s="1"/>
  <c r="P557" i="3"/>
  <c r="J558" i="3" s="1"/>
  <c r="F688" i="3"/>
  <c r="D689" i="3" s="1"/>
  <c r="A687" i="3"/>
  <c r="N687" i="3"/>
  <c r="M687" i="3"/>
  <c r="L687" i="3"/>
  <c r="K687" i="3"/>
  <c r="E688" i="3"/>
  <c r="G558" i="3" l="1"/>
  <c r="O687" i="3"/>
  <c r="B687" i="3" s="1"/>
  <c r="C687" i="3" s="1"/>
  <c r="H558" i="3"/>
  <c r="I558" i="3" s="1"/>
  <c r="P558" i="3"/>
  <c r="J559" i="3" s="1"/>
  <c r="G559" i="3" s="1"/>
  <c r="Q558" i="3"/>
  <c r="F689" i="3"/>
  <c r="D690" i="3" s="1"/>
  <c r="A688" i="3"/>
  <c r="N688" i="3"/>
  <c r="M688" i="3"/>
  <c r="O688" i="3" s="1"/>
  <c r="B688" i="3" s="1"/>
  <c r="C688" i="3" s="1"/>
  <c r="L688" i="3"/>
  <c r="K688" i="3"/>
  <c r="E689" i="3"/>
  <c r="H559" i="3" l="1"/>
  <c r="I559" i="3" s="1"/>
  <c r="Q559" i="3"/>
  <c r="P559" i="3"/>
  <c r="J560" i="3" s="1"/>
  <c r="G560" i="3" s="1"/>
  <c r="F690" i="3"/>
  <c r="D691" i="3" s="1"/>
  <c r="A689" i="3"/>
  <c r="N689" i="3"/>
  <c r="M689" i="3"/>
  <c r="O689" i="3" s="1"/>
  <c r="B689" i="3" s="1"/>
  <c r="C689" i="3" s="1"/>
  <c r="L689" i="3"/>
  <c r="K689" i="3"/>
  <c r="E690" i="3"/>
  <c r="P560" i="3" l="1"/>
  <c r="J561" i="3" s="1"/>
  <c r="H560" i="3"/>
  <c r="I560" i="3" s="1"/>
  <c r="Q560" i="3"/>
  <c r="F691" i="3"/>
  <c r="D692" i="3" s="1"/>
  <c r="K690" i="3"/>
  <c r="A690" i="3"/>
  <c r="N690" i="3"/>
  <c r="M690" i="3"/>
  <c r="L690" i="3"/>
  <c r="E691" i="3"/>
  <c r="G561" i="3" l="1"/>
  <c r="P561" i="3" s="1"/>
  <c r="J562" i="3" s="1"/>
  <c r="O690" i="3"/>
  <c r="B690" i="3" s="1"/>
  <c r="C690" i="3" s="1"/>
  <c r="F692" i="3"/>
  <c r="D693" i="3" s="1"/>
  <c r="L691" i="3"/>
  <c r="K691" i="3"/>
  <c r="A691" i="3"/>
  <c r="N691" i="3"/>
  <c r="M691" i="3"/>
  <c r="O691" i="3" s="1"/>
  <c r="B691" i="3" s="1"/>
  <c r="C691" i="3" s="1"/>
  <c r="E692" i="3"/>
  <c r="Q561" i="3" l="1"/>
  <c r="H561" i="3"/>
  <c r="I561" i="3" s="1"/>
  <c r="G562" i="3" s="1"/>
  <c r="F693" i="3"/>
  <c r="D694" i="3" s="1"/>
  <c r="M692" i="3"/>
  <c r="L692" i="3"/>
  <c r="K692" i="3"/>
  <c r="H692" i="3"/>
  <c r="I692" i="3" s="1"/>
  <c r="A692" i="3"/>
  <c r="N692" i="3"/>
  <c r="E693" i="3"/>
  <c r="Q562" i="3" l="1"/>
  <c r="H562" i="3"/>
  <c r="I562" i="3" s="1"/>
  <c r="P562" i="3"/>
  <c r="J563" i="3" s="1"/>
  <c r="O692" i="3"/>
  <c r="B692" i="3" s="1"/>
  <c r="C692" i="3" s="1"/>
  <c r="F694" i="3"/>
  <c r="D695" i="3" s="1"/>
  <c r="N693" i="3"/>
  <c r="M693" i="3"/>
  <c r="O693" i="3" s="1"/>
  <c r="B693" i="3" s="1"/>
  <c r="C693" i="3" s="1"/>
  <c r="L693" i="3"/>
  <c r="K693" i="3"/>
  <c r="A693" i="3"/>
  <c r="P693" i="3"/>
  <c r="E694" i="3"/>
  <c r="G563" i="3" l="1"/>
  <c r="Q563" i="3" s="1"/>
  <c r="H563" i="3"/>
  <c r="I563" i="3" s="1"/>
  <c r="P563" i="3"/>
  <c r="J564" i="3" s="1"/>
  <c r="G564" i="3" s="1"/>
  <c r="F695" i="3"/>
  <c r="D696" i="3" s="1"/>
  <c r="N694" i="3"/>
  <c r="M694" i="3"/>
  <c r="O694" i="3" s="1"/>
  <c r="B694" i="3" s="1"/>
  <c r="C694" i="3" s="1"/>
  <c r="L694" i="3"/>
  <c r="K694" i="3"/>
  <c r="J694" i="3"/>
  <c r="A694" i="3"/>
  <c r="E695" i="3"/>
  <c r="H564" i="3" l="1"/>
  <c r="I564" i="3" s="1"/>
  <c r="Q564" i="3"/>
  <c r="P564" i="3"/>
  <c r="J565" i="3" s="1"/>
  <c r="G565" i="3" s="1"/>
  <c r="F696" i="3"/>
  <c r="D697" i="3" s="1"/>
  <c r="N695" i="3"/>
  <c r="M695" i="3"/>
  <c r="O695" i="3" s="1"/>
  <c r="B695" i="3" s="1"/>
  <c r="C695" i="3" s="1"/>
  <c r="L695" i="3"/>
  <c r="K695" i="3"/>
  <c r="A695" i="3"/>
  <c r="E696" i="3"/>
  <c r="P565" i="3" l="1"/>
  <c r="J566" i="3" s="1"/>
  <c r="H565" i="3"/>
  <c r="I565" i="3" s="1"/>
  <c r="Q565" i="3"/>
  <c r="F697" i="3"/>
  <c r="D698" i="3" s="1"/>
  <c r="N696" i="3"/>
  <c r="M696" i="3"/>
  <c r="O696" i="3" s="1"/>
  <c r="B696" i="3" s="1"/>
  <c r="C696" i="3" s="1"/>
  <c r="L696" i="3"/>
  <c r="K696" i="3"/>
  <c r="A696" i="3"/>
  <c r="E697" i="3"/>
  <c r="G566" i="3" l="1"/>
  <c r="P566" i="3" s="1"/>
  <c r="J567" i="3" s="1"/>
  <c r="H566" i="3"/>
  <c r="I566" i="3" s="1"/>
  <c r="F698" i="3"/>
  <c r="D699" i="3" s="1"/>
  <c r="N697" i="3"/>
  <c r="M697" i="3"/>
  <c r="O697" i="3" s="1"/>
  <c r="B697" i="3" s="1"/>
  <c r="C697" i="3" s="1"/>
  <c r="L697" i="3"/>
  <c r="K697" i="3"/>
  <c r="A697" i="3"/>
  <c r="E698" i="3"/>
  <c r="Q566" i="3" l="1"/>
  <c r="G567" i="3"/>
  <c r="Q567" i="3"/>
  <c r="H567" i="3"/>
  <c r="I567" i="3" s="1"/>
  <c r="P567" i="3"/>
  <c r="J568" i="3" s="1"/>
  <c r="F699" i="3"/>
  <c r="D700" i="3" s="1"/>
  <c r="A698" i="3"/>
  <c r="N698" i="3"/>
  <c r="M698" i="3"/>
  <c r="O698" i="3" s="1"/>
  <c r="B698" i="3" s="1"/>
  <c r="C698" i="3" s="1"/>
  <c r="L698" i="3"/>
  <c r="K698" i="3"/>
  <c r="E699" i="3"/>
  <c r="G568" i="3" l="1"/>
  <c r="Q568" i="3" s="1"/>
  <c r="H568" i="3"/>
  <c r="I568" i="3" s="1"/>
  <c r="P568" i="3"/>
  <c r="J569" i="3" s="1"/>
  <c r="G569" i="3" s="1"/>
  <c r="F700" i="3"/>
  <c r="D701" i="3" s="1"/>
  <c r="A699" i="3"/>
  <c r="N699" i="3"/>
  <c r="M699" i="3"/>
  <c r="L699" i="3"/>
  <c r="K699" i="3"/>
  <c r="E700" i="3"/>
  <c r="P569" i="3" l="1"/>
  <c r="J570" i="3" s="1"/>
  <c r="H569" i="3"/>
  <c r="I569" i="3" s="1"/>
  <c r="Q569" i="3"/>
  <c r="O699" i="3"/>
  <c r="B699" i="3" s="1"/>
  <c r="C699" i="3" s="1"/>
  <c r="F701" i="3"/>
  <c r="D702" i="3" s="1"/>
  <c r="A700" i="3"/>
  <c r="N700" i="3"/>
  <c r="M700" i="3"/>
  <c r="L700" i="3"/>
  <c r="K700" i="3"/>
  <c r="E701" i="3"/>
  <c r="G570" i="3" l="1"/>
  <c r="Q570" i="3"/>
  <c r="H570" i="3"/>
  <c r="I570" i="3" s="1"/>
  <c r="G571" i="3" s="1"/>
  <c r="O700" i="3"/>
  <c r="B700" i="3" s="1"/>
  <c r="C700" i="3" s="1"/>
  <c r="F702" i="3"/>
  <c r="D703" i="3" s="1"/>
  <c r="A701" i="3"/>
  <c r="N701" i="3"/>
  <c r="M701" i="3"/>
  <c r="O701" i="3" s="1"/>
  <c r="B701" i="3" s="1"/>
  <c r="C701" i="3" s="1"/>
  <c r="L701" i="3"/>
  <c r="K701" i="3"/>
  <c r="E702" i="3"/>
  <c r="P571" i="3" l="1"/>
  <c r="J572" i="3" s="1"/>
  <c r="H571" i="3"/>
  <c r="I571" i="3" s="1"/>
  <c r="Q571" i="3"/>
  <c r="F703" i="3"/>
  <c r="D704" i="3" s="1"/>
  <c r="K702" i="3"/>
  <c r="A702" i="3"/>
  <c r="N702" i="3"/>
  <c r="M702" i="3"/>
  <c r="O702" i="3" s="1"/>
  <c r="B702" i="3" s="1"/>
  <c r="C702" i="3" s="1"/>
  <c r="L702" i="3"/>
  <c r="E703" i="3"/>
  <c r="G572" i="3" l="1"/>
  <c r="P572" i="3"/>
  <c r="J573" i="3" s="1"/>
  <c r="Q572" i="3"/>
  <c r="H572" i="3"/>
  <c r="I572" i="3" s="1"/>
  <c r="F704" i="3"/>
  <c r="D705" i="3" s="1"/>
  <c r="L703" i="3"/>
  <c r="K703" i="3"/>
  <c r="A703" i="3"/>
  <c r="N703" i="3"/>
  <c r="M703" i="3"/>
  <c r="E704" i="3"/>
  <c r="O703" i="3" l="1"/>
  <c r="B703" i="3" s="1"/>
  <c r="C703" i="3" s="1"/>
  <c r="G573" i="3"/>
  <c r="F705" i="3"/>
  <c r="D706" i="3" s="1"/>
  <c r="M704" i="3"/>
  <c r="L704" i="3"/>
  <c r="K704" i="3"/>
  <c r="A704" i="3"/>
  <c r="N704" i="3"/>
  <c r="E705" i="3"/>
  <c r="P573" i="3" l="1"/>
  <c r="J574" i="3" s="1"/>
  <c r="Q573" i="3"/>
  <c r="H573" i="3"/>
  <c r="I573" i="3" s="1"/>
  <c r="O704" i="3"/>
  <c r="B704" i="3" s="1"/>
  <c r="C704" i="3" s="1"/>
  <c r="F706" i="3"/>
  <c r="D707" i="3" s="1"/>
  <c r="N705" i="3"/>
  <c r="M705" i="3"/>
  <c r="O705" i="3" s="1"/>
  <c r="B705" i="3" s="1"/>
  <c r="C705" i="3" s="1"/>
  <c r="L705" i="3"/>
  <c r="K705" i="3"/>
  <c r="A705" i="3"/>
  <c r="E706" i="3"/>
  <c r="G574" i="3" l="1"/>
  <c r="F707" i="3"/>
  <c r="D708" i="3" s="1"/>
  <c r="N706" i="3"/>
  <c r="M706" i="3"/>
  <c r="O706" i="3" s="1"/>
  <c r="B706" i="3" s="1"/>
  <c r="C706" i="3" s="1"/>
  <c r="L706" i="3"/>
  <c r="K706" i="3"/>
  <c r="A706" i="3"/>
  <c r="E707" i="3"/>
  <c r="P574" i="3" l="1"/>
  <c r="J575" i="3" s="1"/>
  <c r="H574" i="3"/>
  <c r="I574" i="3" s="1"/>
  <c r="Q574" i="3"/>
  <c r="F708" i="3"/>
  <c r="D709" i="3" s="1"/>
  <c r="N707" i="3"/>
  <c r="M707" i="3"/>
  <c r="O707" i="3" s="1"/>
  <c r="B707" i="3" s="1"/>
  <c r="C707" i="3" s="1"/>
  <c r="L707" i="3"/>
  <c r="K707" i="3"/>
  <c r="A707" i="3"/>
  <c r="E708" i="3"/>
  <c r="G575" i="3" l="1"/>
  <c r="P575" i="3" s="1"/>
  <c r="J576" i="3" s="1"/>
  <c r="Q575" i="3"/>
  <c r="H575" i="3"/>
  <c r="I575" i="3" s="1"/>
  <c r="F709" i="3"/>
  <c r="D710" i="3" s="1"/>
  <c r="N708" i="3"/>
  <c r="M708" i="3"/>
  <c r="O708" i="3" s="1"/>
  <c r="B708" i="3" s="1"/>
  <c r="C708" i="3" s="1"/>
  <c r="L708" i="3"/>
  <c r="K708" i="3"/>
  <c r="A708" i="3"/>
  <c r="E709" i="3"/>
  <c r="G576" i="3" l="1"/>
  <c r="F710" i="3"/>
  <c r="D711" i="3" s="1"/>
  <c r="N709" i="3"/>
  <c r="M709" i="3"/>
  <c r="O709" i="3" s="1"/>
  <c r="B709" i="3" s="1"/>
  <c r="C709" i="3" s="1"/>
  <c r="L709" i="3"/>
  <c r="K709" i="3"/>
  <c r="A709" i="3"/>
  <c r="E710" i="3"/>
  <c r="Q576" i="3" l="1"/>
  <c r="H576" i="3"/>
  <c r="I576" i="3" s="1"/>
  <c r="P576" i="3"/>
  <c r="J577" i="3" s="1"/>
  <c r="G577" i="3" s="1"/>
  <c r="F711" i="3"/>
  <c r="D712" i="3" s="1"/>
  <c r="A710" i="3"/>
  <c r="N710" i="3"/>
  <c r="M710" i="3"/>
  <c r="O710" i="3" s="1"/>
  <c r="B710" i="3" s="1"/>
  <c r="C710" i="3" s="1"/>
  <c r="L710" i="3"/>
  <c r="K710" i="3"/>
  <c r="E711" i="3"/>
  <c r="P577" i="3" l="1"/>
  <c r="J578" i="3" s="1"/>
  <c r="Q577" i="3"/>
  <c r="H577" i="3"/>
  <c r="I577" i="3" s="1"/>
  <c r="F712" i="3"/>
  <c r="D713" i="3" s="1"/>
  <c r="A711" i="3"/>
  <c r="N711" i="3"/>
  <c r="M711" i="3"/>
  <c r="L711" i="3"/>
  <c r="K711" i="3"/>
  <c r="E712" i="3"/>
  <c r="O711" i="3" l="1"/>
  <c r="B711" i="3" s="1"/>
  <c r="C711" i="3" s="1"/>
  <c r="G578" i="3"/>
  <c r="F713" i="3"/>
  <c r="D714" i="3" s="1"/>
  <c r="A712" i="3"/>
  <c r="N712" i="3"/>
  <c r="M712" i="3"/>
  <c r="O712" i="3" s="1"/>
  <c r="B712" i="3" s="1"/>
  <c r="C712" i="3" s="1"/>
  <c r="L712" i="3"/>
  <c r="K712" i="3"/>
  <c r="E713" i="3"/>
  <c r="P578" i="3" l="1"/>
  <c r="J579" i="3" s="1"/>
  <c r="Q578" i="3"/>
  <c r="H578" i="3"/>
  <c r="I578" i="3" s="1"/>
  <c r="G579" i="3" s="1"/>
  <c r="F714" i="3"/>
  <c r="D715" i="3" s="1"/>
  <c r="A713" i="3"/>
  <c r="N713" i="3"/>
  <c r="M713" i="3"/>
  <c r="O713" i="3" s="1"/>
  <c r="B713" i="3" s="1"/>
  <c r="C713" i="3" s="1"/>
  <c r="L713" i="3"/>
  <c r="K713" i="3"/>
  <c r="E714" i="3"/>
  <c r="P579" i="3" l="1"/>
  <c r="J580" i="3" s="1"/>
  <c r="H579" i="3"/>
  <c r="I579" i="3" s="1"/>
  <c r="Q579" i="3"/>
  <c r="F715" i="3"/>
  <c r="D716" i="3" s="1"/>
  <c r="K714" i="3"/>
  <c r="A714" i="3"/>
  <c r="N714" i="3"/>
  <c r="M714" i="3"/>
  <c r="O714" i="3" s="1"/>
  <c r="B714" i="3" s="1"/>
  <c r="C714" i="3" s="1"/>
  <c r="L714" i="3"/>
  <c r="E715" i="3"/>
  <c r="G580" i="3" l="1"/>
  <c r="P580" i="3" s="1"/>
  <c r="J581" i="3" s="1"/>
  <c r="Q580" i="3"/>
  <c r="H580" i="3"/>
  <c r="I580" i="3" s="1"/>
  <c r="F716" i="3"/>
  <c r="D717" i="3" s="1"/>
  <c r="L715" i="3"/>
  <c r="K715" i="3"/>
  <c r="A715" i="3"/>
  <c r="N715" i="3"/>
  <c r="M715" i="3"/>
  <c r="E716" i="3"/>
  <c r="O715" i="3" l="1"/>
  <c r="B715" i="3" s="1"/>
  <c r="C715" i="3" s="1"/>
  <c r="G581" i="3"/>
  <c r="F717" i="3"/>
  <c r="D718" i="3" s="1"/>
  <c r="M716" i="3"/>
  <c r="L716" i="3"/>
  <c r="K716" i="3"/>
  <c r="A716" i="3"/>
  <c r="N716" i="3"/>
  <c r="E717" i="3"/>
  <c r="H581" i="3" l="1"/>
  <c r="I581" i="3" s="1"/>
  <c r="Q581" i="3"/>
  <c r="P581" i="3"/>
  <c r="J582" i="3" s="1"/>
  <c r="O716" i="3"/>
  <c r="B716" i="3" s="1"/>
  <c r="C716" i="3" s="1"/>
  <c r="F718" i="3"/>
  <c r="D719" i="3" s="1"/>
  <c r="N717" i="3"/>
  <c r="M717" i="3"/>
  <c r="L717" i="3"/>
  <c r="K717" i="3"/>
  <c r="A717" i="3"/>
  <c r="E718" i="3"/>
  <c r="G582" i="3" l="1"/>
  <c r="H582" i="3"/>
  <c r="I582" i="3" s="1"/>
  <c r="P582" i="3"/>
  <c r="J583" i="3" s="1"/>
  <c r="Q582" i="3"/>
  <c r="O717" i="3"/>
  <c r="B717" i="3" s="1"/>
  <c r="C717" i="3" s="1"/>
  <c r="F719" i="3"/>
  <c r="D720" i="3" s="1"/>
  <c r="N718" i="3"/>
  <c r="M718" i="3"/>
  <c r="O718" i="3" s="1"/>
  <c r="B718" i="3" s="1"/>
  <c r="C718" i="3" s="1"/>
  <c r="L718" i="3"/>
  <c r="K718" i="3"/>
  <c r="A718" i="3"/>
  <c r="E719" i="3"/>
  <c r="G583" i="3" l="1"/>
  <c r="P583" i="3" s="1"/>
  <c r="J584" i="3" s="1"/>
  <c r="H583" i="3"/>
  <c r="I583" i="3" s="1"/>
  <c r="Q583" i="3"/>
  <c r="F720" i="3"/>
  <c r="D721" i="3" s="1"/>
  <c r="N719" i="3"/>
  <c r="M719" i="3"/>
  <c r="O719" i="3" s="1"/>
  <c r="B719" i="3" s="1"/>
  <c r="C719" i="3" s="1"/>
  <c r="L719" i="3"/>
  <c r="K719" i="3"/>
  <c r="A719" i="3"/>
  <c r="E720" i="3"/>
  <c r="G584" i="3" l="1"/>
  <c r="P584" i="3"/>
  <c r="J585" i="3" s="1"/>
  <c r="Q584" i="3"/>
  <c r="H584" i="3"/>
  <c r="I584" i="3" s="1"/>
  <c r="F721" i="3"/>
  <c r="D722" i="3" s="1"/>
  <c r="N720" i="3"/>
  <c r="M720" i="3"/>
  <c r="O720" i="3" s="1"/>
  <c r="B720" i="3" s="1"/>
  <c r="C720" i="3" s="1"/>
  <c r="L720" i="3"/>
  <c r="K720" i="3"/>
  <c r="A720" i="3"/>
  <c r="E721" i="3"/>
  <c r="G585" i="3" l="1"/>
  <c r="F722" i="3"/>
  <c r="D723" i="3" s="1"/>
  <c r="N721" i="3"/>
  <c r="M721" i="3"/>
  <c r="O721" i="3" s="1"/>
  <c r="B721" i="3" s="1"/>
  <c r="C721" i="3" s="1"/>
  <c r="L721" i="3"/>
  <c r="K721" i="3"/>
  <c r="A721" i="3"/>
  <c r="E722" i="3"/>
  <c r="Q585" i="3" l="1"/>
  <c r="P585" i="3"/>
  <c r="J586" i="3" s="1"/>
  <c r="H585" i="3"/>
  <c r="I585" i="3" s="1"/>
  <c r="F723" i="3"/>
  <c r="D724" i="3" s="1"/>
  <c r="A722" i="3"/>
  <c r="N722" i="3"/>
  <c r="M722" i="3"/>
  <c r="O722" i="3" s="1"/>
  <c r="B722" i="3" s="1"/>
  <c r="C722" i="3" s="1"/>
  <c r="L722" i="3"/>
  <c r="K722" i="3"/>
  <c r="E723" i="3"/>
  <c r="G586" i="3" l="1"/>
  <c r="Q586" i="3"/>
  <c r="P586" i="3"/>
  <c r="J587" i="3" s="1"/>
  <c r="H586" i="3"/>
  <c r="I586" i="3" s="1"/>
  <c r="F724" i="3"/>
  <c r="D725" i="3" s="1"/>
  <c r="A723" i="3"/>
  <c r="P723" i="3"/>
  <c r="N723" i="3"/>
  <c r="M723" i="3"/>
  <c r="L723" i="3"/>
  <c r="K723" i="3"/>
  <c r="E724" i="3"/>
  <c r="G587" i="3" l="1"/>
  <c r="O723" i="3"/>
  <c r="B723" i="3" s="1"/>
  <c r="C723" i="3" s="1"/>
  <c r="F725" i="3"/>
  <c r="D726" i="3" s="1"/>
  <c r="A724" i="3"/>
  <c r="N724" i="3"/>
  <c r="M724" i="3"/>
  <c r="L724" i="3"/>
  <c r="K724" i="3"/>
  <c r="J724" i="3"/>
  <c r="E725" i="3"/>
  <c r="O724" i="3" l="1"/>
  <c r="B724" i="3" s="1"/>
  <c r="C724" i="3" s="1"/>
  <c r="Q587" i="3"/>
  <c r="H587" i="3"/>
  <c r="I587" i="3" s="1"/>
  <c r="P587" i="3"/>
  <c r="J588" i="3" s="1"/>
  <c r="F726" i="3"/>
  <c r="D727" i="3" s="1"/>
  <c r="A725" i="3"/>
  <c r="N725" i="3"/>
  <c r="M725" i="3"/>
  <c r="L725" i="3"/>
  <c r="K725" i="3"/>
  <c r="E726" i="3"/>
  <c r="G588" i="3" l="1"/>
  <c r="P588" i="3"/>
  <c r="J589" i="3" s="1"/>
  <c r="H588" i="3"/>
  <c r="I588" i="3" s="1"/>
  <c r="Q588" i="3"/>
  <c r="O725" i="3"/>
  <c r="B725" i="3" s="1"/>
  <c r="C725" i="3" s="1"/>
  <c r="F727" i="3"/>
  <c r="D728" i="3" s="1"/>
  <c r="K726" i="3"/>
  <c r="A726" i="3"/>
  <c r="N726" i="3"/>
  <c r="M726" i="3"/>
  <c r="L726" i="3"/>
  <c r="E727" i="3"/>
  <c r="G589" i="3" l="1"/>
  <c r="Q589" i="3" s="1"/>
  <c r="O726" i="3"/>
  <c r="B726" i="3" s="1"/>
  <c r="C726" i="3" s="1"/>
  <c r="H589" i="3"/>
  <c r="I589" i="3" s="1"/>
  <c r="P589" i="3"/>
  <c r="J590" i="3" s="1"/>
  <c r="G590" i="3" s="1"/>
  <c r="F728" i="3"/>
  <c r="D729" i="3" s="1"/>
  <c r="L727" i="3"/>
  <c r="K727" i="3"/>
  <c r="A727" i="3"/>
  <c r="N727" i="3"/>
  <c r="M727" i="3"/>
  <c r="E728" i="3"/>
  <c r="O727" i="3" l="1"/>
  <c r="B727" i="3" s="1"/>
  <c r="C727" i="3" s="1"/>
  <c r="Q590" i="3"/>
  <c r="H590" i="3"/>
  <c r="I590" i="3" s="1"/>
  <c r="P590" i="3"/>
  <c r="J591" i="3" s="1"/>
  <c r="G591" i="3" s="1"/>
  <c r="F729" i="3"/>
  <c r="D730" i="3" s="1"/>
  <c r="M728" i="3"/>
  <c r="L728" i="3"/>
  <c r="K728" i="3"/>
  <c r="A728" i="3"/>
  <c r="N728" i="3"/>
  <c r="E729" i="3"/>
  <c r="Q591" i="3" l="1"/>
  <c r="H591" i="3"/>
  <c r="I591" i="3" s="1"/>
  <c r="P591" i="3"/>
  <c r="J592" i="3" s="1"/>
  <c r="G592" i="3" s="1"/>
  <c r="O728" i="3"/>
  <c r="B728" i="3" s="1"/>
  <c r="C728" i="3" s="1"/>
  <c r="F730" i="3"/>
  <c r="D731" i="3" s="1"/>
  <c r="N729" i="3"/>
  <c r="M729" i="3"/>
  <c r="O729" i="3" s="1"/>
  <c r="B729" i="3" s="1"/>
  <c r="C729" i="3" s="1"/>
  <c r="L729" i="3"/>
  <c r="K729" i="3"/>
  <c r="A729" i="3"/>
  <c r="E730" i="3"/>
  <c r="P592" i="3" l="1"/>
  <c r="J593" i="3" s="1"/>
  <c r="H592" i="3"/>
  <c r="I592" i="3" s="1"/>
  <c r="Q592" i="3"/>
  <c r="F731" i="3"/>
  <c r="D732" i="3" s="1"/>
  <c r="N730" i="3"/>
  <c r="M730" i="3"/>
  <c r="O730" i="3" s="1"/>
  <c r="B730" i="3" s="1"/>
  <c r="C730" i="3" s="1"/>
  <c r="L730" i="3"/>
  <c r="K730" i="3"/>
  <c r="A730" i="3"/>
  <c r="E731" i="3"/>
  <c r="G593" i="3" l="1"/>
  <c r="H593" i="3"/>
  <c r="I593" i="3" s="1"/>
  <c r="Q593" i="3"/>
  <c r="P593" i="3"/>
  <c r="J594" i="3" s="1"/>
  <c r="G594" i="3" s="1"/>
  <c r="F732" i="3"/>
  <c r="D733" i="3" s="1"/>
  <c r="N731" i="3"/>
  <c r="M731" i="3"/>
  <c r="O731" i="3" s="1"/>
  <c r="B731" i="3" s="1"/>
  <c r="C731" i="3" s="1"/>
  <c r="L731" i="3"/>
  <c r="K731" i="3"/>
  <c r="A731" i="3"/>
  <c r="E732" i="3"/>
  <c r="P594" i="3" l="1"/>
  <c r="J595" i="3" s="1"/>
  <c r="H594" i="3"/>
  <c r="I594" i="3" s="1"/>
  <c r="G595" i="3" s="1"/>
  <c r="Q594" i="3"/>
  <c r="F733" i="3"/>
  <c r="D734" i="3" s="1"/>
  <c r="N732" i="3"/>
  <c r="M732" i="3"/>
  <c r="O732" i="3" s="1"/>
  <c r="B732" i="3" s="1"/>
  <c r="C732" i="3" s="1"/>
  <c r="L732" i="3"/>
  <c r="K732" i="3"/>
  <c r="A732" i="3"/>
  <c r="E733" i="3"/>
  <c r="P595" i="3" l="1"/>
  <c r="J596" i="3" s="1"/>
  <c r="Q595" i="3"/>
  <c r="H595" i="3"/>
  <c r="I595" i="3" s="1"/>
  <c r="F734" i="3"/>
  <c r="D735" i="3" s="1"/>
  <c r="N733" i="3"/>
  <c r="M733" i="3"/>
  <c r="O733" i="3" s="1"/>
  <c r="B733" i="3" s="1"/>
  <c r="C733" i="3" s="1"/>
  <c r="L733" i="3"/>
  <c r="K733" i="3"/>
  <c r="A733" i="3"/>
  <c r="E734" i="3"/>
  <c r="G596" i="3" l="1"/>
  <c r="F735" i="3"/>
  <c r="D736" i="3" s="1"/>
  <c r="A734" i="3"/>
  <c r="N734" i="3"/>
  <c r="M734" i="3"/>
  <c r="L734" i="3"/>
  <c r="K734" i="3"/>
  <c r="E735" i="3"/>
  <c r="H596" i="3" l="1"/>
  <c r="I596" i="3" s="1"/>
  <c r="P596" i="3"/>
  <c r="J597" i="3" s="1"/>
  <c r="G597" i="3" s="1"/>
  <c r="Q596" i="3"/>
  <c r="O734" i="3"/>
  <c r="B734" i="3" s="1"/>
  <c r="C734" i="3" s="1"/>
  <c r="F736" i="3"/>
  <c r="D737" i="3" s="1"/>
  <c r="A735" i="3"/>
  <c r="N735" i="3"/>
  <c r="M735" i="3"/>
  <c r="O735" i="3" s="1"/>
  <c r="B735" i="3" s="1"/>
  <c r="C735" i="3" s="1"/>
  <c r="L735" i="3"/>
  <c r="K735" i="3"/>
  <c r="E736" i="3"/>
  <c r="H597" i="3" l="1"/>
  <c r="I597" i="3" s="1"/>
  <c r="Q597" i="3"/>
  <c r="P597" i="3"/>
  <c r="J598" i="3" s="1"/>
  <c r="F737" i="3"/>
  <c r="D738" i="3" s="1"/>
  <c r="A736" i="3"/>
  <c r="N736" i="3"/>
  <c r="M736" i="3"/>
  <c r="L736" i="3"/>
  <c r="K736" i="3"/>
  <c r="E737" i="3"/>
  <c r="G598" i="3" l="1"/>
  <c r="O736" i="3"/>
  <c r="B736" i="3" s="1"/>
  <c r="C736" i="3" s="1"/>
  <c r="Q598" i="3"/>
  <c r="H598" i="3"/>
  <c r="I598" i="3" s="1"/>
  <c r="P598" i="3"/>
  <c r="J599" i="3" s="1"/>
  <c r="G599" i="3" s="1"/>
  <c r="F738" i="3"/>
  <c r="D739" i="3" s="1"/>
  <c r="A737" i="3"/>
  <c r="N737" i="3"/>
  <c r="M737" i="3"/>
  <c r="O737" i="3" s="1"/>
  <c r="B737" i="3" s="1"/>
  <c r="C737" i="3" s="1"/>
  <c r="L737" i="3"/>
  <c r="K737" i="3"/>
  <c r="E738" i="3"/>
  <c r="H599" i="3" l="1"/>
  <c r="I599" i="3" s="1"/>
  <c r="Q599" i="3"/>
  <c r="P599" i="3"/>
  <c r="J600" i="3" s="1"/>
  <c r="G600" i="3" s="1"/>
  <c r="F739" i="3"/>
  <c r="D740" i="3" s="1"/>
  <c r="K738" i="3"/>
  <c r="A738" i="3"/>
  <c r="N738" i="3"/>
  <c r="M738" i="3"/>
  <c r="L738" i="3"/>
  <c r="E739" i="3"/>
  <c r="P600" i="3" l="1"/>
  <c r="J601" i="3" s="1"/>
  <c r="G601" i="3" s="1"/>
  <c r="Q600" i="3"/>
  <c r="O738" i="3"/>
  <c r="B738" i="3" s="1"/>
  <c r="C738" i="3" s="1"/>
  <c r="F740" i="3"/>
  <c r="D741" i="3" s="1"/>
  <c r="L739" i="3"/>
  <c r="K739" i="3"/>
  <c r="A739" i="3"/>
  <c r="N739" i="3"/>
  <c r="M739" i="3"/>
  <c r="E740" i="3"/>
  <c r="O739" i="3" l="1"/>
  <c r="B739" i="3" s="1"/>
  <c r="C739" i="3" s="1"/>
  <c r="Q601" i="3"/>
  <c r="H601" i="3"/>
  <c r="I601" i="3" s="1"/>
  <c r="G602" i="3" s="1"/>
  <c r="F741" i="3"/>
  <c r="D742" i="3" s="1"/>
  <c r="M740" i="3"/>
  <c r="L740" i="3"/>
  <c r="K740" i="3"/>
  <c r="A740" i="3"/>
  <c r="N740" i="3"/>
  <c r="E741" i="3"/>
  <c r="Q602" i="3" l="1"/>
  <c r="P602" i="3"/>
  <c r="J603" i="3" s="1"/>
  <c r="H602" i="3"/>
  <c r="I602" i="3" s="1"/>
  <c r="O740" i="3"/>
  <c r="B740" i="3" s="1"/>
  <c r="C740" i="3" s="1"/>
  <c r="F742" i="3"/>
  <c r="D743" i="3" s="1"/>
  <c r="N741" i="3"/>
  <c r="M741" i="3"/>
  <c r="O741" i="3" s="1"/>
  <c r="B741" i="3" s="1"/>
  <c r="C741" i="3" s="1"/>
  <c r="L741" i="3"/>
  <c r="K741" i="3"/>
  <c r="A741" i="3"/>
  <c r="E742" i="3"/>
  <c r="G603" i="3" l="1"/>
  <c r="H603" i="3"/>
  <c r="I603" i="3" s="1"/>
  <c r="Q603" i="3"/>
  <c r="P603" i="3"/>
  <c r="J604" i="3" s="1"/>
  <c r="F743" i="3"/>
  <c r="D744" i="3" s="1"/>
  <c r="N742" i="3"/>
  <c r="M742" i="3"/>
  <c r="O742" i="3" s="1"/>
  <c r="B742" i="3" s="1"/>
  <c r="C742" i="3" s="1"/>
  <c r="L742" i="3"/>
  <c r="K742" i="3"/>
  <c r="A742" i="3"/>
  <c r="E743" i="3"/>
  <c r="G604" i="3" l="1"/>
  <c r="P604" i="3" s="1"/>
  <c r="J605" i="3" s="1"/>
  <c r="Q604" i="3"/>
  <c r="H604" i="3"/>
  <c r="I604" i="3" s="1"/>
  <c r="F744" i="3"/>
  <c r="D745" i="3" s="1"/>
  <c r="N743" i="3"/>
  <c r="M743" i="3"/>
  <c r="O743" i="3" s="1"/>
  <c r="B743" i="3" s="1"/>
  <c r="C743" i="3" s="1"/>
  <c r="L743" i="3"/>
  <c r="K743" i="3"/>
  <c r="A743" i="3"/>
  <c r="E744" i="3"/>
  <c r="G605" i="3" l="1"/>
  <c r="F745" i="3"/>
  <c r="D746" i="3" s="1"/>
  <c r="N744" i="3"/>
  <c r="M744" i="3"/>
  <c r="O744" i="3" s="1"/>
  <c r="B744" i="3" s="1"/>
  <c r="C744" i="3" s="1"/>
  <c r="L744" i="3"/>
  <c r="K744" i="3"/>
  <c r="A744" i="3"/>
  <c r="E745" i="3"/>
  <c r="Q605" i="3" l="1"/>
  <c r="H605" i="3"/>
  <c r="I605" i="3" s="1"/>
  <c r="P605" i="3"/>
  <c r="J606" i="3" s="1"/>
  <c r="G606" i="3" s="1"/>
  <c r="F746" i="3"/>
  <c r="D747" i="3" s="1"/>
  <c r="N745" i="3"/>
  <c r="M745" i="3"/>
  <c r="O745" i="3" s="1"/>
  <c r="B745" i="3" s="1"/>
  <c r="C745" i="3" s="1"/>
  <c r="L745" i="3"/>
  <c r="K745" i="3"/>
  <c r="A745" i="3"/>
  <c r="E746" i="3"/>
  <c r="H606" i="3" l="1"/>
  <c r="I606" i="3" s="1"/>
  <c r="P606" i="3"/>
  <c r="J607" i="3" s="1"/>
  <c r="Q606" i="3"/>
  <c r="F747" i="3"/>
  <c r="D748" i="3" s="1"/>
  <c r="A746" i="3"/>
  <c r="N746" i="3"/>
  <c r="M746" i="3"/>
  <c r="O746" i="3" s="1"/>
  <c r="B746" i="3" s="1"/>
  <c r="C746" i="3" s="1"/>
  <c r="L746" i="3"/>
  <c r="K746" i="3"/>
  <c r="E747" i="3"/>
  <c r="G607" i="3" l="1"/>
  <c r="H607" i="3"/>
  <c r="I607" i="3" s="1"/>
  <c r="Q607" i="3"/>
  <c r="P607" i="3"/>
  <c r="J608" i="3" s="1"/>
  <c r="G608" i="3" s="1"/>
  <c r="F748" i="3"/>
  <c r="D749" i="3" s="1"/>
  <c r="A747" i="3"/>
  <c r="N747" i="3"/>
  <c r="M747" i="3"/>
  <c r="L747" i="3"/>
  <c r="K747" i="3"/>
  <c r="E748" i="3"/>
  <c r="P608" i="3" l="1"/>
  <c r="J609" i="3" s="1"/>
  <c r="H608" i="3"/>
  <c r="I608" i="3" s="1"/>
  <c r="Q608" i="3"/>
  <c r="O747" i="3"/>
  <c r="B747" i="3" s="1"/>
  <c r="C747" i="3" s="1"/>
  <c r="F749" i="3"/>
  <c r="D750" i="3" s="1"/>
  <c r="A748" i="3"/>
  <c r="N748" i="3"/>
  <c r="M748" i="3"/>
  <c r="L748" i="3"/>
  <c r="K748" i="3"/>
  <c r="E749" i="3"/>
  <c r="G609" i="3" l="1"/>
  <c r="O748" i="3"/>
  <c r="B748" i="3" s="1"/>
  <c r="C748" i="3" s="1"/>
  <c r="P609" i="3"/>
  <c r="J610" i="3" s="1"/>
  <c r="Q609" i="3"/>
  <c r="H609" i="3"/>
  <c r="I609" i="3" s="1"/>
  <c r="F750" i="3"/>
  <c r="D751" i="3" s="1"/>
  <c r="A749" i="3"/>
  <c r="N749" i="3"/>
  <c r="M749" i="3"/>
  <c r="O749" i="3" s="1"/>
  <c r="B749" i="3" s="1"/>
  <c r="C749" i="3" s="1"/>
  <c r="L749" i="3"/>
  <c r="K749" i="3"/>
  <c r="E750" i="3"/>
  <c r="G610" i="3" l="1"/>
  <c r="F751" i="3"/>
  <c r="D752" i="3" s="1"/>
  <c r="K750" i="3"/>
  <c r="A750" i="3"/>
  <c r="N750" i="3"/>
  <c r="M750" i="3"/>
  <c r="O750" i="3" s="1"/>
  <c r="B750" i="3" s="1"/>
  <c r="C750" i="3" s="1"/>
  <c r="L750" i="3"/>
  <c r="E751" i="3"/>
  <c r="P610" i="3" l="1"/>
  <c r="J611" i="3" s="1"/>
  <c r="H610" i="3"/>
  <c r="I610" i="3" s="1"/>
  <c r="Q610" i="3"/>
  <c r="F752" i="3"/>
  <c r="D753" i="3" s="1"/>
  <c r="L751" i="3"/>
  <c r="K751" i="3"/>
  <c r="A751" i="3"/>
  <c r="N751" i="3"/>
  <c r="M751" i="3"/>
  <c r="O751" i="3" s="1"/>
  <c r="B751" i="3" s="1"/>
  <c r="C751" i="3" s="1"/>
  <c r="E752" i="3"/>
  <c r="G611" i="3" l="1"/>
  <c r="Q611" i="3"/>
  <c r="H611" i="3"/>
  <c r="I611" i="3" s="1"/>
  <c r="P611" i="3"/>
  <c r="J612" i="3" s="1"/>
  <c r="G612" i="3" s="1"/>
  <c r="F753" i="3"/>
  <c r="D754" i="3" s="1"/>
  <c r="M752" i="3"/>
  <c r="L752" i="3"/>
  <c r="K752" i="3"/>
  <c r="A752" i="3"/>
  <c r="N752" i="3"/>
  <c r="E753" i="3"/>
  <c r="P612" i="3" l="1"/>
  <c r="J613" i="3" s="1"/>
  <c r="H612" i="3"/>
  <c r="I612" i="3" s="1"/>
  <c r="Q612" i="3"/>
  <c r="O752" i="3"/>
  <c r="B752" i="3" s="1"/>
  <c r="C752" i="3" s="1"/>
  <c r="F754" i="3"/>
  <c r="N753" i="3"/>
  <c r="M753" i="3"/>
  <c r="O753" i="3" s="1"/>
  <c r="B753" i="3" s="1"/>
  <c r="C753" i="3" s="1"/>
  <c r="L753" i="3"/>
  <c r="K753" i="3"/>
  <c r="H753" i="3"/>
  <c r="I753" i="3" s="1"/>
  <c r="A753" i="3"/>
  <c r="E754" i="3"/>
  <c r="G613" i="3" l="1"/>
  <c r="Q613" i="3"/>
  <c r="P613" i="3"/>
  <c r="J614" i="3" s="1"/>
  <c r="H613" i="3"/>
  <c r="I613" i="3" s="1"/>
  <c r="D755" i="3"/>
  <c r="F755" i="3"/>
  <c r="N754" i="3"/>
  <c r="M754" i="3"/>
  <c r="O754" i="3" s="1"/>
  <c r="B754" i="3" s="1"/>
  <c r="C754" i="3" s="1"/>
  <c r="L754" i="3"/>
  <c r="K754" i="3"/>
  <c r="A754" i="3"/>
  <c r="P754" i="3"/>
  <c r="E755" i="3"/>
  <c r="G614" i="3" l="1"/>
  <c r="Q614" i="3"/>
  <c r="H614" i="3"/>
  <c r="I614" i="3" s="1"/>
  <c r="P614" i="3"/>
  <c r="J615" i="3" s="1"/>
  <c r="D756" i="3"/>
  <c r="F756" i="3"/>
  <c r="N755" i="3"/>
  <c r="M755" i="3"/>
  <c r="O755" i="3" s="1"/>
  <c r="B755" i="3" s="1"/>
  <c r="C755" i="3" s="1"/>
  <c r="L755" i="3"/>
  <c r="K755" i="3"/>
  <c r="J755" i="3"/>
  <c r="A755" i="3"/>
  <c r="E756" i="3"/>
  <c r="G615" i="3" l="1"/>
  <c r="Q615" i="3"/>
  <c r="H615" i="3"/>
  <c r="I615" i="3" s="1"/>
  <c r="P615" i="3"/>
  <c r="J616" i="3" s="1"/>
  <c r="D757" i="3"/>
  <c r="F757" i="3"/>
  <c r="N756" i="3"/>
  <c r="M756" i="3"/>
  <c r="O756" i="3" s="1"/>
  <c r="B756" i="3" s="1"/>
  <c r="C756" i="3" s="1"/>
  <c r="L756" i="3"/>
  <c r="K756" i="3"/>
  <c r="A756" i="3"/>
  <c r="E757" i="3"/>
  <c r="G616" i="3" l="1"/>
  <c r="P616" i="3"/>
  <c r="J617" i="3" s="1"/>
  <c r="Q616" i="3"/>
  <c r="H616" i="3"/>
  <c r="I616" i="3" s="1"/>
  <c r="G617" i="3" s="1"/>
  <c r="D758" i="3"/>
  <c r="F758" i="3"/>
  <c r="N757" i="3"/>
  <c r="M757" i="3"/>
  <c r="O757" i="3" s="1"/>
  <c r="B757" i="3" s="1"/>
  <c r="C757" i="3" s="1"/>
  <c r="L757" i="3"/>
  <c r="K757" i="3"/>
  <c r="A757" i="3"/>
  <c r="E758" i="3"/>
  <c r="P617" i="3" l="1"/>
  <c r="J618" i="3" s="1"/>
  <c r="H617" i="3"/>
  <c r="I617" i="3" s="1"/>
  <c r="Q617" i="3"/>
  <c r="D759" i="3"/>
  <c r="F759" i="3"/>
  <c r="A758" i="3"/>
  <c r="N758" i="3"/>
  <c r="M758" i="3"/>
  <c r="O758" i="3" s="1"/>
  <c r="B758" i="3" s="1"/>
  <c r="C758" i="3" s="1"/>
  <c r="L758" i="3"/>
  <c r="K758" i="3"/>
  <c r="E759" i="3"/>
  <c r="G618" i="3" l="1"/>
  <c r="P618" i="3"/>
  <c r="J619" i="3" s="1"/>
  <c r="H618" i="3"/>
  <c r="I618" i="3" s="1"/>
  <c r="Q618" i="3"/>
  <c r="D760" i="3"/>
  <c r="F760" i="3"/>
  <c r="A759" i="3"/>
  <c r="N759" i="3"/>
  <c r="O759" i="3" s="1"/>
  <c r="B759" i="3" s="1"/>
  <c r="C759" i="3" s="1"/>
  <c r="M759" i="3"/>
  <c r="L759" i="3"/>
  <c r="K759" i="3"/>
  <c r="E760" i="3"/>
  <c r="G619" i="3" l="1"/>
  <c r="H619" i="3"/>
  <c r="I619" i="3" s="1"/>
  <c r="P619" i="3"/>
  <c r="J620" i="3" s="1"/>
  <c r="G620" i="3" s="1"/>
  <c r="Q619" i="3"/>
  <c r="D761" i="3"/>
  <c r="F761" i="3"/>
  <c r="A760" i="3"/>
  <c r="N760" i="3"/>
  <c r="M760" i="3"/>
  <c r="O760" i="3" s="1"/>
  <c r="B760" i="3" s="1"/>
  <c r="C760" i="3" s="1"/>
  <c r="L760" i="3"/>
  <c r="K760" i="3"/>
  <c r="E761" i="3"/>
  <c r="D762" i="3" l="1"/>
  <c r="H620" i="3"/>
  <c r="I620" i="3" s="1"/>
  <c r="Q620" i="3"/>
  <c r="P620" i="3"/>
  <c r="J621" i="3" s="1"/>
  <c r="G621" i="3" s="1"/>
  <c r="F762" i="3"/>
  <c r="D763" i="3" s="1"/>
  <c r="A761" i="3"/>
  <c r="N761" i="3"/>
  <c r="M761" i="3"/>
  <c r="O761" i="3" s="1"/>
  <c r="B761" i="3" s="1"/>
  <c r="C761" i="3" s="1"/>
  <c r="L761" i="3"/>
  <c r="K761" i="3"/>
  <c r="E762" i="3"/>
  <c r="P621" i="3" l="1"/>
  <c r="J622" i="3" s="1"/>
  <c r="Q621" i="3"/>
  <c r="H621" i="3"/>
  <c r="I621" i="3" s="1"/>
  <c r="F763" i="3"/>
  <c r="D764" i="3" s="1"/>
  <c r="K762" i="3"/>
  <c r="A762" i="3"/>
  <c r="N762" i="3"/>
  <c r="M762" i="3"/>
  <c r="O762" i="3" s="1"/>
  <c r="B762" i="3" s="1"/>
  <c r="C762" i="3" s="1"/>
  <c r="L762" i="3"/>
  <c r="E763" i="3"/>
  <c r="G622" i="3" l="1"/>
  <c r="F764" i="3"/>
  <c r="D765" i="3" s="1"/>
  <c r="L763" i="3"/>
  <c r="K763" i="3"/>
  <c r="A763" i="3"/>
  <c r="N763" i="3"/>
  <c r="M763" i="3"/>
  <c r="E764" i="3"/>
  <c r="O763" i="3" l="1"/>
  <c r="B763" i="3" s="1"/>
  <c r="C763" i="3" s="1"/>
  <c r="Q622" i="3"/>
  <c r="H622" i="3"/>
  <c r="I622" i="3" s="1"/>
  <c r="P622" i="3"/>
  <c r="J623" i="3" s="1"/>
  <c r="G623" i="3" s="1"/>
  <c r="F765" i="3"/>
  <c r="D766" i="3" s="1"/>
  <c r="M764" i="3"/>
  <c r="L764" i="3"/>
  <c r="K764" i="3"/>
  <c r="A764" i="3"/>
  <c r="N764" i="3"/>
  <c r="E765" i="3"/>
  <c r="Q623" i="3" l="1"/>
  <c r="H623" i="3"/>
  <c r="I623" i="3" s="1"/>
  <c r="P623" i="3"/>
  <c r="J624" i="3" s="1"/>
  <c r="O764" i="3"/>
  <c r="B764" i="3" s="1"/>
  <c r="C764" i="3" s="1"/>
  <c r="F766" i="3"/>
  <c r="D767" i="3" s="1"/>
  <c r="N765" i="3"/>
  <c r="M765" i="3"/>
  <c r="O765" i="3" s="1"/>
  <c r="B765" i="3" s="1"/>
  <c r="C765" i="3" s="1"/>
  <c r="L765" i="3"/>
  <c r="K765" i="3"/>
  <c r="A765" i="3"/>
  <c r="E766" i="3"/>
  <c r="G624" i="3" l="1"/>
  <c r="Q624" i="3"/>
  <c r="H624" i="3"/>
  <c r="I624" i="3" s="1"/>
  <c r="P624" i="3"/>
  <c r="J625" i="3" s="1"/>
  <c r="F767" i="3"/>
  <c r="D768" i="3" s="1"/>
  <c r="N766" i="3"/>
  <c r="M766" i="3"/>
  <c r="O766" i="3" s="1"/>
  <c r="B766" i="3" s="1"/>
  <c r="C766" i="3" s="1"/>
  <c r="L766" i="3"/>
  <c r="K766" i="3"/>
  <c r="A766" i="3"/>
  <c r="E767" i="3"/>
  <c r="G625" i="3" l="1"/>
  <c r="Q625" i="3"/>
  <c r="H625" i="3"/>
  <c r="I625" i="3" s="1"/>
  <c r="P625" i="3"/>
  <c r="J626" i="3" s="1"/>
  <c r="F768" i="3"/>
  <c r="D769" i="3" s="1"/>
  <c r="N767" i="3"/>
  <c r="M767" i="3"/>
  <c r="O767" i="3" s="1"/>
  <c r="B767" i="3" s="1"/>
  <c r="C767" i="3" s="1"/>
  <c r="L767" i="3"/>
  <c r="K767" i="3"/>
  <c r="A767" i="3"/>
  <c r="E768" i="3"/>
  <c r="G626" i="3" l="1"/>
  <c r="P626" i="3"/>
  <c r="J627" i="3" s="1"/>
  <c r="Q626" i="3"/>
  <c r="H626" i="3"/>
  <c r="I626" i="3" s="1"/>
  <c r="F769" i="3"/>
  <c r="D770" i="3" s="1"/>
  <c r="N768" i="3"/>
  <c r="M768" i="3"/>
  <c r="O768" i="3" s="1"/>
  <c r="B768" i="3" s="1"/>
  <c r="C768" i="3" s="1"/>
  <c r="L768" i="3"/>
  <c r="K768" i="3"/>
  <c r="A768" i="3"/>
  <c r="E769" i="3"/>
  <c r="G627" i="3" l="1"/>
  <c r="F770" i="3"/>
  <c r="D771" i="3" s="1"/>
  <c r="N769" i="3"/>
  <c r="M769" i="3"/>
  <c r="O769" i="3" s="1"/>
  <c r="B769" i="3" s="1"/>
  <c r="C769" i="3" s="1"/>
  <c r="L769" i="3"/>
  <c r="K769" i="3"/>
  <c r="A769" i="3"/>
  <c r="E770" i="3"/>
  <c r="P627" i="3" l="1"/>
  <c r="J628" i="3" s="1"/>
  <c r="Q627" i="3"/>
  <c r="H627" i="3"/>
  <c r="I627" i="3" s="1"/>
  <c r="F771" i="3"/>
  <c r="D772" i="3" s="1"/>
  <c r="A770" i="3"/>
  <c r="N770" i="3"/>
  <c r="M770" i="3"/>
  <c r="O770" i="3" s="1"/>
  <c r="B770" i="3" s="1"/>
  <c r="C770" i="3" s="1"/>
  <c r="L770" i="3"/>
  <c r="K770" i="3"/>
  <c r="E771" i="3"/>
  <c r="G628" i="3" l="1"/>
  <c r="F772" i="3"/>
  <c r="D773" i="3" s="1"/>
  <c r="A771" i="3"/>
  <c r="N771" i="3"/>
  <c r="M771" i="3"/>
  <c r="L771" i="3"/>
  <c r="K771" i="3"/>
  <c r="E772" i="3"/>
  <c r="O771" i="3" l="1"/>
  <c r="B771" i="3" s="1"/>
  <c r="C771" i="3" s="1"/>
  <c r="Q628" i="3"/>
  <c r="H628" i="3"/>
  <c r="I628" i="3" s="1"/>
  <c r="P628" i="3"/>
  <c r="J629" i="3" s="1"/>
  <c r="G629" i="3" s="1"/>
  <c r="F773" i="3"/>
  <c r="D774" i="3" s="1"/>
  <c r="A772" i="3"/>
  <c r="N772" i="3"/>
  <c r="M772" i="3"/>
  <c r="O772" i="3" s="1"/>
  <c r="B772" i="3" s="1"/>
  <c r="C772" i="3" s="1"/>
  <c r="L772" i="3"/>
  <c r="K772" i="3"/>
  <c r="E773" i="3"/>
  <c r="P629" i="3" l="1"/>
  <c r="J630" i="3" s="1"/>
  <c r="H629" i="3"/>
  <c r="I629" i="3" s="1"/>
  <c r="Q629" i="3"/>
  <c r="F774" i="3"/>
  <c r="A773" i="3"/>
  <c r="N773" i="3"/>
  <c r="M773" i="3"/>
  <c r="O773" i="3" s="1"/>
  <c r="B773" i="3" s="1"/>
  <c r="C773" i="3" s="1"/>
  <c r="L773" i="3"/>
  <c r="K773" i="3"/>
  <c r="E774" i="3"/>
  <c r="G630" i="3" l="1"/>
  <c r="H630" i="3"/>
  <c r="I630" i="3" s="1"/>
  <c r="P630" i="3"/>
  <c r="J631" i="3" s="1"/>
  <c r="Q630" i="3"/>
  <c r="D775" i="3"/>
  <c r="F775" i="3"/>
  <c r="K774" i="3"/>
  <c r="A774" i="3"/>
  <c r="N774" i="3"/>
  <c r="M774" i="3"/>
  <c r="O774" i="3" s="1"/>
  <c r="B774" i="3" s="1"/>
  <c r="C774" i="3" s="1"/>
  <c r="L774" i="3"/>
  <c r="E775" i="3"/>
  <c r="G631" i="3" l="1"/>
  <c r="Q631" i="3"/>
  <c r="P631" i="3"/>
  <c r="J632" i="3" s="1"/>
  <c r="G632" i="3" s="1"/>
  <c r="D776" i="3"/>
  <c r="F776" i="3"/>
  <c r="L775" i="3"/>
  <c r="K775" i="3"/>
  <c r="A775" i="3"/>
  <c r="N775" i="3"/>
  <c r="M775" i="3"/>
  <c r="E776" i="3"/>
  <c r="D777" i="3" l="1"/>
  <c r="H632" i="3"/>
  <c r="I632" i="3" s="1"/>
  <c r="G633" i="3" s="1"/>
  <c r="Q632" i="3"/>
  <c r="O775" i="3"/>
  <c r="B775" i="3" s="1"/>
  <c r="C775" i="3" s="1"/>
  <c r="F777" i="3"/>
  <c r="D778" i="3" s="1"/>
  <c r="M776" i="3"/>
  <c r="L776" i="3"/>
  <c r="K776" i="3"/>
  <c r="A776" i="3"/>
  <c r="N776" i="3"/>
  <c r="E777" i="3"/>
  <c r="O776" i="3" l="1"/>
  <c r="B776" i="3" s="1"/>
  <c r="C776" i="3" s="1"/>
  <c r="Q633" i="3"/>
  <c r="P633" i="3"/>
  <c r="J634" i="3" s="1"/>
  <c r="H633" i="3"/>
  <c r="I633" i="3" s="1"/>
  <c r="F778" i="3"/>
  <c r="D779" i="3" s="1"/>
  <c r="N777" i="3"/>
  <c r="M777" i="3"/>
  <c r="O777" i="3" s="1"/>
  <c r="B777" i="3" s="1"/>
  <c r="C777" i="3" s="1"/>
  <c r="L777" i="3"/>
  <c r="K777" i="3"/>
  <c r="A777" i="3"/>
  <c r="E778" i="3"/>
  <c r="G634" i="3" l="1"/>
  <c r="F779" i="3"/>
  <c r="D780" i="3" s="1"/>
  <c r="N778" i="3"/>
  <c r="M778" i="3"/>
  <c r="O778" i="3" s="1"/>
  <c r="B778" i="3" s="1"/>
  <c r="C778" i="3" s="1"/>
  <c r="L778" i="3"/>
  <c r="K778" i="3"/>
  <c r="A778" i="3"/>
  <c r="E779" i="3"/>
  <c r="Q634" i="3" l="1"/>
  <c r="H634" i="3"/>
  <c r="I634" i="3" s="1"/>
  <c r="P634" i="3"/>
  <c r="J635" i="3" s="1"/>
  <c r="G635" i="3" s="1"/>
  <c r="F780" i="3"/>
  <c r="D781" i="3" s="1"/>
  <c r="N779" i="3"/>
  <c r="M779" i="3"/>
  <c r="O779" i="3" s="1"/>
  <c r="B779" i="3" s="1"/>
  <c r="C779" i="3" s="1"/>
  <c r="L779" i="3"/>
  <c r="K779" i="3"/>
  <c r="A779" i="3"/>
  <c r="E780" i="3"/>
  <c r="Q635" i="3" l="1"/>
  <c r="H635" i="3"/>
  <c r="I635" i="3" s="1"/>
  <c r="P635" i="3"/>
  <c r="J636" i="3" s="1"/>
  <c r="G636" i="3" s="1"/>
  <c r="F781" i="3"/>
  <c r="D782" i="3" s="1"/>
  <c r="N780" i="3"/>
  <c r="M780" i="3"/>
  <c r="O780" i="3" s="1"/>
  <c r="B780" i="3" s="1"/>
  <c r="C780" i="3" s="1"/>
  <c r="L780" i="3"/>
  <c r="K780" i="3"/>
  <c r="A780" i="3"/>
  <c r="E781" i="3"/>
  <c r="Q636" i="3" l="1"/>
  <c r="H636" i="3"/>
  <c r="I636" i="3" s="1"/>
  <c r="P636" i="3"/>
  <c r="J637" i="3" s="1"/>
  <c r="G637" i="3" s="1"/>
  <c r="F782" i="3"/>
  <c r="D783" i="3" s="1"/>
  <c r="N781" i="3"/>
  <c r="M781" i="3"/>
  <c r="O781" i="3" s="1"/>
  <c r="B781" i="3" s="1"/>
  <c r="C781" i="3" s="1"/>
  <c r="L781" i="3"/>
  <c r="K781" i="3"/>
  <c r="A781" i="3"/>
  <c r="E782" i="3"/>
  <c r="H637" i="3" l="1"/>
  <c r="I637" i="3" s="1"/>
  <c r="Q637" i="3"/>
  <c r="P637" i="3"/>
  <c r="J638" i="3" s="1"/>
  <c r="G638" i="3" s="1"/>
  <c r="F783" i="3"/>
  <c r="D784" i="3" s="1"/>
  <c r="A782" i="3"/>
  <c r="N782" i="3"/>
  <c r="M782" i="3"/>
  <c r="O782" i="3" s="1"/>
  <c r="B782" i="3" s="1"/>
  <c r="C782" i="3" s="1"/>
  <c r="L782" i="3"/>
  <c r="K782" i="3"/>
  <c r="E783" i="3"/>
  <c r="H638" i="3" l="1"/>
  <c r="I638" i="3" s="1"/>
  <c r="P638" i="3"/>
  <c r="J639" i="3" s="1"/>
  <c r="G639" i="3" s="1"/>
  <c r="Q638" i="3"/>
  <c r="F784" i="3"/>
  <c r="D785" i="3" s="1"/>
  <c r="A783" i="3"/>
  <c r="N783" i="3"/>
  <c r="M783" i="3"/>
  <c r="L783" i="3"/>
  <c r="K783" i="3"/>
  <c r="E784" i="3"/>
  <c r="H639" i="3" l="1"/>
  <c r="I639" i="3" s="1"/>
  <c r="Q639" i="3"/>
  <c r="P639" i="3"/>
  <c r="J640" i="3" s="1"/>
  <c r="G640" i="3" s="1"/>
  <c r="O783" i="3"/>
  <c r="B783" i="3" s="1"/>
  <c r="C783" i="3" s="1"/>
  <c r="F785" i="3"/>
  <c r="D786" i="3" s="1"/>
  <c r="H784" i="3"/>
  <c r="I784" i="3" s="1"/>
  <c r="A784" i="3"/>
  <c r="N784" i="3"/>
  <c r="M784" i="3"/>
  <c r="O784" i="3" s="1"/>
  <c r="B784" i="3" s="1"/>
  <c r="C784" i="3" s="1"/>
  <c r="L784" i="3"/>
  <c r="K784" i="3"/>
  <c r="E785" i="3"/>
  <c r="Q640" i="3" l="1"/>
  <c r="H640" i="3"/>
  <c r="I640" i="3" s="1"/>
  <c r="P640" i="3"/>
  <c r="J641" i="3" s="1"/>
  <c r="G641" i="3" s="1"/>
  <c r="F786" i="3"/>
  <c r="D787" i="3" s="1"/>
  <c r="A785" i="3"/>
  <c r="P785" i="3"/>
  <c r="N785" i="3"/>
  <c r="M785" i="3"/>
  <c r="L785" i="3"/>
  <c r="K785" i="3"/>
  <c r="E786" i="3"/>
  <c r="Q641" i="3" l="1"/>
  <c r="P641" i="3"/>
  <c r="J642" i="3" s="1"/>
  <c r="H641" i="3"/>
  <c r="I641" i="3" s="1"/>
  <c r="O785" i="3"/>
  <c r="B785" i="3" s="1"/>
  <c r="C785" i="3" s="1"/>
  <c r="F787" i="3"/>
  <c r="D788" i="3" s="1"/>
  <c r="K786" i="3"/>
  <c r="J786" i="3"/>
  <c r="A786" i="3"/>
  <c r="N786" i="3"/>
  <c r="M786" i="3"/>
  <c r="L786" i="3"/>
  <c r="E787" i="3"/>
  <c r="O786" i="3" l="1"/>
  <c r="B786" i="3" s="1"/>
  <c r="C786" i="3" s="1"/>
  <c r="G642" i="3"/>
  <c r="H642" i="3"/>
  <c r="I642" i="3" s="1"/>
  <c r="P642" i="3"/>
  <c r="J643" i="3" s="1"/>
  <c r="G643" i="3" s="1"/>
  <c r="Q642" i="3"/>
  <c r="F788" i="3"/>
  <c r="D789" i="3" s="1"/>
  <c r="L787" i="3"/>
  <c r="K787" i="3"/>
  <c r="A787" i="3"/>
  <c r="N787" i="3"/>
  <c r="M787" i="3"/>
  <c r="E788" i="3"/>
  <c r="Q643" i="3" l="1"/>
  <c r="P643" i="3"/>
  <c r="J644" i="3" s="1"/>
  <c r="H643" i="3"/>
  <c r="I643" i="3" s="1"/>
  <c r="G644" i="3" s="1"/>
  <c r="O787" i="3"/>
  <c r="B787" i="3" s="1"/>
  <c r="C787" i="3" s="1"/>
  <c r="F789" i="3"/>
  <c r="D790" i="3" s="1"/>
  <c r="M788" i="3"/>
  <c r="L788" i="3"/>
  <c r="K788" i="3"/>
  <c r="A788" i="3"/>
  <c r="N788" i="3"/>
  <c r="E789" i="3"/>
  <c r="H644" i="3" l="1"/>
  <c r="I644" i="3" s="1"/>
  <c r="Q644" i="3"/>
  <c r="P644" i="3"/>
  <c r="J645" i="3" s="1"/>
  <c r="G645" i="3" s="1"/>
  <c r="O788" i="3"/>
  <c r="B788" i="3" s="1"/>
  <c r="C788" i="3" s="1"/>
  <c r="F790" i="3"/>
  <c r="D791" i="3" s="1"/>
  <c r="N789" i="3"/>
  <c r="M789" i="3"/>
  <c r="O789" i="3" s="1"/>
  <c r="B789" i="3" s="1"/>
  <c r="C789" i="3" s="1"/>
  <c r="L789" i="3"/>
  <c r="K789" i="3"/>
  <c r="A789" i="3"/>
  <c r="E790" i="3"/>
  <c r="Q645" i="3" l="1"/>
  <c r="P645" i="3"/>
  <c r="J646" i="3" s="1"/>
  <c r="H645" i="3"/>
  <c r="I645" i="3" s="1"/>
  <c r="F791" i="3"/>
  <c r="D792" i="3" s="1"/>
  <c r="N790" i="3"/>
  <c r="M790" i="3"/>
  <c r="O790" i="3" s="1"/>
  <c r="B790" i="3" s="1"/>
  <c r="C790" i="3" s="1"/>
  <c r="L790" i="3"/>
  <c r="K790" i="3"/>
  <c r="A790" i="3"/>
  <c r="E791" i="3"/>
  <c r="G646" i="3" l="1"/>
  <c r="P646" i="3"/>
  <c r="J647" i="3" s="1"/>
  <c r="H646" i="3"/>
  <c r="I646" i="3" s="1"/>
  <c r="Q646" i="3"/>
  <c r="F792" i="3"/>
  <c r="D793" i="3" s="1"/>
  <c r="N791" i="3"/>
  <c r="M791" i="3"/>
  <c r="O791" i="3" s="1"/>
  <c r="B791" i="3" s="1"/>
  <c r="C791" i="3" s="1"/>
  <c r="L791" i="3"/>
  <c r="K791" i="3"/>
  <c r="A791" i="3"/>
  <c r="E792" i="3"/>
  <c r="G647" i="3" l="1"/>
  <c r="Q647" i="3"/>
  <c r="H647" i="3"/>
  <c r="I647" i="3" s="1"/>
  <c r="P647" i="3"/>
  <c r="J648" i="3" s="1"/>
  <c r="G648" i="3" s="1"/>
  <c r="F793" i="3"/>
  <c r="D794" i="3" s="1"/>
  <c r="N792" i="3"/>
  <c r="M792" i="3"/>
  <c r="O792" i="3" s="1"/>
  <c r="B792" i="3" s="1"/>
  <c r="C792" i="3" s="1"/>
  <c r="L792" i="3"/>
  <c r="K792" i="3"/>
  <c r="A792" i="3"/>
  <c r="E793" i="3"/>
  <c r="Q648" i="3" l="1"/>
  <c r="H648" i="3"/>
  <c r="I648" i="3" s="1"/>
  <c r="P648" i="3"/>
  <c r="J649" i="3" s="1"/>
  <c r="G649" i="3" s="1"/>
  <c r="F794" i="3"/>
  <c r="D795" i="3" s="1"/>
  <c r="N793" i="3"/>
  <c r="M793" i="3"/>
  <c r="O793" i="3" s="1"/>
  <c r="B793" i="3" s="1"/>
  <c r="C793" i="3" s="1"/>
  <c r="L793" i="3"/>
  <c r="K793" i="3"/>
  <c r="A793" i="3"/>
  <c r="E794" i="3"/>
  <c r="P649" i="3" l="1"/>
  <c r="J650" i="3" s="1"/>
  <c r="H649" i="3"/>
  <c r="I649" i="3" s="1"/>
  <c r="Q649" i="3"/>
  <c r="F795" i="3"/>
  <c r="D796" i="3" s="1"/>
  <c r="A794" i="3"/>
  <c r="N794" i="3"/>
  <c r="M794" i="3"/>
  <c r="O794" i="3" s="1"/>
  <c r="B794" i="3" s="1"/>
  <c r="C794" i="3" s="1"/>
  <c r="L794" i="3"/>
  <c r="K794" i="3"/>
  <c r="E795" i="3"/>
  <c r="G650" i="3" l="1"/>
  <c r="P650" i="3"/>
  <c r="J651" i="3" s="1"/>
  <c r="H650" i="3"/>
  <c r="I650" i="3" s="1"/>
  <c r="Q650" i="3"/>
  <c r="F796" i="3"/>
  <c r="D797" i="3" s="1"/>
  <c r="A795" i="3"/>
  <c r="N795" i="3"/>
  <c r="M795" i="3"/>
  <c r="L795" i="3"/>
  <c r="K795" i="3"/>
  <c r="E796" i="3"/>
  <c r="G651" i="3" l="1"/>
  <c r="O795" i="3"/>
  <c r="B795" i="3" s="1"/>
  <c r="C795" i="3" s="1"/>
  <c r="Q651" i="3"/>
  <c r="H651" i="3"/>
  <c r="I651" i="3" s="1"/>
  <c r="P651" i="3"/>
  <c r="J652" i="3" s="1"/>
  <c r="G652" i="3" s="1"/>
  <c r="F797" i="3"/>
  <c r="D798" i="3" s="1"/>
  <c r="A796" i="3"/>
  <c r="N796" i="3"/>
  <c r="M796" i="3"/>
  <c r="L796" i="3"/>
  <c r="K796" i="3"/>
  <c r="E797" i="3"/>
  <c r="H652" i="3" l="1"/>
  <c r="I652" i="3" s="1"/>
  <c r="Q652" i="3"/>
  <c r="P652" i="3"/>
  <c r="J653" i="3" s="1"/>
  <c r="G653" i="3" s="1"/>
  <c r="O796" i="3"/>
  <c r="B796" i="3" s="1"/>
  <c r="C796" i="3" s="1"/>
  <c r="F798" i="3"/>
  <c r="D799" i="3" s="1"/>
  <c r="A797" i="3"/>
  <c r="N797" i="3"/>
  <c r="M797" i="3"/>
  <c r="L797" i="3"/>
  <c r="K797" i="3"/>
  <c r="E798" i="3"/>
  <c r="Q653" i="3" l="1"/>
  <c r="P653" i="3"/>
  <c r="J654" i="3" s="1"/>
  <c r="H653" i="3"/>
  <c r="I653" i="3" s="1"/>
  <c r="O797" i="3"/>
  <c r="B797" i="3" s="1"/>
  <c r="C797" i="3" s="1"/>
  <c r="F799" i="3"/>
  <c r="D800" i="3" s="1"/>
  <c r="K798" i="3"/>
  <c r="A798" i="3"/>
  <c r="N798" i="3"/>
  <c r="M798" i="3"/>
  <c r="L798" i="3"/>
  <c r="E799" i="3"/>
  <c r="G654" i="3" l="1"/>
  <c r="P654" i="3"/>
  <c r="J655" i="3" s="1"/>
  <c r="Q654" i="3"/>
  <c r="H654" i="3"/>
  <c r="I654" i="3" s="1"/>
  <c r="O798" i="3"/>
  <c r="B798" i="3" s="1"/>
  <c r="C798" i="3" s="1"/>
  <c r="F800" i="3"/>
  <c r="D801" i="3" s="1"/>
  <c r="L799" i="3"/>
  <c r="K799" i="3"/>
  <c r="A799" i="3"/>
  <c r="N799" i="3"/>
  <c r="M799" i="3"/>
  <c r="O799" i="3" s="1"/>
  <c r="B799" i="3" s="1"/>
  <c r="C799" i="3" s="1"/>
  <c r="E800" i="3"/>
  <c r="G655" i="3" l="1"/>
  <c r="P655" i="3"/>
  <c r="J656" i="3" s="1"/>
  <c r="H655" i="3"/>
  <c r="I655" i="3" s="1"/>
  <c r="Q655" i="3"/>
  <c r="F801" i="3"/>
  <c r="D802" i="3" s="1"/>
  <c r="M800" i="3"/>
  <c r="L800" i="3"/>
  <c r="K800" i="3"/>
  <c r="A800" i="3"/>
  <c r="N800" i="3"/>
  <c r="E801" i="3"/>
  <c r="G656" i="3" l="1"/>
  <c r="P656" i="3" s="1"/>
  <c r="J657" i="3" s="1"/>
  <c r="H656" i="3"/>
  <c r="I656" i="3" s="1"/>
  <c r="Q656" i="3"/>
  <c r="O800" i="3"/>
  <c r="B800" i="3" s="1"/>
  <c r="C800" i="3" s="1"/>
  <c r="F802" i="3"/>
  <c r="N801" i="3"/>
  <c r="M801" i="3"/>
  <c r="O801" i="3" s="1"/>
  <c r="B801" i="3" s="1"/>
  <c r="C801" i="3" s="1"/>
  <c r="L801" i="3"/>
  <c r="K801" i="3"/>
  <c r="A801" i="3"/>
  <c r="E802" i="3"/>
  <c r="G657" i="3" l="1"/>
  <c r="P657" i="3"/>
  <c r="J658" i="3" s="1"/>
  <c r="H657" i="3"/>
  <c r="I657" i="3" s="1"/>
  <c r="Q657" i="3"/>
  <c r="D803" i="3"/>
  <c r="F803" i="3"/>
  <c r="N802" i="3"/>
  <c r="M802" i="3"/>
  <c r="O802" i="3" s="1"/>
  <c r="B802" i="3" s="1"/>
  <c r="C802" i="3" s="1"/>
  <c r="L802" i="3"/>
  <c r="K802" i="3"/>
  <c r="A802" i="3"/>
  <c r="E803" i="3"/>
  <c r="G658" i="3" l="1"/>
  <c r="Q658" i="3"/>
  <c r="P658" i="3"/>
  <c r="J659" i="3" s="1"/>
  <c r="H658" i="3"/>
  <c r="I658" i="3" s="1"/>
  <c r="D804" i="3"/>
  <c r="F804" i="3"/>
  <c r="N803" i="3"/>
  <c r="M803" i="3"/>
  <c r="O803" i="3" s="1"/>
  <c r="B803" i="3" s="1"/>
  <c r="C803" i="3" s="1"/>
  <c r="L803" i="3"/>
  <c r="K803" i="3"/>
  <c r="A803" i="3"/>
  <c r="E804" i="3"/>
  <c r="G659" i="3" l="1"/>
  <c r="D805" i="3"/>
  <c r="F805" i="3"/>
  <c r="N804" i="3"/>
  <c r="M804" i="3"/>
  <c r="L804" i="3"/>
  <c r="K804" i="3"/>
  <c r="A804" i="3"/>
  <c r="E805" i="3"/>
  <c r="O804" i="3" l="1"/>
  <c r="B804" i="3" s="1"/>
  <c r="C804" i="3" s="1"/>
  <c r="H659" i="3"/>
  <c r="I659" i="3" s="1"/>
  <c r="Q659" i="3"/>
  <c r="P659" i="3"/>
  <c r="J660" i="3" s="1"/>
  <c r="G660" i="3" s="1"/>
  <c r="D806" i="3"/>
  <c r="F806" i="3"/>
  <c r="N805" i="3"/>
  <c r="M805" i="3"/>
  <c r="O805" i="3" s="1"/>
  <c r="B805" i="3" s="1"/>
  <c r="C805" i="3" s="1"/>
  <c r="L805" i="3"/>
  <c r="K805" i="3"/>
  <c r="A805" i="3"/>
  <c r="E806" i="3"/>
  <c r="Q660" i="3" l="1"/>
  <c r="H660" i="3"/>
  <c r="I660" i="3" s="1"/>
  <c r="P660" i="3"/>
  <c r="J661" i="3" s="1"/>
  <c r="G661" i="3" s="1"/>
  <c r="D807" i="3"/>
  <c r="F807" i="3"/>
  <c r="A806" i="3"/>
  <c r="N806" i="3"/>
  <c r="M806" i="3"/>
  <c r="O806" i="3" s="1"/>
  <c r="B806" i="3" s="1"/>
  <c r="C806" i="3" s="1"/>
  <c r="L806" i="3"/>
  <c r="K806" i="3"/>
  <c r="E807" i="3"/>
  <c r="Q661" i="3" l="1"/>
  <c r="H661" i="3"/>
  <c r="I661" i="3" s="1"/>
  <c r="P661" i="3"/>
  <c r="J662" i="3" s="1"/>
  <c r="G662" i="3" s="1"/>
  <c r="D808" i="3"/>
  <c r="F808" i="3"/>
  <c r="A807" i="3"/>
  <c r="N807" i="3"/>
  <c r="O807" i="3" s="1"/>
  <c r="B807" i="3" s="1"/>
  <c r="C807" i="3" s="1"/>
  <c r="M807" i="3"/>
  <c r="L807" i="3"/>
  <c r="K807" i="3"/>
  <c r="E808" i="3"/>
  <c r="Q662" i="3" l="1"/>
  <c r="H662" i="3"/>
  <c r="I662" i="3" s="1"/>
  <c r="G663" i="3" s="1"/>
  <c r="D809" i="3"/>
  <c r="F809" i="3"/>
  <c r="A808" i="3"/>
  <c r="N808" i="3"/>
  <c r="M808" i="3"/>
  <c r="O808" i="3" s="1"/>
  <c r="B808" i="3" s="1"/>
  <c r="C808" i="3" s="1"/>
  <c r="L808" i="3"/>
  <c r="K808" i="3"/>
  <c r="E809" i="3"/>
  <c r="H663" i="3" l="1"/>
  <c r="I663" i="3" s="1"/>
  <c r="P663" i="3"/>
  <c r="J664" i="3" s="1"/>
  <c r="G664" i="3" s="1"/>
  <c r="Q663" i="3"/>
  <c r="D810" i="3"/>
  <c r="F810" i="3"/>
  <c r="A809" i="3"/>
  <c r="N809" i="3"/>
  <c r="M809" i="3"/>
  <c r="L809" i="3"/>
  <c r="K809" i="3"/>
  <c r="E810" i="3"/>
  <c r="Q664" i="3" l="1"/>
  <c r="P664" i="3"/>
  <c r="J665" i="3" s="1"/>
  <c r="H664" i="3"/>
  <c r="I664" i="3" s="1"/>
  <c r="G665" i="3" s="1"/>
  <c r="O809" i="3"/>
  <c r="B809" i="3" s="1"/>
  <c r="C809" i="3" s="1"/>
  <c r="D811" i="3"/>
  <c r="F811" i="3"/>
  <c r="K810" i="3"/>
  <c r="A810" i="3"/>
  <c r="N810" i="3"/>
  <c r="M810" i="3"/>
  <c r="L810" i="3"/>
  <c r="E811" i="3"/>
  <c r="Q665" i="3" l="1"/>
  <c r="P665" i="3"/>
  <c r="J666" i="3" s="1"/>
  <c r="H665" i="3"/>
  <c r="I665" i="3" s="1"/>
  <c r="O810" i="3"/>
  <c r="B810" i="3" s="1"/>
  <c r="C810" i="3" s="1"/>
  <c r="D812" i="3"/>
  <c r="F812" i="3"/>
  <c r="L811" i="3"/>
  <c r="K811" i="3"/>
  <c r="A811" i="3"/>
  <c r="N811" i="3"/>
  <c r="M811" i="3"/>
  <c r="O811" i="3" s="1"/>
  <c r="B811" i="3" s="1"/>
  <c r="C811" i="3" s="1"/>
  <c r="E812" i="3"/>
  <c r="G666" i="3" l="1"/>
  <c r="D813" i="3"/>
  <c r="H666" i="3"/>
  <c r="I666" i="3" s="1"/>
  <c r="P666" i="3"/>
  <c r="J667" i="3" s="1"/>
  <c r="G667" i="3" s="1"/>
  <c r="Q666" i="3"/>
  <c r="F813" i="3"/>
  <c r="D814" i="3" s="1"/>
  <c r="M812" i="3"/>
  <c r="L812" i="3"/>
  <c r="K812" i="3"/>
  <c r="A812" i="3"/>
  <c r="N812" i="3"/>
  <c r="E813" i="3"/>
  <c r="P667" i="3" l="1"/>
  <c r="J668" i="3" s="1"/>
  <c r="Q667" i="3"/>
  <c r="H667" i="3"/>
  <c r="I667" i="3" s="1"/>
  <c r="O812" i="3"/>
  <c r="B812" i="3" s="1"/>
  <c r="C812" i="3" s="1"/>
  <c r="F814" i="3"/>
  <c r="D815" i="3" s="1"/>
  <c r="N813" i="3"/>
  <c r="M813" i="3"/>
  <c r="O813" i="3" s="1"/>
  <c r="B813" i="3" s="1"/>
  <c r="C813" i="3" s="1"/>
  <c r="L813" i="3"/>
  <c r="K813" i="3"/>
  <c r="A813" i="3"/>
  <c r="P813" i="3"/>
  <c r="E814" i="3"/>
  <c r="G668" i="3" l="1"/>
  <c r="F815" i="3"/>
  <c r="D816" i="3" s="1"/>
  <c r="N814" i="3"/>
  <c r="M814" i="3"/>
  <c r="O814" i="3" s="1"/>
  <c r="B814" i="3" s="1"/>
  <c r="C814" i="3" s="1"/>
  <c r="L814" i="3"/>
  <c r="K814" i="3"/>
  <c r="J814" i="3"/>
  <c r="A814" i="3"/>
  <c r="E815" i="3"/>
  <c r="P668" i="3" l="1"/>
  <c r="J669" i="3" s="1"/>
  <c r="H668" i="3"/>
  <c r="I668" i="3" s="1"/>
  <c r="Q668" i="3"/>
  <c r="F816" i="3"/>
  <c r="D817" i="3" s="1"/>
  <c r="N815" i="3"/>
  <c r="M815" i="3"/>
  <c r="O815" i="3" s="1"/>
  <c r="B815" i="3" s="1"/>
  <c r="C815" i="3" s="1"/>
  <c r="L815" i="3"/>
  <c r="K815" i="3"/>
  <c r="A815" i="3"/>
  <c r="E816" i="3"/>
  <c r="G669" i="3" l="1"/>
  <c r="P669" i="3" s="1"/>
  <c r="J670" i="3" s="1"/>
  <c r="Q669" i="3"/>
  <c r="H669" i="3"/>
  <c r="I669" i="3" s="1"/>
  <c r="F817" i="3"/>
  <c r="D818" i="3" s="1"/>
  <c r="N816" i="3"/>
  <c r="M816" i="3"/>
  <c r="L816" i="3"/>
  <c r="K816" i="3"/>
  <c r="A816" i="3"/>
  <c r="E817" i="3"/>
  <c r="G670" i="3" l="1"/>
  <c r="O816" i="3"/>
  <c r="B816" i="3" s="1"/>
  <c r="C816" i="3" s="1"/>
  <c r="F818" i="3"/>
  <c r="D819" i="3" s="1"/>
  <c r="N817" i="3"/>
  <c r="M817" i="3"/>
  <c r="O817" i="3" s="1"/>
  <c r="B817" i="3" s="1"/>
  <c r="C817" i="3" s="1"/>
  <c r="L817" i="3"/>
  <c r="K817" i="3"/>
  <c r="A817" i="3"/>
  <c r="E818" i="3"/>
  <c r="Q670" i="3" l="1"/>
  <c r="H670" i="3"/>
  <c r="I670" i="3" s="1"/>
  <c r="P670" i="3"/>
  <c r="J671" i="3" s="1"/>
  <c r="G671" i="3" s="1"/>
  <c r="F819" i="3"/>
  <c r="D820" i="3" s="1"/>
  <c r="A818" i="3"/>
  <c r="N818" i="3"/>
  <c r="M818" i="3"/>
  <c r="L818" i="3"/>
  <c r="K818" i="3"/>
  <c r="E819" i="3"/>
  <c r="H671" i="3" l="1"/>
  <c r="I671" i="3" s="1"/>
  <c r="P671" i="3"/>
  <c r="J672" i="3" s="1"/>
  <c r="G672" i="3" s="1"/>
  <c r="Q671" i="3"/>
  <c r="O818" i="3"/>
  <c r="B818" i="3" s="1"/>
  <c r="C818" i="3" s="1"/>
  <c r="F820" i="3"/>
  <c r="D821" i="3" s="1"/>
  <c r="A819" i="3"/>
  <c r="N819" i="3"/>
  <c r="M819" i="3"/>
  <c r="L819" i="3"/>
  <c r="K819" i="3"/>
  <c r="E820" i="3"/>
  <c r="Q672" i="3" l="1"/>
  <c r="H672" i="3"/>
  <c r="I672" i="3" s="1"/>
  <c r="P672" i="3"/>
  <c r="J673" i="3" s="1"/>
  <c r="G673" i="3" s="1"/>
  <c r="O819" i="3"/>
  <c r="B819" i="3" s="1"/>
  <c r="C819" i="3" s="1"/>
  <c r="F821" i="3"/>
  <c r="D822" i="3" s="1"/>
  <c r="A820" i="3"/>
  <c r="N820" i="3"/>
  <c r="M820" i="3"/>
  <c r="L820" i="3"/>
  <c r="K820" i="3"/>
  <c r="E821" i="3"/>
  <c r="Q673" i="3" l="1"/>
  <c r="H673" i="3"/>
  <c r="I673" i="3" s="1"/>
  <c r="P673" i="3"/>
  <c r="J674" i="3" s="1"/>
  <c r="G674" i="3" s="1"/>
  <c r="O820" i="3"/>
  <c r="B820" i="3" s="1"/>
  <c r="C820" i="3" s="1"/>
  <c r="F822" i="3"/>
  <c r="D823" i="3" s="1"/>
  <c r="A821" i="3"/>
  <c r="N821" i="3"/>
  <c r="M821" i="3"/>
  <c r="L821" i="3"/>
  <c r="K821" i="3"/>
  <c r="E822" i="3"/>
  <c r="P674" i="3" l="1"/>
  <c r="J675" i="3" s="1"/>
  <c r="H674" i="3"/>
  <c r="I674" i="3" s="1"/>
  <c r="Q674" i="3"/>
  <c r="O821" i="3"/>
  <c r="B821" i="3" s="1"/>
  <c r="C821" i="3" s="1"/>
  <c r="F823" i="3"/>
  <c r="D824" i="3" s="1"/>
  <c r="K822" i="3"/>
  <c r="A822" i="3"/>
  <c r="N822" i="3"/>
  <c r="M822" i="3"/>
  <c r="L822" i="3"/>
  <c r="E823" i="3"/>
  <c r="G675" i="3" l="1"/>
  <c r="O822" i="3"/>
  <c r="B822" i="3" s="1"/>
  <c r="C822" i="3" s="1"/>
  <c r="H675" i="3"/>
  <c r="I675" i="3" s="1"/>
  <c r="P675" i="3"/>
  <c r="J676" i="3" s="1"/>
  <c r="Q675" i="3"/>
  <c r="F824" i="3"/>
  <c r="D825" i="3" s="1"/>
  <c r="L823" i="3"/>
  <c r="M823" i="3"/>
  <c r="K823" i="3"/>
  <c r="A823" i="3"/>
  <c r="N823" i="3"/>
  <c r="E824" i="3"/>
  <c r="G676" i="3" l="1"/>
  <c r="Q676" i="3" s="1"/>
  <c r="O823" i="3"/>
  <c r="B823" i="3" s="1"/>
  <c r="C823" i="3" s="1"/>
  <c r="F825" i="3"/>
  <c r="D826" i="3" s="1"/>
  <c r="M824" i="3"/>
  <c r="L824" i="3"/>
  <c r="N824" i="3"/>
  <c r="O824" i="3" s="1"/>
  <c r="B824" i="3" s="1"/>
  <c r="C824" i="3" s="1"/>
  <c r="K824" i="3"/>
  <c r="A824" i="3"/>
  <c r="E825" i="3"/>
  <c r="H676" i="3" l="1"/>
  <c r="I676" i="3" s="1"/>
  <c r="P676" i="3"/>
  <c r="J677" i="3" s="1"/>
  <c r="G677" i="3" s="1"/>
  <c r="P677" i="3" s="1"/>
  <c r="J678" i="3" s="1"/>
  <c r="F826" i="3"/>
  <c r="D827" i="3" s="1"/>
  <c r="N825" i="3"/>
  <c r="M825" i="3"/>
  <c r="O825" i="3" s="1"/>
  <c r="B825" i="3" s="1"/>
  <c r="C825" i="3" s="1"/>
  <c r="L825" i="3"/>
  <c r="K825" i="3"/>
  <c r="A825" i="3"/>
  <c r="E826" i="3"/>
  <c r="Q677" i="3" l="1"/>
  <c r="H677" i="3"/>
  <c r="I677" i="3" s="1"/>
  <c r="G678" i="3" s="1"/>
  <c r="F827" i="3"/>
  <c r="D828" i="3" s="1"/>
  <c r="K826" i="3"/>
  <c r="N826" i="3"/>
  <c r="M826" i="3"/>
  <c r="O826" i="3" s="1"/>
  <c r="B826" i="3" s="1"/>
  <c r="C826" i="3" s="1"/>
  <c r="L826" i="3"/>
  <c r="A826" i="3"/>
  <c r="E827" i="3"/>
  <c r="H678" i="3" l="1"/>
  <c r="I678" i="3" s="1"/>
  <c r="P678" i="3"/>
  <c r="J679" i="3" s="1"/>
  <c r="G679" i="3" s="1"/>
  <c r="Q678" i="3"/>
  <c r="F828" i="3"/>
  <c r="D829" i="3" s="1"/>
  <c r="L827" i="3"/>
  <c r="K827" i="3"/>
  <c r="A827" i="3"/>
  <c r="N827" i="3"/>
  <c r="M827" i="3"/>
  <c r="E828" i="3"/>
  <c r="P679" i="3" l="1"/>
  <c r="J680" i="3" s="1"/>
  <c r="Q679" i="3"/>
  <c r="H679" i="3"/>
  <c r="I679" i="3" s="1"/>
  <c r="G680" i="3" s="1"/>
  <c r="O827" i="3"/>
  <c r="B827" i="3" s="1"/>
  <c r="C827" i="3" s="1"/>
  <c r="F829" i="3"/>
  <c r="D830" i="3" s="1"/>
  <c r="M828" i="3"/>
  <c r="L828" i="3"/>
  <c r="K828" i="3"/>
  <c r="A828" i="3"/>
  <c r="N828" i="3"/>
  <c r="E829" i="3"/>
  <c r="Q680" i="3" l="1"/>
  <c r="P680" i="3"/>
  <c r="J681" i="3" s="1"/>
  <c r="H680" i="3"/>
  <c r="I680" i="3" s="1"/>
  <c r="O828" i="3"/>
  <c r="B828" i="3" s="1"/>
  <c r="C828" i="3" s="1"/>
  <c r="F830" i="3"/>
  <c r="D831" i="3" s="1"/>
  <c r="N829" i="3"/>
  <c r="M829" i="3"/>
  <c r="O829" i="3" s="1"/>
  <c r="B829" i="3" s="1"/>
  <c r="C829" i="3" s="1"/>
  <c r="L829" i="3"/>
  <c r="K829" i="3"/>
  <c r="A829" i="3"/>
  <c r="E830" i="3"/>
  <c r="G681" i="3" l="1"/>
  <c r="Q681" i="3" s="1"/>
  <c r="H681" i="3"/>
  <c r="I681" i="3" s="1"/>
  <c r="P681" i="3"/>
  <c r="J682" i="3" s="1"/>
  <c r="G682" i="3" s="1"/>
  <c r="F831" i="3"/>
  <c r="D832" i="3" s="1"/>
  <c r="N830" i="3"/>
  <c r="M830" i="3"/>
  <c r="O830" i="3" s="1"/>
  <c r="B830" i="3" s="1"/>
  <c r="C830" i="3" s="1"/>
  <c r="L830" i="3"/>
  <c r="K830" i="3"/>
  <c r="A830" i="3"/>
  <c r="E831" i="3"/>
  <c r="Q682" i="3" l="1"/>
  <c r="H682" i="3"/>
  <c r="I682" i="3" s="1"/>
  <c r="P682" i="3"/>
  <c r="J683" i="3" s="1"/>
  <c r="G683" i="3" s="1"/>
  <c r="P683" i="3" s="1"/>
  <c r="J684" i="3" s="1"/>
  <c r="F832" i="3"/>
  <c r="D833" i="3" s="1"/>
  <c r="N831" i="3"/>
  <c r="M831" i="3"/>
  <c r="O831" i="3" s="1"/>
  <c r="B831" i="3" s="1"/>
  <c r="C831" i="3" s="1"/>
  <c r="L831" i="3"/>
  <c r="K831" i="3"/>
  <c r="A831" i="3"/>
  <c r="E832" i="3"/>
  <c r="H683" i="3" l="1"/>
  <c r="I683" i="3" s="1"/>
  <c r="G684" i="3" s="1"/>
  <c r="Q683" i="3"/>
  <c r="F833" i="3"/>
  <c r="D834" i="3" s="1"/>
  <c r="N832" i="3"/>
  <c r="M832" i="3"/>
  <c r="O832" i="3" s="1"/>
  <c r="B832" i="3" s="1"/>
  <c r="C832" i="3" s="1"/>
  <c r="L832" i="3"/>
  <c r="K832" i="3"/>
  <c r="A832" i="3"/>
  <c r="E833" i="3"/>
  <c r="P684" i="3" l="1"/>
  <c r="J685" i="3" s="1"/>
  <c r="H684" i="3"/>
  <c r="I684" i="3" s="1"/>
  <c r="Q684" i="3"/>
  <c r="F834" i="3"/>
  <c r="D835" i="3" s="1"/>
  <c r="N833" i="3"/>
  <c r="M833" i="3"/>
  <c r="L833" i="3"/>
  <c r="K833" i="3"/>
  <c r="A833" i="3"/>
  <c r="E834" i="3"/>
  <c r="O833" i="3" l="1"/>
  <c r="B833" i="3" s="1"/>
  <c r="C833" i="3" s="1"/>
  <c r="G685" i="3"/>
  <c r="P685" i="3" s="1"/>
  <c r="J686" i="3" s="1"/>
  <c r="H685" i="3"/>
  <c r="I685" i="3" s="1"/>
  <c r="Q685" i="3"/>
  <c r="F835" i="3"/>
  <c r="D836" i="3" s="1"/>
  <c r="A834" i="3"/>
  <c r="N834" i="3"/>
  <c r="M834" i="3"/>
  <c r="O834" i="3" s="1"/>
  <c r="B834" i="3" s="1"/>
  <c r="C834" i="3" s="1"/>
  <c r="L834" i="3"/>
  <c r="K834" i="3"/>
  <c r="E835" i="3"/>
  <c r="G686" i="3" l="1"/>
  <c r="P686" i="3" s="1"/>
  <c r="J687" i="3" s="1"/>
  <c r="H686" i="3"/>
  <c r="I686" i="3" s="1"/>
  <c r="F836" i="3"/>
  <c r="D837" i="3" s="1"/>
  <c r="A835" i="3"/>
  <c r="N835" i="3"/>
  <c r="M835" i="3"/>
  <c r="L835" i="3"/>
  <c r="K835" i="3"/>
  <c r="E836" i="3"/>
  <c r="Q686" i="3" l="1"/>
  <c r="O835" i="3"/>
  <c r="B835" i="3" s="1"/>
  <c r="C835" i="3" s="1"/>
  <c r="G687" i="3"/>
  <c r="F837" i="3"/>
  <c r="D838" i="3" s="1"/>
  <c r="A836" i="3"/>
  <c r="N836" i="3"/>
  <c r="M836" i="3"/>
  <c r="O836" i="3" s="1"/>
  <c r="B836" i="3" s="1"/>
  <c r="C836" i="3" s="1"/>
  <c r="L836" i="3"/>
  <c r="K836" i="3"/>
  <c r="E837" i="3"/>
  <c r="Q687" i="3" l="1"/>
  <c r="P687" i="3"/>
  <c r="J688" i="3" s="1"/>
  <c r="H687" i="3"/>
  <c r="I687" i="3" s="1"/>
  <c r="F838" i="3"/>
  <c r="D839" i="3" s="1"/>
  <c r="A837" i="3"/>
  <c r="N837" i="3"/>
  <c r="M837" i="3"/>
  <c r="O837" i="3" s="1"/>
  <c r="B837" i="3" s="1"/>
  <c r="C837" i="3" s="1"/>
  <c r="L837" i="3"/>
  <c r="K837" i="3"/>
  <c r="E838" i="3"/>
  <c r="G688" i="3" l="1"/>
  <c r="F839" i="3"/>
  <c r="D840" i="3" s="1"/>
  <c r="K838" i="3"/>
  <c r="A838" i="3"/>
  <c r="N838" i="3"/>
  <c r="M838" i="3"/>
  <c r="L838" i="3"/>
  <c r="E839" i="3"/>
  <c r="O838" i="3" l="1"/>
  <c r="B838" i="3" s="1"/>
  <c r="C838" i="3" s="1"/>
  <c r="Q688" i="3"/>
  <c r="P688" i="3"/>
  <c r="J689" i="3" s="1"/>
  <c r="H688" i="3"/>
  <c r="I688" i="3" s="1"/>
  <c r="F840" i="3"/>
  <c r="D841" i="3" s="1"/>
  <c r="L839" i="3"/>
  <c r="K839" i="3"/>
  <c r="A839" i="3"/>
  <c r="N839" i="3"/>
  <c r="M839" i="3"/>
  <c r="E840" i="3"/>
  <c r="G689" i="3" l="1"/>
  <c r="P689" i="3" s="1"/>
  <c r="J690" i="3" s="1"/>
  <c r="H689" i="3"/>
  <c r="I689" i="3" s="1"/>
  <c r="Q689" i="3"/>
  <c r="O839" i="3"/>
  <c r="B839" i="3" s="1"/>
  <c r="C839" i="3" s="1"/>
  <c r="F841" i="3"/>
  <c r="D842" i="3" s="1"/>
  <c r="M840" i="3"/>
  <c r="L840" i="3"/>
  <c r="K840" i="3"/>
  <c r="A840" i="3"/>
  <c r="N840" i="3"/>
  <c r="E841" i="3"/>
  <c r="G690" i="3" l="1"/>
  <c r="P690" i="3" s="1"/>
  <c r="J691" i="3" s="1"/>
  <c r="H690" i="3"/>
  <c r="I690" i="3" s="1"/>
  <c r="Q690" i="3"/>
  <c r="O840" i="3"/>
  <c r="B840" i="3" s="1"/>
  <c r="C840" i="3" s="1"/>
  <c r="F842" i="3"/>
  <c r="D843" i="3" s="1"/>
  <c r="N841" i="3"/>
  <c r="M841" i="3"/>
  <c r="O841" i="3" s="1"/>
  <c r="B841" i="3" s="1"/>
  <c r="C841" i="3" s="1"/>
  <c r="L841" i="3"/>
  <c r="K841" i="3"/>
  <c r="A841" i="3"/>
  <c r="E842" i="3"/>
  <c r="G691" i="3" l="1"/>
  <c r="P691" i="3"/>
  <c r="J692" i="3" s="1"/>
  <c r="Q691" i="3"/>
  <c r="H691" i="3"/>
  <c r="I691" i="3" s="1"/>
  <c r="F843" i="3"/>
  <c r="D844" i="3" s="1"/>
  <c r="N842" i="3"/>
  <c r="M842" i="3"/>
  <c r="O842" i="3" s="1"/>
  <c r="B842" i="3" s="1"/>
  <c r="C842" i="3" s="1"/>
  <c r="L842" i="3"/>
  <c r="K842" i="3"/>
  <c r="A842" i="3"/>
  <c r="E843" i="3"/>
  <c r="G692" i="3" l="1"/>
  <c r="F844" i="3"/>
  <c r="D845" i="3" s="1"/>
  <c r="N843" i="3"/>
  <c r="M843" i="3"/>
  <c r="O843" i="3" s="1"/>
  <c r="B843" i="3" s="1"/>
  <c r="C843" i="3" s="1"/>
  <c r="L843" i="3"/>
  <c r="K843" i="3"/>
  <c r="H843" i="3"/>
  <c r="I843" i="3" s="1"/>
  <c r="A843" i="3"/>
  <c r="E844" i="3"/>
  <c r="P692" i="3" l="1"/>
  <c r="J693" i="3" s="1"/>
  <c r="G693" i="3" s="1"/>
  <c r="Q692" i="3"/>
  <c r="F845" i="3"/>
  <c r="D846" i="3" s="1"/>
  <c r="P844" i="3"/>
  <c r="N844" i="3"/>
  <c r="M844" i="3"/>
  <c r="O844" i="3" s="1"/>
  <c r="B844" i="3" s="1"/>
  <c r="C844" i="3" s="1"/>
  <c r="L844" i="3"/>
  <c r="K844" i="3"/>
  <c r="A844" i="3"/>
  <c r="E845" i="3"/>
  <c r="Q693" i="3" l="1"/>
  <c r="H693" i="3"/>
  <c r="I693" i="3" s="1"/>
  <c r="G694" i="3" s="1"/>
  <c r="F846" i="3"/>
  <c r="D847" i="3" s="1"/>
  <c r="N845" i="3"/>
  <c r="M845" i="3"/>
  <c r="O845" i="3" s="1"/>
  <c r="B845" i="3" s="1"/>
  <c r="C845" i="3" s="1"/>
  <c r="L845" i="3"/>
  <c r="K845" i="3"/>
  <c r="J845" i="3"/>
  <c r="A845" i="3"/>
  <c r="E846" i="3"/>
  <c r="Q694" i="3" l="1"/>
  <c r="H694" i="3"/>
  <c r="I694" i="3" s="1"/>
  <c r="P694" i="3"/>
  <c r="J695" i="3" s="1"/>
  <c r="G695" i="3" s="1"/>
  <c r="F847" i="3"/>
  <c r="D848" i="3" s="1"/>
  <c r="A846" i="3"/>
  <c r="N846" i="3"/>
  <c r="M846" i="3"/>
  <c r="O846" i="3" s="1"/>
  <c r="B846" i="3" s="1"/>
  <c r="C846" i="3" s="1"/>
  <c r="L846" i="3"/>
  <c r="K846" i="3"/>
  <c r="E847" i="3"/>
  <c r="Q695" i="3" l="1"/>
  <c r="H695" i="3"/>
  <c r="I695" i="3" s="1"/>
  <c r="P695" i="3"/>
  <c r="J696" i="3" s="1"/>
  <c r="G696" i="3" s="1"/>
  <c r="F848" i="3"/>
  <c r="D849" i="3" s="1"/>
  <c r="A847" i="3"/>
  <c r="N847" i="3"/>
  <c r="O847" i="3" s="1"/>
  <c r="B847" i="3" s="1"/>
  <c r="C847" i="3" s="1"/>
  <c r="M847" i="3"/>
  <c r="L847" i="3"/>
  <c r="K847" i="3"/>
  <c r="E848" i="3"/>
  <c r="P696" i="3" l="1"/>
  <c r="J697" i="3" s="1"/>
  <c r="H696" i="3"/>
  <c r="I696" i="3" s="1"/>
  <c r="Q696" i="3"/>
  <c r="F849" i="3"/>
  <c r="D850" i="3" s="1"/>
  <c r="A848" i="3"/>
  <c r="N848" i="3"/>
  <c r="M848" i="3"/>
  <c r="O848" i="3" s="1"/>
  <c r="B848" i="3" s="1"/>
  <c r="C848" i="3" s="1"/>
  <c r="L848" i="3"/>
  <c r="K848" i="3"/>
  <c r="E849" i="3"/>
  <c r="G697" i="3" l="1"/>
  <c r="Q697" i="3"/>
  <c r="H697" i="3"/>
  <c r="I697" i="3" s="1"/>
  <c r="P697" i="3"/>
  <c r="J698" i="3" s="1"/>
  <c r="G698" i="3" s="1"/>
  <c r="F850" i="3"/>
  <c r="D851" i="3" s="1"/>
  <c r="A849" i="3"/>
  <c r="N849" i="3"/>
  <c r="M849" i="3"/>
  <c r="O849" i="3" s="1"/>
  <c r="B849" i="3" s="1"/>
  <c r="C849" i="3" s="1"/>
  <c r="L849" i="3"/>
  <c r="K849" i="3"/>
  <c r="E850" i="3"/>
  <c r="P698" i="3" l="1"/>
  <c r="J699" i="3" s="1"/>
  <c r="Q698" i="3"/>
  <c r="H698" i="3"/>
  <c r="I698" i="3" s="1"/>
  <c r="F851" i="3"/>
  <c r="D852" i="3" s="1"/>
  <c r="K850" i="3"/>
  <c r="A850" i="3"/>
  <c r="N850" i="3"/>
  <c r="M850" i="3"/>
  <c r="L850" i="3"/>
  <c r="E851" i="3"/>
  <c r="O850" i="3" l="1"/>
  <c r="B850" i="3" s="1"/>
  <c r="C850" i="3" s="1"/>
  <c r="G699" i="3"/>
  <c r="F852" i="3"/>
  <c r="D853" i="3" s="1"/>
  <c r="L851" i="3"/>
  <c r="K851" i="3"/>
  <c r="A851" i="3"/>
  <c r="N851" i="3"/>
  <c r="M851" i="3"/>
  <c r="O851" i="3" s="1"/>
  <c r="B851" i="3" s="1"/>
  <c r="C851" i="3" s="1"/>
  <c r="E852" i="3"/>
  <c r="Q699" i="3" l="1"/>
  <c r="P699" i="3"/>
  <c r="J700" i="3" s="1"/>
  <c r="H699" i="3"/>
  <c r="I699" i="3" s="1"/>
  <c r="F853" i="3"/>
  <c r="D854" i="3" s="1"/>
  <c r="M852" i="3"/>
  <c r="L852" i="3"/>
  <c r="K852" i="3"/>
  <c r="A852" i="3"/>
  <c r="N852" i="3"/>
  <c r="E853" i="3"/>
  <c r="G700" i="3" l="1"/>
  <c r="Q700" i="3"/>
  <c r="P700" i="3"/>
  <c r="J701" i="3" s="1"/>
  <c r="H700" i="3"/>
  <c r="I700" i="3" s="1"/>
  <c r="O852" i="3"/>
  <c r="B852" i="3" s="1"/>
  <c r="C852" i="3" s="1"/>
  <c r="F854" i="3"/>
  <c r="D855" i="3" s="1"/>
  <c r="N853" i="3"/>
  <c r="M853" i="3"/>
  <c r="O853" i="3" s="1"/>
  <c r="B853" i="3" s="1"/>
  <c r="C853" i="3" s="1"/>
  <c r="L853" i="3"/>
  <c r="K853" i="3"/>
  <c r="A853" i="3"/>
  <c r="E854" i="3"/>
  <c r="G701" i="3" l="1"/>
  <c r="Q701" i="3"/>
  <c r="H701" i="3"/>
  <c r="I701" i="3" s="1"/>
  <c r="P701" i="3"/>
  <c r="J702" i="3" s="1"/>
  <c r="G702" i="3" s="1"/>
  <c r="F855" i="3"/>
  <c r="D856" i="3" s="1"/>
  <c r="N854" i="3"/>
  <c r="M854" i="3"/>
  <c r="O854" i="3" s="1"/>
  <c r="B854" i="3" s="1"/>
  <c r="C854" i="3" s="1"/>
  <c r="L854" i="3"/>
  <c r="K854" i="3"/>
  <c r="A854" i="3"/>
  <c r="E855" i="3"/>
  <c r="H702" i="3" l="1"/>
  <c r="I702" i="3" s="1"/>
  <c r="P702" i="3"/>
  <c r="J703" i="3" s="1"/>
  <c r="G703" i="3" s="1"/>
  <c r="Q702" i="3"/>
  <c r="F856" i="3"/>
  <c r="D857" i="3" s="1"/>
  <c r="N855" i="3"/>
  <c r="M855" i="3"/>
  <c r="L855" i="3"/>
  <c r="K855" i="3"/>
  <c r="A855" i="3"/>
  <c r="E856" i="3"/>
  <c r="O855" i="3" l="1"/>
  <c r="B855" i="3" s="1"/>
  <c r="C855" i="3" s="1"/>
  <c r="P703" i="3"/>
  <c r="J704" i="3" s="1"/>
  <c r="H703" i="3"/>
  <c r="I703" i="3" s="1"/>
  <c r="Q703" i="3"/>
  <c r="F857" i="3"/>
  <c r="D858" i="3" s="1"/>
  <c r="N856" i="3"/>
  <c r="M856" i="3"/>
  <c r="O856" i="3" s="1"/>
  <c r="B856" i="3" s="1"/>
  <c r="C856" i="3" s="1"/>
  <c r="L856" i="3"/>
  <c r="K856" i="3"/>
  <c r="A856" i="3"/>
  <c r="E857" i="3"/>
  <c r="G704" i="3" l="1"/>
  <c r="H704" i="3"/>
  <c r="I704" i="3" s="1"/>
  <c r="P704" i="3"/>
  <c r="J705" i="3" s="1"/>
  <c r="G705" i="3" s="1"/>
  <c r="Q704" i="3"/>
  <c r="F858" i="3"/>
  <c r="D859" i="3" s="1"/>
  <c r="N857" i="3"/>
  <c r="M857" i="3"/>
  <c r="L857" i="3"/>
  <c r="K857" i="3"/>
  <c r="A857" i="3"/>
  <c r="E858" i="3"/>
  <c r="Q705" i="3" l="1"/>
  <c r="H705" i="3"/>
  <c r="I705" i="3" s="1"/>
  <c r="P705" i="3"/>
  <c r="J706" i="3" s="1"/>
  <c r="G706" i="3" s="1"/>
  <c r="O857" i="3"/>
  <c r="B857" i="3" s="1"/>
  <c r="C857" i="3" s="1"/>
  <c r="F859" i="3"/>
  <c r="D860" i="3" s="1"/>
  <c r="A858" i="3"/>
  <c r="N858" i="3"/>
  <c r="M858" i="3"/>
  <c r="O858" i="3" s="1"/>
  <c r="B858" i="3" s="1"/>
  <c r="C858" i="3" s="1"/>
  <c r="L858" i="3"/>
  <c r="K858" i="3"/>
  <c r="E859" i="3"/>
  <c r="P706" i="3" l="1"/>
  <c r="J707" i="3" s="1"/>
  <c r="Q706" i="3"/>
  <c r="H706" i="3"/>
  <c r="I706" i="3" s="1"/>
  <c r="F860" i="3"/>
  <c r="D861" i="3" s="1"/>
  <c r="A859" i="3"/>
  <c r="N859" i="3"/>
  <c r="O859" i="3" s="1"/>
  <c r="B859" i="3" s="1"/>
  <c r="C859" i="3" s="1"/>
  <c r="M859" i="3"/>
  <c r="L859" i="3"/>
  <c r="K859" i="3"/>
  <c r="E860" i="3"/>
  <c r="G707" i="3" l="1"/>
  <c r="F861" i="3"/>
  <c r="D862" i="3" s="1"/>
  <c r="A860" i="3"/>
  <c r="N860" i="3"/>
  <c r="M860" i="3"/>
  <c r="O860" i="3" s="1"/>
  <c r="B860" i="3" s="1"/>
  <c r="C860" i="3" s="1"/>
  <c r="L860" i="3"/>
  <c r="K860" i="3"/>
  <c r="E861" i="3"/>
  <c r="P707" i="3" l="1"/>
  <c r="J708" i="3" s="1"/>
  <c r="H707" i="3"/>
  <c r="I707" i="3" s="1"/>
  <c r="Q707" i="3"/>
  <c r="F862" i="3"/>
  <c r="D863" i="3" s="1"/>
  <c r="A861" i="3"/>
  <c r="N861" i="3"/>
  <c r="M861" i="3"/>
  <c r="O861" i="3" s="1"/>
  <c r="B861" i="3" s="1"/>
  <c r="C861" i="3" s="1"/>
  <c r="L861" i="3"/>
  <c r="K861" i="3"/>
  <c r="E862" i="3"/>
  <c r="G708" i="3" l="1"/>
  <c r="Q708" i="3"/>
  <c r="H708" i="3"/>
  <c r="I708" i="3" s="1"/>
  <c r="P708" i="3"/>
  <c r="J709" i="3" s="1"/>
  <c r="G709" i="3" s="1"/>
  <c r="F863" i="3"/>
  <c r="D864" i="3" s="1"/>
  <c r="K862" i="3"/>
  <c r="A862" i="3"/>
  <c r="N862" i="3"/>
  <c r="M862" i="3"/>
  <c r="O862" i="3" s="1"/>
  <c r="B862" i="3" s="1"/>
  <c r="C862" i="3" s="1"/>
  <c r="L862" i="3"/>
  <c r="E863" i="3"/>
  <c r="Q709" i="3" l="1"/>
  <c r="H709" i="3"/>
  <c r="I709" i="3" s="1"/>
  <c r="P709" i="3"/>
  <c r="J710" i="3" s="1"/>
  <c r="F864" i="3"/>
  <c r="D865" i="3" s="1"/>
  <c r="L863" i="3"/>
  <c r="K863" i="3"/>
  <c r="A863" i="3"/>
  <c r="N863" i="3"/>
  <c r="M863" i="3"/>
  <c r="E864" i="3"/>
  <c r="G710" i="3" l="1"/>
  <c r="P710" i="3"/>
  <c r="J711" i="3" s="1"/>
  <c r="Q710" i="3"/>
  <c r="H710" i="3"/>
  <c r="I710" i="3" s="1"/>
  <c r="O863" i="3"/>
  <c r="B863" i="3" s="1"/>
  <c r="C863" i="3" s="1"/>
  <c r="F865" i="3"/>
  <c r="D866" i="3" s="1"/>
  <c r="M864" i="3"/>
  <c r="L864" i="3"/>
  <c r="K864" i="3"/>
  <c r="A864" i="3"/>
  <c r="N864" i="3"/>
  <c r="E865" i="3"/>
  <c r="G711" i="3" l="1"/>
  <c r="O864" i="3"/>
  <c r="B864" i="3" s="1"/>
  <c r="C864" i="3" s="1"/>
  <c r="F866" i="3"/>
  <c r="D867" i="3" s="1"/>
  <c r="N865" i="3"/>
  <c r="M865" i="3"/>
  <c r="O865" i="3" s="1"/>
  <c r="B865" i="3" s="1"/>
  <c r="C865" i="3" s="1"/>
  <c r="L865" i="3"/>
  <c r="K865" i="3"/>
  <c r="A865" i="3"/>
  <c r="E866" i="3"/>
  <c r="P711" i="3" l="1"/>
  <c r="J712" i="3" s="1"/>
  <c r="H711" i="3"/>
  <c r="I711" i="3" s="1"/>
  <c r="Q711" i="3"/>
  <c r="F867" i="3"/>
  <c r="D868" i="3" s="1"/>
  <c r="N866" i="3"/>
  <c r="M866" i="3"/>
  <c r="O866" i="3" s="1"/>
  <c r="B866" i="3" s="1"/>
  <c r="C866" i="3" s="1"/>
  <c r="L866" i="3"/>
  <c r="K866" i="3"/>
  <c r="A866" i="3"/>
  <c r="E867" i="3"/>
  <c r="G712" i="3" l="1"/>
  <c r="Q712" i="3"/>
  <c r="P712" i="3"/>
  <c r="J713" i="3" s="1"/>
  <c r="H712" i="3"/>
  <c r="I712" i="3" s="1"/>
  <c r="F868" i="3"/>
  <c r="D869" i="3" s="1"/>
  <c r="N867" i="3"/>
  <c r="M867" i="3"/>
  <c r="L867" i="3"/>
  <c r="K867" i="3"/>
  <c r="A867" i="3"/>
  <c r="E868" i="3"/>
  <c r="O867" i="3" l="1"/>
  <c r="B867" i="3" s="1"/>
  <c r="C867" i="3" s="1"/>
  <c r="G713" i="3"/>
  <c r="F869" i="3"/>
  <c r="D870" i="3" s="1"/>
  <c r="N868" i="3"/>
  <c r="M868" i="3"/>
  <c r="O868" i="3" s="1"/>
  <c r="B868" i="3" s="1"/>
  <c r="C868" i="3" s="1"/>
  <c r="L868" i="3"/>
  <c r="K868" i="3"/>
  <c r="A868" i="3"/>
  <c r="E869" i="3"/>
  <c r="P713" i="3" l="1"/>
  <c r="J714" i="3" s="1"/>
  <c r="Q713" i="3"/>
  <c r="H713" i="3"/>
  <c r="I713" i="3" s="1"/>
  <c r="F870" i="3"/>
  <c r="D871" i="3" s="1"/>
  <c r="N869" i="3"/>
  <c r="M869" i="3"/>
  <c r="O869" i="3" s="1"/>
  <c r="B869" i="3" s="1"/>
  <c r="C869" i="3" s="1"/>
  <c r="L869" i="3"/>
  <c r="K869" i="3"/>
  <c r="A869" i="3"/>
  <c r="E870" i="3"/>
  <c r="G714" i="3" l="1"/>
  <c r="F871" i="3"/>
  <c r="D872" i="3" s="1"/>
  <c r="A870" i="3"/>
  <c r="N870" i="3"/>
  <c r="M870" i="3"/>
  <c r="O870" i="3" s="1"/>
  <c r="B870" i="3" s="1"/>
  <c r="C870" i="3" s="1"/>
  <c r="L870" i="3"/>
  <c r="K870" i="3"/>
  <c r="E871" i="3"/>
  <c r="H714" i="3" l="1"/>
  <c r="I714" i="3" s="1"/>
  <c r="Q714" i="3"/>
  <c r="P714" i="3"/>
  <c r="J715" i="3" s="1"/>
  <c r="G715" i="3" s="1"/>
  <c r="F872" i="3"/>
  <c r="D873" i="3" s="1"/>
  <c r="A871" i="3"/>
  <c r="N871" i="3"/>
  <c r="M871" i="3"/>
  <c r="L871" i="3"/>
  <c r="K871" i="3"/>
  <c r="E872" i="3"/>
  <c r="P715" i="3" l="1"/>
  <c r="J716" i="3" s="1"/>
  <c r="Q715" i="3"/>
  <c r="H715" i="3"/>
  <c r="I715" i="3" s="1"/>
  <c r="O871" i="3"/>
  <c r="B871" i="3" s="1"/>
  <c r="C871" i="3" s="1"/>
  <c r="F873" i="3"/>
  <c r="D874" i="3" s="1"/>
  <c r="A872" i="3"/>
  <c r="N872" i="3"/>
  <c r="M872" i="3"/>
  <c r="O872" i="3" s="1"/>
  <c r="B872" i="3" s="1"/>
  <c r="C872" i="3" s="1"/>
  <c r="L872" i="3"/>
  <c r="K872" i="3"/>
  <c r="E873" i="3"/>
  <c r="G716" i="3" l="1"/>
  <c r="F874" i="3"/>
  <c r="D875" i="3" s="1"/>
  <c r="A873" i="3"/>
  <c r="N873" i="3"/>
  <c r="M873" i="3"/>
  <c r="O873" i="3" s="1"/>
  <c r="B873" i="3" s="1"/>
  <c r="C873" i="3" s="1"/>
  <c r="L873" i="3"/>
  <c r="K873" i="3"/>
  <c r="E874" i="3"/>
  <c r="H716" i="3" l="1"/>
  <c r="I716" i="3" s="1"/>
  <c r="P716" i="3"/>
  <c r="J717" i="3" s="1"/>
  <c r="G717" i="3" s="1"/>
  <c r="Q716" i="3"/>
  <c r="F875" i="3"/>
  <c r="D876" i="3" s="1"/>
  <c r="K874" i="3"/>
  <c r="A874" i="3"/>
  <c r="P874" i="3"/>
  <c r="N874" i="3"/>
  <c r="M874" i="3"/>
  <c r="L874" i="3"/>
  <c r="E875" i="3"/>
  <c r="P717" i="3" l="1"/>
  <c r="J718" i="3" s="1"/>
  <c r="Q717" i="3"/>
  <c r="H717" i="3"/>
  <c r="I717" i="3" s="1"/>
  <c r="F1" i="1"/>
  <c r="F876" i="3"/>
  <c r="L875" i="3"/>
  <c r="K875" i="3"/>
  <c r="J875" i="3"/>
  <c r="A875" i="3"/>
  <c r="N875" i="3"/>
  <c r="M875" i="3"/>
  <c r="O875" i="3" s="1"/>
  <c r="B875" i="3" s="1"/>
  <c r="C875" i="3" s="1"/>
  <c r="E876" i="3"/>
  <c r="G718" i="3" l="1"/>
  <c r="D877" i="3"/>
  <c r="F877" i="3"/>
  <c r="M876" i="3"/>
  <c r="L876" i="3"/>
  <c r="K876" i="3"/>
  <c r="A876" i="3"/>
  <c r="N876" i="3"/>
  <c r="E877" i="3"/>
  <c r="O876" i="3" l="1"/>
  <c r="B876" i="3" s="1"/>
  <c r="C876" i="3" s="1"/>
  <c r="D878" i="3"/>
  <c r="H718" i="3"/>
  <c r="I718" i="3" s="1"/>
  <c r="P718" i="3"/>
  <c r="J719" i="3" s="1"/>
  <c r="G719" i="3" s="1"/>
  <c r="Q718" i="3"/>
  <c r="F878" i="3"/>
  <c r="N877" i="3"/>
  <c r="M877" i="3"/>
  <c r="L877" i="3"/>
  <c r="K877" i="3"/>
  <c r="A877" i="3"/>
  <c r="E878" i="3"/>
  <c r="O877" i="3" l="1"/>
  <c r="B877" i="3" s="1"/>
  <c r="C877" i="3" s="1"/>
  <c r="P719" i="3"/>
  <c r="J720" i="3" s="1"/>
  <c r="Q719" i="3"/>
  <c r="H719" i="3"/>
  <c r="I719" i="3" s="1"/>
  <c r="D879" i="3"/>
  <c r="F879" i="3"/>
  <c r="N878" i="3"/>
  <c r="M878" i="3"/>
  <c r="O878" i="3" s="1"/>
  <c r="B878" i="3" s="1"/>
  <c r="C878" i="3" s="1"/>
  <c r="L878" i="3"/>
  <c r="K878" i="3"/>
  <c r="A878" i="3"/>
  <c r="E879" i="3"/>
  <c r="D880" i="3" l="1"/>
  <c r="G720" i="3"/>
  <c r="F880" i="3"/>
  <c r="N879" i="3"/>
  <c r="M879" i="3"/>
  <c r="O879" i="3" s="1"/>
  <c r="B879" i="3" s="1"/>
  <c r="C879" i="3" s="1"/>
  <c r="L879" i="3"/>
  <c r="K879" i="3"/>
  <c r="A879" i="3"/>
  <c r="E880" i="3"/>
  <c r="H720" i="3" l="1"/>
  <c r="I720" i="3" s="1"/>
  <c r="Q720" i="3"/>
  <c r="P720" i="3"/>
  <c r="J721" i="3" s="1"/>
  <c r="G721" i="3" s="1"/>
  <c r="D881" i="3"/>
  <c r="F881" i="3"/>
  <c r="N880" i="3"/>
  <c r="M880" i="3"/>
  <c r="O880" i="3" s="1"/>
  <c r="B880" i="3" s="1"/>
  <c r="C880" i="3" s="1"/>
  <c r="L880" i="3"/>
  <c r="K880" i="3"/>
  <c r="A880" i="3"/>
  <c r="E881" i="3"/>
  <c r="D882" i="3" l="1"/>
  <c r="Q721" i="3"/>
  <c r="H721" i="3"/>
  <c r="I721" i="3" s="1"/>
  <c r="P721" i="3"/>
  <c r="J722" i="3" s="1"/>
  <c r="G722" i="3" s="1"/>
  <c r="F882" i="3"/>
  <c r="N881" i="3"/>
  <c r="M881" i="3"/>
  <c r="L881" i="3"/>
  <c r="K881" i="3"/>
  <c r="A881" i="3"/>
  <c r="E882" i="3"/>
  <c r="Q722" i="3" l="1"/>
  <c r="H722" i="3"/>
  <c r="I722" i="3" s="1"/>
  <c r="P722" i="3"/>
  <c r="J723" i="3" s="1"/>
  <c r="G723" i="3" s="1"/>
  <c r="D883" i="3"/>
  <c r="O881" i="3"/>
  <c r="B881" i="3" s="1"/>
  <c r="C881" i="3" s="1"/>
  <c r="F883" i="3"/>
  <c r="A882" i="3"/>
  <c r="N882" i="3"/>
  <c r="M882" i="3"/>
  <c r="O882" i="3" s="1"/>
  <c r="B882" i="3" s="1"/>
  <c r="C882" i="3" s="1"/>
  <c r="L882" i="3"/>
  <c r="K882" i="3"/>
  <c r="E883" i="3"/>
  <c r="D884" i="3" l="1"/>
  <c r="Q723" i="3"/>
  <c r="H723" i="3"/>
  <c r="I723" i="3" s="1"/>
  <c r="G724" i="3" s="1"/>
  <c r="F884" i="3"/>
  <c r="D885" i="3" s="1"/>
  <c r="A883" i="3"/>
  <c r="N883" i="3"/>
  <c r="M883" i="3"/>
  <c r="O883" i="3" s="1"/>
  <c r="B883" i="3" s="1"/>
  <c r="C883" i="3" s="1"/>
  <c r="L883" i="3"/>
  <c r="K883" i="3"/>
  <c r="E884" i="3"/>
  <c r="P724" i="3" l="1"/>
  <c r="J725" i="3" s="1"/>
  <c r="H724" i="3"/>
  <c r="I724" i="3" s="1"/>
  <c r="Q724" i="3"/>
  <c r="F885" i="3"/>
  <c r="D886" i="3" s="1"/>
  <c r="A884" i="3"/>
  <c r="N884" i="3"/>
  <c r="M884" i="3"/>
  <c r="O884" i="3" s="1"/>
  <c r="B884" i="3" s="1"/>
  <c r="C884" i="3" s="1"/>
  <c r="L884" i="3"/>
  <c r="K884" i="3"/>
  <c r="E885" i="3"/>
  <c r="G725" i="3" l="1"/>
  <c r="F886" i="3"/>
  <c r="D887" i="3" s="1"/>
  <c r="A885" i="3"/>
  <c r="N885" i="3"/>
  <c r="M885" i="3"/>
  <c r="O885" i="3" s="1"/>
  <c r="B885" i="3" s="1"/>
  <c r="C885" i="3" s="1"/>
  <c r="L885" i="3"/>
  <c r="K885" i="3"/>
  <c r="E886" i="3"/>
  <c r="H725" i="3" l="1"/>
  <c r="I725" i="3" s="1"/>
  <c r="Q725" i="3"/>
  <c r="P725" i="3"/>
  <c r="J726" i="3" s="1"/>
  <c r="O874" i="3"/>
  <c r="B874" i="3" s="1"/>
  <c r="C874" i="3" s="1"/>
  <c r="F887" i="3"/>
  <c r="D888" i="3" s="1"/>
  <c r="K886" i="3"/>
  <c r="A886" i="3"/>
  <c r="N886" i="3"/>
  <c r="M886" i="3"/>
  <c r="O886" i="3" s="1"/>
  <c r="B886" i="3" s="1"/>
  <c r="C886" i="3" s="1"/>
  <c r="L886" i="3"/>
  <c r="E887" i="3"/>
  <c r="G726" i="3" l="1"/>
  <c r="H726" i="3"/>
  <c r="I726" i="3" s="1"/>
  <c r="P726" i="3"/>
  <c r="J727" i="3" s="1"/>
  <c r="G727" i="3" s="1"/>
  <c r="Q726" i="3"/>
  <c r="F888" i="3"/>
  <c r="D889" i="3" s="1"/>
  <c r="L887" i="3"/>
  <c r="K887" i="3"/>
  <c r="A887" i="3"/>
  <c r="N887" i="3"/>
  <c r="M887" i="3"/>
  <c r="O887" i="3" s="1"/>
  <c r="B887" i="3" s="1"/>
  <c r="C887" i="3" s="1"/>
  <c r="E888" i="3"/>
  <c r="P727" i="3" l="1"/>
  <c r="J728" i="3" s="1"/>
  <c r="H727" i="3"/>
  <c r="I727" i="3" s="1"/>
  <c r="Q727" i="3"/>
  <c r="F889" i="3"/>
  <c r="D890" i="3" s="1"/>
  <c r="M888" i="3"/>
  <c r="L888" i="3"/>
  <c r="K888" i="3"/>
  <c r="A888" i="3"/>
  <c r="N888" i="3"/>
  <c r="E889" i="3"/>
  <c r="G728" i="3" l="1"/>
  <c r="O888" i="3"/>
  <c r="B888" i="3" s="1"/>
  <c r="C888" i="3" s="1"/>
  <c r="P728" i="3"/>
  <c r="J729" i="3" s="1"/>
  <c r="Q728" i="3"/>
  <c r="H728" i="3"/>
  <c r="I728" i="3" s="1"/>
  <c r="F890" i="3"/>
  <c r="D891" i="3" s="1"/>
  <c r="N889" i="3"/>
  <c r="M889" i="3"/>
  <c r="O889" i="3" s="1"/>
  <c r="B889" i="3" s="1"/>
  <c r="C889" i="3" s="1"/>
  <c r="L889" i="3"/>
  <c r="K889" i="3"/>
  <c r="A889" i="3"/>
  <c r="E890" i="3"/>
  <c r="G729" i="3" l="1"/>
  <c r="F891" i="3"/>
  <c r="D892" i="3" s="1"/>
  <c r="N890" i="3"/>
  <c r="M890" i="3"/>
  <c r="O890" i="3" s="1"/>
  <c r="B890" i="3" s="1"/>
  <c r="C890" i="3" s="1"/>
  <c r="L890" i="3"/>
  <c r="K890" i="3"/>
  <c r="A890" i="3"/>
  <c r="E891" i="3"/>
  <c r="Q729" i="3" l="1"/>
  <c r="P729" i="3"/>
  <c r="J730" i="3" s="1"/>
  <c r="H729" i="3"/>
  <c r="I729" i="3" s="1"/>
  <c r="F892" i="3"/>
  <c r="D893" i="3" s="1"/>
  <c r="N891" i="3"/>
  <c r="M891" i="3"/>
  <c r="O891" i="3" s="1"/>
  <c r="B891" i="3" s="1"/>
  <c r="C891" i="3" s="1"/>
  <c r="L891" i="3"/>
  <c r="K891" i="3"/>
  <c r="A891" i="3"/>
  <c r="E892" i="3"/>
  <c r="G730" i="3" l="1"/>
  <c r="Q730" i="3"/>
  <c r="H730" i="3"/>
  <c r="I730" i="3" s="1"/>
  <c r="P730" i="3"/>
  <c r="J731" i="3" s="1"/>
  <c r="G731" i="3" s="1"/>
  <c r="F893" i="3"/>
  <c r="D894" i="3" s="1"/>
  <c r="N892" i="3"/>
  <c r="M892" i="3"/>
  <c r="O892" i="3" s="1"/>
  <c r="B892" i="3" s="1"/>
  <c r="C892" i="3" s="1"/>
  <c r="L892" i="3"/>
  <c r="K892" i="3"/>
  <c r="A892" i="3"/>
  <c r="E893" i="3"/>
  <c r="Q731" i="3" l="1"/>
  <c r="H731" i="3"/>
  <c r="I731" i="3" s="1"/>
  <c r="P731" i="3"/>
  <c r="J732" i="3" s="1"/>
  <c r="G732" i="3" s="1"/>
  <c r="F894" i="3"/>
  <c r="D895" i="3" s="1"/>
  <c r="N893" i="3"/>
  <c r="M893" i="3"/>
  <c r="O893" i="3" s="1"/>
  <c r="B893" i="3" s="1"/>
  <c r="C893" i="3" s="1"/>
  <c r="L893" i="3"/>
  <c r="K893" i="3"/>
  <c r="A893" i="3"/>
  <c r="E894" i="3"/>
  <c r="Q732" i="3" l="1"/>
  <c r="H732" i="3"/>
  <c r="I732" i="3" s="1"/>
  <c r="P732" i="3"/>
  <c r="J733" i="3" s="1"/>
  <c r="G733" i="3" s="1"/>
  <c r="F895" i="3"/>
  <c r="D896" i="3" s="1"/>
  <c r="A894" i="3"/>
  <c r="N894" i="3"/>
  <c r="M894" i="3"/>
  <c r="O894" i="3" s="1"/>
  <c r="B894" i="3" s="1"/>
  <c r="C894" i="3" s="1"/>
  <c r="L894" i="3"/>
  <c r="K894" i="3"/>
  <c r="E895" i="3"/>
  <c r="P733" i="3" l="1"/>
  <c r="J734" i="3" s="1"/>
  <c r="Q733" i="3"/>
  <c r="H733" i="3"/>
  <c r="I733" i="3" s="1"/>
  <c r="F896" i="3"/>
  <c r="D897" i="3" s="1"/>
  <c r="A895" i="3"/>
  <c r="N895" i="3"/>
  <c r="M895" i="3"/>
  <c r="O895" i="3" s="1"/>
  <c r="B895" i="3" s="1"/>
  <c r="C895" i="3" s="1"/>
  <c r="L895" i="3"/>
  <c r="K895" i="3"/>
  <c r="E896" i="3"/>
  <c r="G734" i="3" l="1"/>
  <c r="F897" i="3"/>
  <c r="D898" i="3" s="1"/>
  <c r="A896" i="3"/>
  <c r="N896" i="3"/>
  <c r="M896" i="3"/>
  <c r="O896" i="3" s="1"/>
  <c r="B896" i="3" s="1"/>
  <c r="C896" i="3" s="1"/>
  <c r="L896" i="3"/>
  <c r="K896" i="3"/>
  <c r="E897" i="3"/>
  <c r="Q734" i="3" l="1"/>
  <c r="P734" i="3"/>
  <c r="J735" i="3" s="1"/>
  <c r="H734" i="3"/>
  <c r="I734" i="3" s="1"/>
  <c r="G735" i="3" s="1"/>
  <c r="F898" i="3"/>
  <c r="D899" i="3" s="1"/>
  <c r="A897" i="3"/>
  <c r="N897" i="3"/>
  <c r="M897" i="3"/>
  <c r="O897" i="3" s="1"/>
  <c r="B897" i="3" s="1"/>
  <c r="C897" i="3" s="1"/>
  <c r="L897" i="3"/>
  <c r="K897" i="3"/>
  <c r="E898" i="3"/>
  <c r="P735" i="3" l="1"/>
  <c r="J736" i="3" s="1"/>
  <c r="Q735" i="3"/>
  <c r="H735" i="3"/>
  <c r="I735" i="3" s="1"/>
  <c r="F899" i="3"/>
  <c r="D900" i="3" s="1"/>
  <c r="K898" i="3"/>
  <c r="A898" i="3"/>
  <c r="N898" i="3"/>
  <c r="M898" i="3"/>
  <c r="O898" i="3" s="1"/>
  <c r="B898" i="3" s="1"/>
  <c r="C898" i="3" s="1"/>
  <c r="L898" i="3"/>
  <c r="E899" i="3"/>
  <c r="G736" i="3" l="1"/>
  <c r="Q736" i="3"/>
  <c r="P736" i="3"/>
  <c r="J737" i="3" s="1"/>
  <c r="H736" i="3"/>
  <c r="I736" i="3" s="1"/>
  <c r="F900" i="3"/>
  <c r="D901" i="3" s="1"/>
  <c r="L899" i="3"/>
  <c r="K899" i="3"/>
  <c r="A899" i="3"/>
  <c r="N899" i="3"/>
  <c r="M899" i="3"/>
  <c r="O899" i="3" s="1"/>
  <c r="B899" i="3" s="1"/>
  <c r="C899" i="3" s="1"/>
  <c r="E900" i="3"/>
  <c r="G737" i="3" l="1"/>
  <c r="H737" i="3"/>
  <c r="I737" i="3" s="1"/>
  <c r="Q737" i="3"/>
  <c r="P737" i="3"/>
  <c r="J738" i="3" s="1"/>
  <c r="F901" i="3"/>
  <c r="D902" i="3" s="1"/>
  <c r="M900" i="3"/>
  <c r="L900" i="3"/>
  <c r="K900" i="3"/>
  <c r="A900" i="3"/>
  <c r="N900" i="3"/>
  <c r="E901" i="3"/>
  <c r="G738" i="3" l="1"/>
  <c r="O900" i="3"/>
  <c r="B900" i="3" s="1"/>
  <c r="C900" i="3" s="1"/>
  <c r="P738" i="3"/>
  <c r="J739" i="3" s="1"/>
  <c r="H738" i="3"/>
  <c r="I738" i="3" s="1"/>
  <c r="Q738" i="3"/>
  <c r="F902" i="3"/>
  <c r="D903" i="3" s="1"/>
  <c r="N901" i="3"/>
  <c r="M901" i="3"/>
  <c r="O901" i="3" s="1"/>
  <c r="B901" i="3" s="1"/>
  <c r="C901" i="3" s="1"/>
  <c r="L901" i="3"/>
  <c r="K901" i="3"/>
  <c r="A901" i="3"/>
  <c r="E902" i="3"/>
  <c r="G739" i="3" l="1"/>
  <c r="H739" i="3"/>
  <c r="I739" i="3" s="1"/>
  <c r="P739" i="3"/>
  <c r="J740" i="3" s="1"/>
  <c r="Q739" i="3"/>
  <c r="F903" i="3"/>
  <c r="D904" i="3" s="1"/>
  <c r="N902" i="3"/>
  <c r="M902" i="3"/>
  <c r="O902" i="3" s="1"/>
  <c r="B902" i="3" s="1"/>
  <c r="C902" i="3" s="1"/>
  <c r="L902" i="3"/>
  <c r="K902" i="3"/>
  <c r="A902" i="3"/>
  <c r="E903" i="3"/>
  <c r="G740" i="3" l="1"/>
  <c r="P740" i="3" s="1"/>
  <c r="J741" i="3" s="1"/>
  <c r="H740" i="3"/>
  <c r="I740" i="3" s="1"/>
  <c r="Q740" i="3"/>
  <c r="F904" i="3"/>
  <c r="D905" i="3" s="1"/>
  <c r="N903" i="3"/>
  <c r="M903" i="3"/>
  <c r="O903" i="3" s="1"/>
  <c r="B903" i="3" s="1"/>
  <c r="C903" i="3" s="1"/>
  <c r="L903" i="3"/>
  <c r="K903" i="3"/>
  <c r="A903" i="3"/>
  <c r="E904" i="3"/>
  <c r="G741" i="3" l="1"/>
  <c r="F905" i="3"/>
  <c r="D906" i="3" s="1"/>
  <c r="N904" i="3"/>
  <c r="M904" i="3"/>
  <c r="O904" i="3" s="1"/>
  <c r="B904" i="3" s="1"/>
  <c r="C904" i="3" s="1"/>
  <c r="L904" i="3"/>
  <c r="K904" i="3"/>
  <c r="H904" i="3"/>
  <c r="I904" i="3" s="1"/>
  <c r="A904" i="3"/>
  <c r="E905" i="3"/>
  <c r="P741" i="3" l="1"/>
  <c r="J742" i="3" s="1"/>
  <c r="Q741" i="3"/>
  <c r="H741" i="3"/>
  <c r="I741" i="3" s="1"/>
  <c r="F906" i="3"/>
  <c r="D907" i="3" s="1"/>
  <c r="P905" i="3"/>
  <c r="N905" i="3"/>
  <c r="M905" i="3"/>
  <c r="O905" i="3" s="1"/>
  <c r="B905" i="3" s="1"/>
  <c r="C905" i="3" s="1"/>
  <c r="L905" i="3"/>
  <c r="K905" i="3"/>
  <c r="A905" i="3"/>
  <c r="E906" i="3"/>
  <c r="G742" i="3" l="1"/>
  <c r="F907" i="3"/>
  <c r="D908" i="3" s="1"/>
  <c r="A906" i="3"/>
  <c r="N906" i="3"/>
  <c r="M906" i="3"/>
  <c r="O906" i="3" s="1"/>
  <c r="B906" i="3" s="1"/>
  <c r="C906" i="3" s="1"/>
  <c r="L906" i="3"/>
  <c r="K906" i="3"/>
  <c r="J906" i="3"/>
  <c r="E907" i="3"/>
  <c r="P742" i="3" l="1"/>
  <c r="J743" i="3" s="1"/>
  <c r="H742" i="3"/>
  <c r="I742" i="3" s="1"/>
  <c r="Q742" i="3"/>
  <c r="F908" i="3"/>
  <c r="D909" i="3" s="1"/>
  <c r="A907" i="3"/>
  <c r="N907" i="3"/>
  <c r="M907" i="3"/>
  <c r="O907" i="3" s="1"/>
  <c r="B907" i="3" s="1"/>
  <c r="C907" i="3" s="1"/>
  <c r="L907" i="3"/>
  <c r="K907" i="3"/>
  <c r="E908" i="3"/>
  <c r="G743" i="3" l="1"/>
  <c r="P743" i="3" s="1"/>
  <c r="J744" i="3" s="1"/>
  <c r="Q743" i="3"/>
  <c r="H743" i="3"/>
  <c r="I743" i="3" s="1"/>
  <c r="F909" i="3"/>
  <c r="D910" i="3" s="1"/>
  <c r="A908" i="3"/>
  <c r="N908" i="3"/>
  <c r="M908" i="3"/>
  <c r="O908" i="3" s="1"/>
  <c r="B908" i="3" s="1"/>
  <c r="C908" i="3" s="1"/>
  <c r="L908" i="3"/>
  <c r="K908" i="3"/>
  <c r="E909" i="3"/>
  <c r="G744" i="3" l="1"/>
  <c r="F910" i="3"/>
  <c r="D911" i="3" s="1"/>
  <c r="A909" i="3"/>
  <c r="N909" i="3"/>
  <c r="M909" i="3"/>
  <c r="O909" i="3" s="1"/>
  <c r="B909" i="3" s="1"/>
  <c r="C909" i="3" s="1"/>
  <c r="L909" i="3"/>
  <c r="K909" i="3"/>
  <c r="E910" i="3"/>
  <c r="Q744" i="3" l="1"/>
  <c r="H744" i="3"/>
  <c r="I744" i="3" s="1"/>
  <c r="P744" i="3"/>
  <c r="J745" i="3" s="1"/>
  <c r="G745" i="3" s="1"/>
  <c r="F911" i="3"/>
  <c r="D912" i="3" s="1"/>
  <c r="K910" i="3"/>
  <c r="A910" i="3"/>
  <c r="N910" i="3"/>
  <c r="M910" i="3"/>
  <c r="O910" i="3" s="1"/>
  <c r="B910" i="3" s="1"/>
  <c r="C910" i="3" s="1"/>
  <c r="L910" i="3"/>
  <c r="E911" i="3"/>
  <c r="P745" i="3" l="1"/>
  <c r="J746" i="3" s="1"/>
  <c r="Q745" i="3"/>
  <c r="H745" i="3"/>
  <c r="I745" i="3" s="1"/>
  <c r="F912" i="3"/>
  <c r="D913" i="3" s="1"/>
  <c r="L911" i="3"/>
  <c r="K911" i="3"/>
  <c r="A911" i="3"/>
  <c r="N911" i="3"/>
  <c r="M911" i="3"/>
  <c r="O911" i="3" s="1"/>
  <c r="B911" i="3" s="1"/>
  <c r="C911" i="3" s="1"/>
  <c r="E912" i="3"/>
  <c r="G746" i="3" l="1"/>
  <c r="F913" i="3"/>
  <c r="D914" i="3" s="1"/>
  <c r="M912" i="3"/>
  <c r="L912" i="3"/>
  <c r="K912" i="3"/>
  <c r="A912" i="3"/>
  <c r="N912" i="3"/>
  <c r="E913" i="3"/>
  <c r="O912" i="3" l="1"/>
  <c r="B912" i="3" s="1"/>
  <c r="C912" i="3" s="1"/>
  <c r="H746" i="3"/>
  <c r="I746" i="3" s="1"/>
  <c r="Q746" i="3"/>
  <c r="P746" i="3"/>
  <c r="J747" i="3" s="1"/>
  <c r="G747" i="3" s="1"/>
  <c r="F914" i="3"/>
  <c r="D915" i="3" s="1"/>
  <c r="N913" i="3"/>
  <c r="M913" i="3"/>
  <c r="O913" i="3" s="1"/>
  <c r="B913" i="3" s="1"/>
  <c r="C913" i="3" s="1"/>
  <c r="L913" i="3"/>
  <c r="K913" i="3"/>
  <c r="A913" i="3"/>
  <c r="E914" i="3"/>
  <c r="Q747" i="3" l="1"/>
  <c r="H747" i="3"/>
  <c r="I747" i="3" s="1"/>
  <c r="P747" i="3"/>
  <c r="J748" i="3" s="1"/>
  <c r="F915" i="3"/>
  <c r="D916" i="3" s="1"/>
  <c r="N914" i="3"/>
  <c r="M914" i="3"/>
  <c r="L914" i="3"/>
  <c r="K914" i="3"/>
  <c r="A914" i="3"/>
  <c r="E915" i="3"/>
  <c r="O914" i="3" l="1"/>
  <c r="B914" i="3" s="1"/>
  <c r="C914" i="3" s="1"/>
  <c r="G748" i="3"/>
  <c r="H748" i="3" s="1"/>
  <c r="I748" i="3" s="1"/>
  <c r="F916" i="3"/>
  <c r="D917" i="3" s="1"/>
  <c r="N915" i="3"/>
  <c r="M915" i="3"/>
  <c r="O915" i="3" s="1"/>
  <c r="B915" i="3" s="1"/>
  <c r="C915" i="3" s="1"/>
  <c r="L915" i="3"/>
  <c r="K915" i="3"/>
  <c r="A915" i="3"/>
  <c r="E916" i="3"/>
  <c r="P748" i="3" l="1"/>
  <c r="J749" i="3" s="1"/>
  <c r="G749" i="3" s="1"/>
  <c r="Q748" i="3"/>
  <c r="F917" i="3"/>
  <c r="D918" i="3" s="1"/>
  <c r="N916" i="3"/>
  <c r="M916" i="3"/>
  <c r="O916" i="3" s="1"/>
  <c r="B916" i="3" s="1"/>
  <c r="C916" i="3" s="1"/>
  <c r="L916" i="3"/>
  <c r="K916" i="3"/>
  <c r="A916" i="3"/>
  <c r="E917" i="3"/>
  <c r="P749" i="3" l="1"/>
  <c r="J750" i="3" s="1"/>
  <c r="H749" i="3"/>
  <c r="I749" i="3" s="1"/>
  <c r="Q749" i="3"/>
  <c r="G750" i="3"/>
  <c r="P750" i="3" s="1"/>
  <c r="J751" i="3" s="1"/>
  <c r="F918" i="3"/>
  <c r="D919" i="3" s="1"/>
  <c r="N917" i="3"/>
  <c r="M917" i="3"/>
  <c r="O917" i="3" s="1"/>
  <c r="B917" i="3" s="1"/>
  <c r="C917" i="3" s="1"/>
  <c r="L917" i="3"/>
  <c r="K917" i="3"/>
  <c r="A917" i="3"/>
  <c r="E918" i="3"/>
  <c r="H750" i="3" l="1"/>
  <c r="I750" i="3" s="1"/>
  <c r="Q750" i="3"/>
  <c r="G751" i="3"/>
  <c r="P751" i="3"/>
  <c r="J752" i="3" s="1"/>
  <c r="Q751" i="3"/>
  <c r="H751" i="3"/>
  <c r="I751" i="3" s="1"/>
  <c r="F919" i="3"/>
  <c r="D920" i="3" s="1"/>
  <c r="A918" i="3"/>
  <c r="N918" i="3"/>
  <c r="M918" i="3"/>
  <c r="O918" i="3" s="1"/>
  <c r="B918" i="3" s="1"/>
  <c r="C918" i="3" s="1"/>
  <c r="L918" i="3"/>
  <c r="K918" i="3"/>
  <c r="E919" i="3"/>
  <c r="G752" i="3" l="1"/>
  <c r="F920" i="3"/>
  <c r="D921" i="3" s="1"/>
  <c r="A919" i="3"/>
  <c r="N919" i="3"/>
  <c r="M919" i="3"/>
  <c r="O919" i="3" s="1"/>
  <c r="B919" i="3" s="1"/>
  <c r="C919" i="3" s="1"/>
  <c r="L919" i="3"/>
  <c r="K919" i="3"/>
  <c r="E920" i="3"/>
  <c r="H752" i="3" l="1"/>
  <c r="I752" i="3" s="1"/>
  <c r="Q752" i="3"/>
  <c r="P752" i="3"/>
  <c r="J753" i="3" s="1"/>
  <c r="G753" i="3" s="1"/>
  <c r="F921" i="3"/>
  <c r="D922" i="3" s="1"/>
  <c r="A920" i="3"/>
  <c r="N920" i="3"/>
  <c r="M920" i="3"/>
  <c r="O920" i="3" s="1"/>
  <c r="B920" i="3" s="1"/>
  <c r="C920" i="3" s="1"/>
  <c r="L920" i="3"/>
  <c r="K920" i="3"/>
  <c r="E921" i="3"/>
  <c r="P753" i="3" l="1"/>
  <c r="J754" i="3" s="1"/>
  <c r="G754" i="3" s="1"/>
  <c r="Q753" i="3"/>
  <c r="F922" i="3"/>
  <c r="D923" i="3" s="1"/>
  <c r="A921" i="3"/>
  <c r="N921" i="3"/>
  <c r="M921" i="3"/>
  <c r="O921" i="3" s="1"/>
  <c r="B921" i="3" s="1"/>
  <c r="C921" i="3" s="1"/>
  <c r="L921" i="3"/>
  <c r="K921" i="3"/>
  <c r="E922" i="3"/>
  <c r="Q754" i="3" l="1"/>
  <c r="H754" i="3"/>
  <c r="I754" i="3" s="1"/>
  <c r="G755" i="3" s="1"/>
  <c r="F923" i="3"/>
  <c r="D924" i="3" s="1"/>
  <c r="K922" i="3"/>
  <c r="A922" i="3"/>
  <c r="N922" i="3"/>
  <c r="M922" i="3"/>
  <c r="O922" i="3" s="1"/>
  <c r="B922" i="3" s="1"/>
  <c r="C922" i="3" s="1"/>
  <c r="L922" i="3"/>
  <c r="E923" i="3"/>
  <c r="H755" i="3" l="1"/>
  <c r="I755" i="3" s="1"/>
  <c r="P755" i="3"/>
  <c r="J756" i="3" s="1"/>
  <c r="G756" i="3" s="1"/>
  <c r="Q755" i="3"/>
  <c r="F924" i="3"/>
  <c r="D925" i="3" s="1"/>
  <c r="L923" i="3"/>
  <c r="K923" i="3"/>
  <c r="A923" i="3"/>
  <c r="N923" i="3"/>
  <c r="M923" i="3"/>
  <c r="O923" i="3" s="1"/>
  <c r="B923" i="3" s="1"/>
  <c r="C923" i="3" s="1"/>
  <c r="E924" i="3"/>
  <c r="P756" i="3" l="1"/>
  <c r="J757" i="3" s="1"/>
  <c r="Q756" i="3"/>
  <c r="H756" i="3"/>
  <c r="I756" i="3" s="1"/>
  <c r="G757" i="3" s="1"/>
  <c r="F925" i="3"/>
  <c r="D926" i="3" s="1"/>
  <c r="M924" i="3"/>
  <c r="L924" i="3"/>
  <c r="K924" i="3"/>
  <c r="A924" i="3"/>
  <c r="N924" i="3"/>
  <c r="E925" i="3"/>
  <c r="O924" i="3" l="1"/>
  <c r="B924" i="3" s="1"/>
  <c r="C924" i="3" s="1"/>
  <c r="P757" i="3"/>
  <c r="J758" i="3" s="1"/>
  <c r="Q757" i="3"/>
  <c r="H757" i="3"/>
  <c r="I757" i="3" s="1"/>
  <c r="G758" i="3" s="1"/>
  <c r="F926" i="3"/>
  <c r="D927" i="3" s="1"/>
  <c r="N925" i="3"/>
  <c r="M925" i="3"/>
  <c r="O925" i="3" s="1"/>
  <c r="B925" i="3" s="1"/>
  <c r="C925" i="3" s="1"/>
  <c r="L925" i="3"/>
  <c r="K925" i="3"/>
  <c r="A925" i="3"/>
  <c r="E926" i="3"/>
  <c r="P758" i="3" l="1"/>
  <c r="J759" i="3" s="1"/>
  <c r="H758" i="3"/>
  <c r="I758" i="3" s="1"/>
  <c r="Q758" i="3"/>
  <c r="F927" i="3"/>
  <c r="D928" i="3" s="1"/>
  <c r="N926" i="3"/>
  <c r="M926" i="3"/>
  <c r="O926" i="3" s="1"/>
  <c r="B926" i="3" s="1"/>
  <c r="C926" i="3" s="1"/>
  <c r="L926" i="3"/>
  <c r="K926" i="3"/>
  <c r="A926" i="3"/>
  <c r="E927" i="3"/>
  <c r="G759" i="3" l="1"/>
  <c r="P759" i="3"/>
  <c r="J760" i="3" s="1"/>
  <c r="Q759" i="3"/>
  <c r="H759" i="3"/>
  <c r="I759" i="3" s="1"/>
  <c r="F928" i="3"/>
  <c r="D929" i="3" s="1"/>
  <c r="N927" i="3"/>
  <c r="M927" i="3"/>
  <c r="O927" i="3" s="1"/>
  <c r="B927" i="3" s="1"/>
  <c r="C927" i="3" s="1"/>
  <c r="L927" i="3"/>
  <c r="K927" i="3"/>
  <c r="A927" i="3"/>
  <c r="E928" i="3"/>
  <c r="G760" i="3" l="1"/>
  <c r="F929" i="3"/>
  <c r="D930" i="3" s="1"/>
  <c r="N928" i="3"/>
  <c r="M928" i="3"/>
  <c r="O928" i="3" s="1"/>
  <c r="B928" i="3" s="1"/>
  <c r="C928" i="3" s="1"/>
  <c r="L928" i="3"/>
  <c r="K928" i="3"/>
  <c r="A928" i="3"/>
  <c r="E929" i="3"/>
  <c r="Q760" i="3" l="1"/>
  <c r="H760" i="3"/>
  <c r="I760" i="3" s="1"/>
  <c r="P760" i="3"/>
  <c r="J761" i="3" s="1"/>
  <c r="G761" i="3" s="1"/>
  <c r="F930" i="3"/>
  <c r="D931" i="3" s="1"/>
  <c r="N929" i="3"/>
  <c r="M929" i="3"/>
  <c r="O929" i="3" s="1"/>
  <c r="B929" i="3" s="1"/>
  <c r="C929" i="3" s="1"/>
  <c r="L929" i="3"/>
  <c r="K929" i="3"/>
  <c r="A929" i="3"/>
  <c r="E930" i="3"/>
  <c r="H761" i="3" l="1"/>
  <c r="I761" i="3" s="1"/>
  <c r="Q761" i="3"/>
  <c r="P761" i="3"/>
  <c r="J762" i="3" s="1"/>
  <c r="G762" i="3" s="1"/>
  <c r="F931" i="3"/>
  <c r="D932" i="3" s="1"/>
  <c r="A930" i="3"/>
  <c r="N930" i="3"/>
  <c r="M930" i="3"/>
  <c r="O930" i="3" s="1"/>
  <c r="B930" i="3" s="1"/>
  <c r="C930" i="3" s="1"/>
  <c r="L930" i="3"/>
  <c r="K930" i="3"/>
  <c r="E931" i="3"/>
  <c r="Q762" i="3" l="1"/>
  <c r="P762" i="3"/>
  <c r="J763" i="3" s="1"/>
  <c r="H762" i="3"/>
  <c r="I762" i="3" s="1"/>
  <c r="F932" i="3"/>
  <c r="D933" i="3" s="1"/>
  <c r="A931" i="3"/>
  <c r="N931" i="3"/>
  <c r="M931" i="3"/>
  <c r="L931" i="3"/>
  <c r="K931" i="3"/>
  <c r="E932" i="3"/>
  <c r="G763" i="3" l="1"/>
  <c r="O931" i="3"/>
  <c r="B931" i="3" s="1"/>
  <c r="C931" i="3" s="1"/>
  <c r="Q763" i="3"/>
  <c r="P763" i="3"/>
  <c r="J764" i="3" s="1"/>
  <c r="H763" i="3"/>
  <c r="I763" i="3" s="1"/>
  <c r="F933" i="3"/>
  <c r="D934" i="3" s="1"/>
  <c r="A932" i="3"/>
  <c r="N932" i="3"/>
  <c r="M932" i="3"/>
  <c r="L932" i="3"/>
  <c r="K932" i="3"/>
  <c r="E933" i="3"/>
  <c r="O932" i="3" l="1"/>
  <c r="B932" i="3" s="1"/>
  <c r="C932" i="3" s="1"/>
  <c r="G764" i="3"/>
  <c r="F934" i="3"/>
  <c r="D935" i="3" s="1"/>
  <c r="A933" i="3"/>
  <c r="N933" i="3"/>
  <c r="M933" i="3"/>
  <c r="O933" i="3" s="1"/>
  <c r="B933" i="3" s="1"/>
  <c r="C933" i="3" s="1"/>
  <c r="L933" i="3"/>
  <c r="K933" i="3"/>
  <c r="E934" i="3"/>
  <c r="Q764" i="3" l="1"/>
  <c r="P764" i="3"/>
  <c r="J765" i="3" s="1"/>
  <c r="H764" i="3"/>
  <c r="I764" i="3" s="1"/>
  <c r="F935" i="3"/>
  <c r="D936" i="3" s="1"/>
  <c r="K934" i="3"/>
  <c r="A934" i="3"/>
  <c r="N934" i="3"/>
  <c r="M934" i="3"/>
  <c r="O934" i="3" s="1"/>
  <c r="B934" i="3" s="1"/>
  <c r="C934" i="3" s="1"/>
  <c r="L934" i="3"/>
  <c r="E935" i="3"/>
  <c r="G765" i="3" l="1"/>
  <c r="Q765" i="3"/>
  <c r="H765" i="3"/>
  <c r="I765" i="3" s="1"/>
  <c r="P765" i="3"/>
  <c r="J766" i="3" s="1"/>
  <c r="F936" i="3"/>
  <c r="D937" i="3" s="1"/>
  <c r="L935" i="3"/>
  <c r="K935" i="3"/>
  <c r="A935" i="3"/>
  <c r="P935" i="3"/>
  <c r="N935" i="3"/>
  <c r="M935" i="3"/>
  <c r="O935" i="3" s="1"/>
  <c r="B935" i="3" s="1"/>
  <c r="C935" i="3" s="1"/>
  <c r="E936" i="3"/>
  <c r="G766" i="3" l="1"/>
  <c r="Q766" i="3"/>
  <c r="H766" i="3"/>
  <c r="I766" i="3" s="1"/>
  <c r="P766" i="3"/>
  <c r="J767" i="3" s="1"/>
  <c r="G767" i="3" s="1"/>
  <c r="F937" i="3"/>
  <c r="D938" i="3" s="1"/>
  <c r="M936" i="3"/>
  <c r="L936" i="3"/>
  <c r="K936" i="3"/>
  <c r="J936" i="3"/>
  <c r="A936" i="3"/>
  <c r="N936" i="3"/>
  <c r="E937" i="3"/>
  <c r="O936" i="3" l="1"/>
  <c r="B936" i="3" s="1"/>
  <c r="C936" i="3" s="1"/>
  <c r="H767" i="3"/>
  <c r="I767" i="3" s="1"/>
  <c r="P767" i="3"/>
  <c r="J768" i="3" s="1"/>
  <c r="G768" i="3" s="1"/>
  <c r="Q767" i="3"/>
  <c r="F938" i="3"/>
  <c r="D939" i="3" s="1"/>
  <c r="N937" i="3"/>
  <c r="M937" i="3"/>
  <c r="O937" i="3" s="1"/>
  <c r="B937" i="3" s="1"/>
  <c r="C937" i="3" s="1"/>
  <c r="L937" i="3"/>
  <c r="K937" i="3"/>
  <c r="A937" i="3"/>
  <c r="E938" i="3"/>
  <c r="P768" i="3" l="1"/>
  <c r="J769" i="3" s="1"/>
  <c r="Q768" i="3"/>
  <c r="H768" i="3"/>
  <c r="I768" i="3" s="1"/>
  <c r="F939" i="3"/>
  <c r="D940" i="3" s="1"/>
  <c r="N938" i="3"/>
  <c r="M938" i="3"/>
  <c r="O938" i="3" s="1"/>
  <c r="B938" i="3" s="1"/>
  <c r="C938" i="3" s="1"/>
  <c r="L938" i="3"/>
  <c r="K938" i="3"/>
  <c r="A938" i="3"/>
  <c r="E939" i="3"/>
  <c r="G769" i="3" l="1"/>
  <c r="F940" i="3"/>
  <c r="D941" i="3" s="1"/>
  <c r="N939" i="3"/>
  <c r="M939" i="3"/>
  <c r="O939" i="3" s="1"/>
  <c r="B939" i="3" s="1"/>
  <c r="C939" i="3" s="1"/>
  <c r="L939" i="3"/>
  <c r="K939" i="3"/>
  <c r="A939" i="3"/>
  <c r="E940" i="3"/>
  <c r="P769" i="3" l="1"/>
  <c r="J770" i="3" s="1"/>
  <c r="Q769" i="3"/>
  <c r="H769" i="3"/>
  <c r="I769" i="3" s="1"/>
  <c r="F941" i="3"/>
  <c r="D942" i="3" s="1"/>
  <c r="N940" i="3"/>
  <c r="M940" i="3"/>
  <c r="O940" i="3" s="1"/>
  <c r="B940" i="3" s="1"/>
  <c r="C940" i="3" s="1"/>
  <c r="L940" i="3"/>
  <c r="K940" i="3"/>
  <c r="A940" i="3"/>
  <c r="E941" i="3"/>
  <c r="G770" i="3" l="1"/>
  <c r="F942" i="3"/>
  <c r="D943" i="3" s="1"/>
  <c r="N941" i="3"/>
  <c r="M941" i="3"/>
  <c r="O941" i="3" s="1"/>
  <c r="B941" i="3" s="1"/>
  <c r="C941" i="3" s="1"/>
  <c r="L941" i="3"/>
  <c r="K941" i="3"/>
  <c r="A941" i="3"/>
  <c r="E942" i="3"/>
  <c r="Q770" i="3" l="1"/>
  <c r="P770" i="3"/>
  <c r="J771" i="3" s="1"/>
  <c r="H770" i="3"/>
  <c r="I770" i="3" s="1"/>
  <c r="F943" i="3"/>
  <c r="D944" i="3" s="1"/>
  <c r="A942" i="3"/>
  <c r="N942" i="3"/>
  <c r="M942" i="3"/>
  <c r="O942" i="3" s="1"/>
  <c r="B942" i="3" s="1"/>
  <c r="C942" i="3" s="1"/>
  <c r="L942" i="3"/>
  <c r="K942" i="3"/>
  <c r="E943" i="3"/>
  <c r="G771" i="3" l="1"/>
  <c r="P771" i="3"/>
  <c r="J772" i="3" s="1"/>
  <c r="Q771" i="3"/>
  <c r="H771" i="3"/>
  <c r="I771" i="3" s="1"/>
  <c r="F944" i="3"/>
  <c r="D945" i="3" s="1"/>
  <c r="A943" i="3"/>
  <c r="N943" i="3"/>
  <c r="M943" i="3"/>
  <c r="O943" i="3" s="1"/>
  <c r="B943" i="3" s="1"/>
  <c r="C943" i="3" s="1"/>
  <c r="L943" i="3"/>
  <c r="K943" i="3"/>
  <c r="E944" i="3"/>
  <c r="G772" i="3" l="1"/>
  <c r="F945" i="3"/>
  <c r="D946" i="3" s="1"/>
  <c r="A944" i="3"/>
  <c r="N944" i="3"/>
  <c r="M944" i="3"/>
  <c r="O944" i="3" s="1"/>
  <c r="B944" i="3" s="1"/>
  <c r="C944" i="3" s="1"/>
  <c r="L944" i="3"/>
  <c r="K944" i="3"/>
  <c r="E945" i="3"/>
  <c r="P772" i="3" l="1"/>
  <c r="J773" i="3" s="1"/>
  <c r="H772" i="3"/>
  <c r="I772" i="3" s="1"/>
  <c r="Q772" i="3"/>
  <c r="F946" i="3"/>
  <c r="D947" i="3" s="1"/>
  <c r="A945" i="3"/>
  <c r="N945" i="3"/>
  <c r="M945" i="3"/>
  <c r="O945" i="3" s="1"/>
  <c r="B945" i="3" s="1"/>
  <c r="C945" i="3" s="1"/>
  <c r="L945" i="3"/>
  <c r="K945" i="3"/>
  <c r="E946" i="3"/>
  <c r="G773" i="3" l="1"/>
  <c r="Q773" i="3"/>
  <c r="P773" i="3"/>
  <c r="J774" i="3" s="1"/>
  <c r="H773" i="3"/>
  <c r="I773" i="3" s="1"/>
  <c r="G774" i="3" s="1"/>
  <c r="F947" i="3"/>
  <c r="D948" i="3" s="1"/>
  <c r="K946" i="3"/>
  <c r="A946" i="3"/>
  <c r="N946" i="3"/>
  <c r="M946" i="3"/>
  <c r="O946" i="3" s="1"/>
  <c r="B946" i="3" s="1"/>
  <c r="C946" i="3" s="1"/>
  <c r="L946" i="3"/>
  <c r="E947" i="3"/>
  <c r="H774" i="3" l="1"/>
  <c r="I774" i="3" s="1"/>
  <c r="P774" i="3"/>
  <c r="J775" i="3" s="1"/>
  <c r="G775" i="3" s="1"/>
  <c r="Q774" i="3"/>
  <c r="F948" i="3"/>
  <c r="D949" i="3" s="1"/>
  <c r="L947" i="3"/>
  <c r="K947" i="3"/>
  <c r="A947" i="3"/>
  <c r="N947" i="3"/>
  <c r="M947" i="3"/>
  <c r="O947" i="3" s="1"/>
  <c r="B947" i="3" s="1"/>
  <c r="C947" i="3" s="1"/>
  <c r="E948" i="3"/>
  <c r="P775" i="3" l="1"/>
  <c r="J776" i="3" s="1"/>
  <c r="Q775" i="3"/>
  <c r="H775" i="3"/>
  <c r="I775" i="3" s="1"/>
  <c r="F949" i="3"/>
  <c r="D950" i="3" s="1"/>
  <c r="M948" i="3"/>
  <c r="L948" i="3"/>
  <c r="K948" i="3"/>
  <c r="A948" i="3"/>
  <c r="N948" i="3"/>
  <c r="E949" i="3"/>
  <c r="O948" i="3" l="1"/>
  <c r="B948" i="3" s="1"/>
  <c r="C948" i="3" s="1"/>
  <c r="G776" i="3"/>
  <c r="F950" i="3"/>
  <c r="D951" i="3" s="1"/>
  <c r="N949" i="3"/>
  <c r="M949" i="3"/>
  <c r="O949" i="3" s="1"/>
  <c r="B949" i="3" s="1"/>
  <c r="C949" i="3" s="1"/>
  <c r="L949" i="3"/>
  <c r="K949" i="3"/>
  <c r="A949" i="3"/>
  <c r="E950" i="3"/>
  <c r="P776" i="3" l="1"/>
  <c r="J777" i="3" s="1"/>
  <c r="Q776" i="3"/>
  <c r="H776" i="3"/>
  <c r="I776" i="3" s="1"/>
  <c r="F951" i="3"/>
  <c r="D952" i="3" s="1"/>
  <c r="N950" i="3"/>
  <c r="M950" i="3"/>
  <c r="O950" i="3" s="1"/>
  <c r="B950" i="3" s="1"/>
  <c r="C950" i="3" s="1"/>
  <c r="L950" i="3"/>
  <c r="K950" i="3"/>
  <c r="A950" i="3"/>
  <c r="E951" i="3"/>
  <c r="G777" i="3" l="1"/>
  <c r="F952" i="3"/>
  <c r="D953" i="3" s="1"/>
  <c r="N951" i="3"/>
  <c r="M951" i="3"/>
  <c r="O951" i="3" s="1"/>
  <c r="B951" i="3" s="1"/>
  <c r="C951" i="3" s="1"/>
  <c r="L951" i="3"/>
  <c r="K951" i="3"/>
  <c r="A951" i="3"/>
  <c r="E952" i="3"/>
  <c r="H777" i="3" l="1"/>
  <c r="I777" i="3" s="1"/>
  <c r="Q777" i="3"/>
  <c r="P777" i="3"/>
  <c r="J778" i="3" s="1"/>
  <c r="G778" i="3" s="1"/>
  <c r="F953" i="3"/>
  <c r="D954" i="3" s="1"/>
  <c r="N952" i="3"/>
  <c r="M952" i="3"/>
  <c r="O952" i="3" s="1"/>
  <c r="B952" i="3" s="1"/>
  <c r="C952" i="3" s="1"/>
  <c r="L952" i="3"/>
  <c r="K952" i="3"/>
  <c r="A952" i="3"/>
  <c r="E953" i="3"/>
  <c r="P778" i="3" l="1"/>
  <c r="J779" i="3" s="1"/>
  <c r="H778" i="3"/>
  <c r="I778" i="3" s="1"/>
  <c r="Q778" i="3"/>
  <c r="F954" i="3"/>
  <c r="D955" i="3" s="1"/>
  <c r="N953" i="3"/>
  <c r="M953" i="3"/>
  <c r="O953" i="3" s="1"/>
  <c r="B953" i="3" s="1"/>
  <c r="C953" i="3" s="1"/>
  <c r="L953" i="3"/>
  <c r="K953" i="3"/>
  <c r="A953" i="3"/>
  <c r="E954" i="3"/>
  <c r="G779" i="3" l="1"/>
  <c r="F955" i="3"/>
  <c r="D956" i="3" s="1"/>
  <c r="A954" i="3"/>
  <c r="N954" i="3"/>
  <c r="M954" i="3"/>
  <c r="O954" i="3" s="1"/>
  <c r="B954" i="3" s="1"/>
  <c r="C954" i="3" s="1"/>
  <c r="L954" i="3"/>
  <c r="K954" i="3"/>
  <c r="E955" i="3"/>
  <c r="P779" i="3" l="1"/>
  <c r="J780" i="3" s="1"/>
  <c r="H779" i="3"/>
  <c r="I779" i="3" s="1"/>
  <c r="Q779" i="3"/>
  <c r="F956" i="3"/>
  <c r="D957" i="3" s="1"/>
  <c r="A955" i="3"/>
  <c r="N955" i="3"/>
  <c r="M955" i="3"/>
  <c r="O955" i="3" s="1"/>
  <c r="B955" i="3" s="1"/>
  <c r="C955" i="3" s="1"/>
  <c r="L955" i="3"/>
  <c r="K955" i="3"/>
  <c r="E956" i="3"/>
  <c r="G780" i="3" l="1"/>
  <c r="Q780" i="3"/>
  <c r="P780" i="3"/>
  <c r="J781" i="3" s="1"/>
  <c r="H780" i="3"/>
  <c r="I780" i="3" s="1"/>
  <c r="F957" i="3"/>
  <c r="D958" i="3" s="1"/>
  <c r="A956" i="3"/>
  <c r="N956" i="3"/>
  <c r="M956" i="3"/>
  <c r="L956" i="3"/>
  <c r="K956" i="3"/>
  <c r="E957" i="3"/>
  <c r="O956" i="3" l="1"/>
  <c r="B956" i="3" s="1"/>
  <c r="C956" i="3" s="1"/>
  <c r="G781" i="3"/>
  <c r="F958" i="3"/>
  <c r="D959" i="3" s="1"/>
  <c r="A957" i="3"/>
  <c r="N957" i="3"/>
  <c r="M957" i="3"/>
  <c r="O957" i="3" s="1"/>
  <c r="B957" i="3" s="1"/>
  <c r="C957" i="3" s="1"/>
  <c r="L957" i="3"/>
  <c r="K957" i="3"/>
  <c r="E958" i="3"/>
  <c r="P781" i="3" l="1"/>
  <c r="J782" i="3" s="1"/>
  <c r="Q781" i="3"/>
  <c r="H781" i="3"/>
  <c r="I781" i="3" s="1"/>
  <c r="F959" i="3"/>
  <c r="D960" i="3" s="1"/>
  <c r="K958" i="3"/>
  <c r="A958" i="3"/>
  <c r="N958" i="3"/>
  <c r="M958" i="3"/>
  <c r="O958" i="3" s="1"/>
  <c r="B958" i="3" s="1"/>
  <c r="C958" i="3" s="1"/>
  <c r="L958" i="3"/>
  <c r="E959" i="3"/>
  <c r="G782" i="3" l="1"/>
  <c r="F960" i="3"/>
  <c r="D961" i="3" s="1"/>
  <c r="L959" i="3"/>
  <c r="K959" i="3"/>
  <c r="A959" i="3"/>
  <c r="N959" i="3"/>
  <c r="M959" i="3"/>
  <c r="E960" i="3"/>
  <c r="O959" i="3" l="1"/>
  <c r="B959" i="3" s="1"/>
  <c r="C959" i="3" s="1"/>
  <c r="P782" i="3"/>
  <c r="J783" i="3" s="1"/>
  <c r="Q782" i="3"/>
  <c r="H782" i="3"/>
  <c r="I782" i="3" s="1"/>
  <c r="G783" i="3" s="1"/>
  <c r="F961" i="3"/>
  <c r="D962" i="3" s="1"/>
  <c r="M960" i="3"/>
  <c r="L960" i="3"/>
  <c r="K960" i="3"/>
  <c r="A960" i="3"/>
  <c r="N960" i="3"/>
  <c r="E961" i="3"/>
  <c r="O960" i="3" l="1"/>
  <c r="B960" i="3" s="1"/>
  <c r="C960" i="3" s="1"/>
  <c r="Q783" i="3"/>
  <c r="P783" i="3"/>
  <c r="J784" i="3" s="1"/>
  <c r="H783" i="3"/>
  <c r="I783" i="3" s="1"/>
  <c r="F962" i="3"/>
  <c r="D963" i="3" s="1"/>
  <c r="N961" i="3"/>
  <c r="M961" i="3"/>
  <c r="O961" i="3" s="1"/>
  <c r="B961" i="3" s="1"/>
  <c r="C961" i="3" s="1"/>
  <c r="L961" i="3"/>
  <c r="K961" i="3"/>
  <c r="A961" i="3"/>
  <c r="E962" i="3"/>
  <c r="G784" i="3" l="1"/>
  <c r="Q784" i="3"/>
  <c r="P784" i="3"/>
  <c r="J785" i="3" s="1"/>
  <c r="G785" i="3" s="1"/>
  <c r="F963" i="3"/>
  <c r="D964" i="3" s="1"/>
  <c r="N962" i="3"/>
  <c r="M962" i="3"/>
  <c r="O962" i="3" s="1"/>
  <c r="B962" i="3" s="1"/>
  <c r="C962" i="3" s="1"/>
  <c r="L962" i="3"/>
  <c r="K962" i="3"/>
  <c r="A962" i="3"/>
  <c r="E963" i="3"/>
  <c r="Q785" i="3" l="1"/>
  <c r="H785" i="3"/>
  <c r="I785" i="3" s="1"/>
  <c r="G786" i="3" s="1"/>
  <c r="F964" i="3"/>
  <c r="D965" i="3" s="1"/>
  <c r="N963" i="3"/>
  <c r="M963" i="3"/>
  <c r="O963" i="3" s="1"/>
  <c r="B963" i="3" s="1"/>
  <c r="C963" i="3" s="1"/>
  <c r="L963" i="3"/>
  <c r="K963" i="3"/>
  <c r="A963" i="3"/>
  <c r="E964" i="3"/>
  <c r="H786" i="3" l="1"/>
  <c r="I786" i="3" s="1"/>
  <c r="Q786" i="3"/>
  <c r="P786" i="3"/>
  <c r="J787" i="3" s="1"/>
  <c r="F965" i="3"/>
  <c r="D966" i="3" s="1"/>
  <c r="N964" i="3"/>
  <c r="M964" i="3"/>
  <c r="O964" i="3" s="1"/>
  <c r="B964" i="3" s="1"/>
  <c r="C964" i="3" s="1"/>
  <c r="L964" i="3"/>
  <c r="K964" i="3"/>
  <c r="A964" i="3"/>
  <c r="E965" i="3"/>
  <c r="G787" i="3" l="1"/>
  <c r="Q787" i="3"/>
  <c r="H787" i="3"/>
  <c r="I787" i="3" s="1"/>
  <c r="P787" i="3"/>
  <c r="J788" i="3" s="1"/>
  <c r="G788" i="3" s="1"/>
  <c r="F966" i="3"/>
  <c r="D967" i="3" s="1"/>
  <c r="N965" i="3"/>
  <c r="M965" i="3"/>
  <c r="O965" i="3" s="1"/>
  <c r="B965" i="3" s="1"/>
  <c r="C965" i="3" s="1"/>
  <c r="L965" i="3"/>
  <c r="K965" i="3"/>
  <c r="H965" i="3"/>
  <c r="I965" i="3" s="1"/>
  <c r="A965" i="3"/>
  <c r="E966" i="3"/>
  <c r="P788" i="3" l="1"/>
  <c r="J789" i="3" s="1"/>
  <c r="Q788" i="3"/>
  <c r="H788" i="3"/>
  <c r="I788" i="3" s="1"/>
  <c r="F967" i="3"/>
  <c r="D968" i="3" s="1"/>
  <c r="A966" i="3"/>
  <c r="P966" i="3"/>
  <c r="N966" i="3"/>
  <c r="M966" i="3"/>
  <c r="O966" i="3" s="1"/>
  <c r="B966" i="3" s="1"/>
  <c r="C966" i="3" s="1"/>
  <c r="L966" i="3"/>
  <c r="K966" i="3"/>
  <c r="E967" i="3"/>
  <c r="G789" i="3" l="1"/>
  <c r="F968" i="3"/>
  <c r="D969" i="3" s="1"/>
  <c r="A967" i="3"/>
  <c r="N967" i="3"/>
  <c r="M967" i="3"/>
  <c r="O967" i="3" s="1"/>
  <c r="B967" i="3" s="1"/>
  <c r="C967" i="3" s="1"/>
  <c r="L967" i="3"/>
  <c r="K967" i="3"/>
  <c r="J967" i="3"/>
  <c r="E968" i="3"/>
  <c r="P789" i="3" l="1"/>
  <c r="J790" i="3" s="1"/>
  <c r="Q789" i="3"/>
  <c r="H789" i="3"/>
  <c r="I789" i="3" s="1"/>
  <c r="F969" i="3"/>
  <c r="D970" i="3" s="1"/>
  <c r="A968" i="3"/>
  <c r="N968" i="3"/>
  <c r="M968" i="3"/>
  <c r="L968" i="3"/>
  <c r="K968" i="3"/>
  <c r="E969" i="3"/>
  <c r="O968" i="3" l="1"/>
  <c r="B968" i="3" s="1"/>
  <c r="C968" i="3" s="1"/>
  <c r="G790" i="3"/>
  <c r="F970" i="3"/>
  <c r="D971" i="3" s="1"/>
  <c r="A969" i="3"/>
  <c r="N969" i="3"/>
  <c r="M969" i="3"/>
  <c r="O969" i="3" s="1"/>
  <c r="B969" i="3" s="1"/>
  <c r="C969" i="3" s="1"/>
  <c r="L969" i="3"/>
  <c r="K969" i="3"/>
  <c r="E970" i="3"/>
  <c r="P790" i="3" l="1"/>
  <c r="J791" i="3" s="1"/>
  <c r="H790" i="3"/>
  <c r="I790" i="3" s="1"/>
  <c r="Q790" i="3"/>
  <c r="F971" i="3"/>
  <c r="D972" i="3" s="1"/>
  <c r="K970" i="3"/>
  <c r="A970" i="3"/>
  <c r="N970" i="3"/>
  <c r="M970" i="3"/>
  <c r="O970" i="3" s="1"/>
  <c r="B970" i="3" s="1"/>
  <c r="C970" i="3" s="1"/>
  <c r="L970" i="3"/>
  <c r="E971" i="3"/>
  <c r="G791" i="3" l="1"/>
  <c r="H791" i="3"/>
  <c r="I791" i="3" s="1"/>
  <c r="P791" i="3"/>
  <c r="J792" i="3" s="1"/>
  <c r="G792" i="3" s="1"/>
  <c r="Q791" i="3"/>
  <c r="F972" i="3"/>
  <c r="D973" i="3" s="1"/>
  <c r="L971" i="3"/>
  <c r="K971" i="3"/>
  <c r="A971" i="3"/>
  <c r="N971" i="3"/>
  <c r="M971" i="3"/>
  <c r="E972" i="3"/>
  <c r="O971" i="3" l="1"/>
  <c r="B971" i="3" s="1"/>
  <c r="C971" i="3" s="1"/>
  <c r="Q792" i="3"/>
  <c r="H792" i="3"/>
  <c r="I792" i="3" s="1"/>
  <c r="P792" i="3"/>
  <c r="J793" i="3" s="1"/>
  <c r="G793" i="3" s="1"/>
  <c r="F973" i="3"/>
  <c r="D974" i="3" s="1"/>
  <c r="M972" i="3"/>
  <c r="L972" i="3"/>
  <c r="K972" i="3"/>
  <c r="A972" i="3"/>
  <c r="N972" i="3"/>
  <c r="E973" i="3"/>
  <c r="O972" i="3" l="1"/>
  <c r="B972" i="3" s="1"/>
  <c r="C972" i="3" s="1"/>
  <c r="P793" i="3"/>
  <c r="J794" i="3" s="1"/>
  <c r="Q793" i="3"/>
  <c r="H793" i="3"/>
  <c r="I793" i="3" s="1"/>
  <c r="G794" i="3" s="1"/>
  <c r="F974" i="3"/>
  <c r="D975" i="3" s="1"/>
  <c r="N973" i="3"/>
  <c r="M973" i="3"/>
  <c r="O973" i="3" s="1"/>
  <c r="B973" i="3" s="1"/>
  <c r="C973" i="3" s="1"/>
  <c r="L973" i="3"/>
  <c r="K973" i="3"/>
  <c r="A973" i="3"/>
  <c r="E974" i="3"/>
  <c r="H794" i="3" l="1"/>
  <c r="I794" i="3" s="1"/>
  <c r="P794" i="3"/>
  <c r="J795" i="3" s="1"/>
  <c r="Q794" i="3"/>
  <c r="F975" i="3"/>
  <c r="D976" i="3" s="1"/>
  <c r="N974" i="3"/>
  <c r="M974" i="3"/>
  <c r="L974" i="3"/>
  <c r="K974" i="3"/>
  <c r="A974" i="3"/>
  <c r="E975" i="3"/>
  <c r="O974" i="3" l="1"/>
  <c r="B974" i="3" s="1"/>
  <c r="C974" i="3" s="1"/>
  <c r="G795" i="3"/>
  <c r="Q795" i="3" s="1"/>
  <c r="H795" i="3"/>
  <c r="I795" i="3" s="1"/>
  <c r="F976" i="3"/>
  <c r="D977" i="3" s="1"/>
  <c r="N975" i="3"/>
  <c r="M975" i="3"/>
  <c r="O975" i="3" s="1"/>
  <c r="B975" i="3" s="1"/>
  <c r="C975" i="3" s="1"/>
  <c r="L975" i="3"/>
  <c r="K975" i="3"/>
  <c r="A975" i="3"/>
  <c r="E976" i="3"/>
  <c r="P795" i="3" l="1"/>
  <c r="J796" i="3" s="1"/>
  <c r="G796" i="3" s="1"/>
  <c r="F977" i="3"/>
  <c r="D978" i="3" s="1"/>
  <c r="N976" i="3"/>
  <c r="M976" i="3"/>
  <c r="O976" i="3" s="1"/>
  <c r="B976" i="3" s="1"/>
  <c r="C976" i="3" s="1"/>
  <c r="L976" i="3"/>
  <c r="K976" i="3"/>
  <c r="A976" i="3"/>
  <c r="E977" i="3"/>
  <c r="P796" i="3" l="1"/>
  <c r="J797" i="3" s="1"/>
  <c r="H796" i="3"/>
  <c r="I796" i="3" s="1"/>
  <c r="Q796" i="3"/>
  <c r="F978" i="3"/>
  <c r="D979" i="3" s="1"/>
  <c r="N977" i="3"/>
  <c r="M977" i="3"/>
  <c r="O977" i="3" s="1"/>
  <c r="B977" i="3" s="1"/>
  <c r="C977" i="3" s="1"/>
  <c r="L977" i="3"/>
  <c r="K977" i="3"/>
  <c r="A977" i="3"/>
  <c r="E978" i="3"/>
  <c r="G797" i="3" l="1"/>
  <c r="F979" i="3"/>
  <c r="D980" i="3" s="1"/>
  <c r="A978" i="3"/>
  <c r="N978" i="3"/>
  <c r="M978" i="3"/>
  <c r="O978" i="3" s="1"/>
  <c r="B978" i="3" s="1"/>
  <c r="C978" i="3" s="1"/>
  <c r="L978" i="3"/>
  <c r="K978" i="3"/>
  <c r="E979" i="3"/>
  <c r="Q797" i="3" l="1"/>
  <c r="P797" i="3"/>
  <c r="J798" i="3" s="1"/>
  <c r="H797" i="3"/>
  <c r="I797" i="3" s="1"/>
  <c r="G798" i="3" s="1"/>
  <c r="Q798" i="3" s="1"/>
  <c r="F980" i="3"/>
  <c r="D981" i="3" s="1"/>
  <c r="A979" i="3"/>
  <c r="N979" i="3"/>
  <c r="M979" i="3"/>
  <c r="O979" i="3" s="1"/>
  <c r="B979" i="3" s="1"/>
  <c r="C979" i="3" s="1"/>
  <c r="L979" i="3"/>
  <c r="K979" i="3"/>
  <c r="E980" i="3"/>
  <c r="H798" i="3" l="1"/>
  <c r="I798" i="3" s="1"/>
  <c r="P798" i="3"/>
  <c r="J799" i="3" s="1"/>
  <c r="G799" i="3" s="1"/>
  <c r="F981" i="3"/>
  <c r="D982" i="3" s="1"/>
  <c r="A980" i="3"/>
  <c r="N980" i="3"/>
  <c r="M980" i="3"/>
  <c r="O980" i="3" s="1"/>
  <c r="B980" i="3" s="1"/>
  <c r="C980" i="3" s="1"/>
  <c r="L980" i="3"/>
  <c r="K980" i="3"/>
  <c r="E981" i="3"/>
  <c r="H799" i="3" l="1"/>
  <c r="I799" i="3" s="1"/>
  <c r="Q799" i="3"/>
  <c r="P799" i="3"/>
  <c r="J800" i="3" s="1"/>
  <c r="G800" i="3" s="1"/>
  <c r="F982" i="3"/>
  <c r="D983" i="3" s="1"/>
  <c r="A981" i="3"/>
  <c r="N981" i="3"/>
  <c r="M981" i="3"/>
  <c r="L981" i="3"/>
  <c r="K981" i="3"/>
  <c r="E982" i="3"/>
  <c r="O981" i="3" l="1"/>
  <c r="B981" i="3" s="1"/>
  <c r="C981" i="3" s="1"/>
  <c r="P800" i="3"/>
  <c r="J801" i="3" s="1"/>
  <c r="Q800" i="3"/>
  <c r="H800" i="3"/>
  <c r="I800" i="3" s="1"/>
  <c r="F983" i="3"/>
  <c r="D984" i="3" s="1"/>
  <c r="K982" i="3"/>
  <c r="A982" i="3"/>
  <c r="N982" i="3"/>
  <c r="M982" i="3"/>
  <c r="O982" i="3" s="1"/>
  <c r="B982" i="3" s="1"/>
  <c r="C982" i="3" s="1"/>
  <c r="L982" i="3"/>
  <c r="E983" i="3"/>
  <c r="G801" i="3" l="1"/>
  <c r="P801" i="3" s="1"/>
  <c r="J802" i="3" s="1"/>
  <c r="H801" i="3"/>
  <c r="I801" i="3" s="1"/>
  <c r="F984" i="3"/>
  <c r="D985" i="3" s="1"/>
  <c r="L983" i="3"/>
  <c r="K983" i="3"/>
  <c r="A983" i="3"/>
  <c r="N983" i="3"/>
  <c r="M983" i="3"/>
  <c r="O983" i="3" s="1"/>
  <c r="B983" i="3" s="1"/>
  <c r="C983" i="3" s="1"/>
  <c r="E984" i="3"/>
  <c r="Q801" i="3" l="1"/>
  <c r="G802" i="3"/>
  <c r="F985" i="3"/>
  <c r="D986" i="3" s="1"/>
  <c r="M984" i="3"/>
  <c r="L984" i="3"/>
  <c r="K984" i="3"/>
  <c r="A984" i="3"/>
  <c r="N984" i="3"/>
  <c r="E985" i="3"/>
  <c r="O984" i="3" l="1"/>
  <c r="B984" i="3" s="1"/>
  <c r="C984" i="3" s="1"/>
  <c r="P802" i="3"/>
  <c r="J803" i="3" s="1"/>
  <c r="H802" i="3"/>
  <c r="I802" i="3" s="1"/>
  <c r="Q802" i="3"/>
  <c r="F986" i="3"/>
  <c r="D987" i="3" s="1"/>
  <c r="N985" i="3"/>
  <c r="M985" i="3"/>
  <c r="O985" i="3" s="1"/>
  <c r="B985" i="3" s="1"/>
  <c r="C985" i="3" s="1"/>
  <c r="L985" i="3"/>
  <c r="K985" i="3"/>
  <c r="A985" i="3"/>
  <c r="E986" i="3"/>
  <c r="G803" i="3" l="1"/>
  <c r="Q803" i="3"/>
  <c r="H803" i="3"/>
  <c r="I803" i="3" s="1"/>
  <c r="P803" i="3"/>
  <c r="J804" i="3" s="1"/>
  <c r="G804" i="3" s="1"/>
  <c r="F987" i="3"/>
  <c r="D988" i="3" s="1"/>
  <c r="N986" i="3"/>
  <c r="M986" i="3"/>
  <c r="O986" i="3" s="1"/>
  <c r="B986" i="3" s="1"/>
  <c r="C986" i="3" s="1"/>
  <c r="L986" i="3"/>
  <c r="K986" i="3"/>
  <c r="A986" i="3"/>
  <c r="E987" i="3"/>
  <c r="P804" i="3" l="1"/>
  <c r="J805" i="3" s="1"/>
  <c r="H804" i="3"/>
  <c r="I804" i="3" s="1"/>
  <c r="Q804" i="3"/>
  <c r="F988" i="3"/>
  <c r="D989" i="3" s="1"/>
  <c r="N987" i="3"/>
  <c r="M987" i="3"/>
  <c r="O987" i="3" s="1"/>
  <c r="B987" i="3" s="1"/>
  <c r="C987" i="3" s="1"/>
  <c r="L987" i="3"/>
  <c r="K987" i="3"/>
  <c r="A987" i="3"/>
  <c r="E988" i="3"/>
  <c r="G805" i="3" l="1"/>
  <c r="Q805" i="3" s="1"/>
  <c r="F989" i="3"/>
  <c r="D990" i="3" s="1"/>
  <c r="N988" i="3"/>
  <c r="M988" i="3"/>
  <c r="O988" i="3" s="1"/>
  <c r="B988" i="3" s="1"/>
  <c r="C988" i="3" s="1"/>
  <c r="L988" i="3"/>
  <c r="K988" i="3"/>
  <c r="A988" i="3"/>
  <c r="E989" i="3"/>
  <c r="P805" i="3" l="1"/>
  <c r="J806" i="3" s="1"/>
  <c r="H805" i="3"/>
  <c r="I805" i="3" s="1"/>
  <c r="F990" i="3"/>
  <c r="D991" i="3" s="1"/>
  <c r="N989" i="3"/>
  <c r="M989" i="3"/>
  <c r="O989" i="3" s="1"/>
  <c r="B989" i="3" s="1"/>
  <c r="C989" i="3" s="1"/>
  <c r="L989" i="3"/>
  <c r="K989" i="3"/>
  <c r="A989" i="3"/>
  <c r="E990" i="3"/>
  <c r="G806" i="3" l="1"/>
  <c r="F991" i="3"/>
  <c r="D992" i="3" s="1"/>
  <c r="A990" i="3"/>
  <c r="N990" i="3"/>
  <c r="M990" i="3"/>
  <c r="O990" i="3" s="1"/>
  <c r="B990" i="3" s="1"/>
  <c r="C990" i="3" s="1"/>
  <c r="L990" i="3"/>
  <c r="K990" i="3"/>
  <c r="E991" i="3"/>
  <c r="Q806" i="3" l="1"/>
  <c r="H806" i="3"/>
  <c r="I806" i="3" s="1"/>
  <c r="P806" i="3"/>
  <c r="J807" i="3" s="1"/>
  <c r="F992" i="3"/>
  <c r="D993" i="3" s="1"/>
  <c r="A991" i="3"/>
  <c r="N991" i="3"/>
  <c r="M991" i="3"/>
  <c r="O991" i="3" s="1"/>
  <c r="B991" i="3" s="1"/>
  <c r="C991" i="3" s="1"/>
  <c r="L991" i="3"/>
  <c r="K991" i="3"/>
  <c r="E992" i="3"/>
  <c r="G807" i="3" l="1"/>
  <c r="F993" i="3"/>
  <c r="D994" i="3" s="1"/>
  <c r="A992" i="3"/>
  <c r="N992" i="3"/>
  <c r="M992" i="3"/>
  <c r="O992" i="3" s="1"/>
  <c r="B992" i="3" s="1"/>
  <c r="C992" i="3" s="1"/>
  <c r="L992" i="3"/>
  <c r="K992" i="3"/>
  <c r="E993" i="3"/>
  <c r="H807" i="3" l="1"/>
  <c r="I807" i="3" s="1"/>
  <c r="P807" i="3"/>
  <c r="J808" i="3" s="1"/>
  <c r="Q807" i="3"/>
  <c r="F994" i="3"/>
  <c r="D995" i="3" s="1"/>
  <c r="A993" i="3"/>
  <c r="N993" i="3"/>
  <c r="M993" i="3"/>
  <c r="O993" i="3" s="1"/>
  <c r="B993" i="3" s="1"/>
  <c r="C993" i="3" s="1"/>
  <c r="L993" i="3"/>
  <c r="K993" i="3"/>
  <c r="E994" i="3"/>
  <c r="G808" i="3" l="1"/>
  <c r="H808" i="3"/>
  <c r="I808" i="3" s="1"/>
  <c r="P808" i="3"/>
  <c r="J809" i="3" s="1"/>
  <c r="G809" i="3" s="1"/>
  <c r="Q808" i="3"/>
  <c r="F995" i="3"/>
  <c r="D996" i="3" s="1"/>
  <c r="K994" i="3"/>
  <c r="A994" i="3"/>
  <c r="N994" i="3"/>
  <c r="M994" i="3"/>
  <c r="L994" i="3"/>
  <c r="E995" i="3"/>
  <c r="P809" i="3" l="1"/>
  <c r="J810" i="3" s="1"/>
  <c r="Q809" i="3"/>
  <c r="H809" i="3"/>
  <c r="I809" i="3" s="1"/>
  <c r="G810" i="3" s="1"/>
  <c r="O994" i="3"/>
  <c r="B994" i="3" s="1"/>
  <c r="C994" i="3" s="1"/>
  <c r="F996" i="3"/>
  <c r="D997" i="3" s="1"/>
  <c r="L995" i="3"/>
  <c r="K995" i="3"/>
  <c r="A995" i="3"/>
  <c r="N995" i="3"/>
  <c r="M995" i="3"/>
  <c r="E996" i="3"/>
  <c r="H810" i="3" l="1"/>
  <c r="I810" i="3" s="1"/>
  <c r="P810" i="3"/>
  <c r="J811" i="3" s="1"/>
  <c r="G811" i="3" s="1"/>
  <c r="Q810" i="3"/>
  <c r="O995" i="3"/>
  <c r="B995" i="3" s="1"/>
  <c r="C995" i="3" s="1"/>
  <c r="F997" i="3"/>
  <c r="D998" i="3" s="1"/>
  <c r="M996" i="3"/>
  <c r="L996" i="3"/>
  <c r="K996" i="3"/>
  <c r="H996" i="3"/>
  <c r="I996" i="3" s="1"/>
  <c r="A996" i="3"/>
  <c r="N996" i="3"/>
  <c r="E997" i="3"/>
  <c r="Q811" i="3" l="1"/>
  <c r="P811" i="3"/>
  <c r="J812" i="3" s="1"/>
  <c r="H811" i="3"/>
  <c r="I811" i="3" s="1"/>
  <c r="O996" i="3"/>
  <c r="B996" i="3" s="1"/>
  <c r="C996" i="3" s="1"/>
  <c r="F998" i="3"/>
  <c r="D999" i="3" s="1"/>
  <c r="N997" i="3"/>
  <c r="M997" i="3"/>
  <c r="O997" i="3" s="1"/>
  <c r="B997" i="3" s="1"/>
  <c r="C997" i="3" s="1"/>
  <c r="L997" i="3"/>
  <c r="K997" i="3"/>
  <c r="A997" i="3"/>
  <c r="P997" i="3"/>
  <c r="E998" i="3"/>
  <c r="G812" i="3" l="1"/>
  <c r="F999" i="3"/>
  <c r="D1000" i="3" s="1"/>
  <c r="N998" i="3"/>
  <c r="M998" i="3"/>
  <c r="O998" i="3" s="1"/>
  <c r="B998" i="3" s="1"/>
  <c r="C998" i="3" s="1"/>
  <c r="L998" i="3"/>
  <c r="K998" i="3"/>
  <c r="J998" i="3"/>
  <c r="A998" i="3"/>
  <c r="E999" i="3"/>
  <c r="Q812" i="3" l="1"/>
  <c r="P812" i="3"/>
  <c r="J813" i="3" s="1"/>
  <c r="G813" i="3" s="1"/>
  <c r="H812" i="3"/>
  <c r="I812" i="3" s="1"/>
  <c r="F1000" i="3"/>
  <c r="D1001" i="3" s="1"/>
  <c r="N999" i="3"/>
  <c r="M999" i="3"/>
  <c r="O999" i="3" s="1"/>
  <c r="B999" i="3" s="1"/>
  <c r="C999" i="3" s="1"/>
  <c r="L999" i="3"/>
  <c r="K999" i="3"/>
  <c r="A999" i="3"/>
  <c r="E1000" i="3"/>
  <c r="H813" i="3" l="1"/>
  <c r="I813" i="3" s="1"/>
  <c r="G814" i="3" s="1"/>
  <c r="Q813" i="3"/>
  <c r="F1001" i="3"/>
  <c r="D1002" i="3" s="1"/>
  <c r="N1000" i="3"/>
  <c r="M1000" i="3"/>
  <c r="O1000" i="3" s="1"/>
  <c r="B1000" i="3" s="1"/>
  <c r="C1000" i="3" s="1"/>
  <c r="L1000" i="3"/>
  <c r="K1000" i="3"/>
  <c r="A1000" i="3"/>
  <c r="E1001" i="3"/>
  <c r="Q814" i="3" l="1"/>
  <c r="H814" i="3"/>
  <c r="I814" i="3" s="1"/>
  <c r="P814" i="3"/>
  <c r="J815" i="3" s="1"/>
  <c r="G815" i="3" s="1"/>
  <c r="F1002" i="3"/>
  <c r="D1003" i="3" s="1"/>
  <c r="N1001" i="3"/>
  <c r="M1001" i="3"/>
  <c r="O1001" i="3" s="1"/>
  <c r="B1001" i="3" s="1"/>
  <c r="C1001" i="3" s="1"/>
  <c r="L1001" i="3"/>
  <c r="K1001" i="3"/>
  <c r="A1001" i="3"/>
  <c r="E1002" i="3"/>
  <c r="Q815" i="3" l="1"/>
  <c r="P815" i="3"/>
  <c r="J816" i="3" s="1"/>
  <c r="H815" i="3"/>
  <c r="I815" i="3" s="1"/>
  <c r="F1003" i="3"/>
  <c r="D1004" i="3" s="1"/>
  <c r="A1002" i="3"/>
  <c r="N1002" i="3"/>
  <c r="M1002" i="3"/>
  <c r="O1002" i="3" s="1"/>
  <c r="B1002" i="3" s="1"/>
  <c r="C1002" i="3" s="1"/>
  <c r="L1002" i="3"/>
  <c r="K1002" i="3"/>
  <c r="E1003" i="3"/>
  <c r="G816" i="3" l="1"/>
  <c r="F1004" i="3"/>
  <c r="D1005" i="3" s="1"/>
  <c r="A1003" i="3"/>
  <c r="N1003" i="3"/>
  <c r="M1003" i="3"/>
  <c r="L1003" i="3"/>
  <c r="K1003" i="3"/>
  <c r="E1004" i="3"/>
  <c r="P816" i="3" l="1"/>
  <c r="J817" i="3" s="1"/>
  <c r="H816" i="3"/>
  <c r="I816" i="3" s="1"/>
  <c r="Q816" i="3"/>
  <c r="O1003" i="3"/>
  <c r="B1003" i="3" s="1"/>
  <c r="C1003" i="3" s="1"/>
  <c r="F1005" i="3"/>
  <c r="D1006" i="3" s="1"/>
  <c r="A1004" i="3"/>
  <c r="N1004" i="3"/>
  <c r="M1004" i="3"/>
  <c r="O1004" i="3" s="1"/>
  <c r="B1004" i="3" s="1"/>
  <c r="C1004" i="3" s="1"/>
  <c r="L1004" i="3"/>
  <c r="K1004" i="3"/>
  <c r="E1005" i="3"/>
  <c r="G817" i="3" l="1"/>
  <c r="P817" i="3"/>
  <c r="J818" i="3" s="1"/>
  <c r="G818" i="3" s="1"/>
  <c r="H817" i="3"/>
  <c r="I817" i="3" s="1"/>
  <c r="Q817" i="3"/>
  <c r="F1006" i="3"/>
  <c r="D1007" i="3" s="1"/>
  <c r="A1005" i="3"/>
  <c r="N1005" i="3"/>
  <c r="M1005" i="3"/>
  <c r="O1005" i="3" s="1"/>
  <c r="B1005" i="3" s="1"/>
  <c r="C1005" i="3" s="1"/>
  <c r="L1005" i="3"/>
  <c r="K1005" i="3"/>
  <c r="E1006" i="3"/>
  <c r="H818" i="3" l="1"/>
  <c r="I818" i="3" s="1"/>
  <c r="Q818" i="3"/>
  <c r="P818" i="3"/>
  <c r="J819" i="3" s="1"/>
  <c r="G819" i="3" s="1"/>
  <c r="F1007" i="3"/>
  <c r="D1008" i="3" s="1"/>
  <c r="K1006" i="3"/>
  <c r="A1006" i="3"/>
  <c r="N1006" i="3"/>
  <c r="M1006" i="3"/>
  <c r="L1006" i="3"/>
  <c r="E1007" i="3"/>
  <c r="P819" i="3" l="1"/>
  <c r="J820" i="3" s="1"/>
  <c r="H819" i="3"/>
  <c r="I819" i="3" s="1"/>
  <c r="Q819" i="3"/>
  <c r="O1006" i="3"/>
  <c r="B1006" i="3" s="1"/>
  <c r="C1006" i="3" s="1"/>
  <c r="F1008" i="3"/>
  <c r="D1009" i="3" s="1"/>
  <c r="L1007" i="3"/>
  <c r="K1007" i="3"/>
  <c r="A1007" i="3"/>
  <c r="N1007" i="3"/>
  <c r="M1007" i="3"/>
  <c r="O1007" i="3" s="1"/>
  <c r="B1007" i="3" s="1"/>
  <c r="C1007" i="3" s="1"/>
  <c r="E1008" i="3"/>
  <c r="G820" i="3" l="1"/>
  <c r="P820" i="3"/>
  <c r="J821" i="3" s="1"/>
  <c r="H820" i="3"/>
  <c r="I820" i="3" s="1"/>
  <c r="Q820" i="3"/>
  <c r="G821" i="3"/>
  <c r="F1009" i="3"/>
  <c r="D1010" i="3" s="1"/>
  <c r="M1008" i="3"/>
  <c r="L1008" i="3"/>
  <c r="K1008" i="3"/>
  <c r="A1008" i="3"/>
  <c r="N1008" i="3"/>
  <c r="E1009" i="3"/>
  <c r="H821" i="3" l="1"/>
  <c r="I821" i="3" s="1"/>
  <c r="Q821" i="3"/>
  <c r="P821" i="3"/>
  <c r="J822" i="3" s="1"/>
  <c r="O1008" i="3"/>
  <c r="B1008" i="3" s="1"/>
  <c r="C1008" i="3" s="1"/>
  <c r="F1010" i="3"/>
  <c r="D1011" i="3" s="1"/>
  <c r="N1009" i="3"/>
  <c r="M1009" i="3"/>
  <c r="O1009" i="3" s="1"/>
  <c r="B1009" i="3" s="1"/>
  <c r="C1009" i="3" s="1"/>
  <c r="L1009" i="3"/>
  <c r="K1009" i="3"/>
  <c r="A1009" i="3"/>
  <c r="E1010" i="3"/>
  <c r="G822" i="3" l="1"/>
  <c r="F1011" i="3"/>
  <c r="D1012" i="3" s="1"/>
  <c r="N1010" i="3"/>
  <c r="M1010" i="3"/>
  <c r="O1010" i="3" s="1"/>
  <c r="B1010" i="3" s="1"/>
  <c r="C1010" i="3" s="1"/>
  <c r="L1010" i="3"/>
  <c r="K1010" i="3"/>
  <c r="A1010" i="3"/>
  <c r="E1011" i="3"/>
  <c r="P822" i="3" l="1"/>
  <c r="J823" i="3" s="1"/>
  <c r="H822" i="3"/>
  <c r="I822" i="3" s="1"/>
  <c r="Q822" i="3"/>
  <c r="F1012" i="3"/>
  <c r="D1013" i="3" s="1"/>
  <c r="N1011" i="3"/>
  <c r="M1011" i="3"/>
  <c r="O1011" i="3" s="1"/>
  <c r="B1011" i="3" s="1"/>
  <c r="C1011" i="3" s="1"/>
  <c r="L1011" i="3"/>
  <c r="K1011" i="3"/>
  <c r="A1011" i="3"/>
  <c r="E1012" i="3"/>
  <c r="G823" i="3" l="1"/>
  <c r="Q823" i="3"/>
  <c r="P823" i="3"/>
  <c r="J824" i="3" s="1"/>
  <c r="H823" i="3"/>
  <c r="I823" i="3" s="1"/>
  <c r="G824" i="3" s="1"/>
  <c r="P824" i="3" s="1"/>
  <c r="J825" i="3" s="1"/>
  <c r="F1013" i="3"/>
  <c r="D1014" i="3" s="1"/>
  <c r="N1012" i="3"/>
  <c r="M1012" i="3"/>
  <c r="O1012" i="3" s="1"/>
  <c r="B1012" i="3" s="1"/>
  <c r="C1012" i="3" s="1"/>
  <c r="L1012" i="3"/>
  <c r="K1012" i="3"/>
  <c r="A1012" i="3"/>
  <c r="E1013" i="3"/>
  <c r="Q824" i="3" l="1"/>
  <c r="H824" i="3"/>
  <c r="I824" i="3" s="1"/>
  <c r="G825" i="3" s="1"/>
  <c r="F1014" i="3"/>
  <c r="D1015" i="3" s="1"/>
  <c r="N1013" i="3"/>
  <c r="M1013" i="3"/>
  <c r="O1013" i="3" s="1"/>
  <c r="B1013" i="3" s="1"/>
  <c r="C1013" i="3" s="1"/>
  <c r="L1013" i="3"/>
  <c r="K1013" i="3"/>
  <c r="A1013" i="3"/>
  <c r="E1014" i="3"/>
  <c r="P825" i="3" l="1"/>
  <c r="J826" i="3" s="1"/>
  <c r="Q825" i="3"/>
  <c r="H825" i="3"/>
  <c r="I825" i="3" s="1"/>
  <c r="F1015" i="3"/>
  <c r="D1016" i="3" s="1"/>
  <c r="A1014" i="3"/>
  <c r="N1014" i="3"/>
  <c r="M1014" i="3"/>
  <c r="O1014" i="3" s="1"/>
  <c r="B1014" i="3" s="1"/>
  <c r="C1014" i="3" s="1"/>
  <c r="L1014" i="3"/>
  <c r="K1014" i="3"/>
  <c r="E1015" i="3"/>
  <c r="G826" i="3" l="1"/>
  <c r="F1016" i="3"/>
  <c r="D1017" i="3" s="1"/>
  <c r="A1015" i="3"/>
  <c r="N1015" i="3"/>
  <c r="M1015" i="3"/>
  <c r="O1015" i="3" s="1"/>
  <c r="B1015" i="3" s="1"/>
  <c r="C1015" i="3" s="1"/>
  <c r="L1015" i="3"/>
  <c r="K1015" i="3"/>
  <c r="E1016" i="3"/>
  <c r="H826" i="3" l="1"/>
  <c r="I826" i="3" s="1"/>
  <c r="Q826" i="3"/>
  <c r="P826" i="3"/>
  <c r="J827" i="3" s="1"/>
  <c r="G827" i="3" s="1"/>
  <c r="F1017" i="3"/>
  <c r="D1018" i="3" s="1"/>
  <c r="A1016" i="3"/>
  <c r="N1016" i="3"/>
  <c r="O1016" i="3" s="1"/>
  <c r="B1016" i="3" s="1"/>
  <c r="C1016" i="3" s="1"/>
  <c r="M1016" i="3"/>
  <c r="L1016" i="3"/>
  <c r="K1016" i="3"/>
  <c r="E1017" i="3"/>
  <c r="P827" i="3" l="1"/>
  <c r="J828" i="3" s="1"/>
  <c r="Q827" i="3"/>
  <c r="H827" i="3"/>
  <c r="I827" i="3" s="1"/>
  <c r="F1018" i="3"/>
  <c r="D1019" i="3" s="1"/>
  <c r="A1017" i="3"/>
  <c r="N1017" i="3"/>
  <c r="M1017" i="3"/>
  <c r="O1017" i="3" s="1"/>
  <c r="B1017" i="3" s="1"/>
  <c r="C1017" i="3" s="1"/>
  <c r="L1017" i="3"/>
  <c r="K1017" i="3"/>
  <c r="E1018" i="3"/>
  <c r="G828" i="3" l="1"/>
  <c r="F1019" i="3"/>
  <c r="D1020" i="3" s="1"/>
  <c r="K1018" i="3"/>
  <c r="A1018" i="3"/>
  <c r="N1018" i="3"/>
  <c r="M1018" i="3"/>
  <c r="L1018" i="3"/>
  <c r="E1019" i="3"/>
  <c r="O1018" i="3" l="1"/>
  <c r="B1018" i="3" s="1"/>
  <c r="C1018" i="3" s="1"/>
  <c r="P828" i="3"/>
  <c r="J829" i="3" s="1"/>
  <c r="H828" i="3"/>
  <c r="I828" i="3" s="1"/>
  <c r="Q828" i="3"/>
  <c r="F1020" i="3"/>
  <c r="D1021" i="3" s="1"/>
  <c r="L1019" i="3"/>
  <c r="K1019" i="3"/>
  <c r="A1019" i="3"/>
  <c r="N1019" i="3"/>
  <c r="M1019" i="3"/>
  <c r="E1020" i="3"/>
  <c r="O1019" i="3" l="1"/>
  <c r="B1019" i="3" s="1"/>
  <c r="C1019" i="3" s="1"/>
  <c r="G829" i="3"/>
  <c r="P829" i="3" s="1"/>
  <c r="J830" i="3" s="1"/>
  <c r="H829" i="3"/>
  <c r="I829" i="3" s="1"/>
  <c r="F1021" i="3"/>
  <c r="D1022" i="3" s="1"/>
  <c r="M1020" i="3"/>
  <c r="L1020" i="3"/>
  <c r="K1020" i="3"/>
  <c r="A1020" i="3"/>
  <c r="N1020" i="3"/>
  <c r="E1021" i="3"/>
  <c r="Q829" i="3" l="1"/>
  <c r="O1020" i="3"/>
  <c r="B1020" i="3" s="1"/>
  <c r="C1020" i="3" s="1"/>
  <c r="G830" i="3"/>
  <c r="F1022" i="3"/>
  <c r="D1023" i="3" s="1"/>
  <c r="N1021" i="3"/>
  <c r="M1021" i="3"/>
  <c r="K10" i="1" s="1"/>
  <c r="L1021" i="3"/>
  <c r="K1021" i="3"/>
  <c r="A1021" i="3"/>
  <c r="E1022" i="3"/>
  <c r="P830" i="3" l="1"/>
  <c r="J831" i="3" s="1"/>
  <c r="H830" i="3"/>
  <c r="I830" i="3" s="1"/>
  <c r="Q830" i="3"/>
  <c r="O1021" i="3"/>
  <c r="B1021" i="3" s="1"/>
  <c r="C1021" i="3" s="1"/>
  <c r="F1023" i="3"/>
  <c r="N1022" i="3"/>
  <c r="M1022" i="3"/>
  <c r="O1022" i="3" s="1"/>
  <c r="B1022" i="3" s="1"/>
  <c r="C1022" i="3" s="1"/>
  <c r="L1022" i="3"/>
  <c r="K1022" i="3"/>
  <c r="A1022" i="3"/>
  <c r="E1023" i="3"/>
  <c r="G831" i="3" l="1"/>
  <c r="N1023" i="3"/>
  <c r="K11" i="1" s="1"/>
  <c r="M1023" i="3"/>
  <c r="L1023" i="3"/>
  <c r="K13" i="1" s="1"/>
  <c r="K1023" i="3"/>
  <c r="A1023" i="3"/>
  <c r="Q831" i="3" l="1"/>
  <c r="H831" i="3"/>
  <c r="I831" i="3" s="1"/>
  <c r="P831" i="3"/>
  <c r="J832" i="3" s="1"/>
  <c r="G832" i="3" l="1"/>
  <c r="P832" i="3" s="1"/>
  <c r="J833" i="3" s="1"/>
  <c r="G833" i="3" s="1"/>
  <c r="H832" i="3"/>
  <c r="I832" i="3" s="1"/>
  <c r="Q832" i="3"/>
  <c r="Q833" i="3" l="1"/>
  <c r="H833" i="3"/>
  <c r="I833" i="3" s="1"/>
  <c r="P833" i="3"/>
  <c r="J834" i="3" s="1"/>
  <c r="G834" i="3" l="1"/>
  <c r="Q834" i="3" l="1"/>
  <c r="P834" i="3"/>
  <c r="J835" i="3" s="1"/>
  <c r="H834" i="3"/>
  <c r="I834" i="3" s="1"/>
  <c r="G835" i="3" l="1"/>
  <c r="H835" i="3" l="1"/>
  <c r="I835" i="3" s="1"/>
  <c r="P835" i="3"/>
  <c r="J836" i="3" s="1"/>
  <c r="Q835" i="3"/>
  <c r="G836" i="3" l="1"/>
  <c r="P836" i="3"/>
  <c r="J837" i="3" s="1"/>
  <c r="G837" i="3" s="1"/>
  <c r="H836" i="3"/>
  <c r="I836" i="3" s="1"/>
  <c r="Q836" i="3"/>
  <c r="H837" i="3" l="1"/>
  <c r="I837" i="3" s="1"/>
  <c r="P837" i="3"/>
  <c r="J838" i="3" s="1"/>
  <c r="G838" i="3" s="1"/>
  <c r="Q837" i="3"/>
  <c r="P838" i="3" l="1"/>
  <c r="J839" i="3" s="1"/>
  <c r="H838" i="3"/>
  <c r="I838" i="3" s="1"/>
  <c r="G839" i="3" s="1"/>
  <c r="Q838" i="3"/>
  <c r="H839" i="3" l="1"/>
  <c r="I839" i="3" s="1"/>
  <c r="P839" i="3"/>
  <c r="J840" i="3" s="1"/>
  <c r="G840" i="3" s="1"/>
  <c r="Q839" i="3"/>
  <c r="H840" i="3" l="1"/>
  <c r="I840" i="3" s="1"/>
  <c r="P840" i="3"/>
  <c r="J841" i="3" s="1"/>
  <c r="G841" i="3" s="1"/>
  <c r="Q840" i="3"/>
  <c r="P841" i="3" l="1"/>
  <c r="J842" i="3" s="1"/>
  <c r="Q841" i="3"/>
  <c r="H841" i="3"/>
  <c r="I841" i="3" s="1"/>
  <c r="G842" i="3" l="1"/>
  <c r="P842" i="3" l="1"/>
  <c r="J843" i="3" s="1"/>
  <c r="Q842" i="3"/>
  <c r="H842" i="3"/>
  <c r="I842" i="3" s="1"/>
  <c r="G843" i="3" l="1"/>
  <c r="P843" i="3" l="1"/>
  <c r="J844" i="3" s="1"/>
  <c r="G844" i="3" s="1"/>
  <c r="Q843" i="3"/>
  <c r="H844" i="3" l="1"/>
  <c r="I844" i="3" s="1"/>
  <c r="G845" i="3" s="1"/>
  <c r="Q844" i="3"/>
  <c r="P845" i="3" l="1"/>
  <c r="J846" i="3" s="1"/>
  <c r="H845" i="3"/>
  <c r="I845" i="3" s="1"/>
  <c r="Q845" i="3"/>
  <c r="G846" i="3" l="1"/>
  <c r="P846" i="3" s="1"/>
  <c r="J847" i="3" s="1"/>
  <c r="Q846" i="3" l="1"/>
  <c r="H846" i="3"/>
  <c r="I846" i="3" s="1"/>
  <c r="G847" i="3" s="1"/>
  <c r="H847" i="3" s="1"/>
  <c r="I847" i="3" s="1"/>
  <c r="P847" i="3" l="1"/>
  <c r="J848" i="3" s="1"/>
  <c r="G848" i="3" s="1"/>
  <c r="Q847" i="3"/>
  <c r="Q848" i="3" l="1"/>
  <c r="P848" i="3"/>
  <c r="J849" i="3" s="1"/>
  <c r="G849" i="3" s="1"/>
  <c r="P849" i="3" s="1"/>
  <c r="J850" i="3" s="1"/>
  <c r="H848" i="3"/>
  <c r="I848" i="3" s="1"/>
  <c r="H849" i="3" l="1"/>
  <c r="I849" i="3" s="1"/>
  <c r="G850" i="3" s="1"/>
  <c r="Q849" i="3"/>
  <c r="P850" i="3" l="1"/>
  <c r="J851" i="3" s="1"/>
  <c r="Q850" i="3"/>
  <c r="H850" i="3"/>
  <c r="I850" i="3" s="1"/>
  <c r="G851" i="3" s="1"/>
  <c r="H851" i="3" l="1"/>
  <c r="I851" i="3" s="1"/>
  <c r="P851" i="3"/>
  <c r="J852" i="3" s="1"/>
  <c r="G852" i="3" s="1"/>
  <c r="H852" i="3" s="1"/>
  <c r="I852" i="3" s="1"/>
  <c r="Q851" i="3"/>
  <c r="Q852" i="3"/>
  <c r="P852" i="3" l="1"/>
  <c r="J853" i="3" s="1"/>
  <c r="G853" i="3" s="1"/>
  <c r="H853" i="3" l="1"/>
  <c r="I853" i="3" s="1"/>
  <c r="Q853" i="3"/>
  <c r="P853" i="3"/>
  <c r="J854" i="3" s="1"/>
  <c r="G854" i="3" s="1"/>
  <c r="P854" i="3" s="1"/>
  <c r="J855" i="3" s="1"/>
  <c r="Q854" i="3" l="1"/>
  <c r="H854" i="3"/>
  <c r="I854" i="3" s="1"/>
  <c r="G855" i="3" s="1"/>
  <c r="H855" i="3" l="1"/>
  <c r="I855" i="3" s="1"/>
  <c r="Q855" i="3"/>
  <c r="P855" i="3"/>
  <c r="J856" i="3" s="1"/>
  <c r="G856" i="3" s="1"/>
  <c r="Q856" i="3" l="1"/>
  <c r="H856" i="3"/>
  <c r="I856" i="3" s="1"/>
  <c r="P856" i="3"/>
  <c r="J857" i="3" s="1"/>
  <c r="G857" i="3" s="1"/>
  <c r="H857" i="3" l="1"/>
  <c r="I857" i="3" s="1"/>
  <c r="P857" i="3"/>
  <c r="J858" i="3" s="1"/>
  <c r="Q857" i="3"/>
  <c r="G858" i="3" l="1"/>
  <c r="Q858" i="3"/>
  <c r="H858" i="3"/>
  <c r="I858" i="3" s="1"/>
  <c r="P858" i="3"/>
  <c r="J859" i="3" s="1"/>
  <c r="G859" i="3" s="1"/>
  <c r="Q859" i="3" l="1"/>
  <c r="H859" i="3"/>
  <c r="I859" i="3" s="1"/>
  <c r="P859" i="3"/>
  <c r="J860" i="3" s="1"/>
  <c r="G860" i="3" s="1"/>
  <c r="P860" i="3" l="1"/>
  <c r="J861" i="3" s="1"/>
  <c r="H860" i="3"/>
  <c r="I860" i="3" s="1"/>
  <c r="Q860" i="3"/>
  <c r="G861" i="3" l="1"/>
  <c r="Q861" i="3"/>
  <c r="H861" i="3"/>
  <c r="I861" i="3" s="1"/>
  <c r="P861" i="3"/>
  <c r="J862" i="3" s="1"/>
  <c r="G862" i="3" s="1"/>
  <c r="P862" i="3" l="1"/>
  <c r="J863" i="3" s="1"/>
  <c r="Q862" i="3"/>
  <c r="H862" i="3"/>
  <c r="I862" i="3" s="1"/>
  <c r="G863" i="3" l="1"/>
  <c r="H863" i="3" l="1"/>
  <c r="I863" i="3" s="1"/>
  <c r="Q863" i="3"/>
  <c r="P863" i="3"/>
  <c r="J864" i="3" s="1"/>
  <c r="G864" i="3" l="1"/>
  <c r="Q864" i="3"/>
  <c r="P864" i="3"/>
  <c r="J865" i="3" s="1"/>
  <c r="H864" i="3"/>
  <c r="I864" i="3" s="1"/>
  <c r="G865" i="3" l="1"/>
  <c r="P865" i="3" s="1"/>
  <c r="J866" i="3" s="1"/>
  <c r="H865" i="3" l="1"/>
  <c r="I865" i="3" s="1"/>
  <c r="Q865" i="3"/>
  <c r="G866" i="3"/>
  <c r="P866" i="3" s="1"/>
  <c r="J867" i="3" s="1"/>
  <c r="Q866" i="3" l="1"/>
  <c r="H866" i="3"/>
  <c r="I866" i="3" s="1"/>
  <c r="G867" i="3" s="1"/>
  <c r="Q867" i="3" l="1"/>
  <c r="H867" i="3"/>
  <c r="I867" i="3" s="1"/>
  <c r="P867" i="3"/>
  <c r="J868" i="3" s="1"/>
  <c r="G868" i="3" s="1"/>
  <c r="P868" i="3" s="1"/>
  <c r="J869" i="3" s="1"/>
  <c r="H868" i="3" l="1"/>
  <c r="I868" i="3" s="1"/>
  <c r="G869" i="3" s="1"/>
  <c r="Q868" i="3"/>
  <c r="H869" i="3" l="1"/>
  <c r="I869" i="3" s="1"/>
  <c r="Q869" i="3"/>
  <c r="P869" i="3"/>
  <c r="J870" i="3" s="1"/>
  <c r="G870" i="3" s="1"/>
  <c r="P870" i="3" s="1"/>
  <c r="J871" i="3" s="1"/>
  <c r="H870" i="3" l="1"/>
  <c r="I870" i="3" s="1"/>
  <c r="G871" i="3" s="1"/>
  <c r="Q870" i="3"/>
  <c r="P871" i="3" l="1"/>
  <c r="J872" i="3" s="1"/>
  <c r="H871" i="3"/>
  <c r="I871" i="3" s="1"/>
  <c r="G872" i="3" s="1"/>
  <c r="Q872" i="3" s="1"/>
  <c r="Q871" i="3"/>
  <c r="H872" i="3" l="1"/>
  <c r="I872" i="3" s="1"/>
  <c r="P872" i="3"/>
  <c r="J873" i="3" s="1"/>
  <c r="G873" i="3" s="1"/>
  <c r="Q873" i="3" s="1"/>
  <c r="H873" i="3" l="1"/>
  <c r="I873" i="3" s="1"/>
  <c r="P873" i="3"/>
  <c r="J874" i="3" s="1"/>
  <c r="G874" i="3" l="1"/>
  <c r="Q874" i="3" s="1"/>
  <c r="H874" i="3" l="1"/>
  <c r="I874" i="3" s="1"/>
  <c r="G875" i="3" s="1"/>
  <c r="H875" i="3" s="1"/>
  <c r="I875" i="3" s="1"/>
  <c r="P875" i="3" l="1"/>
  <c r="J876" i="3" s="1"/>
  <c r="G876" i="3" s="1"/>
  <c r="H876" i="3" s="1"/>
  <c r="I876" i="3" s="1"/>
  <c r="Q875" i="3"/>
  <c r="Q876" i="3" l="1"/>
  <c r="P876" i="3"/>
  <c r="J877" i="3" s="1"/>
  <c r="G877" i="3" s="1"/>
  <c r="P877" i="3" s="1"/>
  <c r="J878" i="3" s="1"/>
  <c r="Q877" i="3" l="1"/>
  <c r="H877" i="3"/>
  <c r="I877" i="3" s="1"/>
  <c r="G878" i="3" s="1"/>
  <c r="P878" i="3" s="1"/>
  <c r="J879" i="3" s="1"/>
  <c r="Q878" i="3" l="1"/>
  <c r="H878" i="3"/>
  <c r="I878" i="3" s="1"/>
  <c r="G879" i="3" s="1"/>
  <c r="H879" i="3" s="1"/>
  <c r="I879" i="3" s="1"/>
  <c r="Q879" i="3" l="1"/>
  <c r="P879" i="3"/>
  <c r="J880" i="3" s="1"/>
  <c r="G880" i="3" s="1"/>
  <c r="P880" i="3" s="1"/>
  <c r="J881" i="3" s="1"/>
  <c r="Q880" i="3" l="1"/>
  <c r="H880" i="3"/>
  <c r="I880" i="3" s="1"/>
  <c r="G881" i="3" s="1"/>
  <c r="P881" i="3" s="1"/>
  <c r="J882" i="3" s="1"/>
  <c r="Q881" i="3" l="1"/>
  <c r="H881" i="3"/>
  <c r="I881" i="3" s="1"/>
  <c r="G882" i="3" s="1"/>
  <c r="P882" i="3" l="1"/>
  <c r="J883" i="3" s="1"/>
  <c r="H882" i="3"/>
  <c r="I882" i="3" s="1"/>
  <c r="G883" i="3" s="1"/>
  <c r="Q882" i="3"/>
  <c r="H883" i="3" l="1"/>
  <c r="I883" i="3" s="1"/>
  <c r="P883" i="3"/>
  <c r="J884" i="3" s="1"/>
  <c r="Q883" i="3"/>
  <c r="G884" i="3" l="1"/>
  <c r="Q884" i="3" l="1"/>
  <c r="H884" i="3"/>
  <c r="I884" i="3" s="1"/>
  <c r="P884" i="3"/>
  <c r="J885" i="3" s="1"/>
  <c r="G885" i="3" l="1"/>
  <c r="P885" i="3" l="1"/>
  <c r="J886" i="3" s="1"/>
  <c r="Q885" i="3"/>
  <c r="H885" i="3"/>
  <c r="I885" i="3" s="1"/>
  <c r="G886" i="3" l="1"/>
  <c r="P886" i="3" l="1"/>
  <c r="J887" i="3" s="1"/>
  <c r="H886" i="3"/>
  <c r="I886" i="3" s="1"/>
  <c r="G887" i="3" s="1"/>
  <c r="Q886" i="3"/>
  <c r="Q887" i="3" l="1"/>
  <c r="H887" i="3"/>
  <c r="I887" i="3" s="1"/>
  <c r="P887" i="3"/>
  <c r="J888" i="3" s="1"/>
  <c r="G888" i="3" s="1"/>
  <c r="Q888" i="3" l="1"/>
  <c r="P888" i="3"/>
  <c r="J889" i="3" s="1"/>
  <c r="H888" i="3"/>
  <c r="I888" i="3" s="1"/>
  <c r="G889" i="3" l="1"/>
  <c r="H889" i="3"/>
  <c r="I889" i="3" s="1"/>
  <c r="Q889" i="3"/>
  <c r="P889" i="3"/>
  <c r="J890" i="3" s="1"/>
  <c r="G890" i="3" l="1"/>
  <c r="P890" i="3" l="1"/>
  <c r="J891" i="3" s="1"/>
  <c r="Q890" i="3"/>
  <c r="H890" i="3"/>
  <c r="I890" i="3" s="1"/>
  <c r="G891" i="3" s="1"/>
  <c r="P891" i="3" l="1"/>
  <c r="J892" i="3" s="1"/>
  <c r="Q891" i="3"/>
  <c r="H891" i="3"/>
  <c r="I891" i="3" s="1"/>
  <c r="G892" i="3" l="1"/>
  <c r="Q892" i="3" l="1"/>
  <c r="P892" i="3"/>
  <c r="J893" i="3" s="1"/>
  <c r="H892" i="3"/>
  <c r="I892" i="3" s="1"/>
  <c r="G893" i="3" l="1"/>
  <c r="P893" i="3"/>
  <c r="J894" i="3" s="1"/>
  <c r="H893" i="3"/>
  <c r="I893" i="3" s="1"/>
  <c r="Q893" i="3"/>
  <c r="G894" i="3" l="1"/>
  <c r="Q894" i="3" l="1"/>
  <c r="H894" i="3"/>
  <c r="I894" i="3" s="1"/>
  <c r="P894" i="3"/>
  <c r="J895" i="3" s="1"/>
  <c r="G895" i="3" l="1"/>
  <c r="H895" i="3"/>
  <c r="I895" i="3" s="1"/>
  <c r="Q895" i="3"/>
  <c r="P895" i="3"/>
  <c r="J896" i="3" s="1"/>
  <c r="G896" i="3" s="1"/>
  <c r="Q896" i="3" l="1"/>
  <c r="P896" i="3"/>
  <c r="J897" i="3" s="1"/>
  <c r="H896" i="3"/>
  <c r="I896" i="3" s="1"/>
  <c r="G897" i="3" l="1"/>
  <c r="Q897" i="3"/>
  <c r="P897" i="3"/>
  <c r="J898" i="3" s="1"/>
  <c r="H897" i="3"/>
  <c r="I897" i="3" s="1"/>
  <c r="G898" i="3" l="1"/>
  <c r="H898" i="3" s="1"/>
  <c r="I898" i="3" s="1"/>
  <c r="Q898" i="3" l="1"/>
  <c r="P898" i="3"/>
  <c r="J899" i="3" s="1"/>
  <c r="G899" i="3" s="1"/>
  <c r="P899" i="3" l="1"/>
  <c r="J900" i="3" s="1"/>
  <c r="Q899" i="3"/>
  <c r="H899" i="3"/>
  <c r="I899" i="3" s="1"/>
  <c r="G900" i="3" l="1"/>
  <c r="H900" i="3"/>
  <c r="I900" i="3" s="1"/>
  <c r="P900" i="3"/>
  <c r="J901" i="3" s="1"/>
  <c r="Q900" i="3"/>
  <c r="G901" i="3" l="1"/>
  <c r="Q901" i="3" l="1"/>
  <c r="H901" i="3"/>
  <c r="I901" i="3" s="1"/>
  <c r="P901" i="3"/>
  <c r="J902" i="3" s="1"/>
  <c r="G902" i="3" l="1"/>
  <c r="Q902" i="3"/>
  <c r="H902" i="3"/>
  <c r="I902" i="3" s="1"/>
  <c r="P902" i="3"/>
  <c r="J903" i="3" s="1"/>
  <c r="G903" i="3" s="1"/>
  <c r="P903" i="3" l="1"/>
  <c r="J904" i="3" s="1"/>
  <c r="H903" i="3"/>
  <c r="I903" i="3" s="1"/>
  <c r="Q903" i="3"/>
  <c r="G904" i="3" l="1"/>
  <c r="Q904" i="3"/>
  <c r="P904" i="3"/>
  <c r="J905" i="3" s="1"/>
  <c r="G905" i="3" s="1"/>
  <c r="H905" i="3" l="1"/>
  <c r="I905" i="3" s="1"/>
  <c r="G906" i="3" s="1"/>
  <c r="Q905" i="3"/>
  <c r="H906" i="3" l="1"/>
  <c r="I906" i="3" s="1"/>
  <c r="P906" i="3"/>
  <c r="J907" i="3" s="1"/>
  <c r="G907" i="3" s="1"/>
  <c r="Q906" i="3"/>
  <c r="H907" i="3" l="1"/>
  <c r="I907" i="3" s="1"/>
  <c r="Q907" i="3"/>
  <c r="P907" i="3"/>
  <c r="J908" i="3" s="1"/>
  <c r="G908" i="3" s="1"/>
  <c r="P908" i="3" l="1"/>
  <c r="J909" i="3" s="1"/>
  <c r="Q908" i="3"/>
  <c r="H908" i="3"/>
  <c r="I908" i="3" s="1"/>
  <c r="G909" i="3" s="1"/>
  <c r="Q909" i="3" l="1"/>
  <c r="P909" i="3"/>
  <c r="J910" i="3" s="1"/>
  <c r="H909" i="3"/>
  <c r="I909" i="3" s="1"/>
  <c r="G910" i="3" l="1"/>
  <c r="Q910" i="3"/>
  <c r="H910" i="3"/>
  <c r="I910" i="3" s="1"/>
  <c r="P910" i="3"/>
  <c r="J911" i="3" s="1"/>
  <c r="G911" i="3" s="1"/>
  <c r="P911" i="3" l="1"/>
  <c r="J912" i="3" s="1"/>
  <c r="Q911" i="3"/>
  <c r="H911" i="3"/>
  <c r="I911" i="3" s="1"/>
  <c r="G912" i="3" s="1"/>
  <c r="P912" i="3" l="1"/>
  <c r="J913" i="3" s="1"/>
  <c r="H912" i="3"/>
  <c r="I912" i="3" s="1"/>
  <c r="Q912" i="3"/>
  <c r="G913" i="3" l="1"/>
  <c r="H913" i="3"/>
  <c r="I913" i="3" s="1"/>
  <c r="P913" i="3"/>
  <c r="J914" i="3" s="1"/>
  <c r="Q913" i="3"/>
  <c r="G914" i="3" l="1"/>
  <c r="Q914" i="3" s="1"/>
  <c r="H914" i="3"/>
  <c r="I914" i="3" s="1"/>
  <c r="P914" i="3" l="1"/>
  <c r="J915" i="3" s="1"/>
  <c r="G915" i="3" s="1"/>
  <c r="Q915" i="3" s="1"/>
  <c r="P915" i="3" l="1"/>
  <c r="J916" i="3" s="1"/>
  <c r="H915" i="3"/>
  <c r="I915" i="3" s="1"/>
  <c r="G916" i="3" s="1"/>
  <c r="H916" i="3" l="1"/>
  <c r="I916" i="3" s="1"/>
  <c r="P916" i="3"/>
  <c r="J917" i="3" s="1"/>
  <c r="G917" i="3" s="1"/>
  <c r="Q917" i="3" s="1"/>
  <c r="Q916" i="3"/>
  <c r="H917" i="3" l="1"/>
  <c r="I917" i="3" s="1"/>
  <c r="P917" i="3"/>
  <c r="J918" i="3" s="1"/>
  <c r="G918" i="3" s="1"/>
  <c r="P918" i="3" s="1"/>
  <c r="J919" i="3" s="1"/>
  <c r="H918" i="3" l="1"/>
  <c r="I918" i="3" s="1"/>
  <c r="Q918" i="3"/>
  <c r="G919" i="3"/>
  <c r="H919" i="3" l="1"/>
  <c r="I919" i="3" s="1"/>
  <c r="Q919" i="3"/>
  <c r="P919" i="3"/>
  <c r="J920" i="3" s="1"/>
  <c r="G920" i="3" s="1"/>
  <c r="P920" i="3" l="1"/>
  <c r="J921" i="3" s="1"/>
  <c r="Q920" i="3"/>
  <c r="H920" i="3"/>
  <c r="I920" i="3" s="1"/>
  <c r="G921" i="3" l="1"/>
  <c r="Q921" i="3" l="1"/>
  <c r="P921" i="3"/>
  <c r="J922" i="3" s="1"/>
  <c r="H921" i="3"/>
  <c r="I921" i="3" s="1"/>
  <c r="G922" i="3" l="1"/>
  <c r="P922" i="3"/>
  <c r="J923" i="3" s="1"/>
  <c r="Q922" i="3"/>
  <c r="H922" i="3"/>
  <c r="I922" i="3" s="1"/>
  <c r="G923" i="3" l="1"/>
  <c r="Q923" i="3" l="1"/>
  <c r="H923" i="3"/>
  <c r="I923" i="3" s="1"/>
  <c r="P923" i="3"/>
  <c r="J924" i="3" s="1"/>
  <c r="G924" i="3" l="1"/>
  <c r="Q924" i="3"/>
  <c r="H924" i="3"/>
  <c r="I924" i="3" s="1"/>
  <c r="P924" i="3"/>
  <c r="J925" i="3" s="1"/>
  <c r="G925" i="3" l="1"/>
  <c r="P925" i="3" l="1"/>
  <c r="J926" i="3" s="1"/>
  <c r="H925" i="3"/>
  <c r="I925" i="3" s="1"/>
  <c r="Q925" i="3"/>
  <c r="G926" i="3" l="1"/>
  <c r="P926" i="3" s="1"/>
  <c r="J927" i="3" s="1"/>
  <c r="G927" i="3" s="1"/>
  <c r="H926" i="3"/>
  <c r="I926" i="3" s="1"/>
  <c r="Q926" i="3"/>
  <c r="P927" i="3" l="1"/>
  <c r="J928" i="3" s="1"/>
  <c r="H927" i="3"/>
  <c r="I927" i="3" s="1"/>
  <c r="Q927" i="3"/>
  <c r="G928" i="3" l="1"/>
  <c r="P928" i="3" s="1"/>
  <c r="J929" i="3" s="1"/>
  <c r="H928" i="3"/>
  <c r="I928" i="3" s="1"/>
  <c r="Q928" i="3"/>
  <c r="G929" i="3" l="1"/>
  <c r="Q929" i="3"/>
  <c r="H929" i="3"/>
  <c r="I929" i="3" s="1"/>
  <c r="P929" i="3"/>
  <c r="J930" i="3" s="1"/>
  <c r="G930" i="3" s="1"/>
  <c r="Q930" i="3" l="1"/>
  <c r="H930" i="3"/>
  <c r="I930" i="3" s="1"/>
  <c r="P930" i="3"/>
  <c r="J931" i="3" s="1"/>
  <c r="G931" i="3" l="1"/>
  <c r="Q931" i="3"/>
  <c r="P931" i="3"/>
  <c r="J932" i="3" s="1"/>
  <c r="H931" i="3"/>
  <c r="I931" i="3" s="1"/>
  <c r="G932" i="3" s="1"/>
  <c r="H932" i="3" l="1"/>
  <c r="I932" i="3" s="1"/>
  <c r="P932" i="3"/>
  <c r="J933" i="3" s="1"/>
  <c r="G933" i="3" s="1"/>
  <c r="Q932" i="3"/>
  <c r="H933" i="3" l="1"/>
  <c r="I933" i="3" s="1"/>
  <c r="P933" i="3"/>
  <c r="J934" i="3" s="1"/>
  <c r="G934" i="3" s="1"/>
  <c r="Q933" i="3"/>
  <c r="Q934" i="3" l="1"/>
  <c r="H934" i="3"/>
  <c r="I934" i="3" s="1"/>
  <c r="P934" i="3"/>
  <c r="J935" i="3" s="1"/>
  <c r="G935" i="3" l="1"/>
  <c r="H935" i="3"/>
  <c r="I935" i="3" s="1"/>
  <c r="G936" i="3" s="1"/>
  <c r="Q935" i="3"/>
  <c r="Q936" i="3" l="1"/>
  <c r="H936" i="3"/>
  <c r="I936" i="3" s="1"/>
  <c r="P936" i="3"/>
  <c r="J937" i="3" s="1"/>
  <c r="G937" i="3" l="1"/>
  <c r="Q937" i="3"/>
  <c r="H937" i="3"/>
  <c r="I937" i="3" s="1"/>
  <c r="P937" i="3"/>
  <c r="J938" i="3" s="1"/>
  <c r="G938" i="3" l="1"/>
  <c r="P938" i="3"/>
  <c r="J939" i="3" s="1"/>
  <c r="G939" i="3" s="1"/>
  <c r="H938" i="3"/>
  <c r="I938" i="3" s="1"/>
  <c r="Q938" i="3"/>
  <c r="Q939" i="3" l="1"/>
  <c r="P939" i="3"/>
  <c r="J940" i="3" s="1"/>
  <c r="H939" i="3"/>
  <c r="I939" i="3" s="1"/>
  <c r="G940" i="3" l="1"/>
  <c r="P940" i="3"/>
  <c r="J941" i="3" s="1"/>
  <c r="H940" i="3"/>
  <c r="I940" i="3" s="1"/>
  <c r="Q940" i="3"/>
  <c r="G941" i="3" l="1"/>
  <c r="Q941" i="3"/>
  <c r="H941" i="3"/>
  <c r="I941" i="3" s="1"/>
  <c r="P941" i="3"/>
  <c r="J942" i="3" s="1"/>
  <c r="G942" i="3" l="1"/>
  <c r="Q942" i="3" s="1"/>
  <c r="P942" i="3"/>
  <c r="J943" i="3" s="1"/>
  <c r="H942" i="3"/>
  <c r="I942" i="3" s="1"/>
  <c r="G943" i="3" l="1"/>
  <c r="H943" i="3"/>
  <c r="I943" i="3" s="1"/>
  <c r="P943" i="3"/>
  <c r="J944" i="3" s="1"/>
  <c r="Q943" i="3"/>
  <c r="G944" i="3" l="1"/>
  <c r="H944" i="3"/>
  <c r="I944" i="3" s="1"/>
  <c r="Q944" i="3"/>
  <c r="P944" i="3"/>
  <c r="J945" i="3" s="1"/>
  <c r="G945" i="3" s="1"/>
  <c r="P945" i="3" l="1"/>
  <c r="J946" i="3" s="1"/>
  <c r="H945" i="3"/>
  <c r="I945" i="3" s="1"/>
  <c r="Q945" i="3"/>
  <c r="G946" i="3" l="1"/>
  <c r="P946" i="3" s="1"/>
  <c r="J947" i="3" s="1"/>
  <c r="H946" i="3"/>
  <c r="I946" i="3" s="1"/>
  <c r="Q946" i="3"/>
  <c r="G947" i="3" l="1"/>
  <c r="H947" i="3"/>
  <c r="I947" i="3" s="1"/>
  <c r="P947" i="3"/>
  <c r="J948" i="3" s="1"/>
  <c r="Q947" i="3"/>
  <c r="G948" i="3" l="1"/>
  <c r="P948" i="3" l="1"/>
  <c r="J949" i="3" s="1"/>
  <c r="H948" i="3"/>
  <c r="I948" i="3" s="1"/>
  <c r="G949" i="3" s="1"/>
  <c r="Q948" i="3"/>
  <c r="H949" i="3" l="1"/>
  <c r="I949" i="3" s="1"/>
  <c r="Q949" i="3"/>
  <c r="P949" i="3"/>
  <c r="J950" i="3" s="1"/>
  <c r="G950" i="3" s="1"/>
  <c r="P950" i="3" l="1"/>
  <c r="J951" i="3" s="1"/>
  <c r="H950" i="3"/>
  <c r="I950" i="3" s="1"/>
  <c r="G951" i="3" s="1"/>
  <c r="Q950" i="3"/>
  <c r="P951" i="3" l="1"/>
  <c r="J952" i="3" s="1"/>
  <c r="Q951" i="3"/>
  <c r="H951" i="3"/>
  <c r="I951" i="3" s="1"/>
  <c r="G952" i="3" s="1"/>
  <c r="H952" i="3" l="1"/>
  <c r="I952" i="3" s="1"/>
  <c r="Q952" i="3"/>
  <c r="P952" i="3"/>
  <c r="J953" i="3" s="1"/>
  <c r="G953" i="3" s="1"/>
  <c r="P953" i="3" l="1"/>
  <c r="J954" i="3" s="1"/>
  <c r="Q953" i="3"/>
  <c r="H953" i="3"/>
  <c r="I953" i="3" s="1"/>
  <c r="G954" i="3" s="1"/>
  <c r="P954" i="3" l="1"/>
  <c r="J955" i="3" s="1"/>
  <c r="H954" i="3"/>
  <c r="I954" i="3" s="1"/>
  <c r="Q954" i="3"/>
  <c r="G955" i="3" l="1"/>
  <c r="H955" i="3"/>
  <c r="I955" i="3" s="1"/>
  <c r="Q955" i="3"/>
  <c r="P955" i="3"/>
  <c r="J956" i="3" s="1"/>
  <c r="G956" i="3" s="1"/>
  <c r="H956" i="3" l="1"/>
  <c r="I956" i="3" s="1"/>
  <c r="P956" i="3"/>
  <c r="J957" i="3" s="1"/>
  <c r="G957" i="3" s="1"/>
  <c r="Q956" i="3"/>
  <c r="Q957" i="3" l="1"/>
  <c r="H957" i="3"/>
  <c r="I957" i="3" s="1"/>
  <c r="P957" i="3"/>
  <c r="J958" i="3" s="1"/>
  <c r="G958" i="3" s="1"/>
  <c r="H958" i="3" l="1"/>
  <c r="I958" i="3" s="1"/>
  <c r="Q958" i="3"/>
  <c r="P958" i="3"/>
  <c r="J959" i="3" s="1"/>
  <c r="G959" i="3" s="1"/>
  <c r="P959" i="3" l="1"/>
  <c r="J960" i="3" s="1"/>
  <c r="H959" i="3"/>
  <c r="I959" i="3" s="1"/>
  <c r="Q959" i="3"/>
  <c r="G960" i="3" l="1"/>
  <c r="Q960" i="3"/>
  <c r="H960" i="3"/>
  <c r="I960" i="3" s="1"/>
  <c r="P960" i="3"/>
  <c r="J961" i="3" s="1"/>
  <c r="G961" i="3" l="1"/>
  <c r="H961" i="3"/>
  <c r="I961" i="3" s="1"/>
  <c r="Q961" i="3"/>
  <c r="P961" i="3"/>
  <c r="J962" i="3" s="1"/>
  <c r="G962" i="3" s="1"/>
  <c r="Q962" i="3" l="1"/>
  <c r="H962" i="3"/>
  <c r="I962" i="3" s="1"/>
  <c r="P962" i="3"/>
  <c r="J963" i="3" s="1"/>
  <c r="G963" i="3" l="1"/>
  <c r="P963" i="3" l="1"/>
  <c r="J964" i="3" s="1"/>
  <c r="Q963" i="3"/>
  <c r="H963" i="3"/>
  <c r="I963" i="3" s="1"/>
  <c r="G964" i="3" s="1"/>
  <c r="P964" i="3" l="1"/>
  <c r="J965" i="3" s="1"/>
  <c r="Q964" i="3"/>
  <c r="H964" i="3"/>
  <c r="I964" i="3" s="1"/>
  <c r="G965" i="3" s="1"/>
  <c r="Q965" i="3" l="1"/>
  <c r="P965" i="3"/>
  <c r="J966" i="3" s="1"/>
  <c r="G966" i="3" s="1"/>
  <c r="Q966" i="3" l="1"/>
  <c r="H966" i="3"/>
  <c r="I966" i="3" s="1"/>
  <c r="G967" i="3" s="1"/>
  <c r="Q967" i="3" l="1"/>
  <c r="P967" i="3"/>
  <c r="J968" i="3" s="1"/>
  <c r="H967" i="3"/>
  <c r="I967" i="3" s="1"/>
  <c r="G968" i="3" l="1"/>
  <c r="Q968" i="3"/>
  <c r="P968" i="3"/>
  <c r="J969" i="3" s="1"/>
  <c r="H968" i="3"/>
  <c r="I968" i="3" s="1"/>
  <c r="G969" i="3" l="1"/>
  <c r="Q969" i="3"/>
  <c r="H969" i="3"/>
  <c r="I969" i="3" s="1"/>
  <c r="P969" i="3"/>
  <c r="J970" i="3" s="1"/>
  <c r="G970" i="3" l="1"/>
  <c r="Q970" i="3" s="1"/>
  <c r="H970" i="3" l="1"/>
  <c r="I970" i="3" s="1"/>
  <c r="P970" i="3"/>
  <c r="J971" i="3" s="1"/>
  <c r="G971" i="3" s="1"/>
  <c r="P971" i="3" l="1"/>
  <c r="J972" i="3" s="1"/>
  <c r="H971" i="3"/>
  <c r="I971" i="3" s="1"/>
  <c r="Q971" i="3"/>
  <c r="G972" i="3" l="1"/>
  <c r="H972" i="3" l="1"/>
  <c r="I972" i="3" s="1"/>
  <c r="P972" i="3"/>
  <c r="J973" i="3" s="1"/>
  <c r="Q972" i="3"/>
  <c r="G973" i="3" l="1"/>
  <c r="H973" i="3" l="1"/>
  <c r="I973" i="3" s="1"/>
  <c r="Q973" i="3"/>
  <c r="P973" i="3"/>
  <c r="J974" i="3" s="1"/>
  <c r="G974" i="3" l="1"/>
  <c r="P974" i="3" l="1"/>
  <c r="J975" i="3" s="1"/>
  <c r="H974" i="3"/>
  <c r="I974" i="3" s="1"/>
  <c r="Q974" i="3"/>
  <c r="G975" i="3" l="1"/>
  <c r="Q975" i="3"/>
  <c r="P975" i="3"/>
  <c r="J976" i="3" s="1"/>
  <c r="H975" i="3"/>
  <c r="I975" i="3" s="1"/>
  <c r="G976" i="3" l="1"/>
  <c r="H976" i="3" l="1"/>
  <c r="I976" i="3" s="1"/>
  <c r="P976" i="3"/>
  <c r="J977" i="3" s="1"/>
  <c r="G977" i="3" s="1"/>
  <c r="Q976" i="3"/>
  <c r="P977" i="3" l="1"/>
  <c r="J978" i="3" s="1"/>
  <c r="Q977" i="3"/>
  <c r="H977" i="3"/>
  <c r="I977" i="3" s="1"/>
  <c r="G978" i="3" s="1"/>
  <c r="Q978" i="3" l="1"/>
  <c r="P978" i="3"/>
  <c r="J979" i="3" s="1"/>
  <c r="H978" i="3"/>
  <c r="I978" i="3" s="1"/>
  <c r="G979" i="3" s="1"/>
  <c r="P979" i="3" l="1"/>
  <c r="J980" i="3" s="1"/>
  <c r="Q979" i="3"/>
  <c r="H979" i="3"/>
  <c r="I979" i="3" s="1"/>
  <c r="G980" i="3" s="1"/>
  <c r="Q980" i="3" l="1"/>
  <c r="H980" i="3"/>
  <c r="I980" i="3" s="1"/>
  <c r="P980" i="3"/>
  <c r="J981" i="3" s="1"/>
  <c r="G981" i="3" l="1"/>
  <c r="H981" i="3"/>
  <c r="I981" i="3" s="1"/>
  <c r="Q981" i="3"/>
  <c r="P981" i="3"/>
  <c r="J982" i="3" s="1"/>
  <c r="G982" i="3" s="1"/>
  <c r="H982" i="3" l="1"/>
  <c r="I982" i="3" s="1"/>
  <c r="P982" i="3"/>
  <c r="J983" i="3" s="1"/>
  <c r="G983" i="3" s="1"/>
  <c r="Q982" i="3"/>
  <c r="P983" i="3" l="1"/>
  <c r="J984" i="3" s="1"/>
  <c r="H983" i="3"/>
  <c r="I983" i="3" s="1"/>
  <c r="G984" i="3" s="1"/>
  <c r="Q983" i="3"/>
  <c r="Q984" i="3" l="1"/>
  <c r="P984" i="3"/>
  <c r="J985" i="3" s="1"/>
  <c r="H984" i="3"/>
  <c r="I984" i="3" s="1"/>
  <c r="G985" i="3" l="1"/>
  <c r="P985" i="3"/>
  <c r="J986" i="3" s="1"/>
  <c r="G986" i="3" s="1"/>
  <c r="H985" i="3"/>
  <c r="I985" i="3" s="1"/>
  <c r="Q985" i="3"/>
  <c r="H986" i="3" l="1"/>
  <c r="I986" i="3" s="1"/>
  <c r="Q986" i="3"/>
  <c r="P986" i="3"/>
  <c r="J987" i="3" s="1"/>
  <c r="G987" i="3" l="1"/>
  <c r="H987" i="3" l="1"/>
  <c r="I987" i="3" s="1"/>
  <c r="Q987" i="3"/>
  <c r="P987" i="3"/>
  <c r="J988" i="3" s="1"/>
  <c r="G988" i="3" s="1"/>
  <c r="H988" i="3" l="1"/>
  <c r="I988" i="3" s="1"/>
  <c r="P988" i="3"/>
  <c r="J989" i="3" s="1"/>
  <c r="Q988" i="3"/>
  <c r="G989" i="3" l="1"/>
  <c r="H989" i="3" l="1"/>
  <c r="I989" i="3" s="1"/>
  <c r="P989" i="3"/>
  <c r="J990" i="3" s="1"/>
  <c r="G990" i="3" s="1"/>
  <c r="Q989" i="3"/>
  <c r="P990" i="3" l="1"/>
  <c r="J991" i="3" s="1"/>
  <c r="H990" i="3"/>
  <c r="I990" i="3" s="1"/>
  <c r="G991" i="3" s="1"/>
  <c r="Q990" i="3"/>
  <c r="Q991" i="3" l="1"/>
  <c r="H991" i="3"/>
  <c r="I991" i="3" s="1"/>
  <c r="P991" i="3"/>
  <c r="J992" i="3" s="1"/>
  <c r="G992" i="3" l="1"/>
  <c r="P992" i="3"/>
  <c r="J993" i="3" s="1"/>
  <c r="Q992" i="3"/>
  <c r="H992" i="3"/>
  <c r="I992" i="3" s="1"/>
  <c r="G993" i="3" l="1"/>
  <c r="H993" i="3" l="1"/>
  <c r="I993" i="3" s="1"/>
  <c r="Q993" i="3"/>
  <c r="P993" i="3"/>
  <c r="J994" i="3" s="1"/>
  <c r="G994" i="3" s="1"/>
  <c r="P994" i="3" l="1"/>
  <c r="J995" i="3" s="1"/>
  <c r="G995" i="3" s="1"/>
  <c r="H994" i="3"/>
  <c r="I994" i="3" s="1"/>
  <c r="Q994" i="3"/>
  <c r="P995" i="3" l="1"/>
  <c r="J996" i="3" s="1"/>
  <c r="G996" i="3" s="1"/>
  <c r="H995" i="3"/>
  <c r="I995" i="3" s="1"/>
  <c r="Q995" i="3"/>
  <c r="Q996" i="3" l="1"/>
  <c r="P996" i="3"/>
  <c r="J997" i="3" s="1"/>
  <c r="G997" i="3" s="1"/>
  <c r="Q997" i="3" l="1"/>
  <c r="H997" i="3"/>
  <c r="I997" i="3" s="1"/>
  <c r="G998" i="3" s="1"/>
  <c r="P998" i="3" l="1"/>
  <c r="J999" i="3" s="1"/>
  <c r="H998" i="3"/>
  <c r="I998" i="3" s="1"/>
  <c r="Q998" i="3"/>
  <c r="G999" i="3"/>
  <c r="H999" i="3" l="1"/>
  <c r="I999" i="3" s="1"/>
  <c r="Q999" i="3"/>
  <c r="P999" i="3"/>
  <c r="J1000" i="3" s="1"/>
  <c r="G1000" i="3" s="1"/>
  <c r="H1000" i="3" l="1"/>
  <c r="I1000" i="3" s="1"/>
  <c r="Q1000" i="3"/>
  <c r="P1000" i="3"/>
  <c r="J1001" i="3" s="1"/>
  <c r="G1001" i="3" s="1"/>
  <c r="P1001" i="3" l="1"/>
  <c r="J1002" i="3" s="1"/>
  <c r="H1001" i="3"/>
  <c r="I1001" i="3" s="1"/>
  <c r="G1002" i="3" s="1"/>
  <c r="Q1001" i="3"/>
  <c r="H1002" i="3" l="1"/>
  <c r="I1002" i="3" s="1"/>
  <c r="Q1002" i="3"/>
  <c r="P1002" i="3"/>
  <c r="J1003" i="3" s="1"/>
  <c r="G1003" i="3" s="1"/>
  <c r="X23" i="3"/>
  <c r="Z23" i="3" s="1"/>
  <c r="P1003" i="3" l="1"/>
  <c r="J1004" i="3" s="1"/>
  <c r="H1003" i="3"/>
  <c r="I1003" i="3" s="1"/>
  <c r="Q1003" i="3"/>
  <c r="G1004" i="3"/>
  <c r="Q1004" i="3" s="1"/>
  <c r="H1004" i="3"/>
  <c r="I1004" i="3" s="1"/>
  <c r="P1004" i="3" l="1"/>
  <c r="J1005" i="3" s="1"/>
  <c r="G1005" i="3" s="1"/>
  <c r="P1005" i="3" s="1"/>
  <c r="J1006" i="3" s="1"/>
  <c r="Z18" i="3"/>
  <c r="J3" i="1" s="1"/>
  <c r="H1005" i="3" l="1"/>
  <c r="I1005" i="3" s="1"/>
  <c r="Q1005" i="3"/>
  <c r="G1006" i="3"/>
  <c r="Q1006" i="3" l="1"/>
  <c r="H1006" i="3"/>
  <c r="I1006" i="3" s="1"/>
  <c r="P1006" i="3"/>
  <c r="J1007" i="3" s="1"/>
  <c r="G1007" i="3" s="1"/>
  <c r="P1007" i="3" l="1"/>
  <c r="J1008" i="3" s="1"/>
  <c r="H1007" i="3"/>
  <c r="I1007" i="3" s="1"/>
  <c r="G1008" i="3" s="1"/>
  <c r="Q1007" i="3"/>
  <c r="Q1008" i="3" l="1"/>
  <c r="P1008" i="3"/>
  <c r="J1009" i="3" s="1"/>
  <c r="H1008" i="3"/>
  <c r="I1008" i="3" s="1"/>
  <c r="G1009" i="3" l="1"/>
  <c r="H1009" i="3"/>
  <c r="I1009" i="3" s="1"/>
  <c r="Q1009" i="3"/>
  <c r="P1009" i="3"/>
  <c r="J1010" i="3" s="1"/>
  <c r="G1010" i="3" s="1"/>
  <c r="Q1010" i="3" l="1"/>
  <c r="H1010" i="3"/>
  <c r="I1010" i="3" s="1"/>
  <c r="P1010" i="3"/>
  <c r="J1011" i="3" s="1"/>
  <c r="G1011" i="3" s="1"/>
  <c r="Q1011" i="3" l="1"/>
  <c r="H1011" i="3"/>
  <c r="I1011" i="3" s="1"/>
  <c r="P1011" i="3"/>
  <c r="J1012" i="3" s="1"/>
  <c r="G1012" i="3" s="1"/>
  <c r="H1012" i="3" l="1"/>
  <c r="I1012" i="3" s="1"/>
  <c r="P1012" i="3"/>
  <c r="J1013" i="3" s="1"/>
  <c r="G1013" i="3" s="1"/>
  <c r="Q1012" i="3"/>
  <c r="P1013" i="3" l="1"/>
  <c r="J1014" i="3" s="1"/>
  <c r="H1013" i="3"/>
  <c r="I1013" i="3" s="1"/>
  <c r="Q1013" i="3"/>
  <c r="G1014" i="3" l="1"/>
  <c r="P1014" i="3" l="1"/>
  <c r="J1015" i="3" s="1"/>
  <c r="Q1014" i="3"/>
  <c r="H1014" i="3"/>
  <c r="I1014" i="3" s="1"/>
  <c r="G1015" i="3" s="1"/>
  <c r="Q1015" i="3" l="1"/>
  <c r="P1015" i="3"/>
  <c r="J1016" i="3" s="1"/>
  <c r="H1015" i="3"/>
  <c r="I1015" i="3" s="1"/>
  <c r="G1016" i="3" l="1"/>
  <c r="P1016" i="3"/>
  <c r="J1017" i="3" s="1"/>
  <c r="Q1016" i="3"/>
  <c r="H1016" i="3"/>
  <c r="I1016" i="3" s="1"/>
  <c r="G1017" i="3" s="1"/>
  <c r="Q1017" i="3" l="1"/>
  <c r="P1017" i="3"/>
  <c r="J1018" i="3" s="1"/>
  <c r="H1017" i="3"/>
  <c r="I1017" i="3" s="1"/>
  <c r="G1018" i="3" l="1"/>
  <c r="Q1018" i="3"/>
  <c r="H1018" i="3"/>
  <c r="I1018" i="3" s="1"/>
  <c r="P1018" i="3"/>
  <c r="J1019" i="3" s="1"/>
  <c r="G1019" i="3" s="1"/>
  <c r="Q1019" i="3" l="1"/>
  <c r="H1019" i="3"/>
  <c r="I1019" i="3" s="1"/>
  <c r="P1019" i="3"/>
  <c r="J1020" i="3" s="1"/>
  <c r="G1020" i="3" s="1"/>
  <c r="Q1020" i="3" l="1"/>
  <c r="P1020" i="3"/>
  <c r="J1021" i="3" s="1"/>
  <c r="H1020" i="3"/>
  <c r="I1020" i="3" s="1"/>
  <c r="G1021" i="3" l="1"/>
  <c r="P1021" i="3"/>
  <c r="J1022" i="3" s="1"/>
  <c r="H1021" i="3"/>
  <c r="I1021" i="3" s="1"/>
  <c r="Q1021" i="3"/>
  <c r="G1022" i="3" l="1"/>
  <c r="P1022" i="3" s="1"/>
  <c r="J1023" i="3" s="1"/>
  <c r="K14" i="1" s="1"/>
  <c r="Q1022" i="3"/>
  <c r="H1022" i="3"/>
  <c r="I1022" i="3" s="1"/>
  <c r="G1023" i="3" l="1"/>
  <c r="Q1023" i="3"/>
  <c r="H1023" i="3"/>
  <c r="I1023" i="3" s="1"/>
  <c r="K12" i="1" s="1"/>
  <c r="K15" i="1" s="1"/>
  <c r="P1023" i="3"/>
  <c r="O1023" i="3" l="1"/>
  <c r="B1023" i="3" s="1"/>
  <c r="C1023" i="3" l="1"/>
  <c r="W21" i="3"/>
  <c r="S24" i="3"/>
  <c r="U24" i="3" l="1"/>
  <c r="V24" i="3" s="1"/>
  <c r="S25" i="3"/>
  <c r="T24" i="3" l="1"/>
  <c r="W24" i="3"/>
  <c r="X24" i="3"/>
  <c r="Z24" i="3" s="1"/>
  <c r="U25" i="3"/>
  <c r="V25" i="3" s="1"/>
  <c r="S26" i="3"/>
  <c r="W25" i="3"/>
  <c r="Y25" i="3" s="1"/>
  <c r="T25" i="3"/>
  <c r="X25" i="3"/>
  <c r="Z25" i="3" s="1"/>
  <c r="Y24" i="3" l="1"/>
  <c r="X26" i="3"/>
  <c r="S27" i="3"/>
  <c r="T26" i="3"/>
  <c r="Y26" i="3"/>
  <c r="U26" i="3"/>
  <c r="V26" i="3" s="1"/>
  <c r="Z26" i="3"/>
  <c r="W26" i="3"/>
  <c r="X27" i="3" l="1"/>
  <c r="Z27" i="3"/>
  <c r="Y27" i="3"/>
  <c r="T27" i="3"/>
  <c r="W27" i="3"/>
  <c r="U27" i="3"/>
  <c r="V27" i="3" s="1"/>
  <c r="S28" i="3"/>
  <c r="Z28" i="3" l="1"/>
  <c r="X28" i="3"/>
  <c r="U28" i="3"/>
  <c r="V28" i="3" s="1"/>
  <c r="W28" i="3"/>
  <c r="Y28" i="3"/>
  <c r="T28" i="3"/>
  <c r="S29" i="3"/>
  <c r="Z29" i="3" l="1"/>
  <c r="Y29" i="3"/>
  <c r="X29" i="3"/>
  <c r="T29" i="3"/>
  <c r="S30" i="3"/>
  <c r="U29" i="3"/>
  <c r="V29" i="3" s="1"/>
  <c r="W29" i="3"/>
  <c r="X30" i="3" l="1"/>
  <c r="T30" i="3"/>
  <c r="Z30" i="3"/>
  <c r="Y30" i="3"/>
  <c r="S31" i="3"/>
  <c r="U30" i="3"/>
  <c r="V30" i="3" s="1"/>
  <c r="W30" i="3"/>
  <c r="Z31" i="3" l="1"/>
  <c r="Y31" i="3"/>
  <c r="T31" i="3"/>
  <c r="X31" i="3"/>
  <c r="U31" i="3"/>
  <c r="V31" i="3" s="1"/>
  <c r="S32" i="3"/>
  <c r="W31" i="3"/>
  <c r="Z32" i="3" l="1"/>
  <c r="Y32" i="3"/>
  <c r="X32" i="3"/>
  <c r="T32" i="3"/>
  <c r="U32" i="3"/>
  <c r="V32" i="3" s="1"/>
  <c r="S33" i="3"/>
  <c r="W32" i="3"/>
  <c r="Z33" i="3" l="1"/>
  <c r="Y33" i="3"/>
  <c r="T33" i="3"/>
  <c r="U33" i="3"/>
  <c r="V33" i="3" s="1"/>
  <c r="X33" i="3"/>
  <c r="S34" i="3"/>
  <c r="W33" i="3"/>
  <c r="U34" i="3" l="1"/>
  <c r="V34" i="3" s="1"/>
  <c r="X34" i="3"/>
  <c r="T34" i="3"/>
  <c r="Z34" i="3"/>
  <c r="Y34" i="3"/>
  <c r="S35" i="3"/>
  <c r="W34" i="3"/>
  <c r="Z35" i="3" l="1"/>
  <c r="Y35" i="3"/>
  <c r="S36" i="3"/>
  <c r="X35" i="3"/>
  <c r="T35" i="3"/>
  <c r="U35" i="3"/>
  <c r="V35" i="3" s="1"/>
  <c r="W35" i="3"/>
  <c r="Z36" i="3" l="1"/>
  <c r="Y36" i="3"/>
  <c r="X36" i="3"/>
  <c r="T36" i="3"/>
  <c r="U36" i="3"/>
  <c r="V36" i="3" s="1"/>
  <c r="S37" i="3"/>
  <c r="W36" i="3"/>
  <c r="Z37" i="3" l="1"/>
  <c r="Y37" i="3"/>
  <c r="X37" i="3"/>
  <c r="S38" i="3"/>
  <c r="T37" i="3"/>
  <c r="U37" i="3"/>
  <c r="V37" i="3" s="1"/>
  <c r="W37" i="3"/>
  <c r="X38" i="3" l="1"/>
  <c r="Z38" i="3"/>
  <c r="Y38" i="3"/>
  <c r="S39" i="3"/>
  <c r="U38" i="3"/>
  <c r="V38" i="3" s="1"/>
  <c r="T38" i="3"/>
  <c r="W38" i="3"/>
  <c r="X39" i="3" l="1"/>
  <c r="Z39" i="3"/>
  <c r="T39" i="3"/>
  <c r="U39" i="3"/>
  <c r="V39" i="3" s="1"/>
  <c r="W39" i="3"/>
  <c r="Y39" i="3"/>
  <c r="S40" i="3"/>
  <c r="Z40" i="3" l="1"/>
  <c r="Y40" i="3"/>
  <c r="X40" i="3"/>
  <c r="T40" i="3"/>
  <c r="U40" i="3"/>
  <c r="V40" i="3" s="1"/>
  <c r="S41" i="3"/>
  <c r="W40" i="3"/>
  <c r="Y41" i="3" l="1"/>
  <c r="T41" i="3"/>
  <c r="Z41" i="3"/>
  <c r="X41" i="3"/>
  <c r="S42" i="3"/>
  <c r="U41" i="3"/>
  <c r="V41" i="3" s="1"/>
  <c r="W41" i="3"/>
  <c r="X42" i="3" l="1"/>
  <c r="T42" i="3"/>
  <c r="Z42" i="3"/>
  <c r="Y42" i="3"/>
  <c r="U42" i="3"/>
  <c r="V42" i="3" s="1"/>
  <c r="S43" i="3"/>
  <c r="W42" i="3"/>
  <c r="Z43" i="3" l="1"/>
  <c r="Y43" i="3"/>
  <c r="T43" i="3"/>
  <c r="U43" i="3"/>
  <c r="V43" i="3" s="1"/>
  <c r="X43" i="3"/>
  <c r="S44" i="3"/>
  <c r="W43" i="3"/>
  <c r="Y44" i="3" l="1"/>
  <c r="Z44" i="3"/>
  <c r="X44" i="3"/>
  <c r="T44" i="3"/>
  <c r="U44" i="3"/>
  <c r="V44" i="3" s="1"/>
  <c r="S45" i="3"/>
  <c r="W44" i="3"/>
  <c r="Y45" i="3" l="1"/>
  <c r="T45" i="3"/>
  <c r="U45" i="3"/>
  <c r="V45" i="3" s="1"/>
  <c r="Z45" i="3"/>
  <c r="X45" i="3"/>
  <c r="S46" i="3"/>
  <c r="W45" i="3"/>
  <c r="Z46" i="3" l="1"/>
  <c r="X46" i="3"/>
  <c r="T46" i="3"/>
  <c r="Y46" i="3"/>
  <c r="U46" i="3"/>
  <c r="V46" i="3" s="1"/>
  <c r="S47" i="3"/>
  <c r="W46" i="3"/>
  <c r="Z47" i="3" l="1"/>
  <c r="Y47" i="3"/>
  <c r="T47" i="3"/>
  <c r="X47" i="3"/>
  <c r="U47" i="3"/>
  <c r="V47" i="3" s="1"/>
  <c r="S48" i="3"/>
  <c r="W47" i="3"/>
  <c r="T48" i="3" l="1"/>
  <c r="Z48" i="3"/>
  <c r="Y48" i="3"/>
  <c r="X48" i="3"/>
  <c r="U48" i="3"/>
  <c r="V48" i="3" s="1"/>
  <c r="S49" i="3"/>
  <c r="W48" i="3"/>
  <c r="U49" i="3" l="1"/>
  <c r="V49" i="3" s="1"/>
  <c r="S50" i="3"/>
  <c r="Z49" i="3"/>
  <c r="Y49" i="3"/>
  <c r="X49" i="3"/>
  <c r="T49" i="3"/>
  <c r="W49" i="3"/>
  <c r="U50" i="3" l="1"/>
  <c r="V50" i="3" s="1"/>
  <c r="S51" i="3"/>
  <c r="T50" i="3"/>
  <c r="Y50" i="3"/>
  <c r="X50" i="3"/>
  <c r="Z50" i="3"/>
  <c r="W50" i="3"/>
  <c r="U51" i="3" l="1"/>
  <c r="V51" i="3" s="1"/>
  <c r="W51" i="3"/>
  <c r="S52" i="3"/>
  <c r="Z51" i="3"/>
  <c r="X51" i="3"/>
  <c r="Y51" i="3"/>
  <c r="T51" i="3"/>
  <c r="S53" i="3" l="1"/>
  <c r="W52" i="3"/>
  <c r="Z52" i="3"/>
  <c r="X52" i="3"/>
  <c r="T52" i="3"/>
  <c r="U52" i="3"/>
  <c r="V52" i="3" s="1"/>
  <c r="Y52" i="3"/>
  <c r="U53" i="3" l="1"/>
  <c r="V53" i="3" s="1"/>
  <c r="Z53" i="3"/>
  <c r="T53" i="3"/>
  <c r="X53" i="3"/>
  <c r="S54" i="3"/>
  <c r="Y53" i="3"/>
  <c r="W53" i="3"/>
  <c r="U54" i="3" l="1"/>
  <c r="V54" i="3" s="1"/>
  <c r="S55" i="3"/>
  <c r="X54" i="3"/>
  <c r="T54" i="3"/>
  <c r="Y54" i="3"/>
  <c r="Z54" i="3"/>
  <c r="W54" i="3"/>
  <c r="U55" i="3" l="1"/>
  <c r="V55" i="3" s="1"/>
  <c r="S56" i="3"/>
  <c r="Y55" i="3"/>
  <c r="X55" i="3"/>
  <c r="Z55" i="3"/>
  <c r="T55" i="3"/>
  <c r="W55" i="3"/>
  <c r="U56" i="3" l="1"/>
  <c r="V56" i="3" s="1"/>
  <c r="Z56" i="3"/>
  <c r="Y56" i="3"/>
  <c r="X56" i="3"/>
  <c r="T56" i="3"/>
  <c r="S57" i="3"/>
  <c r="W56" i="3"/>
  <c r="U57" i="3" l="1"/>
  <c r="V57" i="3" s="1"/>
  <c r="S58" i="3"/>
  <c r="Z57" i="3"/>
  <c r="Y57" i="3"/>
  <c r="X57" i="3"/>
  <c r="T57" i="3"/>
  <c r="W57" i="3"/>
  <c r="S59" i="3" l="1"/>
  <c r="X58" i="3"/>
  <c r="Z58" i="3"/>
  <c r="Y58" i="3"/>
  <c r="U58" i="3"/>
  <c r="V58" i="3" s="1"/>
  <c r="T58" i="3"/>
  <c r="W58" i="3"/>
  <c r="U59" i="3" l="1"/>
  <c r="V59" i="3" s="1"/>
  <c r="S60" i="3"/>
  <c r="X59" i="3"/>
  <c r="Z59" i="3"/>
  <c r="Y59" i="3"/>
  <c r="T59" i="3"/>
  <c r="W59" i="3"/>
  <c r="U60" i="3" l="1"/>
  <c r="V60" i="3" s="1"/>
  <c r="S61" i="3"/>
  <c r="Z60" i="3"/>
  <c r="X60" i="3"/>
  <c r="T60" i="3"/>
  <c r="Y60" i="3"/>
  <c r="W60" i="3"/>
  <c r="U61" i="3" l="1"/>
  <c r="V61" i="3" s="1"/>
  <c r="S62" i="3"/>
  <c r="Z61" i="3"/>
  <c r="X61" i="3"/>
  <c r="T61" i="3"/>
  <c r="Y61" i="3"/>
  <c r="W61" i="3"/>
  <c r="U62" i="3" l="1"/>
  <c r="V62" i="3" s="1"/>
  <c r="S63" i="3"/>
  <c r="X62" i="3"/>
  <c r="T62" i="3"/>
  <c r="Z62" i="3"/>
  <c r="Y62" i="3"/>
  <c r="W62" i="3"/>
  <c r="U63" i="3" l="1"/>
  <c r="V63" i="3" s="1"/>
  <c r="W63" i="3"/>
  <c r="S64" i="3"/>
  <c r="X63" i="3"/>
  <c r="Z63" i="3"/>
  <c r="Y63" i="3"/>
  <c r="T63" i="3"/>
  <c r="S65" i="3" l="1"/>
  <c r="W64" i="3"/>
  <c r="Z64" i="3"/>
  <c r="Y64" i="3"/>
  <c r="X64" i="3"/>
  <c r="T64" i="3"/>
  <c r="U64" i="3"/>
  <c r="V64" i="3" s="1"/>
  <c r="U65" i="3" l="1"/>
  <c r="V65" i="3" s="1"/>
  <c r="Z65" i="3"/>
  <c r="Y65" i="3"/>
  <c r="T65" i="3"/>
  <c r="S66" i="3"/>
  <c r="X65" i="3"/>
  <c r="W65" i="3"/>
  <c r="U66" i="3" l="1"/>
  <c r="V66" i="3" s="1"/>
  <c r="S67" i="3"/>
  <c r="T66" i="3"/>
  <c r="X66" i="3"/>
  <c r="Z66" i="3"/>
  <c r="Y66" i="3"/>
  <c r="W66" i="3"/>
  <c r="U67" i="3" l="1"/>
  <c r="V67" i="3" s="1"/>
  <c r="S68" i="3"/>
  <c r="Z67" i="3"/>
  <c r="T67" i="3"/>
  <c r="X67" i="3"/>
  <c r="Y67" i="3"/>
  <c r="W67" i="3"/>
  <c r="U68" i="3" l="1"/>
  <c r="V68" i="3" s="1"/>
  <c r="S69" i="3"/>
  <c r="Z68" i="3"/>
  <c r="Y68" i="3"/>
  <c r="X68" i="3"/>
  <c r="T68" i="3"/>
  <c r="W68" i="3"/>
  <c r="U69" i="3" l="1"/>
  <c r="V69" i="3" s="1"/>
  <c r="S70" i="3"/>
  <c r="Z69" i="3"/>
  <c r="X69" i="3"/>
  <c r="Y69" i="3"/>
  <c r="T69" i="3"/>
  <c r="W69" i="3"/>
  <c r="U70" i="3" l="1"/>
  <c r="V70" i="3" s="1"/>
  <c r="S71" i="3"/>
  <c r="X70" i="3"/>
  <c r="T70" i="3"/>
  <c r="Z70" i="3"/>
  <c r="Y70" i="3"/>
  <c r="W70" i="3"/>
  <c r="U71" i="3" l="1"/>
  <c r="V71" i="3" s="1"/>
  <c r="S72" i="3"/>
  <c r="X71" i="3"/>
  <c r="Z71" i="3"/>
  <c r="Y71" i="3"/>
  <c r="T71" i="3"/>
  <c r="W71" i="3"/>
  <c r="U72" i="3" l="1"/>
  <c r="V72" i="3" s="1"/>
  <c r="S73" i="3"/>
  <c r="Z72" i="3"/>
  <c r="Y72" i="3"/>
  <c r="X72" i="3"/>
  <c r="T72" i="3"/>
  <c r="W72" i="3"/>
  <c r="Z73" i="3" l="1"/>
  <c r="Y73" i="3"/>
  <c r="X73" i="3"/>
  <c r="T73" i="3"/>
  <c r="U73" i="3"/>
  <c r="V73" i="3" s="1"/>
  <c r="S74" i="3"/>
  <c r="W73" i="3"/>
  <c r="X74" i="3" l="1"/>
  <c r="T74" i="3"/>
  <c r="Z74" i="3"/>
  <c r="Y74" i="3"/>
  <c r="U74" i="3"/>
  <c r="V74" i="3" s="1"/>
  <c r="S75" i="3"/>
  <c r="W74" i="3"/>
  <c r="S76" i="3" l="1"/>
  <c r="W75" i="3"/>
  <c r="Z75" i="3"/>
  <c r="Y75" i="3"/>
  <c r="X75" i="3"/>
  <c r="T75" i="3"/>
  <c r="U75" i="3"/>
  <c r="V75" i="3" s="1"/>
  <c r="W76" i="3" l="1"/>
  <c r="Y76" i="3"/>
  <c r="X76" i="3"/>
  <c r="U76" i="3"/>
  <c r="V76" i="3" s="1"/>
  <c r="Z76" i="3"/>
  <c r="T76" i="3"/>
  <c r="S77" i="3"/>
  <c r="Z77" i="3" l="1"/>
  <c r="Y77" i="3"/>
  <c r="X77" i="3"/>
  <c r="T77" i="3"/>
  <c r="S78" i="3"/>
  <c r="U77" i="3"/>
  <c r="V77" i="3" s="1"/>
  <c r="W77" i="3"/>
  <c r="T78" i="3" l="1"/>
  <c r="Y78" i="3"/>
  <c r="S79" i="3"/>
  <c r="X78" i="3"/>
  <c r="Z78" i="3"/>
  <c r="U78" i="3"/>
  <c r="V78" i="3" s="1"/>
  <c r="W78" i="3"/>
  <c r="Z79" i="3" l="1"/>
  <c r="Y79" i="3"/>
  <c r="X79" i="3"/>
  <c r="T79" i="3"/>
  <c r="U79" i="3"/>
  <c r="V79" i="3" s="1"/>
  <c r="S80" i="3"/>
  <c r="W79" i="3"/>
  <c r="S81" i="3" l="1"/>
  <c r="Y80" i="3"/>
  <c r="T80" i="3"/>
  <c r="U80" i="3"/>
  <c r="V80" i="3" s="1"/>
  <c r="Z80" i="3"/>
  <c r="X80" i="3"/>
  <c r="W80" i="3"/>
  <c r="Z81" i="3" l="1"/>
  <c r="Y81" i="3"/>
  <c r="X81" i="3"/>
  <c r="T81" i="3"/>
  <c r="S82" i="3"/>
  <c r="U81" i="3"/>
  <c r="V81" i="3" s="1"/>
  <c r="W81" i="3"/>
  <c r="S83" i="3" l="1"/>
  <c r="T82" i="3"/>
  <c r="Y82" i="3"/>
  <c r="U82" i="3"/>
  <c r="V82" i="3" s="1"/>
  <c r="X82" i="3"/>
  <c r="Z82" i="3"/>
  <c r="W82" i="3"/>
  <c r="Z83" i="3" l="1"/>
  <c r="Y83" i="3"/>
  <c r="X83" i="3"/>
  <c r="T83" i="3"/>
  <c r="U83" i="3"/>
  <c r="V83" i="3" s="1"/>
  <c r="S84" i="3"/>
  <c r="W83" i="3"/>
  <c r="Y84" i="3" l="1"/>
  <c r="X84" i="3"/>
  <c r="U84" i="3"/>
  <c r="V84" i="3" s="1"/>
  <c r="Z84" i="3"/>
  <c r="T84" i="3"/>
  <c r="S85" i="3"/>
  <c r="W84" i="3"/>
  <c r="Z85" i="3" l="1"/>
  <c r="Y85" i="3"/>
  <c r="X85" i="3"/>
  <c r="T85" i="3"/>
  <c r="U85" i="3"/>
  <c r="V85" i="3" s="1"/>
  <c r="S86" i="3"/>
  <c r="W85" i="3"/>
  <c r="X86" i="3" l="1"/>
  <c r="T86" i="3"/>
  <c r="Z86" i="3"/>
  <c r="Y86" i="3"/>
  <c r="S87" i="3"/>
  <c r="U86" i="3"/>
  <c r="V86" i="3" s="1"/>
  <c r="W86" i="3"/>
  <c r="S88" i="3" l="1"/>
  <c r="W87" i="3"/>
  <c r="X87" i="3"/>
  <c r="Y87" i="3"/>
  <c r="U87" i="3"/>
  <c r="V87" i="3" s="1"/>
  <c r="Z87" i="3"/>
  <c r="T87" i="3"/>
  <c r="W88" i="3" l="1"/>
  <c r="Z88" i="3"/>
  <c r="X88" i="3"/>
  <c r="T88" i="3"/>
  <c r="U88" i="3"/>
  <c r="V88" i="3" s="1"/>
  <c r="Y88" i="3"/>
  <c r="S89" i="3"/>
  <c r="Z89" i="3" l="1"/>
  <c r="Y89" i="3"/>
  <c r="X89" i="3"/>
  <c r="U89" i="3"/>
  <c r="V89" i="3" s="1"/>
  <c r="S90" i="3"/>
  <c r="T89" i="3"/>
  <c r="W89" i="3"/>
  <c r="X90" i="3" l="1"/>
  <c r="T90" i="3"/>
  <c r="Z90" i="3"/>
  <c r="U90" i="3"/>
  <c r="V90" i="3" s="1"/>
  <c r="Y90" i="3"/>
  <c r="S91" i="3"/>
  <c r="W90" i="3"/>
  <c r="Z91" i="3" l="1"/>
  <c r="Y91" i="3"/>
  <c r="T91" i="3"/>
  <c r="X91" i="3"/>
  <c r="S92" i="3"/>
  <c r="U91" i="3"/>
  <c r="V91" i="3" s="1"/>
  <c r="W91" i="3"/>
  <c r="Y92" i="3" l="1"/>
  <c r="T92" i="3"/>
  <c r="U92" i="3"/>
  <c r="V92" i="3" s="1"/>
  <c r="Z92" i="3"/>
  <c r="X92" i="3"/>
  <c r="S93" i="3"/>
  <c r="W92" i="3"/>
  <c r="Z93" i="3" l="1"/>
  <c r="Y93" i="3"/>
  <c r="X93" i="3"/>
  <c r="T93" i="3"/>
  <c r="U93" i="3"/>
  <c r="V93" i="3" s="1"/>
  <c r="S94" i="3"/>
  <c r="W93" i="3"/>
  <c r="Z94" i="3" l="1"/>
  <c r="S95" i="3"/>
  <c r="X94" i="3"/>
  <c r="T94" i="3"/>
  <c r="Y94" i="3"/>
  <c r="U94" i="3"/>
  <c r="V94" i="3" s="1"/>
  <c r="W94" i="3"/>
  <c r="Z95" i="3" l="1"/>
  <c r="Y95" i="3"/>
  <c r="X95" i="3"/>
  <c r="T95" i="3"/>
  <c r="S96" i="3"/>
  <c r="U95" i="3"/>
  <c r="V95" i="3" s="1"/>
  <c r="W95" i="3"/>
  <c r="Z96" i="3" l="1"/>
  <c r="Y96" i="3"/>
  <c r="X96" i="3"/>
  <c r="T96" i="3"/>
  <c r="U96" i="3"/>
  <c r="V96" i="3" s="1"/>
  <c r="S97" i="3"/>
  <c r="W96" i="3"/>
  <c r="U97" i="3" l="1"/>
  <c r="V97" i="3" s="1"/>
  <c r="S98" i="3"/>
  <c r="Z97" i="3"/>
  <c r="Y97" i="3"/>
  <c r="X97" i="3"/>
  <c r="T97" i="3"/>
  <c r="W97" i="3"/>
  <c r="U98" i="3" l="1"/>
  <c r="V98" i="3" s="1"/>
  <c r="S99" i="3"/>
  <c r="T98" i="3"/>
  <c r="Z98" i="3"/>
  <c r="Y98" i="3"/>
  <c r="X98" i="3"/>
  <c r="W98" i="3"/>
  <c r="S100" i="3" l="1"/>
  <c r="W99" i="3"/>
  <c r="Z99" i="3"/>
  <c r="X99" i="3"/>
  <c r="Y99" i="3"/>
  <c r="T99" i="3"/>
  <c r="U99" i="3"/>
  <c r="V99" i="3" s="1"/>
  <c r="S101" i="3" l="1"/>
  <c r="W100" i="3"/>
  <c r="Z100" i="3"/>
  <c r="Y100" i="3"/>
  <c r="X100" i="3"/>
  <c r="T100" i="3"/>
  <c r="U100" i="3"/>
  <c r="V100" i="3" s="1"/>
  <c r="U101" i="3" l="1"/>
  <c r="V101" i="3" s="1"/>
  <c r="Z101" i="3"/>
  <c r="Y101" i="3"/>
  <c r="X101" i="3"/>
  <c r="T101" i="3"/>
  <c r="S102" i="3"/>
  <c r="W101" i="3"/>
  <c r="U102" i="3" l="1"/>
  <c r="V102" i="3" s="1"/>
  <c r="S103" i="3"/>
  <c r="X102" i="3"/>
  <c r="T102" i="3"/>
  <c r="Z102" i="3"/>
  <c r="Y102" i="3"/>
  <c r="W102" i="3"/>
  <c r="U103" i="3" l="1"/>
  <c r="V103" i="3" s="1"/>
  <c r="S104" i="3"/>
  <c r="Z103" i="3"/>
  <c r="Y103" i="3"/>
  <c r="X103" i="3"/>
  <c r="T103" i="3"/>
  <c r="W103" i="3"/>
  <c r="S105" i="3" l="1"/>
  <c r="Z104" i="3"/>
  <c r="X104" i="3"/>
  <c r="T104" i="3"/>
  <c r="Y104" i="3"/>
  <c r="U104" i="3"/>
  <c r="V104" i="3" s="1"/>
  <c r="W104" i="3"/>
  <c r="U105" i="3" l="1"/>
  <c r="V105" i="3" s="1"/>
  <c r="S106" i="3"/>
  <c r="Z105" i="3"/>
  <c r="Y105" i="3"/>
  <c r="T105" i="3"/>
  <c r="X105" i="3"/>
  <c r="W105" i="3"/>
  <c r="S107" i="3" l="1"/>
  <c r="X106" i="3"/>
  <c r="T106" i="3"/>
  <c r="Z106" i="3"/>
  <c r="U106" i="3"/>
  <c r="V106" i="3" s="1"/>
  <c r="Y106" i="3"/>
  <c r="W106" i="3"/>
  <c r="U107" i="3" l="1"/>
  <c r="V107" i="3" s="1"/>
  <c r="S108" i="3"/>
  <c r="X107" i="3"/>
  <c r="Z107" i="3"/>
  <c r="Y107" i="3"/>
  <c r="T107" i="3"/>
  <c r="W107" i="3"/>
  <c r="U108" i="3" l="1"/>
  <c r="V108" i="3" s="1"/>
  <c r="S109" i="3"/>
  <c r="Z108" i="3"/>
  <c r="Y108" i="3"/>
  <c r="X108" i="3"/>
  <c r="T108" i="3"/>
  <c r="W108" i="3"/>
  <c r="U109" i="3" l="1"/>
  <c r="V109" i="3" s="1"/>
  <c r="S110" i="3"/>
  <c r="Z109" i="3"/>
  <c r="Y109" i="3"/>
  <c r="X109" i="3"/>
  <c r="T109" i="3"/>
  <c r="W109" i="3"/>
  <c r="U110" i="3" l="1"/>
  <c r="V110" i="3" s="1"/>
  <c r="S111" i="3"/>
  <c r="X110" i="3"/>
  <c r="T110" i="3"/>
  <c r="Y110" i="3"/>
  <c r="Z110" i="3"/>
  <c r="W110" i="3"/>
  <c r="S112" i="3" l="1"/>
  <c r="W111" i="3"/>
  <c r="Z111" i="3"/>
  <c r="Y111" i="3"/>
  <c r="X111" i="3"/>
  <c r="U111" i="3"/>
  <c r="V111" i="3" s="1"/>
  <c r="T111" i="3"/>
  <c r="S113" i="3" l="1"/>
  <c r="W112" i="3"/>
  <c r="Z112" i="3"/>
  <c r="Y112" i="3"/>
  <c r="X112" i="3"/>
  <c r="T112" i="3"/>
  <c r="U112" i="3"/>
  <c r="V112" i="3" s="1"/>
  <c r="U113" i="3" l="1"/>
  <c r="V113" i="3" s="1"/>
  <c r="Z113" i="3"/>
  <c r="Y113" i="3"/>
  <c r="X113" i="3"/>
  <c r="S114" i="3"/>
  <c r="T113" i="3"/>
  <c r="W113" i="3"/>
  <c r="U114" i="3" l="1"/>
  <c r="V114" i="3" s="1"/>
  <c r="S115" i="3"/>
  <c r="X114" i="3"/>
  <c r="T114" i="3"/>
  <c r="Z114" i="3"/>
  <c r="Y114" i="3"/>
  <c r="W114" i="3"/>
  <c r="U115" i="3" l="1"/>
  <c r="V115" i="3" s="1"/>
  <c r="S116" i="3"/>
  <c r="X115" i="3"/>
  <c r="Z115" i="3"/>
  <c r="Y115" i="3"/>
  <c r="T115" i="3"/>
  <c r="W115" i="3"/>
  <c r="U116" i="3" l="1"/>
  <c r="V116" i="3" s="1"/>
  <c r="S117" i="3"/>
  <c r="Z116" i="3"/>
  <c r="Y116" i="3"/>
  <c r="X116" i="3"/>
  <c r="T116" i="3"/>
  <c r="W116" i="3"/>
  <c r="U117" i="3" l="1"/>
  <c r="V117" i="3" s="1"/>
  <c r="S118" i="3"/>
  <c r="Z117" i="3"/>
  <c r="Y117" i="3"/>
  <c r="X117" i="3"/>
  <c r="T117" i="3"/>
  <c r="W117" i="3"/>
  <c r="U118" i="3" l="1"/>
  <c r="V118" i="3" s="1"/>
  <c r="S119" i="3"/>
  <c r="X118" i="3"/>
  <c r="T118" i="3"/>
  <c r="Z118" i="3"/>
  <c r="Y118" i="3"/>
  <c r="W118" i="3"/>
  <c r="U119" i="3" l="1"/>
  <c r="V119" i="3" s="1"/>
  <c r="S120" i="3"/>
  <c r="X119" i="3"/>
  <c r="Z119" i="3"/>
  <c r="Y119" i="3"/>
  <c r="T119" i="3"/>
  <c r="W119" i="3"/>
  <c r="U120" i="3" l="1"/>
  <c r="V120" i="3" s="1"/>
  <c r="S121" i="3"/>
  <c r="Z120" i="3"/>
  <c r="Y120" i="3"/>
  <c r="X120" i="3"/>
  <c r="T120" i="3"/>
  <c r="W120" i="3"/>
  <c r="Z121" i="3" l="1"/>
  <c r="Y121" i="3"/>
  <c r="X121" i="3"/>
  <c r="T121" i="3"/>
  <c r="U121" i="3"/>
  <c r="V121" i="3" s="1"/>
  <c r="S122" i="3"/>
  <c r="W121" i="3"/>
  <c r="X122" i="3" l="1"/>
  <c r="T122" i="3"/>
  <c r="Z122" i="3"/>
  <c r="Y122" i="3"/>
  <c r="S123" i="3"/>
  <c r="U122" i="3"/>
  <c r="V122" i="3" s="1"/>
  <c r="W122" i="3"/>
  <c r="S124" i="3" l="1"/>
  <c r="W123" i="3"/>
  <c r="X123" i="3"/>
  <c r="Z123" i="3"/>
  <c r="Y123" i="3"/>
  <c r="U123" i="3"/>
  <c r="V123" i="3" s="1"/>
  <c r="T123" i="3"/>
  <c r="W124" i="3" l="1"/>
  <c r="Z124" i="3"/>
  <c r="Y124" i="3"/>
  <c r="X124" i="3"/>
  <c r="T124" i="3"/>
  <c r="S125" i="3"/>
  <c r="U124" i="3"/>
  <c r="V124" i="3" s="1"/>
  <c r="Z125" i="3" l="1"/>
  <c r="Y125" i="3"/>
  <c r="X125" i="3"/>
  <c r="T125" i="3"/>
  <c r="S126" i="3"/>
  <c r="U125" i="3"/>
  <c r="V125" i="3" s="1"/>
  <c r="W125" i="3"/>
  <c r="X126" i="3" l="1"/>
  <c r="Z126" i="3"/>
  <c r="Y126" i="3"/>
  <c r="U126" i="3"/>
  <c r="V126" i="3" s="1"/>
  <c r="T126" i="3"/>
  <c r="S127" i="3"/>
  <c r="W126" i="3"/>
  <c r="X127" i="3" l="1"/>
  <c r="Z127" i="3"/>
  <c r="Y127" i="3"/>
  <c r="T127" i="3"/>
  <c r="U127" i="3"/>
  <c r="V127" i="3" s="1"/>
  <c r="S128" i="3"/>
  <c r="W127" i="3"/>
  <c r="S129" i="3" l="1"/>
  <c r="Y128" i="3"/>
  <c r="Z128" i="3"/>
  <c r="X128" i="3"/>
  <c r="T128" i="3"/>
  <c r="U128" i="3"/>
  <c r="V128" i="3" s="1"/>
  <c r="W128" i="3"/>
  <c r="Z129" i="3" l="1"/>
  <c r="Y129" i="3"/>
  <c r="X129" i="3"/>
  <c r="T129" i="3"/>
  <c r="S130" i="3"/>
  <c r="U129" i="3"/>
  <c r="V129" i="3" s="1"/>
  <c r="W129" i="3"/>
  <c r="S131" i="3" l="1"/>
  <c r="T130" i="3"/>
  <c r="X130" i="3"/>
  <c r="Z130" i="3"/>
  <c r="Y130" i="3"/>
  <c r="U130" i="3"/>
  <c r="V130" i="3" s="1"/>
  <c r="W130" i="3"/>
  <c r="X131" i="3" l="1"/>
  <c r="Z131" i="3"/>
  <c r="Y131" i="3"/>
  <c r="T131" i="3"/>
  <c r="U131" i="3"/>
  <c r="V131" i="3" s="1"/>
  <c r="S132" i="3"/>
  <c r="W131" i="3"/>
  <c r="Z132" i="3" l="1"/>
  <c r="Y132" i="3"/>
  <c r="T132" i="3"/>
  <c r="U132" i="3"/>
  <c r="V132" i="3" s="1"/>
  <c r="X132" i="3"/>
  <c r="S133" i="3"/>
  <c r="W132" i="3"/>
  <c r="Z133" i="3" l="1"/>
  <c r="T133" i="3"/>
  <c r="U133" i="3"/>
  <c r="V133" i="3" s="1"/>
  <c r="Y133" i="3"/>
  <c r="X133" i="3"/>
  <c r="S134" i="3"/>
  <c r="W133" i="3"/>
  <c r="X134" i="3" l="1"/>
  <c r="T134" i="3"/>
  <c r="Z134" i="3"/>
  <c r="Y134" i="3"/>
  <c r="U134" i="3"/>
  <c r="V134" i="3" s="1"/>
  <c r="S135" i="3"/>
  <c r="W134" i="3"/>
  <c r="S136" i="3" l="1"/>
  <c r="Y135" i="3"/>
  <c r="T135" i="3"/>
  <c r="X135" i="3"/>
  <c r="U135" i="3"/>
  <c r="V135" i="3" s="1"/>
  <c r="Z135" i="3"/>
  <c r="W135" i="3"/>
  <c r="S137" i="3" l="1"/>
  <c r="Z136" i="3"/>
  <c r="X136" i="3"/>
  <c r="Y136" i="3"/>
  <c r="T136" i="3"/>
  <c r="U136" i="3"/>
  <c r="V136" i="3" s="1"/>
  <c r="W136" i="3"/>
  <c r="U137" i="3" l="1"/>
  <c r="V137" i="3" s="1"/>
  <c r="Z137" i="3"/>
  <c r="Y137" i="3"/>
  <c r="X137" i="3"/>
  <c r="T137" i="3"/>
  <c r="S138" i="3"/>
  <c r="W137" i="3"/>
  <c r="X138" i="3" l="1"/>
  <c r="T138" i="3"/>
  <c r="Z138" i="3"/>
  <c r="Y138" i="3"/>
  <c r="S139" i="3"/>
  <c r="U138" i="3"/>
  <c r="V138" i="3" s="1"/>
  <c r="W138" i="3"/>
  <c r="X139" i="3" l="1"/>
  <c r="Y139" i="3"/>
  <c r="T139" i="3"/>
  <c r="U139" i="3"/>
  <c r="V139" i="3" s="1"/>
  <c r="Z139" i="3"/>
  <c r="S140" i="3"/>
  <c r="W139" i="3"/>
  <c r="Z140" i="3" l="1"/>
  <c r="Y140" i="3"/>
  <c r="X140" i="3"/>
  <c r="T140" i="3"/>
  <c r="U140" i="3"/>
  <c r="V140" i="3" s="1"/>
  <c r="S141" i="3"/>
  <c r="W140" i="3"/>
  <c r="Z141" i="3" l="1"/>
  <c r="X141" i="3"/>
  <c r="T141" i="3"/>
  <c r="S142" i="3"/>
  <c r="Y141" i="3"/>
  <c r="U141" i="3"/>
  <c r="V141" i="3" s="1"/>
  <c r="W141" i="3"/>
  <c r="X142" i="3" l="1"/>
  <c r="T142" i="3"/>
  <c r="Z142" i="3"/>
  <c r="S143" i="3"/>
  <c r="Y142" i="3"/>
  <c r="U142" i="3"/>
  <c r="V142" i="3" s="1"/>
  <c r="W142" i="3"/>
  <c r="X143" i="3" l="1"/>
  <c r="Y143" i="3"/>
  <c r="T143" i="3"/>
  <c r="U143" i="3"/>
  <c r="V143" i="3" s="1"/>
  <c r="Z143" i="3"/>
  <c r="S144" i="3"/>
  <c r="W143" i="3"/>
  <c r="Y144" i="3" l="1"/>
  <c r="T144" i="3"/>
  <c r="Z144" i="3"/>
  <c r="X144" i="3"/>
  <c r="U144" i="3"/>
  <c r="V144" i="3" s="1"/>
  <c r="S145" i="3"/>
  <c r="W144" i="3"/>
  <c r="U145" i="3" l="1"/>
  <c r="V145" i="3" s="1"/>
  <c r="S146" i="3"/>
  <c r="Z145" i="3"/>
  <c r="Y145" i="3"/>
  <c r="X145" i="3"/>
  <c r="T145" i="3"/>
  <c r="W145" i="3"/>
  <c r="U146" i="3" l="1"/>
  <c r="V146" i="3" s="1"/>
  <c r="S147" i="3"/>
  <c r="X146" i="3"/>
  <c r="T146" i="3"/>
  <c r="Z146" i="3"/>
  <c r="Y146" i="3"/>
  <c r="W146" i="3"/>
  <c r="S148" i="3" l="1"/>
  <c r="Z147" i="3"/>
  <c r="T147" i="3"/>
  <c r="X147" i="3"/>
  <c r="Y147" i="3"/>
  <c r="U147" i="3"/>
  <c r="V147" i="3" s="1"/>
  <c r="W147" i="3"/>
  <c r="U148" i="3" l="1"/>
  <c r="V148" i="3" s="1"/>
  <c r="S149" i="3"/>
  <c r="Z148" i="3"/>
  <c r="Y148" i="3"/>
  <c r="X148" i="3"/>
  <c r="T148" i="3"/>
  <c r="W148" i="3"/>
  <c r="S150" i="3" l="1"/>
  <c r="U149" i="3"/>
  <c r="V149" i="3" s="1"/>
  <c r="Y149" i="3"/>
  <c r="Z149" i="3"/>
  <c r="X149" i="3"/>
  <c r="T149" i="3"/>
  <c r="W149" i="3"/>
  <c r="U150" i="3" l="1"/>
  <c r="V150" i="3" s="1"/>
  <c r="S151" i="3"/>
  <c r="X150" i="3"/>
  <c r="T150" i="3"/>
  <c r="Z150" i="3"/>
  <c r="Y150" i="3"/>
  <c r="W150" i="3"/>
  <c r="U151" i="3" l="1"/>
  <c r="V151" i="3" s="1"/>
  <c r="S152" i="3"/>
  <c r="X151" i="3"/>
  <c r="Y151" i="3"/>
  <c r="T151" i="3"/>
  <c r="Z151" i="3"/>
  <c r="W151" i="3"/>
  <c r="S153" i="3" l="1"/>
  <c r="X152" i="3"/>
  <c r="U152" i="3"/>
  <c r="V152" i="3" s="1"/>
  <c r="Z152" i="3"/>
  <c r="Y152" i="3"/>
  <c r="T152" i="3"/>
  <c r="W152" i="3"/>
  <c r="U153" i="3" l="1"/>
  <c r="V153" i="3" s="1"/>
  <c r="S154" i="3"/>
  <c r="Z153" i="3"/>
  <c r="Y153" i="3"/>
  <c r="X153" i="3"/>
  <c r="T153" i="3"/>
  <c r="W153" i="3"/>
  <c r="S155" i="3" l="1"/>
  <c r="X154" i="3"/>
  <c r="Z154" i="3"/>
  <c r="Y154" i="3"/>
  <c r="U154" i="3"/>
  <c r="V154" i="3" s="1"/>
  <c r="T154" i="3"/>
  <c r="W154" i="3"/>
  <c r="U155" i="3" l="1"/>
  <c r="V155" i="3" s="1"/>
  <c r="S156" i="3"/>
  <c r="X155" i="3"/>
  <c r="Z155" i="3"/>
  <c r="Y155" i="3"/>
  <c r="T155" i="3"/>
  <c r="W155" i="3"/>
  <c r="S157" i="3" l="1"/>
  <c r="Z156" i="3"/>
  <c r="Y156" i="3"/>
  <c r="X156" i="3"/>
  <c r="U156" i="3"/>
  <c r="V156" i="3" s="1"/>
  <c r="T156" i="3"/>
  <c r="W156" i="3"/>
  <c r="U157" i="3" l="1"/>
  <c r="V157" i="3" s="1"/>
  <c r="S158" i="3"/>
  <c r="Z157" i="3"/>
  <c r="X157" i="3"/>
  <c r="Y157" i="3"/>
  <c r="T157" i="3"/>
  <c r="W157" i="3"/>
  <c r="U158" i="3" l="1"/>
  <c r="V158" i="3" s="1"/>
  <c r="S159" i="3"/>
  <c r="X158" i="3"/>
  <c r="Z158" i="3"/>
  <c r="Y158" i="3"/>
  <c r="T158" i="3"/>
  <c r="W158" i="3"/>
  <c r="S160" i="3" l="1"/>
  <c r="W159" i="3"/>
  <c r="X159" i="3"/>
  <c r="Y159" i="3"/>
  <c r="U159" i="3"/>
  <c r="V159" i="3" s="1"/>
  <c r="Z159" i="3"/>
  <c r="T159" i="3"/>
  <c r="W160" i="3" l="1"/>
  <c r="Z160" i="3"/>
  <c r="Y160" i="3"/>
  <c r="X160" i="3"/>
  <c r="T160" i="3"/>
  <c r="U160" i="3"/>
  <c r="V160" i="3" s="1"/>
  <c r="S161" i="3"/>
  <c r="Z161" i="3" l="1"/>
  <c r="Y161" i="3"/>
  <c r="X161" i="3"/>
  <c r="T161" i="3"/>
  <c r="S162" i="3"/>
  <c r="U161" i="3"/>
  <c r="V161" i="3" s="1"/>
  <c r="W161" i="3"/>
  <c r="U162" i="3" l="1"/>
  <c r="V162" i="3" s="1"/>
  <c r="S163" i="3"/>
  <c r="X162" i="3"/>
  <c r="T162" i="3"/>
  <c r="Y162" i="3"/>
  <c r="Z162" i="3"/>
  <c r="W162" i="3"/>
  <c r="U163" i="3" l="1"/>
  <c r="V163" i="3" s="1"/>
  <c r="S164" i="3"/>
  <c r="Z163" i="3"/>
  <c r="Y163" i="3"/>
  <c r="X163" i="3"/>
  <c r="T163" i="3"/>
  <c r="W163" i="3"/>
  <c r="U164" i="3" l="1"/>
  <c r="V164" i="3" s="1"/>
  <c r="S165" i="3"/>
  <c r="Z164" i="3"/>
  <c r="Y164" i="3"/>
  <c r="X164" i="3"/>
  <c r="T164" i="3"/>
  <c r="W164" i="3"/>
  <c r="U165" i="3" l="1"/>
  <c r="V165" i="3" s="1"/>
  <c r="S166" i="3"/>
  <c r="Z165" i="3"/>
  <c r="Y165" i="3"/>
  <c r="X165" i="3"/>
  <c r="T165" i="3"/>
  <c r="W165" i="3"/>
  <c r="U166" i="3" l="1"/>
  <c r="V166" i="3" s="1"/>
  <c r="S167" i="3"/>
  <c r="X166" i="3"/>
  <c r="T166" i="3"/>
  <c r="Z166" i="3"/>
  <c r="Y166" i="3"/>
  <c r="W166" i="3"/>
  <c r="U167" i="3" l="1"/>
  <c r="V167" i="3" s="1"/>
  <c r="S168" i="3"/>
  <c r="X167" i="3"/>
  <c r="Y167" i="3"/>
  <c r="T167" i="3"/>
  <c r="Z167" i="3"/>
  <c r="W167" i="3"/>
  <c r="U168" i="3" l="1"/>
  <c r="V168" i="3" s="1"/>
  <c r="S169" i="3"/>
  <c r="Z168" i="3"/>
  <c r="X168" i="3"/>
  <c r="T168" i="3"/>
  <c r="Y168" i="3"/>
  <c r="W168" i="3"/>
  <c r="Z169" i="3" l="1"/>
  <c r="Y169" i="3"/>
  <c r="X169" i="3"/>
  <c r="T169" i="3"/>
  <c r="U169" i="3"/>
  <c r="V169" i="3" s="1"/>
  <c r="S170" i="3"/>
  <c r="W169" i="3"/>
  <c r="X170" i="3" l="1"/>
  <c r="T170" i="3"/>
  <c r="Z170" i="3"/>
  <c r="Y170" i="3"/>
  <c r="U170" i="3"/>
  <c r="V170" i="3" s="1"/>
  <c r="S171" i="3"/>
  <c r="W170" i="3"/>
  <c r="S172" i="3" l="1"/>
  <c r="W171" i="3"/>
  <c r="T171" i="3"/>
  <c r="X171" i="3"/>
  <c r="U171" i="3"/>
  <c r="V171" i="3" s="1"/>
  <c r="Z171" i="3"/>
  <c r="Y171" i="3"/>
  <c r="Z172" i="3" l="1"/>
  <c r="Y172" i="3"/>
  <c r="X172" i="3"/>
  <c r="T172" i="3"/>
  <c r="U172" i="3"/>
  <c r="V172" i="3" s="1"/>
  <c r="S173" i="3"/>
  <c r="W172" i="3"/>
  <c r="Y173" i="3" l="1"/>
  <c r="U173" i="3"/>
  <c r="V173" i="3" s="1"/>
  <c r="Z173" i="3"/>
  <c r="X173" i="3"/>
  <c r="T173" i="3"/>
  <c r="S174" i="3"/>
  <c r="W173" i="3"/>
  <c r="Z174" i="3" l="1"/>
  <c r="S175" i="3"/>
  <c r="X174" i="3"/>
  <c r="Y174" i="3"/>
  <c r="U174" i="3"/>
  <c r="V174" i="3" s="1"/>
  <c r="T174" i="3"/>
  <c r="W174" i="3"/>
  <c r="X175" i="3" l="1"/>
  <c r="Z175" i="3"/>
  <c r="T175" i="3"/>
  <c r="U175" i="3"/>
  <c r="V175" i="3" s="1"/>
  <c r="Y175" i="3"/>
  <c r="S176" i="3"/>
  <c r="W175" i="3"/>
  <c r="S177" i="3" l="1"/>
  <c r="Z176" i="3"/>
  <c r="Y176" i="3"/>
  <c r="X176" i="3"/>
  <c r="T176" i="3"/>
  <c r="U176" i="3"/>
  <c r="V176" i="3" s="1"/>
  <c r="W176" i="3"/>
  <c r="Y177" i="3" l="1"/>
  <c r="T177" i="3"/>
  <c r="U177" i="3"/>
  <c r="V177" i="3" s="1"/>
  <c r="Z177" i="3"/>
  <c r="X177" i="3"/>
  <c r="S178" i="3"/>
  <c r="W177" i="3"/>
  <c r="S179" i="3" l="1"/>
  <c r="X178" i="3"/>
  <c r="T178" i="3"/>
  <c r="Z178" i="3"/>
  <c r="Y178" i="3"/>
  <c r="U178" i="3"/>
  <c r="V178" i="3" s="1"/>
  <c r="W178" i="3"/>
  <c r="Z179" i="3" l="1"/>
  <c r="Y179" i="3"/>
  <c r="T179" i="3"/>
  <c r="X179" i="3"/>
  <c r="U179" i="3"/>
  <c r="V179" i="3" s="1"/>
  <c r="S180" i="3"/>
  <c r="W179" i="3"/>
  <c r="S181" i="3" l="1"/>
  <c r="Z180" i="3"/>
  <c r="U180" i="3"/>
  <c r="V180" i="3" s="1"/>
  <c r="Y180" i="3"/>
  <c r="X180" i="3"/>
  <c r="T180" i="3"/>
  <c r="W180" i="3"/>
  <c r="Y181" i="3" l="1"/>
  <c r="T181" i="3"/>
  <c r="U181" i="3"/>
  <c r="V181" i="3" s="1"/>
  <c r="Z181" i="3"/>
  <c r="X181" i="3"/>
  <c r="S182" i="3"/>
  <c r="W181" i="3"/>
  <c r="X182" i="3" l="1"/>
  <c r="Z182" i="3"/>
  <c r="Y182" i="3"/>
  <c r="U182" i="3"/>
  <c r="V182" i="3" s="1"/>
  <c r="T182" i="3"/>
  <c r="S183" i="3"/>
  <c r="W182" i="3"/>
  <c r="S184" i="3" l="1"/>
  <c r="Z183" i="3"/>
  <c r="Y183" i="3"/>
  <c r="U183" i="3"/>
  <c r="V183" i="3" s="1"/>
  <c r="W183" i="3"/>
  <c r="X183" i="3"/>
  <c r="T183" i="3"/>
  <c r="S185" i="3" l="1"/>
  <c r="Z184" i="3"/>
  <c r="Y184" i="3"/>
  <c r="X184" i="3"/>
  <c r="T184" i="3"/>
  <c r="U184" i="3"/>
  <c r="V184" i="3" s="1"/>
  <c r="W184" i="3"/>
  <c r="S186" i="3" l="1"/>
  <c r="U185" i="3"/>
  <c r="V185" i="3" s="1"/>
  <c r="Z185" i="3"/>
  <c r="X185" i="3"/>
  <c r="Y185" i="3"/>
  <c r="T185" i="3"/>
  <c r="W185" i="3"/>
  <c r="X186" i="3" l="1"/>
  <c r="T186" i="3"/>
  <c r="Y186" i="3"/>
  <c r="S187" i="3"/>
  <c r="Z186" i="3"/>
  <c r="U186" i="3"/>
  <c r="V186" i="3" s="1"/>
  <c r="W186" i="3"/>
  <c r="Z187" i="3" l="1"/>
  <c r="Y187" i="3"/>
  <c r="X187" i="3"/>
  <c r="T187" i="3"/>
  <c r="U187" i="3"/>
  <c r="V187" i="3" s="1"/>
  <c r="S188" i="3"/>
  <c r="W187" i="3"/>
  <c r="Z188" i="3" l="1"/>
  <c r="Y188" i="3"/>
  <c r="X188" i="3"/>
  <c r="T188" i="3"/>
  <c r="U188" i="3"/>
  <c r="V188" i="3" s="1"/>
  <c r="S189" i="3"/>
  <c r="W188" i="3"/>
  <c r="Z189" i="3" l="1"/>
  <c r="Y189" i="3"/>
  <c r="X189" i="3"/>
  <c r="U189" i="3"/>
  <c r="V189" i="3" s="1"/>
  <c r="S190" i="3"/>
  <c r="T189" i="3"/>
  <c r="W189" i="3"/>
  <c r="T190" i="3" l="1"/>
  <c r="Y190" i="3"/>
  <c r="U190" i="3"/>
  <c r="V190" i="3" s="1"/>
  <c r="X190" i="3"/>
  <c r="Z190" i="3"/>
  <c r="S191" i="3"/>
  <c r="W190" i="3"/>
  <c r="X191" i="3" l="1"/>
  <c r="Z191" i="3"/>
  <c r="Y191" i="3"/>
  <c r="T191" i="3"/>
  <c r="S192" i="3"/>
  <c r="U191" i="3"/>
  <c r="V191" i="3" s="1"/>
  <c r="W191" i="3"/>
  <c r="Z192" i="3" l="1"/>
  <c r="Y192" i="3"/>
  <c r="X192" i="3"/>
  <c r="T192" i="3"/>
  <c r="U192" i="3"/>
  <c r="V192" i="3" s="1"/>
  <c r="S193" i="3"/>
  <c r="W192" i="3"/>
  <c r="U193" i="3" l="1"/>
  <c r="V193" i="3" s="1"/>
  <c r="S194" i="3"/>
  <c r="Z193" i="3"/>
  <c r="Y193" i="3"/>
  <c r="T193" i="3"/>
  <c r="X193" i="3"/>
  <c r="W193" i="3"/>
  <c r="U194" i="3" l="1"/>
  <c r="V194" i="3" s="1"/>
  <c r="S195" i="3"/>
  <c r="X194" i="3"/>
  <c r="T194" i="3"/>
  <c r="Z194" i="3"/>
  <c r="Y194" i="3"/>
  <c r="W194" i="3"/>
  <c r="S196" i="3" l="1"/>
  <c r="X195" i="3"/>
  <c r="Y195" i="3"/>
  <c r="T195" i="3"/>
  <c r="U195" i="3"/>
  <c r="V195" i="3" s="1"/>
  <c r="Z195" i="3"/>
  <c r="W195" i="3"/>
  <c r="U196" i="3" l="1"/>
  <c r="V196" i="3" s="1"/>
  <c r="S197" i="3"/>
  <c r="Z196" i="3"/>
  <c r="X196" i="3"/>
  <c r="T196" i="3"/>
  <c r="Y196" i="3"/>
  <c r="W196" i="3"/>
  <c r="U197" i="3" l="1"/>
  <c r="V197" i="3" s="1"/>
  <c r="S198" i="3"/>
  <c r="Z197" i="3"/>
  <c r="Y197" i="3"/>
  <c r="X197" i="3"/>
  <c r="T197" i="3"/>
  <c r="W197" i="3"/>
  <c r="U198" i="3" l="1"/>
  <c r="V198" i="3" s="1"/>
  <c r="S199" i="3"/>
  <c r="X198" i="3"/>
  <c r="Z198" i="3"/>
  <c r="Y198" i="3"/>
  <c r="T198" i="3"/>
  <c r="W198" i="3"/>
  <c r="S200" i="3" l="1"/>
  <c r="U199" i="3"/>
  <c r="V199" i="3" s="1"/>
  <c r="Z199" i="3"/>
  <c r="T199" i="3"/>
  <c r="X199" i="3"/>
  <c r="Y199" i="3"/>
  <c r="W199" i="3"/>
  <c r="S201" i="3" l="1"/>
  <c r="Y200" i="3"/>
  <c r="X200" i="3"/>
  <c r="T200" i="3"/>
  <c r="U200" i="3"/>
  <c r="V200" i="3" s="1"/>
  <c r="Z200" i="3"/>
  <c r="W200" i="3"/>
  <c r="U201" i="3" l="1"/>
  <c r="V201" i="3" s="1"/>
  <c r="S202" i="3"/>
  <c r="Z201" i="3"/>
  <c r="Y201" i="3"/>
  <c r="X201" i="3"/>
  <c r="T201" i="3"/>
  <c r="W201" i="3"/>
  <c r="S203" i="3" l="1"/>
  <c r="Z202" i="3"/>
  <c r="Y202" i="3"/>
  <c r="T202" i="3"/>
  <c r="X202" i="3"/>
  <c r="U202" i="3"/>
  <c r="V202" i="3" s="1"/>
  <c r="W202" i="3"/>
  <c r="U203" i="3" l="1"/>
  <c r="V203" i="3" s="1"/>
  <c r="S204" i="3"/>
  <c r="Z203" i="3"/>
  <c r="T203" i="3"/>
  <c r="X203" i="3"/>
  <c r="Y203" i="3"/>
  <c r="W203" i="3"/>
  <c r="S205" i="3" l="1"/>
  <c r="Y204" i="3"/>
  <c r="X204" i="3"/>
  <c r="Z204" i="3"/>
  <c r="T204" i="3"/>
  <c r="U204" i="3"/>
  <c r="V204" i="3" s="1"/>
  <c r="W204" i="3"/>
  <c r="U205" i="3" l="1"/>
  <c r="V205" i="3" s="1"/>
  <c r="S206" i="3"/>
  <c r="T205" i="3"/>
  <c r="Y205" i="3"/>
  <c r="X205" i="3"/>
  <c r="Z205" i="3"/>
  <c r="W205" i="3"/>
  <c r="U206" i="3" l="1"/>
  <c r="V206" i="3" s="1"/>
  <c r="S207" i="3"/>
  <c r="Z206" i="3"/>
  <c r="Y206" i="3"/>
  <c r="T206" i="3"/>
  <c r="X206" i="3"/>
  <c r="W206" i="3"/>
  <c r="S208" i="3" l="1"/>
  <c r="Z207" i="3"/>
  <c r="Y207" i="3"/>
  <c r="X207" i="3"/>
  <c r="U207" i="3"/>
  <c r="V207" i="3" s="1"/>
  <c r="T207" i="3"/>
  <c r="W207" i="3"/>
  <c r="S209" i="3" l="1"/>
  <c r="Y208" i="3"/>
  <c r="X208" i="3"/>
  <c r="Z208" i="3"/>
  <c r="T208" i="3"/>
  <c r="U208" i="3"/>
  <c r="V208" i="3" s="1"/>
  <c r="W208" i="3"/>
  <c r="T209" i="3" l="1"/>
  <c r="Y209" i="3"/>
  <c r="X209" i="3"/>
  <c r="Z209" i="3"/>
  <c r="U209" i="3"/>
  <c r="V209" i="3" s="1"/>
  <c r="S210" i="3"/>
  <c r="W209" i="3"/>
  <c r="U210" i="3" l="1"/>
  <c r="V210" i="3" s="1"/>
  <c r="S211" i="3"/>
  <c r="Z210" i="3"/>
  <c r="Y210" i="3"/>
  <c r="X210" i="3"/>
  <c r="T210" i="3"/>
  <c r="W210" i="3"/>
  <c r="S212" i="3" l="1"/>
  <c r="U211" i="3"/>
  <c r="V211" i="3" s="1"/>
  <c r="Z211" i="3"/>
  <c r="Y211" i="3"/>
  <c r="X211" i="3"/>
  <c r="T211" i="3"/>
  <c r="W211" i="3"/>
  <c r="U212" i="3" l="1"/>
  <c r="V212" i="3" s="1"/>
  <c r="S213" i="3"/>
  <c r="Z212" i="3"/>
  <c r="Y212" i="3"/>
  <c r="X212" i="3"/>
  <c r="T212" i="3"/>
  <c r="W212" i="3"/>
  <c r="U213" i="3" l="1"/>
  <c r="V213" i="3" s="1"/>
  <c r="S214" i="3"/>
  <c r="T213" i="3"/>
  <c r="Y213" i="3"/>
  <c r="X213" i="3"/>
  <c r="Z213" i="3"/>
  <c r="W213" i="3"/>
  <c r="U214" i="3" l="1"/>
  <c r="V214" i="3" s="1"/>
  <c r="S215" i="3"/>
  <c r="Z214" i="3"/>
  <c r="Y214" i="3"/>
  <c r="X214" i="3"/>
  <c r="T214" i="3"/>
  <c r="W214" i="3"/>
  <c r="U215" i="3" l="1"/>
  <c r="V215" i="3" s="1"/>
  <c r="S216" i="3"/>
  <c r="Z215" i="3"/>
  <c r="Y215" i="3"/>
  <c r="X215" i="3"/>
  <c r="T215" i="3"/>
  <c r="W215" i="3"/>
  <c r="U216" i="3" l="1"/>
  <c r="V216" i="3" s="1"/>
  <c r="S217" i="3"/>
  <c r="Z216" i="3"/>
  <c r="Y216" i="3"/>
  <c r="X216" i="3"/>
  <c r="T216" i="3"/>
  <c r="W216" i="3"/>
  <c r="T217" i="3" l="1"/>
  <c r="Y217" i="3"/>
  <c r="X217" i="3"/>
  <c r="Z217" i="3"/>
  <c r="U217" i="3"/>
  <c r="V217" i="3" s="1"/>
  <c r="S218" i="3"/>
  <c r="W217" i="3"/>
  <c r="Z218" i="3" l="1"/>
  <c r="Y218" i="3"/>
  <c r="X218" i="3"/>
  <c r="U218" i="3"/>
  <c r="V218" i="3" s="1"/>
  <c r="T218" i="3"/>
  <c r="S219" i="3"/>
  <c r="W218" i="3"/>
  <c r="S220" i="3" l="1"/>
  <c r="Z219" i="3"/>
  <c r="Y219" i="3"/>
  <c r="T219" i="3"/>
  <c r="U219" i="3"/>
  <c r="V219" i="3" s="1"/>
  <c r="X219" i="3"/>
  <c r="W219" i="3"/>
  <c r="Z220" i="3" l="1"/>
  <c r="Y220" i="3"/>
  <c r="X220" i="3"/>
  <c r="T220" i="3"/>
  <c r="U220" i="3"/>
  <c r="V220" i="3" s="1"/>
  <c r="S221" i="3"/>
  <c r="W220" i="3"/>
  <c r="Y221" i="3" l="1"/>
  <c r="Z221" i="3"/>
  <c r="S222" i="3"/>
  <c r="T221" i="3"/>
  <c r="X221" i="3"/>
  <c r="U221" i="3"/>
  <c r="V221" i="3" s="1"/>
  <c r="W221" i="3"/>
  <c r="Z222" i="3" l="1"/>
  <c r="Y222" i="3"/>
  <c r="X222" i="3"/>
  <c r="T222" i="3"/>
  <c r="U222" i="3"/>
  <c r="V222" i="3" s="1"/>
  <c r="S223" i="3"/>
  <c r="W222" i="3"/>
  <c r="Z223" i="3" l="1"/>
  <c r="Y223" i="3"/>
  <c r="X223" i="3"/>
  <c r="T223" i="3"/>
  <c r="S224" i="3"/>
  <c r="U223" i="3"/>
  <c r="V223" i="3" s="1"/>
  <c r="W223" i="3"/>
  <c r="S225" i="3" l="1"/>
  <c r="Y224" i="3"/>
  <c r="T224" i="3"/>
  <c r="U224" i="3"/>
  <c r="V224" i="3" s="1"/>
  <c r="Z224" i="3"/>
  <c r="X224" i="3"/>
  <c r="W224" i="3"/>
  <c r="T225" i="3" l="1"/>
  <c r="Y225" i="3"/>
  <c r="X225" i="3"/>
  <c r="Z225" i="3"/>
  <c r="U225" i="3"/>
  <c r="V225" i="3" s="1"/>
  <c r="S226" i="3"/>
  <c r="W225" i="3"/>
  <c r="S227" i="3" l="1"/>
  <c r="Y226" i="3"/>
  <c r="X226" i="3"/>
  <c r="T226" i="3"/>
  <c r="U226" i="3"/>
  <c r="V226" i="3" s="1"/>
  <c r="Z226" i="3"/>
  <c r="W226" i="3"/>
  <c r="Z227" i="3" l="1"/>
  <c r="Y227" i="3"/>
  <c r="X227" i="3"/>
  <c r="T227" i="3"/>
  <c r="U227" i="3"/>
  <c r="V227" i="3" s="1"/>
  <c r="S228" i="3"/>
  <c r="W227" i="3"/>
  <c r="S229" i="3" l="1"/>
  <c r="Y228" i="3"/>
  <c r="T228" i="3"/>
  <c r="U228" i="3"/>
  <c r="V228" i="3" s="1"/>
  <c r="Z228" i="3"/>
  <c r="X228" i="3"/>
  <c r="W228" i="3"/>
  <c r="Y229" i="3" l="1"/>
  <c r="Z229" i="3"/>
  <c r="U229" i="3"/>
  <c r="V229" i="3" s="1"/>
  <c r="T229" i="3"/>
  <c r="X229" i="3"/>
  <c r="S230" i="3"/>
  <c r="W229" i="3"/>
  <c r="X230" i="3" l="1"/>
  <c r="S231" i="3"/>
  <c r="Z230" i="3"/>
  <c r="Y230" i="3"/>
  <c r="T230" i="3"/>
  <c r="U230" i="3"/>
  <c r="V230" i="3" s="1"/>
  <c r="W230" i="3"/>
  <c r="S232" i="3" l="1"/>
  <c r="Z231" i="3"/>
  <c r="Y231" i="3"/>
  <c r="T231" i="3"/>
  <c r="X231" i="3"/>
  <c r="U231" i="3"/>
  <c r="V231" i="3" s="1"/>
  <c r="W231" i="3"/>
  <c r="S233" i="3" l="1"/>
  <c r="Z232" i="3"/>
  <c r="X232" i="3"/>
  <c r="Y232" i="3"/>
  <c r="T232" i="3"/>
  <c r="U232" i="3"/>
  <c r="V232" i="3" s="1"/>
  <c r="W232" i="3"/>
  <c r="U233" i="3" l="1"/>
  <c r="V233" i="3" s="1"/>
  <c r="S234" i="3"/>
  <c r="T233" i="3"/>
  <c r="Y233" i="3"/>
  <c r="X233" i="3"/>
  <c r="Z233" i="3"/>
  <c r="W233" i="3"/>
  <c r="Y234" i="3" l="1"/>
  <c r="T234" i="3"/>
  <c r="S235" i="3"/>
  <c r="Z234" i="3"/>
  <c r="X234" i="3"/>
  <c r="U234" i="3"/>
  <c r="V234" i="3" s="1"/>
  <c r="W234" i="3"/>
  <c r="Y235" i="3" l="1"/>
  <c r="T235" i="3"/>
  <c r="S236" i="3"/>
  <c r="Z235" i="3"/>
  <c r="X235" i="3"/>
  <c r="U235" i="3"/>
  <c r="V235" i="3" s="1"/>
  <c r="W235" i="3"/>
  <c r="Y236" i="3" l="1"/>
  <c r="Z236" i="3"/>
  <c r="X236" i="3"/>
  <c r="T236" i="3"/>
  <c r="U236" i="3"/>
  <c r="V236" i="3" s="1"/>
  <c r="S237" i="3"/>
  <c r="W236" i="3"/>
  <c r="T237" i="3" l="1"/>
  <c r="Y237" i="3"/>
  <c r="X237" i="3"/>
  <c r="Z237" i="3"/>
  <c r="U237" i="3"/>
  <c r="V237" i="3" s="1"/>
  <c r="S238" i="3"/>
  <c r="W237" i="3"/>
  <c r="Z238" i="3" l="1"/>
  <c r="Y238" i="3"/>
  <c r="X238" i="3"/>
  <c r="T238" i="3"/>
  <c r="U238" i="3"/>
  <c r="V238" i="3" s="1"/>
  <c r="S239" i="3"/>
  <c r="W238" i="3"/>
  <c r="Z239" i="3" l="1"/>
  <c r="Y239" i="3"/>
  <c r="X239" i="3"/>
  <c r="T239" i="3"/>
  <c r="S240" i="3"/>
  <c r="U239" i="3"/>
  <c r="V239" i="3" s="1"/>
  <c r="W239" i="3"/>
  <c r="Z240" i="3" l="1"/>
  <c r="Y240" i="3"/>
  <c r="X240" i="3"/>
  <c r="T240" i="3"/>
  <c r="U240" i="3"/>
  <c r="V240" i="3" s="1"/>
  <c r="S241" i="3"/>
  <c r="W240" i="3"/>
  <c r="U241" i="3" l="1"/>
  <c r="V241" i="3" s="1"/>
  <c r="S242" i="3"/>
  <c r="T241" i="3"/>
  <c r="Y241" i="3"/>
  <c r="X241" i="3"/>
  <c r="Z241" i="3"/>
  <c r="W241" i="3"/>
  <c r="U242" i="3" l="1"/>
  <c r="V242" i="3" s="1"/>
  <c r="S243" i="3"/>
  <c r="Z242" i="3"/>
  <c r="Y242" i="3"/>
  <c r="X242" i="3"/>
  <c r="T242" i="3"/>
  <c r="W242" i="3"/>
  <c r="S244" i="3" l="1"/>
  <c r="Z243" i="3"/>
  <c r="Y243" i="3"/>
  <c r="T243" i="3"/>
  <c r="U243" i="3"/>
  <c r="V243" i="3" s="1"/>
  <c r="X243" i="3"/>
  <c r="W243" i="3"/>
  <c r="U244" i="3" l="1"/>
  <c r="V244" i="3" s="1"/>
  <c r="S245" i="3"/>
  <c r="Z244" i="3"/>
  <c r="Y244" i="3"/>
  <c r="X244" i="3"/>
  <c r="T244" i="3"/>
  <c r="W244" i="3"/>
  <c r="U245" i="3" l="1"/>
  <c r="V245" i="3" s="1"/>
  <c r="S246" i="3"/>
  <c r="W245" i="3"/>
  <c r="T245" i="3"/>
  <c r="X245" i="3"/>
  <c r="Z245" i="3"/>
  <c r="Y245" i="3"/>
  <c r="S247" i="3" l="1"/>
  <c r="Z246" i="3"/>
  <c r="Y246" i="3"/>
  <c r="X246" i="3"/>
  <c r="U246" i="3"/>
  <c r="V246" i="3" s="1"/>
  <c r="T246" i="3"/>
  <c r="W246" i="3"/>
  <c r="S248" i="3" l="1"/>
  <c r="U247" i="3"/>
  <c r="V247" i="3" s="1"/>
  <c r="Z247" i="3"/>
  <c r="Y247" i="3"/>
  <c r="X247" i="3"/>
  <c r="T247" i="3"/>
  <c r="W247" i="3"/>
  <c r="S249" i="3" l="1"/>
  <c r="Z248" i="3"/>
  <c r="Y248" i="3"/>
  <c r="X248" i="3"/>
  <c r="T248" i="3"/>
  <c r="U248" i="3"/>
  <c r="V248" i="3" s="1"/>
  <c r="W248" i="3"/>
  <c r="U249" i="3" l="1"/>
  <c r="V249" i="3" s="1"/>
  <c r="S250" i="3"/>
  <c r="T249" i="3"/>
  <c r="Y249" i="3"/>
  <c r="Z249" i="3"/>
  <c r="X249" i="3"/>
  <c r="W249" i="3"/>
  <c r="S251" i="3" l="1"/>
  <c r="Z250" i="3"/>
  <c r="X250" i="3"/>
  <c r="T250" i="3"/>
  <c r="Y250" i="3"/>
  <c r="U250" i="3"/>
  <c r="V250" i="3" s="1"/>
  <c r="W250" i="3"/>
  <c r="U251" i="3" l="1"/>
  <c r="V251" i="3" s="1"/>
  <c r="S252" i="3"/>
  <c r="Z251" i="3"/>
  <c r="X251" i="3"/>
  <c r="T251" i="3"/>
  <c r="Y251" i="3"/>
  <c r="W251" i="3"/>
  <c r="S253" i="3" l="1"/>
  <c r="Z252" i="3"/>
  <c r="Y252" i="3"/>
  <c r="X252" i="3"/>
  <c r="T252" i="3"/>
  <c r="U252" i="3"/>
  <c r="V252" i="3" s="1"/>
  <c r="W252" i="3"/>
  <c r="U253" i="3" l="1"/>
  <c r="V253" i="3" s="1"/>
  <c r="S254" i="3"/>
  <c r="T253" i="3"/>
  <c r="X253" i="3"/>
  <c r="Z253" i="3"/>
  <c r="Y253" i="3"/>
  <c r="W253" i="3"/>
  <c r="U254" i="3" l="1"/>
  <c r="V254" i="3" s="1"/>
  <c r="S255" i="3"/>
  <c r="Y254" i="3"/>
  <c r="X254" i="3"/>
  <c r="Z254" i="3"/>
  <c r="T254" i="3"/>
  <c r="W254" i="3"/>
  <c r="S256" i="3" l="1"/>
  <c r="Z255" i="3"/>
  <c r="Y255" i="3"/>
  <c r="X255" i="3"/>
  <c r="U255" i="3"/>
  <c r="V255" i="3" s="1"/>
  <c r="T255" i="3"/>
  <c r="W255" i="3"/>
  <c r="S257" i="3" l="1"/>
  <c r="Z256" i="3"/>
  <c r="Y256" i="3"/>
  <c r="T256" i="3"/>
  <c r="X256" i="3"/>
  <c r="U256" i="3"/>
  <c r="V256" i="3" s="1"/>
  <c r="W256" i="3"/>
  <c r="T257" i="3" l="1"/>
  <c r="Y257" i="3"/>
  <c r="X257" i="3"/>
  <c r="Z257" i="3"/>
  <c r="U257" i="3"/>
  <c r="V257" i="3" s="1"/>
  <c r="S258" i="3"/>
  <c r="W257" i="3"/>
  <c r="U258" i="3" l="1"/>
  <c r="V258" i="3" s="1"/>
  <c r="S259" i="3"/>
  <c r="Z258" i="3"/>
  <c r="X258" i="3"/>
  <c r="T258" i="3"/>
  <c r="Y258" i="3"/>
  <c r="W258" i="3"/>
  <c r="S260" i="3" l="1"/>
  <c r="U259" i="3"/>
  <c r="V259" i="3" s="1"/>
  <c r="Z259" i="3"/>
  <c r="Y259" i="3"/>
  <c r="T259" i="3"/>
  <c r="X259" i="3"/>
  <c r="W259" i="3"/>
  <c r="U260" i="3" l="1"/>
  <c r="V260" i="3" s="1"/>
  <c r="S261" i="3"/>
  <c r="Z260" i="3"/>
  <c r="Y260" i="3"/>
  <c r="X260" i="3"/>
  <c r="T260" i="3"/>
  <c r="W260" i="3"/>
  <c r="U261" i="3" l="1"/>
  <c r="V261" i="3" s="1"/>
  <c r="S262" i="3"/>
  <c r="T261" i="3"/>
  <c r="Y261" i="3"/>
  <c r="X261" i="3"/>
  <c r="Z261" i="3"/>
  <c r="W261" i="3"/>
  <c r="U262" i="3" l="1"/>
  <c r="V262" i="3" s="1"/>
  <c r="S263" i="3"/>
  <c r="Z262" i="3"/>
  <c r="Y262" i="3"/>
  <c r="X262" i="3"/>
  <c r="T262" i="3"/>
  <c r="W262" i="3"/>
  <c r="U263" i="3" l="1"/>
  <c r="V263" i="3" s="1"/>
  <c r="S264" i="3"/>
  <c r="Z263" i="3"/>
  <c r="Y263" i="3"/>
  <c r="X263" i="3"/>
  <c r="T263" i="3"/>
  <c r="W263" i="3"/>
  <c r="U264" i="3" l="1"/>
  <c r="V264" i="3" s="1"/>
  <c r="S265" i="3"/>
  <c r="Z264" i="3"/>
  <c r="Y264" i="3"/>
  <c r="X264" i="3"/>
  <c r="T264" i="3"/>
  <c r="W264" i="3"/>
  <c r="T265" i="3" l="1"/>
  <c r="Y265" i="3"/>
  <c r="X265" i="3"/>
  <c r="Z265" i="3"/>
  <c r="S266" i="3"/>
  <c r="U265" i="3"/>
  <c r="V265" i="3" s="1"/>
  <c r="W265" i="3"/>
  <c r="Z266" i="3" l="1"/>
  <c r="Y266" i="3"/>
  <c r="X266" i="3"/>
  <c r="T266" i="3"/>
  <c r="U266" i="3"/>
  <c r="V266" i="3" s="1"/>
  <c r="S267" i="3"/>
  <c r="W266" i="3"/>
  <c r="S268" i="3" l="1"/>
  <c r="Z267" i="3"/>
  <c r="X267" i="3"/>
  <c r="T267" i="3"/>
  <c r="U267" i="3"/>
  <c r="V267" i="3" s="1"/>
  <c r="Y267" i="3"/>
  <c r="W267" i="3"/>
  <c r="Y268" i="3" l="1"/>
  <c r="T268" i="3"/>
  <c r="U268" i="3"/>
  <c r="V268" i="3" s="1"/>
  <c r="Z268" i="3"/>
  <c r="X268" i="3"/>
  <c r="S269" i="3"/>
  <c r="W268" i="3"/>
  <c r="T269" i="3" l="1"/>
  <c r="Y269" i="3"/>
  <c r="Z269" i="3"/>
  <c r="S270" i="3"/>
  <c r="X269" i="3"/>
  <c r="U269" i="3"/>
  <c r="V269" i="3" s="1"/>
  <c r="W269" i="3"/>
  <c r="S271" i="3" l="1"/>
  <c r="Z270" i="3"/>
  <c r="X270" i="3"/>
  <c r="T270" i="3"/>
  <c r="Y270" i="3"/>
  <c r="U270" i="3"/>
  <c r="V270" i="3" s="1"/>
  <c r="W270" i="3"/>
  <c r="Z271" i="3" l="1"/>
  <c r="Y271" i="3"/>
  <c r="X271" i="3"/>
  <c r="T271" i="3"/>
  <c r="U271" i="3"/>
  <c r="V271" i="3" s="1"/>
  <c r="S272" i="3"/>
  <c r="W271" i="3"/>
  <c r="S273" i="3" l="1"/>
  <c r="Z272" i="3"/>
  <c r="Y272" i="3"/>
  <c r="T272" i="3"/>
  <c r="X272" i="3"/>
  <c r="U272" i="3"/>
  <c r="V272" i="3" s="1"/>
  <c r="W272" i="3"/>
  <c r="T273" i="3" l="1"/>
  <c r="Y273" i="3"/>
  <c r="X273" i="3"/>
  <c r="Z273" i="3"/>
  <c r="S274" i="3"/>
  <c r="U273" i="3"/>
  <c r="V273" i="3" s="1"/>
  <c r="W273" i="3"/>
  <c r="S275" i="3" l="1"/>
  <c r="Z274" i="3"/>
  <c r="Y274" i="3"/>
  <c r="X274" i="3"/>
  <c r="U274" i="3"/>
  <c r="V274" i="3" s="1"/>
  <c r="T274" i="3"/>
  <c r="W274" i="3"/>
  <c r="Y275" i="3" l="1"/>
  <c r="T275" i="3"/>
  <c r="S276" i="3"/>
  <c r="Z275" i="3"/>
  <c r="X275" i="3"/>
  <c r="U275" i="3"/>
  <c r="V275" i="3" s="1"/>
  <c r="W275" i="3"/>
  <c r="S277" i="3" l="1"/>
  <c r="Z276" i="3"/>
  <c r="Y276" i="3"/>
  <c r="T276" i="3"/>
  <c r="X276" i="3"/>
  <c r="U276" i="3"/>
  <c r="V276" i="3" s="1"/>
  <c r="W276" i="3"/>
  <c r="T277" i="3" l="1"/>
  <c r="Y277" i="3"/>
  <c r="X277" i="3"/>
  <c r="Z277" i="3"/>
  <c r="U277" i="3"/>
  <c r="V277" i="3" s="1"/>
  <c r="S278" i="3"/>
  <c r="W277" i="3"/>
  <c r="Z278" i="3" l="1"/>
  <c r="Y278" i="3"/>
  <c r="X278" i="3"/>
  <c r="T278" i="3"/>
  <c r="U278" i="3"/>
  <c r="V278" i="3" s="1"/>
  <c r="S279" i="3"/>
  <c r="W278" i="3"/>
  <c r="S280" i="3" l="1"/>
  <c r="Z279" i="3"/>
  <c r="X279" i="3"/>
  <c r="T279" i="3"/>
  <c r="Y279" i="3"/>
  <c r="U279" i="3"/>
  <c r="V279" i="3" s="1"/>
  <c r="W279" i="3"/>
  <c r="S281" i="3" l="1"/>
  <c r="Z280" i="3"/>
  <c r="X280" i="3"/>
  <c r="T280" i="3"/>
  <c r="U280" i="3"/>
  <c r="V280" i="3" s="1"/>
  <c r="Y280" i="3"/>
  <c r="W280" i="3"/>
  <c r="U281" i="3" l="1"/>
  <c r="V281" i="3" s="1"/>
  <c r="S282" i="3"/>
  <c r="T281" i="3"/>
  <c r="Y281" i="3"/>
  <c r="X281" i="3"/>
  <c r="Z281" i="3"/>
  <c r="W281" i="3"/>
  <c r="Y282" i="3" l="1"/>
  <c r="X282" i="3"/>
  <c r="U282" i="3"/>
  <c r="V282" i="3" s="1"/>
  <c r="Z282" i="3"/>
  <c r="T282" i="3"/>
  <c r="S283" i="3"/>
  <c r="W282" i="3"/>
  <c r="Y283" i="3" l="1"/>
  <c r="X283" i="3"/>
  <c r="S284" i="3"/>
  <c r="Z283" i="3"/>
  <c r="T283" i="3"/>
  <c r="U283" i="3"/>
  <c r="V283" i="3" s="1"/>
  <c r="W283" i="3"/>
  <c r="Z284" i="3" l="1"/>
  <c r="Y284" i="3"/>
  <c r="X284" i="3"/>
  <c r="T284" i="3"/>
  <c r="U284" i="3"/>
  <c r="V284" i="3" s="1"/>
  <c r="S285" i="3"/>
  <c r="W284" i="3"/>
  <c r="T285" i="3" l="1"/>
  <c r="Y285" i="3"/>
  <c r="X285" i="3"/>
  <c r="Z285" i="3"/>
  <c r="U285" i="3"/>
  <c r="V285" i="3" s="1"/>
  <c r="S286" i="3"/>
  <c r="W285" i="3"/>
  <c r="Z286" i="3" l="1"/>
  <c r="Y286" i="3"/>
  <c r="X286" i="3"/>
  <c r="T286" i="3"/>
  <c r="U286" i="3"/>
  <c r="V286" i="3" s="1"/>
  <c r="S287" i="3"/>
  <c r="W286" i="3"/>
  <c r="Z287" i="3" l="1"/>
  <c r="Y287" i="3"/>
  <c r="X287" i="3"/>
  <c r="T287" i="3"/>
  <c r="U287" i="3"/>
  <c r="V287" i="3" s="1"/>
  <c r="S288" i="3"/>
  <c r="W287" i="3"/>
  <c r="Z288" i="3" l="1"/>
  <c r="Y288" i="3"/>
  <c r="X288" i="3"/>
  <c r="T288" i="3"/>
  <c r="S289" i="3"/>
  <c r="U288" i="3"/>
  <c r="V288" i="3" s="1"/>
  <c r="W288" i="3"/>
  <c r="U289" i="3" l="1"/>
  <c r="V289" i="3" s="1"/>
  <c r="S290" i="3"/>
  <c r="T289" i="3"/>
  <c r="Y289" i="3"/>
  <c r="X289" i="3"/>
  <c r="Z289" i="3"/>
  <c r="W289" i="3"/>
  <c r="U290" i="3" l="1"/>
  <c r="V290" i="3" s="1"/>
  <c r="S291" i="3"/>
  <c r="Z290" i="3"/>
  <c r="Y290" i="3"/>
  <c r="X290" i="3"/>
  <c r="T290" i="3"/>
  <c r="W290" i="3"/>
  <c r="S292" i="3" l="1"/>
  <c r="Z291" i="3"/>
  <c r="Y291" i="3"/>
  <c r="T291" i="3"/>
  <c r="X291" i="3"/>
  <c r="U291" i="3"/>
  <c r="V291" i="3" s="1"/>
  <c r="W291" i="3"/>
  <c r="U292" i="3" l="1"/>
  <c r="V292" i="3" s="1"/>
  <c r="S293" i="3"/>
  <c r="Z292" i="3"/>
  <c r="Y292" i="3"/>
  <c r="T292" i="3"/>
  <c r="X292" i="3"/>
  <c r="W292" i="3"/>
  <c r="U293" i="3" l="1"/>
  <c r="V293" i="3" s="1"/>
  <c r="S294" i="3"/>
  <c r="T293" i="3"/>
  <c r="Y293" i="3"/>
  <c r="X293" i="3"/>
  <c r="Z293" i="3"/>
  <c r="W293" i="3"/>
  <c r="S295" i="3" l="1"/>
  <c r="Z294" i="3"/>
  <c r="Y294" i="3"/>
  <c r="X294" i="3"/>
  <c r="T294" i="3"/>
  <c r="U294" i="3"/>
  <c r="V294" i="3" s="1"/>
  <c r="W294" i="3"/>
  <c r="S296" i="3" l="1"/>
  <c r="U295" i="3"/>
  <c r="V295" i="3" s="1"/>
  <c r="Z295" i="3"/>
  <c r="Y295" i="3"/>
  <c r="X295" i="3"/>
  <c r="T295" i="3"/>
  <c r="W295" i="3"/>
  <c r="S297" i="3" l="1"/>
  <c r="Z296" i="3"/>
  <c r="X296" i="3"/>
  <c r="Y296" i="3"/>
  <c r="T296" i="3"/>
  <c r="U296" i="3"/>
  <c r="V296" i="3" s="1"/>
  <c r="W296" i="3"/>
  <c r="U297" i="3" l="1"/>
  <c r="V297" i="3" s="1"/>
  <c r="S298" i="3"/>
  <c r="T297" i="3"/>
  <c r="Y297" i="3"/>
  <c r="X297" i="3"/>
  <c r="Z297" i="3"/>
  <c r="W297" i="3"/>
  <c r="S299" i="3" l="1"/>
  <c r="Z298" i="3"/>
  <c r="X298" i="3"/>
  <c r="T298" i="3"/>
  <c r="Y298" i="3"/>
  <c r="U298" i="3"/>
  <c r="V298" i="3" s="1"/>
  <c r="W298" i="3"/>
  <c r="U299" i="3" l="1"/>
  <c r="V299" i="3" s="1"/>
  <c r="S300" i="3"/>
  <c r="Z299" i="3"/>
  <c r="Y299" i="3"/>
  <c r="X299" i="3"/>
  <c r="T299" i="3"/>
  <c r="W299" i="3"/>
  <c r="S301" i="3" l="1"/>
  <c r="Z300" i="3"/>
  <c r="X300" i="3"/>
  <c r="U300" i="3"/>
  <c r="V300" i="3" s="1"/>
  <c r="Y300" i="3"/>
  <c r="T300" i="3"/>
  <c r="W300" i="3"/>
  <c r="U301" i="3" l="1"/>
  <c r="V301" i="3" s="1"/>
  <c r="S302" i="3"/>
  <c r="T301" i="3"/>
  <c r="Y301" i="3"/>
  <c r="X301" i="3"/>
  <c r="Z301" i="3"/>
  <c r="W301" i="3"/>
  <c r="U302" i="3" l="1"/>
  <c r="V302" i="3" s="1"/>
  <c r="S303" i="3"/>
  <c r="Z302" i="3"/>
  <c r="Y302" i="3"/>
  <c r="X302" i="3"/>
  <c r="T302" i="3"/>
  <c r="W302" i="3"/>
  <c r="S304" i="3" l="1"/>
  <c r="Z303" i="3"/>
  <c r="Y303" i="3"/>
  <c r="T303" i="3"/>
  <c r="X303" i="3"/>
  <c r="U303" i="3"/>
  <c r="V303" i="3" s="1"/>
  <c r="W303" i="3"/>
  <c r="S305" i="3" l="1"/>
  <c r="Z304" i="3"/>
  <c r="Y304" i="3"/>
  <c r="X304" i="3"/>
  <c r="T304" i="3"/>
  <c r="U304" i="3"/>
  <c r="V304" i="3" s="1"/>
  <c r="W304" i="3"/>
  <c r="Y305" i="3" l="1"/>
  <c r="X305" i="3"/>
  <c r="U305" i="3"/>
  <c r="V305" i="3" s="1"/>
  <c r="S306" i="3"/>
  <c r="T305" i="3"/>
  <c r="Z305" i="3"/>
  <c r="W305" i="3"/>
  <c r="U306" i="3" l="1"/>
  <c r="V306" i="3" s="1"/>
  <c r="S307" i="3"/>
  <c r="Z306" i="3"/>
  <c r="Y306" i="3"/>
  <c r="X306" i="3"/>
  <c r="T306" i="3"/>
  <c r="W306" i="3"/>
  <c r="S308" i="3" l="1"/>
  <c r="U307" i="3"/>
  <c r="V307" i="3" s="1"/>
  <c r="Z307" i="3"/>
  <c r="Y307" i="3"/>
  <c r="X307" i="3"/>
  <c r="T307" i="3"/>
  <c r="W307" i="3"/>
  <c r="U308" i="3" l="1"/>
  <c r="V308" i="3" s="1"/>
  <c r="S309" i="3"/>
  <c r="Z308" i="3"/>
  <c r="Y308" i="3"/>
  <c r="X308" i="3"/>
  <c r="T308" i="3"/>
  <c r="W308" i="3"/>
  <c r="U309" i="3" l="1"/>
  <c r="V309" i="3" s="1"/>
  <c r="S310" i="3"/>
  <c r="T309" i="3"/>
  <c r="Y309" i="3"/>
  <c r="X309" i="3"/>
  <c r="Z309" i="3"/>
  <c r="W309" i="3"/>
  <c r="U310" i="3" l="1"/>
  <c r="V310" i="3" s="1"/>
  <c r="S311" i="3"/>
  <c r="Z310" i="3"/>
  <c r="Y310" i="3"/>
  <c r="X310" i="3"/>
  <c r="T310" i="3"/>
  <c r="W310" i="3"/>
  <c r="U311" i="3" l="1"/>
  <c r="V311" i="3" s="1"/>
  <c r="S312" i="3"/>
  <c r="Z311" i="3"/>
  <c r="Y311" i="3"/>
  <c r="X311" i="3"/>
  <c r="T311" i="3"/>
  <c r="W311" i="3"/>
  <c r="U312" i="3" l="1"/>
  <c r="V312" i="3" s="1"/>
  <c r="S313" i="3"/>
  <c r="Z312" i="3"/>
  <c r="Y312" i="3"/>
  <c r="X312" i="3"/>
  <c r="T312" i="3"/>
  <c r="W312" i="3"/>
  <c r="T313" i="3" l="1"/>
  <c r="Y313" i="3"/>
  <c r="X313" i="3"/>
  <c r="Z313" i="3"/>
  <c r="U313" i="3"/>
  <c r="V313" i="3" s="1"/>
  <c r="S314" i="3"/>
  <c r="W313" i="3"/>
  <c r="Z314" i="3" l="1"/>
  <c r="Y314" i="3"/>
  <c r="X314" i="3"/>
  <c r="T314" i="3"/>
  <c r="S315" i="3"/>
  <c r="U314" i="3"/>
  <c r="V314" i="3" s="1"/>
  <c r="W314" i="3"/>
  <c r="S316" i="3" l="1"/>
  <c r="Z315" i="3"/>
  <c r="Y315" i="3"/>
  <c r="X315" i="3"/>
  <c r="U315" i="3"/>
  <c r="V315" i="3" s="1"/>
  <c r="T315" i="3"/>
  <c r="W315" i="3"/>
  <c r="Z316" i="3" l="1"/>
  <c r="Y316" i="3"/>
  <c r="X316" i="3"/>
  <c r="T316" i="3"/>
  <c r="S317" i="3"/>
  <c r="U316" i="3"/>
  <c r="V316" i="3" s="1"/>
  <c r="W316" i="3"/>
  <c r="Y317" i="3" l="1"/>
  <c r="Z317" i="3"/>
  <c r="S318" i="3"/>
  <c r="T317" i="3"/>
  <c r="X317" i="3"/>
  <c r="U317" i="3"/>
  <c r="V317" i="3" s="1"/>
  <c r="W317" i="3"/>
  <c r="S319" i="3" l="1"/>
  <c r="Z318" i="3"/>
  <c r="Y318" i="3"/>
  <c r="X318" i="3"/>
  <c r="U318" i="3"/>
  <c r="V318" i="3" s="1"/>
  <c r="T318" i="3"/>
  <c r="W318" i="3"/>
  <c r="Z319" i="3" l="1"/>
  <c r="Y319" i="3"/>
  <c r="X319" i="3"/>
  <c r="T319" i="3"/>
  <c r="S320" i="3"/>
  <c r="U319" i="3"/>
  <c r="V319" i="3" s="1"/>
  <c r="W319" i="3"/>
  <c r="S321" i="3" l="1"/>
  <c r="Z320" i="3"/>
  <c r="Y320" i="3"/>
  <c r="X320" i="3"/>
  <c r="T320" i="3"/>
  <c r="U320" i="3"/>
  <c r="V320" i="3" s="1"/>
  <c r="W320" i="3"/>
  <c r="T321" i="3" l="1"/>
  <c r="Y321" i="3"/>
  <c r="X321" i="3"/>
  <c r="Z321" i="3"/>
  <c r="U321" i="3"/>
  <c r="V321" i="3" s="1"/>
  <c r="S322" i="3"/>
  <c r="W321" i="3"/>
  <c r="S323" i="3" l="1"/>
  <c r="Z322" i="3"/>
  <c r="Y322" i="3"/>
  <c r="T322" i="3"/>
  <c r="U322" i="3"/>
  <c r="V322" i="3" s="1"/>
  <c r="X322" i="3"/>
  <c r="W322" i="3"/>
  <c r="Z323" i="3" l="1"/>
  <c r="Y323" i="3"/>
  <c r="X323" i="3"/>
  <c r="T323" i="3"/>
  <c r="U323" i="3"/>
  <c r="V323" i="3" s="1"/>
  <c r="S324" i="3"/>
  <c r="W323" i="3"/>
  <c r="S325" i="3" l="1"/>
  <c r="Z324" i="3"/>
  <c r="X324" i="3"/>
  <c r="Y324" i="3"/>
  <c r="T324" i="3"/>
  <c r="U324" i="3"/>
  <c r="V324" i="3" s="1"/>
  <c r="W324" i="3"/>
  <c r="T325" i="3" l="1"/>
  <c r="Y325" i="3"/>
  <c r="X325" i="3"/>
  <c r="Z325" i="3"/>
  <c r="S326" i="3"/>
  <c r="U325" i="3"/>
  <c r="V325" i="3" s="1"/>
  <c r="W325" i="3"/>
  <c r="Z326" i="3" l="1"/>
  <c r="Y326" i="3"/>
  <c r="X326" i="3"/>
  <c r="T326" i="3"/>
  <c r="U326" i="3"/>
  <c r="V326" i="3" s="1"/>
  <c r="S327" i="3"/>
  <c r="W326" i="3"/>
  <c r="S328" i="3" l="1"/>
  <c r="Z327" i="3"/>
  <c r="Y327" i="3"/>
  <c r="X327" i="3"/>
  <c r="T327" i="3"/>
  <c r="U327" i="3"/>
  <c r="V327" i="3" s="1"/>
  <c r="W327" i="3"/>
  <c r="S329" i="3" l="1"/>
  <c r="Z328" i="3"/>
  <c r="Y328" i="3"/>
  <c r="T328" i="3"/>
  <c r="U328" i="3"/>
  <c r="V328" i="3" s="1"/>
  <c r="X328" i="3"/>
  <c r="W328" i="3"/>
  <c r="U329" i="3" l="1"/>
  <c r="V329" i="3" s="1"/>
  <c r="S330" i="3"/>
  <c r="T329" i="3"/>
  <c r="X329" i="3"/>
  <c r="Z329" i="3"/>
  <c r="Y329" i="3"/>
  <c r="W329" i="3"/>
  <c r="Z330" i="3" l="1"/>
  <c r="Y330" i="3"/>
  <c r="X330" i="3"/>
  <c r="T330" i="3"/>
  <c r="S331" i="3"/>
  <c r="U330" i="3"/>
  <c r="V330" i="3" s="1"/>
  <c r="W330" i="3"/>
  <c r="Z331" i="3" l="1"/>
  <c r="Y331" i="3"/>
  <c r="X331" i="3"/>
  <c r="T331" i="3"/>
  <c r="U331" i="3"/>
  <c r="V331" i="3" s="1"/>
  <c r="S332" i="3"/>
  <c r="W331" i="3"/>
  <c r="Z332" i="3" l="1"/>
  <c r="Y332" i="3"/>
  <c r="X332" i="3"/>
  <c r="S333" i="3"/>
  <c r="T332" i="3"/>
  <c r="U332" i="3"/>
  <c r="V332" i="3" s="1"/>
  <c r="W332" i="3"/>
  <c r="T333" i="3" l="1"/>
  <c r="Y333" i="3"/>
  <c r="X333" i="3"/>
  <c r="Z333" i="3"/>
  <c r="S334" i="3"/>
  <c r="U333" i="3"/>
  <c r="V333" i="3" s="1"/>
  <c r="W333" i="3"/>
  <c r="Z334" i="3" l="1"/>
  <c r="Y334" i="3"/>
  <c r="X334" i="3"/>
  <c r="T334" i="3"/>
  <c r="U334" i="3"/>
  <c r="V334" i="3" s="1"/>
  <c r="S335" i="3"/>
  <c r="W334" i="3"/>
  <c r="Z335" i="3" l="1"/>
  <c r="Y335" i="3"/>
  <c r="T335" i="3"/>
  <c r="U335" i="3"/>
  <c r="V335" i="3" s="1"/>
  <c r="X335" i="3"/>
  <c r="S336" i="3"/>
  <c r="W335" i="3"/>
  <c r="Z336" i="3" l="1"/>
  <c r="Y336" i="3"/>
  <c r="X336" i="3"/>
  <c r="T336" i="3"/>
  <c r="U336" i="3"/>
  <c r="V336" i="3" s="1"/>
  <c r="S337" i="3"/>
  <c r="W336" i="3"/>
  <c r="U337" i="3" l="1"/>
  <c r="V337" i="3" s="1"/>
  <c r="S338" i="3"/>
  <c r="T337" i="3"/>
  <c r="Y337" i="3"/>
  <c r="X337" i="3"/>
  <c r="Z337" i="3"/>
  <c r="W337" i="3"/>
  <c r="U338" i="3" l="1"/>
  <c r="V338" i="3" s="1"/>
  <c r="S339" i="3"/>
  <c r="Z338" i="3"/>
  <c r="Y338" i="3"/>
  <c r="X338" i="3"/>
  <c r="T338" i="3"/>
  <c r="W338" i="3"/>
  <c r="S340" i="3" l="1"/>
  <c r="Z339" i="3"/>
  <c r="Y339" i="3"/>
  <c r="T339" i="3"/>
  <c r="X339" i="3"/>
  <c r="U339" i="3"/>
  <c r="V339" i="3" s="1"/>
  <c r="W339" i="3"/>
  <c r="U340" i="3" l="1"/>
  <c r="V340" i="3" s="1"/>
  <c r="S341" i="3"/>
  <c r="Z340" i="3"/>
  <c r="Y340" i="3"/>
  <c r="X340" i="3"/>
  <c r="T340" i="3"/>
  <c r="W340" i="3"/>
  <c r="U341" i="3" l="1"/>
  <c r="V341" i="3" s="1"/>
  <c r="S342" i="3"/>
  <c r="T341" i="3"/>
  <c r="Y341" i="3"/>
  <c r="X341" i="3"/>
  <c r="Z341" i="3"/>
  <c r="W341" i="3"/>
  <c r="S343" i="3" l="1"/>
  <c r="Z342" i="3"/>
  <c r="Y342" i="3"/>
  <c r="X342" i="3"/>
  <c r="T342" i="3"/>
  <c r="U342" i="3"/>
  <c r="V342" i="3" s="1"/>
  <c r="W342" i="3"/>
  <c r="S344" i="3" l="1"/>
  <c r="U343" i="3"/>
  <c r="V343" i="3" s="1"/>
  <c r="Z343" i="3"/>
  <c r="X343" i="3"/>
  <c r="T343" i="3"/>
  <c r="Y343" i="3"/>
  <c r="W343" i="3"/>
  <c r="S345" i="3" l="1"/>
  <c r="Z344" i="3"/>
  <c r="Y344" i="3"/>
  <c r="X344" i="3"/>
  <c r="T344" i="3"/>
  <c r="U344" i="3"/>
  <c r="V344" i="3" s="1"/>
  <c r="W344" i="3"/>
  <c r="U345" i="3" l="1"/>
  <c r="V345" i="3" s="1"/>
  <c r="S346" i="3"/>
  <c r="T345" i="3"/>
  <c r="Y345" i="3"/>
  <c r="X345" i="3"/>
  <c r="Z345" i="3"/>
  <c r="W345" i="3"/>
  <c r="S347" i="3" l="1"/>
  <c r="Z346" i="3"/>
  <c r="X346" i="3"/>
  <c r="Y346" i="3"/>
  <c r="T346" i="3"/>
  <c r="U346" i="3"/>
  <c r="V346" i="3" s="1"/>
  <c r="W346" i="3"/>
  <c r="U347" i="3" l="1"/>
  <c r="V347" i="3" s="1"/>
  <c r="S348" i="3"/>
  <c r="Z347" i="3"/>
  <c r="Y347" i="3"/>
  <c r="X347" i="3"/>
  <c r="T347" i="3"/>
  <c r="W347" i="3"/>
  <c r="S349" i="3" l="1"/>
  <c r="Z348" i="3"/>
  <c r="Y348" i="3"/>
  <c r="T348" i="3"/>
  <c r="U348" i="3"/>
  <c r="V348" i="3" s="1"/>
  <c r="X348" i="3"/>
  <c r="W348" i="3"/>
  <c r="U349" i="3" l="1"/>
  <c r="V349" i="3" s="1"/>
  <c r="S350" i="3"/>
  <c r="T349" i="3"/>
  <c r="Y349" i="3"/>
  <c r="X349" i="3"/>
  <c r="Z349" i="3"/>
  <c r="W349" i="3"/>
  <c r="U350" i="3" l="1"/>
  <c r="V350" i="3" s="1"/>
  <c r="S351" i="3"/>
  <c r="Z350" i="3"/>
  <c r="Y350" i="3"/>
  <c r="X350" i="3"/>
  <c r="T350" i="3"/>
  <c r="W350" i="3"/>
  <c r="S352" i="3" l="1"/>
  <c r="Z351" i="3"/>
  <c r="X351" i="3"/>
  <c r="Y351" i="3"/>
  <c r="T351" i="3"/>
  <c r="U351" i="3"/>
  <c r="V351" i="3" s="1"/>
  <c r="W351" i="3"/>
  <c r="S353" i="3" l="1"/>
  <c r="Z352" i="3"/>
  <c r="Y352" i="3"/>
  <c r="T352" i="3"/>
  <c r="U352" i="3"/>
  <c r="V352" i="3" s="1"/>
  <c r="X352" i="3"/>
  <c r="W352" i="3"/>
  <c r="T353" i="3" l="1"/>
  <c r="Y353" i="3"/>
  <c r="X353" i="3"/>
  <c r="U353" i="3"/>
  <c r="V353" i="3" s="1"/>
  <c r="Z353" i="3"/>
  <c r="S354" i="3"/>
  <c r="W353" i="3"/>
  <c r="U354" i="3" l="1"/>
  <c r="V354" i="3" s="1"/>
  <c r="S355" i="3"/>
  <c r="Z354" i="3"/>
  <c r="Y354" i="3"/>
  <c r="X354" i="3"/>
  <c r="T354" i="3"/>
  <c r="W354" i="3"/>
  <c r="S356" i="3" l="1"/>
  <c r="U355" i="3"/>
  <c r="V355" i="3" s="1"/>
  <c r="Z355" i="3"/>
  <c r="Y355" i="3"/>
  <c r="X355" i="3"/>
  <c r="T355" i="3"/>
  <c r="W355" i="3"/>
  <c r="U356" i="3" l="1"/>
  <c r="V356" i="3" s="1"/>
  <c r="S357" i="3"/>
  <c r="Z356" i="3"/>
  <c r="Y356" i="3"/>
  <c r="X356" i="3"/>
  <c r="T356" i="3"/>
  <c r="W356" i="3"/>
  <c r="U357" i="3" l="1"/>
  <c r="V357" i="3" s="1"/>
  <c r="S358" i="3"/>
  <c r="T357" i="3"/>
  <c r="Y357" i="3"/>
  <c r="X357" i="3"/>
  <c r="Z357" i="3"/>
  <c r="W357" i="3"/>
  <c r="U358" i="3" l="1"/>
  <c r="V358" i="3" s="1"/>
  <c r="S359" i="3"/>
  <c r="Z358" i="3"/>
  <c r="Y358" i="3"/>
  <c r="X358" i="3"/>
  <c r="T358" i="3"/>
  <c r="W358" i="3"/>
  <c r="U359" i="3" l="1"/>
  <c r="V359" i="3" s="1"/>
  <c r="S360" i="3"/>
  <c r="Z359" i="3"/>
  <c r="Y359" i="3"/>
  <c r="X359" i="3"/>
  <c r="T359" i="3"/>
  <c r="W359" i="3"/>
  <c r="U360" i="3" l="1"/>
  <c r="V360" i="3" s="1"/>
  <c r="S361" i="3"/>
  <c r="Z360" i="3"/>
  <c r="Y360" i="3"/>
  <c r="T360" i="3"/>
  <c r="X360" i="3"/>
  <c r="W360" i="3"/>
  <c r="T361" i="3" l="1"/>
  <c r="Y361" i="3"/>
  <c r="X361" i="3"/>
  <c r="Z361" i="3"/>
  <c r="S362" i="3"/>
  <c r="U361" i="3"/>
  <c r="V361" i="3" s="1"/>
  <c r="W361" i="3"/>
  <c r="Z362" i="3" l="1"/>
  <c r="Y362" i="3"/>
  <c r="X362" i="3"/>
  <c r="S363" i="3"/>
  <c r="T362" i="3"/>
  <c r="U362" i="3"/>
  <c r="V362" i="3" s="1"/>
  <c r="W362" i="3"/>
  <c r="S364" i="3" l="1"/>
  <c r="Z363" i="3"/>
  <c r="Y363" i="3"/>
  <c r="X363" i="3"/>
  <c r="T363" i="3"/>
  <c r="U363" i="3"/>
  <c r="V363" i="3" s="1"/>
  <c r="W363" i="3"/>
  <c r="Z364" i="3" l="1"/>
  <c r="Y364" i="3"/>
  <c r="X364" i="3"/>
  <c r="T364" i="3"/>
  <c r="S365" i="3"/>
  <c r="U364" i="3"/>
  <c r="V364" i="3" s="1"/>
  <c r="W364" i="3"/>
  <c r="Y365" i="3" l="1"/>
  <c r="Z365" i="3"/>
  <c r="U365" i="3"/>
  <c r="V365" i="3" s="1"/>
  <c r="T365" i="3"/>
  <c r="X365" i="3"/>
  <c r="S366" i="3"/>
  <c r="W365" i="3"/>
  <c r="S367" i="3" l="1"/>
  <c r="Z366" i="3"/>
  <c r="Y366" i="3"/>
  <c r="X366" i="3"/>
  <c r="T366" i="3"/>
  <c r="U366" i="3"/>
  <c r="V366" i="3" s="1"/>
  <c r="W366" i="3"/>
  <c r="Z367" i="3" l="1"/>
  <c r="Y367" i="3"/>
  <c r="X367" i="3"/>
  <c r="T367" i="3"/>
  <c r="S368" i="3"/>
  <c r="U367" i="3"/>
  <c r="V367" i="3" s="1"/>
  <c r="W367" i="3"/>
  <c r="S369" i="3" l="1"/>
  <c r="Z368" i="3"/>
  <c r="Y368" i="3"/>
  <c r="X368" i="3"/>
  <c r="T368" i="3"/>
  <c r="U368" i="3"/>
  <c r="V368" i="3" s="1"/>
  <c r="W368" i="3"/>
  <c r="T369" i="3" l="1"/>
  <c r="Y369" i="3"/>
  <c r="X369" i="3"/>
  <c r="Z369" i="3"/>
  <c r="U369" i="3"/>
  <c r="V369" i="3" s="1"/>
  <c r="S370" i="3"/>
  <c r="W369" i="3"/>
  <c r="S371" i="3" l="1"/>
  <c r="Z370" i="3"/>
  <c r="Y370" i="3"/>
  <c r="X370" i="3"/>
  <c r="T370" i="3"/>
  <c r="U370" i="3"/>
  <c r="V370" i="3" s="1"/>
  <c r="W370" i="3"/>
  <c r="Z371" i="3" l="1"/>
  <c r="Y371" i="3"/>
  <c r="X371" i="3"/>
  <c r="T371" i="3"/>
  <c r="S372" i="3"/>
  <c r="U371" i="3"/>
  <c r="V371" i="3" s="1"/>
  <c r="W371" i="3"/>
  <c r="S373" i="3" l="1"/>
  <c r="Z372" i="3"/>
  <c r="Y372" i="3"/>
  <c r="X372" i="3"/>
  <c r="T372" i="3"/>
  <c r="U372" i="3"/>
  <c r="V372" i="3" s="1"/>
  <c r="W372" i="3"/>
  <c r="T373" i="3" l="1"/>
  <c r="Y373" i="3"/>
  <c r="X373" i="3"/>
  <c r="Z373" i="3"/>
  <c r="U373" i="3"/>
  <c r="V373" i="3" s="1"/>
  <c r="S374" i="3"/>
  <c r="W373" i="3"/>
  <c r="Y374" i="3" l="1"/>
  <c r="T374" i="3"/>
  <c r="U374" i="3"/>
  <c r="V374" i="3" s="1"/>
  <c r="Z374" i="3"/>
  <c r="X374" i="3"/>
  <c r="S375" i="3"/>
  <c r="W374" i="3"/>
  <c r="S376" i="3" l="1"/>
  <c r="Z375" i="3"/>
  <c r="Y375" i="3"/>
  <c r="X375" i="3"/>
  <c r="U375" i="3"/>
  <c r="V375" i="3" s="1"/>
  <c r="T375" i="3"/>
  <c r="W375" i="3"/>
  <c r="S377" i="3" l="1"/>
  <c r="Z376" i="3"/>
  <c r="X376" i="3"/>
  <c r="T376" i="3"/>
  <c r="U376" i="3"/>
  <c r="V376" i="3" s="1"/>
  <c r="Y376" i="3"/>
  <c r="W376" i="3"/>
  <c r="U377" i="3" l="1"/>
  <c r="V377" i="3" s="1"/>
  <c r="S378" i="3"/>
  <c r="T377" i="3"/>
  <c r="Y377" i="3"/>
  <c r="X377" i="3"/>
  <c r="Z377" i="3"/>
  <c r="W377" i="3"/>
  <c r="Z378" i="3" l="1"/>
  <c r="Y378" i="3"/>
  <c r="X378" i="3"/>
  <c r="T378" i="3"/>
  <c r="U378" i="3"/>
  <c r="V378" i="3" s="1"/>
  <c r="S379" i="3"/>
  <c r="W378" i="3"/>
  <c r="Z379" i="3" l="1"/>
  <c r="Y379" i="3"/>
  <c r="X379" i="3"/>
  <c r="T379" i="3"/>
  <c r="S380" i="3"/>
  <c r="U379" i="3"/>
  <c r="V379" i="3" s="1"/>
  <c r="W379" i="3"/>
  <c r="Y380" i="3" l="1"/>
  <c r="X380" i="3"/>
  <c r="U380" i="3"/>
  <c r="V380" i="3" s="1"/>
  <c r="S381" i="3"/>
  <c r="Z380" i="3"/>
  <c r="T380" i="3"/>
  <c r="W380" i="3"/>
  <c r="T381" i="3" l="1"/>
  <c r="Y381" i="3"/>
  <c r="X381" i="3"/>
  <c r="Z381" i="3"/>
  <c r="S382" i="3"/>
  <c r="U381" i="3"/>
  <c r="V381" i="3" s="1"/>
  <c r="W381" i="3"/>
  <c r="Z382" i="3" l="1"/>
  <c r="Y382" i="3"/>
  <c r="X382" i="3"/>
  <c r="T382" i="3"/>
  <c r="U382" i="3"/>
  <c r="V382" i="3" s="1"/>
  <c r="S383" i="3"/>
  <c r="W382" i="3"/>
  <c r="Z383" i="3" l="1"/>
  <c r="Y383" i="3"/>
  <c r="X383" i="3"/>
  <c r="T383" i="3"/>
  <c r="U383" i="3"/>
  <c r="V383" i="3" s="1"/>
  <c r="S384" i="3"/>
  <c r="W383" i="3"/>
  <c r="Z384" i="3" l="1"/>
  <c r="Y384" i="3"/>
  <c r="T384" i="3"/>
  <c r="X384" i="3"/>
  <c r="U384" i="3"/>
  <c r="V384" i="3" s="1"/>
  <c r="S385" i="3"/>
  <c r="W384" i="3"/>
  <c r="U385" i="3" l="1"/>
  <c r="V385" i="3" s="1"/>
  <c r="S386" i="3"/>
  <c r="T385" i="3"/>
  <c r="Y385" i="3"/>
  <c r="X385" i="3"/>
  <c r="Z385" i="3"/>
  <c r="W385" i="3"/>
  <c r="U386" i="3" l="1"/>
  <c r="V386" i="3" s="1"/>
  <c r="S387" i="3"/>
  <c r="Z386" i="3"/>
  <c r="Y386" i="3"/>
  <c r="X386" i="3"/>
  <c r="T386" i="3"/>
  <c r="W386" i="3"/>
  <c r="S388" i="3" l="1"/>
  <c r="Z387" i="3"/>
  <c r="X387" i="3"/>
  <c r="T387" i="3"/>
  <c r="Y387" i="3"/>
  <c r="U387" i="3"/>
  <c r="V387" i="3" s="1"/>
  <c r="W387" i="3"/>
  <c r="U388" i="3" l="1"/>
  <c r="V388" i="3" s="1"/>
  <c r="S389" i="3"/>
  <c r="Z388" i="3"/>
  <c r="Y388" i="3"/>
  <c r="X388" i="3"/>
  <c r="T388" i="3"/>
  <c r="W388" i="3"/>
  <c r="U389" i="3" l="1"/>
  <c r="V389" i="3" s="1"/>
  <c r="S390" i="3"/>
  <c r="T389" i="3"/>
  <c r="Y389" i="3"/>
  <c r="X389" i="3"/>
  <c r="Z389" i="3"/>
  <c r="W389" i="3"/>
  <c r="S391" i="3" l="1"/>
  <c r="Z390" i="3"/>
  <c r="Y390" i="3"/>
  <c r="X390" i="3"/>
  <c r="T390" i="3"/>
  <c r="U390" i="3"/>
  <c r="V390" i="3" s="1"/>
  <c r="W390" i="3"/>
  <c r="S392" i="3" l="1"/>
  <c r="U391" i="3"/>
  <c r="V391" i="3" s="1"/>
  <c r="Z391" i="3"/>
  <c r="Y391" i="3"/>
  <c r="T391" i="3"/>
  <c r="X391" i="3"/>
  <c r="W391" i="3"/>
  <c r="S393" i="3" l="1"/>
  <c r="Z392" i="3"/>
  <c r="Y392" i="3"/>
  <c r="T392" i="3"/>
  <c r="X392" i="3"/>
  <c r="U392" i="3"/>
  <c r="V392" i="3" s="1"/>
  <c r="W392" i="3"/>
  <c r="U393" i="3" l="1"/>
  <c r="V393" i="3" s="1"/>
  <c r="S394" i="3"/>
  <c r="T393" i="3"/>
  <c r="Y393" i="3"/>
  <c r="X393" i="3"/>
  <c r="Z393" i="3"/>
  <c r="W393" i="3"/>
  <c r="S395" i="3" l="1"/>
  <c r="Z394" i="3"/>
  <c r="Y394" i="3"/>
  <c r="X394" i="3"/>
  <c r="U394" i="3"/>
  <c r="V394" i="3" s="1"/>
  <c r="T394" i="3"/>
  <c r="W394" i="3"/>
  <c r="U395" i="3" l="1"/>
  <c r="V395" i="3" s="1"/>
  <c r="S396" i="3"/>
  <c r="Z395" i="3"/>
  <c r="Y395" i="3"/>
  <c r="X395" i="3"/>
  <c r="T395" i="3"/>
  <c r="W395" i="3"/>
  <c r="S397" i="3" l="1"/>
  <c r="Z396" i="3"/>
  <c r="Y396" i="3"/>
  <c r="T396" i="3"/>
  <c r="X396" i="3"/>
  <c r="U396" i="3"/>
  <c r="V396" i="3" s="1"/>
  <c r="W396" i="3"/>
  <c r="U397" i="3" l="1"/>
  <c r="V397" i="3" s="1"/>
  <c r="S398" i="3"/>
  <c r="T397" i="3"/>
  <c r="Y397" i="3"/>
  <c r="X397" i="3"/>
  <c r="Z397" i="3"/>
  <c r="W397" i="3"/>
  <c r="U398" i="3" l="1"/>
  <c r="V398" i="3" s="1"/>
  <c r="S399" i="3"/>
  <c r="Z398" i="3"/>
  <c r="Y398" i="3"/>
  <c r="X398" i="3"/>
  <c r="T398" i="3"/>
  <c r="W398" i="3"/>
  <c r="S400" i="3" l="1"/>
  <c r="Z399" i="3"/>
  <c r="X399" i="3"/>
  <c r="Y399" i="3"/>
  <c r="T399" i="3"/>
  <c r="U399" i="3"/>
  <c r="V399" i="3" s="1"/>
  <c r="W399" i="3"/>
  <c r="S401" i="3" l="1"/>
  <c r="Z400" i="3"/>
  <c r="Y400" i="3"/>
  <c r="T400" i="3"/>
  <c r="X400" i="3"/>
  <c r="U400" i="3"/>
  <c r="V400" i="3" s="1"/>
  <c r="W400" i="3"/>
  <c r="T401" i="3" l="1"/>
  <c r="Y401" i="3"/>
  <c r="X401" i="3"/>
  <c r="Z401" i="3"/>
  <c r="U401" i="3"/>
  <c r="V401" i="3" s="1"/>
  <c r="S402" i="3"/>
  <c r="W401" i="3"/>
  <c r="U402" i="3" l="1"/>
  <c r="V402" i="3" s="1"/>
  <c r="S403" i="3"/>
  <c r="Z402" i="3"/>
  <c r="Y402" i="3"/>
  <c r="X402" i="3"/>
  <c r="T402" i="3"/>
  <c r="W402" i="3"/>
  <c r="S404" i="3" l="1"/>
  <c r="U403" i="3"/>
  <c r="V403" i="3" s="1"/>
  <c r="Z403" i="3"/>
  <c r="Y403" i="3"/>
  <c r="X403" i="3"/>
  <c r="T403" i="3"/>
  <c r="W403" i="3"/>
  <c r="U404" i="3" l="1"/>
  <c r="V404" i="3" s="1"/>
  <c r="S405" i="3"/>
  <c r="Z404" i="3"/>
  <c r="Y404" i="3"/>
  <c r="T404" i="3"/>
  <c r="X404" i="3"/>
  <c r="W404" i="3"/>
  <c r="U405" i="3" l="1"/>
  <c r="V405" i="3" s="1"/>
  <c r="S406" i="3"/>
  <c r="T405" i="3"/>
  <c r="Y405" i="3"/>
  <c r="X405" i="3"/>
  <c r="Z405" i="3"/>
  <c r="W405" i="3"/>
  <c r="U406" i="3" l="1"/>
  <c r="V406" i="3" s="1"/>
  <c r="S407" i="3"/>
  <c r="Z406" i="3"/>
  <c r="Y406" i="3"/>
  <c r="X406" i="3"/>
  <c r="T406" i="3"/>
  <c r="W406" i="3"/>
  <c r="U407" i="3" l="1"/>
  <c r="V407" i="3" s="1"/>
  <c r="S408" i="3"/>
  <c r="Z407" i="3"/>
  <c r="Y407" i="3"/>
  <c r="X407" i="3"/>
  <c r="T407" i="3"/>
  <c r="W407" i="3"/>
  <c r="U408" i="3" l="1"/>
  <c r="V408" i="3" s="1"/>
  <c r="S409" i="3"/>
  <c r="Z408" i="3"/>
  <c r="Y408" i="3"/>
  <c r="X408" i="3"/>
  <c r="T408" i="3"/>
  <c r="W408" i="3"/>
  <c r="T409" i="3" l="1"/>
  <c r="Y409" i="3"/>
  <c r="X409" i="3"/>
  <c r="Z409" i="3"/>
  <c r="S410" i="3"/>
  <c r="U409" i="3"/>
  <c r="V409" i="3" s="1"/>
  <c r="W409" i="3"/>
  <c r="Y410" i="3" l="1"/>
  <c r="T410" i="3"/>
  <c r="U410" i="3"/>
  <c r="V410" i="3" s="1"/>
  <c r="Z410" i="3"/>
  <c r="X410" i="3"/>
  <c r="S411" i="3"/>
  <c r="W410" i="3"/>
  <c r="S412" i="3" l="1"/>
  <c r="Z411" i="3"/>
  <c r="T411" i="3"/>
  <c r="Y411" i="3"/>
  <c r="X411" i="3"/>
  <c r="U411" i="3"/>
  <c r="V411" i="3" s="1"/>
  <c r="W411" i="3"/>
  <c r="Z412" i="3" l="1"/>
  <c r="Y412" i="3"/>
  <c r="X412" i="3"/>
  <c r="T412" i="3"/>
  <c r="U412" i="3"/>
  <c r="V412" i="3" s="1"/>
  <c r="S413" i="3"/>
  <c r="W412" i="3"/>
  <c r="T413" i="3" l="1"/>
  <c r="Y413" i="3"/>
  <c r="X413" i="3"/>
  <c r="Z413" i="3"/>
  <c r="U413" i="3"/>
  <c r="V413" i="3" s="1"/>
  <c r="S414" i="3"/>
  <c r="W413" i="3"/>
  <c r="S415" i="3" l="1"/>
  <c r="Z414" i="3"/>
  <c r="Y414" i="3"/>
  <c r="X414" i="3"/>
  <c r="T414" i="3"/>
  <c r="U414" i="3"/>
  <c r="V414" i="3" s="1"/>
  <c r="W414" i="3"/>
  <c r="Z415" i="3" l="1"/>
  <c r="Y415" i="3"/>
  <c r="X415" i="3"/>
  <c r="U415" i="3"/>
  <c r="V415" i="3" s="1"/>
  <c r="T415" i="3"/>
  <c r="S416" i="3"/>
  <c r="W415" i="3"/>
  <c r="S417" i="3" l="1"/>
  <c r="Z416" i="3"/>
  <c r="Y416" i="3"/>
  <c r="X416" i="3"/>
  <c r="T416" i="3"/>
  <c r="U416" i="3"/>
  <c r="V416" i="3" s="1"/>
  <c r="W416" i="3"/>
  <c r="T417" i="3" l="1"/>
  <c r="Y417" i="3"/>
  <c r="X417" i="3"/>
  <c r="Z417" i="3"/>
  <c r="U417" i="3"/>
  <c r="V417" i="3" s="1"/>
  <c r="S418" i="3"/>
  <c r="W417" i="3"/>
  <c r="S419" i="3" l="1"/>
  <c r="Z418" i="3"/>
  <c r="Y418" i="3"/>
  <c r="X418" i="3"/>
  <c r="T418" i="3"/>
  <c r="U418" i="3"/>
  <c r="V418" i="3" s="1"/>
  <c r="W418" i="3"/>
  <c r="Z419" i="3" l="1"/>
  <c r="Y419" i="3"/>
  <c r="X419" i="3"/>
  <c r="T419" i="3"/>
  <c r="U419" i="3"/>
  <c r="V419" i="3" s="1"/>
  <c r="S420" i="3"/>
  <c r="W419" i="3"/>
  <c r="S421" i="3" l="1"/>
  <c r="Z420" i="3"/>
  <c r="X420" i="3"/>
  <c r="U420" i="3"/>
  <c r="V420" i="3" s="1"/>
  <c r="Y420" i="3"/>
  <c r="T420" i="3"/>
  <c r="W420" i="3"/>
  <c r="T421" i="3" l="1"/>
  <c r="Y421" i="3"/>
  <c r="X421" i="3"/>
  <c r="U421" i="3"/>
  <c r="V421" i="3" s="1"/>
  <c r="S422" i="3"/>
  <c r="Z421" i="3"/>
  <c r="W421" i="3"/>
  <c r="Y422" i="3" l="1"/>
  <c r="U422" i="3"/>
  <c r="V422" i="3" s="1"/>
  <c r="Z422" i="3"/>
  <c r="X422" i="3"/>
  <c r="T422" i="3"/>
  <c r="S423" i="3"/>
  <c r="W422" i="3"/>
  <c r="S424" i="3" l="1"/>
  <c r="Z423" i="3"/>
  <c r="Y423" i="3"/>
  <c r="X423" i="3"/>
  <c r="T423" i="3"/>
  <c r="U423" i="3"/>
  <c r="V423" i="3" s="1"/>
  <c r="W423" i="3"/>
  <c r="S425" i="3" l="1"/>
  <c r="Z424" i="3"/>
  <c r="Y424" i="3"/>
  <c r="X424" i="3"/>
  <c r="U424" i="3"/>
  <c r="V424" i="3" s="1"/>
  <c r="T424" i="3"/>
  <c r="W424" i="3"/>
  <c r="U425" i="3" l="1"/>
  <c r="V425" i="3" s="1"/>
  <c r="S426" i="3"/>
  <c r="T425" i="3"/>
  <c r="Y425" i="3"/>
  <c r="X425" i="3"/>
  <c r="Z425" i="3"/>
  <c r="W425" i="3"/>
  <c r="Z426" i="3" l="1"/>
  <c r="Y426" i="3"/>
  <c r="X426" i="3"/>
  <c r="T426" i="3"/>
  <c r="U426" i="3"/>
  <c r="V426" i="3" s="1"/>
  <c r="S427" i="3"/>
  <c r="W426" i="3"/>
  <c r="Z427" i="3" l="1"/>
  <c r="Y427" i="3"/>
  <c r="X427" i="3"/>
  <c r="T427" i="3"/>
  <c r="U427" i="3"/>
  <c r="V427" i="3" s="1"/>
  <c r="S428" i="3"/>
  <c r="W427" i="3"/>
  <c r="Z428" i="3" l="1"/>
  <c r="Y428" i="3"/>
  <c r="T428" i="3"/>
  <c r="S429" i="3"/>
  <c r="X428" i="3"/>
  <c r="U428" i="3"/>
  <c r="V428" i="3" s="1"/>
  <c r="W428" i="3"/>
  <c r="Y429" i="3" l="1"/>
  <c r="Z429" i="3"/>
  <c r="S430" i="3"/>
  <c r="T429" i="3"/>
  <c r="X429" i="3"/>
  <c r="U429" i="3"/>
  <c r="V429" i="3" s="1"/>
  <c r="W429" i="3"/>
  <c r="Y430" i="3" l="1"/>
  <c r="X430" i="3"/>
  <c r="T430" i="3"/>
  <c r="U430" i="3"/>
  <c r="V430" i="3" s="1"/>
  <c r="Z430" i="3"/>
  <c r="S431" i="3"/>
  <c r="W430" i="3"/>
  <c r="Z431" i="3" l="1"/>
  <c r="Y431" i="3"/>
  <c r="X431" i="3"/>
  <c r="S432" i="3"/>
  <c r="T431" i="3"/>
  <c r="U431" i="3"/>
  <c r="V431" i="3" s="1"/>
  <c r="W431" i="3"/>
  <c r="Y432" i="3" l="1"/>
  <c r="T432" i="3"/>
  <c r="U432" i="3"/>
  <c r="V432" i="3" s="1"/>
  <c r="Z432" i="3"/>
  <c r="X432" i="3"/>
  <c r="S433" i="3"/>
  <c r="W432" i="3"/>
  <c r="U433" i="3" l="1"/>
  <c r="V433" i="3" s="1"/>
  <c r="S434" i="3"/>
  <c r="Y433" i="3"/>
  <c r="Z433" i="3"/>
  <c r="T433" i="3"/>
  <c r="X433" i="3"/>
  <c r="W433" i="3"/>
  <c r="U434" i="3" l="1"/>
  <c r="V434" i="3" s="1"/>
  <c r="S435" i="3"/>
  <c r="Z434" i="3"/>
  <c r="X434" i="3"/>
  <c r="T434" i="3"/>
  <c r="Y434" i="3"/>
  <c r="W434" i="3"/>
  <c r="S436" i="3" l="1"/>
  <c r="Y435" i="3"/>
  <c r="T435" i="3"/>
  <c r="Z435" i="3"/>
  <c r="X435" i="3"/>
  <c r="U435" i="3"/>
  <c r="V435" i="3" s="1"/>
  <c r="W435" i="3"/>
  <c r="U436" i="3" l="1"/>
  <c r="V436" i="3" s="1"/>
  <c r="S437" i="3"/>
  <c r="Z436" i="3"/>
  <c r="Y436" i="3"/>
  <c r="X436" i="3"/>
  <c r="T436" i="3"/>
  <c r="W436" i="3"/>
  <c r="U437" i="3" l="1"/>
  <c r="V437" i="3" s="1"/>
  <c r="S438" i="3"/>
  <c r="T437" i="3"/>
  <c r="Y437" i="3"/>
  <c r="X437" i="3"/>
  <c r="Z437" i="3"/>
  <c r="W437" i="3"/>
  <c r="S439" i="3" l="1"/>
  <c r="Z438" i="3"/>
  <c r="Y438" i="3"/>
  <c r="X438" i="3"/>
  <c r="T438" i="3"/>
  <c r="U438" i="3"/>
  <c r="V438" i="3" s="1"/>
  <c r="W438" i="3"/>
  <c r="S440" i="3" l="1"/>
  <c r="U439" i="3"/>
  <c r="V439" i="3" s="1"/>
  <c r="Z439" i="3"/>
  <c r="Y439" i="3"/>
  <c r="X439" i="3"/>
  <c r="T439" i="3"/>
  <c r="W439" i="3"/>
  <c r="S441" i="3" l="1"/>
  <c r="Z440" i="3"/>
  <c r="Y440" i="3"/>
  <c r="X440" i="3"/>
  <c r="T440" i="3"/>
  <c r="U440" i="3"/>
  <c r="V440" i="3" s="1"/>
  <c r="W440" i="3"/>
  <c r="U441" i="3" l="1"/>
  <c r="V441" i="3" s="1"/>
  <c r="S442" i="3"/>
  <c r="T441" i="3"/>
  <c r="Y441" i="3"/>
  <c r="Z441" i="3"/>
  <c r="X441" i="3"/>
  <c r="W441" i="3"/>
  <c r="S443" i="3" l="1"/>
  <c r="Z442" i="3"/>
  <c r="X442" i="3"/>
  <c r="T442" i="3"/>
  <c r="Y442" i="3"/>
  <c r="U442" i="3"/>
  <c r="V442" i="3" s="1"/>
  <c r="W442" i="3"/>
  <c r="U443" i="3" l="1"/>
  <c r="V443" i="3" s="1"/>
  <c r="S444" i="3"/>
  <c r="Z443" i="3"/>
  <c r="Y443" i="3"/>
  <c r="X443" i="3"/>
  <c r="T443" i="3"/>
  <c r="W443" i="3"/>
  <c r="S445" i="3" l="1"/>
  <c r="Z444" i="3"/>
  <c r="Y444" i="3"/>
  <c r="X444" i="3"/>
  <c r="T444" i="3"/>
  <c r="U444" i="3"/>
  <c r="V444" i="3" s="1"/>
  <c r="W444" i="3"/>
  <c r="U445" i="3" l="1"/>
  <c r="V445" i="3" s="1"/>
  <c r="S446" i="3"/>
  <c r="T445" i="3"/>
  <c r="Y445" i="3"/>
  <c r="X445" i="3"/>
  <c r="Z445" i="3"/>
  <c r="W445" i="3"/>
  <c r="U446" i="3" l="1"/>
  <c r="V446" i="3" s="1"/>
  <c r="S447" i="3"/>
  <c r="Y446" i="3"/>
  <c r="X446" i="3"/>
  <c r="Z446" i="3"/>
  <c r="T446" i="3"/>
  <c r="W446" i="3"/>
  <c r="S448" i="3" l="1"/>
  <c r="Z447" i="3"/>
  <c r="Y447" i="3"/>
  <c r="X447" i="3"/>
  <c r="U447" i="3"/>
  <c r="V447" i="3" s="1"/>
  <c r="T447" i="3"/>
  <c r="W447" i="3"/>
  <c r="S449" i="3" l="1"/>
  <c r="Y448" i="3"/>
  <c r="T448" i="3"/>
  <c r="U448" i="3"/>
  <c r="V448" i="3" s="1"/>
  <c r="Z448" i="3"/>
  <c r="X448" i="3"/>
  <c r="W448" i="3"/>
  <c r="T449" i="3" l="1"/>
  <c r="Y449" i="3"/>
  <c r="X449" i="3"/>
  <c r="Z449" i="3"/>
  <c r="S450" i="3"/>
  <c r="U449" i="3"/>
  <c r="V449" i="3" s="1"/>
  <c r="W449" i="3"/>
  <c r="U450" i="3" l="1"/>
  <c r="V450" i="3" s="1"/>
  <c r="S451" i="3"/>
  <c r="Z450" i="3"/>
  <c r="Y450" i="3"/>
  <c r="X450" i="3"/>
  <c r="T450" i="3"/>
  <c r="W450" i="3"/>
  <c r="S452" i="3" l="1"/>
  <c r="U451" i="3"/>
  <c r="V451" i="3" s="1"/>
  <c r="Z451" i="3"/>
  <c r="Y451" i="3"/>
  <c r="X451" i="3"/>
  <c r="T451" i="3"/>
  <c r="W451" i="3"/>
  <c r="U452" i="3" l="1"/>
  <c r="V452" i="3" s="1"/>
  <c r="S453" i="3"/>
  <c r="Z452" i="3"/>
  <c r="Y452" i="3"/>
  <c r="X452" i="3"/>
  <c r="T452" i="3"/>
  <c r="W452" i="3"/>
  <c r="U453" i="3" l="1"/>
  <c r="V453" i="3" s="1"/>
  <c r="S454" i="3"/>
  <c r="T453" i="3"/>
  <c r="Y453" i="3"/>
  <c r="X453" i="3"/>
  <c r="Z453" i="3"/>
  <c r="W453" i="3"/>
  <c r="U454" i="3" l="1"/>
  <c r="V454" i="3" s="1"/>
  <c r="S455" i="3"/>
  <c r="Z454" i="3"/>
  <c r="Y454" i="3"/>
  <c r="X454" i="3"/>
  <c r="T454" i="3"/>
  <c r="W454" i="3"/>
  <c r="U455" i="3" l="1"/>
  <c r="V455" i="3" s="1"/>
  <c r="S456" i="3"/>
  <c r="Z455" i="3"/>
  <c r="Y455" i="3"/>
  <c r="X455" i="3"/>
  <c r="T455" i="3"/>
  <c r="W455" i="3"/>
  <c r="U456" i="3" l="1"/>
  <c r="V456" i="3" s="1"/>
  <c r="S457" i="3"/>
  <c r="Z456" i="3"/>
  <c r="Y456" i="3"/>
  <c r="X456" i="3"/>
  <c r="T456" i="3"/>
  <c r="W456" i="3"/>
  <c r="Y457" i="3" l="1"/>
  <c r="Z457" i="3"/>
  <c r="S458" i="3"/>
  <c r="T457" i="3"/>
  <c r="X457" i="3"/>
  <c r="U457" i="3"/>
  <c r="V457" i="3" s="1"/>
  <c r="W457" i="3"/>
  <c r="Z458" i="3" l="1"/>
  <c r="Y458" i="3"/>
  <c r="X458" i="3"/>
  <c r="T458" i="3"/>
  <c r="S459" i="3"/>
  <c r="U458" i="3"/>
  <c r="V458" i="3" s="1"/>
  <c r="W458" i="3"/>
  <c r="S460" i="3" l="1"/>
  <c r="Z459" i="3"/>
  <c r="Y459" i="3"/>
  <c r="X459" i="3"/>
  <c r="T459" i="3"/>
  <c r="U459" i="3"/>
  <c r="V459" i="3" s="1"/>
  <c r="W459" i="3"/>
  <c r="Z460" i="3" l="1"/>
  <c r="Y460" i="3"/>
  <c r="X460" i="3"/>
  <c r="T460" i="3"/>
  <c r="U460" i="3"/>
  <c r="V460" i="3" s="1"/>
  <c r="S461" i="3"/>
  <c r="W460" i="3"/>
  <c r="T461" i="3" l="1"/>
  <c r="Y461" i="3"/>
  <c r="X461" i="3"/>
  <c r="Z461" i="3"/>
  <c r="U461" i="3"/>
  <c r="V461" i="3" s="1"/>
  <c r="S462" i="3"/>
  <c r="W461" i="3"/>
  <c r="S463" i="3" l="1"/>
  <c r="Z462" i="3"/>
  <c r="Y462" i="3"/>
  <c r="X462" i="3"/>
  <c r="T462" i="3"/>
  <c r="U462" i="3"/>
  <c r="V462" i="3" s="1"/>
  <c r="W462" i="3"/>
  <c r="Z463" i="3" l="1"/>
  <c r="Y463" i="3"/>
  <c r="X463" i="3"/>
  <c r="T463" i="3"/>
  <c r="S464" i="3"/>
  <c r="U463" i="3"/>
  <c r="V463" i="3" s="1"/>
  <c r="W463" i="3"/>
  <c r="S465" i="3" l="1"/>
  <c r="Z464" i="3"/>
  <c r="Y464" i="3"/>
  <c r="X464" i="3"/>
  <c r="T464" i="3"/>
  <c r="U464" i="3"/>
  <c r="V464" i="3" s="1"/>
  <c r="W464" i="3"/>
  <c r="T465" i="3" l="1"/>
  <c r="X465" i="3"/>
  <c r="Z465" i="3"/>
  <c r="U465" i="3"/>
  <c r="V465" i="3" s="1"/>
  <c r="Y465" i="3"/>
  <c r="S466" i="3"/>
  <c r="W465" i="3"/>
  <c r="S467" i="3" l="1"/>
  <c r="Z466" i="3"/>
  <c r="X466" i="3"/>
  <c r="T466" i="3"/>
  <c r="Y466" i="3"/>
  <c r="U466" i="3"/>
  <c r="V466" i="3" s="1"/>
  <c r="W466" i="3"/>
  <c r="Z467" i="3" l="1"/>
  <c r="T467" i="3"/>
  <c r="U467" i="3"/>
  <c r="V467" i="3" s="1"/>
  <c r="X467" i="3"/>
  <c r="S468" i="3"/>
  <c r="Y467" i="3"/>
  <c r="W467" i="3"/>
  <c r="S469" i="3" l="1"/>
  <c r="Y468" i="3"/>
  <c r="X468" i="3"/>
  <c r="Z468" i="3"/>
  <c r="T468" i="3"/>
  <c r="U468" i="3"/>
  <c r="V468" i="3" s="1"/>
  <c r="W468" i="3"/>
  <c r="T469" i="3" l="1"/>
  <c r="Y469" i="3"/>
  <c r="X469" i="3"/>
  <c r="Z469" i="3"/>
  <c r="U469" i="3"/>
  <c r="V469" i="3" s="1"/>
  <c r="S470" i="3"/>
  <c r="W469" i="3"/>
  <c r="Z470" i="3" l="1"/>
  <c r="Y470" i="3"/>
  <c r="X470" i="3"/>
  <c r="U470" i="3"/>
  <c r="V470" i="3" s="1"/>
  <c r="S471" i="3"/>
  <c r="T470" i="3"/>
  <c r="W470" i="3"/>
  <c r="S472" i="3" l="1"/>
  <c r="Z471" i="3"/>
  <c r="Y471" i="3"/>
  <c r="X471" i="3"/>
  <c r="T471" i="3"/>
  <c r="U471" i="3"/>
  <c r="V471" i="3" s="1"/>
  <c r="W471" i="3"/>
  <c r="S473" i="3" l="1"/>
  <c r="T472" i="3"/>
  <c r="Z472" i="3"/>
  <c r="X472" i="3"/>
  <c r="U472" i="3"/>
  <c r="V472" i="3" s="1"/>
  <c r="Y472" i="3"/>
  <c r="W472" i="3"/>
  <c r="U473" i="3" l="1"/>
  <c r="V473" i="3" s="1"/>
  <c r="S474" i="3"/>
  <c r="T473" i="3"/>
  <c r="Y473" i="3"/>
  <c r="X473" i="3"/>
  <c r="Z473" i="3"/>
  <c r="W473" i="3"/>
  <c r="X474" i="3" l="1"/>
  <c r="S475" i="3"/>
  <c r="Z474" i="3"/>
  <c r="Y474" i="3"/>
  <c r="T474" i="3"/>
  <c r="U474" i="3"/>
  <c r="V474" i="3" s="1"/>
  <c r="W474" i="3"/>
  <c r="Z475" i="3" l="1"/>
  <c r="X475" i="3"/>
  <c r="U475" i="3"/>
  <c r="V475" i="3" s="1"/>
  <c r="Y475" i="3"/>
  <c r="T475" i="3"/>
  <c r="S476" i="3"/>
  <c r="W475" i="3"/>
  <c r="Y476" i="3" l="1"/>
  <c r="X476" i="3"/>
  <c r="U476" i="3"/>
  <c r="V476" i="3" s="1"/>
  <c r="Z476" i="3"/>
  <c r="S477" i="3"/>
  <c r="T476" i="3"/>
  <c r="W476" i="3"/>
  <c r="T477" i="3" l="1"/>
  <c r="Y477" i="3"/>
  <c r="Z477" i="3"/>
  <c r="U477" i="3"/>
  <c r="V477" i="3" s="1"/>
  <c r="S478" i="3"/>
  <c r="X477" i="3"/>
  <c r="W477" i="3"/>
  <c r="Z478" i="3" l="1"/>
  <c r="X478" i="3"/>
  <c r="T478" i="3"/>
  <c r="S479" i="3"/>
  <c r="Y478" i="3"/>
  <c r="U478" i="3"/>
  <c r="V478" i="3" s="1"/>
  <c r="W478" i="3"/>
  <c r="Y479" i="3" l="1"/>
  <c r="X479" i="3"/>
  <c r="U479" i="3"/>
  <c r="V479" i="3" s="1"/>
  <c r="Z479" i="3"/>
  <c r="T479" i="3"/>
  <c r="S480" i="3"/>
  <c r="W479" i="3"/>
  <c r="Z480" i="3" l="1"/>
  <c r="Y480" i="3"/>
  <c r="X480" i="3"/>
  <c r="U480" i="3"/>
  <c r="V480" i="3" s="1"/>
  <c r="S481" i="3"/>
  <c r="T480" i="3"/>
  <c r="W480" i="3"/>
  <c r="U481" i="3" l="1"/>
  <c r="V481" i="3" s="1"/>
  <c r="S482" i="3"/>
  <c r="T481" i="3"/>
  <c r="X481" i="3"/>
  <c r="Z481" i="3"/>
  <c r="Y481" i="3"/>
  <c r="W481" i="3"/>
  <c r="U482" i="3" l="1"/>
  <c r="V482" i="3" s="1"/>
  <c r="S483" i="3"/>
  <c r="X482" i="3"/>
  <c r="Z482" i="3"/>
  <c r="Y482" i="3"/>
  <c r="T482" i="3"/>
  <c r="W482" i="3"/>
  <c r="S484" i="3" l="1"/>
  <c r="Y483" i="3"/>
  <c r="T483" i="3"/>
  <c r="Z483" i="3"/>
  <c r="X483" i="3"/>
  <c r="U483" i="3"/>
  <c r="V483" i="3" s="1"/>
  <c r="W483" i="3"/>
  <c r="U484" i="3" l="1"/>
  <c r="V484" i="3" s="1"/>
  <c r="S485" i="3"/>
  <c r="Z484" i="3"/>
  <c r="Y484" i="3"/>
  <c r="X484" i="3"/>
  <c r="T484" i="3"/>
  <c r="W484" i="3"/>
  <c r="U485" i="3" l="1"/>
  <c r="V485" i="3" s="1"/>
  <c r="S486" i="3"/>
  <c r="T485" i="3"/>
  <c r="Y485" i="3"/>
  <c r="X485" i="3"/>
  <c r="Z485" i="3"/>
  <c r="W485" i="3"/>
  <c r="S487" i="3" l="1"/>
  <c r="Z486" i="3"/>
  <c r="Y486" i="3"/>
  <c r="X486" i="3"/>
  <c r="T486" i="3"/>
  <c r="U486" i="3"/>
  <c r="V486" i="3" s="1"/>
  <c r="W486" i="3"/>
  <c r="S488" i="3" l="1"/>
  <c r="U487" i="3"/>
  <c r="V487" i="3" s="1"/>
  <c r="Z487" i="3"/>
  <c r="Y487" i="3"/>
  <c r="T487" i="3"/>
  <c r="X487" i="3"/>
  <c r="W487" i="3"/>
  <c r="S489" i="3" l="1"/>
  <c r="Y488" i="3"/>
  <c r="X488" i="3"/>
  <c r="Z488" i="3"/>
  <c r="T488" i="3"/>
  <c r="U488" i="3"/>
  <c r="V488" i="3" s="1"/>
  <c r="W488" i="3"/>
  <c r="U489" i="3" l="1"/>
  <c r="V489" i="3" s="1"/>
  <c r="S490" i="3"/>
  <c r="T489" i="3"/>
  <c r="Y489" i="3"/>
  <c r="X489" i="3"/>
  <c r="Z489" i="3"/>
  <c r="W489" i="3"/>
  <c r="S491" i="3" l="1"/>
  <c r="Z490" i="3"/>
  <c r="X490" i="3"/>
  <c r="T490" i="3"/>
  <c r="U490" i="3"/>
  <c r="V490" i="3" s="1"/>
  <c r="Y490" i="3"/>
  <c r="W490" i="3"/>
  <c r="U491" i="3" l="1"/>
  <c r="V491" i="3" s="1"/>
  <c r="S492" i="3"/>
  <c r="Y491" i="3"/>
  <c r="X491" i="3"/>
  <c r="Z491" i="3"/>
  <c r="T491" i="3"/>
  <c r="W491" i="3"/>
  <c r="S493" i="3" l="1"/>
  <c r="Z492" i="3"/>
  <c r="X492" i="3"/>
  <c r="T492" i="3"/>
  <c r="U492" i="3"/>
  <c r="V492" i="3" s="1"/>
  <c r="Y492" i="3"/>
  <c r="W492" i="3"/>
  <c r="U493" i="3" l="1"/>
  <c r="V493" i="3" s="1"/>
  <c r="S494" i="3"/>
  <c r="T493" i="3"/>
  <c r="Y493" i="3"/>
  <c r="Z493" i="3"/>
  <c r="X493" i="3"/>
  <c r="W493" i="3"/>
  <c r="U494" i="3" l="1"/>
  <c r="V494" i="3" s="1"/>
  <c r="S495" i="3"/>
  <c r="Z494" i="3"/>
  <c r="X494" i="3"/>
  <c r="Y494" i="3"/>
  <c r="T494" i="3"/>
  <c r="W494" i="3"/>
  <c r="S496" i="3" l="1"/>
  <c r="Y495" i="3"/>
  <c r="T495" i="3"/>
  <c r="U495" i="3"/>
  <c r="V495" i="3" s="1"/>
  <c r="Z495" i="3"/>
  <c r="X495" i="3"/>
  <c r="W495" i="3"/>
  <c r="S497" i="3" l="1"/>
  <c r="Z496" i="3"/>
  <c r="X496" i="3"/>
  <c r="T496" i="3"/>
  <c r="U496" i="3"/>
  <c r="V496" i="3" s="1"/>
  <c r="Y496" i="3"/>
  <c r="W496" i="3"/>
  <c r="T497" i="3" l="1"/>
  <c r="Y497" i="3"/>
  <c r="Z497" i="3"/>
  <c r="X497" i="3"/>
  <c r="U497" i="3"/>
  <c r="V497" i="3" s="1"/>
  <c r="S498" i="3"/>
  <c r="W497" i="3"/>
  <c r="U498" i="3" l="1"/>
  <c r="V498" i="3" s="1"/>
  <c r="S499" i="3"/>
  <c r="Z498" i="3"/>
  <c r="Y498" i="3"/>
  <c r="T498" i="3"/>
  <c r="X498" i="3"/>
  <c r="W498" i="3"/>
  <c r="S500" i="3" l="1"/>
  <c r="U499" i="3"/>
  <c r="V499" i="3" s="1"/>
  <c r="Z499" i="3"/>
  <c r="Y499" i="3"/>
  <c r="X499" i="3"/>
  <c r="T499" i="3"/>
  <c r="W499" i="3"/>
  <c r="U500" i="3" l="1"/>
  <c r="V500" i="3" s="1"/>
  <c r="S501" i="3"/>
  <c r="Y500" i="3"/>
  <c r="Z500" i="3"/>
  <c r="X500" i="3"/>
  <c r="T500" i="3"/>
  <c r="W500" i="3"/>
  <c r="U501" i="3" l="1"/>
  <c r="V501" i="3" s="1"/>
  <c r="S502" i="3"/>
  <c r="T501" i="3"/>
  <c r="Y501" i="3"/>
  <c r="Z501" i="3"/>
  <c r="X501" i="3"/>
  <c r="W501" i="3"/>
  <c r="U502" i="3" l="1"/>
  <c r="V502" i="3" s="1"/>
  <c r="S503" i="3"/>
  <c r="Z502" i="3"/>
  <c r="Y502" i="3"/>
  <c r="X502" i="3"/>
  <c r="T502" i="3"/>
  <c r="W502" i="3"/>
  <c r="S504" i="3" l="1"/>
  <c r="Z503" i="3"/>
  <c r="Y503" i="3"/>
  <c r="X503" i="3"/>
  <c r="T503" i="3"/>
  <c r="U503" i="3"/>
  <c r="V503" i="3" s="1"/>
  <c r="W503" i="3"/>
  <c r="U504" i="3" l="1"/>
  <c r="V504" i="3" s="1"/>
  <c r="S505" i="3"/>
  <c r="Y504" i="3"/>
  <c r="T504" i="3"/>
  <c r="Z504" i="3"/>
  <c r="X504" i="3"/>
  <c r="W504" i="3"/>
  <c r="T505" i="3" l="1"/>
  <c r="Y505" i="3"/>
  <c r="X505" i="3"/>
  <c r="Z505" i="3"/>
  <c r="S506" i="3"/>
  <c r="U505" i="3"/>
  <c r="V505" i="3" s="1"/>
  <c r="W505" i="3"/>
  <c r="Z506" i="3" l="1"/>
  <c r="X506" i="3"/>
  <c r="T506" i="3"/>
  <c r="U506" i="3"/>
  <c r="V506" i="3" s="1"/>
  <c r="Y506" i="3"/>
  <c r="S507" i="3"/>
  <c r="W506" i="3"/>
  <c r="S508" i="3" l="1"/>
  <c r="Z507" i="3"/>
  <c r="Y507" i="3"/>
  <c r="X507" i="3"/>
  <c r="U507" i="3"/>
  <c r="V507" i="3" s="1"/>
  <c r="T507" i="3"/>
  <c r="W507" i="3"/>
  <c r="Z508" i="3" l="1"/>
  <c r="Y508" i="3"/>
  <c r="X508" i="3"/>
  <c r="T508" i="3"/>
  <c r="U508" i="3"/>
  <c r="V508" i="3" s="1"/>
  <c r="S509" i="3"/>
  <c r="W508" i="3"/>
  <c r="T509" i="3" l="1"/>
  <c r="Y509" i="3"/>
  <c r="X509" i="3"/>
  <c r="Z509" i="3"/>
  <c r="U509" i="3"/>
  <c r="V509" i="3" s="1"/>
  <c r="S510" i="3"/>
  <c r="W509" i="3"/>
  <c r="S511" i="3" l="1"/>
  <c r="Z510" i="3"/>
  <c r="Y510" i="3"/>
  <c r="X510" i="3"/>
  <c r="U510" i="3"/>
  <c r="V510" i="3" s="1"/>
  <c r="T510" i="3"/>
  <c r="W510" i="3"/>
  <c r="Y511" i="3" l="1"/>
  <c r="X511" i="3"/>
  <c r="S512" i="3"/>
  <c r="Z511" i="3"/>
  <c r="T511" i="3"/>
  <c r="U511" i="3"/>
  <c r="V511" i="3" s="1"/>
  <c r="W511" i="3"/>
  <c r="S513" i="3" l="1"/>
  <c r="Z512" i="3"/>
  <c r="X512" i="3"/>
  <c r="T512" i="3"/>
  <c r="U512" i="3"/>
  <c r="V512" i="3" s="1"/>
  <c r="Y512" i="3"/>
  <c r="W512" i="3"/>
  <c r="T513" i="3" l="1"/>
  <c r="Y513" i="3"/>
  <c r="X513" i="3"/>
  <c r="Z513" i="3"/>
  <c r="U513" i="3"/>
  <c r="V513" i="3" s="1"/>
  <c r="S514" i="3"/>
  <c r="W513" i="3"/>
  <c r="S515" i="3" l="1"/>
  <c r="Z514" i="3"/>
  <c r="Y514" i="3"/>
  <c r="T514" i="3"/>
  <c r="U514" i="3"/>
  <c r="V514" i="3" s="1"/>
  <c r="X514" i="3"/>
  <c r="W514" i="3"/>
  <c r="Z515" i="3" l="1"/>
  <c r="Y515" i="3"/>
  <c r="X515" i="3"/>
  <c r="T515" i="3"/>
  <c r="U515" i="3"/>
  <c r="V515" i="3" s="1"/>
  <c r="S516" i="3"/>
  <c r="W515" i="3"/>
  <c r="S517" i="3" l="1"/>
  <c r="Z516" i="3"/>
  <c r="Y516" i="3"/>
  <c r="T516" i="3"/>
  <c r="U516" i="3"/>
  <c r="V516" i="3" s="1"/>
  <c r="X516" i="3"/>
  <c r="W516" i="3"/>
  <c r="Y517" i="3" l="1"/>
  <c r="Z517" i="3"/>
  <c r="U517" i="3"/>
  <c r="V517" i="3" s="1"/>
  <c r="T517" i="3"/>
  <c r="X517" i="3"/>
  <c r="S518" i="3"/>
  <c r="W517" i="3"/>
  <c r="Z518" i="3" l="1"/>
  <c r="Y518" i="3"/>
  <c r="X518" i="3"/>
  <c r="T518" i="3"/>
  <c r="S519" i="3"/>
  <c r="U518" i="3"/>
  <c r="V518" i="3" s="1"/>
  <c r="W518" i="3"/>
  <c r="S520" i="3" l="1"/>
  <c r="Z519" i="3"/>
  <c r="Y519" i="3"/>
  <c r="X519" i="3"/>
  <c r="T519" i="3"/>
  <c r="U519" i="3"/>
  <c r="V519" i="3" s="1"/>
  <c r="W519" i="3"/>
  <c r="S521" i="3" l="1"/>
  <c r="Y520" i="3"/>
  <c r="X520" i="3"/>
  <c r="Z520" i="3"/>
  <c r="T520" i="3"/>
  <c r="U520" i="3"/>
  <c r="V520" i="3" s="1"/>
  <c r="W520" i="3"/>
  <c r="S522" i="3" l="1"/>
  <c r="U521" i="3"/>
  <c r="V521" i="3" s="1"/>
  <c r="T521" i="3"/>
  <c r="Y521" i="3"/>
  <c r="X521" i="3"/>
  <c r="Z521" i="3"/>
  <c r="W521" i="3"/>
  <c r="Z522" i="3" l="1"/>
  <c r="Y522" i="3"/>
  <c r="X522" i="3"/>
  <c r="T522" i="3"/>
  <c r="U522" i="3"/>
  <c r="V522" i="3" s="1"/>
  <c r="S523" i="3"/>
  <c r="W522" i="3"/>
  <c r="Z523" i="3" l="1"/>
  <c r="Y523" i="3"/>
  <c r="X523" i="3"/>
  <c r="T523" i="3"/>
  <c r="U523" i="3"/>
  <c r="V523" i="3" s="1"/>
  <c r="S524" i="3"/>
  <c r="W523" i="3"/>
  <c r="Y524" i="3" l="1"/>
  <c r="T524" i="3"/>
  <c r="U524" i="3"/>
  <c r="V524" i="3" s="1"/>
  <c r="Z524" i="3"/>
  <c r="X524" i="3"/>
  <c r="S525" i="3"/>
  <c r="W524" i="3"/>
  <c r="T525" i="3" l="1"/>
  <c r="Y525" i="3"/>
  <c r="X525" i="3"/>
  <c r="Z525" i="3"/>
  <c r="U525" i="3"/>
  <c r="V525" i="3" s="1"/>
  <c r="S526" i="3"/>
  <c r="W525" i="3"/>
  <c r="Y526" i="3" l="1"/>
  <c r="T526" i="3"/>
  <c r="U526" i="3"/>
  <c r="V526" i="3" s="1"/>
  <c r="Z526" i="3"/>
  <c r="X526" i="3"/>
  <c r="S527" i="3"/>
  <c r="W526" i="3"/>
  <c r="S528" i="3" l="1"/>
  <c r="Z527" i="3"/>
  <c r="Y527" i="3"/>
  <c r="X527" i="3"/>
  <c r="U527" i="3"/>
  <c r="V527" i="3" s="1"/>
  <c r="T527" i="3"/>
  <c r="W527" i="3"/>
  <c r="Z528" i="3" l="1"/>
  <c r="Y528" i="3"/>
  <c r="X528" i="3"/>
  <c r="T528" i="3"/>
  <c r="U528" i="3"/>
  <c r="V528" i="3" s="1"/>
  <c r="S529" i="3"/>
  <c r="W528" i="3"/>
  <c r="U529" i="3" l="1"/>
  <c r="V529" i="3" s="1"/>
  <c r="S530" i="3"/>
  <c r="T529" i="3"/>
  <c r="X529" i="3"/>
  <c r="Z529" i="3"/>
  <c r="Y529" i="3"/>
  <c r="W529" i="3"/>
  <c r="U530" i="3" l="1"/>
  <c r="V530" i="3" s="1"/>
  <c r="S531" i="3"/>
  <c r="Z530" i="3"/>
  <c r="Y530" i="3"/>
  <c r="X530" i="3"/>
  <c r="T530" i="3"/>
  <c r="W530" i="3"/>
  <c r="S532" i="3" l="1"/>
  <c r="Z531" i="3"/>
  <c r="Y531" i="3"/>
  <c r="X531" i="3"/>
  <c r="T531" i="3"/>
  <c r="U531" i="3"/>
  <c r="V531" i="3" s="1"/>
  <c r="W531" i="3"/>
  <c r="U532" i="3" l="1"/>
  <c r="V532" i="3" s="1"/>
  <c r="S533" i="3"/>
  <c r="Z532" i="3"/>
  <c r="Y532" i="3"/>
  <c r="X532" i="3"/>
  <c r="T532" i="3"/>
  <c r="W532" i="3"/>
  <c r="S534" i="3" l="1"/>
  <c r="U533" i="3"/>
  <c r="V533" i="3" s="1"/>
  <c r="T533" i="3"/>
  <c r="Y533" i="3"/>
  <c r="X533" i="3"/>
  <c r="Z533" i="3"/>
  <c r="W533" i="3"/>
  <c r="S535" i="3" l="1"/>
  <c r="Z534" i="3"/>
  <c r="X534" i="3"/>
  <c r="T534" i="3"/>
  <c r="Y534" i="3"/>
  <c r="U534" i="3"/>
  <c r="V534" i="3" s="1"/>
  <c r="W534" i="3"/>
  <c r="U535" i="3" l="1"/>
  <c r="V535" i="3" s="1"/>
  <c r="S536" i="3"/>
  <c r="Z535" i="3"/>
  <c r="Y535" i="3"/>
  <c r="T535" i="3"/>
  <c r="X535" i="3"/>
  <c r="W535" i="3"/>
  <c r="S537" i="3" l="1"/>
  <c r="Z536" i="3"/>
  <c r="Y536" i="3"/>
  <c r="T536" i="3"/>
  <c r="U536" i="3"/>
  <c r="V536" i="3" s="1"/>
  <c r="X536" i="3"/>
  <c r="W536" i="3"/>
  <c r="U537" i="3" l="1"/>
  <c r="V537" i="3" s="1"/>
  <c r="S538" i="3"/>
  <c r="T537" i="3"/>
  <c r="Y537" i="3"/>
  <c r="X537" i="3"/>
  <c r="Z537" i="3"/>
  <c r="W537" i="3"/>
  <c r="S539" i="3" l="1"/>
  <c r="Z538" i="3"/>
  <c r="X538" i="3"/>
  <c r="T538" i="3"/>
  <c r="Y538" i="3"/>
  <c r="U538" i="3"/>
  <c r="V538" i="3" s="1"/>
  <c r="W538" i="3"/>
  <c r="U539" i="3" l="1"/>
  <c r="V539" i="3" s="1"/>
  <c r="S540" i="3"/>
  <c r="Z539" i="3"/>
  <c r="Y539" i="3"/>
  <c r="X539" i="3"/>
  <c r="T539" i="3"/>
  <c r="W539" i="3"/>
  <c r="S541" i="3" l="1"/>
  <c r="Z540" i="3"/>
  <c r="X540" i="3"/>
  <c r="T540" i="3"/>
  <c r="Y540" i="3"/>
  <c r="U540" i="3"/>
  <c r="V540" i="3" s="1"/>
  <c r="W540" i="3"/>
  <c r="U541" i="3" l="1"/>
  <c r="V541" i="3" s="1"/>
  <c r="S542" i="3"/>
  <c r="T541" i="3"/>
  <c r="Y541" i="3"/>
  <c r="X541" i="3"/>
  <c r="Z541" i="3"/>
  <c r="W541" i="3"/>
  <c r="U542" i="3" l="1"/>
  <c r="V542" i="3" s="1"/>
  <c r="S543" i="3"/>
  <c r="Z542" i="3"/>
  <c r="Y542" i="3"/>
  <c r="X542" i="3"/>
  <c r="T542" i="3"/>
  <c r="W542" i="3"/>
  <c r="S544" i="3" l="1"/>
  <c r="Z543" i="3"/>
  <c r="Y543" i="3"/>
  <c r="X543" i="3"/>
  <c r="U543" i="3"/>
  <c r="V543" i="3" s="1"/>
  <c r="T543" i="3"/>
  <c r="W543" i="3"/>
  <c r="S545" i="3" l="1"/>
  <c r="Z544" i="3"/>
  <c r="Y544" i="3"/>
  <c r="X544" i="3"/>
  <c r="T544" i="3"/>
  <c r="U544" i="3"/>
  <c r="V544" i="3" s="1"/>
  <c r="W544" i="3"/>
  <c r="T545" i="3" l="1"/>
  <c r="Y545" i="3"/>
  <c r="X545" i="3"/>
  <c r="Z545" i="3"/>
  <c r="S546" i="3"/>
  <c r="U545" i="3"/>
  <c r="V545" i="3" s="1"/>
  <c r="W545" i="3"/>
  <c r="U546" i="3" l="1"/>
  <c r="V546" i="3" s="1"/>
  <c r="S547" i="3"/>
  <c r="Z546" i="3"/>
  <c r="Y546" i="3"/>
  <c r="X546" i="3"/>
  <c r="T546" i="3"/>
  <c r="W546" i="3"/>
  <c r="U547" i="3" l="1"/>
  <c r="V547" i="3" s="1"/>
  <c r="S548" i="3"/>
  <c r="Z547" i="3"/>
  <c r="Y547" i="3"/>
  <c r="X547" i="3"/>
  <c r="T547" i="3"/>
  <c r="W547" i="3"/>
  <c r="U548" i="3" l="1"/>
  <c r="V548" i="3" s="1"/>
  <c r="S549" i="3"/>
  <c r="Z548" i="3"/>
  <c r="Y548" i="3"/>
  <c r="X548" i="3"/>
  <c r="T548" i="3"/>
  <c r="W548" i="3"/>
  <c r="U549" i="3" l="1"/>
  <c r="V549" i="3" s="1"/>
  <c r="S550" i="3"/>
  <c r="T549" i="3"/>
  <c r="Y549" i="3"/>
  <c r="X549" i="3"/>
  <c r="Z549" i="3"/>
  <c r="W549" i="3"/>
  <c r="U550" i="3" l="1"/>
  <c r="V550" i="3" s="1"/>
  <c r="S551" i="3"/>
  <c r="Z550" i="3"/>
  <c r="Y550" i="3"/>
  <c r="X550" i="3"/>
  <c r="T550" i="3"/>
  <c r="W550" i="3"/>
  <c r="S552" i="3" l="1"/>
  <c r="Z551" i="3"/>
  <c r="X551" i="3"/>
  <c r="T551" i="3"/>
  <c r="Y551" i="3"/>
  <c r="U551" i="3"/>
  <c r="V551" i="3" s="1"/>
  <c r="W551" i="3"/>
  <c r="U552" i="3" l="1"/>
  <c r="V552" i="3" s="1"/>
  <c r="S553" i="3"/>
  <c r="Z552" i="3"/>
  <c r="Y552" i="3"/>
  <c r="X552" i="3"/>
  <c r="T552" i="3"/>
  <c r="W552" i="3"/>
  <c r="Y553" i="3" l="1"/>
  <c r="Z553" i="3"/>
  <c r="U553" i="3"/>
  <c r="V553" i="3" s="1"/>
  <c r="T553" i="3"/>
  <c r="X553" i="3"/>
  <c r="S554" i="3"/>
  <c r="W553" i="3"/>
  <c r="Z554" i="3" l="1"/>
  <c r="Y554" i="3"/>
  <c r="X554" i="3"/>
  <c r="T554" i="3"/>
  <c r="U554" i="3"/>
  <c r="V554" i="3" s="1"/>
  <c r="S555" i="3"/>
  <c r="W554" i="3"/>
  <c r="S556" i="3" l="1"/>
  <c r="Z555" i="3"/>
  <c r="Y555" i="3"/>
  <c r="X555" i="3"/>
  <c r="T555" i="3"/>
  <c r="U555" i="3"/>
  <c r="V555" i="3" s="1"/>
  <c r="W555" i="3"/>
  <c r="Z556" i="3" l="1"/>
  <c r="X556" i="3"/>
  <c r="Y556" i="3"/>
  <c r="T556" i="3"/>
  <c r="U556" i="3"/>
  <c r="V556" i="3" s="1"/>
  <c r="S557" i="3"/>
  <c r="W556" i="3"/>
  <c r="Y557" i="3" l="1"/>
  <c r="T557" i="3"/>
  <c r="X557" i="3"/>
  <c r="Z557" i="3"/>
  <c r="U557" i="3"/>
  <c r="V557" i="3" s="1"/>
  <c r="S558" i="3"/>
  <c r="W557" i="3"/>
  <c r="S559" i="3" l="1"/>
  <c r="Y558" i="3"/>
  <c r="X558" i="3"/>
  <c r="T558" i="3"/>
  <c r="U558" i="3"/>
  <c r="V558" i="3" s="1"/>
  <c r="Z558" i="3"/>
  <c r="W558" i="3"/>
  <c r="Z559" i="3" l="1"/>
  <c r="X559" i="3"/>
  <c r="T559" i="3"/>
  <c r="S560" i="3"/>
  <c r="Y559" i="3"/>
  <c r="U559" i="3"/>
  <c r="V559" i="3" s="1"/>
  <c r="W559" i="3"/>
  <c r="S561" i="3" l="1"/>
  <c r="Y560" i="3"/>
  <c r="T560" i="3"/>
  <c r="U560" i="3"/>
  <c r="V560" i="3" s="1"/>
  <c r="Z560" i="3"/>
  <c r="X560" i="3"/>
  <c r="W560" i="3"/>
  <c r="T561" i="3" l="1"/>
  <c r="Y561" i="3"/>
  <c r="X561" i="3"/>
  <c r="Z561" i="3"/>
  <c r="U561" i="3"/>
  <c r="V561" i="3" s="1"/>
  <c r="S562" i="3"/>
  <c r="W561" i="3"/>
  <c r="S563" i="3" l="1"/>
  <c r="Z562" i="3"/>
  <c r="X562" i="3"/>
  <c r="T562" i="3"/>
  <c r="U562" i="3"/>
  <c r="V562" i="3" s="1"/>
  <c r="Y562" i="3"/>
  <c r="W562" i="3"/>
  <c r="Z563" i="3" l="1"/>
  <c r="Y563" i="3"/>
  <c r="X563" i="3"/>
  <c r="T563" i="3"/>
  <c r="U563" i="3"/>
  <c r="V563" i="3" s="1"/>
  <c r="S564" i="3"/>
  <c r="W563" i="3"/>
  <c r="S565" i="3" l="1"/>
  <c r="Z564" i="3"/>
  <c r="Y564" i="3"/>
  <c r="X564" i="3"/>
  <c r="T564" i="3"/>
  <c r="U564" i="3"/>
  <c r="V564" i="3" s="1"/>
  <c r="W564" i="3"/>
  <c r="T565" i="3" l="1"/>
  <c r="Y565" i="3"/>
  <c r="X565" i="3"/>
  <c r="Z565" i="3"/>
  <c r="U565" i="3"/>
  <c r="V565" i="3" s="1"/>
  <c r="S566" i="3"/>
  <c r="W565" i="3"/>
  <c r="Z566" i="3" l="1"/>
  <c r="Y566" i="3"/>
  <c r="X566" i="3"/>
  <c r="T566" i="3"/>
  <c r="U566" i="3"/>
  <c r="V566" i="3" s="1"/>
  <c r="S567" i="3"/>
  <c r="W566" i="3"/>
  <c r="S568" i="3" l="1"/>
  <c r="Z567" i="3"/>
  <c r="X567" i="3"/>
  <c r="T567" i="3"/>
  <c r="Y567" i="3"/>
  <c r="U567" i="3"/>
  <c r="V567" i="3" s="1"/>
  <c r="W567" i="3"/>
  <c r="S569" i="3" l="1"/>
  <c r="Z568" i="3"/>
  <c r="Y568" i="3"/>
  <c r="X568" i="3"/>
  <c r="U568" i="3"/>
  <c r="V568" i="3" s="1"/>
  <c r="T568" i="3"/>
  <c r="W568" i="3"/>
  <c r="S570" i="3" l="1"/>
  <c r="U569" i="3"/>
  <c r="V569" i="3" s="1"/>
  <c r="T569" i="3"/>
  <c r="Y569" i="3"/>
  <c r="X569" i="3"/>
  <c r="Z569" i="3"/>
  <c r="W569" i="3"/>
  <c r="Z570" i="3" l="1"/>
  <c r="Y570" i="3"/>
  <c r="X570" i="3"/>
  <c r="T570" i="3"/>
  <c r="U570" i="3"/>
  <c r="V570" i="3" s="1"/>
  <c r="S571" i="3"/>
  <c r="W570" i="3"/>
  <c r="Z571" i="3" l="1"/>
  <c r="Y571" i="3"/>
  <c r="X571" i="3"/>
  <c r="T571" i="3"/>
  <c r="U571" i="3"/>
  <c r="V571" i="3" s="1"/>
  <c r="S572" i="3"/>
  <c r="W571" i="3"/>
  <c r="Z572" i="3" l="1"/>
  <c r="Y572" i="3"/>
  <c r="X572" i="3"/>
  <c r="T572" i="3"/>
  <c r="S573" i="3"/>
  <c r="U572" i="3"/>
  <c r="V572" i="3" s="1"/>
  <c r="W572" i="3"/>
  <c r="T573" i="3" l="1"/>
  <c r="Y573" i="3"/>
  <c r="X573" i="3"/>
  <c r="Z573" i="3"/>
  <c r="U573" i="3"/>
  <c r="V573" i="3" s="1"/>
  <c r="S574" i="3"/>
  <c r="W573" i="3"/>
  <c r="Y574" i="3" l="1"/>
  <c r="T574" i="3"/>
  <c r="U574" i="3"/>
  <c r="V574" i="3" s="1"/>
  <c r="Z574" i="3"/>
  <c r="X574" i="3"/>
  <c r="S575" i="3"/>
  <c r="W574" i="3"/>
  <c r="S576" i="3" l="1"/>
  <c r="Z575" i="3"/>
  <c r="Y575" i="3"/>
  <c r="T575" i="3"/>
  <c r="U575" i="3"/>
  <c r="V575" i="3" s="1"/>
  <c r="X575" i="3"/>
  <c r="W575" i="3"/>
  <c r="Z576" i="3" l="1"/>
  <c r="Y576" i="3"/>
  <c r="X576" i="3"/>
  <c r="T576" i="3"/>
  <c r="U576" i="3"/>
  <c r="V576" i="3" s="1"/>
  <c r="S577" i="3"/>
  <c r="W576" i="3"/>
  <c r="U577" i="3" l="1"/>
  <c r="V577" i="3" s="1"/>
  <c r="S578" i="3"/>
  <c r="T577" i="3"/>
  <c r="Y577" i="3"/>
  <c r="X577" i="3"/>
  <c r="Z577" i="3"/>
  <c r="W577" i="3"/>
  <c r="U578" i="3" l="1"/>
  <c r="V578" i="3" s="1"/>
  <c r="S579" i="3"/>
  <c r="Z578" i="3"/>
  <c r="Y578" i="3"/>
  <c r="X578" i="3"/>
  <c r="T578" i="3"/>
  <c r="W578" i="3"/>
  <c r="S580" i="3" l="1"/>
  <c r="Z579" i="3"/>
  <c r="Y579" i="3"/>
  <c r="X579" i="3"/>
  <c r="U579" i="3"/>
  <c r="V579" i="3" s="1"/>
  <c r="T579" i="3"/>
  <c r="W579" i="3"/>
  <c r="U580" i="3" l="1"/>
  <c r="V580" i="3" s="1"/>
  <c r="S581" i="3"/>
  <c r="Z580" i="3"/>
  <c r="Y580" i="3"/>
  <c r="X580" i="3"/>
  <c r="T580" i="3"/>
  <c r="W580" i="3"/>
  <c r="S582" i="3" l="1"/>
  <c r="U581" i="3"/>
  <c r="V581" i="3" s="1"/>
  <c r="T581" i="3"/>
  <c r="Y581" i="3"/>
  <c r="X581" i="3"/>
  <c r="Z581" i="3"/>
  <c r="W581" i="3"/>
  <c r="S583" i="3" l="1"/>
  <c r="Y582" i="3"/>
  <c r="T582" i="3"/>
  <c r="U582" i="3"/>
  <c r="V582" i="3" s="1"/>
  <c r="Z582" i="3"/>
  <c r="X582" i="3"/>
  <c r="W582" i="3"/>
  <c r="U583" i="3" l="1"/>
  <c r="V583" i="3" s="1"/>
  <c r="S584" i="3"/>
  <c r="Z583" i="3"/>
  <c r="Y583" i="3"/>
  <c r="X583" i="3"/>
  <c r="T583" i="3"/>
  <c r="W583" i="3"/>
  <c r="S585" i="3" l="1"/>
  <c r="Z584" i="3"/>
  <c r="X584" i="3"/>
  <c r="T584" i="3"/>
  <c r="U584" i="3"/>
  <c r="V584" i="3" s="1"/>
  <c r="Y584" i="3"/>
  <c r="W584" i="3"/>
  <c r="U585" i="3" l="1"/>
  <c r="V585" i="3" s="1"/>
  <c r="S586" i="3"/>
  <c r="T585" i="3"/>
  <c r="Y585" i="3"/>
  <c r="X585" i="3"/>
  <c r="Z585" i="3"/>
  <c r="W585" i="3"/>
  <c r="S587" i="3" l="1"/>
  <c r="Z586" i="3"/>
  <c r="Y586" i="3"/>
  <c r="T586" i="3"/>
  <c r="X586" i="3"/>
  <c r="U586" i="3"/>
  <c r="V586" i="3" s="1"/>
  <c r="W586" i="3"/>
  <c r="U587" i="3" l="1"/>
  <c r="V587" i="3" s="1"/>
  <c r="S588" i="3"/>
  <c r="Z587" i="3"/>
  <c r="Y587" i="3"/>
  <c r="X587" i="3"/>
  <c r="T587" i="3"/>
  <c r="W587" i="3"/>
  <c r="S589" i="3" l="1"/>
  <c r="Z588" i="3"/>
  <c r="Y588" i="3"/>
  <c r="X588" i="3"/>
  <c r="T588" i="3"/>
  <c r="U588" i="3"/>
  <c r="V588" i="3" s="1"/>
  <c r="W588" i="3"/>
  <c r="U589" i="3" l="1"/>
  <c r="V589" i="3" s="1"/>
  <c r="S590" i="3"/>
  <c r="T589" i="3"/>
  <c r="Y589" i="3"/>
  <c r="X589" i="3"/>
  <c r="Z589" i="3"/>
  <c r="W589" i="3"/>
  <c r="U590" i="3" l="1"/>
  <c r="V590" i="3" s="1"/>
  <c r="S591" i="3"/>
  <c r="Z590" i="3"/>
  <c r="Y590" i="3"/>
  <c r="X590" i="3"/>
  <c r="T590" i="3"/>
  <c r="W590" i="3"/>
  <c r="S592" i="3" l="1"/>
  <c r="Z591" i="3"/>
  <c r="Y591" i="3"/>
  <c r="X591" i="3"/>
  <c r="T591" i="3"/>
  <c r="U591" i="3"/>
  <c r="V591" i="3" s="1"/>
  <c r="W591" i="3"/>
  <c r="S593" i="3" l="1"/>
  <c r="Z592" i="3"/>
  <c r="X592" i="3"/>
  <c r="T592" i="3"/>
  <c r="U592" i="3"/>
  <c r="V592" i="3" s="1"/>
  <c r="Y592" i="3"/>
  <c r="W592" i="3"/>
  <c r="T593" i="3" l="1"/>
  <c r="Y593" i="3"/>
  <c r="X593" i="3"/>
  <c r="Z593" i="3"/>
  <c r="S594" i="3"/>
  <c r="U593" i="3"/>
  <c r="V593" i="3" s="1"/>
  <c r="W593" i="3"/>
  <c r="U594" i="3" l="1"/>
  <c r="V594" i="3" s="1"/>
  <c r="S595" i="3"/>
  <c r="Z594" i="3"/>
  <c r="Y594" i="3"/>
  <c r="X594" i="3"/>
  <c r="T594" i="3"/>
  <c r="W594" i="3"/>
  <c r="U595" i="3" l="1"/>
  <c r="V595" i="3" s="1"/>
  <c r="S596" i="3"/>
  <c r="T595" i="3"/>
  <c r="Z595" i="3"/>
  <c r="Y595" i="3"/>
  <c r="X595" i="3"/>
  <c r="W595" i="3"/>
  <c r="U596" i="3" l="1"/>
  <c r="V596" i="3" s="1"/>
  <c r="S597" i="3"/>
  <c r="Z596" i="3"/>
  <c r="X596" i="3"/>
  <c r="T596" i="3"/>
  <c r="Y596" i="3"/>
  <c r="W596" i="3"/>
  <c r="U597" i="3" l="1"/>
  <c r="V597" i="3" s="1"/>
  <c r="S598" i="3"/>
  <c r="T597" i="3"/>
  <c r="Y597" i="3"/>
  <c r="X597" i="3"/>
  <c r="Z597" i="3"/>
  <c r="W597" i="3"/>
  <c r="U598" i="3" l="1"/>
  <c r="V598" i="3" s="1"/>
  <c r="S599" i="3"/>
  <c r="Z598" i="3"/>
  <c r="Y598" i="3"/>
  <c r="X598" i="3"/>
  <c r="T598" i="3"/>
  <c r="W598" i="3"/>
  <c r="S600" i="3" l="1"/>
  <c r="Z599" i="3"/>
  <c r="Y599" i="3"/>
  <c r="T599" i="3"/>
  <c r="X599" i="3"/>
  <c r="U599" i="3"/>
  <c r="V599" i="3" s="1"/>
  <c r="W599" i="3"/>
  <c r="U600" i="3" l="1"/>
  <c r="V600" i="3" s="1"/>
  <c r="S601" i="3"/>
  <c r="Z600" i="3"/>
  <c r="Y600" i="3"/>
  <c r="X600" i="3"/>
  <c r="T600" i="3"/>
  <c r="W600" i="3"/>
  <c r="T601" i="3" l="1"/>
  <c r="Y601" i="3"/>
  <c r="X601" i="3"/>
  <c r="Z601" i="3"/>
  <c r="U601" i="3"/>
  <c r="V601" i="3" s="1"/>
  <c r="S602" i="3"/>
  <c r="W601" i="3"/>
  <c r="Z602" i="3" l="1"/>
  <c r="Y602" i="3"/>
  <c r="X602" i="3"/>
  <c r="T602" i="3"/>
  <c r="S603" i="3"/>
  <c r="U602" i="3"/>
  <c r="V602" i="3" s="1"/>
  <c r="W602" i="3"/>
  <c r="S604" i="3" l="1"/>
  <c r="Z603" i="3"/>
  <c r="X603" i="3"/>
  <c r="T603" i="3"/>
  <c r="Y603" i="3"/>
  <c r="U603" i="3"/>
  <c r="V603" i="3" s="1"/>
  <c r="W603" i="3"/>
  <c r="Z604" i="3" l="1"/>
  <c r="Y604" i="3"/>
  <c r="X604" i="3"/>
  <c r="T604" i="3"/>
  <c r="U604" i="3"/>
  <c r="V604" i="3" s="1"/>
  <c r="S605" i="3"/>
  <c r="W604" i="3"/>
  <c r="T605" i="3" l="1"/>
  <c r="Y605" i="3"/>
  <c r="X605" i="3"/>
  <c r="Z605" i="3"/>
  <c r="S606" i="3"/>
  <c r="U605" i="3"/>
  <c r="V605" i="3" s="1"/>
  <c r="W605" i="3"/>
  <c r="S607" i="3" l="1"/>
  <c r="Y606" i="3"/>
  <c r="X606" i="3"/>
  <c r="U606" i="3"/>
  <c r="V606" i="3" s="1"/>
  <c r="Z606" i="3"/>
  <c r="T606" i="3"/>
  <c r="W606" i="3"/>
  <c r="Z607" i="3" l="1"/>
  <c r="Y607" i="3"/>
  <c r="X607" i="3"/>
  <c r="T607" i="3"/>
  <c r="U607" i="3"/>
  <c r="V607" i="3" s="1"/>
  <c r="S608" i="3"/>
  <c r="W607" i="3"/>
  <c r="S609" i="3" l="1"/>
  <c r="Z608" i="3"/>
  <c r="Y608" i="3"/>
  <c r="T608" i="3"/>
  <c r="X608" i="3"/>
  <c r="U608" i="3"/>
  <c r="V608" i="3" s="1"/>
  <c r="W608" i="3"/>
  <c r="Y609" i="3" l="1"/>
  <c r="Z609" i="3"/>
  <c r="T609" i="3"/>
  <c r="X609" i="3"/>
  <c r="U609" i="3"/>
  <c r="V609" i="3" s="1"/>
  <c r="S610" i="3"/>
  <c r="W609" i="3"/>
  <c r="S611" i="3" l="1"/>
  <c r="Z610" i="3"/>
  <c r="Y610" i="3"/>
  <c r="X610" i="3"/>
  <c r="T610" i="3"/>
  <c r="U610" i="3"/>
  <c r="V610" i="3" s="1"/>
  <c r="W610" i="3"/>
  <c r="Z611" i="3" l="1"/>
  <c r="Y611" i="3"/>
  <c r="X611" i="3"/>
  <c r="T611" i="3"/>
  <c r="U611" i="3"/>
  <c r="V611" i="3" s="1"/>
  <c r="S612" i="3"/>
  <c r="W611" i="3"/>
  <c r="S613" i="3" l="1"/>
  <c r="Z612" i="3"/>
  <c r="X612" i="3"/>
  <c r="T612" i="3"/>
  <c r="U612" i="3"/>
  <c r="V612" i="3" s="1"/>
  <c r="Y612" i="3"/>
  <c r="W612" i="3"/>
  <c r="T613" i="3" l="1"/>
  <c r="Y613" i="3"/>
  <c r="X613" i="3"/>
  <c r="Z613" i="3"/>
  <c r="S614" i="3"/>
  <c r="U613" i="3"/>
  <c r="V613" i="3" s="1"/>
  <c r="W613" i="3"/>
  <c r="Y614" i="3" l="1"/>
  <c r="X614" i="3"/>
  <c r="Z614" i="3"/>
  <c r="T614" i="3"/>
  <c r="U614" i="3"/>
  <c r="V614" i="3" s="1"/>
  <c r="S615" i="3"/>
  <c r="W614" i="3"/>
  <c r="S616" i="3" l="1"/>
  <c r="Z615" i="3"/>
  <c r="Y615" i="3"/>
  <c r="X615" i="3"/>
  <c r="U615" i="3"/>
  <c r="V615" i="3" s="1"/>
  <c r="T615" i="3"/>
  <c r="W615" i="3"/>
  <c r="S617" i="3" l="1"/>
  <c r="Z616" i="3"/>
  <c r="Y616" i="3"/>
  <c r="T616" i="3"/>
  <c r="X616" i="3"/>
  <c r="U616" i="3"/>
  <c r="V616" i="3" s="1"/>
  <c r="W616" i="3"/>
  <c r="S618" i="3" l="1"/>
  <c r="U617" i="3"/>
  <c r="V617" i="3" s="1"/>
  <c r="T617" i="3"/>
  <c r="Y617" i="3"/>
  <c r="X617" i="3"/>
  <c r="Z617" i="3"/>
  <c r="W617" i="3"/>
  <c r="Z618" i="3" l="1"/>
  <c r="Y618" i="3"/>
  <c r="X618" i="3"/>
  <c r="T618" i="3"/>
  <c r="U618" i="3"/>
  <c r="V618" i="3" s="1"/>
  <c r="S619" i="3"/>
  <c r="W618" i="3"/>
  <c r="Z619" i="3" l="1"/>
  <c r="Y619" i="3"/>
  <c r="X619" i="3"/>
  <c r="T619" i="3"/>
  <c r="U619" i="3"/>
  <c r="V619" i="3" s="1"/>
  <c r="S620" i="3"/>
  <c r="W619" i="3"/>
  <c r="Z620" i="3" l="1"/>
  <c r="Y620" i="3"/>
  <c r="X620" i="3"/>
  <c r="S621" i="3"/>
  <c r="T620" i="3"/>
  <c r="U620" i="3"/>
  <c r="V620" i="3" s="1"/>
  <c r="W620" i="3"/>
  <c r="T621" i="3" l="1"/>
  <c r="Y621" i="3"/>
  <c r="X621" i="3"/>
  <c r="Z621" i="3"/>
  <c r="U621" i="3"/>
  <c r="V621" i="3" s="1"/>
  <c r="S622" i="3"/>
  <c r="W621" i="3"/>
  <c r="Z622" i="3" l="1"/>
  <c r="Y622" i="3"/>
  <c r="X622" i="3"/>
  <c r="T622" i="3"/>
  <c r="U622" i="3"/>
  <c r="V622" i="3" s="1"/>
  <c r="S623" i="3"/>
  <c r="W622" i="3"/>
  <c r="S624" i="3" l="1"/>
  <c r="Z623" i="3"/>
  <c r="Y623" i="3"/>
  <c r="T623" i="3"/>
  <c r="X623" i="3"/>
  <c r="U623" i="3"/>
  <c r="V623" i="3" s="1"/>
  <c r="W623" i="3"/>
  <c r="Y624" i="3" l="1"/>
  <c r="X624" i="3"/>
  <c r="S625" i="3"/>
  <c r="Z624" i="3"/>
  <c r="T624" i="3"/>
  <c r="U624" i="3"/>
  <c r="V624" i="3" s="1"/>
  <c r="W624" i="3"/>
  <c r="U625" i="3" l="1"/>
  <c r="V625" i="3" s="1"/>
  <c r="S626" i="3"/>
  <c r="T625" i="3"/>
  <c r="Y625" i="3"/>
  <c r="X625" i="3"/>
  <c r="Z625" i="3"/>
  <c r="W625" i="3"/>
  <c r="U626" i="3" l="1"/>
  <c r="V626" i="3" s="1"/>
  <c r="S627" i="3"/>
  <c r="Z626" i="3"/>
  <c r="Y626" i="3"/>
  <c r="X626" i="3"/>
  <c r="T626" i="3"/>
  <c r="W626" i="3"/>
  <c r="S628" i="3" l="1"/>
  <c r="Z627" i="3"/>
  <c r="Y627" i="3"/>
  <c r="X627" i="3"/>
  <c r="T627" i="3"/>
  <c r="U627" i="3"/>
  <c r="V627" i="3" s="1"/>
  <c r="W627" i="3"/>
  <c r="U628" i="3" l="1"/>
  <c r="V628" i="3" s="1"/>
  <c r="S629" i="3"/>
  <c r="Z628" i="3"/>
  <c r="Y628" i="3"/>
  <c r="X628" i="3"/>
  <c r="T628" i="3"/>
  <c r="W628" i="3"/>
  <c r="S630" i="3" l="1"/>
  <c r="U629" i="3"/>
  <c r="V629" i="3" s="1"/>
  <c r="T629" i="3"/>
  <c r="Y629" i="3"/>
  <c r="X629" i="3"/>
  <c r="Z629" i="3"/>
  <c r="W629" i="3"/>
  <c r="S631" i="3" l="1"/>
  <c r="Y630" i="3"/>
  <c r="X630" i="3"/>
  <c r="Z630" i="3"/>
  <c r="T630" i="3"/>
  <c r="U630" i="3"/>
  <c r="V630" i="3" s="1"/>
  <c r="W630" i="3"/>
  <c r="U631" i="3" l="1"/>
  <c r="V631" i="3" s="1"/>
  <c r="S632" i="3"/>
  <c r="Z631" i="3"/>
  <c r="Y631" i="3"/>
  <c r="X631" i="3"/>
  <c r="T631" i="3"/>
  <c r="W631" i="3"/>
  <c r="S633" i="3" l="1"/>
  <c r="Z632" i="3"/>
  <c r="Y632" i="3"/>
  <c r="T632" i="3"/>
  <c r="X632" i="3"/>
  <c r="U632" i="3"/>
  <c r="V632" i="3" s="1"/>
  <c r="W632" i="3"/>
  <c r="U633" i="3" l="1"/>
  <c r="V633" i="3" s="1"/>
  <c r="S634" i="3"/>
  <c r="T633" i="3"/>
  <c r="Y633" i="3"/>
  <c r="X633" i="3"/>
  <c r="Z633" i="3"/>
  <c r="W633" i="3"/>
  <c r="S635" i="3" l="1"/>
  <c r="Z634" i="3"/>
  <c r="Y634" i="3"/>
  <c r="X634" i="3"/>
  <c r="T634" i="3"/>
  <c r="U634" i="3"/>
  <c r="V634" i="3" s="1"/>
  <c r="W634" i="3"/>
  <c r="U635" i="3" l="1"/>
  <c r="V635" i="3" s="1"/>
  <c r="S636" i="3"/>
  <c r="Z635" i="3"/>
  <c r="Y635" i="3"/>
  <c r="X635" i="3"/>
  <c r="T635" i="3"/>
  <c r="W635" i="3"/>
  <c r="S637" i="3" l="1"/>
  <c r="Z636" i="3"/>
  <c r="Y636" i="3"/>
  <c r="T636" i="3"/>
  <c r="X636" i="3"/>
  <c r="U636" i="3"/>
  <c r="V636" i="3" s="1"/>
  <c r="W636" i="3"/>
  <c r="U637" i="3" l="1"/>
  <c r="V637" i="3" s="1"/>
  <c r="S638" i="3"/>
  <c r="T637" i="3"/>
  <c r="Y637" i="3"/>
  <c r="X637" i="3"/>
  <c r="Z637" i="3"/>
  <c r="W637" i="3"/>
  <c r="U638" i="3" l="1"/>
  <c r="V638" i="3" s="1"/>
  <c r="S639" i="3"/>
  <c r="Z638" i="3"/>
  <c r="Y638" i="3"/>
  <c r="X638" i="3"/>
  <c r="T638" i="3"/>
  <c r="W638" i="3"/>
  <c r="S640" i="3" l="1"/>
  <c r="Z639" i="3"/>
  <c r="Y639" i="3"/>
  <c r="X639" i="3"/>
  <c r="U639" i="3"/>
  <c r="V639" i="3" s="1"/>
  <c r="T639" i="3"/>
  <c r="W639" i="3"/>
  <c r="S641" i="3" l="1"/>
  <c r="Z640" i="3"/>
  <c r="Y640" i="3"/>
  <c r="X640" i="3"/>
  <c r="T640" i="3"/>
  <c r="U640" i="3"/>
  <c r="V640" i="3" s="1"/>
  <c r="W640" i="3"/>
  <c r="T641" i="3" l="1"/>
  <c r="Y641" i="3"/>
  <c r="X641" i="3"/>
  <c r="Z641" i="3"/>
  <c r="U641" i="3"/>
  <c r="V641" i="3" s="1"/>
  <c r="S642" i="3"/>
  <c r="W641" i="3"/>
  <c r="U642" i="3" l="1"/>
  <c r="V642" i="3" s="1"/>
  <c r="S643" i="3"/>
  <c r="Z642" i="3"/>
  <c r="Y642" i="3"/>
  <c r="X642" i="3"/>
  <c r="T642" i="3"/>
  <c r="W642" i="3"/>
  <c r="U643" i="3" l="1"/>
  <c r="V643" i="3" s="1"/>
  <c r="S644" i="3"/>
  <c r="Z643" i="3"/>
  <c r="Y643" i="3"/>
  <c r="X643" i="3"/>
  <c r="T643" i="3"/>
  <c r="W643" i="3"/>
  <c r="U644" i="3" l="1"/>
  <c r="V644" i="3" s="1"/>
  <c r="S645" i="3"/>
  <c r="Z644" i="3"/>
  <c r="Y644" i="3"/>
  <c r="X644" i="3"/>
  <c r="T644" i="3"/>
  <c r="W644" i="3"/>
  <c r="U645" i="3" l="1"/>
  <c r="V645" i="3" s="1"/>
  <c r="S646" i="3"/>
  <c r="T645" i="3"/>
  <c r="Y645" i="3"/>
  <c r="X645" i="3"/>
  <c r="Z645" i="3"/>
  <c r="W645" i="3"/>
  <c r="U646" i="3" l="1"/>
  <c r="V646" i="3" s="1"/>
  <c r="S647" i="3"/>
  <c r="Z646" i="3"/>
  <c r="Y646" i="3"/>
  <c r="X646" i="3"/>
  <c r="T646" i="3"/>
  <c r="W646" i="3"/>
  <c r="S648" i="3" l="1"/>
  <c r="Z647" i="3"/>
  <c r="Y647" i="3"/>
  <c r="X647" i="3"/>
  <c r="T647" i="3"/>
  <c r="U647" i="3"/>
  <c r="V647" i="3" s="1"/>
  <c r="W647" i="3"/>
  <c r="U648" i="3" l="1"/>
  <c r="V648" i="3" s="1"/>
  <c r="S649" i="3"/>
  <c r="Z648" i="3"/>
  <c r="Y648" i="3"/>
  <c r="X648" i="3"/>
  <c r="T648" i="3"/>
  <c r="W648" i="3"/>
  <c r="T649" i="3" l="1"/>
  <c r="Y649" i="3"/>
  <c r="X649" i="3"/>
  <c r="Z649" i="3"/>
  <c r="U649" i="3"/>
  <c r="V649" i="3" s="1"/>
  <c r="S650" i="3"/>
  <c r="W649" i="3"/>
  <c r="Y650" i="3" l="1"/>
  <c r="X650" i="3"/>
  <c r="U650" i="3"/>
  <c r="V650" i="3" s="1"/>
  <c r="Z650" i="3"/>
  <c r="T650" i="3"/>
  <c r="S651" i="3"/>
  <c r="W650" i="3"/>
  <c r="S652" i="3" l="1"/>
  <c r="Z651" i="3"/>
  <c r="Y651" i="3"/>
  <c r="X651" i="3"/>
  <c r="U651" i="3"/>
  <c r="V651" i="3" s="1"/>
  <c r="T651" i="3"/>
  <c r="W651" i="3"/>
  <c r="Y652" i="3" l="1"/>
  <c r="T652" i="3"/>
  <c r="U652" i="3"/>
  <c r="V652" i="3" s="1"/>
  <c r="S653" i="3"/>
  <c r="Z652" i="3"/>
  <c r="X652" i="3"/>
  <c r="W652" i="3"/>
  <c r="T653" i="3" l="1"/>
  <c r="Y653" i="3"/>
  <c r="X653" i="3"/>
  <c r="Z653" i="3"/>
  <c r="S654" i="3"/>
  <c r="U653" i="3"/>
  <c r="V653" i="3" s="1"/>
  <c r="W653" i="3"/>
  <c r="S655" i="3" l="1"/>
  <c r="Z654" i="3"/>
  <c r="X654" i="3"/>
  <c r="T654" i="3"/>
  <c r="U654" i="3"/>
  <c r="V654" i="3" s="1"/>
  <c r="Y654" i="3"/>
  <c r="W654" i="3"/>
  <c r="Z655" i="3" l="1"/>
  <c r="Y655" i="3"/>
  <c r="X655" i="3"/>
  <c r="T655" i="3"/>
  <c r="U655" i="3"/>
  <c r="V655" i="3" s="1"/>
  <c r="S656" i="3"/>
  <c r="W655" i="3"/>
  <c r="S657" i="3" l="1"/>
  <c r="Z656" i="3"/>
  <c r="Y656" i="3"/>
  <c r="T656" i="3"/>
  <c r="U656" i="3"/>
  <c r="V656" i="3" s="1"/>
  <c r="X656" i="3"/>
  <c r="W656" i="3"/>
  <c r="T657" i="3" l="1"/>
  <c r="Y657" i="3"/>
  <c r="X657" i="3"/>
  <c r="Z657" i="3"/>
  <c r="U657" i="3"/>
  <c r="V657" i="3" s="1"/>
  <c r="S658" i="3"/>
  <c r="W657" i="3"/>
  <c r="S659" i="3" l="1"/>
  <c r="Z658" i="3"/>
  <c r="Y658" i="3"/>
  <c r="X658" i="3"/>
  <c r="T658" i="3"/>
  <c r="U658" i="3"/>
  <c r="V658" i="3" s="1"/>
  <c r="W658" i="3"/>
  <c r="Z659" i="3" l="1"/>
  <c r="Y659" i="3"/>
  <c r="X659" i="3"/>
  <c r="T659" i="3"/>
  <c r="U659" i="3"/>
  <c r="V659" i="3" s="1"/>
  <c r="S660" i="3"/>
  <c r="W659" i="3"/>
  <c r="S661" i="3" l="1"/>
  <c r="Z660" i="3"/>
  <c r="Y660" i="3"/>
  <c r="T660" i="3"/>
  <c r="U660" i="3"/>
  <c r="V660" i="3" s="1"/>
  <c r="X660" i="3"/>
  <c r="W660" i="3"/>
  <c r="T661" i="3" l="1"/>
  <c r="Y661" i="3"/>
  <c r="X661" i="3"/>
  <c r="S662" i="3"/>
  <c r="Z661" i="3"/>
  <c r="U661" i="3"/>
  <c r="V661" i="3" s="1"/>
  <c r="W661" i="3"/>
  <c r="Z662" i="3" l="1"/>
  <c r="Y662" i="3"/>
  <c r="X662" i="3"/>
  <c r="T662" i="3"/>
  <c r="U662" i="3"/>
  <c r="V662" i="3" s="1"/>
  <c r="S663" i="3"/>
  <c r="W662" i="3"/>
  <c r="S664" i="3" l="1"/>
  <c r="Z663" i="3"/>
  <c r="Y663" i="3"/>
  <c r="T663" i="3"/>
  <c r="X663" i="3"/>
  <c r="U663" i="3"/>
  <c r="V663" i="3" s="1"/>
  <c r="W663" i="3"/>
  <c r="S665" i="3" l="1"/>
  <c r="Z664" i="3"/>
  <c r="Y664" i="3"/>
  <c r="X664" i="3"/>
  <c r="T664" i="3"/>
  <c r="U664" i="3"/>
  <c r="V664" i="3" s="1"/>
  <c r="W664" i="3"/>
  <c r="S666" i="3" l="1"/>
  <c r="U665" i="3"/>
  <c r="V665" i="3" s="1"/>
  <c r="T665" i="3"/>
  <c r="Y665" i="3"/>
  <c r="X665" i="3"/>
  <c r="Z665" i="3"/>
  <c r="W665" i="3"/>
  <c r="Z666" i="3" l="1"/>
  <c r="Y666" i="3"/>
  <c r="X666" i="3"/>
  <c r="S667" i="3"/>
  <c r="T666" i="3"/>
  <c r="U666" i="3"/>
  <c r="V666" i="3" s="1"/>
  <c r="W666" i="3"/>
  <c r="Z667" i="3" l="1"/>
  <c r="Y667" i="3"/>
  <c r="X667" i="3"/>
  <c r="T667" i="3"/>
  <c r="S668" i="3"/>
  <c r="U667" i="3"/>
  <c r="V667" i="3" s="1"/>
  <c r="W667" i="3"/>
  <c r="Z668" i="3" l="1"/>
  <c r="Y668" i="3"/>
  <c r="X668" i="3"/>
  <c r="T668" i="3"/>
  <c r="U668" i="3"/>
  <c r="V668" i="3" s="1"/>
  <c r="S669" i="3"/>
  <c r="W668" i="3"/>
  <c r="T669" i="3" l="1"/>
  <c r="Y669" i="3"/>
  <c r="X669" i="3"/>
  <c r="Z669" i="3"/>
  <c r="U669" i="3"/>
  <c r="V669" i="3" s="1"/>
  <c r="S670" i="3"/>
  <c r="W669" i="3"/>
  <c r="Z670" i="3" l="1"/>
  <c r="Y670" i="3"/>
  <c r="X670" i="3"/>
  <c r="T670" i="3"/>
  <c r="U670" i="3"/>
  <c r="V670" i="3" s="1"/>
  <c r="S671" i="3"/>
  <c r="W670" i="3"/>
  <c r="S672" i="3" l="1"/>
  <c r="Z671" i="3"/>
  <c r="X671" i="3"/>
  <c r="T671" i="3"/>
  <c r="U671" i="3"/>
  <c r="V671" i="3" s="1"/>
  <c r="Y671" i="3"/>
  <c r="W671" i="3"/>
  <c r="Z672" i="3" l="1"/>
  <c r="X672" i="3"/>
  <c r="T672" i="3"/>
  <c r="U672" i="3"/>
  <c r="V672" i="3" s="1"/>
  <c r="Y672" i="3"/>
  <c r="S673" i="3"/>
  <c r="W672" i="3"/>
  <c r="U673" i="3" l="1"/>
  <c r="V673" i="3" s="1"/>
  <c r="S674" i="3"/>
  <c r="T673" i="3"/>
  <c r="Y673" i="3"/>
  <c r="X673" i="3"/>
  <c r="Z673" i="3"/>
  <c r="W673" i="3"/>
  <c r="U674" i="3" l="1"/>
  <c r="V674" i="3" s="1"/>
  <c r="S675" i="3"/>
  <c r="Z674" i="3"/>
  <c r="Y674" i="3"/>
  <c r="X674" i="3"/>
  <c r="T674" i="3"/>
  <c r="W674" i="3"/>
  <c r="S676" i="3" l="1"/>
  <c r="Z675" i="3"/>
  <c r="X675" i="3"/>
  <c r="T675" i="3"/>
  <c r="Y675" i="3"/>
  <c r="U675" i="3"/>
  <c r="V675" i="3" s="1"/>
  <c r="W675" i="3"/>
  <c r="U676" i="3" l="1"/>
  <c r="V676" i="3" s="1"/>
  <c r="S677" i="3"/>
  <c r="Z676" i="3"/>
  <c r="X676" i="3"/>
  <c r="T676" i="3"/>
  <c r="Y676" i="3"/>
  <c r="W676" i="3"/>
  <c r="S678" i="3" l="1"/>
  <c r="U677" i="3"/>
  <c r="V677" i="3" s="1"/>
  <c r="T677" i="3"/>
  <c r="Y677" i="3"/>
  <c r="Z677" i="3"/>
  <c r="X677" i="3"/>
  <c r="W677" i="3"/>
  <c r="S679" i="3" l="1"/>
  <c r="Z678" i="3"/>
  <c r="Y678" i="3"/>
  <c r="T678" i="3"/>
  <c r="X678" i="3"/>
  <c r="U678" i="3"/>
  <c r="V678" i="3" s="1"/>
  <c r="W678" i="3"/>
  <c r="U679" i="3" l="1"/>
  <c r="V679" i="3" s="1"/>
  <c r="S680" i="3"/>
  <c r="Z679" i="3"/>
  <c r="Y679" i="3"/>
  <c r="X679" i="3"/>
  <c r="T679" i="3"/>
  <c r="W679" i="3"/>
  <c r="S681" i="3" l="1"/>
  <c r="Z680" i="3"/>
  <c r="X680" i="3"/>
  <c r="T680" i="3"/>
  <c r="U680" i="3"/>
  <c r="V680" i="3" s="1"/>
  <c r="Y680" i="3"/>
  <c r="W680" i="3"/>
  <c r="U681" i="3" l="1"/>
  <c r="V681" i="3" s="1"/>
  <c r="S682" i="3"/>
  <c r="T681" i="3"/>
  <c r="Y681" i="3"/>
  <c r="X681" i="3"/>
  <c r="Z681" i="3"/>
  <c r="W681" i="3"/>
  <c r="S683" i="3" l="1"/>
  <c r="Z682" i="3"/>
  <c r="X682" i="3"/>
  <c r="T682" i="3"/>
  <c r="U682" i="3"/>
  <c r="V682" i="3" s="1"/>
  <c r="Y682" i="3"/>
  <c r="W682" i="3"/>
  <c r="U683" i="3" l="1"/>
  <c r="V683" i="3" s="1"/>
  <c r="S684" i="3"/>
  <c r="Z683" i="3"/>
  <c r="Y683" i="3"/>
  <c r="X683" i="3"/>
  <c r="T683" i="3"/>
  <c r="W683" i="3"/>
  <c r="S685" i="3" l="1"/>
  <c r="Y684" i="3"/>
  <c r="X684" i="3"/>
  <c r="T684" i="3"/>
  <c r="Z684" i="3"/>
  <c r="U684" i="3"/>
  <c r="V684" i="3" s="1"/>
  <c r="W684" i="3"/>
  <c r="U685" i="3" l="1"/>
  <c r="V685" i="3" s="1"/>
  <c r="S686" i="3"/>
  <c r="T685" i="3"/>
  <c r="Y685" i="3"/>
  <c r="X685" i="3"/>
  <c r="Z685" i="3"/>
  <c r="W685" i="3"/>
  <c r="U686" i="3" l="1"/>
  <c r="V686" i="3" s="1"/>
  <c r="S687" i="3"/>
  <c r="Z686" i="3"/>
  <c r="Y686" i="3"/>
  <c r="X686" i="3"/>
  <c r="T686" i="3"/>
  <c r="W686" i="3"/>
  <c r="S688" i="3" l="1"/>
  <c r="Z687" i="3"/>
  <c r="Y687" i="3"/>
  <c r="X687" i="3"/>
  <c r="U687" i="3"/>
  <c r="V687" i="3" s="1"/>
  <c r="T687" i="3"/>
  <c r="W687" i="3"/>
  <c r="S689" i="3" l="1"/>
  <c r="Z688" i="3"/>
  <c r="Y688" i="3"/>
  <c r="X688" i="3"/>
  <c r="U688" i="3"/>
  <c r="V688" i="3" s="1"/>
  <c r="T688" i="3"/>
  <c r="W688" i="3"/>
  <c r="T689" i="3" l="1"/>
  <c r="Y689" i="3"/>
  <c r="X689" i="3"/>
  <c r="Z689" i="3"/>
  <c r="U689" i="3"/>
  <c r="V689" i="3" s="1"/>
  <c r="S690" i="3"/>
  <c r="W689" i="3"/>
  <c r="U690" i="3" l="1"/>
  <c r="V690" i="3" s="1"/>
  <c r="S691" i="3"/>
  <c r="Z690" i="3"/>
  <c r="Y690" i="3"/>
  <c r="X690" i="3"/>
  <c r="T690" i="3"/>
  <c r="W690" i="3"/>
  <c r="U691" i="3" l="1"/>
  <c r="V691" i="3" s="1"/>
  <c r="S692" i="3"/>
  <c r="Z691" i="3"/>
  <c r="Y691" i="3"/>
  <c r="X691" i="3"/>
  <c r="T691" i="3"/>
  <c r="W691" i="3"/>
  <c r="U692" i="3" l="1"/>
  <c r="V692" i="3" s="1"/>
  <c r="S693" i="3"/>
  <c r="Z692" i="3"/>
  <c r="Y692" i="3"/>
  <c r="X692" i="3"/>
  <c r="T692" i="3"/>
  <c r="W692" i="3"/>
  <c r="U693" i="3" l="1"/>
  <c r="V693" i="3" s="1"/>
  <c r="S694" i="3"/>
  <c r="T693" i="3"/>
  <c r="Y693" i="3"/>
  <c r="X693" i="3"/>
  <c r="Z693" i="3"/>
  <c r="W693" i="3"/>
  <c r="U694" i="3" l="1"/>
  <c r="V694" i="3" s="1"/>
  <c r="S695" i="3"/>
  <c r="Z694" i="3"/>
  <c r="X694" i="3"/>
  <c r="T694" i="3"/>
  <c r="Y694" i="3"/>
  <c r="W694" i="3"/>
  <c r="S696" i="3" l="1"/>
  <c r="Z695" i="3"/>
  <c r="Y695" i="3"/>
  <c r="T695" i="3"/>
  <c r="U695" i="3"/>
  <c r="V695" i="3" s="1"/>
  <c r="X695" i="3"/>
  <c r="W695" i="3"/>
  <c r="U696" i="3" l="1"/>
  <c r="V696" i="3" s="1"/>
  <c r="S697" i="3"/>
  <c r="Z696" i="3"/>
  <c r="Y696" i="3"/>
  <c r="X696" i="3"/>
  <c r="T696" i="3"/>
  <c r="W696" i="3"/>
  <c r="T697" i="3" l="1"/>
  <c r="Y697" i="3"/>
  <c r="X697" i="3"/>
  <c r="Z697" i="3"/>
  <c r="S698" i="3"/>
  <c r="U697" i="3"/>
  <c r="V697" i="3" s="1"/>
  <c r="W697" i="3"/>
  <c r="Z698" i="3" l="1"/>
  <c r="Y698" i="3"/>
  <c r="X698" i="3"/>
  <c r="T698" i="3"/>
  <c r="U698" i="3"/>
  <c r="V698" i="3" s="1"/>
  <c r="S699" i="3"/>
  <c r="W698" i="3"/>
  <c r="S700" i="3" l="1"/>
  <c r="Z699" i="3"/>
  <c r="Y699" i="3"/>
  <c r="T699" i="3"/>
  <c r="U699" i="3"/>
  <c r="V699" i="3" s="1"/>
  <c r="X699" i="3"/>
  <c r="W699" i="3"/>
  <c r="Y700" i="3" l="1"/>
  <c r="T700" i="3"/>
  <c r="S701" i="3"/>
  <c r="Z700" i="3"/>
  <c r="X700" i="3"/>
  <c r="U700" i="3"/>
  <c r="V700" i="3" s="1"/>
  <c r="W700" i="3"/>
  <c r="Z701" i="3" l="1"/>
  <c r="Y701" i="3"/>
  <c r="X701" i="3"/>
  <c r="T701" i="3"/>
  <c r="S702" i="3"/>
  <c r="U701" i="3"/>
  <c r="V701" i="3" s="1"/>
  <c r="W701" i="3"/>
  <c r="S703" i="3" l="1"/>
  <c r="Z702" i="3"/>
  <c r="Y702" i="3"/>
  <c r="T702" i="3"/>
  <c r="U702" i="3"/>
  <c r="V702" i="3" s="1"/>
  <c r="X702" i="3"/>
  <c r="W702" i="3"/>
  <c r="Z703" i="3" l="1"/>
  <c r="Y703" i="3"/>
  <c r="X703" i="3"/>
  <c r="T703" i="3"/>
  <c r="U703" i="3"/>
  <c r="V703" i="3" s="1"/>
  <c r="S704" i="3"/>
  <c r="W703" i="3"/>
  <c r="S705" i="3" l="1"/>
  <c r="T704" i="3"/>
  <c r="X704" i="3"/>
  <c r="Z704" i="3"/>
  <c r="U704" i="3"/>
  <c r="V704" i="3" s="1"/>
  <c r="Y704" i="3"/>
  <c r="W704" i="3"/>
  <c r="Z705" i="3" l="1"/>
  <c r="Y705" i="3"/>
  <c r="X705" i="3"/>
  <c r="T705" i="3"/>
  <c r="U705" i="3"/>
  <c r="V705" i="3" s="1"/>
  <c r="S706" i="3"/>
  <c r="W705" i="3"/>
  <c r="S707" i="3" l="1"/>
  <c r="Z706" i="3"/>
  <c r="X706" i="3"/>
  <c r="T706" i="3"/>
  <c r="Y706" i="3"/>
  <c r="U706" i="3"/>
  <c r="V706" i="3" s="1"/>
  <c r="W706" i="3"/>
  <c r="Z707" i="3" l="1"/>
  <c r="Y707" i="3"/>
  <c r="X707" i="3"/>
  <c r="T707" i="3"/>
  <c r="U707" i="3"/>
  <c r="V707" i="3" s="1"/>
  <c r="S708" i="3"/>
  <c r="W707" i="3"/>
  <c r="S709" i="3" l="1"/>
  <c r="T708" i="3"/>
  <c r="Y708" i="3"/>
  <c r="X708" i="3"/>
  <c r="Z708" i="3"/>
  <c r="U708" i="3"/>
  <c r="V708" i="3" s="1"/>
  <c r="W708" i="3"/>
  <c r="Y709" i="3" l="1"/>
  <c r="T709" i="3"/>
  <c r="U709" i="3"/>
  <c r="V709" i="3" s="1"/>
  <c r="Z709" i="3"/>
  <c r="X709" i="3"/>
  <c r="S710" i="3"/>
  <c r="W709" i="3"/>
  <c r="Z710" i="3" l="1"/>
  <c r="Y710" i="3"/>
  <c r="X710" i="3"/>
  <c r="T710" i="3"/>
  <c r="U710" i="3"/>
  <c r="V710" i="3" s="1"/>
  <c r="S711" i="3"/>
  <c r="W710" i="3"/>
  <c r="S712" i="3" l="1"/>
  <c r="Z711" i="3"/>
  <c r="X711" i="3"/>
  <c r="T711" i="3"/>
  <c r="Y711" i="3"/>
  <c r="U711" i="3"/>
  <c r="V711" i="3" s="1"/>
  <c r="W711" i="3"/>
  <c r="S713" i="3" l="1"/>
  <c r="T712" i="3"/>
  <c r="Z712" i="3"/>
  <c r="U712" i="3"/>
  <c r="V712" i="3" s="1"/>
  <c r="Y712" i="3"/>
  <c r="X712" i="3"/>
  <c r="W712" i="3"/>
  <c r="S714" i="3" l="1"/>
  <c r="U713" i="3"/>
  <c r="V713" i="3" s="1"/>
  <c r="Z713" i="3"/>
  <c r="Y713" i="3"/>
  <c r="X713" i="3"/>
  <c r="T713" i="3"/>
  <c r="W713" i="3"/>
  <c r="Z714" i="3" l="1"/>
  <c r="X714" i="3"/>
  <c r="T714" i="3"/>
  <c r="U714" i="3"/>
  <c r="V714" i="3" s="1"/>
  <c r="S715" i="3"/>
  <c r="Y714" i="3"/>
  <c r="W714" i="3"/>
  <c r="Z715" i="3" l="1"/>
  <c r="Y715" i="3"/>
  <c r="X715" i="3"/>
  <c r="T715" i="3"/>
  <c r="U715" i="3"/>
  <c r="V715" i="3" s="1"/>
  <c r="S716" i="3"/>
  <c r="W715" i="3"/>
  <c r="T716" i="3" l="1"/>
  <c r="Y716" i="3"/>
  <c r="X716" i="3"/>
  <c r="Z716" i="3"/>
  <c r="U716" i="3"/>
  <c r="V716" i="3" s="1"/>
  <c r="S717" i="3"/>
  <c r="W716" i="3"/>
  <c r="Z717" i="3" l="1"/>
  <c r="Y717" i="3"/>
  <c r="T717" i="3"/>
  <c r="S718" i="3"/>
  <c r="X717" i="3"/>
  <c r="U717" i="3"/>
  <c r="V717" i="3" s="1"/>
  <c r="W717" i="3"/>
  <c r="Z718" i="3" l="1"/>
  <c r="Y718" i="3"/>
  <c r="X718" i="3"/>
  <c r="T718" i="3"/>
  <c r="U718" i="3"/>
  <c r="V718" i="3" s="1"/>
  <c r="S719" i="3"/>
  <c r="W718" i="3"/>
  <c r="S720" i="3" l="1"/>
  <c r="Z719" i="3"/>
  <c r="X719" i="3"/>
  <c r="T719" i="3"/>
  <c r="Y719" i="3"/>
  <c r="U719" i="3"/>
  <c r="V719" i="3" s="1"/>
  <c r="W719" i="3"/>
  <c r="T720" i="3" l="1"/>
  <c r="Y720" i="3"/>
  <c r="X720" i="3"/>
  <c r="Z720" i="3"/>
  <c r="U720" i="3"/>
  <c r="V720" i="3" s="1"/>
  <c r="S721" i="3"/>
  <c r="W720" i="3"/>
  <c r="U721" i="3" l="1"/>
  <c r="V721" i="3" s="1"/>
  <c r="S722" i="3"/>
  <c r="Z721" i="3"/>
  <c r="Y721" i="3"/>
  <c r="X721" i="3"/>
  <c r="T721" i="3"/>
  <c r="W721" i="3"/>
  <c r="U722" i="3" l="1"/>
  <c r="V722" i="3" s="1"/>
  <c r="S723" i="3"/>
  <c r="Z722" i="3"/>
  <c r="Y722" i="3"/>
  <c r="T722" i="3"/>
  <c r="X722" i="3"/>
  <c r="W722" i="3"/>
  <c r="S724" i="3" l="1"/>
  <c r="Z723" i="3"/>
  <c r="X723" i="3"/>
  <c r="Y723" i="3"/>
  <c r="T723" i="3"/>
  <c r="U723" i="3"/>
  <c r="V723" i="3" s="1"/>
  <c r="W723" i="3"/>
  <c r="U724" i="3" l="1"/>
  <c r="V724" i="3" s="1"/>
  <c r="S725" i="3"/>
  <c r="T724" i="3"/>
  <c r="Y724" i="3"/>
  <c r="X724" i="3"/>
  <c r="Z724" i="3"/>
  <c r="W724" i="3"/>
  <c r="S726" i="3" l="1"/>
  <c r="U725" i="3"/>
  <c r="V725" i="3" s="1"/>
  <c r="Z725" i="3"/>
  <c r="Y725" i="3"/>
  <c r="X725" i="3"/>
  <c r="T725" i="3"/>
  <c r="W725" i="3"/>
  <c r="S727" i="3" l="1"/>
  <c r="Z726" i="3"/>
  <c r="X726" i="3"/>
  <c r="T726" i="3"/>
  <c r="Y726" i="3"/>
  <c r="U726" i="3"/>
  <c r="V726" i="3" s="1"/>
  <c r="W726" i="3"/>
  <c r="U727" i="3" l="1"/>
  <c r="V727" i="3" s="1"/>
  <c r="S728" i="3"/>
  <c r="Z727" i="3"/>
  <c r="Y727" i="3"/>
  <c r="X727" i="3"/>
  <c r="T727" i="3"/>
  <c r="W727" i="3"/>
  <c r="S729" i="3" l="1"/>
  <c r="T728" i="3"/>
  <c r="X728" i="3"/>
  <c r="Z728" i="3"/>
  <c r="Y728" i="3"/>
  <c r="U728" i="3"/>
  <c r="V728" i="3" s="1"/>
  <c r="W728" i="3"/>
  <c r="U729" i="3" l="1"/>
  <c r="V729" i="3" s="1"/>
  <c r="S730" i="3"/>
  <c r="Z729" i="3"/>
  <c r="Y729" i="3"/>
  <c r="X729" i="3"/>
  <c r="T729" i="3"/>
  <c r="W729" i="3"/>
  <c r="S731" i="3" l="1"/>
  <c r="Z730" i="3"/>
  <c r="X730" i="3"/>
  <c r="T730" i="3"/>
  <c r="U730" i="3"/>
  <c r="V730" i="3" s="1"/>
  <c r="Y730" i="3"/>
  <c r="W730" i="3"/>
  <c r="U731" i="3" l="1"/>
  <c r="V731" i="3" s="1"/>
  <c r="S732" i="3"/>
  <c r="Z731" i="3"/>
  <c r="Y731" i="3"/>
  <c r="X731" i="3"/>
  <c r="T731" i="3"/>
  <c r="W731" i="3"/>
  <c r="S733" i="3" l="1"/>
  <c r="T732" i="3"/>
  <c r="Y732" i="3"/>
  <c r="X732" i="3"/>
  <c r="Z732" i="3"/>
  <c r="U732" i="3"/>
  <c r="V732" i="3" s="1"/>
  <c r="W732" i="3"/>
  <c r="U733" i="3" l="1"/>
  <c r="V733" i="3" s="1"/>
  <c r="S734" i="3"/>
  <c r="Z733" i="3"/>
  <c r="Y733" i="3"/>
  <c r="X733" i="3"/>
  <c r="T733" i="3"/>
  <c r="W733" i="3"/>
  <c r="U734" i="3" l="1"/>
  <c r="V734" i="3" s="1"/>
  <c r="S735" i="3"/>
  <c r="Z734" i="3"/>
  <c r="Y734" i="3"/>
  <c r="X734" i="3"/>
  <c r="T734" i="3"/>
  <c r="W734" i="3"/>
  <c r="S736" i="3" l="1"/>
  <c r="Z735" i="3"/>
  <c r="Y735" i="3"/>
  <c r="T735" i="3"/>
  <c r="U735" i="3"/>
  <c r="V735" i="3" s="1"/>
  <c r="X735" i="3"/>
  <c r="W735" i="3"/>
  <c r="S737" i="3" l="1"/>
  <c r="T736" i="3"/>
  <c r="X736" i="3"/>
  <c r="Z736" i="3"/>
  <c r="U736" i="3"/>
  <c r="V736" i="3" s="1"/>
  <c r="Y736" i="3"/>
  <c r="W736" i="3"/>
  <c r="Z737" i="3" l="1"/>
  <c r="Y737" i="3"/>
  <c r="X737" i="3"/>
  <c r="T737" i="3"/>
  <c r="S738" i="3"/>
  <c r="U737" i="3"/>
  <c r="V737" i="3" s="1"/>
  <c r="W737" i="3"/>
  <c r="U738" i="3" l="1"/>
  <c r="V738" i="3" s="1"/>
  <c r="S739" i="3"/>
  <c r="Z738" i="3"/>
  <c r="Y738" i="3"/>
  <c r="X738" i="3"/>
  <c r="T738" i="3"/>
  <c r="W738" i="3"/>
  <c r="U739" i="3" l="1"/>
  <c r="V739" i="3" s="1"/>
  <c r="S740" i="3"/>
  <c r="Z739" i="3"/>
  <c r="Y739" i="3"/>
  <c r="X739" i="3"/>
  <c r="T739" i="3"/>
  <c r="W739" i="3"/>
  <c r="U740" i="3" l="1"/>
  <c r="V740" i="3" s="1"/>
  <c r="S741" i="3"/>
  <c r="T740" i="3"/>
  <c r="Y740" i="3"/>
  <c r="X740" i="3"/>
  <c r="Z740" i="3"/>
  <c r="W740" i="3"/>
  <c r="U741" i="3" l="1"/>
  <c r="V741" i="3" s="1"/>
  <c r="S742" i="3"/>
  <c r="Z741" i="3"/>
  <c r="Y741" i="3"/>
  <c r="X741" i="3"/>
  <c r="T741" i="3"/>
  <c r="W741" i="3"/>
  <c r="U742" i="3" l="1"/>
  <c r="V742" i="3" s="1"/>
  <c r="S743" i="3"/>
  <c r="Z742" i="3"/>
  <c r="Y742" i="3"/>
  <c r="X742" i="3"/>
  <c r="T742" i="3"/>
  <c r="W742" i="3"/>
  <c r="S744" i="3" l="1"/>
  <c r="Z743" i="3"/>
  <c r="Y743" i="3"/>
  <c r="X743" i="3"/>
  <c r="T743" i="3"/>
  <c r="U743" i="3"/>
  <c r="V743" i="3" s="1"/>
  <c r="W743" i="3"/>
  <c r="U744" i="3" l="1"/>
  <c r="V744" i="3" s="1"/>
  <c r="S745" i="3"/>
  <c r="T744" i="3"/>
  <c r="Y744" i="3"/>
  <c r="X744" i="3"/>
  <c r="Z744" i="3"/>
  <c r="W744" i="3"/>
  <c r="Z745" i="3" l="1"/>
  <c r="Y745" i="3"/>
  <c r="X745" i="3"/>
  <c r="T745" i="3"/>
  <c r="U745" i="3"/>
  <c r="V745" i="3" s="1"/>
  <c r="S746" i="3"/>
  <c r="W745" i="3"/>
  <c r="Z746" i="3" l="1"/>
  <c r="Y746" i="3"/>
  <c r="X746" i="3"/>
  <c r="T746" i="3"/>
  <c r="U746" i="3"/>
  <c r="V746" i="3" s="1"/>
  <c r="S747" i="3"/>
  <c r="W746" i="3"/>
  <c r="S748" i="3" l="1"/>
  <c r="Z747" i="3"/>
  <c r="Y747" i="3"/>
  <c r="X747" i="3"/>
  <c r="T747" i="3"/>
  <c r="U747" i="3"/>
  <c r="V747" i="3" s="1"/>
  <c r="W747" i="3"/>
  <c r="T748" i="3" l="1"/>
  <c r="Y748" i="3"/>
  <c r="X748" i="3"/>
  <c r="Z748" i="3"/>
  <c r="U748" i="3"/>
  <c r="V748" i="3" s="1"/>
  <c r="S749" i="3"/>
  <c r="W748" i="3"/>
  <c r="Y749" i="3" l="1"/>
  <c r="X749" i="3"/>
  <c r="Z749" i="3"/>
  <c r="T749" i="3"/>
  <c r="S750" i="3"/>
  <c r="U749" i="3"/>
  <c r="V749" i="3" s="1"/>
  <c r="W749" i="3"/>
  <c r="S751" i="3" l="1"/>
  <c r="Z750" i="3"/>
  <c r="X750" i="3"/>
  <c r="T750" i="3"/>
  <c r="U750" i="3"/>
  <c r="V750" i="3" s="1"/>
  <c r="Y750" i="3"/>
  <c r="W750" i="3"/>
  <c r="Z751" i="3" l="1"/>
  <c r="Y751" i="3"/>
  <c r="X751" i="3"/>
  <c r="T751" i="3"/>
  <c r="U751" i="3"/>
  <c r="V751" i="3" s="1"/>
  <c r="S752" i="3"/>
  <c r="W751" i="3"/>
  <c r="S753" i="3" l="1"/>
  <c r="T752" i="3"/>
  <c r="Y752" i="3"/>
  <c r="X752" i="3"/>
  <c r="Z752" i="3"/>
  <c r="U752" i="3"/>
  <c r="V752" i="3" s="1"/>
  <c r="W752" i="3"/>
  <c r="Z753" i="3" l="1"/>
  <c r="Y753" i="3"/>
  <c r="X753" i="3"/>
  <c r="T753" i="3"/>
  <c r="U753" i="3"/>
  <c r="V753" i="3" s="1"/>
  <c r="S754" i="3"/>
  <c r="W753" i="3"/>
  <c r="S755" i="3" l="1"/>
  <c r="Z754" i="3"/>
  <c r="Y754" i="3"/>
  <c r="T754" i="3"/>
  <c r="U754" i="3"/>
  <c r="V754" i="3" s="1"/>
  <c r="X754" i="3"/>
  <c r="W754" i="3"/>
  <c r="Z755" i="3" l="1"/>
  <c r="Y755" i="3"/>
  <c r="X755" i="3"/>
  <c r="T755" i="3"/>
  <c r="U755" i="3"/>
  <c r="V755" i="3" s="1"/>
  <c r="S756" i="3"/>
  <c r="W755" i="3"/>
  <c r="S757" i="3" l="1"/>
  <c r="T756" i="3"/>
  <c r="Y756" i="3"/>
  <c r="X756" i="3"/>
  <c r="Z756" i="3"/>
  <c r="U756" i="3"/>
  <c r="V756" i="3" s="1"/>
  <c r="W756" i="3"/>
  <c r="Z757" i="3" l="1"/>
  <c r="Y757" i="3"/>
  <c r="X757" i="3"/>
  <c r="T757" i="3"/>
  <c r="S758" i="3"/>
  <c r="U757" i="3"/>
  <c r="V757" i="3" s="1"/>
  <c r="W757" i="3"/>
  <c r="Z758" i="3" l="1"/>
  <c r="Y758" i="3"/>
  <c r="X758" i="3"/>
  <c r="T758" i="3"/>
  <c r="U758" i="3"/>
  <c r="V758" i="3" s="1"/>
  <c r="S759" i="3"/>
  <c r="W758" i="3"/>
  <c r="S760" i="3" l="1"/>
  <c r="Z759" i="3"/>
  <c r="X759" i="3"/>
  <c r="T759" i="3"/>
  <c r="U759" i="3"/>
  <c r="V759" i="3" s="1"/>
  <c r="Y759" i="3"/>
  <c r="W759" i="3"/>
  <c r="S761" i="3" l="1"/>
  <c r="T760" i="3"/>
  <c r="Y760" i="3"/>
  <c r="Z760" i="3"/>
  <c r="U760" i="3"/>
  <c r="V760" i="3" s="1"/>
  <c r="X760" i="3"/>
  <c r="W760" i="3"/>
  <c r="S762" i="3" l="1"/>
  <c r="U761" i="3"/>
  <c r="V761" i="3" s="1"/>
  <c r="Z761" i="3"/>
  <c r="Y761" i="3"/>
  <c r="X761" i="3"/>
  <c r="T761" i="3"/>
  <c r="W761" i="3"/>
  <c r="Z762" i="3" l="1"/>
  <c r="Y762" i="3"/>
  <c r="X762" i="3"/>
  <c r="T762" i="3"/>
  <c r="S763" i="3"/>
  <c r="U762" i="3"/>
  <c r="V762" i="3" s="1"/>
  <c r="W762" i="3"/>
  <c r="Z763" i="3" l="1"/>
  <c r="Y763" i="3"/>
  <c r="X763" i="3"/>
  <c r="T763" i="3"/>
  <c r="S764" i="3"/>
  <c r="U763" i="3"/>
  <c r="V763" i="3" s="1"/>
  <c r="W763" i="3"/>
  <c r="T764" i="3" l="1"/>
  <c r="Y764" i="3"/>
  <c r="X764" i="3"/>
  <c r="Z764" i="3"/>
  <c r="S765" i="3"/>
  <c r="U764" i="3"/>
  <c r="V764" i="3" s="1"/>
  <c r="W764" i="3"/>
  <c r="Z765" i="3" l="1"/>
  <c r="Y765" i="3"/>
  <c r="X765" i="3"/>
  <c r="T765" i="3"/>
  <c r="S766" i="3"/>
  <c r="U765" i="3"/>
  <c r="V765" i="3" s="1"/>
  <c r="W765" i="3"/>
  <c r="Z766" i="3" l="1"/>
  <c r="Y766" i="3"/>
  <c r="X766" i="3"/>
  <c r="T766" i="3"/>
  <c r="U766" i="3"/>
  <c r="V766" i="3" s="1"/>
  <c r="S767" i="3"/>
  <c r="W766" i="3"/>
  <c r="S768" i="3" l="1"/>
  <c r="Z767" i="3"/>
  <c r="X767" i="3"/>
  <c r="T767" i="3"/>
  <c r="Y767" i="3"/>
  <c r="U767" i="3"/>
  <c r="V767" i="3" s="1"/>
  <c r="W767" i="3"/>
  <c r="T768" i="3" l="1"/>
  <c r="Y768" i="3"/>
  <c r="X768" i="3"/>
  <c r="S769" i="3"/>
  <c r="Z768" i="3"/>
  <c r="U768" i="3"/>
  <c r="V768" i="3" s="1"/>
  <c r="W768" i="3"/>
  <c r="U769" i="3" l="1"/>
  <c r="V769" i="3" s="1"/>
  <c r="S770" i="3"/>
  <c r="Z769" i="3"/>
  <c r="Y769" i="3"/>
  <c r="X769" i="3"/>
  <c r="T769" i="3"/>
  <c r="W769" i="3"/>
  <c r="U770" i="3" l="1"/>
  <c r="V770" i="3" s="1"/>
  <c r="S771" i="3"/>
  <c r="Z770" i="3"/>
  <c r="Y770" i="3"/>
  <c r="X770" i="3"/>
  <c r="T770" i="3"/>
  <c r="W770" i="3"/>
  <c r="S772" i="3" l="1"/>
  <c r="Z771" i="3"/>
  <c r="Y771" i="3"/>
  <c r="T771" i="3"/>
  <c r="U771" i="3"/>
  <c r="V771" i="3" s="1"/>
  <c r="X771" i="3"/>
  <c r="W771" i="3"/>
  <c r="U772" i="3" l="1"/>
  <c r="V772" i="3" s="1"/>
  <c r="S773" i="3"/>
  <c r="T772" i="3"/>
  <c r="Y772" i="3"/>
  <c r="X772" i="3"/>
  <c r="Z772" i="3"/>
  <c r="W772" i="3"/>
  <c r="S774" i="3" l="1"/>
  <c r="U773" i="3"/>
  <c r="V773" i="3" s="1"/>
  <c r="Z773" i="3"/>
  <c r="Y773" i="3"/>
  <c r="X773" i="3"/>
  <c r="T773" i="3"/>
  <c r="W773" i="3"/>
  <c r="S775" i="3" l="1"/>
  <c r="Z774" i="3"/>
  <c r="X774" i="3"/>
  <c r="T774" i="3"/>
  <c r="U774" i="3"/>
  <c r="V774" i="3" s="1"/>
  <c r="Y774" i="3"/>
  <c r="W774" i="3"/>
  <c r="U775" i="3" l="1"/>
  <c r="V775" i="3" s="1"/>
  <c r="S776" i="3"/>
  <c r="Z775" i="3"/>
  <c r="Y775" i="3"/>
  <c r="X775" i="3"/>
  <c r="T775" i="3"/>
  <c r="W775" i="3"/>
  <c r="S777" i="3" l="1"/>
  <c r="T776" i="3"/>
  <c r="X776" i="3"/>
  <c r="Z776" i="3"/>
  <c r="U776" i="3"/>
  <c r="V776" i="3" s="1"/>
  <c r="Y776" i="3"/>
  <c r="W776" i="3"/>
  <c r="U777" i="3" l="1"/>
  <c r="V777" i="3" s="1"/>
  <c r="S778" i="3"/>
  <c r="Z777" i="3"/>
  <c r="Y777" i="3"/>
  <c r="X777" i="3"/>
  <c r="T777" i="3"/>
  <c r="W777" i="3"/>
  <c r="S779" i="3" l="1"/>
  <c r="Y778" i="3"/>
  <c r="X778" i="3"/>
  <c r="Z778" i="3"/>
  <c r="T778" i="3"/>
  <c r="U778" i="3"/>
  <c r="V778" i="3" s="1"/>
  <c r="W778" i="3"/>
  <c r="U779" i="3" l="1"/>
  <c r="V779" i="3" s="1"/>
  <c r="S780" i="3"/>
  <c r="Z779" i="3"/>
  <c r="Y779" i="3"/>
  <c r="X779" i="3"/>
  <c r="T779" i="3"/>
  <c r="W779" i="3"/>
  <c r="S781" i="3" l="1"/>
  <c r="T780" i="3"/>
  <c r="Y780" i="3"/>
  <c r="Z780" i="3"/>
  <c r="U780" i="3"/>
  <c r="V780" i="3" s="1"/>
  <c r="X780" i="3"/>
  <c r="W780" i="3"/>
  <c r="U781" i="3" l="1"/>
  <c r="V781" i="3" s="1"/>
  <c r="S782" i="3"/>
  <c r="Z781" i="3"/>
  <c r="Y781" i="3"/>
  <c r="X781" i="3"/>
  <c r="T781" i="3"/>
  <c r="W781" i="3"/>
  <c r="U782" i="3" l="1"/>
  <c r="V782" i="3" s="1"/>
  <c r="S783" i="3"/>
  <c r="Z782" i="3"/>
  <c r="Y782" i="3"/>
  <c r="X782" i="3"/>
  <c r="T782" i="3"/>
  <c r="W782" i="3"/>
  <c r="S784" i="3" l="1"/>
  <c r="Z783" i="3"/>
  <c r="Y783" i="3"/>
  <c r="X783" i="3"/>
  <c r="T783" i="3"/>
  <c r="U783" i="3"/>
  <c r="V783" i="3" s="1"/>
  <c r="W783" i="3"/>
  <c r="S785" i="3" l="1"/>
  <c r="T784" i="3"/>
  <c r="Y784" i="3"/>
  <c r="X784" i="3"/>
  <c r="Z784" i="3"/>
  <c r="U784" i="3"/>
  <c r="V784" i="3" s="1"/>
  <c r="W784" i="3"/>
  <c r="Z785" i="3" l="1"/>
  <c r="Y785" i="3"/>
  <c r="T785" i="3"/>
  <c r="S786" i="3"/>
  <c r="U785" i="3"/>
  <c r="V785" i="3" s="1"/>
  <c r="X785" i="3"/>
  <c r="W785" i="3"/>
  <c r="U786" i="3" l="1"/>
  <c r="V786" i="3" s="1"/>
  <c r="S787" i="3"/>
  <c r="Z786" i="3"/>
  <c r="Y786" i="3"/>
  <c r="X786" i="3"/>
  <c r="T786" i="3"/>
  <c r="W786" i="3"/>
  <c r="U787" i="3" l="1"/>
  <c r="V787" i="3" s="1"/>
  <c r="S788" i="3"/>
  <c r="Z787" i="3"/>
  <c r="Y787" i="3"/>
  <c r="X787" i="3"/>
  <c r="T787" i="3"/>
  <c r="W787" i="3"/>
  <c r="U788" i="3" l="1"/>
  <c r="V788" i="3" s="1"/>
  <c r="S789" i="3"/>
  <c r="T788" i="3"/>
  <c r="Y788" i="3"/>
  <c r="Z788" i="3"/>
  <c r="X788" i="3"/>
  <c r="W788" i="3"/>
  <c r="U789" i="3" l="1"/>
  <c r="V789" i="3" s="1"/>
  <c r="S790" i="3"/>
  <c r="X789" i="3"/>
  <c r="Z789" i="3"/>
  <c r="Y789" i="3"/>
  <c r="T789" i="3"/>
  <c r="W789" i="3"/>
  <c r="U790" i="3" l="1"/>
  <c r="V790" i="3" s="1"/>
  <c r="Z790" i="3"/>
  <c r="Y790" i="3"/>
  <c r="X790" i="3"/>
  <c r="T790" i="3"/>
  <c r="S791" i="3"/>
  <c r="W790" i="3"/>
  <c r="S792" i="3" l="1"/>
  <c r="Y791" i="3"/>
  <c r="X791" i="3"/>
  <c r="T791" i="3"/>
  <c r="Z791" i="3"/>
  <c r="U791" i="3"/>
  <c r="V791" i="3" s="1"/>
  <c r="W791" i="3"/>
  <c r="U792" i="3" l="1"/>
  <c r="V792" i="3" s="1"/>
  <c r="S793" i="3"/>
  <c r="X792" i="3"/>
  <c r="T792" i="3"/>
  <c r="Z792" i="3"/>
  <c r="Y792" i="3"/>
  <c r="W792" i="3"/>
  <c r="Y793" i="3" l="1"/>
  <c r="U793" i="3"/>
  <c r="V793" i="3" s="1"/>
  <c r="T793" i="3"/>
  <c r="Z793" i="3"/>
  <c r="S794" i="3"/>
  <c r="X793" i="3"/>
  <c r="W793" i="3"/>
  <c r="Y794" i="3" l="1"/>
  <c r="U794" i="3"/>
  <c r="V794" i="3" s="1"/>
  <c r="S795" i="3"/>
  <c r="T794" i="3"/>
  <c r="Z794" i="3"/>
  <c r="X794" i="3"/>
  <c r="W794" i="3"/>
  <c r="S796" i="3" l="1"/>
  <c r="Z795" i="3"/>
  <c r="X795" i="3"/>
  <c r="T795" i="3"/>
  <c r="U795" i="3"/>
  <c r="V795" i="3" s="1"/>
  <c r="Y795" i="3"/>
  <c r="W795" i="3"/>
  <c r="Y796" i="3" l="1"/>
  <c r="T796" i="3"/>
  <c r="X796" i="3"/>
  <c r="Z796" i="3"/>
  <c r="U796" i="3"/>
  <c r="V796" i="3" s="1"/>
  <c r="S797" i="3"/>
  <c r="W796" i="3"/>
  <c r="Z797" i="3" l="1"/>
  <c r="Y797" i="3"/>
  <c r="X797" i="3"/>
  <c r="S798" i="3"/>
  <c r="U797" i="3"/>
  <c r="V797" i="3" s="1"/>
  <c r="T797" i="3"/>
  <c r="W797" i="3"/>
  <c r="S799" i="3" l="1"/>
  <c r="Z798" i="3"/>
  <c r="Y798" i="3"/>
  <c r="X798" i="3"/>
  <c r="T798" i="3"/>
  <c r="U798" i="3"/>
  <c r="V798" i="3" s="1"/>
  <c r="W798" i="3"/>
  <c r="Z799" i="3" l="1"/>
  <c r="Y799" i="3"/>
  <c r="X799" i="3"/>
  <c r="T799" i="3"/>
  <c r="U799" i="3"/>
  <c r="V799" i="3" s="1"/>
  <c r="S800" i="3"/>
  <c r="W799" i="3"/>
  <c r="S801" i="3" l="1"/>
  <c r="T800" i="3"/>
  <c r="Y800" i="3"/>
  <c r="X800" i="3"/>
  <c r="Z800" i="3"/>
  <c r="U800" i="3"/>
  <c r="V800" i="3" s="1"/>
  <c r="W800" i="3"/>
  <c r="Z801" i="3" l="1"/>
  <c r="Y801" i="3"/>
  <c r="X801" i="3"/>
  <c r="T801" i="3"/>
  <c r="U801" i="3"/>
  <c r="V801" i="3" s="1"/>
  <c r="S802" i="3"/>
  <c r="W801" i="3"/>
  <c r="S803" i="3" l="1"/>
  <c r="Y802" i="3"/>
  <c r="Z802" i="3"/>
  <c r="X802" i="3"/>
  <c r="T802" i="3"/>
  <c r="U802" i="3"/>
  <c r="V802" i="3" s="1"/>
  <c r="W802" i="3"/>
  <c r="Z803" i="3" l="1"/>
  <c r="Y803" i="3"/>
  <c r="T803" i="3"/>
  <c r="S804" i="3"/>
  <c r="X803" i="3"/>
  <c r="U803" i="3"/>
  <c r="V803" i="3" s="1"/>
  <c r="W803" i="3"/>
  <c r="S805" i="3" l="1"/>
  <c r="T804" i="3"/>
  <c r="Y804" i="3"/>
  <c r="X804" i="3"/>
  <c r="Z804" i="3"/>
  <c r="U804" i="3"/>
  <c r="V804" i="3" s="1"/>
  <c r="W804" i="3"/>
  <c r="Y805" i="3" l="1"/>
  <c r="S806" i="3"/>
  <c r="Z805" i="3"/>
  <c r="X805" i="3"/>
  <c r="T805" i="3"/>
  <c r="U805" i="3"/>
  <c r="V805" i="3" s="1"/>
  <c r="W805" i="3"/>
  <c r="Z806" i="3" l="1"/>
  <c r="T806" i="3"/>
  <c r="X806" i="3"/>
  <c r="U806" i="3"/>
  <c r="V806" i="3" s="1"/>
  <c r="Y806" i="3"/>
  <c r="S807" i="3"/>
  <c r="W806" i="3"/>
  <c r="S808" i="3" l="1"/>
  <c r="Z807" i="3"/>
  <c r="Y807" i="3"/>
  <c r="X807" i="3"/>
  <c r="T807" i="3"/>
  <c r="U807" i="3"/>
  <c r="V807" i="3" s="1"/>
  <c r="W807" i="3"/>
  <c r="S809" i="3" l="1"/>
  <c r="T808" i="3"/>
  <c r="Y808" i="3"/>
  <c r="X808" i="3"/>
  <c r="Z808" i="3"/>
  <c r="U808" i="3"/>
  <c r="V808" i="3" s="1"/>
  <c r="W808" i="3"/>
  <c r="S810" i="3" l="1"/>
  <c r="U809" i="3"/>
  <c r="V809" i="3" s="1"/>
  <c r="Z809" i="3"/>
  <c r="X809" i="3"/>
  <c r="Y809" i="3"/>
  <c r="T809" i="3"/>
  <c r="W809" i="3"/>
  <c r="Z810" i="3" l="1"/>
  <c r="Y810" i="3"/>
  <c r="X810" i="3"/>
  <c r="T810" i="3"/>
  <c r="U810" i="3"/>
  <c r="V810" i="3" s="1"/>
  <c r="S811" i="3"/>
  <c r="W810" i="3"/>
  <c r="Z811" i="3" l="1"/>
  <c r="Y811" i="3"/>
  <c r="X811" i="3"/>
  <c r="T811" i="3"/>
  <c r="U811" i="3"/>
  <c r="V811" i="3" s="1"/>
  <c r="S812" i="3"/>
  <c r="W811" i="3"/>
  <c r="T812" i="3" l="1"/>
  <c r="Y812" i="3"/>
  <c r="X812" i="3"/>
  <c r="Z812" i="3"/>
  <c r="U812" i="3"/>
  <c r="V812" i="3" s="1"/>
  <c r="S813" i="3"/>
  <c r="W812" i="3"/>
  <c r="Z813" i="3" l="1"/>
  <c r="Y813" i="3"/>
  <c r="X813" i="3"/>
  <c r="T813" i="3"/>
  <c r="U813" i="3"/>
  <c r="V813" i="3" s="1"/>
  <c r="S814" i="3"/>
  <c r="W813" i="3"/>
  <c r="S815" i="3" l="1"/>
  <c r="Z814" i="3"/>
  <c r="X814" i="3"/>
  <c r="T814" i="3"/>
  <c r="U814" i="3"/>
  <c r="V814" i="3" s="1"/>
  <c r="Y814" i="3"/>
  <c r="W814" i="3"/>
  <c r="S816" i="3" l="1"/>
  <c r="Y815" i="3"/>
  <c r="X815" i="3"/>
  <c r="Z815" i="3"/>
  <c r="T815" i="3"/>
  <c r="U815" i="3"/>
  <c r="V815" i="3" s="1"/>
  <c r="W815" i="3"/>
  <c r="T816" i="3" l="1"/>
  <c r="Y816" i="3"/>
  <c r="X816" i="3"/>
  <c r="Z816" i="3"/>
  <c r="U816" i="3"/>
  <c r="V816" i="3" s="1"/>
  <c r="S817" i="3"/>
  <c r="W816" i="3"/>
  <c r="U817" i="3" l="1"/>
  <c r="V817" i="3" s="1"/>
  <c r="S818" i="3"/>
  <c r="Z817" i="3"/>
  <c r="Y817" i="3"/>
  <c r="T817" i="3"/>
  <c r="X817" i="3"/>
  <c r="W817" i="3"/>
  <c r="U818" i="3" l="1"/>
  <c r="V818" i="3" s="1"/>
  <c r="S819" i="3"/>
  <c r="Z818" i="3"/>
  <c r="Y818" i="3"/>
  <c r="X818" i="3"/>
  <c r="T818" i="3"/>
  <c r="W818" i="3"/>
  <c r="S820" i="3" l="1"/>
  <c r="Z819" i="3"/>
  <c r="X819" i="3"/>
  <c r="T819" i="3"/>
  <c r="Y819" i="3"/>
  <c r="U819" i="3"/>
  <c r="V819" i="3" s="1"/>
  <c r="W819" i="3"/>
  <c r="U820" i="3" l="1"/>
  <c r="V820" i="3" s="1"/>
  <c r="S821" i="3"/>
  <c r="T820" i="3"/>
  <c r="Y820" i="3"/>
  <c r="X820" i="3"/>
  <c r="Z820" i="3"/>
  <c r="W820" i="3"/>
  <c r="S822" i="3" l="1"/>
  <c r="U821" i="3"/>
  <c r="V821" i="3" s="1"/>
  <c r="Z821" i="3"/>
  <c r="Y821" i="3"/>
  <c r="X821" i="3"/>
  <c r="T821" i="3"/>
  <c r="W821" i="3"/>
  <c r="S823" i="3" l="1"/>
  <c r="Y822" i="3"/>
  <c r="X822" i="3"/>
  <c r="Z822" i="3"/>
  <c r="T822" i="3"/>
  <c r="U822" i="3"/>
  <c r="V822" i="3" s="1"/>
  <c r="W822" i="3"/>
  <c r="U823" i="3" l="1"/>
  <c r="V823" i="3" s="1"/>
  <c r="S824" i="3"/>
  <c r="Z823" i="3"/>
  <c r="Y823" i="3"/>
  <c r="X823" i="3"/>
  <c r="T823" i="3"/>
  <c r="W823" i="3"/>
  <c r="S825" i="3" l="1"/>
  <c r="T824" i="3"/>
  <c r="Y824" i="3"/>
  <c r="Z824" i="3"/>
  <c r="U824" i="3"/>
  <c r="V824" i="3" s="1"/>
  <c r="X824" i="3"/>
  <c r="W824" i="3"/>
  <c r="U825" i="3" l="1"/>
  <c r="V825" i="3" s="1"/>
  <c r="S826" i="3"/>
  <c r="Z825" i="3"/>
  <c r="Y825" i="3"/>
  <c r="X825" i="3"/>
  <c r="T825" i="3"/>
  <c r="W825" i="3"/>
  <c r="S827" i="3" l="1"/>
  <c r="Z826" i="3"/>
  <c r="X826" i="3"/>
  <c r="T826" i="3"/>
  <c r="U826" i="3"/>
  <c r="V826" i="3" s="1"/>
  <c r="Y826" i="3"/>
  <c r="W826" i="3"/>
  <c r="U827" i="3" l="1"/>
  <c r="V827" i="3" s="1"/>
  <c r="S828" i="3"/>
  <c r="Z827" i="3"/>
  <c r="Y827" i="3"/>
  <c r="X827" i="3"/>
  <c r="T827" i="3"/>
  <c r="W827" i="3"/>
  <c r="S829" i="3" l="1"/>
  <c r="T828" i="3"/>
  <c r="Y828" i="3"/>
  <c r="X828" i="3"/>
  <c r="U828" i="3"/>
  <c r="V828" i="3" s="1"/>
  <c r="Z828" i="3"/>
  <c r="W828" i="3"/>
  <c r="U829" i="3" l="1"/>
  <c r="V829" i="3" s="1"/>
  <c r="S830" i="3"/>
  <c r="Z829" i="3"/>
  <c r="Y829" i="3"/>
  <c r="X829" i="3"/>
  <c r="T829" i="3"/>
  <c r="W829" i="3"/>
  <c r="U830" i="3" l="1"/>
  <c r="V830" i="3" s="1"/>
  <c r="S831" i="3"/>
  <c r="Z830" i="3"/>
  <c r="Y830" i="3"/>
  <c r="X830" i="3"/>
  <c r="T830" i="3"/>
  <c r="W830" i="3"/>
  <c r="S832" i="3" l="1"/>
  <c r="Z831" i="3"/>
  <c r="Y831" i="3"/>
  <c r="T831" i="3"/>
  <c r="U831" i="3"/>
  <c r="V831" i="3" s="1"/>
  <c r="X831" i="3"/>
  <c r="W831" i="3"/>
  <c r="S833" i="3" l="1"/>
  <c r="T832" i="3"/>
  <c r="Y832" i="3"/>
  <c r="Z832" i="3"/>
  <c r="X832" i="3"/>
  <c r="U832" i="3"/>
  <c r="V832" i="3" s="1"/>
  <c r="W832" i="3"/>
  <c r="Z833" i="3" l="1"/>
  <c r="Y833" i="3"/>
  <c r="X833" i="3"/>
  <c r="T833" i="3"/>
  <c r="S834" i="3"/>
  <c r="U833" i="3"/>
  <c r="V833" i="3" s="1"/>
  <c r="W833" i="3"/>
  <c r="U834" i="3" l="1"/>
  <c r="V834" i="3" s="1"/>
  <c r="S835" i="3"/>
  <c r="Z834" i="3"/>
  <c r="Y834" i="3"/>
  <c r="X834" i="3"/>
  <c r="T834" i="3"/>
  <c r="W834" i="3"/>
  <c r="U835" i="3" l="1"/>
  <c r="V835" i="3" s="1"/>
  <c r="S836" i="3"/>
  <c r="Y835" i="3"/>
  <c r="Z835" i="3"/>
  <c r="X835" i="3"/>
  <c r="T835" i="3"/>
  <c r="W835" i="3"/>
  <c r="U836" i="3" l="1"/>
  <c r="V836" i="3" s="1"/>
  <c r="S837" i="3"/>
  <c r="T836" i="3"/>
  <c r="Y836" i="3"/>
  <c r="X836" i="3"/>
  <c r="Z836" i="3"/>
  <c r="W836" i="3"/>
  <c r="U837" i="3" l="1"/>
  <c r="V837" i="3" s="1"/>
  <c r="S838" i="3"/>
  <c r="Z837" i="3"/>
  <c r="Y837" i="3"/>
  <c r="T837" i="3"/>
  <c r="X837" i="3"/>
  <c r="W837" i="3"/>
  <c r="S839" i="3" l="1"/>
  <c r="Y838" i="3"/>
  <c r="U838" i="3"/>
  <c r="V838" i="3" s="1"/>
  <c r="Z838" i="3"/>
  <c r="X838" i="3"/>
  <c r="T838" i="3"/>
  <c r="W838" i="3"/>
  <c r="S840" i="3" l="1"/>
  <c r="Z839" i="3"/>
  <c r="Y839" i="3"/>
  <c r="T839" i="3"/>
  <c r="U839" i="3"/>
  <c r="V839" i="3" s="1"/>
  <c r="X839" i="3"/>
  <c r="W839" i="3"/>
  <c r="U840" i="3" l="1"/>
  <c r="V840" i="3" s="1"/>
  <c r="S841" i="3"/>
  <c r="T840" i="3"/>
  <c r="Y840" i="3"/>
  <c r="X840" i="3"/>
  <c r="Z840" i="3"/>
  <c r="W840" i="3"/>
  <c r="Z841" i="3" l="1"/>
  <c r="Y841" i="3"/>
  <c r="X841" i="3"/>
  <c r="T841" i="3"/>
  <c r="U841" i="3"/>
  <c r="V841" i="3" s="1"/>
  <c r="S842" i="3"/>
  <c r="W841" i="3"/>
  <c r="Z842" i="3" l="1"/>
  <c r="Y842" i="3"/>
  <c r="X842" i="3"/>
  <c r="T842" i="3"/>
  <c r="U842" i="3"/>
  <c r="V842" i="3" s="1"/>
  <c r="S843" i="3"/>
  <c r="W842" i="3"/>
  <c r="S844" i="3" l="1"/>
  <c r="Z843" i="3"/>
  <c r="Y843" i="3"/>
  <c r="T843" i="3"/>
  <c r="U843" i="3"/>
  <c r="V843" i="3" s="1"/>
  <c r="X843" i="3"/>
  <c r="W843" i="3"/>
  <c r="T844" i="3" l="1"/>
  <c r="Y844" i="3"/>
  <c r="X844" i="3"/>
  <c r="Z844" i="3"/>
  <c r="U844" i="3"/>
  <c r="V844" i="3" s="1"/>
  <c r="S845" i="3"/>
  <c r="W844" i="3"/>
  <c r="Z845" i="3" l="1"/>
  <c r="Y845" i="3"/>
  <c r="X845" i="3"/>
  <c r="T845" i="3"/>
  <c r="S846" i="3"/>
  <c r="U845" i="3"/>
  <c r="V845" i="3" s="1"/>
  <c r="W845" i="3"/>
  <c r="U846" i="3" l="1"/>
  <c r="V846" i="3" s="1"/>
  <c r="Z846" i="3"/>
  <c r="Y846" i="3"/>
  <c r="X846" i="3"/>
  <c r="S847" i="3"/>
  <c r="T846" i="3"/>
  <c r="W846" i="3"/>
  <c r="Z847" i="3" l="1"/>
  <c r="Y847" i="3"/>
  <c r="X847" i="3"/>
  <c r="T847" i="3"/>
  <c r="U847" i="3"/>
  <c r="V847" i="3" s="1"/>
  <c r="S848" i="3"/>
  <c r="W847" i="3"/>
  <c r="S849" i="3" l="1"/>
  <c r="Y848" i="3"/>
  <c r="X848" i="3"/>
  <c r="Z848" i="3"/>
  <c r="U848" i="3"/>
  <c r="V848" i="3" s="1"/>
  <c r="T848" i="3"/>
  <c r="W848" i="3"/>
  <c r="Z849" i="3" l="1"/>
  <c r="Y849" i="3"/>
  <c r="X849" i="3"/>
  <c r="T849" i="3"/>
  <c r="U849" i="3"/>
  <c r="V849" i="3" s="1"/>
  <c r="S850" i="3"/>
  <c r="W849" i="3"/>
  <c r="U850" i="3" l="1"/>
  <c r="V850" i="3" s="1"/>
  <c r="T850" i="3"/>
  <c r="S851" i="3"/>
  <c r="Z850" i="3"/>
  <c r="Y850" i="3"/>
  <c r="X850" i="3"/>
  <c r="W850" i="3"/>
  <c r="Z851" i="3" l="1"/>
  <c r="Y851" i="3"/>
  <c r="X851" i="3"/>
  <c r="T851" i="3"/>
  <c r="U851" i="3"/>
  <c r="V851" i="3" s="1"/>
  <c r="S852" i="3"/>
  <c r="W851" i="3"/>
  <c r="S853" i="3" l="1"/>
  <c r="T852" i="3"/>
  <c r="Y852" i="3"/>
  <c r="X852" i="3"/>
  <c r="Z852" i="3"/>
  <c r="U852" i="3"/>
  <c r="V852" i="3" s="1"/>
  <c r="W852" i="3"/>
  <c r="Z853" i="3" l="1"/>
  <c r="Y853" i="3"/>
  <c r="X853" i="3"/>
  <c r="U853" i="3"/>
  <c r="V853" i="3" s="1"/>
  <c r="S854" i="3"/>
  <c r="T853" i="3"/>
  <c r="W853" i="3"/>
  <c r="Z854" i="3" l="1"/>
  <c r="Y854" i="3"/>
  <c r="X854" i="3"/>
  <c r="T854" i="3"/>
  <c r="U854" i="3"/>
  <c r="V854" i="3" s="1"/>
  <c r="S855" i="3"/>
  <c r="W854" i="3"/>
  <c r="S856" i="3" l="1"/>
  <c r="Z855" i="3"/>
  <c r="Y855" i="3"/>
  <c r="X855" i="3"/>
  <c r="T855" i="3"/>
  <c r="U855" i="3"/>
  <c r="V855" i="3" s="1"/>
  <c r="W855" i="3"/>
  <c r="S857" i="3" l="1"/>
  <c r="Y856" i="3"/>
  <c r="T856" i="3"/>
  <c r="X856" i="3"/>
  <c r="Z856" i="3"/>
  <c r="U856" i="3"/>
  <c r="V856" i="3" s="1"/>
  <c r="W856" i="3"/>
  <c r="U857" i="3" l="1"/>
  <c r="V857" i="3" s="1"/>
  <c r="S858" i="3"/>
  <c r="Z857" i="3"/>
  <c r="Y857" i="3"/>
  <c r="X857" i="3"/>
  <c r="T857" i="3"/>
  <c r="W857" i="3"/>
  <c r="Z858" i="3" l="1"/>
  <c r="Y858" i="3"/>
  <c r="X858" i="3"/>
  <c r="T858" i="3"/>
  <c r="U858" i="3"/>
  <c r="V858" i="3" s="1"/>
  <c r="S859" i="3"/>
  <c r="W858" i="3"/>
  <c r="Z859" i="3" l="1"/>
  <c r="Y859" i="3"/>
  <c r="X859" i="3"/>
  <c r="T859" i="3"/>
  <c r="U859" i="3"/>
  <c r="V859" i="3" s="1"/>
  <c r="S860" i="3"/>
  <c r="W859" i="3"/>
  <c r="T860" i="3" l="1"/>
  <c r="Y860" i="3"/>
  <c r="X860" i="3"/>
  <c r="Z860" i="3"/>
  <c r="U860" i="3"/>
  <c r="V860" i="3" s="1"/>
  <c r="S861" i="3"/>
  <c r="W860" i="3"/>
  <c r="Z861" i="3" l="1"/>
  <c r="Y861" i="3"/>
  <c r="X861" i="3"/>
  <c r="T861" i="3"/>
  <c r="S862" i="3"/>
  <c r="U861" i="3"/>
  <c r="V861" i="3" s="1"/>
  <c r="W861" i="3"/>
  <c r="U862" i="3" l="1"/>
  <c r="V862" i="3" s="1"/>
  <c r="Z862" i="3"/>
  <c r="Y862" i="3"/>
  <c r="X862" i="3"/>
  <c r="T862" i="3"/>
  <c r="S863" i="3"/>
  <c r="W862" i="3"/>
  <c r="S864" i="3" l="1"/>
  <c r="Z863" i="3"/>
  <c r="Y863" i="3"/>
  <c r="X863" i="3"/>
  <c r="T863" i="3"/>
  <c r="U863" i="3"/>
  <c r="V863" i="3" s="1"/>
  <c r="W863" i="3"/>
  <c r="T864" i="3" l="1"/>
  <c r="Y864" i="3"/>
  <c r="X864" i="3"/>
  <c r="Z864" i="3"/>
  <c r="U864" i="3"/>
  <c r="V864" i="3" s="1"/>
  <c r="S865" i="3"/>
  <c r="W864" i="3"/>
  <c r="U865" i="3" l="1"/>
  <c r="V865" i="3" s="1"/>
  <c r="S866" i="3"/>
  <c r="Z865" i="3"/>
  <c r="Y865" i="3"/>
  <c r="X865" i="3"/>
  <c r="T865" i="3"/>
  <c r="W865" i="3"/>
  <c r="U866" i="3" l="1"/>
  <c r="V866" i="3" s="1"/>
  <c r="S867" i="3"/>
  <c r="Z866" i="3"/>
  <c r="Y866" i="3"/>
  <c r="X866" i="3"/>
  <c r="T866" i="3"/>
  <c r="W866" i="3"/>
  <c r="S868" i="3" l="1"/>
  <c r="Z867" i="3"/>
  <c r="Y867" i="3"/>
  <c r="X867" i="3"/>
  <c r="U867" i="3"/>
  <c r="V867" i="3" s="1"/>
  <c r="T867" i="3"/>
  <c r="W867" i="3"/>
  <c r="U868" i="3" l="1"/>
  <c r="V868" i="3" s="1"/>
  <c r="S869" i="3"/>
  <c r="T868" i="3"/>
  <c r="Y868" i="3"/>
  <c r="X868" i="3"/>
  <c r="Z868" i="3"/>
  <c r="W868" i="3"/>
  <c r="U869" i="3" l="1"/>
  <c r="V869" i="3" s="1"/>
  <c r="S870" i="3"/>
  <c r="Z869" i="3"/>
  <c r="Y869" i="3"/>
  <c r="X869" i="3"/>
  <c r="T869" i="3"/>
  <c r="W869" i="3"/>
  <c r="S871" i="3" l="1"/>
  <c r="Z870" i="3"/>
  <c r="X870" i="3"/>
  <c r="T870" i="3"/>
  <c r="U870" i="3"/>
  <c r="V870" i="3" s="1"/>
  <c r="Y870" i="3"/>
  <c r="W870" i="3"/>
  <c r="U871" i="3" l="1"/>
  <c r="V871" i="3" s="1"/>
  <c r="S872" i="3"/>
  <c r="Z871" i="3"/>
  <c r="Y871" i="3"/>
  <c r="X871" i="3"/>
  <c r="T871" i="3"/>
  <c r="W871" i="3"/>
  <c r="S873" i="3" l="1"/>
  <c r="T872" i="3"/>
  <c r="Y872" i="3"/>
  <c r="X872" i="3"/>
  <c r="U872" i="3"/>
  <c r="V872" i="3" s="1"/>
  <c r="Z872" i="3"/>
  <c r="W872" i="3"/>
  <c r="U873" i="3" l="1"/>
  <c r="V873" i="3" s="1"/>
  <c r="S874" i="3"/>
  <c r="Z873" i="3"/>
  <c r="Y873" i="3"/>
  <c r="X873" i="3"/>
  <c r="T873" i="3"/>
  <c r="W873" i="3"/>
  <c r="U874" i="3" l="1"/>
  <c r="V874" i="3" s="1"/>
  <c r="Z874" i="3"/>
  <c r="Y874" i="3"/>
  <c r="X874" i="3"/>
  <c r="S875" i="3"/>
  <c r="T874" i="3"/>
  <c r="W874" i="3"/>
  <c r="U875" i="3" l="1"/>
  <c r="V875" i="3" s="1"/>
  <c r="S876" i="3"/>
  <c r="Z875" i="3"/>
  <c r="Y875" i="3"/>
  <c r="X875" i="3"/>
  <c r="T875" i="3"/>
  <c r="W875" i="3"/>
  <c r="S877" i="3" l="1"/>
  <c r="T876" i="3"/>
  <c r="Y876" i="3"/>
  <c r="Z876" i="3"/>
  <c r="U876" i="3"/>
  <c r="V876" i="3" s="1"/>
  <c r="X876" i="3"/>
  <c r="W876" i="3"/>
  <c r="U877" i="3" l="1"/>
  <c r="V877" i="3" s="1"/>
  <c r="S878" i="3"/>
  <c r="Z877" i="3"/>
  <c r="Y877" i="3"/>
  <c r="T877" i="3"/>
  <c r="X877" i="3"/>
  <c r="W877" i="3"/>
  <c r="U878" i="3" l="1"/>
  <c r="V878" i="3" s="1"/>
  <c r="S879" i="3"/>
  <c r="Z878" i="3"/>
  <c r="Y878" i="3"/>
  <c r="X878" i="3"/>
  <c r="T878" i="3"/>
  <c r="W878" i="3"/>
  <c r="S880" i="3" l="1"/>
  <c r="Z879" i="3"/>
  <c r="Y879" i="3"/>
  <c r="X879" i="3"/>
  <c r="T879" i="3"/>
  <c r="U879" i="3"/>
  <c r="V879" i="3" s="1"/>
  <c r="W879" i="3"/>
  <c r="S881" i="3" l="1"/>
  <c r="T880" i="3"/>
  <c r="X880" i="3"/>
  <c r="Z880" i="3"/>
  <c r="U880" i="3"/>
  <c r="V880" i="3" s="1"/>
  <c r="Y880" i="3"/>
  <c r="W880" i="3"/>
  <c r="Z881" i="3" l="1"/>
  <c r="Y881" i="3"/>
  <c r="X881" i="3"/>
  <c r="T881" i="3"/>
  <c r="U881" i="3"/>
  <c r="V881" i="3" s="1"/>
  <c r="S882" i="3"/>
  <c r="W881" i="3"/>
  <c r="U882" i="3" l="1"/>
  <c r="V882" i="3" s="1"/>
  <c r="S883" i="3"/>
  <c r="Z882" i="3"/>
  <c r="Y882" i="3"/>
  <c r="X882" i="3"/>
  <c r="T882" i="3"/>
  <c r="W882" i="3"/>
  <c r="U883" i="3" l="1"/>
  <c r="V883" i="3" s="1"/>
  <c r="S884" i="3"/>
  <c r="Z883" i="3"/>
  <c r="Y883" i="3"/>
  <c r="X883" i="3"/>
  <c r="T883" i="3"/>
  <c r="W883" i="3"/>
  <c r="U884" i="3" l="1"/>
  <c r="V884" i="3" s="1"/>
  <c r="S885" i="3"/>
  <c r="T884" i="3"/>
  <c r="Y884" i="3"/>
  <c r="X884" i="3"/>
  <c r="Z884" i="3"/>
  <c r="W884" i="3"/>
  <c r="U885" i="3" l="1"/>
  <c r="V885" i="3" s="1"/>
  <c r="S886" i="3"/>
  <c r="Z885" i="3"/>
  <c r="Y885" i="3"/>
  <c r="X885" i="3"/>
  <c r="T885" i="3"/>
  <c r="W885" i="3"/>
  <c r="U886" i="3" l="1"/>
  <c r="V886" i="3" s="1"/>
  <c r="Y886" i="3"/>
  <c r="X886" i="3"/>
  <c r="Z886" i="3"/>
  <c r="T886" i="3"/>
  <c r="S887" i="3"/>
  <c r="W886" i="3"/>
  <c r="S888" i="3" l="1"/>
  <c r="Z887" i="3"/>
  <c r="X887" i="3"/>
  <c r="T887" i="3"/>
  <c r="Y887" i="3"/>
  <c r="U887" i="3"/>
  <c r="V887" i="3" s="1"/>
  <c r="W887" i="3"/>
  <c r="U888" i="3" l="1"/>
  <c r="V888" i="3" s="1"/>
  <c r="S889" i="3"/>
  <c r="T888" i="3"/>
  <c r="Y888" i="3"/>
  <c r="X888" i="3"/>
  <c r="Z888" i="3"/>
  <c r="W888" i="3"/>
  <c r="Z889" i="3" l="1"/>
  <c r="Y889" i="3"/>
  <c r="X889" i="3"/>
  <c r="T889" i="3"/>
  <c r="U889" i="3"/>
  <c r="V889" i="3" s="1"/>
  <c r="S890" i="3"/>
  <c r="W889" i="3"/>
  <c r="Z890" i="3" l="1"/>
  <c r="Y890" i="3"/>
  <c r="X890" i="3"/>
  <c r="T890" i="3"/>
  <c r="U890" i="3"/>
  <c r="V890" i="3" s="1"/>
  <c r="S891" i="3"/>
  <c r="W890" i="3"/>
  <c r="S892" i="3" l="1"/>
  <c r="Z891" i="3"/>
  <c r="X891" i="3"/>
  <c r="T891" i="3"/>
  <c r="Y891" i="3"/>
  <c r="U891" i="3"/>
  <c r="V891" i="3" s="1"/>
  <c r="W891" i="3"/>
  <c r="T892" i="3" l="1"/>
  <c r="Y892" i="3"/>
  <c r="X892" i="3"/>
  <c r="Z892" i="3"/>
  <c r="U892" i="3"/>
  <c r="V892" i="3" s="1"/>
  <c r="S893" i="3"/>
  <c r="W892" i="3"/>
  <c r="Z893" i="3" l="1"/>
  <c r="Y893" i="3"/>
  <c r="X893" i="3"/>
  <c r="T893" i="3"/>
  <c r="U893" i="3"/>
  <c r="V893" i="3" s="1"/>
  <c r="S894" i="3"/>
  <c r="W893" i="3"/>
  <c r="S895" i="3" l="1"/>
  <c r="Z894" i="3"/>
  <c r="Y894" i="3"/>
  <c r="X894" i="3"/>
  <c r="U894" i="3"/>
  <c r="V894" i="3" s="1"/>
  <c r="T894" i="3"/>
  <c r="W894" i="3"/>
  <c r="Z895" i="3" l="1"/>
  <c r="Y895" i="3"/>
  <c r="X895" i="3"/>
  <c r="T895" i="3"/>
  <c r="U895" i="3"/>
  <c r="V895" i="3" s="1"/>
  <c r="S896" i="3"/>
  <c r="W895" i="3"/>
  <c r="S897" i="3" l="1"/>
  <c r="T896" i="3"/>
  <c r="X896" i="3"/>
  <c r="Z896" i="3"/>
  <c r="Y896" i="3"/>
  <c r="U896" i="3"/>
  <c r="V896" i="3" s="1"/>
  <c r="W896" i="3"/>
  <c r="Z897" i="3" l="1"/>
  <c r="Y897" i="3"/>
  <c r="X897" i="3"/>
  <c r="T897" i="3"/>
  <c r="S898" i="3"/>
  <c r="U897" i="3"/>
  <c r="V897" i="3" s="1"/>
  <c r="W897" i="3"/>
  <c r="U898" i="3" l="1"/>
  <c r="V898" i="3" s="1"/>
  <c r="Z898" i="3"/>
  <c r="S899" i="3"/>
  <c r="Y898" i="3"/>
  <c r="X898" i="3"/>
  <c r="T898" i="3"/>
  <c r="W898" i="3"/>
  <c r="Z899" i="3" l="1"/>
  <c r="Y899" i="3"/>
  <c r="X899" i="3"/>
  <c r="T899" i="3"/>
  <c r="U899" i="3"/>
  <c r="V899" i="3" s="1"/>
  <c r="S900" i="3"/>
  <c r="W899" i="3"/>
  <c r="S901" i="3" l="1"/>
  <c r="T900" i="3"/>
  <c r="Y900" i="3"/>
  <c r="X900" i="3"/>
  <c r="Z900" i="3"/>
  <c r="U900" i="3"/>
  <c r="V900" i="3" s="1"/>
  <c r="W900" i="3"/>
  <c r="Z901" i="3" l="1"/>
  <c r="Y901" i="3"/>
  <c r="X901" i="3"/>
  <c r="T901" i="3"/>
  <c r="S902" i="3"/>
  <c r="U901" i="3"/>
  <c r="V901" i="3" s="1"/>
  <c r="W901" i="3"/>
  <c r="Z902" i="3" l="1"/>
  <c r="Y902" i="3"/>
  <c r="X902" i="3"/>
  <c r="T902" i="3"/>
  <c r="U902" i="3"/>
  <c r="V902" i="3" s="1"/>
  <c r="S903" i="3"/>
  <c r="W902" i="3"/>
  <c r="S904" i="3" l="1"/>
  <c r="Z903" i="3"/>
  <c r="Y903" i="3"/>
  <c r="X903" i="3"/>
  <c r="U903" i="3"/>
  <c r="V903" i="3" s="1"/>
  <c r="T903" i="3"/>
  <c r="W903" i="3"/>
  <c r="S905" i="3" l="1"/>
  <c r="T904" i="3"/>
  <c r="Y904" i="3"/>
  <c r="Z904" i="3"/>
  <c r="U904" i="3"/>
  <c r="V904" i="3" s="1"/>
  <c r="X904" i="3"/>
  <c r="W904" i="3"/>
  <c r="U905" i="3" l="1"/>
  <c r="V905" i="3" s="1"/>
  <c r="S906" i="3"/>
  <c r="Z905" i="3"/>
  <c r="Y905" i="3"/>
  <c r="X905" i="3"/>
  <c r="T905" i="3"/>
  <c r="W905" i="3"/>
  <c r="Z906" i="3" l="1"/>
  <c r="Y906" i="3"/>
  <c r="X906" i="3"/>
  <c r="T906" i="3"/>
  <c r="S907" i="3"/>
  <c r="U906" i="3"/>
  <c r="V906" i="3" s="1"/>
  <c r="W906" i="3"/>
  <c r="Z907" i="3" l="1"/>
  <c r="Y907" i="3"/>
  <c r="X907" i="3"/>
  <c r="T907" i="3"/>
  <c r="U907" i="3"/>
  <c r="V907" i="3" s="1"/>
  <c r="S908" i="3"/>
  <c r="W907" i="3"/>
  <c r="T908" i="3" l="1"/>
  <c r="Y908" i="3"/>
  <c r="X908" i="3"/>
  <c r="Z908" i="3"/>
  <c r="U908" i="3"/>
  <c r="V908" i="3" s="1"/>
  <c r="S909" i="3"/>
  <c r="W908" i="3"/>
  <c r="Z909" i="3" l="1"/>
  <c r="Y909" i="3"/>
  <c r="X909" i="3"/>
  <c r="U909" i="3"/>
  <c r="V909" i="3" s="1"/>
  <c r="T909" i="3"/>
  <c r="S910" i="3"/>
  <c r="W909" i="3"/>
  <c r="U910" i="3" l="1"/>
  <c r="V910" i="3" s="1"/>
  <c r="Z910" i="3"/>
  <c r="Y910" i="3"/>
  <c r="X910" i="3"/>
  <c r="S911" i="3"/>
  <c r="T910" i="3"/>
  <c r="W910" i="3"/>
  <c r="S912" i="3" l="1"/>
  <c r="Z911" i="3"/>
  <c r="X911" i="3"/>
  <c r="T911" i="3"/>
  <c r="U911" i="3"/>
  <c r="V911" i="3" s="1"/>
  <c r="Y911" i="3"/>
  <c r="W911" i="3"/>
  <c r="T912" i="3" l="1"/>
  <c r="Y912" i="3"/>
  <c r="X912" i="3"/>
  <c r="Z912" i="3"/>
  <c r="U912" i="3"/>
  <c r="V912" i="3" s="1"/>
  <c r="S913" i="3"/>
  <c r="W912" i="3"/>
  <c r="U913" i="3" l="1"/>
  <c r="V913" i="3" s="1"/>
  <c r="S914" i="3"/>
  <c r="Z913" i="3"/>
  <c r="Y913" i="3"/>
  <c r="X913" i="3"/>
  <c r="T913" i="3"/>
  <c r="W913" i="3"/>
  <c r="U914" i="3" l="1"/>
  <c r="V914" i="3" s="1"/>
  <c r="S915" i="3"/>
  <c r="Z914" i="3"/>
  <c r="Y914" i="3"/>
  <c r="X914" i="3"/>
  <c r="T914" i="3"/>
  <c r="W914" i="3"/>
  <c r="S916" i="3" l="1"/>
  <c r="Z915" i="3"/>
  <c r="X915" i="3"/>
  <c r="T915" i="3"/>
  <c r="U915" i="3"/>
  <c r="V915" i="3" s="1"/>
  <c r="Y915" i="3"/>
  <c r="W915" i="3"/>
  <c r="U916" i="3" l="1"/>
  <c r="V916" i="3" s="1"/>
  <c r="S917" i="3"/>
  <c r="T916" i="3"/>
  <c r="Y916" i="3"/>
  <c r="X916" i="3"/>
  <c r="Z916" i="3"/>
  <c r="W916" i="3"/>
  <c r="U917" i="3" l="1"/>
  <c r="V917" i="3" s="1"/>
  <c r="S918" i="3"/>
  <c r="Z917" i="3"/>
  <c r="Y917" i="3"/>
  <c r="X917" i="3"/>
  <c r="T917" i="3"/>
  <c r="W917" i="3"/>
  <c r="S919" i="3" l="1"/>
  <c r="Z918" i="3"/>
  <c r="X918" i="3"/>
  <c r="T918" i="3"/>
  <c r="Y918" i="3"/>
  <c r="U918" i="3"/>
  <c r="V918" i="3" s="1"/>
  <c r="W918" i="3"/>
  <c r="U919" i="3" l="1"/>
  <c r="V919" i="3" s="1"/>
  <c r="S920" i="3"/>
  <c r="Z919" i="3"/>
  <c r="Y919" i="3"/>
  <c r="X919" i="3"/>
  <c r="T919" i="3"/>
  <c r="W919" i="3"/>
  <c r="S921" i="3" l="1"/>
  <c r="T920" i="3"/>
  <c r="Y920" i="3"/>
  <c r="X920" i="3"/>
  <c r="U920" i="3"/>
  <c r="V920" i="3" s="1"/>
  <c r="Z920" i="3"/>
  <c r="W920" i="3"/>
  <c r="U921" i="3" l="1"/>
  <c r="V921" i="3" s="1"/>
  <c r="S922" i="3"/>
  <c r="Z921" i="3"/>
  <c r="Y921" i="3"/>
  <c r="X921" i="3"/>
  <c r="T921" i="3"/>
  <c r="W921" i="3"/>
  <c r="U922" i="3" l="1"/>
  <c r="V922" i="3" s="1"/>
  <c r="Z922" i="3"/>
  <c r="Y922" i="3"/>
  <c r="X922" i="3"/>
  <c r="T922" i="3"/>
  <c r="S923" i="3"/>
  <c r="W922" i="3"/>
  <c r="U923" i="3" l="1"/>
  <c r="V923" i="3" s="1"/>
  <c r="S924" i="3"/>
  <c r="Z923" i="3"/>
  <c r="Y923" i="3"/>
  <c r="X923" i="3"/>
  <c r="T923" i="3"/>
  <c r="W923" i="3"/>
  <c r="S925" i="3" l="1"/>
  <c r="Y924" i="3"/>
  <c r="X924" i="3"/>
  <c r="Z924" i="3"/>
  <c r="U924" i="3"/>
  <c r="V924" i="3" s="1"/>
  <c r="T924" i="3"/>
  <c r="W924" i="3"/>
  <c r="U925" i="3" l="1"/>
  <c r="V925" i="3" s="1"/>
  <c r="S926" i="3"/>
  <c r="Z925" i="3"/>
  <c r="Y925" i="3"/>
  <c r="X925" i="3"/>
  <c r="T925" i="3"/>
  <c r="W925" i="3"/>
  <c r="U926" i="3" l="1"/>
  <c r="V926" i="3" s="1"/>
  <c r="S927" i="3"/>
  <c r="Z926" i="3"/>
  <c r="Y926" i="3"/>
  <c r="X926" i="3"/>
  <c r="T926" i="3"/>
  <c r="W926" i="3"/>
  <c r="S928" i="3" l="1"/>
  <c r="Z927" i="3"/>
  <c r="X927" i="3"/>
  <c r="Y927" i="3"/>
  <c r="T927" i="3"/>
  <c r="U927" i="3"/>
  <c r="V927" i="3" s="1"/>
  <c r="W927" i="3"/>
  <c r="S929" i="3" l="1"/>
  <c r="T928" i="3"/>
  <c r="Y928" i="3"/>
  <c r="Z928" i="3"/>
  <c r="U928" i="3"/>
  <c r="V928" i="3" s="1"/>
  <c r="X928" i="3"/>
  <c r="W928" i="3"/>
  <c r="Z929" i="3" l="1"/>
  <c r="Y929" i="3"/>
  <c r="X929" i="3"/>
  <c r="S930" i="3"/>
  <c r="T929" i="3"/>
  <c r="U929" i="3"/>
  <c r="V929" i="3" s="1"/>
  <c r="W929" i="3"/>
  <c r="U930" i="3" l="1"/>
  <c r="V930" i="3" s="1"/>
  <c r="S931" i="3"/>
  <c r="Z930" i="3"/>
  <c r="Y930" i="3"/>
  <c r="X930" i="3"/>
  <c r="T930" i="3"/>
  <c r="W930" i="3"/>
  <c r="U931" i="3" l="1"/>
  <c r="V931" i="3" s="1"/>
  <c r="S932" i="3"/>
  <c r="Z931" i="3"/>
  <c r="Y931" i="3"/>
  <c r="X931" i="3"/>
  <c r="T931" i="3"/>
  <c r="W931" i="3"/>
  <c r="U932" i="3" l="1"/>
  <c r="V932" i="3" s="1"/>
  <c r="S933" i="3"/>
  <c r="T932" i="3"/>
  <c r="Y932" i="3"/>
  <c r="X932" i="3"/>
  <c r="Z932" i="3"/>
  <c r="W932" i="3"/>
  <c r="U933" i="3" l="1"/>
  <c r="V933" i="3" s="1"/>
  <c r="S934" i="3"/>
  <c r="Z933" i="3"/>
  <c r="Y933" i="3"/>
  <c r="X933" i="3"/>
  <c r="T933" i="3"/>
  <c r="W933" i="3"/>
  <c r="U934" i="3" l="1"/>
  <c r="V934" i="3" s="1"/>
  <c r="Z934" i="3"/>
  <c r="X934" i="3"/>
  <c r="T934" i="3"/>
  <c r="Y934" i="3"/>
  <c r="S935" i="3"/>
  <c r="W934" i="3"/>
  <c r="S936" i="3" l="1"/>
  <c r="Z935" i="3"/>
  <c r="X935" i="3"/>
  <c r="T935" i="3"/>
  <c r="Y935" i="3"/>
  <c r="U935" i="3"/>
  <c r="V935" i="3" s="1"/>
  <c r="W935" i="3"/>
  <c r="U936" i="3" l="1"/>
  <c r="V936" i="3" s="1"/>
  <c r="S937" i="3"/>
  <c r="T936" i="3"/>
  <c r="Y936" i="3"/>
  <c r="X936" i="3"/>
  <c r="Z936" i="3"/>
  <c r="W936" i="3"/>
  <c r="Z937" i="3" l="1"/>
  <c r="Y937" i="3"/>
  <c r="X937" i="3"/>
  <c r="T937" i="3"/>
  <c r="S938" i="3"/>
  <c r="U937" i="3"/>
  <c r="V937" i="3" s="1"/>
  <c r="W937" i="3"/>
  <c r="Z938" i="3" l="1"/>
  <c r="Y938" i="3"/>
  <c r="X938" i="3"/>
  <c r="T938" i="3"/>
  <c r="S939" i="3"/>
  <c r="U938" i="3"/>
  <c r="V938" i="3" s="1"/>
  <c r="W938" i="3"/>
  <c r="S940" i="3" l="1"/>
  <c r="Z939" i="3"/>
  <c r="Y939" i="3"/>
  <c r="X939" i="3"/>
  <c r="U939" i="3"/>
  <c r="V939" i="3" s="1"/>
  <c r="T939" i="3"/>
  <c r="W939" i="3"/>
  <c r="T940" i="3" l="1"/>
  <c r="Y940" i="3"/>
  <c r="X940" i="3"/>
  <c r="Z940" i="3"/>
  <c r="U940" i="3"/>
  <c r="V940" i="3" s="1"/>
  <c r="S941" i="3"/>
  <c r="W940" i="3"/>
  <c r="Z941" i="3" l="1"/>
  <c r="Y941" i="3"/>
  <c r="X941" i="3"/>
  <c r="T941" i="3"/>
  <c r="U941" i="3"/>
  <c r="V941" i="3" s="1"/>
  <c r="S942" i="3"/>
  <c r="W941" i="3"/>
  <c r="S943" i="3" l="1"/>
  <c r="Z942" i="3"/>
  <c r="Y942" i="3"/>
  <c r="X942" i="3"/>
  <c r="T942" i="3"/>
  <c r="U942" i="3"/>
  <c r="V942" i="3" s="1"/>
  <c r="W942" i="3"/>
  <c r="Z943" i="3" l="1"/>
  <c r="Y943" i="3"/>
  <c r="X943" i="3"/>
  <c r="T943" i="3"/>
  <c r="U943" i="3"/>
  <c r="V943" i="3" s="1"/>
  <c r="S944" i="3"/>
  <c r="W943" i="3"/>
  <c r="S945" i="3" l="1"/>
  <c r="Y944" i="3"/>
  <c r="X944" i="3"/>
  <c r="Z944" i="3"/>
  <c r="U944" i="3"/>
  <c r="V944" i="3" s="1"/>
  <c r="T944" i="3"/>
  <c r="W944" i="3"/>
  <c r="Z945" i="3" l="1"/>
  <c r="Y945" i="3"/>
  <c r="X945" i="3"/>
  <c r="T945" i="3"/>
  <c r="U945" i="3"/>
  <c r="V945" i="3" s="1"/>
  <c r="S946" i="3"/>
  <c r="W945" i="3"/>
  <c r="U946" i="3" l="1"/>
  <c r="V946" i="3" s="1"/>
  <c r="Z946" i="3"/>
  <c r="X946" i="3"/>
  <c r="T946" i="3"/>
  <c r="S947" i="3"/>
  <c r="Y946" i="3"/>
  <c r="W946" i="3"/>
  <c r="Z947" i="3" l="1"/>
  <c r="Y947" i="3"/>
  <c r="X947" i="3"/>
  <c r="T947" i="3"/>
  <c r="S948" i="3"/>
  <c r="U947" i="3"/>
  <c r="V947" i="3" s="1"/>
  <c r="W947" i="3"/>
  <c r="S949" i="3" l="1"/>
  <c r="Y948" i="3"/>
  <c r="X948" i="3"/>
  <c r="Z948" i="3"/>
  <c r="U948" i="3"/>
  <c r="V948" i="3" s="1"/>
  <c r="T948" i="3"/>
  <c r="W948" i="3"/>
  <c r="Z949" i="3" l="1"/>
  <c r="Y949" i="3"/>
  <c r="X949" i="3"/>
  <c r="T949" i="3"/>
  <c r="U949" i="3"/>
  <c r="V949" i="3" s="1"/>
  <c r="S950" i="3"/>
  <c r="W949" i="3"/>
  <c r="Y950" i="3" l="1"/>
  <c r="X950" i="3"/>
  <c r="S951" i="3"/>
  <c r="Z950" i="3"/>
  <c r="T950" i="3"/>
  <c r="U950" i="3"/>
  <c r="V950" i="3" s="1"/>
  <c r="W950" i="3"/>
  <c r="S952" i="3" l="1"/>
  <c r="Z951" i="3"/>
  <c r="Y951" i="3"/>
  <c r="X951" i="3"/>
  <c r="U951" i="3"/>
  <c r="V951" i="3" s="1"/>
  <c r="T951" i="3"/>
  <c r="W951" i="3"/>
  <c r="S953" i="3" l="1"/>
  <c r="T952" i="3"/>
  <c r="X952" i="3"/>
  <c r="Z952" i="3"/>
  <c r="U952" i="3"/>
  <c r="V952" i="3" s="1"/>
  <c r="Y952" i="3"/>
  <c r="W952" i="3"/>
  <c r="U953" i="3" l="1"/>
  <c r="V953" i="3" s="1"/>
  <c r="S954" i="3"/>
  <c r="Z953" i="3"/>
  <c r="Y953" i="3"/>
  <c r="X953" i="3"/>
  <c r="T953" i="3"/>
  <c r="W953" i="3"/>
  <c r="Z954" i="3" l="1"/>
  <c r="Y954" i="3"/>
  <c r="X954" i="3"/>
  <c r="T954" i="3"/>
  <c r="U954" i="3"/>
  <c r="V954" i="3" s="1"/>
  <c r="S955" i="3"/>
  <c r="W954" i="3"/>
  <c r="Z955" i="3" l="1"/>
  <c r="Y955" i="3"/>
  <c r="X955" i="3"/>
  <c r="T955" i="3"/>
  <c r="U955" i="3"/>
  <c r="V955" i="3" s="1"/>
  <c r="S956" i="3"/>
  <c r="W955" i="3"/>
  <c r="T956" i="3" l="1"/>
  <c r="Y956" i="3"/>
  <c r="X956" i="3"/>
  <c r="Z956" i="3"/>
  <c r="U956" i="3"/>
  <c r="V956" i="3" s="1"/>
  <c r="S957" i="3"/>
  <c r="W956" i="3"/>
  <c r="Z957" i="3" l="1"/>
  <c r="Y957" i="3"/>
  <c r="X957" i="3"/>
  <c r="T957" i="3"/>
  <c r="U957" i="3"/>
  <c r="V957" i="3" s="1"/>
  <c r="S958" i="3"/>
  <c r="W957" i="3"/>
  <c r="U958" i="3" l="1"/>
  <c r="V958" i="3" s="1"/>
  <c r="Z958" i="3"/>
  <c r="Y958" i="3"/>
  <c r="X958" i="3"/>
  <c r="S959" i="3"/>
  <c r="T958" i="3"/>
  <c r="W958" i="3"/>
  <c r="S960" i="3" l="1"/>
  <c r="Y959" i="3"/>
  <c r="T959" i="3"/>
  <c r="U959" i="3"/>
  <c r="V959" i="3" s="1"/>
  <c r="Z959" i="3"/>
  <c r="X959" i="3"/>
  <c r="W959" i="3"/>
  <c r="T960" i="3" l="1"/>
  <c r="Y960" i="3"/>
  <c r="X960" i="3"/>
  <c r="Z960" i="3"/>
  <c r="U960" i="3"/>
  <c r="V960" i="3" s="1"/>
  <c r="S961" i="3"/>
  <c r="W960" i="3"/>
  <c r="U961" i="3" l="1"/>
  <c r="V961" i="3" s="1"/>
  <c r="S962" i="3"/>
  <c r="Z961" i="3"/>
  <c r="Y961" i="3"/>
  <c r="X961" i="3"/>
  <c r="T961" i="3"/>
  <c r="W961" i="3"/>
  <c r="U962" i="3" l="1"/>
  <c r="V962" i="3" s="1"/>
  <c r="S963" i="3"/>
  <c r="Z962" i="3"/>
  <c r="Y962" i="3"/>
  <c r="X962" i="3"/>
  <c r="T962" i="3"/>
  <c r="W962" i="3"/>
  <c r="S964" i="3" l="1"/>
  <c r="Z963" i="3"/>
  <c r="X963" i="3"/>
  <c r="T963" i="3"/>
  <c r="Y963" i="3"/>
  <c r="U963" i="3"/>
  <c r="V963" i="3" s="1"/>
  <c r="W963" i="3"/>
  <c r="U964" i="3" l="1"/>
  <c r="V964" i="3" s="1"/>
  <c r="S965" i="3"/>
  <c r="T964" i="3"/>
  <c r="Y964" i="3"/>
  <c r="X964" i="3"/>
  <c r="Z964" i="3"/>
  <c r="W964" i="3"/>
  <c r="U965" i="3" l="1"/>
  <c r="V965" i="3" s="1"/>
  <c r="S966" i="3"/>
  <c r="Z965" i="3"/>
  <c r="Y965" i="3"/>
  <c r="X965" i="3"/>
  <c r="T965" i="3"/>
  <c r="W965" i="3"/>
  <c r="S967" i="3" l="1"/>
  <c r="Z966" i="3"/>
  <c r="X966" i="3"/>
  <c r="T966" i="3"/>
  <c r="Y966" i="3"/>
  <c r="U966" i="3"/>
  <c r="V966" i="3" s="1"/>
  <c r="W966" i="3"/>
  <c r="U967" i="3" l="1"/>
  <c r="V967" i="3" s="1"/>
  <c r="S968" i="3"/>
  <c r="Z967" i="3"/>
  <c r="Y967" i="3"/>
  <c r="X967" i="3"/>
  <c r="T967" i="3"/>
  <c r="W967" i="3"/>
  <c r="S969" i="3" l="1"/>
  <c r="T968" i="3"/>
  <c r="Y968" i="3"/>
  <c r="X968" i="3"/>
  <c r="Z968" i="3"/>
  <c r="U968" i="3"/>
  <c r="V968" i="3" s="1"/>
  <c r="W968" i="3"/>
  <c r="U969" i="3" l="1"/>
  <c r="V969" i="3" s="1"/>
  <c r="S970" i="3"/>
  <c r="Z969" i="3"/>
  <c r="Y969" i="3"/>
  <c r="X969" i="3"/>
  <c r="T969" i="3"/>
  <c r="W969" i="3"/>
  <c r="U970" i="3" l="1"/>
  <c r="V970" i="3" s="1"/>
  <c r="Z970" i="3"/>
  <c r="X970" i="3"/>
  <c r="T970" i="3"/>
  <c r="S971" i="3"/>
  <c r="Y970" i="3"/>
  <c r="W970" i="3"/>
  <c r="U971" i="3" l="1"/>
  <c r="V971" i="3" s="1"/>
  <c r="S972" i="3"/>
  <c r="Z971" i="3"/>
  <c r="Y971" i="3"/>
  <c r="X971" i="3"/>
  <c r="T971" i="3"/>
  <c r="W971" i="3"/>
  <c r="S973" i="3" l="1"/>
  <c r="T972" i="3"/>
  <c r="X972" i="3"/>
  <c r="Z972" i="3"/>
  <c r="U972" i="3"/>
  <c r="V972" i="3" s="1"/>
  <c r="Y972" i="3"/>
  <c r="W972" i="3"/>
  <c r="U973" i="3" l="1"/>
  <c r="V973" i="3" s="1"/>
  <c r="S974" i="3"/>
  <c r="Z973" i="3"/>
  <c r="Y973" i="3"/>
  <c r="X973" i="3"/>
  <c r="T973" i="3"/>
  <c r="W973" i="3"/>
  <c r="U974" i="3" l="1"/>
  <c r="V974" i="3" s="1"/>
  <c r="S975" i="3"/>
  <c r="Z974" i="3"/>
  <c r="Y974" i="3"/>
  <c r="X974" i="3"/>
  <c r="T974" i="3"/>
  <c r="W974" i="3"/>
  <c r="S976" i="3" l="1"/>
  <c r="Z975" i="3"/>
  <c r="Y975" i="3"/>
  <c r="X975" i="3"/>
  <c r="T975" i="3"/>
  <c r="U975" i="3"/>
  <c r="V975" i="3" s="1"/>
  <c r="W975" i="3"/>
  <c r="S977" i="3" l="1"/>
  <c r="T976" i="3"/>
  <c r="X976" i="3"/>
  <c r="Z976" i="3"/>
  <c r="Y976" i="3"/>
  <c r="U976" i="3"/>
  <c r="V976" i="3" s="1"/>
  <c r="W976" i="3"/>
  <c r="Z977" i="3" l="1"/>
  <c r="Y977" i="3"/>
  <c r="X977" i="3"/>
  <c r="T977" i="3"/>
  <c r="U977" i="3"/>
  <c r="V977" i="3" s="1"/>
  <c r="S978" i="3"/>
  <c r="W977" i="3"/>
  <c r="U978" i="3" l="1"/>
  <c r="V978" i="3" s="1"/>
  <c r="S979" i="3"/>
  <c r="Z978" i="3"/>
  <c r="Y978" i="3"/>
  <c r="X978" i="3"/>
  <c r="T978" i="3"/>
  <c r="W978" i="3"/>
  <c r="U979" i="3" l="1"/>
  <c r="V979" i="3" s="1"/>
  <c r="S980" i="3"/>
  <c r="Z979" i="3"/>
  <c r="Y979" i="3"/>
  <c r="X979" i="3"/>
  <c r="T979" i="3"/>
  <c r="W979" i="3"/>
  <c r="U980" i="3" l="1"/>
  <c r="V980" i="3" s="1"/>
  <c r="S981" i="3"/>
  <c r="T980" i="3"/>
  <c r="Y980" i="3"/>
  <c r="X980" i="3"/>
  <c r="Z980" i="3"/>
  <c r="W980" i="3"/>
  <c r="U981" i="3" l="1"/>
  <c r="V981" i="3" s="1"/>
  <c r="S982" i="3"/>
  <c r="Z981" i="3"/>
  <c r="Y981" i="3"/>
  <c r="X981" i="3"/>
  <c r="T981" i="3"/>
  <c r="W981" i="3"/>
  <c r="U982" i="3" l="1"/>
  <c r="V982" i="3" s="1"/>
  <c r="Z982" i="3"/>
  <c r="S983" i="3"/>
  <c r="Y982" i="3"/>
  <c r="X982" i="3"/>
  <c r="T982" i="3"/>
  <c r="W982" i="3"/>
  <c r="S984" i="3" l="1"/>
  <c r="Z983" i="3"/>
  <c r="X983" i="3"/>
  <c r="T983" i="3"/>
  <c r="U983" i="3"/>
  <c r="V983" i="3" s="1"/>
  <c r="Y983" i="3"/>
  <c r="W983" i="3"/>
  <c r="U984" i="3" l="1"/>
  <c r="V984" i="3" s="1"/>
  <c r="S985" i="3"/>
  <c r="T984" i="3"/>
  <c r="Y984" i="3"/>
  <c r="X984" i="3"/>
  <c r="Z984" i="3"/>
  <c r="W984" i="3"/>
  <c r="Z985" i="3" l="1"/>
  <c r="Y985" i="3"/>
  <c r="X985" i="3"/>
  <c r="T985" i="3"/>
  <c r="U985" i="3"/>
  <c r="V985" i="3" s="1"/>
  <c r="S986" i="3"/>
  <c r="W985" i="3"/>
  <c r="Z986" i="3" l="1"/>
  <c r="Y986" i="3"/>
  <c r="X986" i="3"/>
  <c r="T986" i="3"/>
  <c r="U986" i="3"/>
  <c r="V986" i="3" s="1"/>
  <c r="S987" i="3"/>
  <c r="W986" i="3"/>
  <c r="S988" i="3" l="1"/>
  <c r="Z987" i="3"/>
  <c r="Y987" i="3"/>
  <c r="X987" i="3"/>
  <c r="T987" i="3"/>
  <c r="U987" i="3"/>
  <c r="V987" i="3" s="1"/>
  <c r="W987" i="3"/>
  <c r="T988" i="3" l="1"/>
  <c r="Y988" i="3"/>
  <c r="X988" i="3"/>
  <c r="Z988" i="3"/>
  <c r="U988" i="3"/>
  <c r="V988" i="3" s="1"/>
  <c r="S989" i="3"/>
  <c r="W988" i="3"/>
  <c r="Z989" i="3" l="1"/>
  <c r="Y989" i="3"/>
  <c r="X989" i="3"/>
  <c r="T989" i="3"/>
  <c r="U989" i="3"/>
  <c r="V989" i="3" s="1"/>
  <c r="S990" i="3"/>
  <c r="W989" i="3"/>
  <c r="S991" i="3" l="1"/>
  <c r="Z990" i="3"/>
  <c r="Y990" i="3"/>
  <c r="X990" i="3"/>
  <c r="T990" i="3"/>
  <c r="U990" i="3"/>
  <c r="V990" i="3" s="1"/>
  <c r="W990" i="3"/>
  <c r="Z991" i="3" l="1"/>
  <c r="Y991" i="3"/>
  <c r="X991" i="3"/>
  <c r="T991" i="3"/>
  <c r="U991" i="3"/>
  <c r="V991" i="3" s="1"/>
  <c r="S992" i="3"/>
  <c r="W991" i="3"/>
  <c r="S993" i="3" l="1"/>
  <c r="T992" i="3"/>
  <c r="X992" i="3"/>
  <c r="Z992" i="3"/>
  <c r="U992" i="3"/>
  <c r="V992" i="3" s="1"/>
  <c r="Y992" i="3"/>
  <c r="W992" i="3"/>
  <c r="Z993" i="3" l="1"/>
  <c r="Y993" i="3"/>
  <c r="X993" i="3"/>
  <c r="T993" i="3"/>
  <c r="S994" i="3"/>
  <c r="U993" i="3"/>
  <c r="V993" i="3" s="1"/>
  <c r="W993" i="3"/>
  <c r="U994" i="3" l="1"/>
  <c r="V994" i="3" s="1"/>
  <c r="Y994" i="3"/>
  <c r="X994" i="3"/>
  <c r="Z994" i="3"/>
  <c r="T994" i="3"/>
  <c r="S995" i="3"/>
  <c r="W994" i="3"/>
  <c r="Z995" i="3" l="1"/>
  <c r="Y995" i="3"/>
  <c r="X995" i="3"/>
  <c r="T995" i="3"/>
  <c r="S996" i="3"/>
  <c r="U995" i="3"/>
  <c r="V995" i="3" s="1"/>
  <c r="W995" i="3"/>
  <c r="S997" i="3" l="1"/>
  <c r="T996" i="3"/>
  <c r="Y996" i="3"/>
  <c r="X996" i="3"/>
  <c r="U996" i="3"/>
  <c r="V996" i="3" s="1"/>
  <c r="Z996" i="3"/>
  <c r="W996" i="3"/>
  <c r="Z997" i="3" l="1"/>
  <c r="Y997" i="3"/>
  <c r="X997" i="3"/>
  <c r="T997" i="3"/>
  <c r="S998" i="3"/>
  <c r="U997" i="3"/>
  <c r="V997" i="3" s="1"/>
  <c r="W997" i="3"/>
  <c r="Y998" i="3" l="1"/>
  <c r="X998" i="3"/>
  <c r="T998" i="3"/>
  <c r="U998" i="3"/>
  <c r="V998" i="3" s="1"/>
  <c r="Z998" i="3"/>
  <c r="S999" i="3"/>
  <c r="W998" i="3"/>
  <c r="S1000" i="3" l="1"/>
  <c r="Z999" i="3"/>
  <c r="Y999" i="3"/>
  <c r="X999" i="3"/>
  <c r="T999" i="3"/>
  <c r="U999" i="3"/>
  <c r="V999" i="3" s="1"/>
  <c r="W999" i="3"/>
  <c r="S1001" i="3" l="1"/>
  <c r="T1000" i="3"/>
  <c r="Y1000" i="3"/>
  <c r="X1000" i="3"/>
  <c r="U1000" i="3"/>
  <c r="V1000" i="3" s="1"/>
  <c r="Z1000" i="3"/>
  <c r="W1000" i="3"/>
  <c r="U1001" i="3" l="1"/>
  <c r="V1001" i="3" s="1"/>
  <c r="S1002" i="3"/>
  <c r="Z1001" i="3"/>
  <c r="Y1001" i="3"/>
  <c r="X1001" i="3"/>
  <c r="T1001" i="3"/>
  <c r="W1001" i="3"/>
  <c r="Z21" i="3"/>
  <c r="J1" i="1" s="1"/>
  <c r="Y21" i="3"/>
  <c r="Y1002" i="3" l="1"/>
  <c r="T1002" i="3"/>
  <c r="Z1002" i="3"/>
  <c r="X1002" i="3"/>
  <c r="U1002" i="3"/>
  <c r="V1002" i="3" s="1"/>
  <c r="S1003" i="3"/>
  <c r="W1002" i="3"/>
  <c r="Y20" i="3"/>
  <c r="I1" i="1"/>
  <c r="J2" i="1" s="1"/>
  <c r="Z1003" i="3" l="1"/>
  <c r="Y1003" i="3"/>
  <c r="X1003" i="3"/>
  <c r="T1003" i="3"/>
  <c r="U1003" i="3"/>
  <c r="V1003" i="3" s="1"/>
  <c r="S1004" i="3"/>
  <c r="W1003" i="3"/>
  <c r="T1004" i="3" l="1"/>
  <c r="Y1004" i="3"/>
  <c r="X1004" i="3"/>
  <c r="Z1004" i="3"/>
  <c r="U1004" i="3"/>
  <c r="V1004" i="3" s="1"/>
  <c r="S1005" i="3"/>
  <c r="W1004" i="3"/>
  <c r="Z1005" i="3" l="1"/>
  <c r="Y1005" i="3"/>
  <c r="X1005" i="3"/>
  <c r="T1005" i="3"/>
  <c r="U1005" i="3"/>
  <c r="V1005" i="3" s="1"/>
  <c r="S1006" i="3"/>
  <c r="W1005" i="3"/>
  <c r="U1006" i="3" l="1"/>
  <c r="V1006" i="3" s="1"/>
  <c r="Z1006" i="3"/>
  <c r="Y1006" i="3"/>
  <c r="X1006" i="3"/>
  <c r="S1007" i="3"/>
  <c r="T1006" i="3"/>
  <c r="W1006" i="3"/>
  <c r="S1008" i="3" l="1"/>
  <c r="Z1007" i="3"/>
  <c r="Y1007" i="3"/>
  <c r="X1007" i="3"/>
  <c r="T1007" i="3"/>
  <c r="U1007" i="3"/>
  <c r="V1007" i="3" s="1"/>
  <c r="W1007" i="3"/>
  <c r="T1008" i="3" l="1"/>
  <c r="Y1008" i="3"/>
  <c r="X1008" i="3"/>
  <c r="Z1008" i="3"/>
  <c r="U1008" i="3"/>
  <c r="V1008" i="3" s="1"/>
  <c r="S1009" i="3"/>
  <c r="W1008" i="3"/>
  <c r="U1009" i="3" l="1"/>
  <c r="V1009" i="3" s="1"/>
  <c r="S1010" i="3"/>
  <c r="Z1009" i="3"/>
  <c r="Y1009" i="3"/>
  <c r="X1009" i="3"/>
  <c r="T1009" i="3"/>
  <c r="W1009" i="3"/>
  <c r="U1010" i="3" l="1"/>
  <c r="V1010" i="3" s="1"/>
  <c r="S1011" i="3"/>
  <c r="Z1010" i="3"/>
  <c r="Y1010" i="3"/>
  <c r="X1010" i="3"/>
  <c r="T1010" i="3"/>
  <c r="W1010" i="3"/>
  <c r="S1012" i="3" l="1"/>
  <c r="Z1011" i="3"/>
  <c r="Y1011" i="3"/>
  <c r="X1011" i="3"/>
  <c r="U1011" i="3"/>
  <c r="V1011" i="3" s="1"/>
  <c r="T1011" i="3"/>
  <c r="W1011" i="3"/>
  <c r="U1012" i="3" l="1"/>
  <c r="V1012" i="3" s="1"/>
  <c r="S1013" i="3"/>
  <c r="Y1012" i="3"/>
  <c r="X1012" i="3"/>
  <c r="Z1012" i="3"/>
  <c r="T1012" i="3"/>
  <c r="W1012" i="3"/>
  <c r="U1013" i="3" l="1"/>
  <c r="V1013" i="3" s="1"/>
  <c r="S1014" i="3"/>
  <c r="Z1013" i="3"/>
  <c r="X1013" i="3"/>
  <c r="Y1013" i="3"/>
  <c r="T1013" i="3"/>
  <c r="W1013" i="3"/>
  <c r="S1015" i="3" l="1"/>
  <c r="Z1014" i="3"/>
  <c r="Y1014" i="3"/>
  <c r="X1014" i="3"/>
  <c r="U1014" i="3"/>
  <c r="V1014" i="3" s="1"/>
  <c r="T1014" i="3"/>
  <c r="W1014" i="3"/>
  <c r="U1015" i="3" l="1"/>
  <c r="V1015" i="3" s="1"/>
  <c r="S1016" i="3"/>
  <c r="Z1015" i="3"/>
  <c r="Y1015" i="3"/>
  <c r="X1015" i="3"/>
  <c r="T1015" i="3"/>
  <c r="W1015" i="3"/>
  <c r="S1017" i="3" l="1"/>
  <c r="T1016" i="3"/>
  <c r="Y1016" i="3"/>
  <c r="Z1016" i="3"/>
  <c r="X1016" i="3"/>
  <c r="U1016" i="3"/>
  <c r="V1016" i="3" s="1"/>
  <c r="W1016" i="3"/>
  <c r="U1017" i="3" l="1"/>
  <c r="V1017" i="3" s="1"/>
  <c r="S1018" i="3"/>
  <c r="Z1017" i="3"/>
  <c r="Y1017" i="3"/>
  <c r="X1017" i="3"/>
  <c r="T1017" i="3"/>
  <c r="W1017" i="3"/>
  <c r="U1018" i="3" l="1"/>
  <c r="V1018" i="3" s="1"/>
  <c r="Z1018" i="3"/>
  <c r="Y1018" i="3"/>
  <c r="X1018" i="3"/>
  <c r="S1019" i="3"/>
  <c r="T1018" i="3"/>
  <c r="W1018" i="3"/>
  <c r="U1019" i="3" l="1"/>
  <c r="V1019" i="3" s="1"/>
  <c r="S1020" i="3"/>
  <c r="Z1019" i="3"/>
  <c r="Y1019" i="3"/>
  <c r="X1019" i="3"/>
  <c r="T1019" i="3"/>
  <c r="W1019" i="3"/>
  <c r="S1021" i="3" l="1"/>
  <c r="T1020" i="3"/>
  <c r="X1020" i="3"/>
  <c r="Y1020" i="3"/>
  <c r="Z1020" i="3"/>
  <c r="U1020" i="3"/>
  <c r="V1020" i="3" s="1"/>
  <c r="W1020" i="3"/>
  <c r="U1021" i="3" l="1"/>
  <c r="V1021" i="3" s="1"/>
  <c r="S1022" i="3"/>
  <c r="Z1021" i="3"/>
  <c r="Y1021" i="3"/>
  <c r="X1021" i="3"/>
  <c r="T1021" i="3"/>
  <c r="W1021" i="3"/>
  <c r="U1022" i="3" l="1"/>
  <c r="V1022" i="3" s="1"/>
  <c r="S1023" i="3"/>
  <c r="Z1022" i="3"/>
  <c r="Y1022" i="3"/>
  <c r="X1022" i="3"/>
  <c r="T1022" i="3"/>
  <c r="W1022" i="3"/>
  <c r="Z1023" i="3" l="1"/>
  <c r="X1023" i="3"/>
  <c r="T1023" i="3"/>
  <c r="Y1023" i="3"/>
  <c r="U1023" i="3"/>
  <c r="V1023" i="3" s="1"/>
  <c r="W1023" i="3"/>
</calcChain>
</file>

<file path=xl/sharedStrings.xml><?xml version="1.0" encoding="utf-8"?>
<sst xmlns="http://schemas.openxmlformats.org/spreadsheetml/2006/main" count="88" uniqueCount="68">
  <si>
    <t>1-3 строки не удалять!</t>
  </si>
  <si>
    <t>дата открытия вклада</t>
  </si>
  <si>
    <t>временная база начисления вознаграждений</t>
  </si>
  <si>
    <t>Результаты расчетов</t>
  </si>
  <si>
    <t>дата предполагаемого закрытия</t>
  </si>
  <si>
    <t>ном.ставка/времен база</t>
  </si>
  <si>
    <t xml:space="preserve">Cумма первоначального взноса </t>
  </si>
  <si>
    <t>в конце срока</t>
  </si>
  <si>
    <t>Сумма дополнительных вложений</t>
  </si>
  <si>
    <t xml:space="preserve">номинальная ставка </t>
  </si>
  <si>
    <t>ограничение на остаток при начислении вознаграждения на средний остаток</t>
  </si>
  <si>
    <t>Сумма частично снятых</t>
  </si>
  <si>
    <t>Сумма начисленных процентов</t>
  </si>
  <si>
    <t xml:space="preserve">сумма первоначального взноса </t>
  </si>
  <si>
    <t>капитализация начисленного вознаграждения</t>
  </si>
  <si>
    <t>есть</t>
  </si>
  <si>
    <t>Сумма дополнительных платежей банка клиенту</t>
  </si>
  <si>
    <t>капитализация дополнительных платежей банка клиенту</t>
  </si>
  <si>
    <t>Комиссий</t>
  </si>
  <si>
    <t xml:space="preserve">Итого сумма вклада с учетом движений денег и начисленных процентов </t>
  </si>
  <si>
    <t>срок вклада</t>
  </si>
  <si>
    <t>в днях</t>
  </si>
  <si>
    <t>регулярная комиссия</t>
  </si>
  <si>
    <t>нет</t>
  </si>
  <si>
    <t>количество месяцев/дней</t>
  </si>
  <si>
    <t>разовая (в конце срока)</t>
  </si>
  <si>
    <t>Примечание:  1. в ячейки, где выделены красным цветом необходимо ввести значения соответствующие условиям продукта</t>
  </si>
  <si>
    <t xml:space="preserve"> 2. в ячейках, где выделены голубым цветом необходимо выбирать данные из списка соответствующие условиям продукта</t>
  </si>
  <si>
    <t>3. если необходимо рассчитывать ГЭСВ с учетом иных комиссии, дополнительных платежей Банка, пополнений и снятий, то необходимо ввести значения в ячейки нижних соотвествующих  колонок с указанием даты</t>
  </si>
  <si>
    <t>№</t>
  </si>
  <si>
    <t>Дата</t>
  </si>
  <si>
    <t>иные комиссии (за обналичивание, безналичные платежи, переводы с карты на карту и т.д.)</t>
  </si>
  <si>
    <t>дополнительные платежи банка клиенту</t>
  </si>
  <si>
    <t>пополнение</t>
  </si>
  <si>
    <t>снятие</t>
  </si>
  <si>
    <t>через ЧИСТВНДОХ()</t>
  </si>
  <si>
    <t>итого кол-во дней</t>
  </si>
  <si>
    <t>кол-во дней в мес</t>
  </si>
  <si>
    <t>Остаток</t>
  </si>
  <si>
    <t>ежедневные проценты</t>
  </si>
  <si>
    <t xml:space="preserve">выплата вознаграждения </t>
  </si>
  <si>
    <t>для вывода дат</t>
  </si>
  <si>
    <t xml:space="preserve">поддержание необходимого размера для обслуживания без комиссии </t>
  </si>
  <si>
    <t>начисление вознаграждения при поддержании необходимого размера</t>
  </si>
  <si>
    <t>поток (для расчета ГЭСВ)</t>
  </si>
  <si>
    <t>взносы клиента, Lj</t>
  </si>
  <si>
    <t xml:space="preserve"> платежи Банка клиенту, Pi</t>
  </si>
  <si>
    <t>левая часть формулы</t>
  </si>
  <si>
    <t>правая часть формулы</t>
  </si>
  <si>
    <t>вид вклада</t>
  </si>
  <si>
    <t xml:space="preserve">начисление вознаграждения </t>
  </si>
  <si>
    <t>капитализация</t>
  </si>
  <si>
    <t>комиссия</t>
  </si>
  <si>
    <t>срок удержание комиссии</t>
  </si>
  <si>
    <t>срочный вклад</t>
  </si>
  <si>
    <t>в месяцах</t>
  </si>
  <si>
    <t>разовая (в начале срока)</t>
  </si>
  <si>
    <t>условный вклад</t>
  </si>
  <si>
    <t>ежедневное</t>
  </si>
  <si>
    <t>текущий счет</t>
  </si>
  <si>
    <t>ежемесячная</t>
  </si>
  <si>
    <t>карт счет</t>
  </si>
  <si>
    <t>ежемесячная в зависимости от остатка</t>
  </si>
  <si>
    <t>30/360</t>
  </si>
  <si>
    <t>ежемесячное (в конце месяца)</t>
  </si>
  <si>
    <t>ежегодная</t>
  </si>
  <si>
    <t>ежегодная в зависимости от остатка</t>
  </si>
  <si>
    <t>ДЕПОЗИТНЫЙ КАЛЬКУЛЯТОР ДЛЯ РАСЧЕТА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</si>
</sst>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\ _₽_-;\-* #,##0.00\ _₽_-;_-* &quot;-&quot;??\ _₽_-;_-@_-"/>
    <numFmt numFmtId="164" formatCode=";;;"/>
    <numFmt numFmtId="165" formatCode="0.000000%"/>
    <numFmt numFmtId="166" formatCode="0.0000%"/>
    <numFmt numFmtId="167" formatCode="0.0%"/>
    <numFmt numFmtId="168" formatCode="_-* #,##0_-;\-* #,##0_-;_-* &quot;-&quot;_-;_-@_-"/>
    <numFmt numFmtId="169" formatCode="_-* #,##0_-;\-* #,##0_-;_-* &quot;-&quot;????_-;_-@_-"/>
    <numFmt numFmtId="170" formatCode="_-* #,##0.00_-;\-* #,##0.00_-;_-* &quot;-&quot;????_-;_-@_-"/>
    <numFmt numFmtId="171" formatCode="_-* #,##0.00_р_._-;\-* #,##0.00_р_._-;_-* &quot;-&quot;??_р_._-;_-@_-"/>
    <numFmt numFmtId="172" formatCode="_-* #,##0.0_р_._-;\-* #,##0.0_р_._-;_-* &quot;-&quot;??_р_._-;_-@_-"/>
    <numFmt numFmtId="173" formatCode="0.000%"/>
    <numFmt numFmtId="174" formatCode="_-* #,##0_р_._-;\-* #,##0_р_._-;_-* &quot;-&quot;??_р_._-;_-@_-"/>
    <numFmt numFmtId="175" formatCode="_-* #,##0.0_-;\-* #,##0.0_-;_-* &quot;-&quot;????_-;_-@_-"/>
    <numFmt numFmtId="176" formatCode="_-* #,##0.0_-;\-* #,##0.0_-;_-* &quot;-&quot;?_-;_-@_-"/>
    <numFmt numFmtId="177" formatCode="&quot;Т&quot;#,##0.00;[Red]\-&quot;Т&quot;#,##0.00"/>
    <numFmt numFmtId="178" formatCode="_-* #,##0.00_-;\-* #,##0.00_-;_-* &quot;-&quot;??_-;_-@_-"/>
    <numFmt numFmtId="179" formatCode="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3">
    <xf numFmtId="0" fontId="0" fillId="0" borderId="0" xfId="0"/>
    <xf numFmtId="0" fontId="3" fillId="0" borderId="0" xfId="0" applyFont="1" applyFill="1"/>
    <xf numFmtId="0" fontId="4" fillId="0" borderId="0" xfId="0" applyFont="1"/>
    <xf numFmtId="164" fontId="3" fillId="0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/>
    <xf numFmtId="164" fontId="6" fillId="0" borderId="0" xfId="2" applyNumberFormat="1" applyFont="1" applyBorder="1" applyAlignment="1" applyProtection="1">
      <alignment horizontal="right"/>
    </xf>
    <xf numFmtId="0" fontId="7" fillId="0" borderId="0" xfId="0" applyFont="1"/>
    <xf numFmtId="0" fontId="8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4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 applyProtection="1">
      <alignment horizontal="center" vertical="center"/>
      <protection locked="0"/>
    </xf>
    <xf numFmtId="166" fontId="4" fillId="0" borderId="0" xfId="2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6" fontId="4" fillId="0" borderId="1" xfId="2" applyNumberFormat="1" applyFont="1" applyBorder="1" applyAlignment="1">
      <alignment horizontal="center" vertical="center"/>
    </xf>
    <xf numFmtId="166" fontId="4" fillId="0" borderId="0" xfId="2" applyNumberFormat="1" applyFont="1" applyFill="1"/>
    <xf numFmtId="0" fontId="3" fillId="0" borderId="0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166" fontId="4" fillId="0" borderId="0" xfId="2" applyNumberFormat="1" applyFont="1"/>
    <xf numFmtId="168" fontId="10" fillId="4" borderId="1" xfId="0" applyNumberFormat="1" applyFont="1" applyFill="1" applyBorder="1" applyAlignment="1" applyProtection="1">
      <alignment horizontal="right"/>
      <protection hidden="1"/>
    </xf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center"/>
      <protection locked="0"/>
    </xf>
    <xf numFmtId="0" fontId="4" fillId="4" borderId="3" xfId="0" applyFont="1" applyFill="1" applyBorder="1" applyAlignment="1" applyProtection="1">
      <alignment vertical="center"/>
      <protection locked="0"/>
    </xf>
    <xf numFmtId="169" fontId="10" fillId="4" borderId="1" xfId="0" applyNumberFormat="1" applyFont="1" applyFill="1" applyBorder="1" applyAlignment="1" applyProtection="1">
      <alignment horizontal="right" vertical="center"/>
      <protection hidden="1"/>
    </xf>
    <xf numFmtId="168" fontId="9" fillId="0" borderId="0" xfId="0" applyNumberFormat="1" applyFont="1" applyFill="1" applyBorder="1" applyAlignment="1">
      <alignment horizontal="center" vertical="center"/>
    </xf>
    <xf numFmtId="10" fontId="9" fillId="2" borderId="1" xfId="2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vertical="center" wrapText="1"/>
    </xf>
    <xf numFmtId="168" fontId="9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>
      <alignment vertical="center" wrapText="1"/>
    </xf>
    <xf numFmtId="167" fontId="9" fillId="0" borderId="0" xfId="2" applyNumberFormat="1" applyFont="1" applyFill="1" applyBorder="1" applyAlignment="1">
      <alignment horizontal="center" vertical="center"/>
    </xf>
    <xf numFmtId="0" fontId="3" fillId="0" borderId="0" xfId="0" applyFont="1"/>
    <xf numFmtId="170" fontId="10" fillId="4" borderId="1" xfId="0" applyNumberFormat="1" applyFont="1" applyFill="1" applyBorder="1" applyAlignment="1" applyProtection="1">
      <alignment horizontal="right" vertical="center"/>
      <protection hidden="1"/>
    </xf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Fill="1"/>
    <xf numFmtId="172" fontId="10" fillId="4" borderId="1" xfId="1" applyNumberFormat="1" applyFont="1" applyFill="1" applyBorder="1" applyAlignment="1" applyProtection="1">
      <alignment horizontal="right" vertical="center"/>
      <protection hidden="1"/>
    </xf>
    <xf numFmtId="168" fontId="8" fillId="3" borderId="1" xfId="0" applyNumberFormat="1" applyFont="1" applyFill="1" applyBorder="1" applyAlignment="1" applyProtection="1">
      <alignment horizontal="center" vertical="center"/>
      <protection locked="0"/>
    </xf>
    <xf numFmtId="173" fontId="4" fillId="0" borderId="0" xfId="2" applyNumberFormat="1" applyFont="1"/>
    <xf numFmtId="165" fontId="8" fillId="0" borderId="0" xfId="2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174" fontId="9" fillId="0" borderId="0" xfId="1" applyNumberFormat="1" applyFont="1" applyFill="1" applyBorder="1" applyAlignment="1">
      <alignment horizontal="center" vertical="center"/>
    </xf>
    <xf numFmtId="174" fontId="4" fillId="0" borderId="0" xfId="1" applyNumberFormat="1" applyFont="1"/>
    <xf numFmtId="49" fontId="4" fillId="0" borderId="0" xfId="2" applyNumberFormat="1" applyFont="1"/>
    <xf numFmtId="174" fontId="9" fillId="0" borderId="0" xfId="1" applyNumberFormat="1" applyFont="1" applyFill="1" applyBorder="1" applyAlignment="1">
      <alignment horizontal="left" vertical="center"/>
    </xf>
    <xf numFmtId="1" fontId="4" fillId="0" borderId="0" xfId="2" applyNumberFormat="1" applyFont="1"/>
    <xf numFmtId="0" fontId="11" fillId="0" borderId="0" xfId="0" applyFont="1"/>
    <xf numFmtId="2" fontId="4" fillId="0" borderId="0" xfId="0" applyNumberFormat="1" applyFont="1"/>
    <xf numFmtId="0" fontId="12" fillId="0" borderId="0" xfId="0" applyFont="1" applyFill="1" applyBorder="1"/>
    <xf numFmtId="0" fontId="10" fillId="0" borderId="0" xfId="0" applyFont="1" applyBorder="1" applyAlignment="1">
      <alignment wrapText="1"/>
    </xf>
    <xf numFmtId="175" fontId="4" fillId="0" borderId="0" xfId="0" applyNumberFormat="1" applyFont="1"/>
    <xf numFmtId="174" fontId="3" fillId="3" borderId="1" xfId="1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174" fontId="3" fillId="0" borderId="1" xfId="1" applyNumberFormat="1" applyFont="1" applyFill="1" applyBorder="1"/>
    <xf numFmtId="14" fontId="4" fillId="0" borderId="1" xfId="1" applyNumberFormat="1" applyFont="1" applyBorder="1"/>
    <xf numFmtId="174" fontId="4" fillId="0" borderId="1" xfId="1" applyNumberFormat="1" applyFont="1" applyBorder="1"/>
    <xf numFmtId="0" fontId="4" fillId="0" borderId="1" xfId="0" applyFont="1" applyBorder="1"/>
    <xf numFmtId="0" fontId="3" fillId="0" borderId="1" xfId="0" applyFont="1" applyFill="1" applyBorder="1"/>
    <xf numFmtId="14" fontId="4" fillId="0" borderId="1" xfId="0" applyNumberFormat="1" applyFont="1" applyBorder="1"/>
    <xf numFmtId="0" fontId="4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 applyProtection="1">
      <protection locked="0"/>
    </xf>
    <xf numFmtId="0" fontId="3" fillId="0" borderId="0" xfId="0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 applyProtection="1">
      <alignment horizontal="center" vertical="center"/>
      <protection locked="0"/>
    </xf>
    <xf numFmtId="14" fontId="3" fillId="0" borderId="0" xfId="0" applyNumberFormat="1" applyFont="1" applyFill="1" applyBorder="1" applyAlignment="1">
      <alignment horizontal="center" vertical="center" wrapText="1"/>
    </xf>
    <xf numFmtId="1" fontId="4" fillId="0" borderId="0" xfId="2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67" fontId="10" fillId="0" borderId="0" xfId="2" applyNumberFormat="1" applyFont="1" applyFill="1" applyBorder="1" applyAlignment="1" applyProtection="1">
      <alignment horizontal="center" vertical="center" wrapText="1"/>
    </xf>
    <xf numFmtId="166" fontId="4" fillId="0" borderId="0" xfId="2" applyNumberFormat="1" applyFont="1" applyFill="1" applyBorder="1"/>
    <xf numFmtId="1" fontId="3" fillId="0" borderId="0" xfId="0" applyNumberFormat="1" applyFont="1" applyFill="1" applyBorder="1" applyAlignment="1">
      <alignment horizontal="center" vertical="center" wrapText="1"/>
    </xf>
    <xf numFmtId="1" fontId="4" fillId="0" borderId="0" xfId="2" applyNumberFormat="1" applyFont="1" applyFill="1" applyBorder="1"/>
    <xf numFmtId="168" fontId="10" fillId="0" borderId="0" xfId="0" applyNumberFormat="1" applyFont="1" applyFill="1" applyBorder="1" applyAlignment="1" applyProtection="1">
      <alignment horizontal="right"/>
    </xf>
    <xf numFmtId="0" fontId="4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169" fontId="10" fillId="0" borderId="0" xfId="0" applyNumberFormat="1" applyFont="1" applyFill="1" applyBorder="1" applyAlignment="1" applyProtection="1">
      <alignment horizontal="right" vertical="center"/>
    </xf>
    <xf numFmtId="167" fontId="9" fillId="0" borderId="0" xfId="2" applyNumberFormat="1" applyFont="1" applyFill="1" applyBorder="1" applyAlignment="1" applyProtection="1">
      <alignment horizontal="center" vertical="center"/>
      <protection locked="0"/>
    </xf>
    <xf numFmtId="176" fontId="3" fillId="0" borderId="0" xfId="0" applyNumberFormat="1" applyFont="1" applyFill="1" applyBorder="1"/>
    <xf numFmtId="0" fontId="4" fillId="0" borderId="0" xfId="0" applyFont="1" applyFill="1" applyBorder="1" applyAlignment="1">
      <alignment wrapText="1"/>
    </xf>
    <xf numFmtId="168" fontId="9" fillId="0" borderId="0" xfId="0" applyNumberFormat="1" applyFont="1" applyFill="1" applyBorder="1" applyAlignment="1" applyProtection="1">
      <alignment horizontal="center" vertical="center"/>
      <protection locked="0"/>
    </xf>
    <xf numFmtId="170" fontId="10" fillId="0" borderId="0" xfId="0" applyNumberFormat="1" applyFont="1" applyFill="1" applyBorder="1" applyAlignment="1" applyProtection="1">
      <alignment horizontal="right" vertical="center"/>
    </xf>
    <xf numFmtId="2" fontId="4" fillId="0" borderId="0" xfId="2" applyNumberFormat="1" applyFont="1" applyFill="1" applyBorder="1"/>
    <xf numFmtId="0" fontId="3" fillId="0" borderId="0" xfId="0" applyFont="1" applyFill="1" applyBorder="1" applyAlignment="1">
      <alignment horizontal="left" vertical="center" wrapText="1"/>
    </xf>
    <xf numFmtId="14" fontId="4" fillId="0" borderId="0" xfId="2" applyNumberFormat="1" applyFont="1" applyFill="1" applyBorder="1"/>
    <xf numFmtId="14" fontId="4" fillId="0" borderId="0" xfId="0" applyNumberFormat="1" applyFont="1" applyFill="1" applyBorder="1"/>
    <xf numFmtId="172" fontId="10" fillId="0" borderId="0" xfId="1" applyNumberFormat="1" applyFont="1" applyFill="1" applyBorder="1" applyAlignment="1" applyProtection="1">
      <alignment horizontal="right" vertical="center"/>
    </xf>
    <xf numFmtId="168" fontId="8" fillId="0" borderId="0" xfId="0" applyNumberFormat="1" applyFont="1" applyFill="1" applyBorder="1" applyAlignment="1" applyProtection="1">
      <alignment horizontal="center" vertical="center"/>
      <protection locked="0"/>
    </xf>
    <xf numFmtId="173" fontId="4" fillId="0" borderId="0" xfId="2" applyNumberFormat="1" applyFont="1" applyFill="1" applyBorder="1"/>
    <xf numFmtId="165" fontId="8" fillId="0" borderId="0" xfId="2" applyNumberFormat="1" applyFont="1" applyFill="1" applyBorder="1" applyAlignment="1">
      <alignment horizontal="center" vertical="center"/>
    </xf>
    <xf numFmtId="167" fontId="4" fillId="0" borderId="0" xfId="2" applyNumberFormat="1" applyFont="1" applyFill="1" applyBorder="1"/>
    <xf numFmtId="9" fontId="4" fillId="0" borderId="0" xfId="2" applyFont="1" applyFill="1" applyBorder="1"/>
    <xf numFmtId="0" fontId="4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14" fontId="9" fillId="0" borderId="0" xfId="0" applyNumberFormat="1" applyFont="1" applyFill="1" applyBorder="1" applyAlignment="1">
      <alignment horizontal="center" vertical="center"/>
    </xf>
    <xf numFmtId="168" fontId="4" fillId="0" borderId="0" xfId="0" applyNumberFormat="1" applyFont="1" applyFill="1" applyBorder="1"/>
    <xf numFmtId="165" fontId="4" fillId="0" borderId="0" xfId="2" applyNumberFormat="1" applyFont="1" applyFill="1" applyBorder="1" applyAlignment="1">
      <alignment horizontal="left" vertical="center" wrapText="1"/>
    </xf>
    <xf numFmtId="165" fontId="8" fillId="0" borderId="0" xfId="2" applyNumberFormat="1" applyFont="1" applyFill="1" applyBorder="1" applyAlignment="1" applyProtection="1">
      <alignment horizontal="center" vertical="center" wrapText="1"/>
      <protection locked="0"/>
    </xf>
    <xf numFmtId="174" fontId="4" fillId="0" borderId="0" xfId="1" applyNumberFormat="1" applyFont="1" applyFill="1" applyBorder="1"/>
    <xf numFmtId="49" fontId="4" fillId="0" borderId="0" xfId="2" applyNumberFormat="1" applyFont="1" applyFill="1" applyBorder="1"/>
    <xf numFmtId="0" fontId="4" fillId="0" borderId="0" xfId="0" applyFont="1" applyFill="1" applyBorder="1" applyAlignment="1">
      <alignment vertical="center"/>
    </xf>
    <xf numFmtId="174" fontId="9" fillId="0" borderId="0" xfId="1" applyNumberFormat="1" applyFont="1" applyFill="1" applyBorder="1" applyAlignment="1" applyProtection="1">
      <alignment horizontal="center" vertical="center"/>
      <protection locked="0"/>
    </xf>
    <xf numFmtId="176" fontId="4" fillId="0" borderId="0" xfId="0" applyNumberFormat="1" applyFont="1" applyFill="1" applyBorder="1"/>
    <xf numFmtId="175" fontId="3" fillId="0" borderId="0" xfId="0" applyNumberFormat="1" applyFont="1" applyFill="1" applyBorder="1"/>
    <xf numFmtId="177" fontId="4" fillId="0" borderId="0" xfId="0" applyNumberFormat="1" applyFont="1" applyFill="1" applyBorder="1"/>
    <xf numFmtId="1" fontId="4" fillId="0" borderId="0" xfId="0" applyNumberFormat="1" applyFont="1"/>
    <xf numFmtId="177" fontId="4" fillId="0" borderId="0" xfId="0" applyNumberFormat="1" applyFont="1"/>
    <xf numFmtId="0" fontId="9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/>
    </xf>
    <xf numFmtId="4" fontId="6" fillId="0" borderId="0" xfId="0" applyNumberFormat="1" applyFont="1" applyBorder="1" applyAlignment="1" applyProtection="1">
      <alignment horizontal="left"/>
    </xf>
    <xf numFmtId="167" fontId="10" fillId="4" borderId="1" xfId="2" applyNumberFormat="1" applyFont="1" applyFill="1" applyBorder="1" applyAlignment="1">
      <alignment horizontal="right" vertical="center" wrapText="1"/>
    </xf>
    <xf numFmtId="176" fontId="4" fillId="0" borderId="0" xfId="0" applyNumberFormat="1" applyFont="1"/>
    <xf numFmtId="9" fontId="9" fillId="0" borderId="0" xfId="2" applyFont="1" applyFill="1" applyBorder="1" applyAlignment="1">
      <alignment horizontal="center" vertical="center"/>
    </xf>
    <xf numFmtId="167" fontId="10" fillId="4" borderId="1" xfId="0" applyNumberFormat="1" applyFont="1" applyFill="1" applyBorder="1" applyAlignment="1">
      <alignment horizontal="right"/>
    </xf>
    <xf numFmtId="2" fontId="4" fillId="0" borderId="1" xfId="0" applyNumberFormat="1" applyFont="1" applyBorder="1"/>
    <xf numFmtId="9" fontId="4" fillId="0" borderId="0" xfId="0" applyNumberFormat="1" applyFont="1"/>
    <xf numFmtId="169" fontId="4" fillId="0" borderId="0" xfId="0" applyNumberFormat="1" applyFont="1"/>
    <xf numFmtId="0" fontId="4" fillId="3" borderId="1" xfId="0" applyFont="1" applyFill="1" applyBorder="1" applyAlignment="1">
      <alignment horizontal="center" vertical="center" wrapText="1"/>
    </xf>
    <xf numFmtId="178" fontId="4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9" fontId="4" fillId="0" borderId="0" xfId="0" applyNumberFormat="1" applyFont="1" applyProtection="1">
      <protection locked="0"/>
    </xf>
    <xf numFmtId="0" fontId="4" fillId="0" borderId="1" xfId="0" applyFont="1" applyFill="1" applyBorder="1"/>
    <xf numFmtId="14" fontId="4" fillId="0" borderId="1" xfId="0" applyNumberFormat="1" applyFont="1" applyFill="1" applyBorder="1"/>
    <xf numFmtId="168" fontId="4" fillId="0" borderId="1" xfId="0" applyNumberFormat="1" applyFont="1" applyFill="1" applyBorder="1"/>
    <xf numFmtId="175" fontId="4" fillId="0" borderId="1" xfId="0" applyNumberFormat="1" applyFont="1" applyFill="1" applyBorder="1"/>
    <xf numFmtId="175" fontId="4" fillId="0" borderId="1" xfId="0" applyNumberFormat="1" applyFont="1" applyBorder="1"/>
    <xf numFmtId="174" fontId="3" fillId="5" borderId="1" xfId="1" applyNumberFormat="1" applyFont="1" applyFill="1" applyBorder="1" applyProtection="1">
      <protection locked="0"/>
    </xf>
    <xf numFmtId="168" fontId="4" fillId="0" borderId="3" xfId="0" applyNumberFormat="1" applyFont="1" applyFill="1" applyBorder="1"/>
    <xf numFmtId="169" fontId="4" fillId="0" borderId="1" xfId="0" applyNumberFormat="1" applyFont="1" applyFill="1" applyBorder="1"/>
    <xf numFmtId="179" fontId="4" fillId="0" borderId="1" xfId="0" applyNumberFormat="1" applyFont="1" applyBorder="1"/>
    <xf numFmtId="175" fontId="4" fillId="0" borderId="0" xfId="0" applyNumberFormat="1" applyFont="1" applyFill="1"/>
    <xf numFmtId="168" fontId="4" fillId="0" borderId="1" xfId="0" applyNumberFormat="1" applyFont="1" applyBorder="1" applyAlignment="1">
      <alignment horizontal="right" vertical="center"/>
    </xf>
    <xf numFmtId="43" fontId="4" fillId="0" borderId="1" xfId="1" applyFont="1" applyFill="1" applyBorder="1" applyAlignment="1">
      <alignment horizontal="right"/>
    </xf>
    <xf numFmtId="4" fontId="6" fillId="0" borderId="1" xfId="0" applyNumberFormat="1" applyFont="1" applyBorder="1" applyAlignment="1" applyProtection="1">
      <alignment horizontal="center"/>
    </xf>
    <xf numFmtId="0" fontId="4" fillId="0" borderId="0" xfId="0" applyFont="1" applyFill="1" applyProtection="1">
      <protection locked="0"/>
    </xf>
    <xf numFmtId="176" fontId="4" fillId="0" borderId="0" xfId="0" applyNumberFormat="1" applyFont="1" applyFill="1" applyProtection="1">
      <protection locked="0"/>
    </xf>
    <xf numFmtId="168" fontId="4" fillId="0" borderId="1" xfId="0" applyNumberFormat="1" applyFont="1" applyBorder="1"/>
    <xf numFmtId="168" fontId="4" fillId="0" borderId="3" xfId="0" applyNumberFormat="1" applyFont="1" applyBorder="1"/>
    <xf numFmtId="169" fontId="4" fillId="0" borderId="1" xfId="0" applyNumberFormat="1" applyFont="1" applyBorder="1"/>
    <xf numFmtId="175" fontId="4" fillId="0" borderId="0" xfId="1" applyNumberFormat="1" applyFont="1"/>
    <xf numFmtId="1" fontId="4" fillId="0" borderId="1" xfId="0" applyNumberFormat="1" applyFont="1" applyBorder="1"/>
    <xf numFmtId="43" fontId="4" fillId="0" borderId="1" xfId="1" applyFont="1" applyBorder="1" applyAlignment="1">
      <alignment horizontal="right" vertical="center"/>
    </xf>
    <xf numFmtId="4" fontId="6" fillId="0" borderId="0" xfId="0" applyNumberFormat="1" applyFont="1" applyBorder="1" applyAlignment="1" applyProtection="1">
      <alignment horizontal="center"/>
    </xf>
    <xf numFmtId="4" fontId="4" fillId="0" borderId="0" xfId="0" applyNumberFormat="1" applyFont="1" applyBorder="1"/>
    <xf numFmtId="14" fontId="4" fillId="0" borderId="0" xfId="0" applyNumberFormat="1" applyFont="1" applyProtection="1">
      <protection locked="0"/>
    </xf>
    <xf numFmtId="176" fontId="4" fillId="0" borderId="0" xfId="0" applyNumberFormat="1" applyFont="1" applyBorder="1"/>
    <xf numFmtId="0" fontId="4" fillId="0" borderId="0" xfId="0" applyFont="1" applyBorder="1"/>
    <xf numFmtId="171" fontId="4" fillId="0" borderId="0" xfId="0" applyNumberFormat="1" applyFont="1" applyBorder="1"/>
    <xf numFmtId="176" fontId="4" fillId="0" borderId="0" xfId="0" applyNumberFormat="1" applyFont="1" applyProtection="1">
      <protection locked="0"/>
    </xf>
    <xf numFmtId="168" fontId="4" fillId="0" borderId="0" xfId="1" applyNumberFormat="1" applyFont="1"/>
    <xf numFmtId="0" fontId="2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165" fontId="10" fillId="0" borderId="1" xfId="2" applyNumberFormat="1" applyFont="1" applyFill="1" applyBorder="1" applyAlignment="1">
      <alignment horizontal="left" vertical="center"/>
    </xf>
    <xf numFmtId="174" fontId="4" fillId="0" borderId="0" xfId="1" applyNumberFormat="1" applyFont="1" applyBorder="1"/>
    <xf numFmtId="0" fontId="4" fillId="0" borderId="1" xfId="0" applyFont="1" applyFill="1" applyBorder="1" applyAlignment="1">
      <alignment wrapText="1"/>
    </xf>
    <xf numFmtId="0" fontId="4" fillId="0" borderId="5" xfId="0" applyFont="1" applyFill="1" applyBorder="1"/>
    <xf numFmtId="0" fontId="10" fillId="0" borderId="1" xfId="0" applyFont="1" applyBorder="1" applyAlignment="1">
      <alignment wrapText="1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165" fontId="10" fillId="0" borderId="0" xfId="2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horizontal="left" vertical="center"/>
      <protection locked="0"/>
    </xf>
    <xf numFmtId="0" fontId="4" fillId="4" borderId="3" xfId="0" applyFont="1" applyFill="1" applyBorder="1" applyAlignment="1" applyProtection="1">
      <alignment horizontal="left" vertical="center"/>
      <protection locked="0"/>
    </xf>
    <xf numFmtId="0" fontId="4" fillId="4" borderId="2" xfId="0" applyFont="1" applyFill="1" applyBorder="1" applyAlignment="1" applyProtection="1">
      <alignment horizontal="left" vertical="center" wrapText="1"/>
      <protection locked="0"/>
    </xf>
    <xf numFmtId="0" fontId="4" fillId="4" borderId="3" xfId="0" applyFont="1" applyFill="1" applyBorder="1" applyAlignment="1" applyProtection="1">
      <alignment horizontal="left" vertical="center" wrapText="1"/>
      <protection locked="0"/>
    </xf>
    <xf numFmtId="165" fontId="14" fillId="0" borderId="6" xfId="2" applyNumberFormat="1" applyFont="1" applyFill="1" applyBorder="1" applyAlignment="1" applyProtection="1">
      <alignment horizontal="center" vertical="center"/>
      <protection locked="0"/>
    </xf>
    <xf numFmtId="165" fontId="14" fillId="0" borderId="7" xfId="2" applyNumberFormat="1" applyFont="1" applyFill="1" applyBorder="1" applyAlignment="1" applyProtection="1">
      <alignment horizontal="center" vertical="center"/>
      <protection locked="0"/>
    </xf>
    <xf numFmtId="165" fontId="14" fillId="0" borderId="8" xfId="2" applyNumberFormat="1" applyFont="1" applyFill="1" applyBorder="1" applyAlignment="1" applyProtection="1">
      <alignment horizontal="center" vertical="center"/>
      <protection locked="0"/>
    </xf>
    <xf numFmtId="165" fontId="14" fillId="0" borderId="9" xfId="2" applyNumberFormat="1" applyFont="1" applyFill="1" applyBorder="1" applyAlignment="1" applyProtection="1">
      <alignment horizontal="center" vertical="center"/>
      <protection locked="0"/>
    </xf>
    <xf numFmtId="165" fontId="14" fillId="0" borderId="10" xfId="2" applyNumberFormat="1" applyFont="1" applyFill="1" applyBorder="1" applyAlignment="1" applyProtection="1">
      <alignment horizontal="center" vertical="center"/>
      <protection locked="0"/>
    </xf>
    <xf numFmtId="165" fontId="14" fillId="0" borderId="11" xfId="2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60;&#1043;&#1044;%20&#1044;&#1045;&#1055;&#1054;&#1047;&#1048;&#1058;&#1053;&#1067;&#1049;%20&#1050;&#1040;&#1051;&#1068;&#1050;&#1059;&#1051;&#1071;&#1058;&#1054;&#1056;%20&#1076;&#1083;&#1103;%20&#1041;&#1042;&#105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ы"/>
      <sheetName val="данные"/>
      <sheetName val="депозитный калькулятор"/>
    </sheetNames>
    <sheetDataSet>
      <sheetData sheetId="0">
        <row r="18">
          <cell r="Z18" t="b">
            <v>0</v>
          </cell>
        </row>
      </sheetData>
      <sheetData sheetId="1"/>
      <sheetData sheetId="2">
        <row r="1">
          <cell r="F1">
            <v>90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493E0-300C-4ACC-87D7-E75ADED171C8}">
  <sheetPr codeName="Лист1"/>
  <dimension ref="A2:AH1023"/>
  <sheetViews>
    <sheetView topLeftCell="A10" workbookViewId="0">
      <selection activeCell="I8" sqref="I8"/>
    </sheetView>
  </sheetViews>
  <sheetFormatPr defaultColWidth="9.08984375" defaultRowHeight="14" x14ac:dyDescent="0.3"/>
  <cols>
    <col min="1" max="1" width="5.08984375" style="2" customWidth="1"/>
    <col min="2" max="2" width="11" style="2" customWidth="1"/>
    <col min="3" max="3" width="15.36328125" style="2" customWidth="1"/>
    <col min="4" max="4" width="13.90625" style="2" customWidth="1"/>
    <col min="5" max="5" width="13.08984375" style="2" customWidth="1"/>
    <col min="6" max="6" width="13.6328125" style="2" customWidth="1"/>
    <col min="7" max="7" width="15.54296875" style="2" customWidth="1"/>
    <col min="8" max="8" width="12.6328125" style="2" customWidth="1"/>
    <col min="9" max="9" width="22.36328125" style="2" customWidth="1"/>
    <col min="10" max="10" width="23.54296875" style="1" customWidth="1"/>
    <col min="11" max="11" width="22.36328125" style="1" customWidth="1"/>
    <col min="12" max="12" width="20.453125" style="2" customWidth="1"/>
    <col min="13" max="13" width="16.90625" style="2" customWidth="1"/>
    <col min="14" max="14" width="23.6328125" style="2" customWidth="1"/>
    <col min="15" max="15" width="26.54296875" style="2" customWidth="1"/>
    <col min="16" max="16" width="21" style="2" customWidth="1"/>
    <col min="17" max="17" width="13.54296875" style="2" customWidth="1"/>
    <col min="18" max="18" width="9.08984375" style="2"/>
    <col min="19" max="19" width="9.453125" style="2" customWidth="1"/>
    <col min="20" max="20" width="12.453125" style="2" customWidth="1"/>
    <col min="21" max="21" width="12" style="2" customWidth="1"/>
    <col min="22" max="22" width="24" style="2" customWidth="1"/>
    <col min="23" max="23" width="18.08984375" style="2" customWidth="1"/>
    <col min="24" max="24" width="18.90625" style="2" customWidth="1"/>
    <col min="25" max="25" width="24.54296875" style="2" customWidth="1"/>
    <col min="26" max="26" width="24" style="2" customWidth="1"/>
    <col min="27" max="27" width="10.54296875" style="2" customWidth="1"/>
    <col min="28" max="28" width="14.453125" style="2" customWidth="1"/>
    <col min="29" max="29" width="41.54296875" style="2" customWidth="1"/>
    <col min="30" max="30" width="19.08984375" style="2" customWidth="1"/>
    <col min="31" max="31" width="12.453125" style="2" customWidth="1"/>
    <col min="32" max="32" width="18.36328125" style="5" customWidth="1"/>
    <col min="33" max="33" width="19.6328125" style="5" customWidth="1"/>
    <col min="34" max="34" width="24.90625" style="5" customWidth="1"/>
    <col min="35" max="16384" width="9.08984375" style="2"/>
  </cols>
  <sheetData>
    <row r="2" spans="5:34" ht="17.5" x14ac:dyDescent="0.35">
      <c r="N2" s="8"/>
    </row>
    <row r="3" spans="5:34" s="65" customFormat="1" ht="21.75" customHeight="1" x14ac:dyDescent="0.3">
      <c r="E3" s="25"/>
      <c r="F3" s="25"/>
      <c r="G3" s="26"/>
      <c r="J3" s="66"/>
      <c r="K3" s="66"/>
      <c r="AF3" s="67"/>
      <c r="AG3" s="67"/>
      <c r="AH3" s="67"/>
    </row>
    <row r="4" spans="5:34" s="65" customFormat="1" ht="29.25" customHeight="1" x14ac:dyDescent="0.3">
      <c r="J4" s="66"/>
      <c r="K4" s="9"/>
      <c r="M4" s="68"/>
      <c r="N4" s="69"/>
      <c r="P4" s="9"/>
      <c r="AC4" s="70"/>
      <c r="AD4" s="71"/>
      <c r="AF4" s="171"/>
      <c r="AG4" s="171"/>
      <c r="AH4" s="171"/>
    </row>
    <row r="5" spans="5:34" s="65" customFormat="1" ht="56.25" customHeight="1" x14ac:dyDescent="0.3">
      <c r="J5" s="66"/>
      <c r="K5" s="14"/>
      <c r="M5" s="20"/>
      <c r="N5" s="72"/>
      <c r="P5" s="73"/>
      <c r="AC5" s="74"/>
      <c r="AD5" s="14"/>
      <c r="AF5" s="172"/>
      <c r="AG5" s="172"/>
      <c r="AH5" s="75"/>
    </row>
    <row r="6" spans="5:34" s="65" customFormat="1" ht="24.75" customHeight="1" x14ac:dyDescent="0.3">
      <c r="J6" s="66"/>
      <c r="K6" s="76"/>
      <c r="M6" s="20"/>
      <c r="N6" s="77"/>
      <c r="P6" s="78"/>
      <c r="AD6" s="76"/>
      <c r="AF6" s="170"/>
      <c r="AG6" s="170"/>
      <c r="AH6" s="79"/>
    </row>
    <row r="7" spans="5:34" s="65" customFormat="1" ht="57.75" customHeight="1" x14ac:dyDescent="0.3">
      <c r="J7" s="66"/>
      <c r="K7" s="24"/>
      <c r="M7" s="25"/>
      <c r="N7" s="26"/>
      <c r="P7" s="24"/>
      <c r="AC7" s="80"/>
      <c r="AD7" s="81"/>
      <c r="AF7" s="82"/>
      <c r="AG7" s="82"/>
      <c r="AH7" s="83"/>
    </row>
    <row r="8" spans="5:34" s="65" customFormat="1" ht="60.75" customHeight="1" x14ac:dyDescent="0.3">
      <c r="J8" s="66"/>
      <c r="K8" s="32"/>
      <c r="M8" s="20"/>
      <c r="N8" s="84"/>
      <c r="P8" s="85"/>
      <c r="AC8" s="86"/>
      <c r="AD8" s="87"/>
      <c r="AF8" s="169"/>
      <c r="AG8" s="169"/>
      <c r="AH8" s="83"/>
    </row>
    <row r="9" spans="5:34" s="65" customFormat="1" ht="29.25" customHeight="1" x14ac:dyDescent="0.3">
      <c r="J9" s="66"/>
      <c r="K9" s="66"/>
      <c r="M9" s="20"/>
      <c r="N9" s="37"/>
      <c r="P9" s="85"/>
      <c r="AD9" s="66"/>
      <c r="AF9" s="169"/>
      <c r="AG9" s="169"/>
      <c r="AH9" s="88"/>
    </row>
    <row r="10" spans="5:34" s="65" customFormat="1" ht="44.25" customHeight="1" x14ac:dyDescent="0.3">
      <c r="J10" s="66"/>
      <c r="K10" s="24"/>
      <c r="M10" s="80"/>
      <c r="N10" s="87"/>
      <c r="P10" s="24"/>
      <c r="Q10" s="89"/>
      <c r="AC10" s="90"/>
      <c r="AD10" s="81"/>
      <c r="AF10" s="170"/>
      <c r="AG10" s="170"/>
      <c r="AH10" s="83"/>
    </row>
    <row r="11" spans="5:34" s="65" customFormat="1" ht="45.75" customHeight="1" x14ac:dyDescent="0.3">
      <c r="J11" s="66"/>
      <c r="K11" s="24"/>
      <c r="P11" s="91"/>
      <c r="Q11" s="92"/>
      <c r="AC11" s="86"/>
      <c r="AD11" s="81"/>
      <c r="AF11" s="169"/>
      <c r="AG11" s="169"/>
      <c r="AH11" s="83"/>
    </row>
    <row r="12" spans="5:34" s="65" customFormat="1" ht="39" customHeight="1" x14ac:dyDescent="0.3">
      <c r="J12" s="66"/>
      <c r="P12" s="9"/>
      <c r="Q12" s="92"/>
      <c r="AF12" s="170"/>
      <c r="AG12" s="170"/>
      <c r="AH12" s="93"/>
    </row>
    <row r="13" spans="5:34" s="65" customFormat="1" ht="35.25" customHeight="1" x14ac:dyDescent="0.3">
      <c r="J13" s="66"/>
      <c r="K13" s="9"/>
      <c r="M13" s="20"/>
      <c r="N13" s="94"/>
      <c r="O13" s="95"/>
      <c r="P13" s="96"/>
      <c r="Q13" s="92"/>
      <c r="S13" s="97"/>
      <c r="T13" s="97"/>
      <c r="U13" s="98"/>
      <c r="V13" s="98"/>
      <c r="AC13" s="99"/>
      <c r="AD13" s="71"/>
      <c r="AF13" s="67"/>
      <c r="AG13" s="67"/>
      <c r="AH13" s="67"/>
    </row>
    <row r="14" spans="5:34" s="65" customFormat="1" ht="27.75" customHeight="1" x14ac:dyDescent="0.3">
      <c r="J14" s="66"/>
      <c r="K14" s="45"/>
      <c r="M14" s="20"/>
      <c r="N14" s="100"/>
      <c r="O14" s="95"/>
      <c r="P14" s="101"/>
      <c r="S14" s="97"/>
      <c r="T14" s="97"/>
      <c r="W14" s="102"/>
      <c r="X14" s="102"/>
      <c r="Y14" s="102"/>
      <c r="Z14" s="102"/>
      <c r="AA14" s="102"/>
      <c r="AB14" s="102"/>
      <c r="AC14" s="103"/>
      <c r="AD14" s="104"/>
      <c r="AF14" s="67"/>
      <c r="AG14" s="67"/>
      <c r="AH14" s="67"/>
    </row>
    <row r="15" spans="5:34" s="65" customFormat="1" ht="29.25" customHeight="1" x14ac:dyDescent="0.3">
      <c r="H15" s="92"/>
      <c r="J15" s="66"/>
      <c r="K15" s="47"/>
      <c r="L15" s="105"/>
      <c r="O15" s="106"/>
      <c r="P15" s="26"/>
      <c r="AC15" s="107"/>
      <c r="AD15" s="108"/>
      <c r="AF15" s="67"/>
      <c r="AG15" s="67"/>
      <c r="AH15" s="67"/>
    </row>
    <row r="16" spans="5:34" s="65" customFormat="1" ht="45" customHeight="1" x14ac:dyDescent="0.3">
      <c r="H16" s="92"/>
      <c r="I16" s="109"/>
      <c r="J16" s="110"/>
      <c r="K16" s="50"/>
      <c r="O16" s="78"/>
      <c r="P16" s="111"/>
      <c r="AC16" s="86"/>
      <c r="AD16" s="108"/>
      <c r="AF16" s="67"/>
      <c r="AG16" s="67"/>
      <c r="AH16" s="67"/>
    </row>
    <row r="17" spans="1:34" ht="22.5" customHeight="1" x14ac:dyDescent="0.3">
      <c r="H17" s="112"/>
      <c r="K17" s="52"/>
      <c r="P17" s="113"/>
    </row>
    <row r="18" spans="1:34" ht="15.5" x14ac:dyDescent="0.35">
      <c r="G18" s="114"/>
      <c r="I18" s="65"/>
      <c r="J18" s="66"/>
      <c r="K18" s="2"/>
      <c r="L18" s="52"/>
      <c r="N18" s="54"/>
      <c r="P18" s="115"/>
      <c r="Y18" s="116" t="s">
        <v>35</v>
      </c>
      <c r="Z18" s="117" t="b">
        <f ca="1">IF(OR('депозитный калькулятор'!$G$7="факт/365",'депозитный калькулятор'!$G$7="факт/360",'депозитный калькулятор'!$G$7="факт/факт"),XIRR(V23:OFFSET(V23,W21-1,0),U23:OFFSET(U23,W21-1,0)))</f>
        <v>0</v>
      </c>
      <c r="AA18" s="118"/>
      <c r="AB18" s="118"/>
    </row>
    <row r="19" spans="1:34" x14ac:dyDescent="0.3">
      <c r="I19" s="65"/>
      <c r="K19" s="2"/>
      <c r="L19" s="52"/>
      <c r="O19" s="55"/>
      <c r="P19" s="119"/>
      <c r="Z19" s="120"/>
    </row>
    <row r="20" spans="1:34" x14ac:dyDescent="0.3">
      <c r="I20" s="65"/>
      <c r="K20" s="2"/>
      <c r="L20" s="52"/>
      <c r="O20" s="55"/>
      <c r="P20" s="119"/>
      <c r="Y20" s="121">
        <f ca="1">IF(OR('депозитный калькулятор'!$G$7="30/365",'депозитный калькулятор'!$G$7="30/360"),Y21-Z21,0)</f>
        <v>-3616.9848209595075</v>
      </c>
      <c r="Z20" s="122"/>
      <c r="AA20" s="122"/>
      <c r="AB20" s="122"/>
    </row>
    <row r="21" spans="1:34" x14ac:dyDescent="0.3">
      <c r="E21" s="52"/>
      <c r="G21" s="2">
        <v>2</v>
      </c>
      <c r="H21" s="2">
        <v>3</v>
      </c>
      <c r="I21" s="2">
        <v>4</v>
      </c>
      <c r="J21" s="2">
        <v>5</v>
      </c>
      <c r="K21" s="2"/>
      <c r="O21" s="2">
        <v>10</v>
      </c>
      <c r="P21" s="119"/>
      <c r="W21" s="123">
        <f ca="1">COUNTIFS($B$23:$B$1023,"&gt;0")</f>
        <v>2</v>
      </c>
      <c r="X21" s="56"/>
      <c r="Y21" s="56">
        <f ca="1">SUM(Y23:OFFSET(Y23,$W$21,0))</f>
        <v>1000000</v>
      </c>
      <c r="Z21" s="56">
        <f ca="1">SUM(Z23:OFFSET(Z23,$W$21,0))</f>
        <v>1003616.9848209595</v>
      </c>
      <c r="AA21" s="56"/>
      <c r="AB21" s="56"/>
      <c r="AC21" s="56"/>
      <c r="AD21" s="56"/>
    </row>
    <row r="22" spans="1:34" ht="84" x14ac:dyDescent="0.3">
      <c r="B22" s="62"/>
      <c r="C22" s="62"/>
      <c r="D22" s="124" t="s">
        <v>36</v>
      </c>
      <c r="E22" s="124" t="s">
        <v>37</v>
      </c>
      <c r="F22" s="124" t="s">
        <v>30</v>
      </c>
      <c r="G22" s="125" t="s">
        <v>38</v>
      </c>
      <c r="H22" s="124" t="s">
        <v>39</v>
      </c>
      <c r="I22" s="124" t="s">
        <v>40</v>
      </c>
      <c r="J22" s="58" t="s">
        <v>22</v>
      </c>
      <c r="K22" s="126" t="s">
        <v>31</v>
      </c>
      <c r="L22" s="126" t="s">
        <v>32</v>
      </c>
      <c r="M22" s="126" t="s">
        <v>33</v>
      </c>
      <c r="N22" s="126" t="s">
        <v>34</v>
      </c>
      <c r="O22" s="124" t="s">
        <v>41</v>
      </c>
      <c r="P22" s="124" t="s">
        <v>42</v>
      </c>
      <c r="Q22" s="124" t="s">
        <v>43</v>
      </c>
      <c r="S22" s="127" t="s">
        <v>29</v>
      </c>
      <c r="T22" s="124" t="s">
        <v>36</v>
      </c>
      <c r="U22" s="124" t="s">
        <v>30</v>
      </c>
      <c r="V22" s="124" t="s">
        <v>44</v>
      </c>
      <c r="W22" s="128" t="s">
        <v>45</v>
      </c>
      <c r="X22" s="128" t="s">
        <v>46</v>
      </c>
      <c r="Y22" s="128" t="s">
        <v>47</v>
      </c>
      <c r="Z22" s="128" t="s">
        <v>48</v>
      </c>
      <c r="AA22" s="74"/>
      <c r="AB22" s="74"/>
      <c r="AC22" s="74"/>
      <c r="AD22" s="74"/>
      <c r="AF22" s="129"/>
    </row>
    <row r="23" spans="1:34" s="41" customFormat="1" ht="15.5" x14ac:dyDescent="0.35">
      <c r="A23" s="41" t="str">
        <f>IF(F23=" "," ",IF(OR('депозитный калькулятор'!$G$7="30/365",'депозитный калькулятор'!$G$7="30/360"),IF(AND(MONTH(F23)=2,DAY(F23)=DAY(EOMONTH(F23,0))),30-DAY(EOMONTH(F23,0)),IF(DAY(F23)=31,1," "))," "))</f>
        <v xml:space="preserve"> </v>
      </c>
      <c r="B23" s="130">
        <v>1</v>
      </c>
      <c r="C23" s="130">
        <f>B23</f>
        <v>1</v>
      </c>
      <c r="D23" s="130"/>
      <c r="F23" s="131">
        <f>'депозитный калькулятор'!$D$7</f>
        <v>45292</v>
      </c>
      <c r="G23" s="132">
        <f>IF('депозитный калькулятор'!$G$13="есть",L23+IF('депозитный калькулятор'!$D$13&lt;&gt;0,'депозитный калькулятор'!$D$13,1000)-J23-K23,IF('депозитный калькулятор'!$D$13&lt;&gt;0,'депозитный калькулятор'!$D$13,1000)-J23-K23)</f>
        <v>1000000</v>
      </c>
      <c r="H23" s="133"/>
      <c r="I23" s="134" t="str">
        <f>IF(F23=" "," ",IF('депозитный калькулятор'!$G$10="в начале срока",IF('депозитный калькулятор'!$D$16="в месяцах",IF(OR('депозитный калькулятор'!$G$7="30/365",'депозитный калькулятор'!$G$7="30/360"),30*'депозитный калькулятор'!$D$17*'депозитный калькулятор'!$D$13*'депозитный калькулятор'!$G$8,'депозитный калькулятор'!$D$17*'депозитный калькулятор'!$D$13*'депозитный калькулятор'!$D$11/12),'депозитный калькулятор'!$D$17*'депозитный калькулятор'!$D$13*'депозитный калькулятор'!$G$8)," "))</f>
        <v xml:space="preserve"> </v>
      </c>
      <c r="J23" s="59">
        <f>IF(AND('депозитный калькулятор'!$G$16="есть",'депозитный калькулятор'!$G$17="разовая (в начале срока)"),'депозитный калькулятор'!$G$18,0)</f>
        <v>0</v>
      </c>
      <c r="K23" s="135">
        <f>IF($F23=" "," ",IFERROR(VLOOKUP($F23,'депозитный калькулятор'!$B$26:$F$70,2,0),0))</f>
        <v>0</v>
      </c>
      <c r="L23" s="135">
        <f>IF($F23=" "," ",IFERROR(VLOOKUP($F23,'депозитный калькулятор'!$B$26:$F$70,3,0),0))</f>
        <v>0</v>
      </c>
      <c r="M23" s="135">
        <f>IF($F23=" "," ",IFERROR(VLOOKUP($F23,'депозитный калькулятор'!$B$26:$F$70,4,0),0))</f>
        <v>0</v>
      </c>
      <c r="N23" s="135">
        <f>IF($F23=" "," ",IFERROR(VLOOKUP($F23,'депозитный калькулятор'!$B$26:$F$70,5,0),0))</f>
        <v>0</v>
      </c>
      <c r="O23" s="136">
        <f>IF('депозитный калькулятор'!$D$13&lt;&gt;0,'депозитный калькулятор'!$D$13,1000)+IF('депозитный калькулятор'!$G$14="есть",M23-N23,-L23+M23-N23)</f>
        <v>1000000</v>
      </c>
      <c r="P23" s="137">
        <f>IF(F23&gt;'депозитный калькулятор'!$D$8," ",IF(G23&gt;='депозитный калькулятор'!$G$19,0,1))</f>
        <v>0</v>
      </c>
      <c r="Q23" s="138">
        <f>IF(F23=" "," ",IF(AND(OR('депозитный калькулятор'!$G$7="30/365",'депозитный калькулятор'!$G$7="30/360"),AND(MONTH(F23)=2,EOMONTH(F23,0)=F23)),IF(DAY(F23)=28,3,2),1)*IF(G23&gt;='депозитный калькулятор'!$G$11,IF(AND('депозитный калькулятор'!$G$7="факт/факт",MOD(YEAR(F23),4)=0),G23*'депозитный калькулятор'!$D$11/366,G23*'депозитный калькулятор'!$G$8),0))</f>
        <v>361.11111111111114</v>
      </c>
      <c r="R23" s="139"/>
      <c r="S23" s="130">
        <v>1</v>
      </c>
      <c r="T23" s="130">
        <v>0</v>
      </c>
      <c r="U23" s="64">
        <f t="shared" ref="U23:U86" si="0">IF(S23=" "," ",VLOOKUP(S23,$C$22:$F$1023,4,0))</f>
        <v>45292</v>
      </c>
      <c r="V23" s="140">
        <f>O23</f>
        <v>1000000</v>
      </c>
      <c r="W23" s="132">
        <f>O23</f>
        <v>1000000</v>
      </c>
      <c r="X23" s="141">
        <f>IF(S23=" "," ",IFERROR(VLOOKUP(U23,$F$23:$N$1023,7)+VLOOKUP(U23,$F$23:$N$1023,9)+IF(AND('депозитный калькулятор'!$G$13="нет",U23&lt;&gt;'депозитный калькулятор'!$D$8),VLOOKUP(U23,$F$23:$N$1023,4),0),0)+IF(U23='депозитный калькулятор'!$D$8,VLOOKUP(U23,$F$23:$N$1023,2)+VLOOKUP(U23,$F$23:$N$1023,4),0))</f>
        <v>0</v>
      </c>
      <c r="Y23" s="142">
        <f>IF(S23=" "," ",W23/(1+'депозитный калькулятор'!$K$8)^(T23/IF('депозитный калькулятор'!$G$7="30/360",360,365)))</f>
        <v>1000000</v>
      </c>
      <c r="Z23" s="142">
        <f>IF(S23=" "," ",X23/(1+'депозитный калькулятор'!$K$8)^(T23/IF('депозитный калькулятор'!$G$7="30/360",360,365)))</f>
        <v>0</v>
      </c>
      <c r="AF23" s="143"/>
      <c r="AG23" s="143"/>
      <c r="AH23" s="144"/>
    </row>
    <row r="24" spans="1:34" ht="15.5" x14ac:dyDescent="0.35">
      <c r="A24" s="41" t="str">
        <f>IF(F24=" "," ",IF(OR('депозитный калькулятор'!$G$7="30/365",'депозитный калькулятор'!$G$7="30/360"),IF(AND(MONTH(F24)=2,DAY(F24)=DAY(EOMONTH(F24,0))),30-DAY(EOMONTH(F24,0)),IF(DAY(F24)=31,1," "))," "))</f>
        <v xml:space="preserve"> </v>
      </c>
      <c r="B24" s="130">
        <f t="shared" ref="B24:B87" si="1">IF(F24=" "," ",IF(O24&lt;&gt;0,1,0))</f>
        <v>0</v>
      </c>
      <c r="C24" s="130" t="str">
        <f>IF(OR(B24=0,B24=" ")," ",SUM($B$23:B24))</f>
        <v xml:space="preserve"> </v>
      </c>
      <c r="D24" s="62">
        <v>1</v>
      </c>
      <c r="E24" s="130">
        <v>1</v>
      </c>
      <c r="F24" s="64">
        <f>IF(F23=" "," ",IF(F23='депозитный калькулятор'!$D$8," ",F23+1))</f>
        <v>45293</v>
      </c>
      <c r="G24" s="145">
        <f xml:space="preserve"> IF(F24&gt;'депозитный калькулятор'!$D$8," ",IF('депозитный калькулятор'!$G$13="есть",IF('депозитный калькулятор'!$G$14="есть",G23+IF(I23=" ",0,I23)-J24-K24+L24+M24-N24,G23+IF(I23=" ",0,I23)-J24-K24+M24-N24),IF('депозитный калькулятор'!$G$14="есть",G23-J24-K24+L24+M24-N24,G23-J24-K24+M24-N24)))</f>
        <v>1000000</v>
      </c>
      <c r="H24" s="133">
        <f>IF(F24&gt;'депозитный калькулятор'!$D$8," ",IF(AND(OR('депозитный калькулятор'!$G$7="30/365",'депозитный калькулятор'!$G$7="30/360"),AND(MONTH(F24)=2,EOMONTH(F24,0)=F24)),IF(DAY(F24)=28,3*G24*'депозитный калькулятор'!$G$8,2*G24*'депозитный калькулятор'!$G$8),IF(AND(OR('депозитный калькулятор'!$G$7="30/365",'депозитный калькулятор'!$G$7="30/360"),DAY(F24)=31)," ",IF(AND('депозитный калькулятор'!$G$7="факт/факт",MOD(YEAR(F24),4)=0),G24*'депозитный калькулятор'!$D$11/366,G24*'депозитный калькулятор'!$G$8))))</f>
        <v>361.11111111111114</v>
      </c>
      <c r="I24" s="134">
        <f ca="1">IF(F24=" "," ",IF('депозитный калькулятор'!$G$10="ежедневное",H24,IF(AND('депозитный калькулятор'!$G$10="еженедельное",WEEKDAY(F24,2)=7),SUM(OFFSET(H24,-6,0):H24),IF(AND('депозитный калькулятор'!$G$10="еженедельное",F24='депозитный калькулятор'!$D$8),SUM($H$23:H24)-SUM($I$23:I23),IF(AND('депозитный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недели",WEEKDAY(F24,2)=7),MIN(OFFSET(H24,-6,0):H24)*(COUNTIF(OFFSET(H24,-6,0):H24,"&gt;0")+SUMIF(OFFSET(A24,-WEEKDAY(F24,2),0):A24,"=2",OFFSET(A24,-WEEKDAY(F24,2),0):A24)),IF(AND('депозитный калькулятор'!$G$10="еженедельное, на минимальную сумму зафиксированную в течение недели",F24='депозитный калькулятор'!$D$8,WEEKDAY(F24,2)&lt;&gt;7),MIN(OFFSET(H24,-WEEKDAY(F24,2),0):H24)*(COUNTIF(OFFSET(H24,-WEEKDAY(F24,2)+1,0):H24,"&gt;0")+SUM(OFFSET(A24,-WEEKDAY(F24,2),0):A24)),IF(AND('депозитный калькулятор'!$G$10="ежемесячное (в конце месяца)",F24='депозитный калькулятор'!$D$8,EOMONTH(F24,0)&lt;&gt;F24),IF('депозитный калькулятор'!$F$1=1,$H$24,SUM($H$23:H24)-SUM($I$23:I23)),IF(AND('депозитный калькулятор'!$G$10="ежемесячное (в конце месяца)",EOMONTH(F24,0)=F24),SUM($H$23:H24)-SUM($I$23:I23),IF(AND('депозитный калькулятор'!$G$10="ежемесячное (по дням открытия вклада)",F24='депозитный калькулятор'!$D$8,DAY('депозитный калькулятор'!$D$7)&lt;&gt;DAY(F24)),IF('депозитный калькулятор'!$F$1=1,$H$24,SUM($H$23:H24)-SUM($I$23:I23)),IF(AND('депозитный калькулятор'!$G$10="ежемесячное (по дням открытия вклада)",DAY('депозитный калькулятор'!$D$7)=DAY(F24)),SUM($H$23:H24)-SUM($I$23:I23),IF(AND('депозитный калькулятор'!$G$10="ежемесячное, на минимальную сумму зафиксированную в течение месяца",F24='депозитный калькулятор'!$D$8,EOMONTH(F24,0)&lt;&gt;F24),IF('депозитный калькулятор'!$F$1=1,$H$24,IF(AND(OR('депозитный калькулятор'!$G$7="30/365",'депозитный калькулятор'!$G$7="30/360"),DAY(F24)=31),0,MIN(OFFSET(H24,-E24+1,0):H24)*(E24+SUMIF(OFFSET(A24,-E24+1,0):A24,"=2",OFFSET(A24,-E24+1,0):A24)))),IF(AND('депозитный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калькулятор'!$G$7="30/360"),DAY(EOMONTH(F24,0))=31),EOMONTH(F24,0)-1=F24,EOMONTH(F24,0)=F24)),IF(IF(AND(OR('депозитный калькулятор'!$G$7="30/365",'депозитный калькулятор'!$G$7="30/360"),DAY(EOMONTH($F$23,0))=31),F24=EOMONTH($F$23,0)-1,F24=EOMONTH($F$23,0)),MIN(OFFSET(H24,-(DAY(F24)-DAY($F$23)),0):H24)*E24,MIN(OFFSET(H24,-(DAY(F24)-1),0):H24)*IF(AND(OR('депозитный калькулятор'!$G$7="30/365",'депозитный калькулятор'!$G$7="30/360"),DAY(F24)&lt;30),30,DAY(F24))),IF(AND('депозитный калькулятор'!$G$10="ежемесячное, на средний остаток в течение месяца, при условии что остаток больше чем ограничение",F24='депозитный калькулятор'!$D$8,EOMONTH(F24,0)&lt;&gt;F24),IF('депозитный калькулятор'!$F$1=1,$H$24,SUM(OFFSET(Q24,-E24+1,0):Q24)),IF(AND('депозитный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калькулятор'!$G$7="30/360"),DAY(EOMONTH(F24,0))=31),EOMONTH(F24,0)-1=F24,EOMONTH(F24,0)=F24)),IF(IF(AND(OR('депозитный калькулятор'!$G$7="30/365",'депозитный калькулятор'!$G$7="30/360"),DAY(EOMONTH($F$24,0))=31),F24=EOMONTH($F$24,0)-1,F24=EOMONTH($F$24,0)),SUM(OFFSET(Q24,-E24+1,0):Q24),SUM(OFFSET(Q24,-E24+1,0):Q24)),IF('депозитный калькулятор'!$G$10="ежеквартальное",IF(F24&gt;'депозитный калькулятор'!$D$8," ",IF(AND(EOMONTH(F24,0)=F24,OR(MONTH(F24)=3,MONTH(F24)=6,MONTH(F24)=9,MONTH(F24)=12)),IF(EDATE(F24,-3)&lt;'депозитный калькулятор'!$D$7,SUM($H$23:H24),IF(MOD(YEAR(F24),4)=0,IF(AND(EOMONTH(F24,0)=F24,OR(MONTH(F24)=3,MONTH(F24)=6)),SUM(OFFSET(H24,-90,0):H24),IF(AND(EOMONTH(F24,0)=F24,OR(MONTH(F24)=9,MONTH(F24)=12)),SUM(OFFSET(H24,-91,0):H24))),IF(AND(EOMONTH(F24,0)=F24,MONTH(F24)=3),SUM(OFFSET(H24,-89,0):H24),IF(AND(EOMONTH(F24,0)=F24,MONTH(F24)=6),SUM(OFFSET(H24,-90,0):H24),IF(AND(EOMONTH(F24,0)=F24,OR(MONTH(F24)=9,MONTH(F24)=12)),SUM(OFFSET(H24,-91,0):H24)))))),IF(F24='депозитный калькулятор'!$D$8,SUM($H$23:H24)-SUM($I$23:I23),0))),IF('депозитный калькулятор'!$G$10="ежегодное",IF(F24&gt;'депозитный калькулятор'!$D$8," ",IF(F24='депозитный калькулятор'!$D$8,SUM($H$23:H24)-SUM($I$23:I23),IF(AND(EOMONTH(F24,0)=F24,MONTH(F24)=12),IF(MOD(YEAR(F23),4)=0,IF(F24-'депозитный калькулятор'!$D$7&lt;366,SUM($H$23:H24),SUM(OFFSET(H24,-365,0):H24)),IF(F24-'депозитный калькулятор'!$D$7&lt;365,SUM($H$23:H24),SUM(OFFSET(H24,-364,0):H24))),0))),IF(AND('депозитный калькулятор'!$G$10="в конце срока",'депозитный калькулятор'!$D$8=F24),SUM($H$23:H24),0))))))))))))))))))</f>
        <v>361.11111111111114</v>
      </c>
      <c r="J24" s="59">
        <f>IF(F24&gt;'депозитный калькулятор'!$D$8," ",IF('депозитный калькулятор'!$G$16="нет",0,IF(AND('депозитный калькулятор'!$G$17="разовая (в конце срока)",F24='депозитный калькулятор'!$D$8),'депозитный калькулятор'!$G$18,IF(AND('депозитный калькулятор'!$G$17="ежемесячная",EOMONTH(F23,0)=F23),'депозитный калькулятор'!$G$18,IF(AND('депозитный калькулятор'!$G$17="ежегодная",DAY(F23)=31,MONTH(F23)=12),'депозитный калькулятор'!$G$18,IF(AND('депозитный калькулятор'!$G$17="ежемесячная в зависимости от остатка",EOMONTH(F23,0)=F23,P23&gt;0),'депозитный калькулятор'!$G$18,IF(AND('депозитный калькулятор'!$G$17="ежегодная в зависимости от остатка",DAY(F23)=31,MONTH(F23)=12,P23&gt;0),'депозитный калькулятор'!$G$18,0)))))))</f>
        <v>0</v>
      </c>
      <c r="K24" s="135">
        <f>IF($F24=" "," ",IFERROR(VLOOKUP($F24,'депозитный калькулятор'!$B$26:$F$70,2,0),0))</f>
        <v>0</v>
      </c>
      <c r="L24" s="135">
        <f>IF($F24=" "," ",IFERROR(VLOOKUP($F24,'депозитный калькулятор'!$B$26:$F$70,3,0),0))</f>
        <v>0</v>
      </c>
      <c r="M24" s="135">
        <f>IF($F24=" "," ",IFERROR(VLOOKUP($F24,'депозитный калькулятор'!$B$26:$F$70,4,0),0))</f>
        <v>0</v>
      </c>
      <c r="N24" s="135">
        <f>IF($F24=" "," ",IFERROR(VLOOKUP($F24,'депозитный калькулятор'!$B$26:$F$70,5,0),0))</f>
        <v>0</v>
      </c>
      <c r="O24" s="146">
        <f>IF(F24&gt;'депозитный калькулятор'!$D$8," ",IF(F24='депозитный калькулятор'!$D$8,IF(AND($F$24='депозитный калькулятор'!$D$8,'депозитный калькулятор'!$G$13="нет"),-G24-IF(I24=" ",0,I24)-IF(AND(OR('депозитный калькулятор'!$G$7="30/365",'депозитный калькулятор'!$G$7="30/360"),'депозитный калькулятор'!$G$10="в начале срока"),I23,0)-L24+M24-N24,-G24-IF(I24=" ",0,I24)-L24+M24-N24),IF('депозитный калькулятор'!$G$13="есть",M24-N24+IF('депозитный калькулятор'!$G$14="есть",0,-L24),-IF(I24=" ",0,I24)-IF(AND(OR('депозитный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срока"),I23,0)+M24-N24+IF('депозитный калькулятор'!$G$14="есть",0,-L24))))</f>
        <v>0</v>
      </c>
      <c r="P24" s="147">
        <f>IF(F24&gt;'депозитный калькулятор'!$D$8," ",IF(EOMONTH(F23,0)=F23,0,IF(G24&gt;='депозитный калькулятор'!$G$19,P23,P23+1)))</f>
        <v>0</v>
      </c>
      <c r="Q24" s="138">
        <f>IF(F24=" "," ",IF(AND(OR('депозитный калькулятор'!$G$7="30/365",'депозитный калькулятор'!$G$7="30/360"),AND(MONTH(F24)=2,EOMONTH(F24,0)=F24)),IF(DAY(F24)=28,3,2),1)*IF(G24&gt;='депозитный калькулятор'!$G$11,IF(AND('депозитный калькулятор'!$G$7="факт/факт",MOD(YEAR(F24),4)=0),G24*'депозитный калькулятор'!$D$11/366,G24*'депозитный калькулятор'!$G$8),0))</f>
        <v>361.11111111111114</v>
      </c>
      <c r="R24" s="148"/>
      <c r="S24" s="62">
        <f t="shared" ref="S24:S87" ca="1" si="2">IF(S23&lt;COUNTIFS($B$23:$B$1023,"&gt;0"),S23+1," ")</f>
        <v>2</v>
      </c>
      <c r="T24" s="149">
        <f ca="1">IF(S24=" "," ",IF('депозитный калькулятор'!$G$7="30/360",DAYS360(U23,IF(DAY(U24)=31,U24-1,U24))+IF(AND(MONTH(U24)=2,U24=EOMONTH(U24,0)),30-DAY(EOMONTH(U24,0)))+T23,VLOOKUP(S24,$C$22:$F$1023,2,0)))</f>
        <v>10</v>
      </c>
      <c r="U24" s="64">
        <f t="shared" ca="1" si="0"/>
        <v>45302</v>
      </c>
      <c r="V24" s="150">
        <f t="shared" ref="V24:V87" ca="1" si="3">VLOOKUP(U24,$F$24:$O$1023,10)</f>
        <v>-1003616.9848209595</v>
      </c>
      <c r="W24" s="62">
        <f t="shared" ref="W24:W87" ca="1" si="4">IF(S24=" "," ",VLOOKUP(U24,$F$24:$N$1023,8))</f>
        <v>0</v>
      </c>
      <c r="X24" s="141">
        <f ca="1">IF(S24=" "," ",IFERROR(VLOOKUP(U24,$F$23:$N$1023,7)+VLOOKUP(U24,$F$23:$N$1023,9)+IF(AND('депозитный калькулятор'!$G$13="нет",U24&lt;&gt;'депозитный калькулятор'!$D$8),VLOOKUP(U24,$F$23:$N$1023,4),0),0)+IF(U24='депозитный калькулятор'!$D$8,VLOOKUP(U24,$F$23:$N$1023,2)+VLOOKUP(U24,$F$23:$N$1023,4),0))</f>
        <v>1003616.9848209595</v>
      </c>
      <c r="Y24" s="142">
        <f ca="1">IF(S24=" "," ",W24/(1+'депозитный калькулятор'!$K$8)^(T24/IF('депозитный калькулятор'!$G$7="30/360",360,365)))</f>
        <v>0</v>
      </c>
      <c r="Z24" s="142">
        <f ca="1">IF(S24=" "," ",X24/(1+'депозитный калькулятор'!$K$8)^(T24/IF('депозитный калькулятор'!$G$7="30/360",360,365)))</f>
        <v>1003616.9848209595</v>
      </c>
      <c r="AA24" s="151"/>
      <c r="AB24" s="151"/>
      <c r="AC24" s="152"/>
      <c r="AD24" s="152"/>
      <c r="AF24" s="153"/>
    </row>
    <row r="25" spans="1:34" ht="15.5" x14ac:dyDescent="0.35">
      <c r="A25" s="41" t="str">
        <f>IF(F25=" "," ",IF(OR('депозитный калькулятор'!$G$7="30/365",'депозитный калькулятор'!$G$7="30/360"),IF(AND(MONTH(F25)=2,DAY(F25)=DAY(EOMONTH(F25,0))),30-DAY(EOMONTH(F25,0)),IF(DAY(F25)=31,1," "))," "))</f>
        <v xml:space="preserve"> </v>
      </c>
      <c r="B25" s="130">
        <f t="shared" si="1"/>
        <v>0</v>
      </c>
      <c r="C25" s="130" t="str">
        <f>IF(OR(B25=0,B25=" ")," ",SUM($B$23:B25))</f>
        <v xml:space="preserve"> </v>
      </c>
      <c r="D25" s="62">
        <f>IF(D24=" "," ",IF(OR(F24='депозитный калькулятор'!$D$8,F24=" ")," ",D24+1))</f>
        <v>2</v>
      </c>
      <c r="E25" s="130">
        <f>IF(OR(F24='депозитный калькулятор'!$D$8,F24=" ")," ",IF(EOMONTH(F24,0)=F24,1,E24+1))</f>
        <v>2</v>
      </c>
      <c r="F25" s="64">
        <f>IF(F24=" "," ",IF(F24='депозитный калькулятор'!$D$8," ",F24+1))</f>
        <v>45294</v>
      </c>
      <c r="G25" s="145">
        <f ca="1" xml:space="preserve"> IF(F25&gt;'депозитный калькулятор'!$D$8," ",IF('депозитный калькулятор'!$G$13="есть",IF('депозитный калькулятор'!$G$14="есть",G24+IF(I24=" ",0,I24)-J25-K25+L25+M25-N25,G24+IF(I24=" ",0,I24)-J25-K25+M25-N25),IF('депозитный калькулятор'!$G$14="есть",G24-J25-K25+L25+M25-N25,G24-J25-K25+M25-N25)))</f>
        <v>1000361.1111111111</v>
      </c>
      <c r="H25" s="133">
        <f ca="1">IF(F25&gt;'депозитный калькулятор'!$D$8," ",IF(AND(OR('депозитный калькулятор'!$G$7="30/365",'депозитный калькулятор'!$G$7="30/360"),AND(MONTH(F25)=2,EOMONTH(F25,0)=F25)),IF(DAY(F25)=28,3*G25*'депозитный калькулятор'!$G$8,2*G25*'депозитный калькулятор'!$G$8),IF(AND(OR('депозитный калькулятор'!$G$7="30/365",'депозитный калькулятор'!$G$7="30/360"),DAY(F25)=31)," ",IF(AND('депозитный калькулятор'!$G$7="факт/факт",MOD(YEAR(F25),4)=0),G25*'депозитный калькулятор'!$D$11/366,G25*'депозитный калькулятор'!$G$8))))</f>
        <v>361.24151234567904</v>
      </c>
      <c r="I25" s="134">
        <f ca="1">IF(F25=" "," ",IF('депозитный калькулятор'!$G$10="ежедневное",H25,IF(AND('депозитный калькулятор'!$G$10="еженедельное",WEEKDAY(F25,2)=7),SUM(OFFSET(H25,-6,0):H25),IF(AND('депозитный калькулятор'!$G$10="еженедельное",F25='депозитный калькулятор'!$D$8),SUM($H$23:H25)-SUM($I$23:I24),IF(AND('депозитный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недели",WEEKDAY(F25,2)=7),MIN(OFFSET(H25,-6,0):H25)*(COUNTIF(OFFSET(H25,-6,0):H25,"&gt;0")+SUMIF(OFFSET(A25,-WEEKDAY(F25,2),0):A25,"=2",OFFSET(A25,-WEEKDAY(F25,2),0):A25)),IF(AND('депозитный калькулятор'!$G$10="еженедельное, на минимальную сумму зафиксированную в течение недели",F25='депозитный калькулятор'!$D$8,WEEKDAY(F25,2)&lt;&gt;7),MIN(OFFSET(H25,-WEEKDAY(F25,2),0):H25)*(COUNTIF(OFFSET(H25,-WEEKDAY(F25,2)+1,0):H25,"&gt;0")+SUM(OFFSET(A25,-WEEKDAY(F25,2),0):A25)),IF(AND('депозитный калькулятор'!$G$10="ежемесячное (в конце месяца)",F25='депозитный калькулятор'!$D$8,EOMONTH(F25,0)&lt;&gt;F25),IF('депозитный калькулятор'!$F$1=1,$H$24,SUM($H$23:H25)-SUM($I$23:I24)),IF(AND('депозитный калькулятор'!$G$10="ежемесячное (в конце месяца)",EOMONTH(F25,0)=F25),SUM($H$23:H25)-SUM($I$23:I24),IF(AND('депозитный калькулятор'!$G$10="ежемесячное (по дням открытия вклада)",F25='депозитный калькулятор'!$D$8,DAY('депозитный калькулятор'!$D$7)&lt;&gt;DAY(F25)),IF('депозитный калькулятор'!$F$1=1,$H$24,SUM($H$23:H25)-SUM($I$23:I24)),IF(AND('депозитный калькулятор'!$G$10="ежемесячное (по дням открытия вклада)",DAY('депозитный калькулятор'!$D$7)=DAY(F25)),SUM($H$23:H25)-SUM($I$23:I24),IF(AND('депозитный калькулятор'!$G$10="ежемесячное, на минимальную сумму зафиксированную в течение месяца",F25='депозитный калькулятор'!$D$8,EOMONTH(F25,0)&lt;&gt;F25),IF('депозитный калькулятор'!$F$1=1,$H$24,IF(AND(OR('депозитный калькулятор'!$G$7="30/365",'депозитный калькулятор'!$G$7="30/360"),DAY(F25)=31),0,MIN(OFFSET(H25,-E25+1,0):H25)*(E25+SUMIF(OFFSET(A25,-E25+1,0):A25,"=2",OFFSET(A25,-E25+1,0):A25)))),IF(AND('депозитный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калькулятор'!$G$7="30/360"),DAY(EOMONTH(F25,0))=31),EOMONTH(F25,0)-1=F25,EOMONTH(F25,0)=F25)),IF(IF(AND(OR('депозитный калькулятор'!$G$7="30/365",'депозитный калькулятор'!$G$7="30/360"),DAY(EOMONTH($F$23,0))=31),F25=EOMONTH($F$23,0)-1,F25=EOMONTH($F$23,0)),MIN(OFFSET(H25,-(DAY(F25)-DAY($F$23)),0):H25)*E25,MIN(OFFSET(H25,-(DAY(F25)-1),0):H25)*IF(AND(OR('депозитный калькулятор'!$G$7="30/365",'депозитный калькулятор'!$G$7="30/360"),DAY(F25)&lt;30),30,DAY(F25))),IF(AND('депозитный калькулятор'!$G$10="ежемесячное, на средний остаток в течение месяца, при условии что остаток больше чем ограничение",F25='депозитный калькулятор'!$D$8,EOMONTH(F25,0)&lt;&gt;F25),IF('депозитный калькулятор'!$F$1=1,$H$24,SUM(OFFSET(Q25,-E25+1,0):Q25)),IF(AND('депозитный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калькулятор'!$G$7="30/360"),DAY(EOMONTH(F25,0))=31),EOMONTH(F25,0)-1=F25,EOMONTH(F25,0)=F25)),IF(IF(AND(OR('депозитный калькулятор'!$G$7="30/365",'депозитный калькулятор'!$G$7="30/360"),DAY(EOMONTH($F$24,0))=31),F25=EOMONTH($F$24,0)-1,F25=EOMONTH($F$24,0)),SUM(OFFSET(Q25,-E25+1,0):Q25),SUM(OFFSET(Q25,-E25+1,0):Q25)),IF('депозитный калькулятор'!$G$10="ежеквартальное",IF(F25&gt;'депозитный калькулятор'!$D$8," ",IF(AND(EOMONTH(F25,0)=F25,OR(MONTH(F25)=3,MONTH(F25)=6,MONTH(F25)=9,MONTH(F25)=12)),IF(EDATE(F25,-3)&lt;'депозитный калькулятор'!$D$7,SUM($H$23:H25),IF(MOD(YEAR(F25),4)=0,IF(AND(EOMONTH(F25,0)=F25,OR(MONTH(F25)=3,MONTH(F25)=6)),SUM(OFFSET(H25,-90,0):H25),IF(AND(EOMONTH(F25,0)=F25,OR(MONTH(F25)=9,MONTH(F25)=12)),SUM(OFFSET(H25,-91,0):H25))),IF(AND(EOMONTH(F25,0)=F25,MONTH(F25)=3),SUM(OFFSET(H25,-89,0):H25),IF(AND(EOMONTH(F25,0)=F25,MONTH(F25)=6),SUM(OFFSET(H25,-90,0):H25),IF(AND(EOMONTH(F25,0)=F25,OR(MONTH(F25)=9,MONTH(F25)=12)),SUM(OFFSET(H25,-91,0):H25)))))),IF(F25='депозитный калькулятор'!$D$8,SUM($H$23:H25)-SUM($I$23:I24),0))),IF('депозитный калькулятор'!$G$10="ежегодное",IF(F25&gt;'депозитный калькулятор'!$D$8," ",IF(F25='депозитный калькулятор'!$D$8,SUM($H$23:H25)-SUM($I$23:I24),IF(AND(EOMONTH(F25,0)=F25,MONTH(F25)=12),IF(MOD(YEAR(F24),4)=0,IF(F25-'депозитный калькулятор'!$D$7&lt;366,SUM($H$23:H25),SUM(OFFSET(H25,-365,0):H25)),IF(F25-'депозитный калькулятор'!$D$7&lt;365,SUM($H$23:H25),SUM(OFFSET(H25,-364,0):H25))),0))),IF(AND('депозитный калькулятор'!$G$10="в конце срока",'депозитный калькулятор'!$D$8=F25),SUM($H$23:H25),0))))))))))))))))))</f>
        <v>361.24151234567904</v>
      </c>
      <c r="J25" s="59">
        <f>IF(F25&gt;'депозитный калькулятор'!$D$8," ",IF('депозитный калькулятор'!$G$16="нет",0,IF(AND('депозитный калькулятор'!$G$17="разовая (в конце срока)",F25='депозитный калькулятор'!$D$8),'депозитный калькулятор'!$G$18,IF(AND('депозитный калькулятор'!$G$17="ежемесячная",EOMONTH(F24,0)=F24),'депозитный калькулятор'!$G$18,IF(AND('депозитный калькулятор'!$G$17="ежегодная",DAY(F24)=31,MONTH(F24)=12),'депозитный калькулятор'!$G$18,IF(AND('депозитный калькулятор'!$G$17="ежемесячная в зависимости от остатка",EOMONTH(F24,0)=F24,P24&gt;0),'депозитный калькулятор'!$G$18,IF(AND('депозитный калькулятор'!$G$17="ежегодная в зависимости от остатка",DAY(F24)=31,MONTH(F24)=12,P24&gt;0),'депозитный калькулятор'!$G$18,0)))))))</f>
        <v>0</v>
      </c>
      <c r="K25" s="135">
        <f>IF($F25=" "," ",IFERROR(VLOOKUP($F25,'депозитный калькулятор'!$B$26:$F$70,2,0),0))</f>
        <v>0</v>
      </c>
      <c r="L25" s="135">
        <f>IF($F25=" "," ",IFERROR(VLOOKUP($F25,'депозитный калькулятор'!$B$26:$F$70,3,0),0))</f>
        <v>0</v>
      </c>
      <c r="M25" s="135">
        <f>IF($F25=" "," ",IFERROR(VLOOKUP($F25,'депозитный калькулятор'!$B$26:$F$70,4,0),0))</f>
        <v>0</v>
      </c>
      <c r="N25" s="135">
        <f>IF($F25=" "," ",IFERROR(VLOOKUP($F25,'депозитный калькулятор'!$B$26:$F$70,5,0),0))</f>
        <v>0</v>
      </c>
      <c r="O25" s="146">
        <f>IF(F25&gt;'депозитный калькулятор'!$D$8," ",IF(F25='депозитный калькулятор'!$D$8,IF(AND($F$24='депозитный калькулятор'!$D$8,'депозитный калькулятор'!$G$13="нет"),-G25-IF(I25=" ",0,I25)-IF(AND(OR('депозитный калькулятор'!$G$7="30/365",'депозитный калькулятор'!$G$7="30/360"),'депозитный калькулятор'!$G$10="в начале срока"),I24,0)-L25+M25-N25,-G25-IF(I25=" ",0,I25)-L25+M25-N25),IF('депозитный калькулятор'!$G$13="есть",M25-N25+IF('депозитный калькулятор'!$G$14="есть",0,-L25),-IF(I25=" ",0,I25)-IF(AND(OR('депозитный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срока"),I24,0)+M25-N25+IF('депозитный калькулятор'!$G$14="есть",0,-L25))))</f>
        <v>0</v>
      </c>
      <c r="P25" s="147">
        <f ca="1">IF(F25&gt;'депозитный калькулятор'!$D$8," ",IF(EOMONTH(F24,0)=F24,0,IF(G25&gt;='депозитный калькулятор'!$G$19,P24,P24+1)))</f>
        <v>0</v>
      </c>
      <c r="Q25" s="138">
        <f ca="1">IF(F25=" "," ",IF(AND(OR('депозитный калькулятор'!$G$7="30/365",'депозитный калькулятор'!$G$7="30/360"),AND(MONTH(F25)=2,EOMONTH(F25,0)=F25)),IF(DAY(F25)=28,3,2),1)*IF(G25&gt;='депозитный калькулятор'!$G$11,IF(AND('депозитный калькулятор'!$G$7="факт/факт",MOD(YEAR(F25),4)=0),G25*'депозитный калькулятор'!$D$11/366,G25*'депозитный калькулятор'!$G$8),0))</f>
        <v>361.24151234567904</v>
      </c>
      <c r="R25" s="148"/>
      <c r="S25" s="62" t="str">
        <f t="shared" ca="1" si="2"/>
        <v xml:space="preserve"> </v>
      </c>
      <c r="T25" s="149" t="str">
        <f ca="1">IF(S25=" "," ",IF('депозитный калькулятор'!$G$7="30/360",DAYS360(U24,IF(DAY(U25)=31,U25-1,U25))+IF(AND(MONTH(U25)=2,U25=EOMONTH(U25,0)),30-DAY(EOMONTH(U25,0)))+T24,VLOOKUP(S25,$C$22:$F$1023,2,0)))</f>
        <v xml:space="preserve"> </v>
      </c>
      <c r="U25" s="64" t="str">
        <f t="shared" ca="1" si="0"/>
        <v xml:space="preserve"> </v>
      </c>
      <c r="V25" s="150" t="str">
        <f t="shared" ca="1" si="3"/>
        <v xml:space="preserve"> </v>
      </c>
      <c r="W25" s="62" t="str">
        <f t="shared" ca="1" si="4"/>
        <v xml:space="preserve"> </v>
      </c>
      <c r="X25" s="141" t="str">
        <f ca="1">IF(S25=" "," ",IFERROR(VLOOKUP(U25,$F$23:$N$1023,7)+VLOOKUP(U25,$F$23:$N$1023,9)+IF(AND('депозитный калькулятор'!$G$13="нет",U25&lt;&gt;'депозитный калькулятор'!$D$8),VLOOKUP(U25,$F$23:$N$1023,4),0),0)+IF(U25='депозитный калькулятор'!$D$8,VLOOKUP(U25,$F$23:$N$1023,2)+VLOOKUP(U25,$F$23:$N$1023,4),0))</f>
        <v xml:space="preserve"> </v>
      </c>
      <c r="Y25" s="142" t="str">
        <f ca="1">IF(S25=" "," ",W25/(1+'депозитный калькулятор'!$K$8)^(T25/IF('депозитный калькулятор'!$G$7="30/360",360,365)))</f>
        <v xml:space="preserve"> </v>
      </c>
      <c r="Z25" s="142" t="str">
        <f ca="1">IF(S25=" "," ",X25/(1+'депозитный калькулятор'!$K$8)^(T25/IF('депозитный калькулятор'!$G$7="30/360",360,365)))</f>
        <v xml:space="preserve"> </v>
      </c>
      <c r="AA25" s="151"/>
      <c r="AB25" s="151"/>
      <c r="AC25" s="154"/>
      <c r="AD25" s="155"/>
    </row>
    <row r="26" spans="1:34" ht="15.5" x14ac:dyDescent="0.35">
      <c r="A26" s="41" t="str">
        <f>IF(F26=" "," ",IF(OR('депозитный калькулятор'!$G$7="30/365",'депозитный калькулятор'!$G$7="30/360"),IF(AND(MONTH(F26)=2,DAY(F26)=DAY(EOMONTH(F26,0))),30-DAY(EOMONTH(F26,0)),IF(DAY(F26)=31,1," "))," "))</f>
        <v xml:space="preserve"> </v>
      </c>
      <c r="B26" s="130">
        <f t="shared" si="1"/>
        <v>0</v>
      </c>
      <c r="C26" s="130" t="str">
        <f>IF(OR(B26=0,B26=" ")," ",SUM($B$23:B26))</f>
        <v xml:space="preserve"> </v>
      </c>
      <c r="D26" s="62">
        <f>IF(D25=" "," ",IF(OR(F25='депозитный калькулятор'!$D$8,F25=" ")," ",D25+1))</f>
        <v>3</v>
      </c>
      <c r="E26" s="130">
        <f>IF(OR(F25='депозитный калькулятор'!$D$8,F25=" ")," ",IF(EOMONTH(F25,0)=F25,1,E25+1))</f>
        <v>3</v>
      </c>
      <c r="F26" s="64">
        <f>IF(F25=" "," ",IF(F25='депозитный калькулятор'!$D$8," ",F25+1))</f>
        <v>45295</v>
      </c>
      <c r="G26" s="145">
        <f ca="1" xml:space="preserve"> IF(F26&gt;'депозитный калькулятор'!$D$8," ",IF('депозитный калькулятор'!$G$13="есть",IF('депозитный калькулятор'!$G$14="есть",G25+IF(I25=" ",0,I25)-J26-K26+L26+M26-N26,G25+IF(I25=" ",0,I25)-J26-K26+M26-N26),IF('депозитный калькулятор'!$G$14="есть",G25-J26-K26+L26+M26-N26,G25-J26-K26+M26-N26)))</f>
        <v>1000722.3526234569</v>
      </c>
      <c r="H26" s="133">
        <f ca="1">IF(F26&gt;'депозитный калькулятор'!$D$8," ",IF(AND(OR('депозитный калькулятор'!$G$7="30/365",'депозитный калькулятор'!$G$7="30/360"),AND(MONTH(F26)=2,EOMONTH(F26,0)=F26)),IF(DAY(F26)=28,3*G26*'депозитный калькулятор'!$G$8,2*G26*'депозитный калькулятор'!$G$8),IF(AND(OR('депозитный калькулятор'!$G$7="30/365",'депозитный калькулятор'!$G$7="30/360"),DAY(F26)=31)," ",IF(AND('депозитный калькулятор'!$G$7="факт/факт",MOD(YEAR(F26),4)=0),G26*'депозитный калькулятор'!$D$11/366,G26*'депозитный калькулятор'!$G$8))))</f>
        <v>361.37196066958165</v>
      </c>
      <c r="I26" s="134">
        <f ca="1">IF(F26=" "," ",IF('депозитный калькулятор'!$G$10="ежедневное",H26,IF(AND('депозитный калькулятор'!$G$10="еженедельное",WEEKDAY(F26,2)=7),SUM(OFFSET(H26,-6,0):H26),IF(AND('депозитный калькулятор'!$G$10="еженедельное",F26='депозитный калькулятор'!$D$8),SUM($H$23:H26)-SUM($I$23:I25),IF(AND('депозитный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недели",WEEKDAY(F26,2)=7),MIN(OFFSET(H26,-6,0):H26)*(COUNTIF(OFFSET(H26,-6,0):H26,"&gt;0")+SUMIF(OFFSET(A26,-WEEKDAY(F26,2),0):A26,"=2",OFFSET(A26,-WEEKDAY(F26,2),0):A26)),IF(AND('депозитный калькулятор'!$G$10="еженедельное, на минимальную сумму зафиксированную в течение недели",F26='депозитный калькулятор'!$D$8,WEEKDAY(F26,2)&lt;&gt;7),MIN(OFFSET(H26,-WEEKDAY(F26,2),0):H26)*(COUNTIF(OFFSET(H26,-WEEKDAY(F26,2)+1,0):H26,"&gt;0")+SUM(OFFSET(A26,-WEEKDAY(F26,2),0):A26)),IF(AND('депозитный калькулятор'!$G$10="ежемесячное (в конце месяца)",F26='депозитный калькулятор'!$D$8,EOMONTH(F26,0)&lt;&gt;F26),IF('депозитный калькулятор'!$F$1=1,$H$24,SUM($H$23:H26)-SUM($I$23:I25)),IF(AND('депозитный калькулятор'!$G$10="ежемесячное (в конце месяца)",EOMONTH(F26,0)=F26),SUM($H$23:H26)-SUM($I$23:I25),IF(AND('депозитный калькулятор'!$G$10="ежемесячное (по дням открытия вклада)",F26='депозитный калькулятор'!$D$8,DAY('депозитный калькулятор'!$D$7)&lt;&gt;DAY(F26)),IF('депозитный калькулятор'!$F$1=1,$H$24,SUM($H$23:H26)-SUM($I$23:I25)),IF(AND('депозитный калькулятор'!$G$10="ежемесячное (по дням открытия вклада)",DAY('депозитный калькулятор'!$D$7)=DAY(F26)),SUM($H$23:H26)-SUM($I$23:I25),IF(AND('депозитный калькулятор'!$G$10="ежемесячное, на минимальную сумму зафиксированную в течение месяца",F26='депозитный калькулятор'!$D$8,EOMONTH(F26,0)&lt;&gt;F26),IF('депозитный калькулятор'!$F$1=1,$H$24,IF(AND(OR('депозитный калькулятор'!$G$7="30/365",'депозитный калькулятор'!$G$7="30/360"),DAY(F26)=31),0,MIN(OFFSET(H26,-E26+1,0):H26)*(E26+SUMIF(OFFSET(A26,-E26+1,0):A26,"=2",OFFSET(A26,-E26+1,0):A26)))),IF(AND('депозитный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калькулятор'!$G$7="30/360"),DAY(EOMONTH(F26,0))=31),EOMONTH(F26,0)-1=F26,EOMONTH(F26,0)=F26)),IF(IF(AND(OR('депозитный калькулятор'!$G$7="30/365",'депозитный калькулятор'!$G$7="30/360"),DAY(EOMONTH($F$23,0))=31),F26=EOMONTH($F$23,0)-1,F26=EOMONTH($F$23,0)),MIN(OFFSET(H26,-(DAY(F26)-DAY($F$23)),0):H26)*E26,MIN(OFFSET(H26,-(DAY(F26)-1),0):H26)*IF(AND(OR('депозитный калькулятор'!$G$7="30/365",'депозитный калькулятор'!$G$7="30/360"),DAY(F26)&lt;30),30,DAY(F26))),IF(AND('депозитный калькулятор'!$G$10="ежемесячное, на средний остаток в течение месяца, при условии что остаток больше чем ограничение",F26='депозитный калькулятор'!$D$8,EOMONTH(F26,0)&lt;&gt;F26),IF('депозитный калькулятор'!$F$1=1,$H$24,SUM(OFFSET(Q26,-E26+1,0):Q26)),IF(AND('депозитный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калькулятор'!$G$7="30/360"),DAY(EOMONTH(F26,0))=31),EOMONTH(F26,0)-1=F26,EOMONTH(F26,0)=F26)),IF(IF(AND(OR('депозитный калькулятор'!$G$7="30/365",'депозитный калькулятор'!$G$7="30/360"),DAY(EOMONTH($F$24,0))=31),F26=EOMONTH($F$24,0)-1,F26=EOMONTH($F$24,0)),SUM(OFFSET(Q26,-E26+1,0):Q26),SUM(OFFSET(Q26,-E26+1,0):Q26)),IF('депозитный калькулятор'!$G$10="ежеквартальное",IF(F26&gt;'депозитный калькулятор'!$D$8," ",IF(AND(EOMONTH(F26,0)=F26,OR(MONTH(F26)=3,MONTH(F26)=6,MONTH(F26)=9,MONTH(F26)=12)),IF(EDATE(F26,-3)&lt;'депозитный калькулятор'!$D$7,SUM($H$23:H26),IF(MOD(YEAR(F26),4)=0,IF(AND(EOMONTH(F26,0)=F26,OR(MONTH(F26)=3,MONTH(F26)=6)),SUM(OFFSET(H26,-90,0):H26),IF(AND(EOMONTH(F26,0)=F26,OR(MONTH(F26)=9,MONTH(F26)=12)),SUM(OFFSET(H26,-91,0):H26))),IF(AND(EOMONTH(F26,0)=F26,MONTH(F26)=3),SUM(OFFSET(H26,-89,0):H26),IF(AND(EOMONTH(F26,0)=F26,MONTH(F26)=6),SUM(OFFSET(H26,-90,0):H26),IF(AND(EOMONTH(F26,0)=F26,OR(MONTH(F26)=9,MONTH(F26)=12)),SUM(OFFSET(H26,-91,0):H26)))))),IF(F26='депозитный калькулятор'!$D$8,SUM($H$23:H26)-SUM($I$23:I25),0))),IF('депозитный калькулятор'!$G$10="ежегодное",IF(F26&gt;'депозитный калькулятор'!$D$8," ",IF(F26='депозитный калькулятор'!$D$8,SUM($H$23:H26)-SUM($I$23:I25),IF(AND(EOMONTH(F26,0)=F26,MONTH(F26)=12),IF(MOD(YEAR(F25),4)=0,IF(F26-'депозитный калькулятор'!$D$7&lt;366,SUM($H$23:H26),SUM(OFFSET(H26,-365,0):H26)),IF(F26-'депозитный калькулятор'!$D$7&lt;365,SUM($H$23:H26),SUM(OFFSET(H26,-364,0):H26))),0))),IF(AND('депозитный калькулятор'!$G$10="в конце срока",'депозитный калькулятор'!$D$8=F26),SUM($H$23:H26),0))))))))))))))))))</f>
        <v>361.37196066958165</v>
      </c>
      <c r="J26" s="59">
        <f ca="1">IF(F26&gt;'депозитный калькулятор'!$D$8," ",IF('депозитный калькулятор'!$G$16="нет",0,IF(AND('депозитный калькулятор'!$G$17="разовая (в конце срока)",F26='депозитный калькулятор'!$D$8),'депозитный калькулятор'!$G$18,IF(AND('депозитный калькулятор'!$G$17="ежемесячная",EOMONTH(F25,0)=F25),'депозитный калькулятор'!$G$18,IF(AND('депозитный калькулятор'!$G$17="ежегодная",DAY(F25)=31,MONTH(F25)=12),'депозитный калькулятор'!$G$18,IF(AND('депозитный калькулятор'!$G$17="ежемесячная в зависимости от остатка",EOMONTH(F25,0)=F25,P25&gt;0),'депозитный калькулятор'!$G$18,IF(AND('депозитный калькулятор'!$G$17="ежегодная в зависимости от остатка",DAY(F25)=31,MONTH(F25)=12,P25&gt;0),'депозитный калькулятор'!$G$18,0)))))))</f>
        <v>0</v>
      </c>
      <c r="K26" s="135">
        <f>IF($F26=" "," ",IFERROR(VLOOKUP($F26,'депозитный калькулятор'!$B$26:$F$70,2,0),0))</f>
        <v>0</v>
      </c>
      <c r="L26" s="135">
        <f>IF($F26=" "," ",IFERROR(VLOOKUP($F26,'депозитный калькулятор'!$B$26:$F$70,3,0),0))</f>
        <v>0</v>
      </c>
      <c r="M26" s="135">
        <f>IF($F26=" "," ",IFERROR(VLOOKUP($F26,'депозитный калькулятор'!$B$26:$F$70,4,0),0))</f>
        <v>0</v>
      </c>
      <c r="N26" s="135">
        <f>IF($F26=" "," ",IFERROR(VLOOKUP($F26,'депозитный калькулятор'!$B$26:$F$70,5,0),0))</f>
        <v>0</v>
      </c>
      <c r="O26" s="146">
        <f>IF(F26&gt;'депозитный калькулятор'!$D$8," ",IF(F26='депозитный калькулятор'!$D$8,IF(AND($F$24='депозитный калькулятор'!$D$8,'депозитный калькулятор'!$G$13="нет"),-G26-IF(I26=" ",0,I26)-IF(AND(OR('депозитный калькулятор'!$G$7="30/365",'депозитный калькулятор'!$G$7="30/360"),'депозитный калькулятор'!$G$10="в начале срока"),I25,0)-L26+M26-N26,-G26-IF(I26=" ",0,I26)-L26+M26-N26),IF('депозитный калькулятор'!$G$13="есть",M26-N26+IF('депозитный калькулятор'!$G$14="есть",0,-L26),-IF(I26=" ",0,I26)-IF(AND(OR('депозитный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срока"),I25,0)+M26-N26+IF('депозитный калькулятор'!$G$14="есть",0,-L26))))</f>
        <v>0</v>
      </c>
      <c r="P26" s="147">
        <f ca="1">IF(F26&gt;'депозитный калькулятор'!$D$8," ",IF(EOMONTH(F25,0)=F25,0,IF(G26&gt;='депозитный калькулятор'!$G$19,P25,P25+1)))</f>
        <v>0</v>
      </c>
      <c r="Q26" s="138">
        <f ca="1">IF(F26=" "," ",IF(AND(OR('депозитный калькулятор'!$G$7="30/365",'депозитный калькулятор'!$G$7="30/360"),AND(MONTH(F26)=2,EOMONTH(F26,0)=F26)),IF(DAY(F26)=28,3,2),1)*IF(G26&gt;='депозитный калькулятор'!$G$11,IF(AND('депозитный калькулятор'!$G$7="факт/факт",MOD(YEAR(F26),4)=0),G26*'депозитный калькулятор'!$D$11/366,G26*'депозитный калькулятор'!$G$8),0))</f>
        <v>361.37196066958165</v>
      </c>
      <c r="R26" s="148"/>
      <c r="S26" s="62" t="str">
        <f t="shared" ca="1" si="2"/>
        <v xml:space="preserve"> </v>
      </c>
      <c r="T26" s="149" t="str">
        <f ca="1">IF(S26=" "," ",IF('депозитный калькулятор'!$G$7="30/360",DAYS360(U25,IF(DAY(U26)=31,U26-1,U26))+IF(AND(MONTH(U26)=2,U26=EOMONTH(U26,0)),30-DAY(EOMONTH(U26,0)))+T25,VLOOKUP(S26,$C$22:$F$1023,2,0)))</f>
        <v xml:space="preserve"> </v>
      </c>
      <c r="U26" s="64" t="str">
        <f t="shared" ca="1" si="0"/>
        <v xml:space="preserve"> </v>
      </c>
      <c r="V26" s="150" t="str">
        <f t="shared" ca="1" si="3"/>
        <v xml:space="preserve"> </v>
      </c>
      <c r="W26" s="62" t="str">
        <f t="shared" ca="1" si="4"/>
        <v xml:space="preserve"> </v>
      </c>
      <c r="X26" s="141" t="str">
        <f ca="1">IF(S26=" "," ",IFERROR(VLOOKUP(U26,$F$23:$N$1023,7)+VLOOKUP(U26,$F$23:$N$1023,9)+IF(AND('депозитный калькулятор'!$G$13="нет",U26&lt;&gt;'депозитный калькулятор'!$D$8),VLOOKUP(U26,$F$23:$N$1023,4),0),0)+IF(U26='депозитный калькулятор'!$D$8,VLOOKUP(U26,$F$23:$N$1023,2)+VLOOKUP(U26,$F$23:$N$1023,4),0))</f>
        <v xml:space="preserve"> </v>
      </c>
      <c r="Y26" s="142" t="str">
        <f ca="1">IF(S26=" "," ",W26/(1+'депозитный калькулятор'!$K$8)^(T26/IF('депозитный калькулятор'!$G$7="30/360",360,365)))</f>
        <v xml:space="preserve"> </v>
      </c>
      <c r="Z26" s="142" t="str">
        <f ca="1">IF(S26=" "," ",X26/(1+'депозитный калькулятор'!$K$8)^(T26/IF('депозитный калькулятор'!$G$7="30/360",360,365)))</f>
        <v xml:space="preserve"> </v>
      </c>
      <c r="AA26" s="151"/>
      <c r="AB26" s="151"/>
      <c r="AC26" s="155"/>
      <c r="AD26" s="155"/>
    </row>
    <row r="27" spans="1:34" ht="15.5" x14ac:dyDescent="0.35">
      <c r="A27" s="41" t="str">
        <f>IF(F27=" "," ",IF(OR('депозитный калькулятор'!$G$7="30/365",'депозитный калькулятор'!$G$7="30/360"),IF(AND(MONTH(F27)=2,DAY(F27)=DAY(EOMONTH(F27,0))),30-DAY(EOMONTH(F27,0)),IF(DAY(F27)=31,1," "))," "))</f>
        <v xml:space="preserve"> </v>
      </c>
      <c r="B27" s="130">
        <f t="shared" si="1"/>
        <v>0</v>
      </c>
      <c r="C27" s="130" t="str">
        <f>IF(OR(B27=0,B27=" ")," ",SUM($B$23:B27))</f>
        <v xml:space="preserve"> </v>
      </c>
      <c r="D27" s="62">
        <f>IF(D26=" "," ",IF(OR(F26='депозитный калькулятор'!$D$8,F26=" ")," ",D26+1))</f>
        <v>4</v>
      </c>
      <c r="E27" s="130">
        <f>IF(OR(F26='депозитный калькулятор'!$D$8,F26=" ")," ",IF(EOMONTH(F26,0)=F26,1,E26+1))</f>
        <v>4</v>
      </c>
      <c r="F27" s="64">
        <f>IF(F26=" "," ",IF(F26='депозитный калькулятор'!$D$8," ",F26+1))</f>
        <v>45296</v>
      </c>
      <c r="G27" s="145">
        <f ca="1" xml:space="preserve"> IF(F27&gt;'депозитный калькулятор'!$D$8," ",IF('депозитный калькулятор'!$G$13="есть",IF('депозитный калькулятор'!$G$14="есть",G26+IF(I26=" ",0,I26)-J27-K27+L27+M27-N27,G26+IF(I26=" ",0,I26)-J27-K27+M27-N27),IF('депозитный калькулятор'!$G$14="есть",G26-J27-K27+L27+M27-N27,G26-J27-K27+M27-N27)))</f>
        <v>1001083.7245841265</v>
      </c>
      <c r="H27" s="133">
        <f ca="1">IF(F27&gt;'депозитный калькулятор'!$D$8," ",IF(AND(OR('депозитный калькулятор'!$G$7="30/365",'депозитный калькулятор'!$G$7="30/360"),AND(MONTH(F27)=2,EOMONTH(F27,0)=F27)),IF(DAY(F27)=28,3*G27*'депозитный калькулятор'!$G$8,2*G27*'депозитный калькулятор'!$G$8),IF(AND(OR('депозитный калькулятор'!$G$7="30/365",'депозитный калькулятор'!$G$7="30/360"),DAY(F27)=31)," ",IF(AND('депозитный калькулятор'!$G$7="факт/факт",MOD(YEAR(F27),4)=0),G27*'депозитный калькулятор'!$D$11/366,G27*'депозитный калькулятор'!$G$8))))</f>
        <v>361.50245609982352</v>
      </c>
      <c r="I27" s="134">
        <f ca="1">IF(F27=" "," ",IF('депозитный калькулятор'!$G$10="ежедневное",H27,IF(AND('депозитный калькулятор'!$G$10="еженедельное",WEEKDAY(F27,2)=7),SUM(OFFSET(H27,-6,0):H27),IF(AND('депозитный калькулятор'!$G$10="еженедельное",F27='депозитный калькулятор'!$D$8),SUM($H$23:H27)-SUM($I$23:I26),IF(AND('депозитный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недели",WEEKDAY(F27,2)=7),MIN(OFFSET(H27,-6,0):H27)*(COUNTIF(OFFSET(H27,-6,0):H27,"&gt;0")+SUMIF(OFFSET(A27,-WEEKDAY(F27,2),0):A27,"=2",OFFSET(A27,-WEEKDAY(F27,2),0):A27)),IF(AND('депозитный калькулятор'!$G$10="еженедельное, на минимальную сумму зафиксированную в течение недели",F27='депозитный калькулятор'!$D$8,WEEKDAY(F27,2)&lt;&gt;7),MIN(OFFSET(H27,-WEEKDAY(F27,2),0):H27)*(COUNTIF(OFFSET(H27,-WEEKDAY(F27,2)+1,0):H27,"&gt;0")+SUM(OFFSET(A27,-WEEKDAY(F27,2),0):A27)),IF(AND('депозитный калькулятор'!$G$10="ежемесячное (в конце месяца)",F27='депозитный калькулятор'!$D$8,EOMONTH(F27,0)&lt;&gt;F27),IF('депозитный калькулятор'!$F$1=1,$H$24,SUM($H$23:H27)-SUM($I$23:I26)),IF(AND('депозитный калькулятор'!$G$10="ежемесячное (в конце месяца)",EOMONTH(F27,0)=F27),SUM($H$23:H27)-SUM($I$23:I26),IF(AND('депозитный калькулятор'!$G$10="ежемесячное (по дням открытия вклада)",F27='депозитный калькулятор'!$D$8,DAY('депозитный калькулятор'!$D$7)&lt;&gt;DAY(F27)),IF('депозитный калькулятор'!$F$1=1,$H$24,SUM($H$23:H27)-SUM($I$23:I26)),IF(AND('депозитный калькулятор'!$G$10="ежемесячное (по дням открытия вклада)",DAY('депозитный калькулятор'!$D$7)=DAY(F27)),SUM($H$23:H27)-SUM($I$23:I26),IF(AND('депозитный калькулятор'!$G$10="ежемесячное, на минимальную сумму зафиксированную в течение месяца",F27='депозитный калькулятор'!$D$8,EOMONTH(F27,0)&lt;&gt;F27),IF('депозитный калькулятор'!$F$1=1,$H$24,IF(AND(OR('депозитный калькулятор'!$G$7="30/365",'депозитный калькулятор'!$G$7="30/360"),DAY(F27)=31),0,MIN(OFFSET(H27,-E27+1,0):H27)*(E27+SUMIF(OFFSET(A27,-E27+1,0):A27,"=2",OFFSET(A27,-E27+1,0):A27)))),IF(AND('депозитный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калькулятор'!$G$7="30/360"),DAY(EOMONTH(F27,0))=31),EOMONTH(F27,0)-1=F27,EOMONTH(F27,0)=F27)),IF(IF(AND(OR('депозитный калькулятор'!$G$7="30/365",'депозитный калькулятор'!$G$7="30/360"),DAY(EOMONTH($F$23,0))=31),F27=EOMONTH($F$23,0)-1,F27=EOMONTH($F$23,0)),MIN(OFFSET(H27,-(DAY(F27)-DAY($F$23)),0):H27)*E27,MIN(OFFSET(H27,-(DAY(F27)-1),0):H27)*IF(AND(OR('депозитный калькулятор'!$G$7="30/365",'депозитный калькулятор'!$G$7="30/360"),DAY(F27)&lt;30),30,DAY(F27))),IF(AND('депозитный калькулятор'!$G$10="ежемесячное, на средний остаток в течение месяца, при условии что остаток больше чем ограничение",F27='депозитный калькулятор'!$D$8,EOMONTH(F27,0)&lt;&gt;F27),IF('депозитный калькулятор'!$F$1=1,$H$24,SUM(OFFSET(Q27,-E27+1,0):Q27)),IF(AND('депозитный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калькулятор'!$G$7="30/360"),DAY(EOMONTH(F27,0))=31),EOMONTH(F27,0)-1=F27,EOMONTH(F27,0)=F27)),IF(IF(AND(OR('депозитный калькулятор'!$G$7="30/365",'депозитный калькулятор'!$G$7="30/360"),DAY(EOMONTH($F$24,0))=31),F27=EOMONTH($F$24,0)-1,F27=EOMONTH($F$24,0)),SUM(OFFSET(Q27,-E27+1,0):Q27),SUM(OFFSET(Q27,-E27+1,0):Q27)),IF('депозитный калькулятор'!$G$10="ежеквартальное",IF(F27&gt;'депозитный калькулятор'!$D$8," ",IF(AND(EOMONTH(F27,0)=F27,OR(MONTH(F27)=3,MONTH(F27)=6,MONTH(F27)=9,MONTH(F27)=12)),IF(EDATE(F27,-3)&lt;'депозитный калькулятор'!$D$7,SUM($H$23:H27),IF(MOD(YEAR(F27),4)=0,IF(AND(EOMONTH(F27,0)=F27,OR(MONTH(F27)=3,MONTH(F27)=6)),SUM(OFFSET(H27,-90,0):H27),IF(AND(EOMONTH(F27,0)=F27,OR(MONTH(F27)=9,MONTH(F27)=12)),SUM(OFFSET(H27,-91,0):H27))),IF(AND(EOMONTH(F27,0)=F27,MONTH(F27)=3),SUM(OFFSET(H27,-89,0):H27),IF(AND(EOMONTH(F27,0)=F27,MONTH(F27)=6),SUM(OFFSET(H27,-90,0):H27),IF(AND(EOMONTH(F27,0)=F27,OR(MONTH(F27)=9,MONTH(F27)=12)),SUM(OFFSET(H27,-91,0):H27)))))),IF(F27='депозитный калькулятор'!$D$8,SUM($H$23:H27)-SUM($I$23:I26),0))),IF('депозитный калькулятор'!$G$10="ежегодное",IF(F27&gt;'депозитный калькулятор'!$D$8," ",IF(F27='депозитный калькулятор'!$D$8,SUM($H$23:H27)-SUM($I$23:I26),IF(AND(EOMONTH(F27,0)=F27,MONTH(F27)=12),IF(MOD(YEAR(F26),4)=0,IF(F27-'депозитный калькулятор'!$D$7&lt;366,SUM($H$23:H27),SUM(OFFSET(H27,-365,0):H27)),IF(F27-'депозитный калькулятор'!$D$7&lt;365,SUM($H$23:H27),SUM(OFFSET(H27,-364,0):H27))),0))),IF(AND('депозитный калькулятор'!$G$10="в конце срока",'депозитный калькулятор'!$D$8=F27),SUM($H$23:H27),0))))))))))))))))))</f>
        <v>361.50245609982352</v>
      </c>
      <c r="J27" s="59">
        <f ca="1">IF(F27&gt;'депозитный калькулятор'!$D$8," ",IF('депозитный калькулятор'!$G$16="нет",0,IF(AND('депозитный калькулятор'!$G$17="разовая (в конце срока)",F27='депозитный калькулятор'!$D$8),'депозитный калькулятор'!$G$18,IF(AND('депозитный калькулятор'!$G$17="ежемесячная",EOMONTH(F26,0)=F26),'депозитный калькулятор'!$G$18,IF(AND('депозитный калькулятор'!$G$17="ежегодная",DAY(F26)=31,MONTH(F26)=12),'депозитный калькулятор'!$G$18,IF(AND('депозитный калькулятор'!$G$17="ежемесячная в зависимости от остатка",EOMONTH(F26,0)=F26,P26&gt;0),'депозитный калькулятор'!$G$18,IF(AND('депозитный калькулятор'!$G$17="ежегодная в зависимости от остатка",DAY(F26)=31,MONTH(F26)=12,P26&gt;0),'депозитный калькулятор'!$G$18,0)))))))</f>
        <v>0</v>
      </c>
      <c r="K27" s="135">
        <f>IF($F27=" "," ",IFERROR(VLOOKUP($F27,'депозитный калькулятор'!$B$26:$F$70,2,0),0))</f>
        <v>0</v>
      </c>
      <c r="L27" s="135">
        <f>IF($F27=" "," ",IFERROR(VLOOKUP($F27,'депозитный калькулятор'!$B$26:$F$70,3,0),0))</f>
        <v>0</v>
      </c>
      <c r="M27" s="135">
        <f>IF($F27=" "," ",IFERROR(VLOOKUP($F27,'депозитный калькулятор'!$B$26:$F$70,4,0),0))</f>
        <v>0</v>
      </c>
      <c r="N27" s="135">
        <f>IF($F27=" "," ",IFERROR(VLOOKUP($F27,'депозитный калькулятор'!$B$26:$F$70,5,0),0))</f>
        <v>0</v>
      </c>
      <c r="O27" s="146">
        <f>IF(F27&gt;'депозитный калькулятор'!$D$8," ",IF(F27='депозитный калькулятор'!$D$8,IF(AND($F$24='депозитный калькулятор'!$D$8,'депозитный калькулятор'!$G$13="нет"),-G27-IF(I27=" ",0,I27)-IF(AND(OR('депозитный калькулятор'!$G$7="30/365",'депозитный калькулятор'!$G$7="30/360"),'депозитный калькулятор'!$G$10="в начале срока"),I26,0)-L27+M27-N27,-G27-IF(I27=" ",0,I27)-L27+M27-N27),IF('депозитный калькулятор'!$G$13="есть",M27-N27+IF('депозитный калькулятор'!$G$14="есть",0,-L27),-IF(I27=" ",0,I27)-IF(AND(OR('депозитный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срока"),I26,0)+M27-N27+IF('депозитный калькулятор'!$G$14="есть",0,-L27))))</f>
        <v>0</v>
      </c>
      <c r="P27" s="147">
        <f ca="1">IF(F27&gt;'депозитный калькулятор'!$D$8," ",IF(EOMONTH(F26,0)=F26,0,IF(G27&gt;='депозитный калькулятор'!$G$19,P26,P26+1)))</f>
        <v>0</v>
      </c>
      <c r="Q27" s="138">
        <f ca="1">IF(F27=" "," ",IF(AND(OR('депозитный калькулятор'!$G$7="30/365",'депозитный калькулятор'!$G$7="30/360"),AND(MONTH(F27)=2,EOMONTH(F27,0)=F27)),IF(DAY(F27)=28,3,2),1)*IF(G27&gt;='депозитный калькулятор'!$G$11,IF(AND('депозитный калькулятор'!$G$7="факт/факт",MOD(YEAR(F27),4)=0),G27*'депозитный калькулятор'!$D$11/366,G27*'депозитный калькулятор'!$G$8),0))</f>
        <v>361.50245609982352</v>
      </c>
      <c r="R27" s="148"/>
      <c r="S27" s="62" t="str">
        <f t="shared" ca="1" si="2"/>
        <v xml:space="preserve"> </v>
      </c>
      <c r="T27" s="149" t="str">
        <f ca="1">IF(S27=" "," ",IF('депозитный калькулятор'!$G$7="30/360",DAYS360(U26,IF(DAY(U27)=31,U27-1,U27))+IF(AND(MONTH(U27)=2,U27=EOMONTH(U27,0)),30-DAY(EOMONTH(U27,0)))+T26,VLOOKUP(S27,$C$22:$F$1023,2,0)))</f>
        <v xml:space="preserve"> </v>
      </c>
      <c r="U27" s="64" t="str">
        <f t="shared" ca="1" si="0"/>
        <v xml:space="preserve"> </v>
      </c>
      <c r="V27" s="150" t="str">
        <f t="shared" ca="1" si="3"/>
        <v xml:space="preserve"> </v>
      </c>
      <c r="W27" s="62" t="str">
        <f t="shared" ca="1" si="4"/>
        <v xml:space="preserve"> </v>
      </c>
      <c r="X27" s="141" t="str">
        <f ca="1">IF(S27=" "," ",IFERROR(VLOOKUP(U27,$F$23:$N$1023,7)+VLOOKUP(U27,$F$23:$N$1023,9)+IF(AND('депозитный калькулятор'!$G$13="нет",U27&lt;&gt;'депозитный калькулятор'!$D$8),VLOOKUP(U27,$F$23:$N$1023,4),0),0)+IF(U27='депозитный калькулятор'!$D$8,VLOOKUP(U27,$F$23:$N$1023,2)+VLOOKUP(U27,$F$23:$N$1023,4),0))</f>
        <v xml:space="preserve"> </v>
      </c>
      <c r="Y27" s="142" t="str">
        <f ca="1">IF(S27=" "," ",W27/(1+'депозитный калькулятор'!$K$8)^(T27/IF('депозитный калькулятор'!$G$7="30/360",360,365)))</f>
        <v xml:space="preserve"> </v>
      </c>
      <c r="Z27" s="142" t="str">
        <f ca="1">IF(S27=" "," ",X27/(1+'депозитный калькулятор'!$K$8)^(T27/IF('депозитный калькулятор'!$G$7="30/360",360,365)))</f>
        <v xml:space="preserve"> </v>
      </c>
      <c r="AA27" s="151"/>
      <c r="AB27" s="151"/>
      <c r="AC27" s="156"/>
      <c r="AD27" s="155"/>
    </row>
    <row r="28" spans="1:34" ht="15.5" x14ac:dyDescent="0.35">
      <c r="A28" s="41" t="str">
        <f>IF(F28=" "," ",IF(OR('депозитный калькулятор'!$G$7="30/365",'депозитный калькулятор'!$G$7="30/360"),IF(AND(MONTH(F28)=2,DAY(F28)=DAY(EOMONTH(F28,0))),30-DAY(EOMONTH(F28,0)),IF(DAY(F28)=31,1," "))," "))</f>
        <v xml:space="preserve"> </v>
      </c>
      <c r="B28" s="130">
        <f t="shared" si="1"/>
        <v>0</v>
      </c>
      <c r="C28" s="130" t="str">
        <f>IF(OR(B28=0,B28=" ")," ",SUM($B$23:B28))</f>
        <v xml:space="preserve"> </v>
      </c>
      <c r="D28" s="62">
        <f>IF(D27=" "," ",IF(OR(F27='депозитный калькулятор'!$D$8,F27=" ")," ",D27+1))</f>
        <v>5</v>
      </c>
      <c r="E28" s="130">
        <f>IF(OR(F27='депозитный калькулятор'!$D$8,F27=" ")," ",IF(EOMONTH(F27,0)=F27,1,E27+1))</f>
        <v>5</v>
      </c>
      <c r="F28" s="64">
        <f>IF(F27=" "," ",IF(F27='депозитный калькулятор'!$D$8," ",F27+1))</f>
        <v>45297</v>
      </c>
      <c r="G28" s="145">
        <f ca="1" xml:space="preserve"> IF(F28&gt;'депозитный калькулятор'!$D$8," ",IF('депозитный калькулятор'!$G$13="есть",IF('депозитный калькулятор'!$G$14="есть",G27+IF(I27=" ",0,I27)-J28-K28+L28+M28-N28,G27+IF(I27=" ",0,I27)-J28-K28+M28-N28),IF('депозитный калькулятор'!$G$14="есть",G27-J28-K28+L28+M28-N28,G27-J28-K28+M28-N28)))</f>
        <v>1001445.2270402263</v>
      </c>
      <c r="H28" s="133">
        <f ca="1">IF(F28&gt;'депозитный калькулятор'!$D$8," ",IF(AND(OR('депозитный калькулятор'!$G$7="30/365",'депозитный калькулятор'!$G$7="30/360"),AND(MONTH(F28)=2,EOMONTH(F28,0)=F28)),IF(DAY(F28)=28,3*G28*'депозитный калькулятор'!$G$8,2*G28*'депозитный калькулятор'!$G$8),IF(AND(OR('депозитный калькулятор'!$G$7="30/365",'депозитный калькулятор'!$G$7="30/360"),DAY(F28)=31)," ",IF(AND('депозитный калькулятор'!$G$7="факт/факт",MOD(YEAR(F28),4)=0),G28*'депозитный калькулятор'!$D$11/366,G28*'депозитный калькулятор'!$G$8))))</f>
        <v>361.63299865341509</v>
      </c>
      <c r="I28" s="134">
        <f ca="1">IF(F28=" "," ",IF('депозитный калькулятор'!$G$10="ежедневное",H28,IF(AND('депозитный калькулятор'!$G$10="еженедельное",WEEKDAY(F28,2)=7),SUM(OFFSET(H28,-6,0):H28),IF(AND('депозитный калькулятор'!$G$10="еженедельное",F28='депозитный калькулятор'!$D$8),SUM($H$23:H28)-SUM($I$23:I27),IF(AND('депозитный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недели",WEEKDAY(F28,2)=7),MIN(OFFSET(H28,-6,0):H28)*(COUNTIF(OFFSET(H28,-6,0):H28,"&gt;0")+SUMIF(OFFSET(A28,-WEEKDAY(F28,2),0):A28,"=2",OFFSET(A28,-WEEKDAY(F28,2),0):A28)),IF(AND('депозитный калькулятор'!$G$10="еженедельное, на минимальную сумму зафиксированную в течение недели",F28='депозитный калькулятор'!$D$8,WEEKDAY(F28,2)&lt;&gt;7),MIN(OFFSET(H28,-WEEKDAY(F28,2),0):H28)*(COUNTIF(OFFSET(H28,-WEEKDAY(F28,2)+1,0):H28,"&gt;0")+SUM(OFFSET(A28,-WEEKDAY(F28,2),0):A28)),IF(AND('депозитный калькулятор'!$G$10="ежемесячное (в конце месяца)",F28='депозитный калькулятор'!$D$8,EOMONTH(F28,0)&lt;&gt;F28),IF('депозитный калькулятор'!$F$1=1,$H$24,SUM($H$23:H28)-SUM($I$23:I27)),IF(AND('депозитный калькулятор'!$G$10="ежемесячное (в конце месяца)",EOMONTH(F28,0)=F28),SUM($H$23:H28)-SUM($I$23:I27),IF(AND('депозитный калькулятор'!$G$10="ежемесячное (по дням открытия вклада)",F28='депозитный калькулятор'!$D$8,DAY('депозитный калькулятор'!$D$7)&lt;&gt;DAY(F28)),IF('депозитный калькулятор'!$F$1=1,$H$24,SUM($H$23:H28)-SUM($I$23:I27)),IF(AND('депозитный калькулятор'!$G$10="ежемесячное (по дням открытия вклада)",DAY('депозитный калькулятор'!$D$7)=DAY(F28)),SUM($H$23:H28)-SUM($I$23:I27),IF(AND('депозитный калькулятор'!$G$10="ежемесячное, на минимальную сумму зафиксированную в течение месяца",F28='депозитный калькулятор'!$D$8,EOMONTH(F28,0)&lt;&gt;F28),IF('депозитный калькулятор'!$F$1=1,$H$24,IF(AND(OR('депозитный калькулятор'!$G$7="30/365",'депозитный калькулятор'!$G$7="30/360"),DAY(F28)=31),0,MIN(OFFSET(H28,-E28+1,0):H28)*(E28+SUMIF(OFFSET(A28,-E28+1,0):A28,"=2",OFFSET(A28,-E28+1,0):A28)))),IF(AND('депозитный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калькулятор'!$G$7="30/360"),DAY(EOMONTH(F28,0))=31),EOMONTH(F28,0)-1=F28,EOMONTH(F28,0)=F28)),IF(IF(AND(OR('депозитный калькулятор'!$G$7="30/365",'депозитный калькулятор'!$G$7="30/360"),DAY(EOMONTH($F$23,0))=31),F28=EOMONTH($F$23,0)-1,F28=EOMONTH($F$23,0)),MIN(OFFSET(H28,-(DAY(F28)-DAY($F$23)),0):H28)*E28,MIN(OFFSET(H28,-(DAY(F28)-1),0):H28)*IF(AND(OR('депозитный калькулятор'!$G$7="30/365",'депозитный калькулятор'!$G$7="30/360"),DAY(F28)&lt;30),30,DAY(F28))),IF(AND('депозитный калькулятор'!$G$10="ежемесячное, на средний остаток в течение месяца, при условии что остаток больше чем ограничение",F28='депозитный калькулятор'!$D$8,EOMONTH(F28,0)&lt;&gt;F28),IF('депозитный калькулятор'!$F$1=1,$H$24,SUM(OFFSET(Q28,-E28+1,0):Q28)),IF(AND('депозитный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калькулятор'!$G$7="30/360"),DAY(EOMONTH(F28,0))=31),EOMONTH(F28,0)-1=F28,EOMONTH(F28,0)=F28)),IF(IF(AND(OR('депозитный калькулятор'!$G$7="30/365",'депозитный калькулятор'!$G$7="30/360"),DAY(EOMONTH($F$24,0))=31),F28=EOMONTH($F$24,0)-1,F28=EOMONTH($F$24,0)),SUM(OFFSET(Q28,-E28+1,0):Q28),SUM(OFFSET(Q28,-E28+1,0):Q28)),IF('депозитный калькулятор'!$G$10="ежеквартальное",IF(F28&gt;'депозитный калькулятор'!$D$8," ",IF(AND(EOMONTH(F28,0)=F28,OR(MONTH(F28)=3,MONTH(F28)=6,MONTH(F28)=9,MONTH(F28)=12)),IF(EDATE(F28,-3)&lt;'депозитный калькулятор'!$D$7,SUM($H$23:H28),IF(MOD(YEAR(F28),4)=0,IF(AND(EOMONTH(F28,0)=F28,OR(MONTH(F28)=3,MONTH(F28)=6)),SUM(OFFSET(H28,-90,0):H28),IF(AND(EOMONTH(F28,0)=F28,OR(MONTH(F28)=9,MONTH(F28)=12)),SUM(OFFSET(H28,-91,0):H28))),IF(AND(EOMONTH(F28,0)=F28,MONTH(F28)=3),SUM(OFFSET(H28,-89,0):H28),IF(AND(EOMONTH(F28,0)=F28,MONTH(F28)=6),SUM(OFFSET(H28,-90,0):H28),IF(AND(EOMONTH(F28,0)=F28,OR(MONTH(F28)=9,MONTH(F28)=12)),SUM(OFFSET(H28,-91,0):H28)))))),IF(F28='депозитный калькулятор'!$D$8,SUM($H$23:H28)-SUM($I$23:I27),0))),IF('депозитный калькулятор'!$G$10="ежегодное",IF(F28&gt;'депозитный калькулятор'!$D$8," ",IF(F28='депозитный калькулятор'!$D$8,SUM($H$23:H28)-SUM($I$23:I27),IF(AND(EOMONTH(F28,0)=F28,MONTH(F28)=12),IF(MOD(YEAR(F27),4)=0,IF(F28-'депозитный калькулятор'!$D$7&lt;366,SUM($H$23:H28),SUM(OFFSET(H28,-365,0):H28)),IF(F28-'депозитный калькулятор'!$D$7&lt;365,SUM($H$23:H28),SUM(OFFSET(H28,-364,0):H28))),0))),IF(AND('депозитный калькулятор'!$G$10="в конце срока",'депозитный калькулятор'!$D$8=F28),SUM($H$23:H28),0))))))))))))))))))</f>
        <v>361.63299865341509</v>
      </c>
      <c r="J28" s="59">
        <f ca="1">IF(F28&gt;'депозитный калькулятор'!$D$8," ",IF('депозитный калькулятор'!$G$16="нет",0,IF(AND('депозитный калькулятор'!$G$17="разовая (в конце срока)",F28='депозитный калькулятор'!$D$8),'депозитный калькулятор'!$G$18,IF(AND('депозитный калькулятор'!$G$17="ежемесячная",EOMONTH(F27,0)=F27),'депозитный калькулятор'!$G$18,IF(AND('депозитный калькулятор'!$G$17="ежегодная",DAY(F27)=31,MONTH(F27)=12),'депозитный калькулятор'!$G$18,IF(AND('депозитный калькулятор'!$G$17="ежемесячная в зависимости от остатка",EOMONTH(F27,0)=F27,P27&gt;0),'депозитный калькулятор'!$G$18,IF(AND('депозитный калькулятор'!$G$17="ежегодная в зависимости от остатка",DAY(F27)=31,MONTH(F27)=12,P27&gt;0),'депозитный калькулятор'!$G$18,0)))))))</f>
        <v>0</v>
      </c>
      <c r="K28" s="135">
        <f>IF($F28=" "," ",IFERROR(VLOOKUP($F28,'депозитный калькулятор'!$B$26:$F$70,2,0),0))</f>
        <v>0</v>
      </c>
      <c r="L28" s="135">
        <f>IF($F28=" "," ",IFERROR(VLOOKUP($F28,'депозитный калькулятор'!$B$26:$F$70,3,0),0))</f>
        <v>0</v>
      </c>
      <c r="M28" s="135">
        <f>IF($F28=" "," ",IFERROR(VLOOKUP($F28,'депозитный калькулятор'!$B$26:$F$70,4,0),0))</f>
        <v>0</v>
      </c>
      <c r="N28" s="135">
        <f>IF($F28=" "," ",IFERROR(VLOOKUP($F28,'депозитный калькулятор'!$B$26:$F$70,5,0),0))</f>
        <v>0</v>
      </c>
      <c r="O28" s="146">
        <f>IF(F28&gt;'депозитный калькулятор'!$D$8," ",IF(F28='депозитный калькулятор'!$D$8,IF(AND($F$24='депозитный калькулятор'!$D$8,'депозитный калькулятор'!$G$13="нет"),-G28-IF(I28=" ",0,I28)-IF(AND(OR('депозитный калькулятор'!$G$7="30/365",'депозитный калькулятор'!$G$7="30/360"),'депозитный калькулятор'!$G$10="в начале срока"),I27,0)-L28+M28-N28,-G28-IF(I28=" ",0,I28)-L28+M28-N28),IF('депозитный калькулятор'!$G$13="есть",M28-N28+IF('депозитный калькулятор'!$G$14="есть",0,-L28),-IF(I28=" ",0,I28)-IF(AND(OR('депозитный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срока"),I27,0)+M28-N28+IF('депозитный калькулятор'!$G$14="есть",0,-L28))))</f>
        <v>0</v>
      </c>
      <c r="P28" s="147">
        <f ca="1">IF(F28&gt;'депозитный калькулятор'!$D$8," ",IF(EOMONTH(F27,0)=F27,0,IF(G28&gt;='депозитный калькулятор'!$G$19,P27,P27+1)))</f>
        <v>0</v>
      </c>
      <c r="Q28" s="138">
        <f ca="1">IF(F28=" "," ",IF(AND(OR('депозитный калькулятор'!$G$7="30/365",'депозитный калькулятор'!$G$7="30/360"),AND(MONTH(F28)=2,EOMONTH(F28,0)=F28)),IF(DAY(F28)=28,3,2),1)*IF(G28&gt;='депозитный калькулятор'!$G$11,IF(AND('депозитный калькулятор'!$G$7="факт/факт",MOD(YEAR(F28),4)=0),G28*'депозитный калькулятор'!$D$11/366,G28*'депозитный калькулятор'!$G$8),0))</f>
        <v>361.63299865341509</v>
      </c>
      <c r="R28" s="148"/>
      <c r="S28" s="62" t="str">
        <f t="shared" ca="1" si="2"/>
        <v xml:space="preserve"> </v>
      </c>
      <c r="T28" s="149" t="str">
        <f ca="1">IF(S28=" "," ",IF('депозитный калькулятор'!$G$7="30/360",DAYS360(U27,IF(DAY(U28)=31,U28-1,U28))+IF(AND(MONTH(U28)=2,U28=EOMONTH(U28,0)),30-DAY(EOMONTH(U28,0)))+T27,VLOOKUP(S28,$C$22:$F$1023,2,0)))</f>
        <v xml:space="preserve"> </v>
      </c>
      <c r="U28" s="64" t="str">
        <f t="shared" ca="1" si="0"/>
        <v xml:space="preserve"> </v>
      </c>
      <c r="V28" s="150" t="str">
        <f t="shared" ca="1" si="3"/>
        <v xml:space="preserve"> </v>
      </c>
      <c r="W28" s="62" t="str">
        <f t="shared" ca="1" si="4"/>
        <v xml:space="preserve"> </v>
      </c>
      <c r="X28" s="141" t="str">
        <f ca="1">IF(S28=" "," ",IFERROR(VLOOKUP(U28,$F$23:$N$1023,7)+VLOOKUP(U28,$F$23:$N$1023,9)+IF(AND('депозитный калькулятор'!$G$13="нет",U28&lt;&gt;'депозитный калькулятор'!$D$8),VLOOKUP(U28,$F$23:$N$1023,4),0),0)+IF(U28='депозитный калькулятор'!$D$8,VLOOKUP(U28,$F$23:$N$1023,2)+VLOOKUP(U28,$F$23:$N$1023,4),0))</f>
        <v xml:space="preserve"> </v>
      </c>
      <c r="Y28" s="142" t="str">
        <f ca="1">IF(S28=" "," ",W28/(1+'депозитный калькулятор'!$K$8)^(T28/IF('депозитный калькулятор'!$G$7="30/360",360,365)))</f>
        <v xml:space="preserve"> </v>
      </c>
      <c r="Z28" s="142" t="str">
        <f ca="1">IF(S28=" "," ",X28/(1+'депозитный калькулятор'!$K$8)^(T28/IF('депозитный калькулятор'!$G$7="30/360",360,365)))</f>
        <v xml:space="preserve"> </v>
      </c>
      <c r="AA28" s="151"/>
      <c r="AB28" s="151"/>
      <c r="AC28" s="155"/>
      <c r="AD28" s="155"/>
    </row>
    <row r="29" spans="1:34" ht="15.5" x14ac:dyDescent="0.35">
      <c r="A29" s="41" t="str">
        <f>IF(F29=" "," ",IF(OR('депозитный калькулятор'!$G$7="30/365",'депозитный калькулятор'!$G$7="30/360"),IF(AND(MONTH(F29)=2,DAY(F29)=DAY(EOMONTH(F29,0))),30-DAY(EOMONTH(F29,0)),IF(DAY(F29)=31,1," "))," "))</f>
        <v xml:space="preserve"> </v>
      </c>
      <c r="B29" s="130">
        <f t="shared" si="1"/>
        <v>0</v>
      </c>
      <c r="C29" s="130" t="str">
        <f>IF(OR(B29=0,B29=" ")," ",SUM($B$23:B29))</f>
        <v xml:space="preserve"> </v>
      </c>
      <c r="D29" s="62">
        <f>IF(D28=" "," ",IF(OR(F28='депозитный калькулятор'!$D$8,F28=" ")," ",D28+1))</f>
        <v>6</v>
      </c>
      <c r="E29" s="130">
        <f>IF(OR(F28='депозитный калькулятор'!$D$8,F28=" ")," ",IF(EOMONTH(F28,0)=F28,1,E28+1))</f>
        <v>6</v>
      </c>
      <c r="F29" s="64">
        <f>IF(F28=" "," ",IF(F28='депозитный калькулятор'!$D$8," ",F28+1))</f>
        <v>45298</v>
      </c>
      <c r="G29" s="145">
        <f ca="1" xml:space="preserve"> IF(F29&gt;'депозитный калькулятор'!$D$8," ",IF('депозитный калькулятор'!$G$13="есть",IF('депозитный калькулятор'!$G$14="есть",G28+IF(I28=" ",0,I28)-J29-K29+L29+M29-N29,G28+IF(I28=" ",0,I28)-J29-K29+M29-N29),IF('депозитный калькулятор'!$G$14="есть",G28-J29-K29+L29+M29-N29,G28-J29-K29+M29-N29)))</f>
        <v>1001806.8600388798</v>
      </c>
      <c r="H29" s="133">
        <f ca="1">IF(F29&gt;'депозитный калькулятор'!$D$8," ",IF(AND(OR('депозитный калькулятор'!$G$7="30/365",'депозитный калькулятор'!$G$7="30/360"),AND(MONTH(F29)=2,EOMONTH(F29,0)=F29)),IF(DAY(F29)=28,3*G29*'депозитный калькулятор'!$G$8,2*G29*'депозитный калькулятор'!$G$8),IF(AND(OR('депозитный калькулятор'!$G$7="30/365",'депозитный калькулятор'!$G$7="30/360"),DAY(F29)=31)," ",IF(AND('депозитный калькулятор'!$G$7="факт/факт",MOD(YEAR(F29),4)=0),G29*'депозитный калькулятор'!$D$11/366,G29*'депозитный калькулятор'!$G$8))))</f>
        <v>361.76358834737329</v>
      </c>
      <c r="I29" s="134">
        <f ca="1">IF(F29=" "," ",IF('депозитный калькулятор'!$G$10="ежедневное",H29,IF(AND('депозитный калькулятор'!$G$10="еженедельное",WEEKDAY(F29,2)=7),SUM(OFFSET(H29,-6,0):H29),IF(AND('депозитный калькулятор'!$G$10="еженедельное",F29='депозитный калькулятор'!$D$8),SUM($H$23:H29)-SUM($I$23:I28),IF(AND('депозитный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недели",WEEKDAY(F29,2)=7),MIN(OFFSET(H29,-6,0):H29)*(COUNTIF(OFFSET(H29,-6,0):H29,"&gt;0")+SUMIF(OFFSET(A29,-WEEKDAY(F29,2),0):A29,"=2",OFFSET(A29,-WEEKDAY(F29,2),0):A29)),IF(AND('депозитный калькулятор'!$G$10="еженедельное, на минимальную сумму зафиксированную в течение недели",F29='депозитный калькулятор'!$D$8,WEEKDAY(F29,2)&lt;&gt;7),MIN(OFFSET(H29,-WEEKDAY(F29,2),0):H29)*(COUNTIF(OFFSET(H29,-WEEKDAY(F29,2)+1,0):H29,"&gt;0")+SUM(OFFSET(A29,-WEEKDAY(F29,2),0):A29)),IF(AND('депозитный калькулятор'!$G$10="ежемесячное (в конце месяца)",F29='депозитный калькулятор'!$D$8,EOMONTH(F29,0)&lt;&gt;F29),IF('депозитный калькулятор'!$F$1=1,$H$24,SUM($H$23:H29)-SUM($I$23:I28)),IF(AND('депозитный калькулятор'!$G$10="ежемесячное (в конце месяца)",EOMONTH(F29,0)=F29),SUM($H$23:H29)-SUM($I$23:I28),IF(AND('депозитный калькулятор'!$G$10="ежемесячное (по дням открытия вклада)",F29='депозитный калькулятор'!$D$8,DAY('депозитный калькулятор'!$D$7)&lt;&gt;DAY(F29)),IF('депозитный калькулятор'!$F$1=1,$H$24,SUM($H$23:H29)-SUM($I$23:I28)),IF(AND('депозитный калькулятор'!$G$10="ежемесячное (по дням открытия вклада)",DAY('депозитный калькулятор'!$D$7)=DAY(F29)),SUM($H$23:H29)-SUM($I$23:I28),IF(AND('депозитный калькулятор'!$G$10="ежемесячное, на минимальную сумму зафиксированную в течение месяца",F29='депозитный калькулятор'!$D$8,EOMONTH(F29,0)&lt;&gt;F29),IF('депозитный калькулятор'!$F$1=1,$H$24,IF(AND(OR('депозитный калькулятор'!$G$7="30/365",'депозитный калькулятор'!$G$7="30/360"),DAY(F29)=31),0,MIN(OFFSET(H29,-E29+1,0):H29)*(E29+SUMIF(OFFSET(A29,-E29+1,0):A29,"=2",OFFSET(A29,-E29+1,0):A29)))),IF(AND('депозитный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калькулятор'!$G$7="30/360"),DAY(EOMONTH(F29,0))=31),EOMONTH(F29,0)-1=F29,EOMONTH(F29,0)=F29)),IF(IF(AND(OR('депозитный калькулятор'!$G$7="30/365",'депозитный калькулятор'!$G$7="30/360"),DAY(EOMONTH($F$23,0))=31),F29=EOMONTH($F$23,0)-1,F29=EOMONTH($F$23,0)),MIN(OFFSET(H29,-(DAY(F29)-DAY($F$23)),0):H29)*E29,MIN(OFFSET(H29,-(DAY(F29)-1),0):H29)*IF(AND(OR('депозитный калькулятор'!$G$7="30/365",'депозитный калькулятор'!$G$7="30/360"),DAY(F29)&lt;30),30,DAY(F29))),IF(AND('депозитный калькулятор'!$G$10="ежемесячное, на средний остаток в течение месяца, при условии что остаток больше чем ограничение",F29='депозитный калькулятор'!$D$8,EOMONTH(F29,0)&lt;&gt;F29),IF('депозитный калькулятор'!$F$1=1,$H$24,SUM(OFFSET(Q29,-E29+1,0):Q29)),IF(AND('депозитный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калькулятор'!$G$7="30/360"),DAY(EOMONTH(F29,0))=31),EOMONTH(F29,0)-1=F29,EOMONTH(F29,0)=F29)),IF(IF(AND(OR('депозитный калькулятор'!$G$7="30/365",'депозитный калькулятор'!$G$7="30/360"),DAY(EOMONTH($F$24,0))=31),F29=EOMONTH($F$24,0)-1,F29=EOMONTH($F$24,0)),SUM(OFFSET(Q29,-E29+1,0):Q29),SUM(OFFSET(Q29,-E29+1,0):Q29)),IF('депозитный калькулятор'!$G$10="ежеквартальное",IF(F29&gt;'депозитный калькулятор'!$D$8," ",IF(AND(EOMONTH(F29,0)=F29,OR(MONTH(F29)=3,MONTH(F29)=6,MONTH(F29)=9,MONTH(F29)=12)),IF(EDATE(F29,-3)&lt;'депозитный калькулятор'!$D$7,SUM($H$23:H29),IF(MOD(YEAR(F29),4)=0,IF(AND(EOMONTH(F29,0)=F29,OR(MONTH(F29)=3,MONTH(F29)=6)),SUM(OFFSET(H29,-90,0):H29),IF(AND(EOMONTH(F29,0)=F29,OR(MONTH(F29)=9,MONTH(F29)=12)),SUM(OFFSET(H29,-91,0):H29))),IF(AND(EOMONTH(F29,0)=F29,MONTH(F29)=3),SUM(OFFSET(H29,-89,0):H29),IF(AND(EOMONTH(F29,0)=F29,MONTH(F29)=6),SUM(OFFSET(H29,-90,0):H29),IF(AND(EOMONTH(F29,0)=F29,OR(MONTH(F29)=9,MONTH(F29)=12)),SUM(OFFSET(H29,-91,0):H29)))))),IF(F29='депозитный калькулятор'!$D$8,SUM($H$23:H29)-SUM($I$23:I28),0))),IF('депозитный калькулятор'!$G$10="ежегодное",IF(F29&gt;'депозитный калькулятор'!$D$8," ",IF(F29='депозитный калькулятор'!$D$8,SUM($H$23:H29)-SUM($I$23:I28),IF(AND(EOMONTH(F29,0)=F29,MONTH(F29)=12),IF(MOD(YEAR(F28),4)=0,IF(F29-'депозитный калькулятор'!$D$7&lt;366,SUM($H$23:H29),SUM(OFFSET(H29,-365,0):H29)),IF(F29-'депозитный калькулятор'!$D$7&lt;365,SUM($H$23:H29),SUM(OFFSET(H29,-364,0):H29))),0))),IF(AND('депозитный калькулятор'!$G$10="в конце срока",'депозитный калькулятор'!$D$8=F29),SUM($H$23:H29),0))))))))))))))))))</f>
        <v>361.76358834737329</v>
      </c>
      <c r="J29" s="59">
        <f ca="1">IF(F29&gt;'депозитный калькулятор'!$D$8," ",IF('депозитный калькулятор'!$G$16="нет",0,IF(AND('депозитный калькулятор'!$G$17="разовая (в конце срока)",F29='депозитный калькулятор'!$D$8),'депозитный калькулятор'!$G$18,IF(AND('депозитный калькулятор'!$G$17="ежемесячная",EOMONTH(F28,0)=F28),'депозитный калькулятор'!$G$18,IF(AND('депозитный калькулятор'!$G$17="ежегодная",DAY(F28)=31,MONTH(F28)=12),'депозитный калькулятор'!$G$18,IF(AND('депозитный калькулятор'!$G$17="ежемесячная в зависимости от остатка",EOMONTH(F28,0)=F28,P28&gt;0),'депозитный калькулятор'!$G$18,IF(AND('депозитный калькулятор'!$G$17="ежегодная в зависимости от остатка",DAY(F28)=31,MONTH(F28)=12,P28&gt;0),'депозитный калькулятор'!$G$18,0)))))))</f>
        <v>0</v>
      </c>
      <c r="K29" s="135">
        <f>IF($F29=" "," ",IFERROR(VLOOKUP($F29,'депозитный калькулятор'!$B$26:$F$70,2,0),0))</f>
        <v>0</v>
      </c>
      <c r="L29" s="135">
        <f>IF($F29=" "," ",IFERROR(VLOOKUP($F29,'депозитный калькулятор'!$B$26:$F$70,3,0),0))</f>
        <v>0</v>
      </c>
      <c r="M29" s="135">
        <f>IF($F29=" "," ",IFERROR(VLOOKUP($F29,'депозитный калькулятор'!$B$26:$F$70,4,0),0))</f>
        <v>0</v>
      </c>
      <c r="N29" s="135">
        <f>IF($F29=" "," ",IFERROR(VLOOKUP($F29,'депозитный калькулятор'!$B$26:$F$70,5,0),0))</f>
        <v>0</v>
      </c>
      <c r="O29" s="146">
        <f>IF(F29&gt;'депозитный калькулятор'!$D$8," ",IF(F29='депозитный калькулятор'!$D$8,IF(AND($F$24='депозитный калькулятор'!$D$8,'депозитный калькулятор'!$G$13="нет"),-G29-IF(I29=" ",0,I29)-IF(AND(OR('депозитный калькулятор'!$G$7="30/365",'депозитный калькулятор'!$G$7="30/360"),'депозитный калькулятор'!$G$10="в начале срока"),I28,0)-L29+M29-N29,-G29-IF(I29=" ",0,I29)-L29+M29-N29),IF('депозитный калькулятор'!$G$13="есть",M29-N29+IF('депозитный калькулятор'!$G$14="есть",0,-L29),-IF(I29=" ",0,I29)-IF(AND(OR('депозитный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срока"),I28,0)+M29-N29+IF('депозитный калькулятор'!$G$14="есть",0,-L29))))</f>
        <v>0</v>
      </c>
      <c r="P29" s="147">
        <f ca="1">IF(F29&gt;'депозитный калькулятор'!$D$8," ",IF(EOMONTH(F28,0)=F28,0,IF(G29&gt;='депозитный калькулятор'!$G$19,P28,P28+1)))</f>
        <v>0</v>
      </c>
      <c r="Q29" s="138">
        <f ca="1">IF(F29=" "," ",IF(AND(OR('депозитный калькулятор'!$G$7="30/365",'депозитный калькулятор'!$G$7="30/360"),AND(MONTH(F29)=2,EOMONTH(F29,0)=F29)),IF(DAY(F29)=28,3,2),1)*IF(G29&gt;='депозитный калькулятор'!$G$11,IF(AND('депозитный калькулятор'!$G$7="факт/факт",MOD(YEAR(F29),4)=0),G29*'депозитный калькулятор'!$D$11/366,G29*'депозитный калькулятор'!$G$8),0))</f>
        <v>361.76358834737329</v>
      </c>
      <c r="R29" s="148"/>
      <c r="S29" s="62" t="str">
        <f t="shared" ca="1" si="2"/>
        <v xml:space="preserve"> </v>
      </c>
      <c r="T29" s="149" t="str">
        <f ca="1">IF(S29=" "," ",IF('депозитный калькулятор'!$G$7="30/360",DAYS360(U28,IF(DAY(U29)=31,U29-1,U29))+IF(AND(MONTH(U29)=2,U29=EOMONTH(U29,0)),30-DAY(EOMONTH(U29,0)))+T28,VLOOKUP(S29,$C$22:$F$1023,2,0)))</f>
        <v xml:space="preserve"> </v>
      </c>
      <c r="U29" s="64" t="str">
        <f t="shared" ca="1" si="0"/>
        <v xml:space="preserve"> </v>
      </c>
      <c r="V29" s="150" t="str">
        <f t="shared" ca="1" si="3"/>
        <v xml:space="preserve"> </v>
      </c>
      <c r="W29" s="62" t="str">
        <f t="shared" ca="1" si="4"/>
        <v xml:space="preserve"> </v>
      </c>
      <c r="X29" s="141" t="str">
        <f ca="1">IF(S29=" "," ",IFERROR(VLOOKUP(U29,$F$23:$N$1023,7)+VLOOKUP(U29,$F$23:$N$1023,9)+IF(AND('депозитный калькулятор'!$G$13="нет",U29&lt;&gt;'депозитный калькулятор'!$D$8),VLOOKUP(U29,$F$23:$N$1023,4),0),0)+IF(U29='депозитный калькулятор'!$D$8,VLOOKUP(U29,$F$23:$N$1023,2)+VLOOKUP(U29,$F$23:$N$1023,4),0))</f>
        <v xml:space="preserve"> </v>
      </c>
      <c r="Y29" s="142" t="str">
        <f ca="1">IF(S29=" "," ",W29/(1+'депозитный калькулятор'!$K$8)^(T29/IF('депозитный калькулятор'!$G$7="30/360",360,365)))</f>
        <v xml:space="preserve"> </v>
      </c>
      <c r="Z29" s="142" t="str">
        <f ca="1">IF(S29=" "," ",X29/(1+'депозитный калькулятор'!$K$8)^(T29/IF('депозитный калькулятор'!$G$7="30/360",360,365)))</f>
        <v xml:space="preserve"> </v>
      </c>
      <c r="AA29" s="151"/>
      <c r="AB29" s="151"/>
      <c r="AC29" s="155"/>
      <c r="AD29" s="155"/>
    </row>
    <row r="30" spans="1:34" ht="15.5" x14ac:dyDescent="0.35">
      <c r="A30" s="41" t="str">
        <f>IF(F30=" "," ",IF(OR('депозитный калькулятор'!$G$7="30/365",'депозитный калькулятор'!$G$7="30/360"),IF(AND(MONTH(F30)=2,DAY(F30)=DAY(EOMONTH(F30,0))),30-DAY(EOMONTH(F30,0)),IF(DAY(F30)=31,1," "))," "))</f>
        <v xml:space="preserve"> </v>
      </c>
      <c r="B30" s="130">
        <f t="shared" si="1"/>
        <v>0</v>
      </c>
      <c r="C30" s="130" t="str">
        <f>IF(OR(B30=0,B30=" ")," ",SUM($B$23:B30))</f>
        <v xml:space="preserve"> </v>
      </c>
      <c r="D30" s="62">
        <f>IF(D29=" "," ",IF(OR(F29='депозитный калькулятор'!$D$8,F29=" ")," ",D29+1))</f>
        <v>7</v>
      </c>
      <c r="E30" s="130">
        <f>IF(OR(F29='депозитный калькулятор'!$D$8,F29=" ")," ",IF(EOMONTH(F29,0)=F29,1,E29+1))</f>
        <v>7</v>
      </c>
      <c r="F30" s="64">
        <f>IF(F29=" "," ",IF(F29='депозитный калькулятор'!$D$8," ",F29+1))</f>
        <v>45299</v>
      </c>
      <c r="G30" s="145">
        <f ca="1" xml:space="preserve"> IF(F30&gt;'депозитный калькулятор'!$D$8," ",IF('депозитный калькулятор'!$G$13="есть",IF('депозитный калькулятор'!$G$14="есть",G29+IF(I29=" ",0,I29)-J30-K30+L30+M30-N30,G29+IF(I29=" ",0,I29)-J30-K30+M30-N30),IF('депозитный калькулятор'!$G$14="есть",G29-J30-K30+L30+M30-N30,G29-J30-K30+M30-N30)))</f>
        <v>1002168.6236272271</v>
      </c>
      <c r="H30" s="133">
        <f ca="1">IF(F30&gt;'депозитный калькулятор'!$D$8," ",IF(AND(OR('депозитный калькулятор'!$G$7="30/365",'депозитный калькулятор'!$G$7="30/360"),AND(MONTH(F30)=2,EOMONTH(F30,0)=F30)),IF(DAY(F30)=28,3*G30*'депозитный калькулятор'!$G$8,2*G30*'депозитный калькулятор'!$G$8),IF(AND(OR('депозитный калькулятор'!$G$7="30/365",'депозитный калькулятор'!$G$7="30/360"),DAY(F30)=31)," ",IF(AND('депозитный калькулятор'!$G$7="факт/факт",MOD(YEAR(F30),4)=0),G30*'депозитный калькулятор'!$D$11/366,G30*'депозитный калькулятор'!$G$8))))</f>
        <v>361.89422519872096</v>
      </c>
      <c r="I30" s="134">
        <f ca="1">IF(F30=" "," ",IF('депозитный калькулятор'!$G$10="ежедневное",H30,IF(AND('депозитный калькулятор'!$G$10="еженедельное",WEEKDAY(F30,2)=7),SUM(OFFSET(H30,-6,0):H30),IF(AND('депозитный калькулятор'!$G$10="еженедельное",F30='депозитный калькулятор'!$D$8),SUM($H$23:H30)-SUM($I$23:I29),IF(AND('депозитный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недели",WEEKDAY(F30,2)=7),MIN(OFFSET(H30,-6,0):H30)*(COUNTIF(OFFSET(H30,-6,0):H30,"&gt;0")+SUMIF(OFFSET(A30,-WEEKDAY(F30,2),0):A30,"=2",OFFSET(A30,-WEEKDAY(F30,2),0):A30)),IF(AND('депозитный калькулятор'!$G$10="еженедельное, на минимальную сумму зафиксированную в течение недели",F30='депозитный калькулятор'!$D$8,WEEKDAY(F30,2)&lt;&gt;7),MIN(OFFSET(H30,-WEEKDAY(F30,2),0):H30)*(COUNTIF(OFFSET(H30,-WEEKDAY(F30,2)+1,0):H30,"&gt;0")+SUM(OFFSET(A30,-WEEKDAY(F30,2),0):A30)),IF(AND('депозитный калькулятор'!$G$10="ежемесячное (в конце месяца)",F30='депозитный калькулятор'!$D$8,EOMONTH(F30,0)&lt;&gt;F30),IF('депозитный калькулятор'!$F$1=1,$H$24,SUM($H$23:H30)-SUM($I$23:I29)),IF(AND('депозитный калькулятор'!$G$10="ежемесячное (в конце месяца)",EOMONTH(F30,0)=F30),SUM($H$23:H30)-SUM($I$23:I29),IF(AND('депозитный калькулятор'!$G$10="ежемесячное (по дням открытия вклада)",F30='депозитный калькулятор'!$D$8,DAY('депозитный калькулятор'!$D$7)&lt;&gt;DAY(F30)),IF('депозитный калькулятор'!$F$1=1,$H$24,SUM($H$23:H30)-SUM($I$23:I29)),IF(AND('депозитный калькулятор'!$G$10="ежемесячное (по дням открытия вклада)",DAY('депозитный калькулятор'!$D$7)=DAY(F30)),SUM($H$23:H30)-SUM($I$23:I29),IF(AND('депозитный калькулятор'!$G$10="ежемесячное, на минимальную сумму зафиксированную в течение месяца",F30='депозитный калькулятор'!$D$8,EOMONTH(F30,0)&lt;&gt;F30),IF('депозитный калькулятор'!$F$1=1,$H$24,IF(AND(OR('депозитный калькулятор'!$G$7="30/365",'депозитный калькулятор'!$G$7="30/360"),DAY(F30)=31),0,MIN(OFFSET(H30,-E30+1,0):H30)*(E30+SUMIF(OFFSET(A30,-E30+1,0):A30,"=2",OFFSET(A30,-E30+1,0):A30)))),IF(AND('депозитный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калькулятор'!$G$7="30/360"),DAY(EOMONTH(F30,0))=31),EOMONTH(F30,0)-1=F30,EOMONTH(F30,0)=F30)),IF(IF(AND(OR('депозитный калькулятор'!$G$7="30/365",'депозитный калькулятор'!$G$7="30/360"),DAY(EOMONTH($F$23,0))=31),F30=EOMONTH($F$23,0)-1,F30=EOMONTH($F$23,0)),MIN(OFFSET(H30,-(DAY(F30)-DAY($F$23)),0):H30)*E30,MIN(OFFSET(H30,-(DAY(F30)-1),0):H30)*IF(AND(OR('депозитный калькулятор'!$G$7="30/365",'депозитный калькулятор'!$G$7="30/360"),DAY(F30)&lt;30),30,DAY(F30))),IF(AND('депозитный калькулятор'!$G$10="ежемесячное, на средний остаток в течение месяца, при условии что остаток больше чем ограничение",F30='депозитный калькулятор'!$D$8,EOMONTH(F30,0)&lt;&gt;F30),IF('депозитный калькулятор'!$F$1=1,$H$24,SUM(OFFSET(Q30,-E30+1,0):Q30)),IF(AND('депозитный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калькулятор'!$G$7="30/360"),DAY(EOMONTH(F30,0))=31),EOMONTH(F30,0)-1=F30,EOMONTH(F30,0)=F30)),IF(IF(AND(OR('депозитный калькулятор'!$G$7="30/365",'депозитный калькулятор'!$G$7="30/360"),DAY(EOMONTH($F$24,0))=31),F30=EOMONTH($F$24,0)-1,F30=EOMONTH($F$24,0)),SUM(OFFSET(Q30,-E30+1,0):Q30),SUM(OFFSET(Q30,-E30+1,0):Q30)),IF('депозитный калькулятор'!$G$10="ежеквартальное",IF(F30&gt;'депозитный калькулятор'!$D$8," ",IF(AND(EOMONTH(F30,0)=F30,OR(MONTH(F30)=3,MONTH(F30)=6,MONTH(F30)=9,MONTH(F30)=12)),IF(EDATE(F30,-3)&lt;'депозитный калькулятор'!$D$7,SUM($H$23:H30),IF(MOD(YEAR(F30),4)=0,IF(AND(EOMONTH(F30,0)=F30,OR(MONTH(F30)=3,MONTH(F30)=6)),SUM(OFFSET(H30,-90,0):H30),IF(AND(EOMONTH(F30,0)=F30,OR(MONTH(F30)=9,MONTH(F30)=12)),SUM(OFFSET(H30,-91,0):H30))),IF(AND(EOMONTH(F30,0)=F30,MONTH(F30)=3),SUM(OFFSET(H30,-89,0):H30),IF(AND(EOMONTH(F30,0)=F30,MONTH(F30)=6),SUM(OFFSET(H30,-90,0):H30),IF(AND(EOMONTH(F30,0)=F30,OR(MONTH(F30)=9,MONTH(F30)=12)),SUM(OFFSET(H30,-91,0):H30)))))),IF(F30='депозитный калькулятор'!$D$8,SUM($H$23:H30)-SUM($I$23:I29),0))),IF('депозитный калькулятор'!$G$10="ежегодное",IF(F30&gt;'депозитный калькулятор'!$D$8," ",IF(F30='депозитный калькулятор'!$D$8,SUM($H$23:H30)-SUM($I$23:I29),IF(AND(EOMONTH(F30,0)=F30,MONTH(F30)=12),IF(MOD(YEAR(F29),4)=0,IF(F30-'депозитный калькулятор'!$D$7&lt;366,SUM($H$23:H30),SUM(OFFSET(H30,-365,0):H30)),IF(F30-'депозитный калькулятор'!$D$7&lt;365,SUM($H$23:H30),SUM(OFFSET(H30,-364,0):H30))),0))),IF(AND('депозитный калькулятор'!$G$10="в конце срока",'депозитный калькулятор'!$D$8=F30),SUM($H$23:H30),0))))))))))))))))))</f>
        <v>361.89422519872096</v>
      </c>
      <c r="J30" s="59">
        <f ca="1">IF(F30&gt;'депозитный калькулятор'!$D$8," ",IF('депозитный калькулятор'!$G$16="нет",0,IF(AND('депозитный калькулятор'!$G$17="разовая (в конце срока)",F30='депозитный калькулятор'!$D$8),'депозитный калькулятор'!$G$18,IF(AND('депозитный калькулятор'!$G$17="ежемесячная",EOMONTH(F29,0)=F29),'депозитный калькулятор'!$G$18,IF(AND('депозитный калькулятор'!$G$17="ежегодная",DAY(F29)=31,MONTH(F29)=12),'депозитный калькулятор'!$G$18,IF(AND('депозитный калькулятор'!$G$17="ежемесячная в зависимости от остатка",EOMONTH(F29,0)=F29,P29&gt;0),'депозитный калькулятор'!$G$18,IF(AND('депозитный калькулятор'!$G$17="ежегодная в зависимости от остатка",DAY(F29)=31,MONTH(F29)=12,P29&gt;0),'депозитный калькулятор'!$G$18,0)))))))</f>
        <v>0</v>
      </c>
      <c r="K30" s="135">
        <f>IF($F30=" "," ",IFERROR(VLOOKUP($F30,'депозитный калькулятор'!$B$26:$F$70,2,0),0))</f>
        <v>0</v>
      </c>
      <c r="L30" s="135">
        <f>IF($F30=" "," ",IFERROR(VLOOKUP($F30,'депозитный калькулятор'!$B$26:$F$70,3,0),0))</f>
        <v>0</v>
      </c>
      <c r="M30" s="135">
        <f>IF($F30=" "," ",IFERROR(VLOOKUP($F30,'депозитный калькулятор'!$B$26:$F$70,4,0),0))</f>
        <v>0</v>
      </c>
      <c r="N30" s="135">
        <f>IF($F30=" "," ",IFERROR(VLOOKUP($F30,'депозитный калькулятор'!$B$26:$F$70,5,0),0))</f>
        <v>0</v>
      </c>
      <c r="O30" s="146">
        <f>IF(F30&gt;'депозитный калькулятор'!$D$8," ",IF(F30='депозитный калькулятор'!$D$8,IF(AND($F$24='депозитный калькулятор'!$D$8,'депозитный калькулятор'!$G$13="нет"),-G30-IF(I30=" ",0,I30)-IF(AND(OR('депозитный калькулятор'!$G$7="30/365",'депозитный калькулятор'!$G$7="30/360"),'депозитный калькулятор'!$G$10="в начале срока"),I29,0)-L30+M30-N30,-G30-IF(I30=" ",0,I30)-L30+M30-N30),IF('депозитный калькулятор'!$G$13="есть",M30-N30+IF('депозитный калькулятор'!$G$14="есть",0,-L30),-IF(I30=" ",0,I30)-IF(AND(OR('депозитный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срока"),I29,0)+M30-N30+IF('депозитный калькулятор'!$G$14="есть",0,-L30))))</f>
        <v>0</v>
      </c>
      <c r="P30" s="147">
        <f ca="1">IF(F30&gt;'депозитный калькулятор'!$D$8," ",IF(EOMONTH(F29,0)=F29,0,IF(G30&gt;='депозитный калькулятор'!$G$19,P29,P29+1)))</f>
        <v>0</v>
      </c>
      <c r="Q30" s="138">
        <f ca="1">IF(F30=" "," ",IF(AND(OR('депозитный калькулятор'!$G$7="30/365",'депозитный калькулятор'!$G$7="30/360"),AND(MONTH(F30)=2,EOMONTH(F30,0)=F30)),IF(DAY(F30)=28,3,2),1)*IF(G30&gt;='депозитный калькулятор'!$G$11,IF(AND('депозитный калькулятор'!$G$7="факт/факт",MOD(YEAR(F30),4)=0),G30*'депозитный калькулятор'!$D$11/366,G30*'депозитный калькулятор'!$G$8),0))</f>
        <v>361.89422519872096</v>
      </c>
      <c r="R30" s="148"/>
      <c r="S30" s="62" t="str">
        <f t="shared" ca="1" si="2"/>
        <v xml:space="preserve"> </v>
      </c>
      <c r="T30" s="149" t="str">
        <f ca="1">IF(S30=" "," ",IF('депозитный калькулятор'!$G$7="30/360",DAYS360(U29,IF(DAY(U30)=31,U30-1,U30))+IF(AND(MONTH(U30)=2,U30=EOMONTH(U30,0)),30-DAY(EOMONTH(U30,0)))+T29,VLOOKUP(S30,$C$22:$F$1023,2,0)))</f>
        <v xml:space="preserve"> </v>
      </c>
      <c r="U30" s="64" t="str">
        <f t="shared" ca="1" si="0"/>
        <v xml:space="preserve"> </v>
      </c>
      <c r="V30" s="150" t="str">
        <f t="shared" ca="1" si="3"/>
        <v xml:space="preserve"> </v>
      </c>
      <c r="W30" s="62" t="str">
        <f t="shared" ca="1" si="4"/>
        <v xml:space="preserve"> </v>
      </c>
      <c r="X30" s="141" t="str">
        <f ca="1">IF(S30=" "," ",IFERROR(VLOOKUP(U30,$F$23:$N$1023,7)+VLOOKUP(U30,$F$23:$N$1023,9)+IF(AND('депозитный калькулятор'!$G$13="нет",U30&lt;&gt;'депозитный калькулятор'!$D$8),VLOOKUP(U30,$F$23:$N$1023,4),0),0)+IF(U30='депозитный калькулятор'!$D$8,VLOOKUP(U30,$F$23:$N$1023,2)+VLOOKUP(U30,$F$23:$N$1023,4),0))</f>
        <v xml:space="preserve"> </v>
      </c>
      <c r="Y30" s="142" t="str">
        <f ca="1">IF(S30=" "," ",W30/(1+'депозитный калькулятор'!$K$8)^(T30/IF('депозитный калькулятор'!$G$7="30/360",360,365)))</f>
        <v xml:space="preserve"> </v>
      </c>
      <c r="Z30" s="142" t="str">
        <f ca="1">IF(S30=" "," ",X30/(1+'депозитный калькулятор'!$K$8)^(T30/IF('депозитный калькулятор'!$G$7="30/360",360,365)))</f>
        <v xml:space="preserve"> </v>
      </c>
      <c r="AA30" s="151"/>
      <c r="AB30" s="151"/>
      <c r="AC30" s="155"/>
      <c r="AD30" s="155"/>
    </row>
    <row r="31" spans="1:34" ht="15.5" x14ac:dyDescent="0.35">
      <c r="A31" s="41" t="str">
        <f>IF(F31=" "," ",IF(OR('депозитный калькулятор'!$G$7="30/365",'депозитный калькулятор'!$G$7="30/360"),IF(AND(MONTH(F31)=2,DAY(F31)=DAY(EOMONTH(F31,0))),30-DAY(EOMONTH(F31,0)),IF(DAY(F31)=31,1," "))," "))</f>
        <v xml:space="preserve"> </v>
      </c>
      <c r="B31" s="130">
        <f t="shared" si="1"/>
        <v>0</v>
      </c>
      <c r="C31" s="130" t="str">
        <f>IF(OR(B31=0,B31=" ")," ",SUM($B$23:B31))</f>
        <v xml:space="preserve"> </v>
      </c>
      <c r="D31" s="62">
        <f>IF(D30=" "," ",IF(OR(F30='депозитный калькулятор'!$D$8,F30=" ")," ",D30+1))</f>
        <v>8</v>
      </c>
      <c r="E31" s="130">
        <f>IF(OR(F30='депозитный калькулятор'!$D$8,F30=" ")," ",IF(EOMONTH(F30,0)=F30,1,E30+1))</f>
        <v>8</v>
      </c>
      <c r="F31" s="64">
        <f>IF(F30=" "," ",IF(F30='депозитный калькулятор'!$D$8," ",F30+1))</f>
        <v>45300</v>
      </c>
      <c r="G31" s="145">
        <f ca="1" xml:space="preserve"> IF(F31&gt;'депозитный калькулятор'!$D$8," ",IF('депозитный калькулятор'!$G$13="есть",IF('депозитный калькулятор'!$G$14="есть",G30+IF(I30=" ",0,I30)-J31-K31+L31+M31-N31,G30+IF(I30=" ",0,I30)-J31-K31+M31-N31),IF('депозитный калькулятор'!$G$14="есть",G30-J31-K31+L31+M31-N31,G30-J31-K31+M31-N31)))</f>
        <v>1002530.5178524259</v>
      </c>
      <c r="H31" s="133">
        <f ca="1">IF(F31&gt;'депозитный калькулятор'!$D$8," ",IF(AND(OR('депозитный калькулятор'!$G$7="30/365",'депозитный калькулятор'!$G$7="30/360"),AND(MONTH(F31)=2,EOMONTH(F31,0)=F31)),IF(DAY(F31)=28,3*G31*'депозитный калькулятор'!$G$8,2*G31*'депозитный калькулятор'!$G$8),IF(AND(OR('депозитный калькулятор'!$G$7="30/365",'депозитный калькулятор'!$G$7="30/360"),DAY(F31)=31)," ",IF(AND('депозитный калькулятор'!$G$7="факт/факт",MOD(YEAR(F31),4)=0),G31*'депозитный калькулятор'!$D$11/366,G31*'депозитный калькулятор'!$G$8))))</f>
        <v>362.0249092244872</v>
      </c>
      <c r="I31" s="134">
        <f ca="1">IF(F31=" "," ",IF('депозитный калькулятор'!$G$10="ежедневное",H31,IF(AND('депозитный калькулятор'!$G$10="еженедельное",WEEKDAY(F31,2)=7),SUM(OFFSET(H31,-6,0):H31),IF(AND('депозитный калькулятор'!$G$10="еженедельное",F31='депозитный калькулятор'!$D$8),SUM($H$23:H31)-SUM($I$23:I30),IF(AND('депозитный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недели",WEEKDAY(F31,2)=7),MIN(OFFSET(H31,-6,0):H31)*(COUNTIF(OFFSET(H31,-6,0):H31,"&gt;0")+SUMIF(OFFSET(A31,-WEEKDAY(F31,2),0):A31,"=2",OFFSET(A31,-WEEKDAY(F31,2),0):A31)),IF(AND('депозитный калькулятор'!$G$10="еженедельное, на минимальную сумму зафиксированную в течение недели",F31='депозитный калькулятор'!$D$8,WEEKDAY(F31,2)&lt;&gt;7),MIN(OFFSET(H31,-WEEKDAY(F31,2),0):H31)*(COUNTIF(OFFSET(H31,-WEEKDAY(F31,2)+1,0):H31,"&gt;0")+SUM(OFFSET(A31,-WEEKDAY(F31,2),0):A31)),IF(AND('депозитный калькулятор'!$G$10="ежемесячное (в конце месяца)",F31='депозитный калькулятор'!$D$8,EOMONTH(F31,0)&lt;&gt;F31),IF('депозитный калькулятор'!$F$1=1,$H$24,SUM($H$23:H31)-SUM($I$23:I30)),IF(AND('депозитный калькулятор'!$G$10="ежемесячное (в конце месяца)",EOMONTH(F31,0)=F31),SUM($H$23:H31)-SUM($I$23:I30),IF(AND('депозитный калькулятор'!$G$10="ежемесячное (по дням открытия вклада)",F31='депозитный калькулятор'!$D$8,DAY('депозитный калькулятор'!$D$7)&lt;&gt;DAY(F31)),IF('депозитный калькулятор'!$F$1=1,$H$24,SUM($H$23:H31)-SUM($I$23:I30)),IF(AND('депозитный калькулятор'!$G$10="ежемесячное (по дням открытия вклада)",DAY('депозитный калькулятор'!$D$7)=DAY(F31)),SUM($H$23:H31)-SUM($I$23:I30),IF(AND('депозитный калькулятор'!$G$10="ежемесячное, на минимальную сумму зафиксированную в течение месяца",F31='депозитный калькулятор'!$D$8,EOMONTH(F31,0)&lt;&gt;F31),IF('депозитный калькулятор'!$F$1=1,$H$24,IF(AND(OR('депозитный калькулятор'!$G$7="30/365",'депозитный калькулятор'!$G$7="30/360"),DAY(F31)=31),0,MIN(OFFSET(H31,-E31+1,0):H31)*(E31+SUMIF(OFFSET(A31,-E31+1,0):A31,"=2",OFFSET(A31,-E31+1,0):A31)))),IF(AND('депозитный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калькулятор'!$G$7="30/360"),DAY(EOMONTH(F31,0))=31),EOMONTH(F31,0)-1=F31,EOMONTH(F31,0)=F31)),IF(IF(AND(OR('депозитный калькулятор'!$G$7="30/365",'депозитный калькулятор'!$G$7="30/360"),DAY(EOMONTH($F$23,0))=31),F31=EOMONTH($F$23,0)-1,F31=EOMONTH($F$23,0)),MIN(OFFSET(H31,-(DAY(F31)-DAY($F$23)),0):H31)*E31,MIN(OFFSET(H31,-(DAY(F31)-1),0):H31)*IF(AND(OR('депозитный калькулятор'!$G$7="30/365",'депозитный калькулятор'!$G$7="30/360"),DAY(F31)&lt;30),30,DAY(F31))),IF(AND('депозитный калькулятор'!$G$10="ежемесячное, на средний остаток в течение месяца, при условии что остаток больше чем ограничение",F31='депозитный калькулятор'!$D$8,EOMONTH(F31,0)&lt;&gt;F31),IF('депозитный калькулятор'!$F$1=1,$H$24,SUM(OFFSET(Q31,-E31+1,0):Q31)),IF(AND('депозитный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калькулятор'!$G$7="30/360"),DAY(EOMONTH(F31,0))=31),EOMONTH(F31,0)-1=F31,EOMONTH(F31,0)=F31)),IF(IF(AND(OR('депозитный калькулятор'!$G$7="30/365",'депозитный калькулятор'!$G$7="30/360"),DAY(EOMONTH($F$24,0))=31),F31=EOMONTH($F$24,0)-1,F31=EOMONTH($F$24,0)),SUM(OFFSET(Q31,-E31+1,0):Q31),SUM(OFFSET(Q31,-E31+1,0):Q31)),IF('депозитный калькулятор'!$G$10="ежеквартальное",IF(F31&gt;'депозитный калькулятор'!$D$8," ",IF(AND(EOMONTH(F31,0)=F31,OR(MONTH(F31)=3,MONTH(F31)=6,MONTH(F31)=9,MONTH(F31)=12)),IF(EDATE(F31,-3)&lt;'депозитный калькулятор'!$D$7,SUM($H$23:H31),IF(MOD(YEAR(F31),4)=0,IF(AND(EOMONTH(F31,0)=F31,OR(MONTH(F31)=3,MONTH(F31)=6)),SUM(OFFSET(H31,-90,0):H31),IF(AND(EOMONTH(F31,0)=F31,OR(MONTH(F31)=9,MONTH(F31)=12)),SUM(OFFSET(H31,-91,0):H31))),IF(AND(EOMONTH(F31,0)=F31,MONTH(F31)=3),SUM(OFFSET(H31,-89,0):H31),IF(AND(EOMONTH(F31,0)=F31,MONTH(F31)=6),SUM(OFFSET(H31,-90,0):H31),IF(AND(EOMONTH(F31,0)=F31,OR(MONTH(F31)=9,MONTH(F31)=12)),SUM(OFFSET(H31,-91,0):H31)))))),IF(F31='депозитный калькулятор'!$D$8,SUM($H$23:H31)-SUM($I$23:I30),0))),IF('депозитный калькулятор'!$G$10="ежегодное",IF(F31&gt;'депозитный калькулятор'!$D$8," ",IF(F31='депозитный калькулятор'!$D$8,SUM($H$23:H31)-SUM($I$23:I30),IF(AND(EOMONTH(F31,0)=F31,MONTH(F31)=12),IF(MOD(YEAR(F30),4)=0,IF(F31-'депозитный калькулятор'!$D$7&lt;366,SUM($H$23:H31),SUM(OFFSET(H31,-365,0):H31)),IF(F31-'депозитный калькулятор'!$D$7&lt;365,SUM($H$23:H31),SUM(OFFSET(H31,-364,0):H31))),0))),IF(AND('депозитный калькулятор'!$G$10="в конце срока",'депозитный калькулятор'!$D$8=F31),SUM($H$23:H31),0))))))))))))))))))</f>
        <v>362.0249092244872</v>
      </c>
      <c r="J31" s="59">
        <f ca="1">IF(F31&gt;'депозитный калькулятор'!$D$8," ",IF('депозитный калькулятор'!$G$16="нет",0,IF(AND('депозитный калькулятор'!$G$17="разовая (в конце срока)",F31='депозитный калькулятор'!$D$8),'депозитный калькулятор'!$G$18,IF(AND('депозитный калькулятор'!$G$17="ежемесячная",EOMONTH(F30,0)=F30),'депозитный калькулятор'!$G$18,IF(AND('депозитный калькулятор'!$G$17="ежегодная",DAY(F30)=31,MONTH(F30)=12),'депозитный калькулятор'!$G$18,IF(AND('депозитный калькулятор'!$G$17="ежемесячная в зависимости от остатка",EOMONTH(F30,0)=F30,P30&gt;0),'депозитный калькулятор'!$G$18,IF(AND('депозитный калькулятор'!$G$17="ежегодная в зависимости от остатка",DAY(F30)=31,MONTH(F30)=12,P30&gt;0),'депозитный калькулятор'!$G$18,0)))))))</f>
        <v>0</v>
      </c>
      <c r="K31" s="135">
        <f>IF($F31=" "," ",IFERROR(VLOOKUP($F31,'депозитный калькулятор'!$B$26:$F$70,2,0),0))</f>
        <v>0</v>
      </c>
      <c r="L31" s="135">
        <f>IF($F31=" "," ",IFERROR(VLOOKUP($F31,'депозитный калькулятор'!$B$26:$F$70,3,0),0))</f>
        <v>0</v>
      </c>
      <c r="M31" s="135">
        <f>IF($F31=" "," ",IFERROR(VLOOKUP($F31,'депозитный калькулятор'!$B$26:$F$70,4,0),0))</f>
        <v>0</v>
      </c>
      <c r="N31" s="135">
        <f>IF($F31=" "," ",IFERROR(VLOOKUP($F31,'депозитный калькулятор'!$B$26:$F$70,5,0),0))</f>
        <v>0</v>
      </c>
      <c r="O31" s="146">
        <f>IF(F31&gt;'депозитный калькулятор'!$D$8," ",IF(F31='депозитный калькулятор'!$D$8,IF(AND($F$24='депозитный калькулятор'!$D$8,'депозитный калькулятор'!$G$13="нет"),-G31-IF(I31=" ",0,I31)-IF(AND(OR('депозитный калькулятор'!$G$7="30/365",'депозитный калькулятор'!$G$7="30/360"),'депозитный калькулятор'!$G$10="в начале срока"),I30,0)-L31+M31-N31,-G31-IF(I31=" ",0,I31)-L31+M31-N31),IF('депозитный калькулятор'!$G$13="есть",M31-N31+IF('депозитный калькулятор'!$G$14="есть",0,-L31),-IF(I31=" ",0,I31)-IF(AND(OR('депозитный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срока"),I30,0)+M31-N31+IF('депозитный калькулятор'!$G$14="есть",0,-L31))))</f>
        <v>0</v>
      </c>
      <c r="P31" s="147">
        <f ca="1">IF(F31&gt;'депозитный калькулятор'!$D$8," ",IF(EOMONTH(F30,0)=F30,0,IF(G31&gt;='депозитный калькулятор'!$G$19,P30,P30+1)))</f>
        <v>0</v>
      </c>
      <c r="Q31" s="138">
        <f ca="1">IF(F31=" "," ",IF(AND(OR('депозитный калькулятор'!$G$7="30/365",'депозитный калькулятор'!$G$7="30/360"),AND(MONTH(F31)=2,EOMONTH(F31,0)=F31)),IF(DAY(F31)=28,3,2),1)*IF(G31&gt;='депозитный калькулятор'!$G$11,IF(AND('депозитный калькулятор'!$G$7="факт/факт",MOD(YEAR(F31),4)=0),G31*'депозитный калькулятор'!$D$11/366,G31*'депозитный калькулятор'!$G$8),0))</f>
        <v>362.0249092244872</v>
      </c>
      <c r="R31" s="148"/>
      <c r="S31" s="62" t="str">
        <f t="shared" ca="1" si="2"/>
        <v xml:space="preserve"> </v>
      </c>
      <c r="T31" s="149" t="str">
        <f ca="1">IF(S31=" "," ",IF('депозитный калькулятор'!$G$7="30/360",DAYS360(U30,IF(DAY(U31)=31,U31-1,U31))+IF(AND(MONTH(U31)=2,U31=EOMONTH(U31,0)),30-DAY(EOMONTH(U31,0)))+T30,VLOOKUP(S31,$C$22:$F$1023,2,0)))</f>
        <v xml:space="preserve"> </v>
      </c>
      <c r="U31" s="64" t="str">
        <f t="shared" ca="1" si="0"/>
        <v xml:space="preserve"> </v>
      </c>
      <c r="V31" s="150" t="str">
        <f t="shared" ca="1" si="3"/>
        <v xml:space="preserve"> </v>
      </c>
      <c r="W31" s="62" t="str">
        <f t="shared" ca="1" si="4"/>
        <v xml:space="preserve"> </v>
      </c>
      <c r="X31" s="141" t="str">
        <f ca="1">IF(S31=" "," ",IFERROR(VLOOKUP(U31,$F$23:$N$1023,7)+VLOOKUP(U31,$F$23:$N$1023,9)+IF(AND('депозитный калькулятор'!$G$13="нет",U31&lt;&gt;'депозитный калькулятор'!$D$8),VLOOKUP(U31,$F$23:$N$1023,4),0),0)+IF(U31='депозитный калькулятор'!$D$8,VLOOKUP(U31,$F$23:$N$1023,2)+VLOOKUP(U31,$F$23:$N$1023,4),0))</f>
        <v xml:space="preserve"> </v>
      </c>
      <c r="Y31" s="142" t="str">
        <f ca="1">IF(S31=" "," ",W31/(1+'депозитный калькулятор'!$K$8)^(T31/IF('депозитный калькулятор'!$G$7="30/360",360,365)))</f>
        <v xml:space="preserve"> </v>
      </c>
      <c r="Z31" s="142" t="str">
        <f ca="1">IF(S31=" "," ",X31/(1+'депозитный калькулятор'!$K$8)^(T31/IF('депозитный калькулятор'!$G$7="30/360",360,365)))</f>
        <v xml:space="preserve"> </v>
      </c>
      <c r="AA31" s="151"/>
      <c r="AB31" s="151"/>
      <c r="AC31" s="155"/>
      <c r="AD31" s="155"/>
    </row>
    <row r="32" spans="1:34" ht="15.5" x14ac:dyDescent="0.35">
      <c r="A32" s="41" t="str">
        <f>IF(F32=" "," ",IF(OR('депозитный калькулятор'!$G$7="30/365",'депозитный калькулятор'!$G$7="30/360"),IF(AND(MONTH(F32)=2,DAY(F32)=DAY(EOMONTH(F32,0))),30-DAY(EOMONTH(F32,0)),IF(DAY(F32)=31,1," "))," "))</f>
        <v xml:space="preserve"> </v>
      </c>
      <c r="B32" s="130">
        <f t="shared" si="1"/>
        <v>0</v>
      </c>
      <c r="C32" s="130" t="str">
        <f>IF(OR(B32=0,B32=" ")," ",SUM($B$23:B32))</f>
        <v xml:space="preserve"> </v>
      </c>
      <c r="D32" s="62">
        <f>IF(D31=" "," ",IF(OR(F31='депозитный калькулятор'!$D$8,F31=" ")," ",D31+1))</f>
        <v>9</v>
      </c>
      <c r="E32" s="130">
        <f>IF(OR(F31='депозитный калькулятор'!$D$8,F31=" ")," ",IF(EOMONTH(F31,0)=F31,1,E31+1))</f>
        <v>9</v>
      </c>
      <c r="F32" s="64">
        <f>IF(F31=" "," ",IF(F31='депозитный калькулятор'!$D$8," ",F31+1))</f>
        <v>45301</v>
      </c>
      <c r="G32" s="145">
        <f ca="1" xml:space="preserve"> IF(F32&gt;'депозитный калькулятор'!$D$8," ",IF('депозитный калькулятор'!$G$13="есть",IF('депозитный калькулятор'!$G$14="есть",G31+IF(I31=" ",0,I31)-J32-K32+L32+M32-N32,G31+IF(I31=" ",0,I31)-J32-K32+M32-N32),IF('депозитный калькулятор'!$G$14="есть",G31-J32-K32+L32+M32-N32,G31-J32-K32+M32-N32)))</f>
        <v>1002892.5427616504</v>
      </c>
      <c r="H32" s="133">
        <f ca="1">IF(F32&gt;'депозитный калькулятор'!$D$8," ",IF(AND(OR('депозитный калькулятор'!$G$7="30/365",'депозитный калькулятор'!$G$7="30/360"),AND(MONTH(F32)=2,EOMONTH(F32,0)=F32)),IF(DAY(F32)=28,3*G32*'депозитный калькулятор'!$G$8,2*G32*'депозитный калькулятор'!$G$8),IF(AND(OR('депозитный калькулятор'!$G$7="30/365",'депозитный калькулятор'!$G$7="30/360"),DAY(F32)=31)," ",IF(AND('депозитный калькулятор'!$G$7="факт/факт",MOD(YEAR(F32),4)=0),G32*'депозитный калькулятор'!$D$11/366,G32*'депозитный калькулятор'!$G$8))))</f>
        <v>362.15564044170713</v>
      </c>
      <c r="I32" s="134">
        <f ca="1">IF(F32=" "," ",IF('депозитный калькулятор'!$G$10="ежедневное",H32,IF(AND('депозитный калькулятор'!$G$10="еженедельное",WEEKDAY(F32,2)=7),SUM(OFFSET(H32,-6,0):H32),IF(AND('депозитный калькулятор'!$G$10="еженедельное",F32='депозитный калькулятор'!$D$8),SUM($H$23:H32)-SUM($I$23:I31),IF(AND('депозитный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недели",WEEKDAY(F32,2)=7),MIN(OFFSET(H32,-6,0):H32)*(COUNTIF(OFFSET(H32,-6,0):H32,"&gt;0")+SUMIF(OFFSET(A32,-WEEKDAY(F32,2),0):A32,"=2",OFFSET(A32,-WEEKDAY(F32,2),0):A32)),IF(AND('депозитный калькулятор'!$G$10="еженедельное, на минимальную сумму зафиксированную в течение недели",F32='депозитный калькулятор'!$D$8,WEEKDAY(F32,2)&lt;&gt;7),MIN(OFFSET(H32,-WEEKDAY(F32,2),0):H32)*(COUNTIF(OFFSET(H32,-WEEKDAY(F32,2)+1,0):H32,"&gt;0")+SUM(OFFSET(A32,-WEEKDAY(F32,2),0):A32)),IF(AND('депозитный калькулятор'!$G$10="ежемесячное (в конце месяца)",F32='депозитный калькулятор'!$D$8,EOMONTH(F32,0)&lt;&gt;F32),IF('депозитный калькулятор'!$F$1=1,$H$24,SUM($H$23:H32)-SUM($I$23:I31)),IF(AND('депозитный калькулятор'!$G$10="ежемесячное (в конце месяца)",EOMONTH(F32,0)=F32),SUM($H$23:H32)-SUM($I$23:I31),IF(AND('депозитный калькулятор'!$G$10="ежемесячное (по дням открытия вклада)",F32='депозитный калькулятор'!$D$8,DAY('депозитный калькулятор'!$D$7)&lt;&gt;DAY(F32)),IF('депозитный калькулятор'!$F$1=1,$H$24,SUM($H$23:H32)-SUM($I$23:I31)),IF(AND('депозитный калькулятор'!$G$10="ежемесячное (по дням открытия вклада)",DAY('депозитный калькулятор'!$D$7)=DAY(F32)),SUM($H$23:H32)-SUM($I$23:I31),IF(AND('депозитный калькулятор'!$G$10="ежемесячное, на минимальную сумму зафиксированную в течение месяца",F32='депозитный калькулятор'!$D$8,EOMONTH(F32,0)&lt;&gt;F32),IF('депозитный калькулятор'!$F$1=1,$H$24,IF(AND(OR('депозитный калькулятор'!$G$7="30/365",'депозитный калькулятор'!$G$7="30/360"),DAY(F32)=31),0,MIN(OFFSET(H32,-E32+1,0):H32)*(E32+SUMIF(OFFSET(A32,-E32+1,0):A32,"=2",OFFSET(A32,-E32+1,0):A32)))),IF(AND('депозитный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калькулятор'!$G$7="30/360"),DAY(EOMONTH(F32,0))=31),EOMONTH(F32,0)-1=F32,EOMONTH(F32,0)=F32)),IF(IF(AND(OR('депозитный калькулятор'!$G$7="30/365",'депозитный калькулятор'!$G$7="30/360"),DAY(EOMONTH($F$23,0))=31),F32=EOMONTH($F$23,0)-1,F32=EOMONTH($F$23,0)),MIN(OFFSET(H32,-(DAY(F32)-DAY($F$23)),0):H32)*E32,MIN(OFFSET(H32,-(DAY(F32)-1),0):H32)*IF(AND(OR('депозитный калькулятор'!$G$7="30/365",'депозитный калькулятор'!$G$7="30/360"),DAY(F32)&lt;30),30,DAY(F32))),IF(AND('депозитный калькулятор'!$G$10="ежемесячное, на средний остаток в течение месяца, при условии что остаток больше чем ограничение",F32='депозитный калькулятор'!$D$8,EOMONTH(F32,0)&lt;&gt;F32),IF('депозитный калькулятор'!$F$1=1,$H$24,SUM(OFFSET(Q32,-E32+1,0):Q32)),IF(AND('депозитный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калькулятор'!$G$7="30/360"),DAY(EOMONTH(F32,0))=31),EOMONTH(F32,0)-1=F32,EOMONTH(F32,0)=F32)),IF(IF(AND(OR('депозитный калькулятор'!$G$7="30/365",'депозитный калькулятор'!$G$7="30/360"),DAY(EOMONTH($F$24,0))=31),F32=EOMONTH($F$24,0)-1,F32=EOMONTH($F$24,0)),SUM(OFFSET(Q32,-E32+1,0):Q32),SUM(OFFSET(Q32,-E32+1,0):Q32)),IF('депозитный калькулятор'!$G$10="ежеквартальное",IF(F32&gt;'депозитный калькулятор'!$D$8," ",IF(AND(EOMONTH(F32,0)=F32,OR(MONTH(F32)=3,MONTH(F32)=6,MONTH(F32)=9,MONTH(F32)=12)),IF(EDATE(F32,-3)&lt;'депозитный калькулятор'!$D$7,SUM($H$23:H32),IF(MOD(YEAR(F32),4)=0,IF(AND(EOMONTH(F32,0)=F32,OR(MONTH(F32)=3,MONTH(F32)=6)),SUM(OFFSET(H32,-90,0):H32),IF(AND(EOMONTH(F32,0)=F32,OR(MONTH(F32)=9,MONTH(F32)=12)),SUM(OFFSET(H32,-91,0):H32))),IF(AND(EOMONTH(F32,0)=F32,MONTH(F32)=3),SUM(OFFSET(H32,-89,0):H32),IF(AND(EOMONTH(F32,0)=F32,MONTH(F32)=6),SUM(OFFSET(H32,-90,0):H32),IF(AND(EOMONTH(F32,0)=F32,OR(MONTH(F32)=9,MONTH(F32)=12)),SUM(OFFSET(H32,-91,0):H32)))))),IF(F32='депозитный калькулятор'!$D$8,SUM($H$23:H32)-SUM($I$23:I31),0))),IF('депозитный калькулятор'!$G$10="ежегодное",IF(F32&gt;'депозитный калькулятор'!$D$8," ",IF(F32='депозитный калькулятор'!$D$8,SUM($H$23:H32)-SUM($I$23:I31),IF(AND(EOMONTH(F32,0)=F32,MONTH(F32)=12),IF(MOD(YEAR(F31),4)=0,IF(F32-'депозитный калькулятор'!$D$7&lt;366,SUM($H$23:H32),SUM(OFFSET(H32,-365,0):H32)),IF(F32-'депозитный калькулятор'!$D$7&lt;365,SUM($H$23:H32),SUM(OFFSET(H32,-364,0):H32))),0))),IF(AND('депозитный калькулятор'!$G$10="в конце срока",'депозитный калькулятор'!$D$8=F32),SUM($H$23:H32),0))))))))))))))))))</f>
        <v>362.15564044170713</v>
      </c>
      <c r="J32" s="59">
        <f ca="1">IF(F32&gt;'депозитный калькулятор'!$D$8," ",IF('депозитный калькулятор'!$G$16="нет",0,IF(AND('депозитный калькулятор'!$G$17="разовая (в конце срока)",F32='депозитный калькулятор'!$D$8),'депозитный калькулятор'!$G$18,IF(AND('депозитный калькулятор'!$G$17="ежемесячная",EOMONTH(F31,0)=F31),'депозитный калькулятор'!$G$18,IF(AND('депозитный калькулятор'!$G$17="ежегодная",DAY(F31)=31,MONTH(F31)=12),'депозитный калькулятор'!$G$18,IF(AND('депозитный калькулятор'!$G$17="ежемесячная в зависимости от остатка",EOMONTH(F31,0)=F31,P31&gt;0),'депозитный калькулятор'!$G$18,IF(AND('депозитный калькулятор'!$G$17="ежегодная в зависимости от остатка",DAY(F31)=31,MONTH(F31)=12,P31&gt;0),'депозитный калькулятор'!$G$18,0)))))))</f>
        <v>0</v>
      </c>
      <c r="K32" s="135">
        <f>IF($F32=" "," ",IFERROR(VLOOKUP($F32,'депозитный калькулятор'!$B$26:$F$70,2,0),0))</f>
        <v>0</v>
      </c>
      <c r="L32" s="135">
        <f>IF($F32=" "," ",IFERROR(VLOOKUP($F32,'депозитный калькулятор'!$B$26:$F$70,3,0),0))</f>
        <v>0</v>
      </c>
      <c r="M32" s="135">
        <f>IF($F32=" "," ",IFERROR(VLOOKUP($F32,'депозитный калькулятор'!$B$26:$F$70,4,0),0))</f>
        <v>0</v>
      </c>
      <c r="N32" s="135">
        <f>IF($F32=" "," ",IFERROR(VLOOKUP($F32,'депозитный калькулятор'!$B$26:$F$70,5,0),0))</f>
        <v>0</v>
      </c>
      <c r="O32" s="146">
        <f>IF(F32&gt;'депозитный калькулятор'!$D$8," ",IF(F32='депозитный калькулятор'!$D$8,IF(AND($F$24='депозитный калькулятор'!$D$8,'депозитный калькулятор'!$G$13="нет"),-G32-IF(I32=" ",0,I32)-IF(AND(OR('депозитный калькулятор'!$G$7="30/365",'депозитный калькулятор'!$G$7="30/360"),'депозитный калькулятор'!$G$10="в начале срока"),I31,0)-L32+M32-N32,-G32-IF(I32=" ",0,I32)-L32+M32-N32),IF('депозитный калькулятор'!$G$13="есть",M32-N32+IF('депозитный калькулятор'!$G$14="есть",0,-L32),-IF(I32=" ",0,I32)-IF(AND(OR('депозитный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срока"),I31,0)+M32-N32+IF('депозитный калькулятор'!$G$14="есть",0,-L32))))</f>
        <v>0</v>
      </c>
      <c r="P32" s="147">
        <f ca="1">IF(F32&gt;'депозитный калькулятор'!$D$8," ",IF(EOMONTH(F31,0)=F31,0,IF(G32&gt;='депозитный калькулятор'!$G$19,P31,P31+1)))</f>
        <v>0</v>
      </c>
      <c r="Q32" s="138">
        <f ca="1">IF(F32=" "," ",IF(AND(OR('депозитный калькулятор'!$G$7="30/365",'депозитный калькулятор'!$G$7="30/360"),AND(MONTH(F32)=2,EOMONTH(F32,0)=F32)),IF(DAY(F32)=28,3,2),1)*IF(G32&gt;='депозитный калькулятор'!$G$11,IF(AND('депозитный калькулятор'!$G$7="факт/факт",MOD(YEAR(F32),4)=0),G32*'депозитный калькулятор'!$D$11/366,G32*'депозитный калькулятор'!$G$8),0))</f>
        <v>362.15564044170713</v>
      </c>
      <c r="R32" s="148"/>
      <c r="S32" s="62" t="str">
        <f t="shared" ca="1" si="2"/>
        <v xml:space="preserve"> </v>
      </c>
      <c r="T32" s="149" t="str">
        <f ca="1">IF(S32=" "," ",IF('депозитный калькулятор'!$G$7="30/360",DAYS360(U31,IF(DAY(U32)=31,U32-1,U32))+IF(AND(MONTH(U32)=2,U32=EOMONTH(U32,0)),30-DAY(EOMONTH(U32,0)))+T31,VLOOKUP(S32,$C$22:$F$1023,2,0)))</f>
        <v xml:space="preserve"> </v>
      </c>
      <c r="U32" s="64" t="str">
        <f t="shared" ca="1" si="0"/>
        <v xml:space="preserve"> </v>
      </c>
      <c r="V32" s="150" t="str">
        <f t="shared" ca="1" si="3"/>
        <v xml:space="preserve"> </v>
      </c>
      <c r="W32" s="62" t="str">
        <f t="shared" ca="1" si="4"/>
        <v xml:space="preserve"> </v>
      </c>
      <c r="X32" s="141" t="str">
        <f ca="1">IF(S32=" "," ",IFERROR(VLOOKUP(U32,$F$23:$N$1023,7)+VLOOKUP(U32,$F$23:$N$1023,9)+IF(AND('депозитный калькулятор'!$G$13="нет",U32&lt;&gt;'депозитный калькулятор'!$D$8),VLOOKUP(U32,$F$23:$N$1023,4),0),0)+IF(U32='депозитный калькулятор'!$D$8,VLOOKUP(U32,$F$23:$N$1023,2)+VLOOKUP(U32,$F$23:$N$1023,4),0))</f>
        <v xml:space="preserve"> </v>
      </c>
      <c r="Y32" s="142" t="str">
        <f ca="1">IF(S32=" "," ",W32/(1+'депозитный калькулятор'!$K$8)^(T32/IF('депозитный калькулятор'!$G$7="30/360",360,365)))</f>
        <v xml:space="preserve"> </v>
      </c>
      <c r="Z32" s="142" t="str">
        <f ca="1">IF(S32=" "," ",X32/(1+'депозитный калькулятор'!$K$8)^(T32/IF('депозитный калькулятор'!$G$7="30/360",360,365)))</f>
        <v xml:space="preserve"> </v>
      </c>
      <c r="AA32" s="151"/>
      <c r="AB32" s="151"/>
      <c r="AC32" s="155"/>
      <c r="AD32" s="155"/>
    </row>
    <row r="33" spans="1:30" s="2" customFormat="1" ht="15.5" x14ac:dyDescent="0.35">
      <c r="A33" s="41" t="str">
        <f>IF(F33=" "," ",IF(OR('депозитный калькулятор'!$G$7="30/365",'депозитный калькулятор'!$G$7="30/360"),IF(AND(MONTH(F33)=2,DAY(F33)=DAY(EOMONTH(F33,0))),30-DAY(EOMONTH(F33,0)),IF(DAY(F33)=31,1," "))," "))</f>
        <v xml:space="preserve"> </v>
      </c>
      <c r="B33" s="130">
        <f t="shared" ca="1" si="1"/>
        <v>1</v>
      </c>
      <c r="C33" s="130">
        <f ca="1">IF(OR(B33=0,B33=" ")," ",SUM($B$23:B33))</f>
        <v>2</v>
      </c>
      <c r="D33" s="62">
        <f>IF(D32=" "," ",IF(OR(F32='депозитный калькулятор'!$D$8,F32=" ")," ",D32+1))</f>
        <v>10</v>
      </c>
      <c r="E33" s="130">
        <f>IF(OR(F32='депозитный калькулятор'!$D$8,F32=" ")," ",IF(EOMONTH(F32,0)=F32,1,E32+1))</f>
        <v>10</v>
      </c>
      <c r="F33" s="64">
        <f>IF(F32=" "," ",IF(F32='депозитный калькулятор'!$D$8," ",F32+1))</f>
        <v>45302</v>
      </c>
      <c r="G33" s="145">
        <f ca="1" xml:space="preserve"> IF(F33&gt;'депозитный калькулятор'!$D$8," ",IF('депозитный калькулятор'!$G$13="есть",IF('депозитный калькулятор'!$G$14="есть",G32+IF(I32=" ",0,I32)-J33-K33+L33+M33-N33,G32+IF(I32=" ",0,I32)-J33-K33+M33-N33),IF('депозитный калькулятор'!$G$14="есть",G32-J33-K33+L33+M33-N33,G32-J33-K33+M33-N33)))</f>
        <v>1003254.6984020921</v>
      </c>
      <c r="H33" s="133">
        <f ca="1">IF(F33&gt;'депозитный калькулятор'!$D$8," ",IF(AND(OR('депозитный калькулятор'!$G$7="30/365",'депозитный калькулятор'!$G$7="30/360"),AND(MONTH(F33)=2,EOMONTH(F33,0)=F33)),IF(DAY(F33)=28,3*G33*'депозитный калькулятор'!$G$8,2*G33*'депозитный калькулятор'!$G$8),IF(AND(OR('депозитный калькулятор'!$G$7="30/365",'депозитный калькулятор'!$G$7="30/360"),DAY(F33)=31)," ",IF(AND('депозитный калькулятор'!$G$7="факт/факт",MOD(YEAR(F33),4)=0),G33*'депозитный калькулятор'!$D$11/366,G33*'депозитный калькулятор'!$G$8))))</f>
        <v>362.28641886742219</v>
      </c>
      <c r="I33" s="134">
        <f ca="1">IF(F33=" "," ",IF('депозитный калькулятор'!$G$10="ежедневное",H33,IF(AND('депозитный калькулятор'!$G$10="еженедельное",WEEKDAY(F33,2)=7),SUM(OFFSET(H33,-6,0):H33),IF(AND('депозитный калькулятор'!$G$10="еженедельное",F33='депозитный калькулятор'!$D$8),SUM($H$23:H33)-SUM($I$23:I32),IF(AND('депозитный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недели",WEEKDAY(F33,2)=7),MIN(OFFSET(H33,-6,0):H33)*(COUNTIF(OFFSET(H33,-6,0):H33,"&gt;0")+SUMIF(OFFSET(A33,-WEEKDAY(F33,2),0):A33,"=2",OFFSET(A33,-WEEKDAY(F33,2),0):A33)),IF(AND('депозитный калькулятор'!$G$10="еженедельное, на минимальную сумму зафиксированную в течение недели",F33='депозитный калькулятор'!$D$8,WEEKDAY(F33,2)&lt;&gt;7),MIN(OFFSET(H33,-WEEKDAY(F33,2),0):H33)*(COUNTIF(OFFSET(H33,-WEEKDAY(F33,2)+1,0):H33,"&gt;0")+SUM(OFFSET(A33,-WEEKDAY(F33,2),0):A33)),IF(AND('депозитный калькулятор'!$G$10="ежемесячное (в конце месяца)",F33='депозитный калькулятор'!$D$8,EOMONTH(F33,0)&lt;&gt;F33),IF('депозитный калькулятор'!$F$1=1,$H$24,SUM($H$23:H33)-SUM($I$23:I32)),IF(AND('депозитный калькулятор'!$G$10="ежемесячное (в конце месяца)",EOMONTH(F33,0)=F33),SUM($H$23:H33)-SUM($I$23:I32),IF(AND('депозитный калькулятор'!$G$10="ежемесячное (по дням открытия вклада)",F33='депозитный калькулятор'!$D$8,DAY('депозитный калькулятор'!$D$7)&lt;&gt;DAY(F33)),IF('депозитный калькулятор'!$F$1=1,$H$24,SUM($H$23:H33)-SUM($I$23:I32)),IF(AND('депозитный калькулятор'!$G$10="ежемесячное (по дням открытия вклада)",DAY('депозитный калькулятор'!$D$7)=DAY(F33)),SUM($H$23:H33)-SUM($I$23:I32),IF(AND('депозитный калькулятор'!$G$10="ежемесячное, на минимальную сумму зафиксированную в течение месяца",F33='депозитный калькулятор'!$D$8,EOMONTH(F33,0)&lt;&gt;F33),IF('депозитный калькулятор'!$F$1=1,$H$24,IF(AND(OR('депозитный калькулятор'!$G$7="30/365",'депозитный калькулятор'!$G$7="30/360"),DAY(F33)=31),0,MIN(OFFSET(H33,-E33+1,0):H33)*(E33+SUMIF(OFFSET(A33,-E33+1,0):A33,"=2",OFFSET(A33,-E33+1,0):A33)))),IF(AND('депозитный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калькулятор'!$G$7="30/360"),DAY(EOMONTH(F33,0))=31),EOMONTH(F33,0)-1=F33,EOMONTH(F33,0)=F33)),IF(IF(AND(OR('депозитный калькулятор'!$G$7="30/365",'депозитный калькулятор'!$G$7="30/360"),DAY(EOMONTH($F$23,0))=31),F33=EOMONTH($F$23,0)-1,F33=EOMONTH($F$23,0)),MIN(OFFSET(H33,-(DAY(F33)-DAY($F$23)),0):H33)*E33,MIN(OFFSET(H33,-(DAY(F33)-1),0):H33)*IF(AND(OR('депозитный калькулятор'!$G$7="30/365",'депозитный калькулятор'!$G$7="30/360"),DAY(F33)&lt;30),30,DAY(F33))),IF(AND('депозитный калькулятор'!$G$10="ежемесячное, на средний остаток в течение месяца, при условии что остаток больше чем ограничение",F33='депозитный калькулятор'!$D$8,EOMONTH(F33,0)&lt;&gt;F33),IF('депозитный калькулятор'!$F$1=1,$H$24,SUM(OFFSET(Q33,-E33+1,0):Q33)),IF(AND('депозитный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калькулятор'!$G$7="30/360"),DAY(EOMONTH(F33,0))=31),EOMONTH(F33,0)-1=F33,EOMONTH(F33,0)=F33)),IF(IF(AND(OR('депозитный калькулятор'!$G$7="30/365",'депозитный калькулятор'!$G$7="30/360"),DAY(EOMONTH($F$24,0))=31),F33=EOMONTH($F$24,0)-1,F33=EOMONTH($F$24,0)),SUM(OFFSET(Q33,-E33+1,0):Q33),SUM(OFFSET(Q33,-E33+1,0):Q33)),IF('депозитный калькулятор'!$G$10="ежеквартальное",IF(F33&gt;'депозитный калькулятор'!$D$8," ",IF(AND(EOMONTH(F33,0)=F33,OR(MONTH(F33)=3,MONTH(F33)=6,MONTH(F33)=9,MONTH(F33)=12)),IF(EDATE(F33,-3)&lt;'депозитный калькулятор'!$D$7,SUM($H$23:H33),IF(MOD(YEAR(F33),4)=0,IF(AND(EOMONTH(F33,0)=F33,OR(MONTH(F33)=3,MONTH(F33)=6)),SUM(OFFSET(H33,-90,0):H33),IF(AND(EOMONTH(F33,0)=F33,OR(MONTH(F33)=9,MONTH(F33)=12)),SUM(OFFSET(H33,-91,0):H33))),IF(AND(EOMONTH(F33,0)=F33,MONTH(F33)=3),SUM(OFFSET(H33,-89,0):H33),IF(AND(EOMONTH(F33,0)=F33,MONTH(F33)=6),SUM(OFFSET(H33,-90,0):H33),IF(AND(EOMONTH(F33,0)=F33,OR(MONTH(F33)=9,MONTH(F33)=12)),SUM(OFFSET(H33,-91,0):H33)))))),IF(F33='депозитный калькулятор'!$D$8,SUM($H$23:H33)-SUM($I$23:I32),0))),IF('депозитный калькулятор'!$G$10="ежегодное",IF(F33&gt;'депозитный калькулятор'!$D$8," ",IF(F33='депозитный калькулятор'!$D$8,SUM($H$23:H33)-SUM($I$23:I32),IF(AND(EOMONTH(F33,0)=F33,MONTH(F33)=12),IF(MOD(YEAR(F32),4)=0,IF(F33-'депозитный калькулятор'!$D$7&lt;366,SUM($H$23:H33),SUM(OFFSET(H33,-365,0):H33)),IF(F33-'депозитный калькулятор'!$D$7&lt;365,SUM($H$23:H33),SUM(OFFSET(H33,-364,0):H33))),0))),IF(AND('депозитный калькулятор'!$G$10="в конце срока",'депозитный калькулятор'!$D$8=F33),SUM($H$23:H33),0))))))))))))))))))</f>
        <v>362.28641886742219</v>
      </c>
      <c r="J33" s="59">
        <f ca="1">IF(F33&gt;'депозитный калькулятор'!$D$8," ",IF('депозитный калькулятор'!$G$16="нет",0,IF(AND('депозитный калькулятор'!$G$17="разовая (в конце срока)",F33='депозитный калькулятор'!$D$8),'депозитный калькулятор'!$G$18,IF(AND('депозитный калькулятор'!$G$17="ежемесячная",EOMONTH(F32,0)=F32),'депозитный калькулятор'!$G$18,IF(AND('депозитный калькулятор'!$G$17="ежегодная",DAY(F32)=31,MONTH(F32)=12),'депозитный калькулятор'!$G$18,IF(AND('депозитный калькулятор'!$G$17="ежемесячная в зависимости от остатка",EOMONTH(F32,0)=F32,P32&gt;0),'депозитный калькулятор'!$G$18,IF(AND('депозитный калькулятор'!$G$17="ежегодная в зависимости от остатка",DAY(F32)=31,MONTH(F32)=12,P32&gt;0),'депозитный калькулятор'!$G$18,0)))))))</f>
        <v>0</v>
      </c>
      <c r="K33" s="135">
        <f>IF($F33=" "," ",IFERROR(VLOOKUP($F33,'депозитный калькулятор'!$B$26:$F$70,2,0),0))</f>
        <v>0</v>
      </c>
      <c r="L33" s="135">
        <f>IF($F33=" "," ",IFERROR(VLOOKUP($F33,'депозитный калькулятор'!$B$26:$F$70,3,0),0))</f>
        <v>0</v>
      </c>
      <c r="M33" s="135">
        <f>IF($F33=" "," ",IFERROR(VLOOKUP($F33,'депозитный калькулятор'!$B$26:$F$70,4,0),0))</f>
        <v>0</v>
      </c>
      <c r="N33" s="135">
        <f>IF($F33=" "," ",IFERROR(VLOOKUP($F33,'депозитный калькулятор'!$B$26:$F$70,5,0),0))</f>
        <v>0</v>
      </c>
      <c r="O33" s="146">
        <f ca="1">IF(F33&gt;'депозитный калькулятор'!$D$8," ",IF(F33='депозитный калькулятор'!$D$8,IF(AND($F$24='депозитный калькулятор'!$D$8,'депозитный калькулятор'!$G$13="нет"),-G33-IF(I33=" ",0,I33)-IF(AND(OR('депозитный калькулятор'!$G$7="30/365",'депозитный калькулятор'!$G$7="30/360"),'депозитный калькулятор'!$G$10="в начале срока"),I32,0)-L33+M33-N33,-G33-IF(I33=" ",0,I33)-L33+M33-N33),IF('депозитный калькулятор'!$G$13="есть",M33-N33+IF('депозитный калькулятор'!$G$14="есть",0,-L33),-IF(I33=" ",0,I33)-IF(AND(OR('депозитный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срока"),I32,0)+M33-N33+IF('депозитный калькулятор'!$G$14="есть",0,-L33))))</f>
        <v>-1003616.9848209595</v>
      </c>
      <c r="P33" s="147">
        <f ca="1">IF(F33&gt;'депозитный калькулятор'!$D$8," ",IF(EOMONTH(F32,0)=F32,0,IF(G33&gt;='депозитный калькулятор'!$G$19,P32,P32+1)))</f>
        <v>0</v>
      </c>
      <c r="Q33" s="138">
        <f ca="1">IF(F33=" "," ",IF(AND(OR('депозитный калькулятор'!$G$7="30/365",'депозитный калькулятор'!$G$7="30/360"),AND(MONTH(F33)=2,EOMONTH(F33,0)=F33)),IF(DAY(F33)=28,3,2),1)*IF(G33&gt;='депозитный калькулятор'!$G$11,IF(AND('депозитный калькулятор'!$G$7="факт/факт",MOD(YEAR(F33),4)=0),G33*'депозитный калькулятор'!$D$11/366,G33*'депозитный калькулятор'!$G$8),0))</f>
        <v>362.28641886742219</v>
      </c>
      <c r="R33" s="148"/>
      <c r="S33" s="62" t="str">
        <f t="shared" ca="1" si="2"/>
        <v xml:space="preserve"> </v>
      </c>
      <c r="T33" s="149" t="str">
        <f ca="1">IF(S33=" "," ",IF('депозитный калькулятор'!$G$7="30/360",DAYS360(U32,IF(DAY(U33)=31,U33-1,U33))+IF(AND(MONTH(U33)=2,U33=EOMONTH(U33,0)),30-DAY(EOMONTH(U33,0)))+T32,VLOOKUP(S33,$C$22:$F$1023,2,0)))</f>
        <v xml:space="preserve"> </v>
      </c>
      <c r="U33" s="64" t="str">
        <f t="shared" ca="1" si="0"/>
        <v xml:space="preserve"> </v>
      </c>
      <c r="V33" s="150" t="str">
        <f t="shared" ca="1" si="3"/>
        <v xml:space="preserve"> </v>
      </c>
      <c r="W33" s="62" t="str">
        <f t="shared" ca="1" si="4"/>
        <v xml:space="preserve"> </v>
      </c>
      <c r="X33" s="141" t="str">
        <f ca="1">IF(S33=" "," ",IFERROR(VLOOKUP(U33,$F$23:$N$1023,7)+VLOOKUP(U33,$F$23:$N$1023,9)+IF(AND('депозитный калькулятор'!$G$13="нет",U33&lt;&gt;'депозитный калькулятор'!$D$8),VLOOKUP(U33,$F$23:$N$1023,4),0),0)+IF(U33='депозитный калькулятор'!$D$8,VLOOKUP(U33,$F$23:$N$1023,2)+VLOOKUP(U33,$F$23:$N$1023,4),0))</f>
        <v xml:space="preserve"> </v>
      </c>
      <c r="Y33" s="142" t="str">
        <f ca="1">IF(S33=" "," ",W33/(1+'депозитный калькулятор'!$K$8)^(T33/IF('депозитный калькулятор'!$G$7="30/360",360,365)))</f>
        <v xml:space="preserve"> </v>
      </c>
      <c r="Z33" s="142" t="str">
        <f ca="1">IF(S33=" "," ",X33/(1+'депозитный калькулятор'!$K$8)^(T33/IF('депозитный калькулятор'!$G$7="30/360",360,365)))</f>
        <v xml:space="preserve"> </v>
      </c>
      <c r="AA33" s="151"/>
      <c r="AB33" s="151"/>
      <c r="AC33" s="155"/>
      <c r="AD33" s="155"/>
    </row>
    <row r="34" spans="1:30" s="2" customFormat="1" ht="15.5" x14ac:dyDescent="0.35">
      <c r="A34" s="41" t="str">
        <f>IF(F34=" "," ",IF(OR('депозитный калькулятор'!$G$7="30/365",'депозитный калькулятор'!$G$7="30/360"),IF(AND(MONTH(F34)=2,DAY(F34)=DAY(EOMONTH(F34,0))),30-DAY(EOMONTH(F34,0)),IF(DAY(F34)=31,1," "))," "))</f>
        <v xml:space="preserve"> </v>
      </c>
      <c r="B34" s="130" t="str">
        <f t="shared" si="1"/>
        <v xml:space="preserve"> </v>
      </c>
      <c r="C34" s="130" t="str">
        <f>IF(OR(B34=0,B34=" ")," ",SUM($B$23:B34))</f>
        <v xml:space="preserve"> </v>
      </c>
      <c r="D34" s="62" t="str">
        <f>IF(D33=" "," ",IF(OR(F33='депозитный калькулятор'!$D$8,F33=" ")," ",D33+1))</f>
        <v xml:space="preserve"> </v>
      </c>
      <c r="E34" s="130" t="str">
        <f>IF(OR(F33='депозитный калькулятор'!$D$8,F33=" ")," ",IF(EOMONTH(F33,0)=F33,1,E33+1))</f>
        <v xml:space="preserve"> </v>
      </c>
      <c r="F34" s="64" t="str">
        <f>IF(F33=" "," ",IF(F33='депозитный калькулятор'!$D$8," ",F33+1))</f>
        <v xml:space="preserve"> </v>
      </c>
      <c r="G34" s="145" t="str">
        <f xml:space="preserve"> IF(F34&gt;'депозитный калькулятор'!$D$8," ",IF('депозитный калькулятор'!$G$13="есть",IF('депозитный калькулятор'!$G$14="есть",G33+IF(I33=" ",0,I33)-J34-K34+L34+M34-N34,G33+IF(I33=" ",0,I33)-J34-K34+M34-N34),IF('депозитный калькулятор'!$G$14="есть",G33-J34-K34+L34+M34-N34,G33-J34-K34+M34-N34)))</f>
        <v xml:space="preserve"> </v>
      </c>
      <c r="H34" s="133" t="str">
        <f>IF(F34&gt;'депозитный калькулятор'!$D$8," ",IF(AND(OR('депозитный калькулятор'!$G$7="30/365",'депозитный калькулятор'!$G$7="30/360"),AND(MONTH(F34)=2,EOMONTH(F34,0)=F34)),IF(DAY(F34)=28,3*G34*'депозитный калькулятор'!$G$8,2*G34*'депозитный калькулятор'!$G$8),IF(AND(OR('депозитный калькулятор'!$G$7="30/365",'депозитный калькулятор'!$G$7="30/360"),DAY(F34)=31)," ",IF(AND('депозитный калькулятор'!$G$7="факт/факт",MOD(YEAR(F34),4)=0),G34*'депозитный калькулятор'!$D$11/366,G34*'депозитный калькулятор'!$G$8))))</f>
        <v xml:space="preserve"> </v>
      </c>
      <c r="I34" s="134" t="str">
        <f ca="1">IF(F34=" "," ",IF('депозитный калькулятор'!$G$10="ежедневное",H34,IF(AND('депозитный калькулятор'!$G$10="еженедельное",WEEKDAY(F34,2)=7),SUM(OFFSET(H34,-6,0):H34),IF(AND('депозитный калькулятор'!$G$10="еженедельное",F34='депозитный калькулятор'!$D$8),SUM($H$23:H34)-SUM($I$23:I33),IF(AND('депозитный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недели",WEEKDAY(F34,2)=7),MIN(OFFSET(H34,-6,0):H34)*(COUNTIF(OFFSET(H34,-6,0):H34,"&gt;0")+SUMIF(OFFSET(A34,-WEEKDAY(F34,2),0):A34,"=2",OFFSET(A34,-WEEKDAY(F34,2),0):A34)),IF(AND('депозитный калькулятор'!$G$10="еженедельное, на минимальную сумму зафиксированную в течение недели",F34='депозитный калькулятор'!$D$8,WEEKDAY(F34,2)&lt;&gt;7),MIN(OFFSET(H34,-WEEKDAY(F34,2),0):H34)*(COUNTIF(OFFSET(H34,-WEEKDAY(F34,2)+1,0):H34,"&gt;0")+SUM(OFFSET(A34,-WEEKDAY(F34,2),0):A34)),IF(AND('депозитный калькулятор'!$G$10="ежемесячное (в конце месяца)",F34='депозитный калькулятор'!$D$8,EOMONTH(F34,0)&lt;&gt;F34),IF('депозитный калькулятор'!$F$1=1,$H$24,SUM($H$23:H34)-SUM($I$23:I33)),IF(AND('депозитный калькулятор'!$G$10="ежемесячное (в конце месяца)",EOMONTH(F34,0)=F34),SUM($H$23:H34)-SUM($I$23:I33),IF(AND('депозитный калькулятор'!$G$10="ежемесячное (по дням открытия вклада)",F34='депозитный калькулятор'!$D$8,DAY('депозитный калькулятор'!$D$7)&lt;&gt;DAY(F34)),IF('депозитный калькулятор'!$F$1=1,$H$24,SUM($H$23:H34)-SUM($I$23:I33)),IF(AND('депозитный калькулятор'!$G$10="ежемесячное (по дням открытия вклада)",DAY('депозитный калькулятор'!$D$7)=DAY(F34)),SUM($H$23:H34)-SUM($I$23:I33),IF(AND('депозитный калькулятор'!$G$10="ежемесячное, на минимальную сумму зафиксированную в течение месяца",F34='депозитный калькулятор'!$D$8,EOMONTH(F34,0)&lt;&gt;F34),IF('депозитный калькулятор'!$F$1=1,$H$24,IF(AND(OR('депозитный калькулятор'!$G$7="30/365",'депозитный калькулятор'!$G$7="30/360"),DAY(F34)=31),0,MIN(OFFSET(H34,-E34+1,0):H34)*(E34+SUMIF(OFFSET(A34,-E34+1,0):A34,"=2",OFFSET(A34,-E34+1,0):A34)))),IF(AND('депозитный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калькулятор'!$G$7="30/360"),DAY(EOMONTH(F34,0))=31),EOMONTH(F34,0)-1=F34,EOMONTH(F34,0)=F34)),IF(IF(AND(OR('депозитный калькулятор'!$G$7="30/365",'депозитный калькулятор'!$G$7="30/360"),DAY(EOMONTH($F$23,0))=31),F34=EOMONTH($F$23,0)-1,F34=EOMONTH($F$23,0)),MIN(OFFSET(H34,-(DAY(F34)-DAY($F$23)),0):H34)*E34,MIN(OFFSET(H34,-(DAY(F34)-1),0):H34)*IF(AND(OR('депозитный калькулятор'!$G$7="30/365",'депозитный калькулятор'!$G$7="30/360"),DAY(F34)&lt;30),30,DAY(F34))),IF(AND('депозитный калькулятор'!$G$10="ежемесячное, на средний остаток в течение месяца, при условии что остаток больше чем ограничение",F34='депозитный калькулятор'!$D$8,EOMONTH(F34,0)&lt;&gt;F34),IF('депозитный калькулятор'!$F$1=1,$H$24,SUM(OFFSET(Q34,-E34+1,0):Q34)),IF(AND('депозитный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калькулятор'!$G$7="30/360"),DAY(EOMONTH(F34,0))=31),EOMONTH(F34,0)-1=F34,EOMONTH(F34,0)=F34)),IF(IF(AND(OR('депозитный калькулятор'!$G$7="30/365",'депозитный калькулятор'!$G$7="30/360"),DAY(EOMONTH($F$24,0))=31),F34=EOMONTH($F$24,0)-1,F34=EOMONTH($F$24,0)),SUM(OFFSET(Q34,-E34+1,0):Q34),SUM(OFFSET(Q34,-E34+1,0):Q34)),IF('депозитный калькулятор'!$G$10="ежеквартальное",IF(F34&gt;'депозитный калькулятор'!$D$8," ",IF(AND(EOMONTH(F34,0)=F34,OR(MONTH(F34)=3,MONTH(F34)=6,MONTH(F34)=9,MONTH(F34)=12)),IF(EDATE(F34,-3)&lt;'депозитный калькулятор'!$D$7,SUM($H$23:H34),IF(MOD(YEAR(F34),4)=0,IF(AND(EOMONTH(F34,0)=F34,OR(MONTH(F34)=3,MONTH(F34)=6)),SUM(OFFSET(H34,-90,0):H34),IF(AND(EOMONTH(F34,0)=F34,OR(MONTH(F34)=9,MONTH(F34)=12)),SUM(OFFSET(H34,-91,0):H34))),IF(AND(EOMONTH(F34,0)=F34,MONTH(F34)=3),SUM(OFFSET(H34,-89,0):H34),IF(AND(EOMONTH(F34,0)=F34,MONTH(F34)=6),SUM(OFFSET(H34,-90,0):H34),IF(AND(EOMONTH(F34,0)=F34,OR(MONTH(F34)=9,MONTH(F34)=12)),SUM(OFFSET(H34,-91,0):H34)))))),IF(F34='депозитный калькулятор'!$D$8,SUM($H$23:H34)-SUM($I$23:I33),0))),IF('депозитный калькулятор'!$G$10="ежегодное",IF(F34&gt;'депозитный калькулятор'!$D$8," ",IF(F34='депозитный калькулятор'!$D$8,SUM($H$23:H34)-SUM($I$23:I33),IF(AND(EOMONTH(F34,0)=F34,MONTH(F34)=12),IF(MOD(YEAR(F33),4)=0,IF(F34-'депозитный калькулятор'!$D$7&lt;366,SUM($H$23:H34),SUM(OFFSET(H34,-365,0):H34)),IF(F34-'депозитный калькулятор'!$D$7&lt;365,SUM($H$23:H34),SUM(OFFSET(H34,-364,0):H34))),0))),IF(AND('депозитный калькулятор'!$G$10="в конце срока",'депозитный калькулятор'!$D$8=F34),SUM($H$23:H34),0))))))))))))))))))</f>
        <v xml:space="preserve"> </v>
      </c>
      <c r="J34" s="59" t="str">
        <f>IF(F34&gt;'депозитный калькулятор'!$D$8," ",IF('депозитный калькулятор'!$G$16="нет",0,IF(AND('депозитный калькулятор'!$G$17="разовая (в конце срока)",F34='депозитный калькулятор'!$D$8),'депозитный калькулятор'!$G$18,IF(AND('депозитный калькулятор'!$G$17="ежемесячная",EOMONTH(F33,0)=F33),'депозитный калькулятор'!$G$18,IF(AND('депозитный калькулятор'!$G$17="ежегодная",DAY(F33)=31,MONTH(F33)=12),'депозитный калькулятор'!$G$18,IF(AND('депозитный калькулятор'!$G$17="ежемесячная в зависимости от остатка",EOMONTH(F33,0)=F33,P33&gt;0),'депозитный калькулятор'!$G$18,IF(AND('депозитный калькулятор'!$G$17="ежегодная в зависимости от остатка",DAY(F33)=31,MONTH(F33)=12,P33&gt;0),'депозитный калькулятор'!$G$18,0)))))))</f>
        <v xml:space="preserve"> </v>
      </c>
      <c r="K34" s="135" t="str">
        <f>IF($F34=" "," ",IFERROR(VLOOKUP($F34,'депозитный калькулятор'!$B$26:$F$70,2,0),0))</f>
        <v xml:space="preserve"> </v>
      </c>
      <c r="L34" s="135" t="str">
        <f>IF($F34=" "," ",IFERROR(VLOOKUP($F34,'депозитный калькулятор'!$B$26:$F$70,3,0),0))</f>
        <v xml:space="preserve"> </v>
      </c>
      <c r="M34" s="135" t="str">
        <f>IF($F34=" "," ",IFERROR(VLOOKUP($F34,'депозитный калькулятор'!$B$26:$F$70,4,0),0))</f>
        <v xml:space="preserve"> </v>
      </c>
      <c r="N34" s="135" t="str">
        <f>IF($F34=" "," ",IFERROR(VLOOKUP($F34,'депозитный калькулятор'!$B$26:$F$70,5,0),0))</f>
        <v xml:space="preserve"> </v>
      </c>
      <c r="O34" s="146" t="str">
        <f>IF(F34&gt;'депозитный калькулятор'!$D$8," ",IF(F34='депозитный калькулятор'!$D$8,IF(AND($F$24='депозитный калькулятор'!$D$8,'депозитный калькулятор'!$G$13="нет"),-G34-IF(I34=" ",0,I34)-IF(AND(OR('депозитный калькулятор'!$G$7="30/365",'депозитный калькулятор'!$G$7="30/360"),'депозитный калькулятор'!$G$10="в начале срока"),I33,0)-L34+M34-N34,-G34-IF(I34=" ",0,I34)-L34+M34-N34),IF('депозитный калькулятор'!$G$13="есть",M34-N34+IF('депозитный калькулятор'!$G$14="есть",0,-L34),-IF(I34=" ",0,I34)-IF(AND(OR('депозитный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срока"),I33,0)+M34-N34+IF('депозитный калькулятор'!$G$14="есть",0,-L34))))</f>
        <v xml:space="preserve"> </v>
      </c>
      <c r="P34" s="147" t="str">
        <f>IF(F34&gt;'депозитный калькулятор'!$D$8," ",IF(EOMONTH(F33,0)=F33,0,IF(G34&gt;='депозитный калькулятор'!$G$19,P33,P33+1)))</f>
        <v xml:space="preserve"> </v>
      </c>
      <c r="Q34" s="138" t="str">
        <f>IF(F34=" "," ",IF(AND(OR('депозитный калькулятор'!$G$7="30/365",'депозитный калькулятор'!$G$7="30/360"),AND(MONTH(F34)=2,EOMONTH(F34,0)=F34)),IF(DAY(F34)=28,3,2),1)*IF(G34&gt;='депозитный калькулятор'!$G$11,IF(AND('депозитный калькулятор'!$G$7="факт/факт",MOD(YEAR(F34),4)=0),G34*'депозитный калькулятор'!$D$11/366,G34*'депозитный калькулятор'!$G$8),0))</f>
        <v xml:space="preserve"> </v>
      </c>
      <c r="R34" s="148"/>
      <c r="S34" s="62" t="str">
        <f t="shared" ca="1" si="2"/>
        <v xml:space="preserve"> </v>
      </c>
      <c r="T34" s="149" t="str">
        <f ca="1">IF(S34=" "," ",IF('депозитный калькулятор'!$G$7="30/360",DAYS360(U33,IF(DAY(U34)=31,U34-1,U34))+IF(AND(MONTH(U34)=2,U34=EOMONTH(U34,0)),30-DAY(EOMONTH(U34,0)))+T33,VLOOKUP(S34,$C$22:$F$1023,2,0)))</f>
        <v xml:space="preserve"> </v>
      </c>
      <c r="U34" s="64" t="str">
        <f t="shared" ca="1" si="0"/>
        <v xml:space="preserve"> </v>
      </c>
      <c r="V34" s="150" t="str">
        <f t="shared" ca="1" si="3"/>
        <v xml:space="preserve"> </v>
      </c>
      <c r="W34" s="62" t="str">
        <f t="shared" ca="1" si="4"/>
        <v xml:space="preserve"> </v>
      </c>
      <c r="X34" s="141" t="str">
        <f ca="1">IF(S34=" "," ",IFERROR(VLOOKUP(U34,$F$23:$N$1023,7)+VLOOKUP(U34,$F$23:$N$1023,9)+IF(AND('депозитный калькулятор'!$G$13="нет",U34&lt;&gt;'депозитный калькулятор'!$D$8),VLOOKUP(U34,$F$23:$N$1023,4),0),0)+IF(U34='депозитный калькулятор'!$D$8,VLOOKUP(U34,$F$23:$N$1023,2)+VLOOKUP(U34,$F$23:$N$1023,4),0))</f>
        <v xml:space="preserve"> </v>
      </c>
      <c r="Y34" s="142" t="str">
        <f ca="1">IF(S34=" "," ",W34/(1+'депозитный калькулятор'!$K$8)^(T34/IF('депозитный калькулятор'!$G$7="30/360",360,365)))</f>
        <v xml:space="preserve"> </v>
      </c>
      <c r="Z34" s="142" t="str">
        <f ca="1">IF(S34=" "," ",X34/(1+'депозитный калькулятор'!$K$8)^(T34/IF('депозитный калькулятор'!$G$7="30/360",360,365)))</f>
        <v xml:space="preserve"> </v>
      </c>
      <c r="AA34" s="151"/>
      <c r="AB34" s="151"/>
      <c r="AC34" s="155"/>
      <c r="AD34" s="155"/>
    </row>
    <row r="35" spans="1:30" s="2" customFormat="1" ht="15.5" x14ac:dyDescent="0.35">
      <c r="A35" s="41" t="str">
        <f>IF(F35=" "," ",IF(OR('депозитный калькулятор'!$G$7="30/365",'депозитный калькулятор'!$G$7="30/360"),IF(AND(MONTH(F35)=2,DAY(F35)=DAY(EOMONTH(F35,0))),30-DAY(EOMONTH(F35,0)),IF(DAY(F35)=31,1," "))," "))</f>
        <v xml:space="preserve"> </v>
      </c>
      <c r="B35" s="130" t="str">
        <f t="shared" si="1"/>
        <v xml:space="preserve"> </v>
      </c>
      <c r="C35" s="130" t="str">
        <f>IF(OR(B35=0,B35=" ")," ",SUM($B$23:B35))</f>
        <v xml:space="preserve"> </v>
      </c>
      <c r="D35" s="62" t="str">
        <f>IF(D34=" "," ",IF(OR(F34='депозитный калькулятор'!$D$8,F34=" ")," ",D34+1))</f>
        <v xml:space="preserve"> </v>
      </c>
      <c r="E35" s="130" t="str">
        <f>IF(OR(F34='депозитный калькулятор'!$D$8,F34=" ")," ",IF(EOMONTH(F34,0)=F34,1,E34+1))</f>
        <v xml:space="preserve"> </v>
      </c>
      <c r="F35" s="64" t="str">
        <f>IF(F34=" "," ",IF(F34='депозитный калькулятор'!$D$8," ",F34+1))</f>
        <v xml:space="preserve"> </v>
      </c>
      <c r="G35" s="145" t="str">
        <f xml:space="preserve"> IF(F35&gt;'депозитный калькулятор'!$D$8," ",IF('депозитный калькулятор'!$G$13="есть",IF('депозитный калькулятор'!$G$14="есть",G34+IF(I34=" ",0,I34)-J35-K35+L35+M35-N35,G34+IF(I34=" ",0,I34)-J35-K35+M35-N35),IF('депозитный калькулятор'!$G$14="есть",G34-J35-K35+L35+M35-N35,G34-J35-K35+M35-N35)))</f>
        <v xml:space="preserve"> </v>
      </c>
      <c r="H35" s="133" t="str">
        <f>IF(F35&gt;'депозитный калькулятор'!$D$8," ",IF(AND(OR('депозитный калькулятор'!$G$7="30/365",'депозитный калькулятор'!$G$7="30/360"),AND(MONTH(F35)=2,EOMONTH(F35,0)=F35)),IF(DAY(F35)=28,3*G35*'депозитный калькулятор'!$G$8,2*G35*'депозитный калькулятор'!$G$8),IF(AND(OR('депозитный калькулятор'!$G$7="30/365",'депозитный калькулятор'!$G$7="30/360"),DAY(F35)=31)," ",IF(AND('депозитный калькулятор'!$G$7="факт/факт",MOD(YEAR(F35),4)=0),G35*'депозитный калькулятор'!$D$11/366,G35*'депозитный калькулятор'!$G$8))))</f>
        <v xml:space="preserve"> </v>
      </c>
      <c r="I35" s="134" t="str">
        <f ca="1">IF(F35=" "," ",IF('депозитный калькулятор'!$G$10="ежедневное",H35,IF(AND('депозитный калькулятор'!$G$10="еженедельное",WEEKDAY(F35,2)=7),SUM(OFFSET(H35,-6,0):H35),IF(AND('депозитный калькулятор'!$G$10="еженедельное",F35='депозитный калькулятор'!$D$8),SUM($H$23:H35)-SUM($I$23:I34),IF(AND('депозитный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недели",WEEKDAY(F35,2)=7),MIN(OFFSET(H35,-6,0):H35)*(COUNTIF(OFFSET(H35,-6,0):H35,"&gt;0")+SUMIF(OFFSET(A35,-WEEKDAY(F35,2),0):A35,"=2",OFFSET(A35,-WEEKDAY(F35,2),0):A35)),IF(AND('депозитный калькулятор'!$G$10="еженедельное, на минимальную сумму зафиксированную в течение недели",F35='депозитный калькулятор'!$D$8,WEEKDAY(F35,2)&lt;&gt;7),MIN(OFFSET(H35,-WEEKDAY(F35,2),0):H35)*(COUNTIF(OFFSET(H35,-WEEKDAY(F35,2)+1,0):H35,"&gt;0")+SUM(OFFSET(A35,-WEEKDAY(F35,2),0):A35)),IF(AND('депозитный калькулятор'!$G$10="ежемесячное (в конце месяца)",F35='депозитный калькулятор'!$D$8,EOMONTH(F35,0)&lt;&gt;F35),IF('депозитный калькулятор'!$F$1=1,$H$24,SUM($H$23:H35)-SUM($I$23:I34)),IF(AND('депозитный калькулятор'!$G$10="ежемесячное (в конце месяца)",EOMONTH(F35,0)=F35),SUM($H$23:H35)-SUM($I$23:I34),IF(AND('депозитный калькулятор'!$G$10="ежемесячное (по дням открытия вклада)",F35='депозитный калькулятор'!$D$8,DAY('депозитный калькулятор'!$D$7)&lt;&gt;DAY(F35)),IF('депозитный калькулятор'!$F$1=1,$H$24,SUM($H$23:H35)-SUM($I$23:I34)),IF(AND('депозитный калькулятор'!$G$10="ежемесячное (по дням открытия вклада)",DAY('депозитный калькулятор'!$D$7)=DAY(F35)),SUM($H$23:H35)-SUM($I$23:I34),IF(AND('депозитный калькулятор'!$G$10="ежемесячное, на минимальную сумму зафиксированную в течение месяца",F35='депозитный калькулятор'!$D$8,EOMONTH(F35,0)&lt;&gt;F35),IF('депозитный калькулятор'!$F$1=1,$H$24,IF(AND(OR('депозитный калькулятор'!$G$7="30/365",'депозитный калькулятор'!$G$7="30/360"),DAY(F35)=31),0,MIN(OFFSET(H35,-E35+1,0):H35)*(E35+SUMIF(OFFSET(A35,-E35+1,0):A35,"=2",OFFSET(A35,-E35+1,0):A35)))),IF(AND('депозитный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калькулятор'!$G$7="30/360"),DAY(EOMONTH(F35,0))=31),EOMONTH(F35,0)-1=F35,EOMONTH(F35,0)=F35)),IF(IF(AND(OR('депозитный калькулятор'!$G$7="30/365",'депозитный калькулятор'!$G$7="30/360"),DAY(EOMONTH($F$23,0))=31),F35=EOMONTH($F$23,0)-1,F35=EOMONTH($F$23,0)),MIN(OFFSET(H35,-(DAY(F35)-DAY($F$23)),0):H35)*E35,MIN(OFFSET(H35,-(DAY(F35)-1),0):H35)*IF(AND(OR('депозитный калькулятор'!$G$7="30/365",'депозитный калькулятор'!$G$7="30/360"),DAY(F35)&lt;30),30,DAY(F35))),IF(AND('депозитный калькулятор'!$G$10="ежемесячное, на средний остаток в течение месяца, при условии что остаток больше чем ограничение",F35='депозитный калькулятор'!$D$8,EOMONTH(F35,0)&lt;&gt;F35),IF('депозитный калькулятор'!$F$1=1,$H$24,SUM(OFFSET(Q35,-E35+1,0):Q35)),IF(AND('депозитный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калькулятор'!$G$7="30/360"),DAY(EOMONTH(F35,0))=31),EOMONTH(F35,0)-1=F35,EOMONTH(F35,0)=F35)),IF(IF(AND(OR('депозитный калькулятор'!$G$7="30/365",'депозитный калькулятор'!$G$7="30/360"),DAY(EOMONTH($F$24,0))=31),F35=EOMONTH($F$24,0)-1,F35=EOMONTH($F$24,0)),SUM(OFFSET(Q35,-E35+1,0):Q35),SUM(OFFSET(Q35,-E35+1,0):Q35)),IF('депозитный калькулятор'!$G$10="ежеквартальное",IF(F35&gt;'депозитный калькулятор'!$D$8," ",IF(AND(EOMONTH(F35,0)=F35,OR(MONTH(F35)=3,MONTH(F35)=6,MONTH(F35)=9,MONTH(F35)=12)),IF(EDATE(F35,-3)&lt;'депозитный калькулятор'!$D$7,SUM($H$23:H35),IF(MOD(YEAR(F35),4)=0,IF(AND(EOMONTH(F35,0)=F35,OR(MONTH(F35)=3,MONTH(F35)=6)),SUM(OFFSET(H35,-90,0):H35),IF(AND(EOMONTH(F35,0)=F35,OR(MONTH(F35)=9,MONTH(F35)=12)),SUM(OFFSET(H35,-91,0):H35))),IF(AND(EOMONTH(F35,0)=F35,MONTH(F35)=3),SUM(OFFSET(H35,-89,0):H35),IF(AND(EOMONTH(F35,0)=F35,MONTH(F35)=6),SUM(OFFSET(H35,-90,0):H35),IF(AND(EOMONTH(F35,0)=F35,OR(MONTH(F35)=9,MONTH(F35)=12)),SUM(OFFSET(H35,-91,0):H35)))))),IF(F35='депозитный калькулятор'!$D$8,SUM($H$23:H35)-SUM($I$23:I34),0))),IF('депозитный калькулятор'!$G$10="ежегодное",IF(F35&gt;'депозитный калькулятор'!$D$8," ",IF(F35='депозитный калькулятор'!$D$8,SUM($H$23:H35)-SUM($I$23:I34),IF(AND(EOMONTH(F35,0)=F35,MONTH(F35)=12),IF(MOD(YEAR(F34),4)=0,IF(F35-'депозитный калькулятор'!$D$7&lt;366,SUM($H$23:H35),SUM(OFFSET(H35,-365,0):H35)),IF(F35-'депозитный калькулятор'!$D$7&lt;365,SUM($H$23:H35),SUM(OFFSET(H35,-364,0):H35))),0))),IF(AND('депозитный калькулятор'!$G$10="в конце срока",'депозитный калькулятор'!$D$8=F35),SUM($H$23:H35),0))))))))))))))))))</f>
        <v xml:space="preserve"> </v>
      </c>
      <c r="J35" s="59" t="str">
        <f>IF(F35&gt;'депозитный калькулятор'!$D$8," ",IF('депозитный калькулятор'!$G$16="нет",0,IF(AND('депозитный калькулятор'!$G$17="разовая (в конце срока)",F35='депозитный калькулятор'!$D$8),'депозитный калькулятор'!$G$18,IF(AND('депозитный калькулятор'!$G$17="ежемесячная",EOMONTH(F34,0)=F34),'депозитный калькулятор'!$G$18,IF(AND('депозитный калькулятор'!$G$17="ежегодная",DAY(F34)=31,MONTH(F34)=12),'депозитный калькулятор'!$G$18,IF(AND('депозитный калькулятор'!$G$17="ежемесячная в зависимости от остатка",EOMONTH(F34,0)=F34,P34&gt;0),'депозитный калькулятор'!$G$18,IF(AND('депозитный калькулятор'!$G$17="ежегодная в зависимости от остатка",DAY(F34)=31,MONTH(F34)=12,P34&gt;0),'депозитный калькулятор'!$G$18,0)))))))</f>
        <v xml:space="preserve"> </v>
      </c>
      <c r="K35" s="135" t="str">
        <f>IF($F35=" "," ",IFERROR(VLOOKUP($F35,'депозитный калькулятор'!$B$26:$F$70,2,0),0))</f>
        <v xml:space="preserve"> </v>
      </c>
      <c r="L35" s="135" t="str">
        <f>IF($F35=" "," ",IFERROR(VLOOKUP($F35,'депозитный калькулятор'!$B$26:$F$70,3,0),0))</f>
        <v xml:space="preserve"> </v>
      </c>
      <c r="M35" s="135" t="str">
        <f>IF($F35=" "," ",IFERROR(VLOOKUP($F35,'депозитный калькулятор'!$B$26:$F$70,4,0),0))</f>
        <v xml:space="preserve"> </v>
      </c>
      <c r="N35" s="135" t="str">
        <f>IF($F35=" "," ",IFERROR(VLOOKUP($F35,'депозитный калькулятор'!$B$26:$F$70,5,0),0))</f>
        <v xml:space="preserve"> </v>
      </c>
      <c r="O35" s="146" t="str">
        <f>IF(F35&gt;'депозитный калькулятор'!$D$8," ",IF(F35='депозитный калькулятор'!$D$8,IF(AND($F$24='депозитный калькулятор'!$D$8,'депозитный калькулятор'!$G$13="нет"),-G35-IF(I35=" ",0,I35)-IF(AND(OR('депозитный калькулятор'!$G$7="30/365",'депозитный калькулятор'!$G$7="30/360"),'депозитный калькулятор'!$G$10="в начале срока"),I34,0)-L35+M35-N35,-G35-IF(I35=" ",0,I35)-L35+M35-N35),IF('депозитный калькулятор'!$G$13="есть",M35-N35+IF('депозитный калькулятор'!$G$14="есть",0,-L35),-IF(I35=" ",0,I35)-IF(AND(OR('депозитный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срока"),I34,0)+M35-N35+IF('депозитный калькулятор'!$G$14="есть",0,-L35))))</f>
        <v xml:space="preserve"> </v>
      </c>
      <c r="P35" s="147" t="str">
        <f>IF(F35&gt;'депозитный калькулятор'!$D$8," ",IF(EOMONTH(F34,0)=F34,0,IF(G35&gt;='депозитный калькулятор'!$G$19,P34,P34+1)))</f>
        <v xml:space="preserve"> </v>
      </c>
      <c r="Q35" s="138" t="str">
        <f>IF(F35=" "," ",IF(AND(OR('депозитный калькулятор'!$G$7="30/365",'депозитный калькулятор'!$G$7="30/360"),AND(MONTH(F35)=2,EOMONTH(F35,0)=F35)),IF(DAY(F35)=28,3,2),1)*IF(G35&gt;='депозитный калькулятор'!$G$11,IF(AND('депозитный калькулятор'!$G$7="факт/факт",MOD(YEAR(F35),4)=0),G35*'депозитный калькулятор'!$D$11/366,G35*'депозитный калькулятор'!$G$8),0))</f>
        <v xml:space="preserve"> </v>
      </c>
      <c r="R35" s="148"/>
      <c r="S35" s="62" t="str">
        <f t="shared" ca="1" si="2"/>
        <v xml:space="preserve"> </v>
      </c>
      <c r="T35" s="149" t="str">
        <f ca="1">IF(S35=" "," ",IF('депозитный калькулятор'!$G$7="30/360",DAYS360(U34,IF(DAY(U35)=31,U35-1,U35))+IF(AND(MONTH(U35)=2,U35=EOMONTH(U35,0)),30-DAY(EOMONTH(U35,0)))+T34,VLOOKUP(S35,$C$22:$F$1023,2,0)))</f>
        <v xml:space="preserve"> </v>
      </c>
      <c r="U35" s="64" t="str">
        <f t="shared" ca="1" si="0"/>
        <v xml:space="preserve"> </v>
      </c>
      <c r="V35" s="150" t="str">
        <f t="shared" ca="1" si="3"/>
        <v xml:space="preserve"> </v>
      </c>
      <c r="W35" s="62" t="str">
        <f t="shared" ca="1" si="4"/>
        <v xml:space="preserve"> </v>
      </c>
      <c r="X35" s="141" t="str">
        <f ca="1">IF(S35=" "," ",IFERROR(VLOOKUP(U35,$F$23:$N$1023,7)+VLOOKUP(U35,$F$23:$N$1023,9)+IF(AND('депозитный калькулятор'!$G$13="нет",U35&lt;&gt;'депозитный калькулятор'!$D$8),VLOOKUP(U35,$F$23:$N$1023,4),0),0)+IF(U35='депозитный калькулятор'!$D$8,VLOOKUP(U35,$F$23:$N$1023,2)+VLOOKUP(U35,$F$23:$N$1023,4),0))</f>
        <v xml:space="preserve"> </v>
      </c>
      <c r="Y35" s="142" t="str">
        <f ca="1">IF(S35=" "," ",W35/(1+'депозитный калькулятор'!$K$8)^(T35/IF('депозитный калькулятор'!$G$7="30/360",360,365)))</f>
        <v xml:space="preserve"> </v>
      </c>
      <c r="Z35" s="142" t="str">
        <f ca="1">IF(S35=" "," ",X35/(1+'депозитный калькулятор'!$K$8)^(T35/IF('депозитный калькулятор'!$G$7="30/360",360,365)))</f>
        <v xml:space="preserve"> </v>
      </c>
      <c r="AA35" s="151"/>
      <c r="AB35" s="151"/>
      <c r="AC35" s="155"/>
      <c r="AD35" s="155"/>
    </row>
    <row r="36" spans="1:30" s="2" customFormat="1" ht="15.5" x14ac:dyDescent="0.35">
      <c r="A36" s="41" t="str">
        <f>IF(F36=" "," ",IF(OR('депозитный калькулятор'!$G$7="30/365",'депозитный калькулятор'!$G$7="30/360"),IF(AND(MONTH(F36)=2,DAY(F36)=DAY(EOMONTH(F36,0))),30-DAY(EOMONTH(F36,0)),IF(DAY(F36)=31,1," "))," "))</f>
        <v xml:space="preserve"> </v>
      </c>
      <c r="B36" s="130" t="str">
        <f t="shared" si="1"/>
        <v xml:space="preserve"> </v>
      </c>
      <c r="C36" s="130" t="str">
        <f>IF(OR(B36=0,B36=" ")," ",SUM($B$23:B36))</f>
        <v xml:space="preserve"> </v>
      </c>
      <c r="D36" s="62" t="str">
        <f>IF(D35=" "," ",IF(OR(F35='депозитный калькулятор'!$D$8,F35=" ")," ",D35+1))</f>
        <v xml:space="preserve"> </v>
      </c>
      <c r="E36" s="130" t="str">
        <f>IF(OR(F35='депозитный калькулятор'!$D$8,F35=" ")," ",IF(EOMONTH(F35,0)=F35,1,E35+1))</f>
        <v xml:space="preserve"> </v>
      </c>
      <c r="F36" s="64" t="str">
        <f>IF(F35=" "," ",IF(F35='депозитный калькулятор'!$D$8," ",F35+1))</f>
        <v xml:space="preserve"> </v>
      </c>
      <c r="G36" s="145" t="str">
        <f xml:space="preserve"> IF(F36&gt;'депозитный калькулятор'!$D$8," ",IF('депозитный калькулятор'!$G$13="есть",IF('депозитный калькулятор'!$G$14="есть",G35+IF(I35=" ",0,I35)-J36-K36+L36+M36-N36,G35+IF(I35=" ",0,I35)-J36-K36+M36-N36),IF('депозитный калькулятор'!$G$14="есть",G35-J36-K36+L36+M36-N36,G35-J36-K36+M36-N36)))</f>
        <v xml:space="preserve"> </v>
      </c>
      <c r="H36" s="133" t="str">
        <f>IF(F36&gt;'депозитный калькулятор'!$D$8," ",IF(AND(OR('депозитный калькулятор'!$G$7="30/365",'депозитный калькулятор'!$G$7="30/360"),AND(MONTH(F36)=2,EOMONTH(F36,0)=F36)),IF(DAY(F36)=28,3*G36*'депозитный калькулятор'!$G$8,2*G36*'депозитный калькулятор'!$G$8),IF(AND(OR('депозитный калькулятор'!$G$7="30/365",'депозитный калькулятор'!$G$7="30/360"),DAY(F36)=31)," ",IF(AND('депозитный калькулятор'!$G$7="факт/факт",MOD(YEAR(F36),4)=0),G36*'депозитный калькулятор'!$D$11/366,G36*'депозитный калькулятор'!$G$8))))</f>
        <v xml:space="preserve"> </v>
      </c>
      <c r="I36" s="134" t="str">
        <f ca="1">IF(F36=" "," ",IF('депозитный калькулятор'!$G$10="ежедневное",H36,IF(AND('депозитный калькулятор'!$G$10="еженедельное",WEEKDAY(F36,2)=7),SUM(OFFSET(H36,-6,0):H36),IF(AND('депозитный калькулятор'!$G$10="еженедельное",F36='депозитный калькулятор'!$D$8),SUM($H$23:H36)-SUM($I$23:I35),IF(AND('депозитный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недели",WEEKDAY(F36,2)=7),MIN(OFFSET(H36,-6,0):H36)*(COUNTIF(OFFSET(H36,-6,0):H36,"&gt;0")+SUMIF(OFFSET(A36,-WEEKDAY(F36,2),0):A36,"=2",OFFSET(A36,-WEEKDAY(F36,2),0):A36)),IF(AND('депозитный калькулятор'!$G$10="еженедельное, на минимальную сумму зафиксированную в течение недели",F36='депозитный калькулятор'!$D$8,WEEKDAY(F36,2)&lt;&gt;7),MIN(OFFSET(H36,-WEEKDAY(F36,2),0):H36)*(COUNTIF(OFFSET(H36,-WEEKDAY(F36,2)+1,0):H36,"&gt;0")+SUM(OFFSET(A36,-WEEKDAY(F36,2),0):A36)),IF(AND('депозитный калькулятор'!$G$10="ежемесячное (в конце месяца)",F36='депозитный калькулятор'!$D$8,EOMONTH(F36,0)&lt;&gt;F36),IF('депозитный калькулятор'!$F$1=1,$H$24,SUM($H$23:H36)-SUM($I$23:I35)),IF(AND('депозитный калькулятор'!$G$10="ежемесячное (в конце месяца)",EOMONTH(F36,0)=F36),SUM($H$23:H36)-SUM($I$23:I35),IF(AND('депозитный калькулятор'!$G$10="ежемесячное (по дням открытия вклада)",F36='депозитный калькулятор'!$D$8,DAY('депозитный калькулятор'!$D$7)&lt;&gt;DAY(F36)),IF('депозитный калькулятор'!$F$1=1,$H$24,SUM($H$23:H36)-SUM($I$23:I35)),IF(AND('депозитный калькулятор'!$G$10="ежемесячное (по дням открытия вклада)",DAY('депозитный калькулятор'!$D$7)=DAY(F36)),SUM($H$23:H36)-SUM($I$23:I35),IF(AND('депозитный калькулятор'!$G$10="ежемесячное, на минимальную сумму зафиксированную в течение месяца",F36='депозитный калькулятор'!$D$8,EOMONTH(F36,0)&lt;&gt;F36),IF('депозитный калькулятор'!$F$1=1,$H$24,IF(AND(OR('депозитный калькулятор'!$G$7="30/365",'депозитный калькулятор'!$G$7="30/360"),DAY(F36)=31),0,MIN(OFFSET(H36,-E36+1,0):H36)*(E36+SUMIF(OFFSET(A36,-E36+1,0):A36,"=2",OFFSET(A36,-E36+1,0):A36)))),IF(AND('депозитный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калькулятор'!$G$7="30/360"),DAY(EOMONTH(F36,0))=31),EOMONTH(F36,0)-1=F36,EOMONTH(F36,0)=F36)),IF(IF(AND(OR('депозитный калькулятор'!$G$7="30/365",'депозитный калькулятор'!$G$7="30/360"),DAY(EOMONTH($F$23,0))=31),F36=EOMONTH($F$23,0)-1,F36=EOMONTH($F$23,0)),MIN(OFFSET(H36,-(DAY(F36)-DAY($F$23)),0):H36)*E36,MIN(OFFSET(H36,-(DAY(F36)-1),0):H36)*IF(AND(OR('депозитный калькулятор'!$G$7="30/365",'депозитный калькулятор'!$G$7="30/360"),DAY(F36)&lt;30),30,DAY(F36))),IF(AND('депозитный калькулятор'!$G$10="ежемесячное, на средний остаток в течение месяца, при условии что остаток больше чем ограничение",F36='депозитный калькулятор'!$D$8,EOMONTH(F36,0)&lt;&gt;F36),IF('депозитный калькулятор'!$F$1=1,$H$24,SUM(OFFSET(Q36,-E36+1,0):Q36)),IF(AND('депозитный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калькулятор'!$G$7="30/360"),DAY(EOMONTH(F36,0))=31),EOMONTH(F36,0)-1=F36,EOMONTH(F36,0)=F36)),IF(IF(AND(OR('депозитный калькулятор'!$G$7="30/365",'депозитный калькулятор'!$G$7="30/360"),DAY(EOMONTH($F$24,0))=31),F36=EOMONTH($F$24,0)-1,F36=EOMONTH($F$24,0)),SUM(OFFSET(Q36,-E36+1,0):Q36),SUM(OFFSET(Q36,-E36+1,0):Q36)),IF('депозитный калькулятор'!$G$10="ежеквартальное",IF(F36&gt;'депозитный калькулятор'!$D$8," ",IF(AND(EOMONTH(F36,0)=F36,OR(MONTH(F36)=3,MONTH(F36)=6,MONTH(F36)=9,MONTH(F36)=12)),IF(EDATE(F36,-3)&lt;'депозитный калькулятор'!$D$7,SUM($H$23:H36),IF(MOD(YEAR(F36),4)=0,IF(AND(EOMONTH(F36,0)=F36,OR(MONTH(F36)=3,MONTH(F36)=6)),SUM(OFFSET(H36,-90,0):H36),IF(AND(EOMONTH(F36,0)=F36,OR(MONTH(F36)=9,MONTH(F36)=12)),SUM(OFFSET(H36,-91,0):H36))),IF(AND(EOMONTH(F36,0)=F36,MONTH(F36)=3),SUM(OFFSET(H36,-89,0):H36),IF(AND(EOMONTH(F36,0)=F36,MONTH(F36)=6),SUM(OFFSET(H36,-90,0):H36),IF(AND(EOMONTH(F36,0)=F36,OR(MONTH(F36)=9,MONTH(F36)=12)),SUM(OFFSET(H36,-91,0):H36)))))),IF(F36='депозитный калькулятор'!$D$8,SUM($H$23:H36)-SUM($I$23:I35),0))),IF('депозитный калькулятор'!$G$10="ежегодное",IF(F36&gt;'депозитный калькулятор'!$D$8," ",IF(F36='депозитный калькулятор'!$D$8,SUM($H$23:H36)-SUM($I$23:I35),IF(AND(EOMONTH(F36,0)=F36,MONTH(F36)=12),IF(MOD(YEAR(F35),4)=0,IF(F36-'депозитный калькулятор'!$D$7&lt;366,SUM($H$23:H36),SUM(OFFSET(H36,-365,0):H36)),IF(F36-'депозитный калькулятор'!$D$7&lt;365,SUM($H$23:H36),SUM(OFFSET(H36,-364,0):H36))),0))),IF(AND('депозитный калькулятор'!$G$10="в конце срока",'депозитный калькулятор'!$D$8=F36),SUM($H$23:H36),0))))))))))))))))))</f>
        <v xml:space="preserve"> </v>
      </c>
      <c r="J36" s="59" t="str">
        <f>IF(F36&gt;'депозитный калькулятор'!$D$8," ",IF('депозитный калькулятор'!$G$16="нет",0,IF(AND('депозитный калькулятор'!$G$17="разовая (в конце срока)",F36='депозитный калькулятор'!$D$8),'депозитный калькулятор'!$G$18,IF(AND('депозитный калькулятор'!$G$17="ежемесячная",EOMONTH(F35,0)=F35),'депозитный калькулятор'!$G$18,IF(AND('депозитный калькулятор'!$G$17="ежегодная",DAY(F35)=31,MONTH(F35)=12),'депозитный калькулятор'!$G$18,IF(AND('депозитный калькулятор'!$G$17="ежемесячная в зависимости от остатка",EOMONTH(F35,0)=F35,P35&gt;0),'депозитный калькулятор'!$G$18,IF(AND('депозитный калькулятор'!$G$17="ежегодная в зависимости от остатка",DAY(F35)=31,MONTH(F35)=12,P35&gt;0),'депозитный калькулятор'!$G$18,0)))))))</f>
        <v xml:space="preserve"> </v>
      </c>
      <c r="K36" s="135" t="str">
        <f>IF($F36=" "," ",IFERROR(VLOOKUP($F36,'депозитный калькулятор'!$B$26:$F$70,2,0),0))</f>
        <v xml:space="preserve"> </v>
      </c>
      <c r="L36" s="135" t="str">
        <f>IF($F36=" "," ",IFERROR(VLOOKUP($F36,'депозитный калькулятор'!$B$26:$F$70,3,0),0))</f>
        <v xml:space="preserve"> </v>
      </c>
      <c r="M36" s="135" t="str">
        <f>IF($F36=" "," ",IFERROR(VLOOKUP($F36,'депозитный калькулятор'!$B$26:$F$70,4,0),0))</f>
        <v xml:space="preserve"> </v>
      </c>
      <c r="N36" s="135" t="str">
        <f>IF($F36=" "," ",IFERROR(VLOOKUP($F36,'депозитный калькулятор'!$B$26:$F$70,5,0),0))</f>
        <v xml:space="preserve"> </v>
      </c>
      <c r="O36" s="146" t="str">
        <f>IF(F36&gt;'депозитный калькулятор'!$D$8," ",IF(F36='депозитный калькулятор'!$D$8,IF(AND($F$24='депозитный калькулятор'!$D$8,'депозитный калькулятор'!$G$13="нет"),-G36-IF(I36=" ",0,I36)-IF(AND(OR('депозитный калькулятор'!$G$7="30/365",'депозитный калькулятор'!$G$7="30/360"),'депозитный калькулятор'!$G$10="в начале срока"),I35,0)-L36+M36-N36,-G36-IF(I36=" ",0,I36)-L36+M36-N36),IF('депозитный калькулятор'!$G$13="есть",M36-N36+IF('депозитный калькулятор'!$G$14="есть",0,-L36),-IF(I36=" ",0,I36)-IF(AND(OR('депозитный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срока"),I35,0)+M36-N36+IF('депозитный калькулятор'!$G$14="есть",0,-L36))))</f>
        <v xml:space="preserve"> </v>
      </c>
      <c r="P36" s="147" t="str">
        <f>IF(F36&gt;'депозитный калькулятор'!$D$8," ",IF(EOMONTH(F35,0)=F35,0,IF(G36&gt;='депозитный калькулятор'!$G$19,P35,P35+1)))</f>
        <v xml:space="preserve"> </v>
      </c>
      <c r="Q36" s="138" t="str">
        <f>IF(F36=" "," ",IF(AND(OR('депозитный калькулятор'!$G$7="30/365",'депозитный калькулятор'!$G$7="30/360"),AND(MONTH(F36)=2,EOMONTH(F36,0)=F36)),IF(DAY(F36)=28,3,2),1)*IF(G36&gt;='депозитный калькулятор'!$G$11,IF(AND('депозитный калькулятор'!$G$7="факт/факт",MOD(YEAR(F36),4)=0),G36*'депозитный калькулятор'!$D$11/366,G36*'депозитный калькулятор'!$G$8),0))</f>
        <v xml:space="preserve"> </v>
      </c>
      <c r="R36" s="148"/>
      <c r="S36" s="62" t="str">
        <f t="shared" ca="1" si="2"/>
        <v xml:space="preserve"> </v>
      </c>
      <c r="T36" s="149" t="str">
        <f ca="1">IF(S36=" "," ",IF('депозитный калькулятор'!$G$7="30/360",DAYS360(U35,IF(DAY(U36)=31,U36-1,U36))+IF(AND(MONTH(U36)=2,U36=EOMONTH(U36,0)),30-DAY(EOMONTH(U36,0)))+T35,VLOOKUP(S36,$C$22:$F$1023,2,0)))</f>
        <v xml:space="preserve"> </v>
      </c>
      <c r="U36" s="64" t="str">
        <f t="shared" ca="1" si="0"/>
        <v xml:space="preserve"> </v>
      </c>
      <c r="V36" s="150" t="str">
        <f t="shared" ca="1" si="3"/>
        <v xml:space="preserve"> </v>
      </c>
      <c r="W36" s="62" t="str">
        <f t="shared" ca="1" si="4"/>
        <v xml:space="preserve"> </v>
      </c>
      <c r="X36" s="141" t="str">
        <f ca="1">IF(S36=" "," ",IFERROR(VLOOKUP(U36,$F$23:$N$1023,7)+VLOOKUP(U36,$F$23:$N$1023,9)+IF(AND('депозитный калькулятор'!$G$13="нет",U36&lt;&gt;'депозитный калькулятор'!$D$8),VLOOKUP(U36,$F$23:$N$1023,4),0),0)+IF(U36='депозитный калькулятор'!$D$8,VLOOKUP(U36,$F$23:$N$1023,2)+VLOOKUP(U36,$F$23:$N$1023,4),0))</f>
        <v xml:space="preserve"> </v>
      </c>
      <c r="Y36" s="142" t="str">
        <f ca="1">IF(S36=" "," ",W36/(1+'депозитный калькулятор'!$K$8)^(T36/IF('депозитный калькулятор'!$G$7="30/360",360,365)))</f>
        <v xml:space="preserve"> </v>
      </c>
      <c r="Z36" s="142" t="str">
        <f ca="1">IF(S36=" "," ",X36/(1+'депозитный калькулятор'!$K$8)^(T36/IF('депозитный калькулятор'!$G$7="30/360",360,365)))</f>
        <v xml:space="preserve"> </v>
      </c>
      <c r="AA36" s="151"/>
      <c r="AB36" s="151"/>
      <c r="AC36" s="155"/>
      <c r="AD36" s="155"/>
    </row>
    <row r="37" spans="1:30" s="2" customFormat="1" ht="15.5" x14ac:dyDescent="0.35">
      <c r="A37" s="41" t="str">
        <f>IF(F37=" "," ",IF(OR('депозитный калькулятор'!$G$7="30/365",'депозитный калькулятор'!$G$7="30/360"),IF(AND(MONTH(F37)=2,DAY(F37)=DAY(EOMONTH(F37,0))),30-DAY(EOMONTH(F37,0)),IF(DAY(F37)=31,1," "))," "))</f>
        <v xml:space="preserve"> </v>
      </c>
      <c r="B37" s="130" t="str">
        <f t="shared" si="1"/>
        <v xml:space="preserve"> </v>
      </c>
      <c r="C37" s="130" t="str">
        <f>IF(OR(B37=0,B37=" ")," ",SUM($B$23:B37))</f>
        <v xml:space="preserve"> </v>
      </c>
      <c r="D37" s="62" t="str">
        <f>IF(D36=" "," ",IF(OR(F36='депозитный калькулятор'!$D$8,F36=" ")," ",D36+1))</f>
        <v xml:space="preserve"> </v>
      </c>
      <c r="E37" s="130" t="str">
        <f>IF(OR(F36='депозитный калькулятор'!$D$8,F36=" ")," ",IF(EOMONTH(F36,0)=F36,1,E36+1))</f>
        <v xml:space="preserve"> </v>
      </c>
      <c r="F37" s="64" t="str">
        <f>IF(F36=" "," ",IF(F36='депозитный калькулятор'!$D$8," ",F36+1))</f>
        <v xml:space="preserve"> </v>
      </c>
      <c r="G37" s="145" t="str">
        <f xml:space="preserve"> IF(F37&gt;'депозитный калькулятор'!$D$8," ",IF('депозитный калькулятор'!$G$13="есть",IF('депозитный калькулятор'!$G$14="есть",G36+IF(I36=" ",0,I36)-J37-K37+L37+M37-N37,G36+IF(I36=" ",0,I36)-J37-K37+M37-N37),IF('депозитный калькулятор'!$G$14="есть",G36-J37-K37+L37+M37-N37,G36-J37-K37+M37-N37)))</f>
        <v xml:space="preserve"> </v>
      </c>
      <c r="H37" s="133" t="str">
        <f>IF(F37&gt;'депозитный калькулятор'!$D$8," ",IF(AND(OR('депозитный калькулятор'!$G$7="30/365",'депозитный калькулятор'!$G$7="30/360"),AND(MONTH(F37)=2,EOMONTH(F37,0)=F37)),IF(DAY(F37)=28,3*G37*'депозитный калькулятор'!$G$8,2*G37*'депозитный калькулятор'!$G$8),IF(AND(OR('депозитный калькулятор'!$G$7="30/365",'депозитный калькулятор'!$G$7="30/360"),DAY(F37)=31)," ",IF(AND('депозитный калькулятор'!$G$7="факт/факт",MOD(YEAR(F37),4)=0),G37*'депозитный калькулятор'!$D$11/366,G37*'депозитный калькулятор'!$G$8))))</f>
        <v xml:space="preserve"> </v>
      </c>
      <c r="I37" s="134" t="str">
        <f ca="1">IF(F37=" "," ",IF('депозитный калькулятор'!$G$10="ежедневное",H37,IF(AND('депозитный калькулятор'!$G$10="еженедельное",WEEKDAY(F37,2)=7),SUM(OFFSET(H37,-6,0):H37),IF(AND('депозитный калькулятор'!$G$10="еженедельное",F37='депозитный калькулятор'!$D$8),SUM($H$23:H37)-SUM($I$23:I36),IF(AND('депозитный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недели",WEEKDAY(F37,2)=7),MIN(OFFSET(H37,-6,0):H37)*(COUNTIF(OFFSET(H37,-6,0):H37,"&gt;0")+SUMIF(OFFSET(A37,-WEEKDAY(F37,2),0):A37,"=2",OFFSET(A37,-WEEKDAY(F37,2),0):A37)),IF(AND('депозитный калькулятор'!$G$10="еженедельное, на минимальную сумму зафиксированную в течение недели",F37='депозитный калькулятор'!$D$8,WEEKDAY(F37,2)&lt;&gt;7),MIN(OFFSET(H37,-WEEKDAY(F37,2),0):H37)*(COUNTIF(OFFSET(H37,-WEEKDAY(F37,2)+1,0):H37,"&gt;0")+SUM(OFFSET(A37,-WEEKDAY(F37,2),0):A37)),IF(AND('депозитный калькулятор'!$G$10="ежемесячное (в конце месяца)",F37='депозитный калькулятор'!$D$8,EOMONTH(F37,0)&lt;&gt;F37),IF('депозитный калькулятор'!$F$1=1,$H$24,SUM($H$23:H37)-SUM($I$23:I36)),IF(AND('депозитный калькулятор'!$G$10="ежемесячное (в конце месяца)",EOMONTH(F37,0)=F37),SUM($H$23:H37)-SUM($I$23:I36),IF(AND('депозитный калькулятор'!$G$10="ежемесячное (по дням открытия вклада)",F37='депозитный калькулятор'!$D$8,DAY('депозитный калькулятор'!$D$7)&lt;&gt;DAY(F37)),IF('депозитный калькулятор'!$F$1=1,$H$24,SUM($H$23:H37)-SUM($I$23:I36)),IF(AND('депозитный калькулятор'!$G$10="ежемесячное (по дням открытия вклада)",DAY('депозитный калькулятор'!$D$7)=DAY(F37)),SUM($H$23:H37)-SUM($I$23:I36),IF(AND('депозитный калькулятор'!$G$10="ежемесячное, на минимальную сумму зафиксированную в течение месяца",F37='депозитный калькулятор'!$D$8,EOMONTH(F37,0)&lt;&gt;F37),IF('депозитный калькулятор'!$F$1=1,$H$24,IF(AND(OR('депозитный калькулятор'!$G$7="30/365",'депозитный калькулятор'!$G$7="30/360"),DAY(F37)=31),0,MIN(OFFSET(H37,-E37+1,0):H37)*(E37+SUMIF(OFFSET(A37,-E37+1,0):A37,"=2",OFFSET(A37,-E37+1,0):A37)))),IF(AND('депозитный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калькулятор'!$G$7="30/360"),DAY(EOMONTH(F37,0))=31),EOMONTH(F37,0)-1=F37,EOMONTH(F37,0)=F37)),IF(IF(AND(OR('депозитный калькулятор'!$G$7="30/365",'депозитный калькулятор'!$G$7="30/360"),DAY(EOMONTH($F$23,0))=31),F37=EOMONTH($F$23,0)-1,F37=EOMONTH($F$23,0)),MIN(OFFSET(H37,-(DAY(F37)-DAY($F$23)),0):H37)*E37,MIN(OFFSET(H37,-(DAY(F37)-1),0):H37)*IF(AND(OR('депозитный калькулятор'!$G$7="30/365",'депозитный калькулятор'!$G$7="30/360"),DAY(F37)&lt;30),30,DAY(F37))),IF(AND('депозитный калькулятор'!$G$10="ежемесячное, на средний остаток в течение месяца, при условии что остаток больше чем ограничение",F37='депозитный калькулятор'!$D$8,EOMONTH(F37,0)&lt;&gt;F37),IF('депозитный калькулятор'!$F$1=1,$H$24,SUM(OFFSET(Q37,-E37+1,0):Q37)),IF(AND('депозитный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калькулятор'!$G$7="30/360"),DAY(EOMONTH(F37,0))=31),EOMONTH(F37,0)-1=F37,EOMONTH(F37,0)=F37)),IF(IF(AND(OR('депозитный калькулятор'!$G$7="30/365",'депозитный калькулятор'!$G$7="30/360"),DAY(EOMONTH($F$24,0))=31),F37=EOMONTH($F$24,0)-1,F37=EOMONTH($F$24,0)),SUM(OFFSET(Q37,-E37+1,0):Q37),SUM(OFFSET(Q37,-E37+1,0):Q37)),IF('депозитный калькулятор'!$G$10="ежеквартальное",IF(F37&gt;'депозитный калькулятор'!$D$8," ",IF(AND(EOMONTH(F37,0)=F37,OR(MONTH(F37)=3,MONTH(F37)=6,MONTH(F37)=9,MONTH(F37)=12)),IF(EDATE(F37,-3)&lt;'депозитный калькулятор'!$D$7,SUM($H$23:H37),IF(MOD(YEAR(F37),4)=0,IF(AND(EOMONTH(F37,0)=F37,OR(MONTH(F37)=3,MONTH(F37)=6)),SUM(OFFSET(H37,-90,0):H37),IF(AND(EOMONTH(F37,0)=F37,OR(MONTH(F37)=9,MONTH(F37)=12)),SUM(OFFSET(H37,-91,0):H37))),IF(AND(EOMONTH(F37,0)=F37,MONTH(F37)=3),SUM(OFFSET(H37,-89,0):H37),IF(AND(EOMONTH(F37,0)=F37,MONTH(F37)=6),SUM(OFFSET(H37,-90,0):H37),IF(AND(EOMONTH(F37,0)=F37,OR(MONTH(F37)=9,MONTH(F37)=12)),SUM(OFFSET(H37,-91,0):H37)))))),IF(F37='депозитный калькулятор'!$D$8,SUM($H$23:H37)-SUM($I$23:I36),0))),IF('депозитный калькулятор'!$G$10="ежегодное",IF(F37&gt;'депозитный калькулятор'!$D$8," ",IF(F37='депозитный калькулятор'!$D$8,SUM($H$23:H37)-SUM($I$23:I36),IF(AND(EOMONTH(F37,0)=F37,MONTH(F37)=12),IF(MOD(YEAR(F36),4)=0,IF(F37-'депозитный калькулятор'!$D$7&lt;366,SUM($H$23:H37),SUM(OFFSET(H37,-365,0):H37)),IF(F37-'депозитный калькулятор'!$D$7&lt;365,SUM($H$23:H37),SUM(OFFSET(H37,-364,0):H37))),0))),IF(AND('депозитный калькулятор'!$G$10="в конце срока",'депозитный калькулятор'!$D$8=F37),SUM($H$23:H37),0))))))))))))))))))</f>
        <v xml:space="preserve"> </v>
      </c>
      <c r="J37" s="59" t="str">
        <f>IF(F37&gt;'депозитный калькулятор'!$D$8," ",IF('депозитный калькулятор'!$G$16="нет",0,IF(AND('депозитный калькулятор'!$G$17="разовая (в конце срока)",F37='депозитный калькулятор'!$D$8),'депозитный калькулятор'!$G$18,IF(AND('депозитный калькулятор'!$G$17="ежемесячная",EOMONTH(F36,0)=F36),'депозитный калькулятор'!$G$18,IF(AND('депозитный калькулятор'!$G$17="ежегодная",DAY(F36)=31,MONTH(F36)=12),'депозитный калькулятор'!$G$18,IF(AND('депозитный калькулятор'!$G$17="ежемесячная в зависимости от остатка",EOMONTH(F36,0)=F36,P36&gt;0),'депозитный калькулятор'!$G$18,IF(AND('депозитный калькулятор'!$G$17="ежегодная в зависимости от остатка",DAY(F36)=31,MONTH(F36)=12,P36&gt;0),'депозитный калькулятор'!$G$18,0)))))))</f>
        <v xml:space="preserve"> </v>
      </c>
      <c r="K37" s="135" t="str">
        <f>IF($F37=" "," ",IFERROR(VLOOKUP($F37,'депозитный калькулятор'!$B$26:$F$70,2,0),0))</f>
        <v xml:space="preserve"> </v>
      </c>
      <c r="L37" s="135" t="str">
        <f>IF($F37=" "," ",IFERROR(VLOOKUP($F37,'депозитный калькулятор'!$B$26:$F$70,3,0),0))</f>
        <v xml:space="preserve"> </v>
      </c>
      <c r="M37" s="135" t="str">
        <f>IF($F37=" "," ",IFERROR(VLOOKUP($F37,'депозитный калькулятор'!$B$26:$F$70,4,0),0))</f>
        <v xml:space="preserve"> </v>
      </c>
      <c r="N37" s="135" t="str">
        <f>IF($F37=" "," ",IFERROR(VLOOKUP($F37,'депозитный калькулятор'!$B$26:$F$70,5,0),0))</f>
        <v xml:space="preserve"> </v>
      </c>
      <c r="O37" s="146" t="str">
        <f>IF(F37&gt;'депозитный калькулятор'!$D$8," ",IF(F37='депозитный калькулятор'!$D$8,IF(AND($F$24='депозитный калькулятор'!$D$8,'депозитный калькулятор'!$G$13="нет"),-G37-IF(I37=" ",0,I37)-IF(AND(OR('депозитный калькулятор'!$G$7="30/365",'депозитный калькулятор'!$G$7="30/360"),'депозитный калькулятор'!$G$10="в начале срока"),I36,0)-L37+M37-N37,-G37-IF(I37=" ",0,I37)-L37+M37-N37),IF('депозитный калькулятор'!$G$13="есть",M37-N37+IF('депозитный калькулятор'!$G$14="есть",0,-L37),-IF(I37=" ",0,I37)-IF(AND(OR('депозитный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срока"),I36,0)+M37-N37+IF('депозитный калькулятор'!$G$14="есть",0,-L37))))</f>
        <v xml:space="preserve"> </v>
      </c>
      <c r="P37" s="147" t="str">
        <f>IF(F37&gt;'депозитный калькулятор'!$D$8," ",IF(EOMONTH(F36,0)=F36,0,IF(G37&gt;='депозитный калькулятор'!$G$19,P36,P36+1)))</f>
        <v xml:space="preserve"> </v>
      </c>
      <c r="Q37" s="138" t="str">
        <f>IF(F37=" "," ",IF(AND(OR('депозитный калькулятор'!$G$7="30/365",'депозитный калькулятор'!$G$7="30/360"),AND(MONTH(F37)=2,EOMONTH(F37,0)=F37)),IF(DAY(F37)=28,3,2),1)*IF(G37&gt;='депозитный калькулятор'!$G$11,IF(AND('депозитный калькулятор'!$G$7="факт/факт",MOD(YEAR(F37),4)=0),G37*'депозитный калькулятор'!$D$11/366,G37*'депозитный калькулятор'!$G$8),0))</f>
        <v xml:space="preserve"> </v>
      </c>
      <c r="R37" s="148"/>
      <c r="S37" s="62" t="str">
        <f t="shared" ca="1" si="2"/>
        <v xml:space="preserve"> </v>
      </c>
      <c r="T37" s="149" t="str">
        <f ca="1">IF(S37=" "," ",IF('депозитный калькулятор'!$G$7="30/360",DAYS360(U36,IF(DAY(U37)=31,U37-1,U37))+IF(AND(MONTH(U37)=2,U37=EOMONTH(U37,0)),30-DAY(EOMONTH(U37,0)))+T36,VLOOKUP(S37,$C$22:$F$1023,2,0)))</f>
        <v xml:space="preserve"> </v>
      </c>
      <c r="U37" s="64" t="str">
        <f t="shared" ca="1" si="0"/>
        <v xml:space="preserve"> </v>
      </c>
      <c r="V37" s="150" t="str">
        <f t="shared" ca="1" si="3"/>
        <v xml:space="preserve"> </v>
      </c>
      <c r="W37" s="62" t="str">
        <f t="shared" ca="1" si="4"/>
        <v xml:space="preserve"> </v>
      </c>
      <c r="X37" s="141" t="str">
        <f ca="1">IF(S37=" "," ",IFERROR(VLOOKUP(U37,$F$23:$N$1023,7)+VLOOKUP(U37,$F$23:$N$1023,9)+IF(AND('депозитный калькулятор'!$G$13="нет",U37&lt;&gt;'депозитный калькулятор'!$D$8),VLOOKUP(U37,$F$23:$N$1023,4),0),0)+IF(U37='депозитный калькулятор'!$D$8,VLOOKUP(U37,$F$23:$N$1023,2)+VLOOKUP(U37,$F$23:$N$1023,4),0))</f>
        <v xml:space="preserve"> </v>
      </c>
      <c r="Y37" s="142" t="str">
        <f ca="1">IF(S37=" "," ",W37/(1+'депозитный калькулятор'!$K$8)^(T37/IF('депозитный калькулятор'!$G$7="30/360",360,365)))</f>
        <v xml:space="preserve"> </v>
      </c>
      <c r="Z37" s="142" t="str">
        <f ca="1">IF(S37=" "," ",X37/(1+'депозитный калькулятор'!$K$8)^(T37/IF('депозитный калькулятор'!$G$7="30/360",360,365)))</f>
        <v xml:space="preserve"> </v>
      </c>
      <c r="AA37" s="151"/>
      <c r="AB37" s="151"/>
      <c r="AC37" s="155"/>
      <c r="AD37" s="155"/>
    </row>
    <row r="38" spans="1:30" s="2" customFormat="1" ht="15.5" x14ac:dyDescent="0.35">
      <c r="A38" s="41" t="str">
        <f>IF(F38=" "," ",IF(OR('депозитный калькулятор'!$G$7="30/365",'депозитный калькулятор'!$G$7="30/360"),IF(AND(MONTH(F38)=2,DAY(F38)=DAY(EOMONTH(F38,0))),30-DAY(EOMONTH(F38,0)),IF(DAY(F38)=31,1," "))," "))</f>
        <v xml:space="preserve"> </v>
      </c>
      <c r="B38" s="130" t="str">
        <f t="shared" si="1"/>
        <v xml:space="preserve"> </v>
      </c>
      <c r="C38" s="130" t="str">
        <f>IF(OR(B38=0,B38=" ")," ",SUM($B$23:B38))</f>
        <v xml:space="preserve"> </v>
      </c>
      <c r="D38" s="62" t="str">
        <f>IF(D37=" "," ",IF(OR(F37='депозитный калькулятор'!$D$8,F37=" ")," ",D37+1))</f>
        <v xml:space="preserve"> </v>
      </c>
      <c r="E38" s="130" t="str">
        <f>IF(OR(F37='депозитный калькулятор'!$D$8,F37=" ")," ",IF(EOMONTH(F37,0)=F37,1,E37+1))</f>
        <v xml:space="preserve"> </v>
      </c>
      <c r="F38" s="64" t="str">
        <f>IF(F37=" "," ",IF(F37='депозитный калькулятор'!$D$8," ",F37+1))</f>
        <v xml:space="preserve"> </v>
      </c>
      <c r="G38" s="145" t="str">
        <f xml:space="preserve"> IF(F38&gt;'депозитный калькулятор'!$D$8," ",IF('депозитный калькулятор'!$G$13="есть",IF('депозитный калькулятор'!$G$14="есть",G37+IF(I37=" ",0,I37)-J38-K38+L38+M38-N38,G37+IF(I37=" ",0,I37)-J38-K38+M38-N38),IF('депозитный калькулятор'!$G$14="есть",G37-J38-K38+L38+M38-N38,G37-J38-K38+M38-N38)))</f>
        <v xml:space="preserve"> </v>
      </c>
      <c r="H38" s="133" t="str">
        <f>IF(F38&gt;'депозитный калькулятор'!$D$8," ",IF(AND(OR('депозитный калькулятор'!$G$7="30/365",'депозитный калькулятор'!$G$7="30/360"),AND(MONTH(F38)=2,EOMONTH(F38,0)=F38)),IF(DAY(F38)=28,3*G38*'депозитный калькулятор'!$G$8,2*G38*'депозитный калькулятор'!$G$8),IF(AND(OR('депозитный калькулятор'!$G$7="30/365",'депозитный калькулятор'!$G$7="30/360"),DAY(F38)=31)," ",IF(AND('депозитный калькулятор'!$G$7="факт/факт",MOD(YEAR(F38),4)=0),G38*'депозитный калькулятор'!$D$11/366,G38*'депозитный калькулятор'!$G$8))))</f>
        <v xml:space="preserve"> </v>
      </c>
      <c r="I38" s="134" t="str">
        <f ca="1">IF(F38=" "," ",IF('депозитный калькулятор'!$G$10="ежедневное",H38,IF(AND('депозитный калькулятор'!$G$10="еженедельное",WEEKDAY(F38,2)=7),SUM(OFFSET(H38,-6,0):H38),IF(AND('депозитный калькулятор'!$G$10="еженедельное",F38='депозитный калькулятор'!$D$8),SUM($H$23:H38)-SUM($I$23:I37),IF(AND('депозитный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недели",WEEKDAY(F38,2)=7),MIN(OFFSET(H38,-6,0):H38)*(COUNTIF(OFFSET(H38,-6,0):H38,"&gt;0")+SUMIF(OFFSET(A38,-WEEKDAY(F38,2),0):A38,"=2",OFFSET(A38,-WEEKDAY(F38,2),0):A38)),IF(AND('депозитный калькулятор'!$G$10="еженедельное, на минимальную сумму зафиксированную в течение недели",F38='депозитный калькулятор'!$D$8,WEEKDAY(F38,2)&lt;&gt;7),MIN(OFFSET(H38,-WEEKDAY(F38,2),0):H38)*(COUNTIF(OFFSET(H38,-WEEKDAY(F38,2)+1,0):H38,"&gt;0")+SUM(OFFSET(A38,-WEEKDAY(F38,2),0):A38)),IF(AND('депозитный калькулятор'!$G$10="ежемесячное (в конце месяца)",F38='депозитный калькулятор'!$D$8,EOMONTH(F38,0)&lt;&gt;F38),IF('депозитный калькулятор'!$F$1=1,$H$24,SUM($H$23:H38)-SUM($I$23:I37)),IF(AND('депозитный калькулятор'!$G$10="ежемесячное (в конце месяца)",EOMONTH(F38,0)=F38),SUM($H$23:H38)-SUM($I$23:I37),IF(AND('депозитный калькулятор'!$G$10="ежемесячное (по дням открытия вклада)",F38='депозитный калькулятор'!$D$8,DAY('депозитный калькулятор'!$D$7)&lt;&gt;DAY(F38)),IF('депозитный калькулятор'!$F$1=1,$H$24,SUM($H$23:H38)-SUM($I$23:I37)),IF(AND('депозитный калькулятор'!$G$10="ежемесячное (по дням открытия вклада)",DAY('депозитный калькулятор'!$D$7)=DAY(F38)),SUM($H$23:H38)-SUM($I$23:I37),IF(AND('депозитный калькулятор'!$G$10="ежемесячное, на минимальную сумму зафиксированную в течение месяца",F38='депозитный калькулятор'!$D$8,EOMONTH(F38,0)&lt;&gt;F38),IF('депозитный калькулятор'!$F$1=1,$H$24,IF(AND(OR('депозитный калькулятор'!$G$7="30/365",'депозитный калькулятор'!$G$7="30/360"),DAY(F38)=31),0,MIN(OFFSET(H38,-E38+1,0):H38)*(E38+SUMIF(OFFSET(A38,-E38+1,0):A38,"=2",OFFSET(A38,-E38+1,0):A38)))),IF(AND('депозитный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калькулятор'!$G$7="30/360"),DAY(EOMONTH(F38,0))=31),EOMONTH(F38,0)-1=F38,EOMONTH(F38,0)=F38)),IF(IF(AND(OR('депозитный калькулятор'!$G$7="30/365",'депозитный калькулятор'!$G$7="30/360"),DAY(EOMONTH($F$23,0))=31),F38=EOMONTH($F$23,0)-1,F38=EOMONTH($F$23,0)),MIN(OFFSET(H38,-(DAY(F38)-DAY($F$23)),0):H38)*E38,MIN(OFFSET(H38,-(DAY(F38)-1),0):H38)*IF(AND(OR('депозитный калькулятор'!$G$7="30/365",'депозитный калькулятор'!$G$7="30/360"),DAY(F38)&lt;30),30,DAY(F38))),IF(AND('депозитный калькулятор'!$G$10="ежемесячное, на средний остаток в течение месяца, при условии что остаток больше чем ограничение",F38='депозитный калькулятор'!$D$8,EOMONTH(F38,0)&lt;&gt;F38),IF('депозитный калькулятор'!$F$1=1,$H$24,SUM(OFFSET(Q38,-E38+1,0):Q38)),IF(AND('депозитный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калькулятор'!$G$7="30/360"),DAY(EOMONTH(F38,0))=31),EOMONTH(F38,0)-1=F38,EOMONTH(F38,0)=F38)),IF(IF(AND(OR('депозитный калькулятор'!$G$7="30/365",'депозитный калькулятор'!$G$7="30/360"),DAY(EOMONTH($F$24,0))=31),F38=EOMONTH($F$24,0)-1,F38=EOMONTH($F$24,0)),SUM(OFFSET(Q38,-E38+1,0):Q38),SUM(OFFSET(Q38,-E38+1,0):Q38)),IF('депозитный калькулятор'!$G$10="ежеквартальное",IF(F38&gt;'депозитный калькулятор'!$D$8," ",IF(AND(EOMONTH(F38,0)=F38,OR(MONTH(F38)=3,MONTH(F38)=6,MONTH(F38)=9,MONTH(F38)=12)),IF(EDATE(F38,-3)&lt;'депозитный калькулятор'!$D$7,SUM($H$23:H38),IF(MOD(YEAR(F38),4)=0,IF(AND(EOMONTH(F38,0)=F38,OR(MONTH(F38)=3,MONTH(F38)=6)),SUM(OFFSET(H38,-90,0):H38),IF(AND(EOMONTH(F38,0)=F38,OR(MONTH(F38)=9,MONTH(F38)=12)),SUM(OFFSET(H38,-91,0):H38))),IF(AND(EOMONTH(F38,0)=F38,MONTH(F38)=3),SUM(OFFSET(H38,-89,0):H38),IF(AND(EOMONTH(F38,0)=F38,MONTH(F38)=6),SUM(OFFSET(H38,-90,0):H38),IF(AND(EOMONTH(F38,0)=F38,OR(MONTH(F38)=9,MONTH(F38)=12)),SUM(OFFSET(H38,-91,0):H38)))))),IF(F38='депозитный калькулятор'!$D$8,SUM($H$23:H38)-SUM($I$23:I37),0))),IF('депозитный калькулятор'!$G$10="ежегодное",IF(F38&gt;'депозитный калькулятор'!$D$8," ",IF(F38='депозитный калькулятор'!$D$8,SUM($H$23:H38)-SUM($I$23:I37),IF(AND(EOMONTH(F38,0)=F38,MONTH(F38)=12),IF(MOD(YEAR(F37),4)=0,IF(F38-'депозитный калькулятор'!$D$7&lt;366,SUM($H$23:H38),SUM(OFFSET(H38,-365,0):H38)),IF(F38-'депозитный калькулятор'!$D$7&lt;365,SUM($H$23:H38),SUM(OFFSET(H38,-364,0):H38))),0))),IF(AND('депозитный калькулятор'!$G$10="в конце срока",'депозитный калькулятор'!$D$8=F38),SUM($H$23:H38),0))))))))))))))))))</f>
        <v xml:space="preserve"> </v>
      </c>
      <c r="J38" s="59" t="str">
        <f>IF(F38&gt;'депозитный калькулятор'!$D$8," ",IF('депозитный калькулятор'!$G$16="нет",0,IF(AND('депозитный калькулятор'!$G$17="разовая (в конце срока)",F38='депозитный калькулятор'!$D$8),'депозитный калькулятор'!$G$18,IF(AND('депозитный калькулятор'!$G$17="ежемесячная",EOMONTH(F37,0)=F37),'депозитный калькулятор'!$G$18,IF(AND('депозитный калькулятор'!$G$17="ежегодная",DAY(F37)=31,MONTH(F37)=12),'депозитный калькулятор'!$G$18,IF(AND('депозитный калькулятор'!$G$17="ежемесячная в зависимости от остатка",EOMONTH(F37,0)=F37,P37&gt;0),'депозитный калькулятор'!$G$18,IF(AND('депозитный калькулятор'!$G$17="ежегодная в зависимости от остатка",DAY(F37)=31,MONTH(F37)=12,P37&gt;0),'депозитный калькулятор'!$G$18,0)))))))</f>
        <v xml:space="preserve"> </v>
      </c>
      <c r="K38" s="135" t="str">
        <f>IF($F38=" "," ",IFERROR(VLOOKUP($F38,'депозитный калькулятор'!$B$26:$F$70,2,0),0))</f>
        <v xml:space="preserve"> </v>
      </c>
      <c r="L38" s="135" t="str">
        <f>IF($F38=" "," ",IFERROR(VLOOKUP($F38,'депозитный калькулятор'!$B$26:$F$70,3,0),0))</f>
        <v xml:space="preserve"> </v>
      </c>
      <c r="M38" s="135" t="str">
        <f>IF($F38=" "," ",IFERROR(VLOOKUP($F38,'депозитный калькулятор'!$B$26:$F$70,4,0),0))</f>
        <v xml:space="preserve"> </v>
      </c>
      <c r="N38" s="135" t="str">
        <f>IF($F38=" "," ",IFERROR(VLOOKUP($F38,'депозитный калькулятор'!$B$26:$F$70,5,0),0))</f>
        <v xml:space="preserve"> </v>
      </c>
      <c r="O38" s="146" t="str">
        <f>IF(F38&gt;'депозитный калькулятор'!$D$8," ",IF(F38='депозитный калькулятор'!$D$8,IF(AND($F$24='депозитный калькулятор'!$D$8,'депозитный калькулятор'!$G$13="нет"),-G38-IF(I38=" ",0,I38)-IF(AND(OR('депозитный калькулятор'!$G$7="30/365",'депозитный калькулятор'!$G$7="30/360"),'депозитный калькулятор'!$G$10="в начале срока"),I37,0)-L38+M38-N38,-G38-IF(I38=" ",0,I38)-L38+M38-N38),IF('депозитный калькулятор'!$G$13="есть",M38-N38+IF('депозитный калькулятор'!$G$14="есть",0,-L38),-IF(I38=" ",0,I38)-IF(AND(OR('депозитный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срока"),I37,0)+M38-N38+IF('депозитный калькулятор'!$G$14="есть",0,-L38))))</f>
        <v xml:space="preserve"> </v>
      </c>
      <c r="P38" s="147" t="str">
        <f>IF(F38&gt;'депозитный калькулятор'!$D$8," ",IF(EOMONTH(F37,0)=F37,0,IF(G38&gt;='депозитный калькулятор'!$G$19,P37,P37+1)))</f>
        <v xml:space="preserve"> </v>
      </c>
      <c r="Q38" s="138" t="str">
        <f>IF(F38=" "," ",IF(AND(OR('депозитный калькулятор'!$G$7="30/365",'депозитный калькулятор'!$G$7="30/360"),AND(MONTH(F38)=2,EOMONTH(F38,0)=F38)),IF(DAY(F38)=28,3,2),1)*IF(G38&gt;='депозитный калькулятор'!$G$11,IF(AND('депозитный калькулятор'!$G$7="факт/факт",MOD(YEAR(F38),4)=0),G38*'депозитный калькулятор'!$D$11/366,G38*'депозитный калькулятор'!$G$8),0))</f>
        <v xml:space="preserve"> </v>
      </c>
      <c r="R38" s="148"/>
      <c r="S38" s="62" t="str">
        <f t="shared" ca="1" si="2"/>
        <v xml:space="preserve"> </v>
      </c>
      <c r="T38" s="149" t="str">
        <f ca="1">IF(S38=" "," ",IF('депозитный калькулятор'!$G$7="30/360",DAYS360(U37,IF(DAY(U38)=31,U38-1,U38))+IF(AND(MONTH(U38)=2,U38=EOMONTH(U38,0)),30-DAY(EOMONTH(U38,0)))+T37,VLOOKUP(S38,$C$22:$F$1023,2,0)))</f>
        <v xml:space="preserve"> </v>
      </c>
      <c r="U38" s="64" t="str">
        <f t="shared" ca="1" si="0"/>
        <v xml:space="preserve"> </v>
      </c>
      <c r="V38" s="150" t="str">
        <f t="shared" ca="1" si="3"/>
        <v xml:space="preserve"> </v>
      </c>
      <c r="W38" s="62" t="str">
        <f t="shared" ca="1" si="4"/>
        <v xml:space="preserve"> </v>
      </c>
      <c r="X38" s="141" t="str">
        <f ca="1">IF(S38=" "," ",IFERROR(VLOOKUP(U38,$F$23:$N$1023,7)+VLOOKUP(U38,$F$23:$N$1023,9)+IF(AND('депозитный калькулятор'!$G$13="нет",U38&lt;&gt;'депозитный калькулятор'!$D$8),VLOOKUP(U38,$F$23:$N$1023,4),0),0)+IF(U38='депозитный калькулятор'!$D$8,VLOOKUP(U38,$F$23:$N$1023,2)+VLOOKUP(U38,$F$23:$N$1023,4),0))</f>
        <v xml:space="preserve"> </v>
      </c>
      <c r="Y38" s="142" t="str">
        <f ca="1">IF(S38=" "," ",W38/(1+'депозитный калькулятор'!$K$8)^(T38/IF('депозитный калькулятор'!$G$7="30/360",360,365)))</f>
        <v xml:space="preserve"> </v>
      </c>
      <c r="Z38" s="142" t="str">
        <f ca="1">IF(S38=" "," ",X38/(1+'депозитный калькулятор'!$K$8)^(T38/IF('депозитный калькулятор'!$G$7="30/360",360,365)))</f>
        <v xml:space="preserve"> </v>
      </c>
      <c r="AA38" s="151"/>
      <c r="AB38" s="151"/>
      <c r="AC38" s="155"/>
      <c r="AD38" s="155"/>
    </row>
    <row r="39" spans="1:30" s="2" customFormat="1" ht="15.5" x14ac:dyDescent="0.35">
      <c r="A39" s="41" t="str">
        <f>IF(F39=" "," ",IF(OR('депозитный калькулятор'!$G$7="30/365",'депозитный калькулятор'!$G$7="30/360"),IF(AND(MONTH(F39)=2,DAY(F39)=DAY(EOMONTH(F39,0))),30-DAY(EOMONTH(F39,0)),IF(DAY(F39)=31,1," "))," "))</f>
        <v xml:space="preserve"> </v>
      </c>
      <c r="B39" s="130" t="str">
        <f t="shared" si="1"/>
        <v xml:space="preserve"> </v>
      </c>
      <c r="C39" s="130" t="str">
        <f>IF(OR(B39=0,B39=" ")," ",SUM($B$23:B39))</f>
        <v xml:space="preserve"> </v>
      </c>
      <c r="D39" s="62" t="str">
        <f>IF(D38=" "," ",IF(OR(F38='депозитный калькулятор'!$D$8,F38=" ")," ",D38+1))</f>
        <v xml:space="preserve"> </v>
      </c>
      <c r="E39" s="130" t="str">
        <f>IF(OR(F38='депозитный калькулятор'!$D$8,F38=" ")," ",IF(EOMONTH(F38,0)=F38,1,E38+1))</f>
        <v xml:space="preserve"> </v>
      </c>
      <c r="F39" s="64" t="str">
        <f>IF(F38=" "," ",IF(F38='депозитный калькулятор'!$D$8," ",F38+1))</f>
        <v xml:space="preserve"> </v>
      </c>
      <c r="G39" s="145" t="str">
        <f xml:space="preserve"> IF(F39&gt;'депозитный калькулятор'!$D$8," ",IF('депозитный калькулятор'!$G$13="есть",IF('депозитный калькулятор'!$G$14="есть",G38+IF(I38=" ",0,I38)-J39-K39+L39+M39-N39,G38+IF(I38=" ",0,I38)-J39-K39+M39-N39),IF('депозитный калькулятор'!$G$14="есть",G38-J39-K39+L39+M39-N39,G38-J39-K39+M39-N39)))</f>
        <v xml:space="preserve"> </v>
      </c>
      <c r="H39" s="133" t="str">
        <f>IF(F39&gt;'депозитный калькулятор'!$D$8," ",IF(AND(OR('депозитный калькулятор'!$G$7="30/365",'депозитный калькулятор'!$G$7="30/360"),AND(MONTH(F39)=2,EOMONTH(F39,0)=F39)),IF(DAY(F39)=28,3*G39*'депозитный калькулятор'!$G$8,2*G39*'депозитный калькулятор'!$G$8),IF(AND(OR('депозитный калькулятор'!$G$7="30/365",'депозитный калькулятор'!$G$7="30/360"),DAY(F39)=31)," ",IF(AND('депозитный калькулятор'!$G$7="факт/факт",MOD(YEAR(F39),4)=0),G39*'депозитный калькулятор'!$D$11/366,G39*'депозитный калькулятор'!$G$8))))</f>
        <v xml:space="preserve"> </v>
      </c>
      <c r="I39" s="134" t="str">
        <f ca="1">IF(F39=" "," ",IF('депозитный калькулятор'!$G$10="ежедневное",H39,IF(AND('депозитный калькулятор'!$G$10="еженедельное",WEEKDAY(F39,2)=7),SUM(OFFSET(H39,-6,0):H39),IF(AND('депозитный калькулятор'!$G$10="еженедельное",F39='депозитный калькулятор'!$D$8),SUM($H$23:H39)-SUM($I$23:I38),IF(AND('депозитный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недели",WEEKDAY(F39,2)=7),MIN(OFFSET(H39,-6,0):H39)*(COUNTIF(OFFSET(H39,-6,0):H39,"&gt;0")+SUMIF(OFFSET(A39,-WEEKDAY(F39,2),0):A39,"=2",OFFSET(A39,-WEEKDAY(F39,2),0):A39)),IF(AND('депозитный калькулятор'!$G$10="еженедельное, на минимальную сумму зафиксированную в течение недели",F39='депозитный калькулятор'!$D$8,WEEKDAY(F39,2)&lt;&gt;7),MIN(OFFSET(H39,-WEEKDAY(F39,2),0):H39)*(COUNTIF(OFFSET(H39,-WEEKDAY(F39,2)+1,0):H39,"&gt;0")+SUM(OFFSET(A39,-WEEKDAY(F39,2),0):A39)),IF(AND('депозитный калькулятор'!$G$10="ежемесячное (в конце месяца)",F39='депозитный калькулятор'!$D$8,EOMONTH(F39,0)&lt;&gt;F39),IF('депозитный калькулятор'!$F$1=1,$H$24,SUM($H$23:H39)-SUM($I$23:I38)),IF(AND('депозитный калькулятор'!$G$10="ежемесячное (в конце месяца)",EOMONTH(F39,0)=F39),SUM($H$23:H39)-SUM($I$23:I38),IF(AND('депозитный калькулятор'!$G$10="ежемесячное (по дням открытия вклада)",F39='депозитный калькулятор'!$D$8,DAY('депозитный калькулятор'!$D$7)&lt;&gt;DAY(F39)),IF('депозитный калькулятор'!$F$1=1,$H$24,SUM($H$23:H39)-SUM($I$23:I38)),IF(AND('депозитный калькулятор'!$G$10="ежемесячное (по дням открытия вклада)",DAY('депозитный калькулятор'!$D$7)=DAY(F39)),SUM($H$23:H39)-SUM($I$23:I38),IF(AND('депозитный калькулятор'!$G$10="ежемесячное, на минимальную сумму зафиксированную в течение месяца",F39='депозитный калькулятор'!$D$8,EOMONTH(F39,0)&lt;&gt;F39),IF('депозитный калькулятор'!$F$1=1,$H$24,IF(AND(OR('депозитный калькулятор'!$G$7="30/365",'депозитный калькулятор'!$G$7="30/360"),DAY(F39)=31),0,MIN(OFFSET(H39,-E39+1,0):H39)*(E39+SUMIF(OFFSET(A39,-E39+1,0):A39,"=2",OFFSET(A39,-E39+1,0):A39)))),IF(AND('депозитный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калькулятор'!$G$7="30/360"),DAY(EOMONTH(F39,0))=31),EOMONTH(F39,0)-1=F39,EOMONTH(F39,0)=F39)),IF(IF(AND(OR('депозитный калькулятор'!$G$7="30/365",'депозитный калькулятор'!$G$7="30/360"),DAY(EOMONTH($F$23,0))=31),F39=EOMONTH($F$23,0)-1,F39=EOMONTH($F$23,0)),MIN(OFFSET(H39,-(DAY(F39)-DAY($F$23)),0):H39)*E39,MIN(OFFSET(H39,-(DAY(F39)-1),0):H39)*IF(AND(OR('депозитный калькулятор'!$G$7="30/365",'депозитный калькулятор'!$G$7="30/360"),DAY(F39)&lt;30),30,DAY(F39))),IF(AND('депозитный калькулятор'!$G$10="ежемесячное, на средний остаток в течение месяца, при условии что остаток больше чем ограничение",F39='депозитный калькулятор'!$D$8,EOMONTH(F39,0)&lt;&gt;F39),IF('депозитный калькулятор'!$F$1=1,$H$24,SUM(OFFSET(Q39,-E39+1,0):Q39)),IF(AND('депозитный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калькулятор'!$G$7="30/360"),DAY(EOMONTH(F39,0))=31),EOMONTH(F39,0)-1=F39,EOMONTH(F39,0)=F39)),IF(IF(AND(OR('депозитный калькулятор'!$G$7="30/365",'депозитный калькулятор'!$G$7="30/360"),DAY(EOMONTH($F$24,0))=31),F39=EOMONTH($F$24,0)-1,F39=EOMONTH($F$24,0)),SUM(OFFSET(Q39,-E39+1,0):Q39),SUM(OFFSET(Q39,-E39+1,0):Q39)),IF('депозитный калькулятор'!$G$10="ежеквартальное",IF(F39&gt;'депозитный калькулятор'!$D$8," ",IF(AND(EOMONTH(F39,0)=F39,OR(MONTH(F39)=3,MONTH(F39)=6,MONTH(F39)=9,MONTH(F39)=12)),IF(EDATE(F39,-3)&lt;'депозитный калькулятор'!$D$7,SUM($H$23:H39),IF(MOD(YEAR(F39),4)=0,IF(AND(EOMONTH(F39,0)=F39,OR(MONTH(F39)=3,MONTH(F39)=6)),SUM(OFFSET(H39,-90,0):H39),IF(AND(EOMONTH(F39,0)=F39,OR(MONTH(F39)=9,MONTH(F39)=12)),SUM(OFFSET(H39,-91,0):H39))),IF(AND(EOMONTH(F39,0)=F39,MONTH(F39)=3),SUM(OFFSET(H39,-89,0):H39),IF(AND(EOMONTH(F39,0)=F39,MONTH(F39)=6),SUM(OFFSET(H39,-90,0):H39),IF(AND(EOMONTH(F39,0)=F39,OR(MONTH(F39)=9,MONTH(F39)=12)),SUM(OFFSET(H39,-91,0):H39)))))),IF(F39='депозитный калькулятор'!$D$8,SUM($H$23:H39)-SUM($I$23:I38),0))),IF('депозитный калькулятор'!$G$10="ежегодное",IF(F39&gt;'депозитный калькулятор'!$D$8," ",IF(F39='депозитный калькулятор'!$D$8,SUM($H$23:H39)-SUM($I$23:I38),IF(AND(EOMONTH(F39,0)=F39,MONTH(F39)=12),IF(MOD(YEAR(F38),4)=0,IF(F39-'депозитный калькулятор'!$D$7&lt;366,SUM($H$23:H39),SUM(OFFSET(H39,-365,0):H39)),IF(F39-'депозитный калькулятор'!$D$7&lt;365,SUM($H$23:H39),SUM(OFFSET(H39,-364,0):H39))),0))),IF(AND('депозитный калькулятор'!$G$10="в конце срока",'депозитный калькулятор'!$D$8=F39),SUM($H$23:H39),0))))))))))))))))))</f>
        <v xml:space="preserve"> </v>
      </c>
      <c r="J39" s="59" t="str">
        <f>IF(F39&gt;'депозитный калькулятор'!$D$8," ",IF('депозитный калькулятор'!$G$16="нет",0,IF(AND('депозитный калькулятор'!$G$17="разовая (в конце срока)",F39='депозитный калькулятор'!$D$8),'депозитный калькулятор'!$G$18,IF(AND('депозитный калькулятор'!$G$17="ежемесячная",EOMONTH(F38,0)=F38),'депозитный калькулятор'!$G$18,IF(AND('депозитный калькулятор'!$G$17="ежегодная",DAY(F38)=31,MONTH(F38)=12),'депозитный калькулятор'!$G$18,IF(AND('депозитный калькулятор'!$G$17="ежемесячная в зависимости от остатка",EOMONTH(F38,0)=F38,P38&gt;0),'депозитный калькулятор'!$G$18,IF(AND('депозитный калькулятор'!$G$17="ежегодная в зависимости от остатка",DAY(F38)=31,MONTH(F38)=12,P38&gt;0),'депозитный калькулятор'!$G$18,0)))))))</f>
        <v xml:space="preserve"> </v>
      </c>
      <c r="K39" s="135" t="str">
        <f>IF($F39=" "," ",IFERROR(VLOOKUP($F39,'депозитный калькулятор'!$B$26:$F$70,2,0),0))</f>
        <v xml:space="preserve"> </v>
      </c>
      <c r="L39" s="135" t="str">
        <f>IF($F39=" "," ",IFERROR(VLOOKUP($F39,'депозитный калькулятор'!$B$26:$F$70,3,0),0))</f>
        <v xml:space="preserve"> </v>
      </c>
      <c r="M39" s="135" t="str">
        <f>IF($F39=" "," ",IFERROR(VLOOKUP($F39,'депозитный калькулятор'!$B$26:$F$70,4,0),0))</f>
        <v xml:space="preserve"> </v>
      </c>
      <c r="N39" s="135" t="str">
        <f>IF($F39=" "," ",IFERROR(VLOOKUP($F39,'депозитный калькулятор'!$B$26:$F$70,5,0),0))</f>
        <v xml:space="preserve"> </v>
      </c>
      <c r="O39" s="146" t="str">
        <f>IF(F39&gt;'депозитный калькулятор'!$D$8," ",IF(F39='депозитный калькулятор'!$D$8,IF(AND($F$24='депозитный калькулятор'!$D$8,'депозитный калькулятор'!$G$13="нет"),-G39-IF(I39=" ",0,I39)-IF(AND(OR('депозитный калькулятор'!$G$7="30/365",'депозитный калькулятор'!$G$7="30/360"),'депозитный калькулятор'!$G$10="в начале срока"),I38,0)-L39+M39-N39,-G39-IF(I39=" ",0,I39)-L39+M39-N39),IF('депозитный калькулятор'!$G$13="есть",M39-N39+IF('депозитный калькулятор'!$G$14="есть",0,-L39),-IF(I39=" ",0,I39)-IF(AND(OR('депозитный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срока"),I38,0)+M39-N39+IF('депозитный калькулятор'!$G$14="есть",0,-L39))))</f>
        <v xml:space="preserve"> </v>
      </c>
      <c r="P39" s="147" t="str">
        <f>IF(F39&gt;'депозитный калькулятор'!$D$8," ",IF(EOMONTH(F38,0)=F38,0,IF(G39&gt;='депозитный калькулятор'!$G$19,P38,P38+1)))</f>
        <v xml:space="preserve"> </v>
      </c>
      <c r="Q39" s="138" t="str">
        <f>IF(F39=" "," ",IF(AND(OR('депозитный калькулятор'!$G$7="30/365",'депозитный калькулятор'!$G$7="30/360"),AND(MONTH(F39)=2,EOMONTH(F39,0)=F39)),IF(DAY(F39)=28,3,2),1)*IF(G39&gt;='депозитный калькулятор'!$G$11,IF(AND('депозитный калькулятор'!$G$7="факт/факт",MOD(YEAR(F39),4)=0),G39*'депозитный калькулятор'!$D$11/366,G39*'депозитный калькулятор'!$G$8),0))</f>
        <v xml:space="preserve"> </v>
      </c>
      <c r="R39" s="148"/>
      <c r="S39" s="62" t="str">
        <f t="shared" ca="1" si="2"/>
        <v xml:space="preserve"> </v>
      </c>
      <c r="T39" s="149" t="str">
        <f ca="1">IF(S39=" "," ",IF('депозитный калькулятор'!$G$7="30/360",DAYS360(U38,IF(DAY(U39)=31,U39-1,U39))+IF(AND(MONTH(U39)=2,U39=EOMONTH(U39,0)),30-DAY(EOMONTH(U39,0)))+T38,VLOOKUP(S39,$C$22:$F$1023,2,0)))</f>
        <v xml:space="preserve"> </v>
      </c>
      <c r="U39" s="64" t="str">
        <f t="shared" ca="1" si="0"/>
        <v xml:space="preserve"> </v>
      </c>
      <c r="V39" s="150" t="str">
        <f t="shared" ca="1" si="3"/>
        <v xml:space="preserve"> </v>
      </c>
      <c r="W39" s="62" t="str">
        <f t="shared" ca="1" si="4"/>
        <v xml:space="preserve"> </v>
      </c>
      <c r="X39" s="141" t="str">
        <f ca="1">IF(S39=" "," ",IFERROR(VLOOKUP(U39,$F$23:$N$1023,7)+VLOOKUP(U39,$F$23:$N$1023,9)+IF(AND('депозитный калькулятор'!$G$13="нет",U39&lt;&gt;'депозитный калькулятор'!$D$8),VLOOKUP(U39,$F$23:$N$1023,4),0),0)+IF(U39='депозитный калькулятор'!$D$8,VLOOKUP(U39,$F$23:$N$1023,2)+VLOOKUP(U39,$F$23:$N$1023,4),0))</f>
        <v xml:space="preserve"> </v>
      </c>
      <c r="Y39" s="142" t="str">
        <f ca="1">IF(S39=" "," ",W39/(1+'депозитный калькулятор'!$K$8)^(T39/IF('депозитный калькулятор'!$G$7="30/360",360,365)))</f>
        <v xml:space="preserve"> </v>
      </c>
      <c r="Z39" s="142" t="str">
        <f ca="1">IF(S39=" "," ",X39/(1+'депозитный калькулятор'!$K$8)^(T39/IF('депозитный калькулятор'!$G$7="30/360",360,365)))</f>
        <v xml:space="preserve"> </v>
      </c>
      <c r="AA39" s="151"/>
      <c r="AB39" s="151"/>
      <c r="AC39" s="155"/>
      <c r="AD39" s="155"/>
    </row>
    <row r="40" spans="1:30" s="2" customFormat="1" ht="15.5" x14ac:dyDescent="0.35">
      <c r="A40" s="41" t="str">
        <f>IF(F40=" "," ",IF(OR('депозитный калькулятор'!$G$7="30/365",'депозитный калькулятор'!$G$7="30/360"),IF(AND(MONTH(F40)=2,DAY(F40)=DAY(EOMONTH(F40,0))),30-DAY(EOMONTH(F40,0)),IF(DAY(F40)=31,1," "))," "))</f>
        <v xml:space="preserve"> </v>
      </c>
      <c r="B40" s="130" t="str">
        <f t="shared" si="1"/>
        <v xml:space="preserve"> </v>
      </c>
      <c r="C40" s="130" t="str">
        <f>IF(OR(B40=0,B40=" ")," ",SUM($B$23:B40))</f>
        <v xml:space="preserve"> </v>
      </c>
      <c r="D40" s="62" t="str">
        <f>IF(D39=" "," ",IF(OR(F39='депозитный калькулятор'!$D$8,F39=" ")," ",D39+1))</f>
        <v xml:space="preserve"> </v>
      </c>
      <c r="E40" s="130" t="str">
        <f>IF(OR(F39='депозитный калькулятор'!$D$8,F39=" ")," ",IF(EOMONTH(F39,0)=F39,1,E39+1))</f>
        <v xml:space="preserve"> </v>
      </c>
      <c r="F40" s="64" t="str">
        <f>IF(F39=" "," ",IF(F39='депозитный калькулятор'!$D$8," ",F39+1))</f>
        <v xml:space="preserve"> </v>
      </c>
      <c r="G40" s="145" t="str">
        <f xml:space="preserve"> IF(F40&gt;'депозитный калькулятор'!$D$8," ",IF('депозитный калькулятор'!$G$13="есть",IF('депозитный калькулятор'!$G$14="есть",G39+IF(I39=" ",0,I39)-J40-K40+L40+M40-N40,G39+IF(I39=" ",0,I39)-J40-K40+M40-N40),IF('депозитный калькулятор'!$G$14="есть",G39-J40-K40+L40+M40-N40,G39-J40-K40+M40-N40)))</f>
        <v xml:space="preserve"> </v>
      </c>
      <c r="H40" s="133" t="str">
        <f>IF(F40&gt;'депозитный калькулятор'!$D$8," ",IF(AND(OR('депозитный калькулятор'!$G$7="30/365",'депозитный калькулятор'!$G$7="30/360"),AND(MONTH(F40)=2,EOMONTH(F40,0)=F40)),IF(DAY(F40)=28,3*G40*'депозитный калькулятор'!$G$8,2*G40*'депозитный калькулятор'!$G$8),IF(AND(OR('депозитный калькулятор'!$G$7="30/365",'депозитный калькулятор'!$G$7="30/360"),DAY(F40)=31)," ",IF(AND('депозитный калькулятор'!$G$7="факт/факт",MOD(YEAR(F40),4)=0),G40*'депозитный калькулятор'!$D$11/366,G40*'депозитный калькулятор'!$G$8))))</f>
        <v xml:space="preserve"> </v>
      </c>
      <c r="I40" s="134" t="str">
        <f ca="1">IF(F40=" "," ",IF('депозитный калькулятор'!$G$10="ежедневное",H40,IF(AND('депозитный калькулятор'!$G$10="еженедельное",WEEKDAY(F40,2)=7),SUM(OFFSET(H40,-6,0):H40),IF(AND('депозитный калькулятор'!$G$10="еженедельное",F40='депозитный калькулятор'!$D$8),SUM($H$23:H40)-SUM($I$23:I39),IF(AND('депозитный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недели",WEEKDAY(F40,2)=7),MIN(OFFSET(H40,-6,0):H40)*(COUNTIF(OFFSET(H40,-6,0):H40,"&gt;0")+SUMIF(OFFSET(A40,-WEEKDAY(F40,2),0):A40,"=2",OFFSET(A40,-WEEKDAY(F40,2),0):A40)),IF(AND('депозитный калькулятор'!$G$10="еженедельное, на минимальную сумму зафиксированную в течение недели",F40='депозитный калькулятор'!$D$8,WEEKDAY(F40,2)&lt;&gt;7),MIN(OFFSET(H40,-WEEKDAY(F40,2),0):H40)*(COUNTIF(OFFSET(H40,-WEEKDAY(F40,2)+1,0):H40,"&gt;0")+SUM(OFFSET(A40,-WEEKDAY(F40,2),0):A40)),IF(AND('депозитный калькулятор'!$G$10="ежемесячное (в конце месяца)",F40='депозитный калькулятор'!$D$8,EOMONTH(F40,0)&lt;&gt;F40),IF('депозитный калькулятор'!$F$1=1,$H$24,SUM($H$23:H40)-SUM($I$23:I39)),IF(AND('депозитный калькулятор'!$G$10="ежемесячное (в конце месяца)",EOMONTH(F40,0)=F40),SUM($H$23:H40)-SUM($I$23:I39),IF(AND('депозитный калькулятор'!$G$10="ежемесячное (по дням открытия вклада)",F40='депозитный калькулятор'!$D$8,DAY('депозитный калькулятор'!$D$7)&lt;&gt;DAY(F40)),IF('депозитный калькулятор'!$F$1=1,$H$24,SUM($H$23:H40)-SUM($I$23:I39)),IF(AND('депозитный калькулятор'!$G$10="ежемесячное (по дням открытия вклада)",DAY('депозитный калькулятор'!$D$7)=DAY(F40)),SUM($H$23:H40)-SUM($I$23:I39),IF(AND('депозитный калькулятор'!$G$10="ежемесячное, на минимальную сумму зафиксированную в течение месяца",F40='депозитный калькулятор'!$D$8,EOMONTH(F40,0)&lt;&gt;F40),IF('депозитный калькулятор'!$F$1=1,$H$24,IF(AND(OR('депозитный калькулятор'!$G$7="30/365",'депозитный калькулятор'!$G$7="30/360"),DAY(F40)=31),0,MIN(OFFSET(H40,-E40+1,0):H40)*(E40+SUMIF(OFFSET(A40,-E40+1,0):A40,"=2",OFFSET(A40,-E40+1,0):A40)))),IF(AND('депозитный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калькулятор'!$G$7="30/360"),DAY(EOMONTH(F40,0))=31),EOMONTH(F40,0)-1=F40,EOMONTH(F40,0)=F40)),IF(IF(AND(OR('депозитный калькулятор'!$G$7="30/365",'депозитный калькулятор'!$G$7="30/360"),DAY(EOMONTH($F$23,0))=31),F40=EOMONTH($F$23,0)-1,F40=EOMONTH($F$23,0)),MIN(OFFSET(H40,-(DAY(F40)-DAY($F$23)),0):H40)*E40,MIN(OFFSET(H40,-(DAY(F40)-1),0):H40)*IF(AND(OR('депозитный калькулятор'!$G$7="30/365",'депозитный калькулятор'!$G$7="30/360"),DAY(F40)&lt;30),30,DAY(F40))),IF(AND('депозитный калькулятор'!$G$10="ежемесячное, на средний остаток в течение месяца, при условии что остаток больше чем ограничение",F40='депозитный калькулятор'!$D$8,EOMONTH(F40,0)&lt;&gt;F40),IF('депозитный калькулятор'!$F$1=1,$H$24,SUM(OFFSET(Q40,-E40+1,0):Q40)),IF(AND('депозитный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калькулятор'!$G$7="30/360"),DAY(EOMONTH(F40,0))=31),EOMONTH(F40,0)-1=F40,EOMONTH(F40,0)=F40)),IF(IF(AND(OR('депозитный калькулятор'!$G$7="30/365",'депозитный калькулятор'!$G$7="30/360"),DAY(EOMONTH($F$24,0))=31),F40=EOMONTH($F$24,0)-1,F40=EOMONTH($F$24,0)),SUM(OFFSET(Q40,-E40+1,0):Q40),SUM(OFFSET(Q40,-E40+1,0):Q40)),IF('депозитный калькулятор'!$G$10="ежеквартальное",IF(F40&gt;'депозитный калькулятор'!$D$8," ",IF(AND(EOMONTH(F40,0)=F40,OR(MONTH(F40)=3,MONTH(F40)=6,MONTH(F40)=9,MONTH(F40)=12)),IF(EDATE(F40,-3)&lt;'депозитный калькулятор'!$D$7,SUM($H$23:H40),IF(MOD(YEAR(F40),4)=0,IF(AND(EOMONTH(F40,0)=F40,OR(MONTH(F40)=3,MONTH(F40)=6)),SUM(OFFSET(H40,-90,0):H40),IF(AND(EOMONTH(F40,0)=F40,OR(MONTH(F40)=9,MONTH(F40)=12)),SUM(OFFSET(H40,-91,0):H40))),IF(AND(EOMONTH(F40,0)=F40,MONTH(F40)=3),SUM(OFFSET(H40,-89,0):H40),IF(AND(EOMONTH(F40,0)=F40,MONTH(F40)=6),SUM(OFFSET(H40,-90,0):H40),IF(AND(EOMONTH(F40,0)=F40,OR(MONTH(F40)=9,MONTH(F40)=12)),SUM(OFFSET(H40,-91,0):H40)))))),IF(F40='депозитный калькулятор'!$D$8,SUM($H$23:H40)-SUM($I$23:I39),0))),IF('депозитный калькулятор'!$G$10="ежегодное",IF(F40&gt;'депозитный калькулятор'!$D$8," ",IF(F40='депозитный калькулятор'!$D$8,SUM($H$23:H40)-SUM($I$23:I39),IF(AND(EOMONTH(F40,0)=F40,MONTH(F40)=12),IF(MOD(YEAR(F39),4)=0,IF(F40-'депозитный калькулятор'!$D$7&lt;366,SUM($H$23:H40),SUM(OFFSET(H40,-365,0):H40)),IF(F40-'депозитный калькулятор'!$D$7&lt;365,SUM($H$23:H40),SUM(OFFSET(H40,-364,0):H40))),0))),IF(AND('депозитный калькулятор'!$G$10="в конце срока",'депозитный калькулятор'!$D$8=F40),SUM($H$23:H40),0))))))))))))))))))</f>
        <v xml:space="preserve"> </v>
      </c>
      <c r="J40" s="59" t="str">
        <f>IF(F40&gt;'депозитный калькулятор'!$D$8," ",IF('депозитный калькулятор'!$G$16="нет",0,IF(AND('депозитный калькулятор'!$G$17="разовая (в конце срока)",F40='депозитный калькулятор'!$D$8),'депозитный калькулятор'!$G$18,IF(AND('депозитный калькулятор'!$G$17="ежемесячная",EOMONTH(F39,0)=F39),'депозитный калькулятор'!$G$18,IF(AND('депозитный калькулятор'!$G$17="ежегодная",DAY(F39)=31,MONTH(F39)=12),'депозитный калькулятор'!$G$18,IF(AND('депозитный калькулятор'!$G$17="ежемесячная в зависимости от остатка",EOMONTH(F39,0)=F39,P39&gt;0),'депозитный калькулятор'!$G$18,IF(AND('депозитный калькулятор'!$G$17="ежегодная в зависимости от остатка",DAY(F39)=31,MONTH(F39)=12,P39&gt;0),'депозитный калькулятор'!$G$18,0)))))))</f>
        <v xml:space="preserve"> </v>
      </c>
      <c r="K40" s="135" t="str">
        <f>IF($F40=" "," ",IFERROR(VLOOKUP($F40,'депозитный калькулятор'!$B$26:$F$70,2,0),0))</f>
        <v xml:space="preserve"> </v>
      </c>
      <c r="L40" s="135" t="str">
        <f>IF($F40=" "," ",IFERROR(VLOOKUP($F40,'депозитный калькулятор'!$B$26:$F$70,3,0),0))</f>
        <v xml:space="preserve"> </v>
      </c>
      <c r="M40" s="135" t="str">
        <f>IF($F40=" "," ",IFERROR(VLOOKUP($F40,'депозитный калькулятор'!$B$26:$F$70,4,0),0))</f>
        <v xml:space="preserve"> </v>
      </c>
      <c r="N40" s="135" t="str">
        <f>IF($F40=" "," ",IFERROR(VLOOKUP($F40,'депозитный калькулятор'!$B$26:$F$70,5,0),0))</f>
        <v xml:space="preserve"> </v>
      </c>
      <c r="O40" s="146" t="str">
        <f>IF(F40&gt;'депозитный калькулятор'!$D$8," ",IF(F40='депозитный калькулятор'!$D$8,IF(AND($F$24='депозитный калькулятор'!$D$8,'депозитный калькулятор'!$G$13="нет"),-G40-IF(I40=" ",0,I40)-IF(AND(OR('депозитный калькулятор'!$G$7="30/365",'депозитный калькулятор'!$G$7="30/360"),'депозитный калькулятор'!$G$10="в начале срока"),I39,0)-L40+M40-N40,-G40-IF(I40=" ",0,I40)-L40+M40-N40),IF('депозитный калькулятор'!$G$13="есть",M40-N40+IF('депозитный калькулятор'!$G$14="есть",0,-L40),-IF(I40=" ",0,I40)-IF(AND(OR('депозитный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срока"),I39,0)+M40-N40+IF('депозитный калькулятор'!$G$14="есть",0,-L40))))</f>
        <v xml:space="preserve"> </v>
      </c>
      <c r="P40" s="147" t="str">
        <f>IF(F40&gt;'депозитный калькулятор'!$D$8," ",IF(EOMONTH(F39,0)=F39,0,IF(G40&gt;='депозитный калькулятор'!$G$19,P39,P39+1)))</f>
        <v xml:space="preserve"> </v>
      </c>
      <c r="Q40" s="138" t="str">
        <f>IF(F40=" "," ",IF(AND(OR('депозитный калькулятор'!$G$7="30/365",'депозитный калькулятор'!$G$7="30/360"),AND(MONTH(F40)=2,EOMONTH(F40,0)=F40)),IF(DAY(F40)=28,3,2),1)*IF(G40&gt;='депозитный калькулятор'!$G$11,IF(AND('депозитный калькулятор'!$G$7="факт/факт",MOD(YEAR(F40),4)=0),G40*'депозитный калькулятор'!$D$11/366,G40*'депозитный калькулятор'!$G$8),0))</f>
        <v xml:space="preserve"> </v>
      </c>
      <c r="R40" s="148"/>
      <c r="S40" s="62" t="str">
        <f t="shared" ca="1" si="2"/>
        <v xml:space="preserve"> </v>
      </c>
      <c r="T40" s="149" t="str">
        <f ca="1">IF(S40=" "," ",IF('депозитный калькулятор'!$G$7="30/360",DAYS360(U39,IF(DAY(U40)=31,U40-1,U40))+IF(AND(MONTH(U40)=2,U40=EOMONTH(U40,0)),30-DAY(EOMONTH(U40,0)))+T39,VLOOKUP(S40,$C$22:$F$1023,2,0)))</f>
        <v xml:space="preserve"> </v>
      </c>
      <c r="U40" s="64" t="str">
        <f t="shared" ca="1" si="0"/>
        <v xml:space="preserve"> </v>
      </c>
      <c r="V40" s="150" t="str">
        <f t="shared" ca="1" si="3"/>
        <v xml:space="preserve"> </v>
      </c>
      <c r="W40" s="62" t="str">
        <f t="shared" ca="1" si="4"/>
        <v xml:space="preserve"> </v>
      </c>
      <c r="X40" s="141" t="str">
        <f ca="1">IF(S40=" "," ",IFERROR(VLOOKUP(U40,$F$23:$N$1023,7)+VLOOKUP(U40,$F$23:$N$1023,9)+IF(AND('депозитный калькулятор'!$G$13="нет",U40&lt;&gt;'депозитный калькулятор'!$D$8),VLOOKUP(U40,$F$23:$N$1023,4),0),0)+IF(U40='депозитный калькулятор'!$D$8,VLOOKUP(U40,$F$23:$N$1023,2)+VLOOKUP(U40,$F$23:$N$1023,4),0))</f>
        <v xml:space="preserve"> </v>
      </c>
      <c r="Y40" s="142" t="str">
        <f ca="1">IF(S40=" "," ",W40/(1+'депозитный калькулятор'!$K$8)^(T40/IF('депозитный калькулятор'!$G$7="30/360",360,365)))</f>
        <v xml:space="preserve"> </v>
      </c>
      <c r="Z40" s="142" t="str">
        <f ca="1">IF(S40=" "," ",X40/(1+'депозитный калькулятор'!$K$8)^(T40/IF('депозитный калькулятор'!$G$7="30/360",360,365)))</f>
        <v xml:space="preserve"> </v>
      </c>
      <c r="AA40" s="151"/>
      <c r="AB40" s="151"/>
      <c r="AC40" s="155"/>
      <c r="AD40" s="155"/>
    </row>
    <row r="41" spans="1:30" s="2" customFormat="1" ht="15.5" x14ac:dyDescent="0.35">
      <c r="A41" s="41" t="str">
        <f>IF(F41=" "," ",IF(OR('депозитный калькулятор'!$G$7="30/365",'депозитный калькулятор'!$G$7="30/360"),IF(AND(MONTH(F41)=2,DAY(F41)=DAY(EOMONTH(F41,0))),30-DAY(EOMONTH(F41,0)),IF(DAY(F41)=31,1," "))," "))</f>
        <v xml:space="preserve"> </v>
      </c>
      <c r="B41" s="130" t="str">
        <f t="shared" si="1"/>
        <v xml:space="preserve"> </v>
      </c>
      <c r="C41" s="130" t="str">
        <f>IF(OR(B41=0,B41=" ")," ",SUM($B$23:B41))</f>
        <v xml:space="preserve"> </v>
      </c>
      <c r="D41" s="62" t="str">
        <f>IF(D40=" "," ",IF(OR(F40='депозитный калькулятор'!$D$8,F40=" ")," ",D40+1))</f>
        <v xml:space="preserve"> </v>
      </c>
      <c r="E41" s="130" t="str">
        <f>IF(OR(F40='депозитный калькулятор'!$D$8,F40=" ")," ",IF(EOMONTH(F40,0)=F40,1,E40+1))</f>
        <v xml:space="preserve"> </v>
      </c>
      <c r="F41" s="64" t="str">
        <f>IF(F40=" "," ",IF(F40='депозитный калькулятор'!$D$8," ",F40+1))</f>
        <v xml:space="preserve"> </v>
      </c>
      <c r="G41" s="145" t="str">
        <f xml:space="preserve"> IF(F41&gt;'депозитный калькулятор'!$D$8," ",IF('депозитный калькулятор'!$G$13="есть",IF('депозитный калькулятор'!$G$14="есть",G40+IF(I40=" ",0,I40)-J41-K41+L41+M41-N41,G40+IF(I40=" ",0,I40)-J41-K41+M41-N41),IF('депозитный калькулятор'!$G$14="есть",G40-J41-K41+L41+M41-N41,G40-J41-K41+M41-N41)))</f>
        <v xml:space="preserve"> </v>
      </c>
      <c r="H41" s="133" t="str">
        <f>IF(F41&gt;'депозитный калькулятор'!$D$8," ",IF(AND(OR('депозитный калькулятор'!$G$7="30/365",'депозитный калькулятор'!$G$7="30/360"),AND(MONTH(F41)=2,EOMONTH(F41,0)=F41)),IF(DAY(F41)=28,3*G41*'депозитный калькулятор'!$G$8,2*G41*'депозитный калькулятор'!$G$8),IF(AND(OR('депозитный калькулятор'!$G$7="30/365",'депозитный калькулятор'!$G$7="30/360"),DAY(F41)=31)," ",IF(AND('депозитный калькулятор'!$G$7="факт/факт",MOD(YEAR(F41),4)=0),G41*'депозитный калькулятор'!$D$11/366,G41*'депозитный калькулятор'!$G$8))))</f>
        <v xml:space="preserve"> </v>
      </c>
      <c r="I41" s="134" t="str">
        <f ca="1">IF(F41=" "," ",IF('депозитный калькулятор'!$G$10="ежедневное",H41,IF(AND('депозитный калькулятор'!$G$10="еженедельное",WEEKDAY(F41,2)=7),SUM(OFFSET(H41,-6,0):H41),IF(AND('депозитный калькулятор'!$G$10="еженедельное",F41='депозитный калькулятор'!$D$8),SUM($H$23:H41)-SUM($I$23:I40),IF(AND('депозитный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недели",WEEKDAY(F41,2)=7),MIN(OFFSET(H41,-6,0):H41)*(COUNTIF(OFFSET(H41,-6,0):H41,"&gt;0")+SUMIF(OFFSET(A41,-WEEKDAY(F41,2),0):A41,"=2",OFFSET(A41,-WEEKDAY(F41,2),0):A41)),IF(AND('депозитный калькулятор'!$G$10="еженедельное, на минимальную сумму зафиксированную в течение недели",F41='депозитный калькулятор'!$D$8,WEEKDAY(F41,2)&lt;&gt;7),MIN(OFFSET(H41,-WEEKDAY(F41,2),0):H41)*(COUNTIF(OFFSET(H41,-WEEKDAY(F41,2)+1,0):H41,"&gt;0")+SUM(OFFSET(A41,-WEEKDAY(F41,2),0):A41)),IF(AND('депозитный калькулятор'!$G$10="ежемесячное (в конце месяца)",F41='депозитный калькулятор'!$D$8,EOMONTH(F41,0)&lt;&gt;F41),IF('депозитный калькулятор'!$F$1=1,$H$24,SUM($H$23:H41)-SUM($I$23:I40)),IF(AND('депозитный калькулятор'!$G$10="ежемесячное (в конце месяца)",EOMONTH(F41,0)=F41),SUM($H$23:H41)-SUM($I$23:I40),IF(AND('депозитный калькулятор'!$G$10="ежемесячное (по дням открытия вклада)",F41='депозитный калькулятор'!$D$8,DAY('депозитный калькулятор'!$D$7)&lt;&gt;DAY(F41)),IF('депозитный калькулятор'!$F$1=1,$H$24,SUM($H$23:H41)-SUM($I$23:I40)),IF(AND('депозитный калькулятор'!$G$10="ежемесячное (по дням открытия вклада)",DAY('депозитный калькулятор'!$D$7)=DAY(F41)),SUM($H$23:H41)-SUM($I$23:I40),IF(AND('депозитный калькулятор'!$G$10="ежемесячное, на минимальную сумму зафиксированную в течение месяца",F41='депозитный калькулятор'!$D$8,EOMONTH(F41,0)&lt;&gt;F41),IF('депозитный калькулятор'!$F$1=1,$H$24,IF(AND(OR('депозитный калькулятор'!$G$7="30/365",'депозитный калькулятор'!$G$7="30/360"),DAY(F41)=31),0,MIN(OFFSET(H41,-E41+1,0):H41)*(E41+SUMIF(OFFSET(A41,-E41+1,0):A41,"=2",OFFSET(A41,-E41+1,0):A41)))),IF(AND('депозитный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калькулятор'!$G$7="30/360"),DAY(EOMONTH(F41,0))=31),EOMONTH(F41,0)-1=F41,EOMONTH(F41,0)=F41)),IF(IF(AND(OR('депозитный калькулятор'!$G$7="30/365",'депозитный калькулятор'!$G$7="30/360"),DAY(EOMONTH($F$23,0))=31),F41=EOMONTH($F$23,0)-1,F41=EOMONTH($F$23,0)),MIN(OFFSET(H41,-(DAY(F41)-DAY($F$23)),0):H41)*E41,MIN(OFFSET(H41,-(DAY(F41)-1),0):H41)*IF(AND(OR('депозитный калькулятор'!$G$7="30/365",'депозитный калькулятор'!$G$7="30/360"),DAY(F41)&lt;30),30,DAY(F41))),IF(AND('депозитный калькулятор'!$G$10="ежемесячное, на средний остаток в течение месяца, при условии что остаток больше чем ограничение",F41='депозитный калькулятор'!$D$8,EOMONTH(F41,0)&lt;&gt;F41),IF('депозитный калькулятор'!$F$1=1,$H$24,SUM(OFFSET(Q41,-E41+1,0):Q41)),IF(AND('депозитный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калькулятор'!$G$7="30/360"),DAY(EOMONTH(F41,0))=31),EOMONTH(F41,0)-1=F41,EOMONTH(F41,0)=F41)),IF(IF(AND(OR('депозитный калькулятор'!$G$7="30/365",'депозитный калькулятор'!$G$7="30/360"),DAY(EOMONTH($F$24,0))=31),F41=EOMONTH($F$24,0)-1,F41=EOMONTH($F$24,0)),SUM(OFFSET(Q41,-E41+1,0):Q41),SUM(OFFSET(Q41,-E41+1,0):Q41)),IF('депозитный калькулятор'!$G$10="ежеквартальное",IF(F41&gt;'депозитный калькулятор'!$D$8," ",IF(AND(EOMONTH(F41,0)=F41,OR(MONTH(F41)=3,MONTH(F41)=6,MONTH(F41)=9,MONTH(F41)=12)),IF(EDATE(F41,-3)&lt;'депозитный калькулятор'!$D$7,SUM($H$23:H41),IF(MOD(YEAR(F41),4)=0,IF(AND(EOMONTH(F41,0)=F41,OR(MONTH(F41)=3,MONTH(F41)=6)),SUM(OFFSET(H41,-90,0):H41),IF(AND(EOMONTH(F41,0)=F41,OR(MONTH(F41)=9,MONTH(F41)=12)),SUM(OFFSET(H41,-91,0):H41))),IF(AND(EOMONTH(F41,0)=F41,MONTH(F41)=3),SUM(OFFSET(H41,-89,0):H41),IF(AND(EOMONTH(F41,0)=F41,MONTH(F41)=6),SUM(OFFSET(H41,-90,0):H41),IF(AND(EOMONTH(F41,0)=F41,OR(MONTH(F41)=9,MONTH(F41)=12)),SUM(OFFSET(H41,-91,0):H41)))))),IF(F41='депозитный калькулятор'!$D$8,SUM($H$23:H41)-SUM($I$23:I40),0))),IF('депозитный калькулятор'!$G$10="ежегодное",IF(F41&gt;'депозитный калькулятор'!$D$8," ",IF(F41='депозитный калькулятор'!$D$8,SUM($H$23:H41)-SUM($I$23:I40),IF(AND(EOMONTH(F41,0)=F41,MONTH(F41)=12),IF(MOD(YEAR(F40),4)=0,IF(F41-'депозитный калькулятор'!$D$7&lt;366,SUM($H$23:H41),SUM(OFFSET(H41,-365,0):H41)),IF(F41-'депозитный калькулятор'!$D$7&lt;365,SUM($H$23:H41),SUM(OFFSET(H41,-364,0):H41))),0))),IF(AND('депозитный калькулятор'!$G$10="в конце срока",'депозитный калькулятор'!$D$8=F41),SUM($H$23:H41),0))))))))))))))))))</f>
        <v xml:space="preserve"> </v>
      </c>
      <c r="J41" s="59" t="str">
        <f>IF(F41&gt;'депозитный калькулятор'!$D$8," ",IF('депозитный калькулятор'!$G$16="нет",0,IF(AND('депозитный калькулятор'!$G$17="разовая (в конце срока)",F41='депозитный калькулятор'!$D$8),'депозитный калькулятор'!$G$18,IF(AND('депозитный калькулятор'!$G$17="ежемесячная",EOMONTH(F40,0)=F40),'депозитный калькулятор'!$G$18,IF(AND('депозитный калькулятор'!$G$17="ежегодная",DAY(F40)=31,MONTH(F40)=12),'депозитный калькулятор'!$G$18,IF(AND('депозитный калькулятор'!$G$17="ежемесячная в зависимости от остатка",EOMONTH(F40,0)=F40,P40&gt;0),'депозитный калькулятор'!$G$18,IF(AND('депозитный калькулятор'!$G$17="ежегодная в зависимости от остатка",DAY(F40)=31,MONTH(F40)=12,P40&gt;0),'депозитный калькулятор'!$G$18,0)))))))</f>
        <v xml:space="preserve"> </v>
      </c>
      <c r="K41" s="135" t="str">
        <f>IF($F41=" "," ",IFERROR(VLOOKUP($F41,'депозитный калькулятор'!$B$26:$F$70,2,0),0))</f>
        <v xml:space="preserve"> </v>
      </c>
      <c r="L41" s="135" t="str">
        <f>IF($F41=" "," ",IFERROR(VLOOKUP($F41,'депозитный калькулятор'!$B$26:$F$70,3,0),0))</f>
        <v xml:space="preserve"> </v>
      </c>
      <c r="M41" s="135" t="str">
        <f>IF($F41=" "," ",IFERROR(VLOOKUP($F41,'депозитный калькулятор'!$B$26:$F$70,4,0),0))</f>
        <v xml:space="preserve"> </v>
      </c>
      <c r="N41" s="135" t="str">
        <f>IF($F41=" "," ",IFERROR(VLOOKUP($F41,'депозитный калькулятор'!$B$26:$F$70,5,0),0))</f>
        <v xml:space="preserve"> </v>
      </c>
      <c r="O41" s="146" t="str">
        <f>IF(F41&gt;'депозитный калькулятор'!$D$8," ",IF(F41='депозитный калькулятор'!$D$8,IF(AND($F$24='депозитный калькулятор'!$D$8,'депозитный калькулятор'!$G$13="нет"),-G41-IF(I41=" ",0,I41)-IF(AND(OR('депозитный калькулятор'!$G$7="30/365",'депозитный калькулятор'!$G$7="30/360"),'депозитный калькулятор'!$G$10="в начале срока"),I40,0)-L41+M41-N41,-G41-IF(I41=" ",0,I41)-L41+M41-N41),IF('депозитный калькулятор'!$G$13="есть",M41-N41+IF('депозитный калькулятор'!$G$14="есть",0,-L41),-IF(I41=" ",0,I41)-IF(AND(OR('депозитный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срока"),I40,0)+M41-N41+IF('депозитный калькулятор'!$G$14="есть",0,-L41))))</f>
        <v xml:space="preserve"> </v>
      </c>
      <c r="P41" s="147" t="str">
        <f>IF(F41&gt;'депозитный калькулятор'!$D$8," ",IF(EOMONTH(F40,0)=F40,0,IF(G41&gt;='депозитный калькулятор'!$G$19,P40,P40+1)))</f>
        <v xml:space="preserve"> </v>
      </c>
      <c r="Q41" s="138" t="str">
        <f>IF(F41=" "," ",IF(AND(OR('депозитный калькулятор'!$G$7="30/365",'депозитный калькулятор'!$G$7="30/360"),AND(MONTH(F41)=2,EOMONTH(F41,0)=F41)),IF(DAY(F41)=28,3,2),1)*IF(G41&gt;='депозитный калькулятор'!$G$11,IF(AND('депозитный калькулятор'!$G$7="факт/факт",MOD(YEAR(F41),4)=0),G41*'депозитный калькулятор'!$D$11/366,G41*'депозитный калькулятор'!$G$8),0))</f>
        <v xml:space="preserve"> </v>
      </c>
      <c r="R41" s="148"/>
      <c r="S41" s="62" t="str">
        <f t="shared" ca="1" si="2"/>
        <v xml:space="preserve"> </v>
      </c>
      <c r="T41" s="149" t="str">
        <f ca="1">IF(S41=" "," ",IF('депозитный калькулятор'!$G$7="30/360",DAYS360(U40,IF(DAY(U41)=31,U41-1,U41))+IF(AND(MONTH(U41)=2,U41=EOMONTH(U41,0)),30-DAY(EOMONTH(U41,0)))+T40,VLOOKUP(S41,$C$22:$F$1023,2,0)))</f>
        <v xml:space="preserve"> </v>
      </c>
      <c r="U41" s="64" t="str">
        <f t="shared" ca="1" si="0"/>
        <v xml:space="preserve"> </v>
      </c>
      <c r="V41" s="150" t="str">
        <f t="shared" ca="1" si="3"/>
        <v xml:space="preserve"> </v>
      </c>
      <c r="W41" s="62" t="str">
        <f t="shared" ca="1" si="4"/>
        <v xml:space="preserve"> </v>
      </c>
      <c r="X41" s="141" t="str">
        <f ca="1">IF(S41=" "," ",IFERROR(VLOOKUP(U41,$F$23:$N$1023,7)+VLOOKUP(U41,$F$23:$N$1023,9)+IF(AND('депозитный калькулятор'!$G$13="нет",U41&lt;&gt;'депозитный калькулятор'!$D$8),VLOOKUP(U41,$F$23:$N$1023,4),0),0)+IF(U41='депозитный калькулятор'!$D$8,VLOOKUP(U41,$F$23:$N$1023,2)+VLOOKUP(U41,$F$23:$N$1023,4),0))</f>
        <v xml:space="preserve"> </v>
      </c>
      <c r="Y41" s="142" t="str">
        <f ca="1">IF(S41=" "," ",W41/(1+'депозитный калькулятор'!$K$8)^(T41/IF('депозитный калькулятор'!$G$7="30/360",360,365)))</f>
        <v xml:space="preserve"> </v>
      </c>
      <c r="Z41" s="142" t="str">
        <f ca="1">IF(S41=" "," ",X41/(1+'депозитный калькулятор'!$K$8)^(T41/IF('депозитный калькулятор'!$G$7="30/360",360,365)))</f>
        <v xml:space="preserve"> </v>
      </c>
      <c r="AA41" s="151"/>
      <c r="AB41" s="151"/>
      <c r="AC41" s="155"/>
      <c r="AD41" s="155"/>
    </row>
    <row r="42" spans="1:30" s="2" customFormat="1" ht="15.5" x14ac:dyDescent="0.35">
      <c r="A42" s="41" t="str">
        <f>IF(F42=" "," ",IF(OR('депозитный калькулятор'!$G$7="30/365",'депозитный калькулятор'!$G$7="30/360"),IF(AND(MONTH(F42)=2,DAY(F42)=DAY(EOMONTH(F42,0))),30-DAY(EOMONTH(F42,0)),IF(DAY(F42)=31,1," "))," "))</f>
        <v xml:space="preserve"> </v>
      </c>
      <c r="B42" s="130" t="str">
        <f t="shared" si="1"/>
        <v xml:space="preserve"> </v>
      </c>
      <c r="C42" s="130" t="str">
        <f>IF(OR(B42=0,B42=" ")," ",SUM($B$23:B42))</f>
        <v xml:space="preserve"> </v>
      </c>
      <c r="D42" s="62" t="str">
        <f>IF(D41=" "," ",IF(OR(F41='депозитный калькулятор'!$D$8,F41=" ")," ",D41+1))</f>
        <v xml:space="preserve"> </v>
      </c>
      <c r="E42" s="130" t="str">
        <f>IF(OR(F41='депозитный калькулятор'!$D$8,F41=" ")," ",IF(EOMONTH(F41,0)=F41,1,E41+1))</f>
        <v xml:space="preserve"> </v>
      </c>
      <c r="F42" s="64" t="str">
        <f>IF(F41=" "," ",IF(F41='депозитный калькулятор'!$D$8," ",F41+1))</f>
        <v xml:space="preserve"> </v>
      </c>
      <c r="G42" s="145" t="str">
        <f xml:space="preserve"> IF(F42&gt;'депозитный калькулятор'!$D$8," ",IF('депозитный калькулятор'!$G$13="есть",IF('депозитный калькулятор'!$G$14="есть",G41+IF(I41=" ",0,I41)-J42-K42+L42+M42-N42,G41+IF(I41=" ",0,I41)-J42-K42+M42-N42),IF('депозитный калькулятор'!$G$14="есть",G41-J42-K42+L42+M42-N42,G41-J42-K42+M42-N42)))</f>
        <v xml:space="preserve"> </v>
      </c>
      <c r="H42" s="133" t="str">
        <f>IF(F42&gt;'депозитный калькулятор'!$D$8," ",IF(AND(OR('депозитный калькулятор'!$G$7="30/365",'депозитный калькулятор'!$G$7="30/360"),AND(MONTH(F42)=2,EOMONTH(F42,0)=F42)),IF(DAY(F42)=28,3*G42*'депозитный калькулятор'!$G$8,2*G42*'депозитный калькулятор'!$G$8),IF(AND(OR('депозитный калькулятор'!$G$7="30/365",'депозитный калькулятор'!$G$7="30/360"),DAY(F42)=31)," ",IF(AND('депозитный калькулятор'!$G$7="факт/факт",MOD(YEAR(F42),4)=0),G42*'депозитный калькулятор'!$D$11/366,G42*'депозитный калькулятор'!$G$8))))</f>
        <v xml:space="preserve"> </v>
      </c>
      <c r="I42" s="134" t="str">
        <f ca="1">IF(F42=" "," ",IF('депозитный калькулятор'!$G$10="ежедневное",H42,IF(AND('депозитный калькулятор'!$G$10="еженедельное",WEEKDAY(F42,2)=7),SUM(OFFSET(H42,-6,0):H42),IF(AND('депозитный калькулятор'!$G$10="еженедельное",F42='депозитный калькулятор'!$D$8),SUM($H$23:H42)-SUM($I$23:I41),IF(AND('депозитный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недели",WEEKDAY(F42,2)=7),MIN(OFFSET(H42,-6,0):H42)*(COUNTIF(OFFSET(H42,-6,0):H42,"&gt;0")+SUMIF(OFFSET(A42,-WEEKDAY(F42,2),0):A42,"=2",OFFSET(A42,-WEEKDAY(F42,2),0):A42)),IF(AND('депозитный калькулятор'!$G$10="еженедельное, на минимальную сумму зафиксированную в течение недели",F42='депозитный калькулятор'!$D$8,WEEKDAY(F42,2)&lt;&gt;7),MIN(OFFSET(H42,-WEEKDAY(F42,2),0):H42)*(COUNTIF(OFFSET(H42,-WEEKDAY(F42,2)+1,0):H42,"&gt;0")+SUM(OFFSET(A42,-WEEKDAY(F42,2),0):A42)),IF(AND('депозитный калькулятор'!$G$10="ежемесячное (в конце месяца)",F42='депозитный калькулятор'!$D$8,EOMONTH(F42,0)&lt;&gt;F42),IF('депозитный калькулятор'!$F$1=1,$H$24,SUM($H$23:H42)-SUM($I$23:I41)),IF(AND('депозитный калькулятор'!$G$10="ежемесячное (в конце месяца)",EOMONTH(F42,0)=F42),SUM($H$23:H42)-SUM($I$23:I41),IF(AND('депозитный калькулятор'!$G$10="ежемесячное (по дням открытия вклада)",F42='депозитный калькулятор'!$D$8,DAY('депозитный калькулятор'!$D$7)&lt;&gt;DAY(F42)),IF('депозитный калькулятор'!$F$1=1,$H$24,SUM($H$23:H42)-SUM($I$23:I41)),IF(AND('депозитный калькулятор'!$G$10="ежемесячное (по дням открытия вклада)",DAY('депозитный калькулятор'!$D$7)=DAY(F42)),SUM($H$23:H42)-SUM($I$23:I41),IF(AND('депозитный калькулятор'!$G$10="ежемесячное, на минимальную сумму зафиксированную в течение месяца",F42='депозитный калькулятор'!$D$8,EOMONTH(F42,0)&lt;&gt;F42),IF('депозитный калькулятор'!$F$1=1,$H$24,IF(AND(OR('депозитный калькулятор'!$G$7="30/365",'депозитный калькулятор'!$G$7="30/360"),DAY(F42)=31),0,MIN(OFFSET(H42,-E42+1,0):H42)*(E42+SUMIF(OFFSET(A42,-E42+1,0):A42,"=2",OFFSET(A42,-E42+1,0):A42)))),IF(AND('депозитный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калькулятор'!$G$7="30/360"),DAY(EOMONTH(F42,0))=31),EOMONTH(F42,0)-1=F42,EOMONTH(F42,0)=F42)),IF(IF(AND(OR('депозитный калькулятор'!$G$7="30/365",'депозитный калькулятор'!$G$7="30/360"),DAY(EOMONTH($F$23,0))=31),F42=EOMONTH($F$23,0)-1,F42=EOMONTH($F$23,0)),MIN(OFFSET(H42,-(DAY(F42)-DAY($F$23)),0):H42)*E42,MIN(OFFSET(H42,-(DAY(F42)-1),0):H42)*IF(AND(OR('депозитный калькулятор'!$G$7="30/365",'депозитный калькулятор'!$G$7="30/360"),DAY(F42)&lt;30),30,DAY(F42))),IF(AND('депозитный калькулятор'!$G$10="ежемесячное, на средний остаток в течение месяца, при условии что остаток больше чем ограничение",F42='депозитный калькулятор'!$D$8,EOMONTH(F42,0)&lt;&gt;F42),IF('депозитный калькулятор'!$F$1=1,$H$24,SUM(OFFSET(Q42,-E42+1,0):Q42)),IF(AND('депозитный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калькулятор'!$G$7="30/360"),DAY(EOMONTH(F42,0))=31),EOMONTH(F42,0)-1=F42,EOMONTH(F42,0)=F42)),IF(IF(AND(OR('депозитный калькулятор'!$G$7="30/365",'депозитный калькулятор'!$G$7="30/360"),DAY(EOMONTH($F$24,0))=31),F42=EOMONTH($F$24,0)-1,F42=EOMONTH($F$24,0)),SUM(OFFSET(Q42,-E42+1,0):Q42),SUM(OFFSET(Q42,-E42+1,0):Q42)),IF('депозитный калькулятор'!$G$10="ежеквартальное",IF(F42&gt;'депозитный калькулятор'!$D$8," ",IF(AND(EOMONTH(F42,0)=F42,OR(MONTH(F42)=3,MONTH(F42)=6,MONTH(F42)=9,MONTH(F42)=12)),IF(EDATE(F42,-3)&lt;'депозитный калькулятор'!$D$7,SUM($H$23:H42),IF(MOD(YEAR(F42),4)=0,IF(AND(EOMONTH(F42,0)=F42,OR(MONTH(F42)=3,MONTH(F42)=6)),SUM(OFFSET(H42,-90,0):H42),IF(AND(EOMONTH(F42,0)=F42,OR(MONTH(F42)=9,MONTH(F42)=12)),SUM(OFFSET(H42,-91,0):H42))),IF(AND(EOMONTH(F42,0)=F42,MONTH(F42)=3),SUM(OFFSET(H42,-89,0):H42),IF(AND(EOMONTH(F42,0)=F42,MONTH(F42)=6),SUM(OFFSET(H42,-90,0):H42),IF(AND(EOMONTH(F42,0)=F42,OR(MONTH(F42)=9,MONTH(F42)=12)),SUM(OFFSET(H42,-91,0):H42)))))),IF(F42='депозитный калькулятор'!$D$8,SUM($H$23:H42)-SUM($I$23:I41),0))),IF('депозитный калькулятор'!$G$10="ежегодное",IF(F42&gt;'депозитный калькулятор'!$D$8," ",IF(F42='депозитный калькулятор'!$D$8,SUM($H$23:H42)-SUM($I$23:I41),IF(AND(EOMONTH(F42,0)=F42,MONTH(F42)=12),IF(MOD(YEAR(F41),4)=0,IF(F42-'депозитный калькулятор'!$D$7&lt;366,SUM($H$23:H42),SUM(OFFSET(H42,-365,0):H42)),IF(F42-'депозитный калькулятор'!$D$7&lt;365,SUM($H$23:H42),SUM(OFFSET(H42,-364,0):H42))),0))),IF(AND('депозитный калькулятор'!$G$10="в конце срока",'депозитный калькулятор'!$D$8=F42),SUM($H$23:H42),0))))))))))))))))))</f>
        <v xml:space="preserve"> </v>
      </c>
      <c r="J42" s="59" t="str">
        <f>IF(F42&gt;'депозитный калькулятор'!$D$8," ",IF('депозитный калькулятор'!$G$16="нет",0,IF(AND('депозитный калькулятор'!$G$17="разовая (в конце срока)",F42='депозитный калькулятор'!$D$8),'депозитный калькулятор'!$G$18,IF(AND('депозитный калькулятор'!$G$17="ежемесячная",EOMONTH(F41,0)=F41),'депозитный калькулятор'!$G$18,IF(AND('депозитный калькулятор'!$G$17="ежегодная",DAY(F41)=31,MONTH(F41)=12),'депозитный калькулятор'!$G$18,IF(AND('депозитный калькулятор'!$G$17="ежемесячная в зависимости от остатка",EOMONTH(F41,0)=F41,P41&gt;0),'депозитный калькулятор'!$G$18,IF(AND('депозитный калькулятор'!$G$17="ежегодная в зависимости от остатка",DAY(F41)=31,MONTH(F41)=12,P41&gt;0),'депозитный калькулятор'!$G$18,0)))))))</f>
        <v xml:space="preserve"> </v>
      </c>
      <c r="K42" s="135" t="str">
        <f>IF($F42=" "," ",IFERROR(VLOOKUP($F42,'депозитный калькулятор'!$B$26:$F$70,2,0),0))</f>
        <v xml:space="preserve"> </v>
      </c>
      <c r="L42" s="135" t="str">
        <f>IF($F42=" "," ",IFERROR(VLOOKUP($F42,'депозитный калькулятор'!$B$26:$F$70,3,0),0))</f>
        <v xml:space="preserve"> </v>
      </c>
      <c r="M42" s="135" t="str">
        <f>IF($F42=" "," ",IFERROR(VLOOKUP($F42,'депозитный калькулятор'!$B$26:$F$70,4,0),0))</f>
        <v xml:space="preserve"> </v>
      </c>
      <c r="N42" s="135" t="str">
        <f>IF($F42=" "," ",IFERROR(VLOOKUP($F42,'депозитный калькулятор'!$B$26:$F$70,5,0),0))</f>
        <v xml:space="preserve"> </v>
      </c>
      <c r="O42" s="146" t="str">
        <f>IF(F42&gt;'депозитный калькулятор'!$D$8," ",IF(F42='депозитный калькулятор'!$D$8,IF(AND($F$24='депозитный калькулятор'!$D$8,'депозитный калькулятор'!$G$13="нет"),-G42-IF(I42=" ",0,I42)-IF(AND(OR('депозитный калькулятор'!$G$7="30/365",'депозитный калькулятор'!$G$7="30/360"),'депозитный калькулятор'!$G$10="в начале срока"),I41,0)-L42+M42-N42,-G42-IF(I42=" ",0,I42)-L42+M42-N42),IF('депозитный калькулятор'!$G$13="есть",M42-N42+IF('депозитный калькулятор'!$G$14="есть",0,-L42),-IF(I42=" ",0,I42)-IF(AND(OR('депозитный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срока"),I41,0)+M42-N42+IF('депозитный калькулятор'!$G$14="есть",0,-L42))))</f>
        <v xml:space="preserve"> </v>
      </c>
      <c r="P42" s="147" t="str">
        <f>IF(F42&gt;'депозитный калькулятор'!$D$8," ",IF(EOMONTH(F41,0)=F41,0,IF(G42&gt;='депозитный калькулятор'!$G$19,P41,P41+1)))</f>
        <v xml:space="preserve"> </v>
      </c>
      <c r="Q42" s="138" t="str">
        <f>IF(F42=" "," ",IF(AND(OR('депозитный калькулятор'!$G$7="30/365",'депозитный калькулятор'!$G$7="30/360"),AND(MONTH(F42)=2,EOMONTH(F42,0)=F42)),IF(DAY(F42)=28,3,2),1)*IF(G42&gt;='депозитный калькулятор'!$G$11,IF(AND('депозитный калькулятор'!$G$7="факт/факт",MOD(YEAR(F42),4)=0),G42*'депозитный калькулятор'!$D$11/366,G42*'депозитный калькулятор'!$G$8),0))</f>
        <v xml:space="preserve"> </v>
      </c>
      <c r="R42" s="148"/>
      <c r="S42" s="62" t="str">
        <f t="shared" ca="1" si="2"/>
        <v xml:space="preserve"> </v>
      </c>
      <c r="T42" s="149" t="str">
        <f ca="1">IF(S42=" "," ",IF('депозитный калькулятор'!$G$7="30/360",DAYS360(U41,IF(DAY(U42)=31,U42-1,U42))+IF(AND(MONTH(U42)=2,U42=EOMONTH(U42,0)),30-DAY(EOMONTH(U42,0)))+T41,VLOOKUP(S42,$C$22:$F$1023,2,0)))</f>
        <v xml:space="preserve"> </v>
      </c>
      <c r="U42" s="64" t="str">
        <f t="shared" ca="1" si="0"/>
        <v xml:space="preserve"> </v>
      </c>
      <c r="V42" s="150" t="str">
        <f t="shared" ca="1" si="3"/>
        <v xml:space="preserve"> </v>
      </c>
      <c r="W42" s="62" t="str">
        <f t="shared" ca="1" si="4"/>
        <v xml:space="preserve"> </v>
      </c>
      <c r="X42" s="141" t="str">
        <f ca="1">IF(S42=" "," ",IFERROR(VLOOKUP(U42,$F$23:$N$1023,7)+VLOOKUP(U42,$F$23:$N$1023,9)+IF(AND('депозитный калькулятор'!$G$13="нет",U42&lt;&gt;'депозитный калькулятор'!$D$8),VLOOKUP(U42,$F$23:$N$1023,4),0),0)+IF(U42='депозитный калькулятор'!$D$8,VLOOKUP(U42,$F$23:$N$1023,2)+VLOOKUP(U42,$F$23:$N$1023,4),0))</f>
        <v xml:space="preserve"> </v>
      </c>
      <c r="Y42" s="142" t="str">
        <f ca="1">IF(S42=" "," ",W42/(1+'депозитный калькулятор'!$K$8)^(T42/IF('депозитный калькулятор'!$G$7="30/360",360,365)))</f>
        <v xml:space="preserve"> </v>
      </c>
      <c r="Z42" s="142" t="str">
        <f ca="1">IF(S42=" "," ",X42/(1+'депозитный калькулятор'!$K$8)^(T42/IF('депозитный калькулятор'!$G$7="30/360",360,365)))</f>
        <v xml:space="preserve"> </v>
      </c>
      <c r="AA42" s="151"/>
      <c r="AB42" s="151"/>
      <c r="AC42" s="155"/>
      <c r="AD42" s="155"/>
    </row>
    <row r="43" spans="1:30" s="2" customFormat="1" ht="15.5" x14ac:dyDescent="0.35">
      <c r="A43" s="41" t="str">
        <f>IF(F43=" "," ",IF(OR('депозитный калькулятор'!$G$7="30/365",'депозитный калькулятор'!$G$7="30/360"),IF(AND(MONTH(F43)=2,DAY(F43)=DAY(EOMONTH(F43,0))),30-DAY(EOMONTH(F43,0)),IF(DAY(F43)=31,1," "))," "))</f>
        <v xml:space="preserve"> </v>
      </c>
      <c r="B43" s="130" t="str">
        <f t="shared" si="1"/>
        <v xml:space="preserve"> </v>
      </c>
      <c r="C43" s="130" t="str">
        <f>IF(OR(B43=0,B43=" ")," ",SUM($B$23:B43))</f>
        <v xml:space="preserve"> </v>
      </c>
      <c r="D43" s="62" t="str">
        <f>IF(D42=" "," ",IF(OR(F42='депозитный калькулятор'!$D$8,F42=" ")," ",D42+1))</f>
        <v xml:space="preserve"> </v>
      </c>
      <c r="E43" s="130" t="str">
        <f>IF(OR(F42='депозитный калькулятор'!$D$8,F42=" ")," ",IF(EOMONTH(F42,0)=F42,1,E42+1))</f>
        <v xml:space="preserve"> </v>
      </c>
      <c r="F43" s="64" t="str">
        <f>IF(F42=" "," ",IF(F42='депозитный калькулятор'!$D$8," ",F42+1))</f>
        <v xml:space="preserve"> </v>
      </c>
      <c r="G43" s="145" t="str">
        <f xml:space="preserve"> IF(F43&gt;'депозитный калькулятор'!$D$8," ",IF('депозитный калькулятор'!$G$13="есть",IF('депозитный калькулятор'!$G$14="есть",G42+IF(I42=" ",0,I42)-J43-K43+L43+M43-N43,G42+IF(I42=" ",0,I42)-J43-K43+M43-N43),IF('депозитный калькулятор'!$G$14="есть",G42-J43-K43+L43+M43-N43,G42-J43-K43+M43-N43)))</f>
        <v xml:space="preserve"> </v>
      </c>
      <c r="H43" s="133" t="str">
        <f>IF(F43&gt;'депозитный калькулятор'!$D$8," ",IF(AND(OR('депозитный калькулятор'!$G$7="30/365",'депозитный калькулятор'!$G$7="30/360"),AND(MONTH(F43)=2,EOMONTH(F43,0)=F43)),IF(DAY(F43)=28,3*G43*'депозитный калькулятор'!$G$8,2*G43*'депозитный калькулятор'!$G$8),IF(AND(OR('депозитный калькулятор'!$G$7="30/365",'депозитный калькулятор'!$G$7="30/360"),DAY(F43)=31)," ",IF(AND('депозитный калькулятор'!$G$7="факт/факт",MOD(YEAR(F43),4)=0),G43*'депозитный калькулятор'!$D$11/366,G43*'депозитный калькулятор'!$G$8))))</f>
        <v xml:space="preserve"> </v>
      </c>
      <c r="I43" s="134" t="str">
        <f ca="1">IF(F43=" "," ",IF('депозитный калькулятор'!$G$10="ежедневное",H43,IF(AND('депозитный калькулятор'!$G$10="еженедельное",WEEKDAY(F43,2)=7),SUM(OFFSET(H43,-6,0):H43),IF(AND('депозитный калькулятор'!$G$10="еженедельное",F43='депозитный калькулятор'!$D$8),SUM($H$23:H43)-SUM($I$23:I42),IF(AND('депозитный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недели",WEEKDAY(F43,2)=7),MIN(OFFSET(H43,-6,0):H43)*(COUNTIF(OFFSET(H43,-6,0):H43,"&gt;0")+SUMIF(OFFSET(A43,-WEEKDAY(F43,2),0):A43,"=2",OFFSET(A43,-WEEKDAY(F43,2),0):A43)),IF(AND('депозитный калькулятор'!$G$10="еженедельное, на минимальную сумму зафиксированную в течение недели",F43='депозитный калькулятор'!$D$8,WEEKDAY(F43,2)&lt;&gt;7),MIN(OFFSET(H43,-WEEKDAY(F43,2),0):H43)*(COUNTIF(OFFSET(H43,-WEEKDAY(F43,2)+1,0):H43,"&gt;0")+SUM(OFFSET(A43,-WEEKDAY(F43,2),0):A43)),IF(AND('депозитный калькулятор'!$G$10="ежемесячное (в конце месяца)",F43='депозитный калькулятор'!$D$8,EOMONTH(F43,0)&lt;&gt;F43),IF('депозитный калькулятор'!$F$1=1,$H$24,SUM($H$23:H43)-SUM($I$23:I42)),IF(AND('депозитный калькулятор'!$G$10="ежемесячное (в конце месяца)",EOMONTH(F43,0)=F43),SUM($H$23:H43)-SUM($I$23:I42),IF(AND('депозитный калькулятор'!$G$10="ежемесячное (по дням открытия вклада)",F43='депозитный калькулятор'!$D$8,DAY('депозитный калькулятор'!$D$7)&lt;&gt;DAY(F43)),IF('депозитный калькулятор'!$F$1=1,$H$24,SUM($H$23:H43)-SUM($I$23:I42)),IF(AND('депозитный калькулятор'!$G$10="ежемесячное (по дням открытия вклада)",DAY('депозитный калькулятор'!$D$7)=DAY(F43)),SUM($H$23:H43)-SUM($I$23:I42),IF(AND('депозитный калькулятор'!$G$10="ежемесячное, на минимальную сумму зафиксированную в течение месяца",F43='депозитный калькулятор'!$D$8,EOMONTH(F43,0)&lt;&gt;F43),IF('депозитный калькулятор'!$F$1=1,$H$24,IF(AND(OR('депозитный калькулятор'!$G$7="30/365",'депозитный калькулятор'!$G$7="30/360"),DAY(F43)=31),0,MIN(OFFSET(H43,-E43+1,0):H43)*(E43+SUMIF(OFFSET(A43,-E43+1,0):A43,"=2",OFFSET(A43,-E43+1,0):A43)))),IF(AND('депозитный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калькулятор'!$G$7="30/360"),DAY(EOMONTH(F43,0))=31),EOMONTH(F43,0)-1=F43,EOMONTH(F43,0)=F43)),IF(IF(AND(OR('депозитный калькулятор'!$G$7="30/365",'депозитный калькулятор'!$G$7="30/360"),DAY(EOMONTH($F$23,0))=31),F43=EOMONTH($F$23,0)-1,F43=EOMONTH($F$23,0)),MIN(OFFSET(H43,-(DAY(F43)-DAY($F$23)),0):H43)*E43,MIN(OFFSET(H43,-(DAY(F43)-1),0):H43)*IF(AND(OR('депозитный калькулятор'!$G$7="30/365",'депозитный калькулятор'!$G$7="30/360"),DAY(F43)&lt;30),30,DAY(F43))),IF(AND('депозитный калькулятор'!$G$10="ежемесячное, на средний остаток в течение месяца, при условии что остаток больше чем ограничение",F43='депозитный калькулятор'!$D$8,EOMONTH(F43,0)&lt;&gt;F43),IF('депозитный калькулятор'!$F$1=1,$H$24,SUM(OFFSET(Q43,-E43+1,0):Q43)),IF(AND('депозитный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калькулятор'!$G$7="30/360"),DAY(EOMONTH(F43,0))=31),EOMONTH(F43,0)-1=F43,EOMONTH(F43,0)=F43)),IF(IF(AND(OR('депозитный калькулятор'!$G$7="30/365",'депозитный калькулятор'!$G$7="30/360"),DAY(EOMONTH($F$24,0))=31),F43=EOMONTH($F$24,0)-1,F43=EOMONTH($F$24,0)),SUM(OFFSET(Q43,-E43+1,0):Q43),SUM(OFFSET(Q43,-E43+1,0):Q43)),IF('депозитный калькулятор'!$G$10="ежеквартальное",IF(F43&gt;'депозитный калькулятор'!$D$8," ",IF(AND(EOMONTH(F43,0)=F43,OR(MONTH(F43)=3,MONTH(F43)=6,MONTH(F43)=9,MONTH(F43)=12)),IF(EDATE(F43,-3)&lt;'депозитный калькулятор'!$D$7,SUM($H$23:H43),IF(MOD(YEAR(F43),4)=0,IF(AND(EOMONTH(F43,0)=F43,OR(MONTH(F43)=3,MONTH(F43)=6)),SUM(OFFSET(H43,-90,0):H43),IF(AND(EOMONTH(F43,0)=F43,OR(MONTH(F43)=9,MONTH(F43)=12)),SUM(OFFSET(H43,-91,0):H43))),IF(AND(EOMONTH(F43,0)=F43,MONTH(F43)=3),SUM(OFFSET(H43,-89,0):H43),IF(AND(EOMONTH(F43,0)=F43,MONTH(F43)=6),SUM(OFFSET(H43,-90,0):H43),IF(AND(EOMONTH(F43,0)=F43,OR(MONTH(F43)=9,MONTH(F43)=12)),SUM(OFFSET(H43,-91,0):H43)))))),IF(F43='депозитный калькулятор'!$D$8,SUM($H$23:H43)-SUM($I$23:I42),0))),IF('депозитный калькулятор'!$G$10="ежегодное",IF(F43&gt;'депозитный калькулятор'!$D$8," ",IF(F43='депозитный калькулятор'!$D$8,SUM($H$23:H43)-SUM($I$23:I42),IF(AND(EOMONTH(F43,0)=F43,MONTH(F43)=12),IF(MOD(YEAR(F42),4)=0,IF(F43-'депозитный калькулятор'!$D$7&lt;366,SUM($H$23:H43),SUM(OFFSET(H43,-365,0):H43)),IF(F43-'депозитный калькулятор'!$D$7&lt;365,SUM($H$23:H43),SUM(OFFSET(H43,-364,0):H43))),0))),IF(AND('депозитный калькулятор'!$G$10="в конце срока",'депозитный калькулятор'!$D$8=F43),SUM($H$23:H43),0))))))))))))))))))</f>
        <v xml:space="preserve"> </v>
      </c>
      <c r="J43" s="59" t="str">
        <f>IF(F43&gt;'депозитный калькулятор'!$D$8," ",IF('депозитный калькулятор'!$G$16="нет",0,IF(AND('депозитный калькулятор'!$G$17="разовая (в конце срока)",F43='депозитный калькулятор'!$D$8),'депозитный калькулятор'!$G$18,IF(AND('депозитный калькулятор'!$G$17="ежемесячная",EOMONTH(F42,0)=F42),'депозитный калькулятор'!$G$18,IF(AND('депозитный калькулятор'!$G$17="ежегодная",DAY(F42)=31,MONTH(F42)=12),'депозитный калькулятор'!$G$18,IF(AND('депозитный калькулятор'!$G$17="ежемесячная в зависимости от остатка",EOMONTH(F42,0)=F42,P42&gt;0),'депозитный калькулятор'!$G$18,IF(AND('депозитный калькулятор'!$G$17="ежегодная в зависимости от остатка",DAY(F42)=31,MONTH(F42)=12,P42&gt;0),'депозитный калькулятор'!$G$18,0)))))))</f>
        <v xml:space="preserve"> </v>
      </c>
      <c r="K43" s="135" t="str">
        <f>IF($F43=" "," ",IFERROR(VLOOKUP($F43,'депозитный калькулятор'!$B$26:$F$70,2,0),0))</f>
        <v xml:space="preserve"> </v>
      </c>
      <c r="L43" s="135" t="str">
        <f>IF($F43=" "," ",IFERROR(VLOOKUP($F43,'депозитный калькулятор'!$B$26:$F$70,3,0),0))</f>
        <v xml:space="preserve"> </v>
      </c>
      <c r="M43" s="135" t="str">
        <f>IF($F43=" "," ",IFERROR(VLOOKUP($F43,'депозитный калькулятор'!$B$26:$F$70,4,0),0))</f>
        <v xml:space="preserve"> </v>
      </c>
      <c r="N43" s="135" t="str">
        <f>IF($F43=" "," ",IFERROR(VLOOKUP($F43,'депозитный калькулятор'!$B$26:$F$70,5,0),0))</f>
        <v xml:space="preserve"> </v>
      </c>
      <c r="O43" s="146" t="str">
        <f>IF(F43&gt;'депозитный калькулятор'!$D$8," ",IF(F43='депозитный калькулятор'!$D$8,IF(AND($F$24='депозитный калькулятор'!$D$8,'депозитный калькулятор'!$G$13="нет"),-G43-IF(I43=" ",0,I43)-IF(AND(OR('депозитный калькулятор'!$G$7="30/365",'депозитный калькулятор'!$G$7="30/360"),'депозитный калькулятор'!$G$10="в начале срока"),I42,0)-L43+M43-N43,-G43-IF(I43=" ",0,I43)-L43+M43-N43),IF('депозитный калькулятор'!$G$13="есть",M43-N43+IF('депозитный калькулятор'!$G$14="есть",0,-L43),-IF(I43=" ",0,I43)-IF(AND(OR('депозитный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срока"),I42,0)+M43-N43+IF('депозитный калькулятор'!$G$14="есть",0,-L43))))</f>
        <v xml:space="preserve"> </v>
      </c>
      <c r="P43" s="147" t="str">
        <f>IF(F43&gt;'депозитный калькулятор'!$D$8," ",IF(EOMONTH(F42,0)=F42,0,IF(G43&gt;='депозитный калькулятор'!$G$19,P42,P42+1)))</f>
        <v xml:space="preserve"> </v>
      </c>
      <c r="Q43" s="138" t="str">
        <f>IF(F43=" "," ",IF(AND(OR('депозитный калькулятор'!$G$7="30/365",'депозитный калькулятор'!$G$7="30/360"),AND(MONTH(F43)=2,EOMONTH(F43,0)=F43)),IF(DAY(F43)=28,3,2),1)*IF(G43&gt;='депозитный калькулятор'!$G$11,IF(AND('депозитный калькулятор'!$G$7="факт/факт",MOD(YEAR(F43),4)=0),G43*'депозитный калькулятор'!$D$11/366,G43*'депозитный калькулятор'!$G$8),0))</f>
        <v xml:space="preserve"> </v>
      </c>
      <c r="R43" s="148"/>
      <c r="S43" s="62" t="str">
        <f t="shared" ca="1" si="2"/>
        <v xml:space="preserve"> </v>
      </c>
      <c r="T43" s="149" t="str">
        <f ca="1">IF(S43=" "," ",IF('депозитный калькулятор'!$G$7="30/360",DAYS360(U42,IF(DAY(U43)=31,U43-1,U43))+IF(AND(MONTH(U43)=2,U43=EOMONTH(U43,0)),30-DAY(EOMONTH(U43,0)))+T42,VLOOKUP(S43,$C$22:$F$1023,2,0)))</f>
        <v xml:space="preserve"> </v>
      </c>
      <c r="U43" s="64" t="str">
        <f t="shared" ca="1" si="0"/>
        <v xml:space="preserve"> </v>
      </c>
      <c r="V43" s="150" t="str">
        <f t="shared" ca="1" si="3"/>
        <v xml:space="preserve"> </v>
      </c>
      <c r="W43" s="62" t="str">
        <f t="shared" ca="1" si="4"/>
        <v xml:space="preserve"> </v>
      </c>
      <c r="X43" s="141" t="str">
        <f ca="1">IF(S43=" "," ",IFERROR(VLOOKUP(U43,$F$23:$N$1023,7)+VLOOKUP(U43,$F$23:$N$1023,9)+IF(AND('депозитный калькулятор'!$G$13="нет",U43&lt;&gt;'депозитный калькулятор'!$D$8),VLOOKUP(U43,$F$23:$N$1023,4),0),0)+IF(U43='депозитный калькулятор'!$D$8,VLOOKUP(U43,$F$23:$N$1023,2)+VLOOKUP(U43,$F$23:$N$1023,4),0))</f>
        <v xml:space="preserve"> </v>
      </c>
      <c r="Y43" s="142" t="str">
        <f ca="1">IF(S43=" "," ",W43/(1+'депозитный калькулятор'!$K$8)^(T43/IF('депозитный калькулятор'!$G$7="30/360",360,365)))</f>
        <v xml:space="preserve"> </v>
      </c>
      <c r="Z43" s="142" t="str">
        <f ca="1">IF(S43=" "," ",X43/(1+'депозитный калькулятор'!$K$8)^(T43/IF('депозитный калькулятор'!$G$7="30/360",360,365)))</f>
        <v xml:space="preserve"> </v>
      </c>
      <c r="AA43" s="151"/>
      <c r="AB43" s="151"/>
      <c r="AC43" s="155"/>
      <c r="AD43" s="155"/>
    </row>
    <row r="44" spans="1:30" s="2" customFormat="1" ht="15.5" x14ac:dyDescent="0.35">
      <c r="A44" s="41" t="str">
        <f>IF(F44=" "," ",IF(OR('депозитный калькулятор'!$G$7="30/365",'депозитный калькулятор'!$G$7="30/360"),IF(AND(MONTH(F44)=2,DAY(F44)=DAY(EOMONTH(F44,0))),30-DAY(EOMONTH(F44,0)),IF(DAY(F44)=31,1," "))," "))</f>
        <v xml:space="preserve"> </v>
      </c>
      <c r="B44" s="130" t="str">
        <f t="shared" si="1"/>
        <v xml:space="preserve"> </v>
      </c>
      <c r="C44" s="130" t="str">
        <f>IF(OR(B44=0,B44=" ")," ",SUM($B$23:B44))</f>
        <v xml:space="preserve"> </v>
      </c>
      <c r="D44" s="62" t="str">
        <f>IF(D43=" "," ",IF(OR(F43='депозитный калькулятор'!$D$8,F43=" ")," ",D43+1))</f>
        <v xml:space="preserve"> </v>
      </c>
      <c r="E44" s="130" t="str">
        <f>IF(OR(F43='депозитный калькулятор'!$D$8,F43=" ")," ",IF(EOMONTH(F43,0)=F43,1,E43+1))</f>
        <v xml:space="preserve"> </v>
      </c>
      <c r="F44" s="64" t="str">
        <f>IF(F43=" "," ",IF(F43='депозитный калькулятор'!$D$8," ",F43+1))</f>
        <v xml:space="preserve"> </v>
      </c>
      <c r="G44" s="145" t="str">
        <f xml:space="preserve"> IF(F44&gt;'депозитный калькулятор'!$D$8," ",IF('депозитный калькулятор'!$G$13="есть",IF('депозитный калькулятор'!$G$14="есть",G43+IF(I43=" ",0,I43)-J44-K44+L44+M44-N44,G43+IF(I43=" ",0,I43)-J44-K44+M44-N44),IF('депозитный калькулятор'!$G$14="есть",G43-J44-K44+L44+M44-N44,G43-J44-K44+M44-N44)))</f>
        <v xml:space="preserve"> </v>
      </c>
      <c r="H44" s="133" t="str">
        <f>IF(F44&gt;'депозитный калькулятор'!$D$8," ",IF(AND(OR('депозитный калькулятор'!$G$7="30/365",'депозитный калькулятор'!$G$7="30/360"),AND(MONTH(F44)=2,EOMONTH(F44,0)=F44)),IF(DAY(F44)=28,3*G44*'депозитный калькулятор'!$G$8,2*G44*'депозитный калькулятор'!$G$8),IF(AND(OR('депозитный калькулятор'!$G$7="30/365",'депозитный калькулятор'!$G$7="30/360"),DAY(F44)=31)," ",IF(AND('депозитный калькулятор'!$G$7="факт/факт",MOD(YEAR(F44),4)=0),G44*'депозитный калькулятор'!$D$11/366,G44*'депозитный калькулятор'!$G$8))))</f>
        <v xml:space="preserve"> </v>
      </c>
      <c r="I44" s="134" t="str">
        <f ca="1">IF(F44=" "," ",IF('депозитный калькулятор'!$G$10="ежедневное",H44,IF(AND('депозитный калькулятор'!$G$10="еженедельное",WEEKDAY(F44,2)=7),SUM(OFFSET(H44,-6,0):H44),IF(AND('депозитный калькулятор'!$G$10="еженедельное",F44='депозитный калькулятор'!$D$8),SUM($H$23:H44)-SUM($I$23:I43),IF(AND('депозитный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недели",WEEKDAY(F44,2)=7),MIN(OFFSET(H44,-6,0):H44)*(COUNTIF(OFFSET(H44,-6,0):H44,"&gt;0")+SUMIF(OFFSET(A44,-WEEKDAY(F44,2),0):A44,"=2",OFFSET(A44,-WEEKDAY(F44,2),0):A44)),IF(AND('депозитный калькулятор'!$G$10="еженедельное, на минимальную сумму зафиксированную в течение недели",F44='депозитный калькулятор'!$D$8,WEEKDAY(F44,2)&lt;&gt;7),MIN(OFFSET(H44,-WEEKDAY(F44,2),0):H44)*(COUNTIF(OFFSET(H44,-WEEKDAY(F44,2)+1,0):H44,"&gt;0")+SUM(OFFSET(A44,-WEEKDAY(F44,2),0):A44)),IF(AND('депозитный калькулятор'!$G$10="ежемесячное (в конце месяца)",F44='депозитный калькулятор'!$D$8,EOMONTH(F44,0)&lt;&gt;F44),IF('депозитный калькулятор'!$F$1=1,$H$24,SUM($H$23:H44)-SUM($I$23:I43)),IF(AND('депозитный калькулятор'!$G$10="ежемесячное (в конце месяца)",EOMONTH(F44,0)=F44),SUM($H$23:H44)-SUM($I$23:I43),IF(AND('депозитный калькулятор'!$G$10="ежемесячное (по дням открытия вклада)",F44='депозитный калькулятор'!$D$8,DAY('депозитный калькулятор'!$D$7)&lt;&gt;DAY(F44)),IF('депозитный калькулятор'!$F$1=1,$H$24,SUM($H$23:H44)-SUM($I$23:I43)),IF(AND('депозитный калькулятор'!$G$10="ежемесячное (по дням открытия вклада)",DAY('депозитный калькулятор'!$D$7)=DAY(F44)),SUM($H$23:H44)-SUM($I$23:I43),IF(AND('депозитный калькулятор'!$G$10="ежемесячное, на минимальную сумму зафиксированную в течение месяца",F44='депозитный калькулятор'!$D$8,EOMONTH(F44,0)&lt;&gt;F44),IF('депозитный калькулятор'!$F$1=1,$H$24,IF(AND(OR('депозитный калькулятор'!$G$7="30/365",'депозитный калькулятор'!$G$7="30/360"),DAY(F44)=31),0,MIN(OFFSET(H44,-E44+1,0):H44)*(E44+SUMIF(OFFSET(A44,-E44+1,0):A44,"=2",OFFSET(A44,-E44+1,0):A44)))),IF(AND('депозитный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калькулятор'!$G$7="30/360"),DAY(EOMONTH(F44,0))=31),EOMONTH(F44,0)-1=F44,EOMONTH(F44,0)=F44)),IF(IF(AND(OR('депозитный калькулятор'!$G$7="30/365",'депозитный калькулятор'!$G$7="30/360"),DAY(EOMONTH($F$23,0))=31),F44=EOMONTH($F$23,0)-1,F44=EOMONTH($F$23,0)),MIN(OFFSET(H44,-(DAY(F44)-DAY($F$23)),0):H44)*E44,MIN(OFFSET(H44,-(DAY(F44)-1),0):H44)*IF(AND(OR('депозитный калькулятор'!$G$7="30/365",'депозитный калькулятор'!$G$7="30/360"),DAY(F44)&lt;30),30,DAY(F44))),IF(AND('депозитный калькулятор'!$G$10="ежемесячное, на средний остаток в течение месяца, при условии что остаток больше чем ограничение",F44='депозитный калькулятор'!$D$8,EOMONTH(F44,0)&lt;&gt;F44),IF('депозитный калькулятор'!$F$1=1,$H$24,SUM(OFFSET(Q44,-E44+1,0):Q44)),IF(AND('депозитный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калькулятор'!$G$7="30/360"),DAY(EOMONTH(F44,0))=31),EOMONTH(F44,0)-1=F44,EOMONTH(F44,0)=F44)),IF(IF(AND(OR('депозитный калькулятор'!$G$7="30/365",'депозитный калькулятор'!$G$7="30/360"),DAY(EOMONTH($F$24,0))=31),F44=EOMONTH($F$24,0)-1,F44=EOMONTH($F$24,0)),SUM(OFFSET(Q44,-E44+1,0):Q44),SUM(OFFSET(Q44,-E44+1,0):Q44)),IF('депозитный калькулятор'!$G$10="ежеквартальное",IF(F44&gt;'депозитный калькулятор'!$D$8," ",IF(AND(EOMONTH(F44,0)=F44,OR(MONTH(F44)=3,MONTH(F44)=6,MONTH(F44)=9,MONTH(F44)=12)),IF(EDATE(F44,-3)&lt;'депозитный калькулятор'!$D$7,SUM($H$23:H44),IF(MOD(YEAR(F44),4)=0,IF(AND(EOMONTH(F44,0)=F44,OR(MONTH(F44)=3,MONTH(F44)=6)),SUM(OFFSET(H44,-90,0):H44),IF(AND(EOMONTH(F44,0)=F44,OR(MONTH(F44)=9,MONTH(F44)=12)),SUM(OFFSET(H44,-91,0):H44))),IF(AND(EOMONTH(F44,0)=F44,MONTH(F44)=3),SUM(OFFSET(H44,-89,0):H44),IF(AND(EOMONTH(F44,0)=F44,MONTH(F44)=6),SUM(OFFSET(H44,-90,0):H44),IF(AND(EOMONTH(F44,0)=F44,OR(MONTH(F44)=9,MONTH(F44)=12)),SUM(OFFSET(H44,-91,0):H44)))))),IF(F44='депозитный калькулятор'!$D$8,SUM($H$23:H44)-SUM($I$23:I43),0))),IF('депозитный калькулятор'!$G$10="ежегодное",IF(F44&gt;'депозитный калькулятор'!$D$8," ",IF(F44='депозитный калькулятор'!$D$8,SUM($H$23:H44)-SUM($I$23:I43),IF(AND(EOMONTH(F44,0)=F44,MONTH(F44)=12),IF(MOD(YEAR(F43),4)=0,IF(F44-'депозитный калькулятор'!$D$7&lt;366,SUM($H$23:H44),SUM(OFFSET(H44,-365,0):H44)),IF(F44-'депозитный калькулятор'!$D$7&lt;365,SUM($H$23:H44),SUM(OFFSET(H44,-364,0):H44))),0))),IF(AND('депозитный калькулятор'!$G$10="в конце срока",'депозитный калькулятор'!$D$8=F44),SUM($H$23:H44),0))))))))))))))))))</f>
        <v xml:space="preserve"> </v>
      </c>
      <c r="J44" s="59" t="str">
        <f>IF(F44&gt;'депозитный калькулятор'!$D$8," ",IF('депозитный калькулятор'!$G$16="нет",0,IF(AND('депозитный калькулятор'!$G$17="разовая (в конце срока)",F44='депозитный калькулятор'!$D$8),'депозитный калькулятор'!$G$18,IF(AND('депозитный калькулятор'!$G$17="ежемесячная",EOMONTH(F43,0)=F43),'депозитный калькулятор'!$G$18,IF(AND('депозитный калькулятор'!$G$17="ежегодная",DAY(F43)=31,MONTH(F43)=12),'депозитный калькулятор'!$G$18,IF(AND('депозитный калькулятор'!$G$17="ежемесячная в зависимости от остатка",EOMONTH(F43,0)=F43,P43&gt;0),'депозитный калькулятор'!$G$18,IF(AND('депозитный калькулятор'!$G$17="ежегодная в зависимости от остатка",DAY(F43)=31,MONTH(F43)=12,P43&gt;0),'депозитный калькулятор'!$G$18,0)))))))</f>
        <v xml:space="preserve"> </v>
      </c>
      <c r="K44" s="135" t="str">
        <f>IF($F44=" "," ",IFERROR(VLOOKUP($F44,'депозитный калькулятор'!$B$26:$F$70,2,0),0))</f>
        <v xml:space="preserve"> </v>
      </c>
      <c r="L44" s="135" t="str">
        <f>IF($F44=" "," ",IFERROR(VLOOKUP($F44,'депозитный калькулятор'!$B$26:$F$70,3,0),0))</f>
        <v xml:space="preserve"> </v>
      </c>
      <c r="M44" s="135" t="str">
        <f>IF($F44=" "," ",IFERROR(VLOOKUP($F44,'депозитный калькулятор'!$B$26:$F$70,4,0),0))</f>
        <v xml:space="preserve"> </v>
      </c>
      <c r="N44" s="135" t="str">
        <f>IF($F44=" "," ",IFERROR(VLOOKUP($F44,'депозитный калькулятор'!$B$26:$F$70,5,0),0))</f>
        <v xml:space="preserve"> </v>
      </c>
      <c r="O44" s="146" t="str">
        <f>IF(F44&gt;'депозитный калькулятор'!$D$8," ",IF(F44='депозитный калькулятор'!$D$8,IF(AND($F$24='депозитный калькулятор'!$D$8,'депозитный калькулятор'!$G$13="нет"),-G44-IF(I44=" ",0,I44)-IF(AND(OR('депозитный калькулятор'!$G$7="30/365",'депозитный калькулятор'!$G$7="30/360"),'депозитный калькулятор'!$G$10="в начале срока"),I43,0)-L44+M44-N44,-G44-IF(I44=" ",0,I44)-L44+M44-N44),IF('депозитный калькулятор'!$G$13="есть",M44-N44+IF('депозитный калькулятор'!$G$14="есть",0,-L44),-IF(I44=" ",0,I44)-IF(AND(OR('депозитный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срока"),I43,0)+M44-N44+IF('депозитный калькулятор'!$G$14="есть",0,-L44))))</f>
        <v xml:space="preserve"> </v>
      </c>
      <c r="P44" s="147" t="str">
        <f>IF(F44&gt;'депозитный калькулятор'!$D$8," ",IF(EOMONTH(F43,0)=F43,0,IF(G44&gt;='депозитный калькулятор'!$G$19,P43,P43+1)))</f>
        <v xml:space="preserve"> </v>
      </c>
      <c r="Q44" s="138" t="str">
        <f>IF(F44=" "," ",IF(AND(OR('депозитный калькулятор'!$G$7="30/365",'депозитный калькулятор'!$G$7="30/360"),AND(MONTH(F44)=2,EOMONTH(F44,0)=F44)),IF(DAY(F44)=28,3,2),1)*IF(G44&gt;='депозитный калькулятор'!$G$11,IF(AND('депозитный калькулятор'!$G$7="факт/факт",MOD(YEAR(F44),4)=0),G44*'депозитный калькулятор'!$D$11/366,G44*'депозитный калькулятор'!$G$8),0))</f>
        <v xml:space="preserve"> </v>
      </c>
      <c r="R44" s="148"/>
      <c r="S44" s="62" t="str">
        <f t="shared" ca="1" si="2"/>
        <v xml:space="preserve"> </v>
      </c>
      <c r="T44" s="149" t="str">
        <f ca="1">IF(S44=" "," ",IF('депозитный калькулятор'!$G$7="30/360",DAYS360(U43,IF(DAY(U44)=31,U44-1,U44))+IF(AND(MONTH(U44)=2,U44=EOMONTH(U44,0)),30-DAY(EOMONTH(U44,0)))+T43,VLOOKUP(S44,$C$22:$F$1023,2,0)))</f>
        <v xml:space="preserve"> </v>
      </c>
      <c r="U44" s="64" t="str">
        <f t="shared" ca="1" si="0"/>
        <v xml:space="preserve"> </v>
      </c>
      <c r="V44" s="150" t="str">
        <f t="shared" ca="1" si="3"/>
        <v xml:space="preserve"> </v>
      </c>
      <c r="W44" s="62" t="str">
        <f t="shared" ca="1" si="4"/>
        <v xml:space="preserve"> </v>
      </c>
      <c r="X44" s="141" t="str">
        <f ca="1">IF(S44=" "," ",IFERROR(VLOOKUP(U44,$F$23:$N$1023,7)+VLOOKUP(U44,$F$23:$N$1023,9)+IF(AND('депозитный калькулятор'!$G$13="нет",U44&lt;&gt;'депозитный калькулятор'!$D$8),VLOOKUP(U44,$F$23:$N$1023,4),0),0)+IF(U44='депозитный калькулятор'!$D$8,VLOOKUP(U44,$F$23:$N$1023,2)+VLOOKUP(U44,$F$23:$N$1023,4),0))</f>
        <v xml:space="preserve"> </v>
      </c>
      <c r="Y44" s="142" t="str">
        <f ca="1">IF(S44=" "," ",W44/(1+'депозитный калькулятор'!$K$8)^(T44/IF('депозитный калькулятор'!$G$7="30/360",360,365)))</f>
        <v xml:space="preserve"> </v>
      </c>
      <c r="Z44" s="142" t="str">
        <f ca="1">IF(S44=" "," ",X44/(1+'депозитный калькулятор'!$K$8)^(T44/IF('депозитный калькулятор'!$G$7="30/360",360,365)))</f>
        <v xml:space="preserve"> </v>
      </c>
      <c r="AA44" s="151"/>
      <c r="AB44" s="151"/>
      <c r="AC44" s="155"/>
      <c r="AD44" s="155"/>
    </row>
    <row r="45" spans="1:30" s="2" customFormat="1" ht="15.5" x14ac:dyDescent="0.35">
      <c r="A45" s="41" t="str">
        <f>IF(F45=" "," ",IF(OR('депозитный калькулятор'!$G$7="30/365",'депозитный калькулятор'!$G$7="30/360"),IF(AND(MONTH(F45)=2,DAY(F45)=DAY(EOMONTH(F45,0))),30-DAY(EOMONTH(F45,0)),IF(DAY(F45)=31,1," "))," "))</f>
        <v xml:space="preserve"> </v>
      </c>
      <c r="B45" s="130" t="str">
        <f t="shared" si="1"/>
        <v xml:space="preserve"> </v>
      </c>
      <c r="C45" s="130" t="str">
        <f>IF(OR(B45=0,B45=" ")," ",SUM($B$23:B45))</f>
        <v xml:space="preserve"> </v>
      </c>
      <c r="D45" s="62" t="str">
        <f>IF(D44=" "," ",IF(OR(F44='депозитный калькулятор'!$D$8,F44=" ")," ",D44+1))</f>
        <v xml:space="preserve"> </v>
      </c>
      <c r="E45" s="130" t="str">
        <f>IF(OR(F44='депозитный калькулятор'!$D$8,F44=" ")," ",IF(EOMONTH(F44,0)=F44,1,E44+1))</f>
        <v xml:space="preserve"> </v>
      </c>
      <c r="F45" s="64" t="str">
        <f>IF(F44=" "," ",IF(F44='депозитный калькулятор'!$D$8," ",F44+1))</f>
        <v xml:space="preserve"> </v>
      </c>
      <c r="G45" s="145" t="str">
        <f xml:space="preserve"> IF(F45&gt;'депозитный калькулятор'!$D$8," ",IF('депозитный калькулятор'!$G$13="есть",IF('депозитный калькулятор'!$G$14="есть",G44+IF(I44=" ",0,I44)-J45-K45+L45+M45-N45,G44+IF(I44=" ",0,I44)-J45-K45+M45-N45),IF('депозитный калькулятор'!$G$14="есть",G44-J45-K45+L45+M45-N45,G44-J45-K45+M45-N45)))</f>
        <v xml:space="preserve"> </v>
      </c>
      <c r="H45" s="133" t="str">
        <f>IF(F45&gt;'депозитный калькулятор'!$D$8," ",IF(AND(OR('депозитный калькулятор'!$G$7="30/365",'депозитный калькулятор'!$G$7="30/360"),AND(MONTH(F45)=2,EOMONTH(F45,0)=F45)),IF(DAY(F45)=28,3*G45*'депозитный калькулятор'!$G$8,2*G45*'депозитный калькулятор'!$G$8),IF(AND(OR('депозитный калькулятор'!$G$7="30/365",'депозитный калькулятор'!$G$7="30/360"),DAY(F45)=31)," ",IF(AND('депозитный калькулятор'!$G$7="факт/факт",MOD(YEAR(F45),4)=0),G45*'депозитный калькулятор'!$D$11/366,G45*'депозитный калькулятор'!$G$8))))</f>
        <v xml:space="preserve"> </v>
      </c>
      <c r="I45" s="134" t="str">
        <f ca="1">IF(F45=" "," ",IF('депозитный калькулятор'!$G$10="ежедневное",H45,IF(AND('депозитный калькулятор'!$G$10="еженедельное",WEEKDAY(F45,2)=7),SUM(OFFSET(H45,-6,0):H45),IF(AND('депозитный калькулятор'!$G$10="еженедельное",F45='депозитный калькулятор'!$D$8),SUM($H$23:H45)-SUM($I$23:I44),IF(AND('депозитный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недели",WEEKDAY(F45,2)=7),MIN(OFFSET(H45,-6,0):H45)*(COUNTIF(OFFSET(H45,-6,0):H45,"&gt;0")+SUMIF(OFFSET(A45,-WEEKDAY(F45,2),0):A45,"=2",OFFSET(A45,-WEEKDAY(F45,2),0):A45)),IF(AND('депозитный калькулятор'!$G$10="еженедельное, на минимальную сумму зафиксированную в течение недели",F45='депозитный калькулятор'!$D$8,WEEKDAY(F45,2)&lt;&gt;7),MIN(OFFSET(H45,-WEEKDAY(F45,2),0):H45)*(COUNTIF(OFFSET(H45,-WEEKDAY(F45,2)+1,0):H45,"&gt;0")+SUM(OFFSET(A45,-WEEKDAY(F45,2),0):A45)),IF(AND('депозитный калькулятор'!$G$10="ежемесячное (в конце месяца)",F45='депозитный калькулятор'!$D$8,EOMONTH(F45,0)&lt;&gt;F45),IF('депозитный калькулятор'!$F$1=1,$H$24,SUM($H$23:H45)-SUM($I$23:I44)),IF(AND('депозитный калькулятор'!$G$10="ежемесячное (в конце месяца)",EOMONTH(F45,0)=F45),SUM($H$23:H45)-SUM($I$23:I44),IF(AND('депозитный калькулятор'!$G$10="ежемесячное (по дням открытия вклада)",F45='депозитный калькулятор'!$D$8,DAY('депозитный калькулятор'!$D$7)&lt;&gt;DAY(F45)),IF('депозитный калькулятор'!$F$1=1,$H$24,SUM($H$23:H45)-SUM($I$23:I44)),IF(AND('депозитный калькулятор'!$G$10="ежемесячное (по дням открытия вклада)",DAY('депозитный калькулятор'!$D$7)=DAY(F45)),SUM($H$23:H45)-SUM($I$23:I44),IF(AND('депозитный калькулятор'!$G$10="ежемесячное, на минимальную сумму зафиксированную в течение месяца",F45='депозитный калькулятор'!$D$8,EOMONTH(F45,0)&lt;&gt;F45),IF('депозитный калькулятор'!$F$1=1,$H$24,IF(AND(OR('депозитный калькулятор'!$G$7="30/365",'депозитный калькулятор'!$G$7="30/360"),DAY(F45)=31),0,MIN(OFFSET(H45,-E45+1,0):H45)*(E45+SUMIF(OFFSET(A45,-E45+1,0):A45,"=2",OFFSET(A45,-E45+1,0):A45)))),IF(AND('депозитный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калькулятор'!$G$7="30/360"),DAY(EOMONTH(F45,0))=31),EOMONTH(F45,0)-1=F45,EOMONTH(F45,0)=F45)),IF(IF(AND(OR('депозитный калькулятор'!$G$7="30/365",'депозитный калькулятор'!$G$7="30/360"),DAY(EOMONTH($F$23,0))=31),F45=EOMONTH($F$23,0)-1,F45=EOMONTH($F$23,0)),MIN(OFFSET(H45,-(DAY(F45)-DAY($F$23)),0):H45)*E45,MIN(OFFSET(H45,-(DAY(F45)-1),0):H45)*IF(AND(OR('депозитный калькулятор'!$G$7="30/365",'депозитный калькулятор'!$G$7="30/360"),DAY(F45)&lt;30),30,DAY(F45))),IF(AND('депозитный калькулятор'!$G$10="ежемесячное, на средний остаток в течение месяца, при условии что остаток больше чем ограничение",F45='депозитный калькулятор'!$D$8,EOMONTH(F45,0)&lt;&gt;F45),IF('депозитный калькулятор'!$F$1=1,$H$24,SUM(OFFSET(Q45,-E45+1,0):Q45)),IF(AND('депозитный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калькулятор'!$G$7="30/360"),DAY(EOMONTH(F45,0))=31),EOMONTH(F45,0)-1=F45,EOMONTH(F45,0)=F45)),IF(IF(AND(OR('депозитный калькулятор'!$G$7="30/365",'депозитный калькулятор'!$G$7="30/360"),DAY(EOMONTH($F$24,0))=31),F45=EOMONTH($F$24,0)-1,F45=EOMONTH($F$24,0)),SUM(OFFSET(Q45,-E45+1,0):Q45),SUM(OFFSET(Q45,-E45+1,0):Q45)),IF('депозитный калькулятор'!$G$10="ежеквартальное",IF(F45&gt;'депозитный калькулятор'!$D$8," ",IF(AND(EOMONTH(F45,0)=F45,OR(MONTH(F45)=3,MONTH(F45)=6,MONTH(F45)=9,MONTH(F45)=12)),IF(EDATE(F45,-3)&lt;'депозитный калькулятор'!$D$7,SUM($H$23:H45),IF(MOD(YEAR(F45),4)=0,IF(AND(EOMONTH(F45,0)=F45,OR(MONTH(F45)=3,MONTH(F45)=6)),SUM(OFFSET(H45,-90,0):H45),IF(AND(EOMONTH(F45,0)=F45,OR(MONTH(F45)=9,MONTH(F45)=12)),SUM(OFFSET(H45,-91,0):H45))),IF(AND(EOMONTH(F45,0)=F45,MONTH(F45)=3),SUM(OFFSET(H45,-89,0):H45),IF(AND(EOMONTH(F45,0)=F45,MONTH(F45)=6),SUM(OFFSET(H45,-90,0):H45),IF(AND(EOMONTH(F45,0)=F45,OR(MONTH(F45)=9,MONTH(F45)=12)),SUM(OFFSET(H45,-91,0):H45)))))),IF(F45='депозитный калькулятор'!$D$8,SUM($H$23:H45)-SUM($I$23:I44),0))),IF('депозитный калькулятор'!$G$10="ежегодное",IF(F45&gt;'депозитный калькулятор'!$D$8," ",IF(F45='депозитный калькулятор'!$D$8,SUM($H$23:H45)-SUM($I$23:I44),IF(AND(EOMONTH(F45,0)=F45,MONTH(F45)=12),IF(MOD(YEAR(F44),4)=0,IF(F45-'депозитный калькулятор'!$D$7&lt;366,SUM($H$23:H45),SUM(OFFSET(H45,-365,0):H45)),IF(F45-'депозитный калькулятор'!$D$7&lt;365,SUM($H$23:H45),SUM(OFFSET(H45,-364,0):H45))),0))),IF(AND('депозитный калькулятор'!$G$10="в конце срока",'депозитный калькулятор'!$D$8=F45),SUM($H$23:H45),0))))))))))))))))))</f>
        <v xml:space="preserve"> </v>
      </c>
      <c r="J45" s="59" t="str">
        <f>IF(F45&gt;'депозитный калькулятор'!$D$8," ",IF('депозитный калькулятор'!$G$16="нет",0,IF(AND('депозитный калькулятор'!$G$17="разовая (в конце срока)",F45='депозитный калькулятор'!$D$8),'депозитный калькулятор'!$G$18,IF(AND('депозитный калькулятор'!$G$17="ежемесячная",EOMONTH(F44,0)=F44),'депозитный калькулятор'!$G$18,IF(AND('депозитный калькулятор'!$G$17="ежегодная",DAY(F44)=31,MONTH(F44)=12),'депозитный калькулятор'!$G$18,IF(AND('депозитный калькулятор'!$G$17="ежемесячная в зависимости от остатка",EOMONTH(F44,0)=F44,P44&gt;0),'депозитный калькулятор'!$G$18,IF(AND('депозитный калькулятор'!$G$17="ежегодная в зависимости от остатка",DAY(F44)=31,MONTH(F44)=12,P44&gt;0),'депозитный калькулятор'!$G$18,0)))))))</f>
        <v xml:space="preserve"> </v>
      </c>
      <c r="K45" s="135" t="str">
        <f>IF($F45=" "," ",IFERROR(VLOOKUP($F45,'депозитный калькулятор'!$B$26:$F$70,2,0),0))</f>
        <v xml:space="preserve"> </v>
      </c>
      <c r="L45" s="135" t="str">
        <f>IF($F45=" "," ",IFERROR(VLOOKUP($F45,'депозитный калькулятор'!$B$26:$F$70,3,0),0))</f>
        <v xml:space="preserve"> </v>
      </c>
      <c r="M45" s="135" t="str">
        <f>IF($F45=" "," ",IFERROR(VLOOKUP($F45,'депозитный калькулятор'!$B$26:$F$70,4,0),0))</f>
        <v xml:space="preserve"> </v>
      </c>
      <c r="N45" s="135" t="str">
        <f>IF($F45=" "," ",IFERROR(VLOOKUP($F45,'депозитный калькулятор'!$B$26:$F$70,5,0),0))</f>
        <v xml:space="preserve"> </v>
      </c>
      <c r="O45" s="146" t="str">
        <f>IF(F45&gt;'депозитный калькулятор'!$D$8," ",IF(F45='депозитный калькулятор'!$D$8,IF(AND($F$24='депозитный калькулятор'!$D$8,'депозитный калькулятор'!$G$13="нет"),-G45-IF(I45=" ",0,I45)-IF(AND(OR('депозитный калькулятор'!$G$7="30/365",'депозитный калькулятор'!$G$7="30/360"),'депозитный калькулятор'!$G$10="в начале срока"),I44,0)-L45+M45-N45,-G45-IF(I45=" ",0,I45)-L45+M45-N45),IF('депозитный калькулятор'!$G$13="есть",M45-N45+IF('депозитный калькулятор'!$G$14="есть",0,-L45),-IF(I45=" ",0,I45)-IF(AND(OR('депозитный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срока"),I44,0)+M45-N45+IF('депозитный калькулятор'!$G$14="есть",0,-L45))))</f>
        <v xml:space="preserve"> </v>
      </c>
      <c r="P45" s="147" t="str">
        <f>IF(F45&gt;'депозитный калькулятор'!$D$8," ",IF(EOMONTH(F44,0)=F44,0,IF(G45&gt;='депозитный калькулятор'!$G$19,P44,P44+1)))</f>
        <v xml:space="preserve"> </v>
      </c>
      <c r="Q45" s="138" t="str">
        <f>IF(F45=" "," ",IF(AND(OR('депозитный калькулятор'!$G$7="30/365",'депозитный калькулятор'!$G$7="30/360"),AND(MONTH(F45)=2,EOMONTH(F45,0)=F45)),IF(DAY(F45)=28,3,2),1)*IF(G45&gt;='депозитный калькулятор'!$G$11,IF(AND('депозитный калькулятор'!$G$7="факт/факт",MOD(YEAR(F45),4)=0),G45*'депозитный калькулятор'!$D$11/366,G45*'депозитный калькулятор'!$G$8),0))</f>
        <v xml:space="preserve"> </v>
      </c>
      <c r="R45" s="148"/>
      <c r="S45" s="62" t="str">
        <f t="shared" ca="1" si="2"/>
        <v xml:space="preserve"> </v>
      </c>
      <c r="T45" s="149" t="str">
        <f ca="1">IF(S45=" "," ",IF('депозитный калькулятор'!$G$7="30/360",DAYS360(U44,IF(DAY(U45)=31,U45-1,U45))+IF(AND(MONTH(U45)=2,U45=EOMONTH(U45,0)),30-DAY(EOMONTH(U45,0)))+T44,VLOOKUP(S45,$C$22:$F$1023,2,0)))</f>
        <v xml:space="preserve"> </v>
      </c>
      <c r="U45" s="64" t="str">
        <f t="shared" ca="1" si="0"/>
        <v xml:space="preserve"> </v>
      </c>
      <c r="V45" s="150" t="str">
        <f t="shared" ca="1" si="3"/>
        <v xml:space="preserve"> </v>
      </c>
      <c r="W45" s="62" t="str">
        <f t="shared" ca="1" si="4"/>
        <v xml:space="preserve"> </v>
      </c>
      <c r="X45" s="141" t="str">
        <f ca="1">IF(S45=" "," ",IFERROR(VLOOKUP(U45,$F$23:$N$1023,7)+VLOOKUP(U45,$F$23:$N$1023,9)+IF(AND('депозитный калькулятор'!$G$13="нет",U45&lt;&gt;'депозитный калькулятор'!$D$8),VLOOKUP(U45,$F$23:$N$1023,4),0),0)+IF(U45='депозитный калькулятор'!$D$8,VLOOKUP(U45,$F$23:$N$1023,2)+VLOOKUP(U45,$F$23:$N$1023,4),0))</f>
        <v xml:space="preserve"> </v>
      </c>
      <c r="Y45" s="142" t="str">
        <f ca="1">IF(S45=" "," ",W45/(1+'депозитный калькулятор'!$K$8)^(T45/IF('депозитный калькулятор'!$G$7="30/360",360,365)))</f>
        <v xml:space="preserve"> </v>
      </c>
      <c r="Z45" s="142" t="str">
        <f ca="1">IF(S45=" "," ",X45/(1+'депозитный калькулятор'!$K$8)^(T45/IF('депозитный калькулятор'!$G$7="30/360",360,365)))</f>
        <v xml:space="preserve"> </v>
      </c>
      <c r="AA45" s="151"/>
      <c r="AB45" s="151"/>
      <c r="AC45" s="155"/>
      <c r="AD45" s="155"/>
    </row>
    <row r="46" spans="1:30" s="2" customFormat="1" ht="15.5" x14ac:dyDescent="0.35">
      <c r="A46" s="41" t="str">
        <f>IF(F46=" "," ",IF(OR('депозитный калькулятор'!$G$7="30/365",'депозитный калькулятор'!$G$7="30/360"),IF(AND(MONTH(F46)=2,DAY(F46)=DAY(EOMONTH(F46,0))),30-DAY(EOMONTH(F46,0)),IF(DAY(F46)=31,1," "))," "))</f>
        <v xml:space="preserve"> </v>
      </c>
      <c r="B46" s="130" t="str">
        <f t="shared" si="1"/>
        <v xml:space="preserve"> </v>
      </c>
      <c r="C46" s="130" t="str">
        <f>IF(OR(B46=0,B46=" ")," ",SUM($B$23:B46))</f>
        <v xml:space="preserve"> </v>
      </c>
      <c r="D46" s="62" t="str">
        <f>IF(D45=" "," ",IF(OR(F45='депозитный калькулятор'!$D$8,F45=" ")," ",D45+1))</f>
        <v xml:space="preserve"> </v>
      </c>
      <c r="E46" s="130" t="str">
        <f>IF(OR(F45='депозитный калькулятор'!$D$8,F45=" ")," ",IF(EOMONTH(F45,0)=F45,1,E45+1))</f>
        <v xml:space="preserve"> </v>
      </c>
      <c r="F46" s="64" t="str">
        <f>IF(F45=" "," ",IF(F45='депозитный калькулятор'!$D$8," ",F45+1))</f>
        <v xml:space="preserve"> </v>
      </c>
      <c r="G46" s="145" t="str">
        <f xml:space="preserve"> IF(F46&gt;'депозитный калькулятор'!$D$8," ",IF('депозитный калькулятор'!$G$13="есть",IF('депозитный калькулятор'!$G$14="есть",G45+IF(I45=" ",0,I45)-J46-K46+L46+M46-N46,G45+IF(I45=" ",0,I45)-J46-K46+M46-N46),IF('депозитный калькулятор'!$G$14="есть",G45-J46-K46+L46+M46-N46,G45-J46-K46+M46-N46)))</f>
        <v xml:space="preserve"> </v>
      </c>
      <c r="H46" s="133" t="str">
        <f>IF(F46&gt;'депозитный калькулятор'!$D$8," ",IF(AND(OR('депозитный калькулятор'!$G$7="30/365",'депозитный калькулятор'!$G$7="30/360"),AND(MONTH(F46)=2,EOMONTH(F46,0)=F46)),IF(DAY(F46)=28,3*G46*'депозитный калькулятор'!$G$8,2*G46*'депозитный калькулятор'!$G$8),IF(AND(OR('депозитный калькулятор'!$G$7="30/365",'депозитный калькулятор'!$G$7="30/360"),DAY(F46)=31)," ",IF(AND('депозитный калькулятор'!$G$7="факт/факт",MOD(YEAR(F46),4)=0),G46*'депозитный калькулятор'!$D$11/366,G46*'депозитный калькулятор'!$G$8))))</f>
        <v xml:space="preserve"> </v>
      </c>
      <c r="I46" s="134" t="str">
        <f ca="1">IF(F46=" "," ",IF('депозитный калькулятор'!$G$10="ежедневное",H46,IF(AND('депозитный калькулятор'!$G$10="еженедельное",WEEKDAY(F46,2)=7),SUM(OFFSET(H46,-6,0):H46),IF(AND('депозитный калькулятор'!$G$10="еженедельное",F46='депозитный калькулятор'!$D$8),SUM($H$23:H46)-SUM($I$23:I45),IF(AND('депозитный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недели",WEEKDAY(F46,2)=7),MIN(OFFSET(H46,-6,0):H46)*(COUNTIF(OFFSET(H46,-6,0):H46,"&gt;0")+SUMIF(OFFSET(A46,-WEEKDAY(F46,2),0):A46,"=2",OFFSET(A46,-WEEKDAY(F46,2),0):A46)),IF(AND('депозитный калькулятор'!$G$10="еженедельное, на минимальную сумму зафиксированную в течение недели",F46='депозитный калькулятор'!$D$8,WEEKDAY(F46,2)&lt;&gt;7),MIN(OFFSET(H46,-WEEKDAY(F46,2),0):H46)*(COUNTIF(OFFSET(H46,-WEEKDAY(F46,2)+1,0):H46,"&gt;0")+SUM(OFFSET(A46,-WEEKDAY(F46,2),0):A46)),IF(AND('депозитный калькулятор'!$G$10="ежемесячное (в конце месяца)",F46='депозитный калькулятор'!$D$8,EOMONTH(F46,0)&lt;&gt;F46),IF('депозитный калькулятор'!$F$1=1,$H$24,SUM($H$23:H46)-SUM($I$23:I45)),IF(AND('депозитный калькулятор'!$G$10="ежемесячное (в конце месяца)",EOMONTH(F46,0)=F46),SUM($H$23:H46)-SUM($I$23:I45),IF(AND('депозитный калькулятор'!$G$10="ежемесячное (по дням открытия вклада)",F46='депозитный калькулятор'!$D$8,DAY('депозитный калькулятор'!$D$7)&lt;&gt;DAY(F46)),IF('депозитный калькулятор'!$F$1=1,$H$24,SUM($H$23:H46)-SUM($I$23:I45)),IF(AND('депозитный калькулятор'!$G$10="ежемесячное (по дням открытия вклада)",DAY('депозитный калькулятор'!$D$7)=DAY(F46)),SUM($H$23:H46)-SUM($I$23:I45),IF(AND('депозитный калькулятор'!$G$10="ежемесячное, на минимальную сумму зафиксированную в течение месяца",F46='депозитный калькулятор'!$D$8,EOMONTH(F46,0)&lt;&gt;F46),IF('депозитный калькулятор'!$F$1=1,$H$24,IF(AND(OR('депозитный калькулятор'!$G$7="30/365",'депозитный калькулятор'!$G$7="30/360"),DAY(F46)=31),0,MIN(OFFSET(H46,-E46+1,0):H46)*(E46+SUMIF(OFFSET(A46,-E46+1,0):A46,"=2",OFFSET(A46,-E46+1,0):A46)))),IF(AND('депозитный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калькулятор'!$G$7="30/360"),DAY(EOMONTH(F46,0))=31),EOMONTH(F46,0)-1=F46,EOMONTH(F46,0)=F46)),IF(IF(AND(OR('депозитный калькулятор'!$G$7="30/365",'депозитный калькулятор'!$G$7="30/360"),DAY(EOMONTH($F$23,0))=31),F46=EOMONTH($F$23,0)-1,F46=EOMONTH($F$23,0)),MIN(OFFSET(H46,-(DAY(F46)-DAY($F$23)),0):H46)*E46,MIN(OFFSET(H46,-(DAY(F46)-1),0):H46)*IF(AND(OR('депозитный калькулятор'!$G$7="30/365",'депозитный калькулятор'!$G$7="30/360"),DAY(F46)&lt;30),30,DAY(F46))),IF(AND('депозитный калькулятор'!$G$10="ежемесячное, на средний остаток в течение месяца, при условии что остаток больше чем ограничение",F46='депозитный калькулятор'!$D$8,EOMONTH(F46,0)&lt;&gt;F46),IF('депозитный калькулятор'!$F$1=1,$H$24,SUM(OFFSET(Q46,-E46+1,0):Q46)),IF(AND('депозитный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калькулятор'!$G$7="30/360"),DAY(EOMONTH(F46,0))=31),EOMONTH(F46,0)-1=F46,EOMONTH(F46,0)=F46)),IF(IF(AND(OR('депозитный калькулятор'!$G$7="30/365",'депозитный калькулятор'!$G$7="30/360"),DAY(EOMONTH($F$24,0))=31),F46=EOMONTH($F$24,0)-1,F46=EOMONTH($F$24,0)),SUM(OFFSET(Q46,-E46+1,0):Q46),SUM(OFFSET(Q46,-E46+1,0):Q46)),IF('депозитный калькулятор'!$G$10="ежеквартальное",IF(F46&gt;'депозитный калькулятор'!$D$8," ",IF(AND(EOMONTH(F46,0)=F46,OR(MONTH(F46)=3,MONTH(F46)=6,MONTH(F46)=9,MONTH(F46)=12)),IF(EDATE(F46,-3)&lt;'депозитный калькулятор'!$D$7,SUM($H$23:H46),IF(MOD(YEAR(F46),4)=0,IF(AND(EOMONTH(F46,0)=F46,OR(MONTH(F46)=3,MONTH(F46)=6)),SUM(OFFSET(H46,-90,0):H46),IF(AND(EOMONTH(F46,0)=F46,OR(MONTH(F46)=9,MONTH(F46)=12)),SUM(OFFSET(H46,-91,0):H46))),IF(AND(EOMONTH(F46,0)=F46,MONTH(F46)=3),SUM(OFFSET(H46,-89,0):H46),IF(AND(EOMONTH(F46,0)=F46,MONTH(F46)=6),SUM(OFFSET(H46,-90,0):H46),IF(AND(EOMONTH(F46,0)=F46,OR(MONTH(F46)=9,MONTH(F46)=12)),SUM(OFFSET(H46,-91,0):H46)))))),IF(F46='депозитный калькулятор'!$D$8,SUM($H$23:H46)-SUM($I$23:I45),0))),IF('депозитный калькулятор'!$G$10="ежегодное",IF(F46&gt;'депозитный калькулятор'!$D$8," ",IF(F46='депозитный калькулятор'!$D$8,SUM($H$23:H46)-SUM($I$23:I45),IF(AND(EOMONTH(F46,0)=F46,MONTH(F46)=12),IF(MOD(YEAR(F45),4)=0,IF(F46-'депозитный калькулятор'!$D$7&lt;366,SUM($H$23:H46),SUM(OFFSET(H46,-365,0):H46)),IF(F46-'депозитный калькулятор'!$D$7&lt;365,SUM($H$23:H46),SUM(OFFSET(H46,-364,0):H46))),0))),IF(AND('депозитный калькулятор'!$G$10="в конце срока",'депозитный калькулятор'!$D$8=F46),SUM($H$23:H46),0))))))))))))))))))</f>
        <v xml:space="preserve"> </v>
      </c>
      <c r="J46" s="59" t="str">
        <f>IF(F46&gt;'депозитный калькулятор'!$D$8," ",IF('депозитный калькулятор'!$G$16="нет",0,IF(AND('депозитный калькулятор'!$G$17="разовая (в конце срока)",F46='депозитный калькулятор'!$D$8),'депозитный калькулятор'!$G$18,IF(AND('депозитный калькулятор'!$G$17="ежемесячная",EOMONTH(F45,0)=F45),'депозитный калькулятор'!$G$18,IF(AND('депозитный калькулятор'!$G$17="ежегодная",DAY(F45)=31,MONTH(F45)=12),'депозитный калькулятор'!$G$18,IF(AND('депозитный калькулятор'!$G$17="ежемесячная в зависимости от остатка",EOMONTH(F45,0)=F45,P45&gt;0),'депозитный калькулятор'!$G$18,IF(AND('депозитный калькулятор'!$G$17="ежегодная в зависимости от остатка",DAY(F45)=31,MONTH(F45)=12,P45&gt;0),'депозитный калькулятор'!$G$18,0)))))))</f>
        <v xml:space="preserve"> </v>
      </c>
      <c r="K46" s="135" t="str">
        <f>IF($F46=" "," ",IFERROR(VLOOKUP($F46,'депозитный калькулятор'!$B$26:$F$70,2,0),0))</f>
        <v xml:space="preserve"> </v>
      </c>
      <c r="L46" s="135" t="str">
        <f>IF($F46=" "," ",IFERROR(VLOOKUP($F46,'депозитный калькулятор'!$B$26:$F$70,3,0),0))</f>
        <v xml:space="preserve"> </v>
      </c>
      <c r="M46" s="135" t="str">
        <f>IF($F46=" "," ",IFERROR(VLOOKUP($F46,'депозитный калькулятор'!$B$26:$F$70,4,0),0))</f>
        <v xml:space="preserve"> </v>
      </c>
      <c r="N46" s="135" t="str">
        <f>IF($F46=" "," ",IFERROR(VLOOKUP($F46,'депозитный калькулятор'!$B$26:$F$70,5,0),0))</f>
        <v xml:space="preserve"> </v>
      </c>
      <c r="O46" s="146" t="str">
        <f>IF(F46&gt;'депозитный калькулятор'!$D$8," ",IF(F46='депозитный калькулятор'!$D$8,IF(AND($F$24='депозитный калькулятор'!$D$8,'депозитный калькулятор'!$G$13="нет"),-G46-IF(I46=" ",0,I46)-IF(AND(OR('депозитный калькулятор'!$G$7="30/365",'депозитный калькулятор'!$G$7="30/360"),'депозитный калькулятор'!$G$10="в начале срока"),I45,0)-L46+M46-N46,-G46-IF(I46=" ",0,I46)-L46+M46-N46),IF('депозитный калькулятор'!$G$13="есть",M46-N46+IF('депозитный калькулятор'!$G$14="есть",0,-L46),-IF(I46=" ",0,I46)-IF(AND(OR('депозитный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срока"),I45,0)+M46-N46+IF('депозитный калькулятор'!$G$14="есть",0,-L46))))</f>
        <v xml:space="preserve"> </v>
      </c>
      <c r="P46" s="147" t="str">
        <f>IF(F46&gt;'депозитный калькулятор'!$D$8," ",IF(EOMONTH(F45,0)=F45,0,IF(G46&gt;='депозитный калькулятор'!$G$19,P45,P45+1)))</f>
        <v xml:space="preserve"> </v>
      </c>
      <c r="Q46" s="138" t="str">
        <f>IF(F46=" "," ",IF(AND(OR('депозитный калькулятор'!$G$7="30/365",'депозитный калькулятор'!$G$7="30/360"),AND(MONTH(F46)=2,EOMONTH(F46,0)=F46)),IF(DAY(F46)=28,3,2),1)*IF(G46&gt;='депозитный калькулятор'!$G$11,IF(AND('депозитный калькулятор'!$G$7="факт/факт",MOD(YEAR(F46),4)=0),G46*'депозитный калькулятор'!$D$11/366,G46*'депозитный калькулятор'!$G$8),0))</f>
        <v xml:space="preserve"> </v>
      </c>
      <c r="R46" s="148"/>
      <c r="S46" s="62" t="str">
        <f t="shared" ca="1" si="2"/>
        <v xml:space="preserve"> </v>
      </c>
      <c r="T46" s="149" t="str">
        <f ca="1">IF(S46=" "," ",IF('депозитный калькулятор'!$G$7="30/360",DAYS360(U45,IF(DAY(U46)=31,U46-1,U46))+IF(AND(MONTH(U46)=2,U46=EOMONTH(U46,0)),30-DAY(EOMONTH(U46,0)))+T45,VLOOKUP(S46,$C$22:$F$1023,2,0)))</f>
        <v xml:space="preserve"> </v>
      </c>
      <c r="U46" s="64" t="str">
        <f t="shared" ca="1" si="0"/>
        <v xml:space="preserve"> </v>
      </c>
      <c r="V46" s="150" t="str">
        <f t="shared" ca="1" si="3"/>
        <v xml:space="preserve"> </v>
      </c>
      <c r="W46" s="62" t="str">
        <f t="shared" ca="1" si="4"/>
        <v xml:space="preserve"> </v>
      </c>
      <c r="X46" s="141" t="str">
        <f ca="1">IF(S46=" "," ",IFERROR(VLOOKUP(U46,$F$23:$N$1023,7)+VLOOKUP(U46,$F$23:$N$1023,9)+IF(AND('депозитный калькулятор'!$G$13="нет",U46&lt;&gt;'депозитный калькулятор'!$D$8),VLOOKUP(U46,$F$23:$N$1023,4),0),0)+IF(U46='депозитный калькулятор'!$D$8,VLOOKUP(U46,$F$23:$N$1023,2)+VLOOKUP(U46,$F$23:$N$1023,4),0))</f>
        <v xml:space="preserve"> </v>
      </c>
      <c r="Y46" s="142" t="str">
        <f ca="1">IF(S46=" "," ",W46/(1+'депозитный калькулятор'!$K$8)^(T46/IF('депозитный калькулятор'!$G$7="30/360",360,365)))</f>
        <v xml:space="preserve"> </v>
      </c>
      <c r="Z46" s="142" t="str">
        <f ca="1">IF(S46=" "," ",X46/(1+'депозитный калькулятор'!$K$8)^(T46/IF('депозитный калькулятор'!$G$7="30/360",360,365)))</f>
        <v xml:space="preserve"> </v>
      </c>
      <c r="AA46" s="151"/>
      <c r="AB46" s="151"/>
      <c r="AC46" s="155"/>
      <c r="AD46" s="155"/>
    </row>
    <row r="47" spans="1:30" s="2" customFormat="1" ht="15.5" x14ac:dyDescent="0.35">
      <c r="A47" s="41" t="str">
        <f>IF(F47=" "," ",IF(OR('депозитный калькулятор'!$G$7="30/365",'депозитный калькулятор'!$G$7="30/360"),IF(AND(MONTH(F47)=2,DAY(F47)=DAY(EOMONTH(F47,0))),30-DAY(EOMONTH(F47,0)),IF(DAY(F47)=31,1," "))," "))</f>
        <v xml:space="preserve"> </v>
      </c>
      <c r="B47" s="130" t="str">
        <f t="shared" si="1"/>
        <v xml:space="preserve"> </v>
      </c>
      <c r="C47" s="130" t="str">
        <f>IF(OR(B47=0,B47=" ")," ",SUM($B$23:B47))</f>
        <v xml:space="preserve"> </v>
      </c>
      <c r="D47" s="62" t="str">
        <f>IF(D46=" "," ",IF(OR(F46='депозитный калькулятор'!$D$8,F46=" ")," ",D46+1))</f>
        <v xml:space="preserve"> </v>
      </c>
      <c r="E47" s="130" t="str">
        <f>IF(OR(F46='депозитный калькулятор'!$D$8,F46=" ")," ",IF(EOMONTH(F46,0)=F46,1,E46+1))</f>
        <v xml:space="preserve"> </v>
      </c>
      <c r="F47" s="64" t="str">
        <f>IF(F46=" "," ",IF(F46='депозитный калькулятор'!$D$8," ",F46+1))</f>
        <v xml:space="preserve"> </v>
      </c>
      <c r="G47" s="145" t="str">
        <f xml:space="preserve"> IF(F47&gt;'депозитный калькулятор'!$D$8," ",IF('депозитный калькулятор'!$G$13="есть",IF('депозитный калькулятор'!$G$14="есть",G46+IF(I46=" ",0,I46)-J47-K47+L47+M47-N47,G46+IF(I46=" ",0,I46)-J47-K47+M47-N47),IF('депозитный калькулятор'!$G$14="есть",G46-J47-K47+L47+M47-N47,G46-J47-K47+M47-N47)))</f>
        <v xml:space="preserve"> </v>
      </c>
      <c r="H47" s="133" t="str">
        <f>IF(F47&gt;'депозитный калькулятор'!$D$8," ",IF(AND(OR('депозитный калькулятор'!$G$7="30/365",'депозитный калькулятор'!$G$7="30/360"),AND(MONTH(F47)=2,EOMONTH(F47,0)=F47)),IF(DAY(F47)=28,3*G47*'депозитный калькулятор'!$G$8,2*G47*'депозитный калькулятор'!$G$8),IF(AND(OR('депозитный калькулятор'!$G$7="30/365",'депозитный калькулятор'!$G$7="30/360"),DAY(F47)=31)," ",IF(AND('депозитный калькулятор'!$G$7="факт/факт",MOD(YEAR(F47),4)=0),G47*'депозитный калькулятор'!$D$11/366,G47*'депозитный калькулятор'!$G$8))))</f>
        <v xml:space="preserve"> </v>
      </c>
      <c r="I47" s="134" t="str">
        <f ca="1">IF(F47=" "," ",IF('депозитный калькулятор'!$G$10="ежедневное",H47,IF(AND('депозитный калькулятор'!$G$10="еженедельное",WEEKDAY(F47,2)=7),SUM(OFFSET(H47,-6,0):H47),IF(AND('депозитный калькулятор'!$G$10="еженедельное",F47='депозитный калькулятор'!$D$8),SUM($H$23:H47)-SUM($I$23:I46),IF(AND('депозитный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недели",WEEKDAY(F47,2)=7),MIN(OFFSET(H47,-6,0):H47)*(COUNTIF(OFFSET(H47,-6,0):H47,"&gt;0")+SUMIF(OFFSET(A47,-WEEKDAY(F47,2),0):A47,"=2",OFFSET(A47,-WEEKDAY(F47,2),0):A47)),IF(AND('депозитный калькулятор'!$G$10="еженедельное, на минимальную сумму зафиксированную в течение недели",F47='депозитный калькулятор'!$D$8,WEEKDAY(F47,2)&lt;&gt;7),MIN(OFFSET(H47,-WEEKDAY(F47,2),0):H47)*(COUNTIF(OFFSET(H47,-WEEKDAY(F47,2)+1,0):H47,"&gt;0")+SUM(OFFSET(A47,-WEEKDAY(F47,2),0):A47)),IF(AND('депозитный калькулятор'!$G$10="ежемесячное (в конце месяца)",F47='депозитный калькулятор'!$D$8,EOMONTH(F47,0)&lt;&gt;F47),IF('депозитный калькулятор'!$F$1=1,$H$24,SUM($H$23:H47)-SUM($I$23:I46)),IF(AND('депозитный калькулятор'!$G$10="ежемесячное (в конце месяца)",EOMONTH(F47,0)=F47),SUM($H$23:H47)-SUM($I$23:I46),IF(AND('депозитный калькулятор'!$G$10="ежемесячное (по дням открытия вклада)",F47='депозитный калькулятор'!$D$8,DAY('депозитный калькулятор'!$D$7)&lt;&gt;DAY(F47)),IF('депозитный калькулятор'!$F$1=1,$H$24,SUM($H$23:H47)-SUM($I$23:I46)),IF(AND('депозитный калькулятор'!$G$10="ежемесячное (по дням открытия вклада)",DAY('депозитный калькулятор'!$D$7)=DAY(F47)),SUM($H$23:H47)-SUM($I$23:I46),IF(AND('депозитный калькулятор'!$G$10="ежемесячное, на минимальную сумму зафиксированную в течение месяца",F47='депозитный калькулятор'!$D$8,EOMONTH(F47,0)&lt;&gt;F47),IF('депозитный калькулятор'!$F$1=1,$H$24,IF(AND(OR('депозитный калькулятор'!$G$7="30/365",'депозитный калькулятор'!$G$7="30/360"),DAY(F47)=31),0,MIN(OFFSET(H47,-E47+1,0):H47)*(E47+SUMIF(OFFSET(A47,-E47+1,0):A47,"=2",OFFSET(A47,-E47+1,0):A47)))),IF(AND('депозитный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калькулятор'!$G$7="30/360"),DAY(EOMONTH(F47,0))=31),EOMONTH(F47,0)-1=F47,EOMONTH(F47,0)=F47)),IF(IF(AND(OR('депозитный калькулятор'!$G$7="30/365",'депозитный калькулятор'!$G$7="30/360"),DAY(EOMONTH($F$23,0))=31),F47=EOMONTH($F$23,0)-1,F47=EOMONTH($F$23,0)),MIN(OFFSET(H47,-(DAY(F47)-DAY($F$23)),0):H47)*E47,MIN(OFFSET(H47,-(DAY(F47)-1),0):H47)*IF(AND(OR('депозитный калькулятор'!$G$7="30/365",'депозитный калькулятор'!$G$7="30/360"),DAY(F47)&lt;30),30,DAY(F47))),IF(AND('депозитный калькулятор'!$G$10="ежемесячное, на средний остаток в течение месяца, при условии что остаток больше чем ограничение",F47='депозитный калькулятор'!$D$8,EOMONTH(F47,0)&lt;&gt;F47),IF('депозитный калькулятор'!$F$1=1,$H$24,SUM(OFFSET(Q47,-E47+1,0):Q47)),IF(AND('депозитный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калькулятор'!$G$7="30/360"),DAY(EOMONTH(F47,0))=31),EOMONTH(F47,0)-1=F47,EOMONTH(F47,0)=F47)),IF(IF(AND(OR('депозитный калькулятор'!$G$7="30/365",'депозитный калькулятор'!$G$7="30/360"),DAY(EOMONTH($F$24,0))=31),F47=EOMONTH($F$24,0)-1,F47=EOMONTH($F$24,0)),SUM(OFFSET(Q47,-E47+1,0):Q47),SUM(OFFSET(Q47,-E47+1,0):Q47)),IF('депозитный калькулятор'!$G$10="ежеквартальное",IF(F47&gt;'депозитный калькулятор'!$D$8," ",IF(AND(EOMONTH(F47,0)=F47,OR(MONTH(F47)=3,MONTH(F47)=6,MONTH(F47)=9,MONTH(F47)=12)),IF(EDATE(F47,-3)&lt;'депозитный калькулятор'!$D$7,SUM($H$23:H47),IF(MOD(YEAR(F47),4)=0,IF(AND(EOMONTH(F47,0)=F47,OR(MONTH(F47)=3,MONTH(F47)=6)),SUM(OFFSET(H47,-90,0):H47),IF(AND(EOMONTH(F47,0)=F47,OR(MONTH(F47)=9,MONTH(F47)=12)),SUM(OFFSET(H47,-91,0):H47))),IF(AND(EOMONTH(F47,0)=F47,MONTH(F47)=3),SUM(OFFSET(H47,-89,0):H47),IF(AND(EOMONTH(F47,0)=F47,MONTH(F47)=6),SUM(OFFSET(H47,-90,0):H47),IF(AND(EOMONTH(F47,0)=F47,OR(MONTH(F47)=9,MONTH(F47)=12)),SUM(OFFSET(H47,-91,0):H47)))))),IF(F47='депозитный калькулятор'!$D$8,SUM($H$23:H47)-SUM($I$23:I46),0))),IF('депозитный калькулятор'!$G$10="ежегодное",IF(F47&gt;'депозитный калькулятор'!$D$8," ",IF(F47='депозитный калькулятор'!$D$8,SUM($H$23:H47)-SUM($I$23:I46),IF(AND(EOMONTH(F47,0)=F47,MONTH(F47)=12),IF(MOD(YEAR(F46),4)=0,IF(F47-'депозитный калькулятор'!$D$7&lt;366,SUM($H$23:H47),SUM(OFFSET(H47,-365,0):H47)),IF(F47-'депозитный калькулятор'!$D$7&lt;365,SUM($H$23:H47),SUM(OFFSET(H47,-364,0):H47))),0))),IF(AND('депозитный калькулятор'!$G$10="в конце срока",'депозитный калькулятор'!$D$8=F47),SUM($H$23:H47),0))))))))))))))))))</f>
        <v xml:space="preserve"> </v>
      </c>
      <c r="J47" s="59" t="str">
        <f>IF(F47&gt;'депозитный калькулятор'!$D$8," ",IF('депозитный калькулятор'!$G$16="нет",0,IF(AND('депозитный калькулятор'!$G$17="разовая (в конце срока)",F47='депозитный калькулятор'!$D$8),'депозитный калькулятор'!$G$18,IF(AND('депозитный калькулятор'!$G$17="ежемесячная",EOMONTH(F46,0)=F46),'депозитный калькулятор'!$G$18,IF(AND('депозитный калькулятор'!$G$17="ежегодная",DAY(F46)=31,MONTH(F46)=12),'депозитный калькулятор'!$G$18,IF(AND('депозитный калькулятор'!$G$17="ежемесячная в зависимости от остатка",EOMONTH(F46,0)=F46,P46&gt;0),'депозитный калькулятор'!$G$18,IF(AND('депозитный калькулятор'!$G$17="ежегодная в зависимости от остатка",DAY(F46)=31,MONTH(F46)=12,P46&gt;0),'депозитный калькулятор'!$G$18,0)))))))</f>
        <v xml:space="preserve"> </v>
      </c>
      <c r="K47" s="135" t="str">
        <f>IF($F47=" "," ",IFERROR(VLOOKUP($F47,'депозитный калькулятор'!$B$26:$F$70,2,0),0))</f>
        <v xml:space="preserve"> </v>
      </c>
      <c r="L47" s="135" t="str">
        <f>IF($F47=" "," ",IFERROR(VLOOKUP($F47,'депозитный калькулятор'!$B$26:$F$70,3,0),0))</f>
        <v xml:space="preserve"> </v>
      </c>
      <c r="M47" s="135" t="str">
        <f>IF($F47=" "," ",IFERROR(VLOOKUP($F47,'депозитный калькулятор'!$B$26:$F$70,4,0),0))</f>
        <v xml:space="preserve"> </v>
      </c>
      <c r="N47" s="135" t="str">
        <f>IF($F47=" "," ",IFERROR(VLOOKUP($F47,'депозитный калькулятор'!$B$26:$F$70,5,0),0))</f>
        <v xml:space="preserve"> </v>
      </c>
      <c r="O47" s="146" t="str">
        <f>IF(F47&gt;'депозитный калькулятор'!$D$8," ",IF(F47='депозитный калькулятор'!$D$8,IF(AND($F$24='депозитный калькулятор'!$D$8,'депозитный калькулятор'!$G$13="нет"),-G47-IF(I47=" ",0,I47)-IF(AND(OR('депозитный калькулятор'!$G$7="30/365",'депозитный калькулятор'!$G$7="30/360"),'депозитный калькулятор'!$G$10="в начале срока"),I46,0)-L47+M47-N47,-G47-IF(I47=" ",0,I47)-L47+M47-N47),IF('депозитный калькулятор'!$G$13="есть",M47-N47+IF('депозитный калькулятор'!$G$14="есть",0,-L47),-IF(I47=" ",0,I47)-IF(AND(OR('депозитный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срока"),I46,0)+M47-N47+IF('депозитный калькулятор'!$G$14="есть",0,-L47))))</f>
        <v xml:space="preserve"> </v>
      </c>
      <c r="P47" s="147" t="str">
        <f>IF(F47&gt;'депозитный калькулятор'!$D$8," ",IF(EOMONTH(F46,0)=F46,0,IF(G47&gt;='депозитный калькулятор'!$G$19,P46,P46+1)))</f>
        <v xml:space="preserve"> </v>
      </c>
      <c r="Q47" s="138" t="str">
        <f>IF(F47=" "," ",IF(AND(OR('депозитный калькулятор'!$G$7="30/365",'депозитный калькулятор'!$G$7="30/360"),AND(MONTH(F47)=2,EOMONTH(F47,0)=F47)),IF(DAY(F47)=28,3,2),1)*IF(G47&gt;='депозитный калькулятор'!$G$11,IF(AND('депозитный калькулятор'!$G$7="факт/факт",MOD(YEAR(F47),4)=0),G47*'депозитный калькулятор'!$D$11/366,G47*'депозитный калькулятор'!$G$8),0))</f>
        <v xml:space="preserve"> </v>
      </c>
      <c r="R47" s="148"/>
      <c r="S47" s="62" t="str">
        <f t="shared" ca="1" si="2"/>
        <v xml:space="preserve"> </v>
      </c>
      <c r="T47" s="149" t="str">
        <f ca="1">IF(S47=" "," ",IF('депозитный калькулятор'!$G$7="30/360",DAYS360(U46,IF(DAY(U47)=31,U47-1,U47))+IF(AND(MONTH(U47)=2,U47=EOMONTH(U47,0)),30-DAY(EOMONTH(U47,0)))+T46,VLOOKUP(S47,$C$22:$F$1023,2,0)))</f>
        <v xml:space="preserve"> </v>
      </c>
      <c r="U47" s="64" t="str">
        <f t="shared" ca="1" si="0"/>
        <v xml:space="preserve"> </v>
      </c>
      <c r="V47" s="150" t="str">
        <f t="shared" ca="1" si="3"/>
        <v xml:space="preserve"> </v>
      </c>
      <c r="W47" s="62" t="str">
        <f t="shared" ca="1" si="4"/>
        <v xml:space="preserve"> </v>
      </c>
      <c r="X47" s="141" t="str">
        <f ca="1">IF(S47=" "," ",IFERROR(VLOOKUP(U47,$F$23:$N$1023,7)+VLOOKUP(U47,$F$23:$N$1023,9)+IF(AND('депозитный калькулятор'!$G$13="нет",U47&lt;&gt;'депозитный калькулятор'!$D$8),VLOOKUP(U47,$F$23:$N$1023,4),0),0)+IF(U47='депозитный калькулятор'!$D$8,VLOOKUP(U47,$F$23:$N$1023,2)+VLOOKUP(U47,$F$23:$N$1023,4),0))</f>
        <v xml:space="preserve"> </v>
      </c>
      <c r="Y47" s="142" t="str">
        <f ca="1">IF(S47=" "," ",W47/(1+'депозитный калькулятор'!$K$8)^(T47/IF('депозитный калькулятор'!$G$7="30/360",360,365)))</f>
        <v xml:space="preserve"> </v>
      </c>
      <c r="Z47" s="142" t="str">
        <f ca="1">IF(S47=" "," ",X47/(1+'депозитный калькулятор'!$K$8)^(T47/IF('депозитный калькулятор'!$G$7="30/360",360,365)))</f>
        <v xml:space="preserve"> </v>
      </c>
      <c r="AA47" s="151"/>
      <c r="AB47" s="151"/>
      <c r="AC47" s="155"/>
      <c r="AD47" s="155"/>
    </row>
    <row r="48" spans="1:30" s="2" customFormat="1" ht="15.5" x14ac:dyDescent="0.35">
      <c r="A48" s="41" t="str">
        <f>IF(F48=" "," ",IF(OR('депозитный калькулятор'!$G$7="30/365",'депозитный калькулятор'!$G$7="30/360"),IF(AND(MONTH(F48)=2,DAY(F48)=DAY(EOMONTH(F48,0))),30-DAY(EOMONTH(F48,0)),IF(DAY(F48)=31,1," "))," "))</f>
        <v xml:space="preserve"> </v>
      </c>
      <c r="B48" s="130" t="str">
        <f t="shared" si="1"/>
        <v xml:space="preserve"> </v>
      </c>
      <c r="C48" s="130" t="str">
        <f>IF(OR(B48=0,B48=" ")," ",SUM($B$23:B48))</f>
        <v xml:space="preserve"> </v>
      </c>
      <c r="D48" s="62" t="str">
        <f>IF(D47=" "," ",IF(OR(F47='депозитный калькулятор'!$D$8,F47=" ")," ",D47+1))</f>
        <v xml:space="preserve"> </v>
      </c>
      <c r="E48" s="130" t="str">
        <f>IF(OR(F47='депозитный калькулятор'!$D$8,F47=" ")," ",IF(EOMONTH(F47,0)=F47,1,E47+1))</f>
        <v xml:space="preserve"> </v>
      </c>
      <c r="F48" s="64" t="str">
        <f>IF(F47=" "," ",IF(F47='депозитный калькулятор'!$D$8," ",F47+1))</f>
        <v xml:space="preserve"> </v>
      </c>
      <c r="G48" s="145" t="str">
        <f xml:space="preserve"> IF(F48&gt;'депозитный калькулятор'!$D$8," ",IF('депозитный калькулятор'!$G$13="есть",IF('депозитный калькулятор'!$G$14="есть",G47+IF(I47=" ",0,I47)-J48-K48+L48+M48-N48,G47+IF(I47=" ",0,I47)-J48-K48+M48-N48),IF('депозитный калькулятор'!$G$14="есть",G47-J48-K48+L48+M48-N48,G47-J48-K48+M48-N48)))</f>
        <v xml:space="preserve"> </v>
      </c>
      <c r="H48" s="133" t="str">
        <f>IF(F48&gt;'депозитный калькулятор'!$D$8," ",IF(AND(OR('депозитный калькулятор'!$G$7="30/365",'депозитный калькулятор'!$G$7="30/360"),AND(MONTH(F48)=2,EOMONTH(F48,0)=F48)),IF(DAY(F48)=28,3*G48*'депозитный калькулятор'!$G$8,2*G48*'депозитный калькулятор'!$G$8),IF(AND(OR('депозитный калькулятор'!$G$7="30/365",'депозитный калькулятор'!$G$7="30/360"),DAY(F48)=31)," ",IF(AND('депозитный калькулятор'!$G$7="факт/факт",MOD(YEAR(F48),4)=0),G48*'депозитный калькулятор'!$D$11/366,G48*'депозитный калькулятор'!$G$8))))</f>
        <v xml:space="preserve"> </v>
      </c>
      <c r="I48" s="134" t="str">
        <f ca="1">IF(F48=" "," ",IF('депозитный калькулятор'!$G$10="ежедневное",H48,IF(AND('депозитный калькулятор'!$G$10="еженедельное",WEEKDAY(F48,2)=7),SUM(OFFSET(H48,-6,0):H48),IF(AND('депозитный калькулятор'!$G$10="еженедельное",F48='депозитный калькулятор'!$D$8),SUM($H$23:H48)-SUM($I$23:I47),IF(AND('депозитный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недели",WEEKDAY(F48,2)=7),MIN(OFFSET(H48,-6,0):H48)*(COUNTIF(OFFSET(H48,-6,0):H48,"&gt;0")+SUMIF(OFFSET(A48,-WEEKDAY(F48,2),0):A48,"=2",OFFSET(A48,-WEEKDAY(F48,2),0):A48)),IF(AND('депозитный калькулятор'!$G$10="еженедельное, на минимальную сумму зафиксированную в течение недели",F48='депозитный калькулятор'!$D$8,WEEKDAY(F48,2)&lt;&gt;7),MIN(OFFSET(H48,-WEEKDAY(F48,2),0):H48)*(COUNTIF(OFFSET(H48,-WEEKDAY(F48,2)+1,0):H48,"&gt;0")+SUM(OFFSET(A48,-WEEKDAY(F48,2),0):A48)),IF(AND('депозитный калькулятор'!$G$10="ежемесячное (в конце месяца)",F48='депозитный калькулятор'!$D$8,EOMONTH(F48,0)&lt;&gt;F48),IF('депозитный калькулятор'!$F$1=1,$H$24,SUM($H$23:H48)-SUM($I$23:I47)),IF(AND('депозитный калькулятор'!$G$10="ежемесячное (в конце месяца)",EOMONTH(F48,0)=F48),SUM($H$23:H48)-SUM($I$23:I47),IF(AND('депозитный калькулятор'!$G$10="ежемесячное (по дням открытия вклада)",F48='депозитный калькулятор'!$D$8,DAY('депозитный калькулятор'!$D$7)&lt;&gt;DAY(F48)),IF('депозитный калькулятор'!$F$1=1,$H$24,SUM($H$23:H48)-SUM($I$23:I47)),IF(AND('депозитный калькулятор'!$G$10="ежемесячное (по дням открытия вклада)",DAY('депозитный калькулятор'!$D$7)=DAY(F48)),SUM($H$23:H48)-SUM($I$23:I47),IF(AND('депозитный калькулятор'!$G$10="ежемесячное, на минимальную сумму зафиксированную в течение месяца",F48='депозитный калькулятор'!$D$8,EOMONTH(F48,0)&lt;&gt;F48),IF('депозитный калькулятор'!$F$1=1,$H$24,IF(AND(OR('депозитный калькулятор'!$G$7="30/365",'депозитный калькулятор'!$G$7="30/360"),DAY(F48)=31),0,MIN(OFFSET(H48,-E48+1,0):H48)*(E48+SUMIF(OFFSET(A48,-E48+1,0):A48,"=2",OFFSET(A48,-E48+1,0):A48)))),IF(AND('депозитный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калькулятор'!$G$7="30/360"),DAY(EOMONTH(F48,0))=31),EOMONTH(F48,0)-1=F48,EOMONTH(F48,0)=F48)),IF(IF(AND(OR('депозитный калькулятор'!$G$7="30/365",'депозитный калькулятор'!$G$7="30/360"),DAY(EOMONTH($F$23,0))=31),F48=EOMONTH($F$23,0)-1,F48=EOMONTH($F$23,0)),MIN(OFFSET(H48,-(DAY(F48)-DAY($F$23)),0):H48)*E48,MIN(OFFSET(H48,-(DAY(F48)-1),0):H48)*IF(AND(OR('депозитный калькулятор'!$G$7="30/365",'депозитный калькулятор'!$G$7="30/360"),DAY(F48)&lt;30),30,DAY(F48))),IF(AND('депозитный калькулятор'!$G$10="ежемесячное, на средний остаток в течение месяца, при условии что остаток больше чем ограничение",F48='депозитный калькулятор'!$D$8,EOMONTH(F48,0)&lt;&gt;F48),IF('депозитный калькулятор'!$F$1=1,$H$24,SUM(OFFSET(Q48,-E48+1,0):Q48)),IF(AND('депозитный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калькулятор'!$G$7="30/360"),DAY(EOMONTH(F48,0))=31),EOMONTH(F48,0)-1=F48,EOMONTH(F48,0)=F48)),IF(IF(AND(OR('депозитный калькулятор'!$G$7="30/365",'депозитный калькулятор'!$G$7="30/360"),DAY(EOMONTH($F$24,0))=31),F48=EOMONTH($F$24,0)-1,F48=EOMONTH($F$24,0)),SUM(OFFSET(Q48,-E48+1,0):Q48),SUM(OFFSET(Q48,-E48+1,0):Q48)),IF('депозитный калькулятор'!$G$10="ежеквартальное",IF(F48&gt;'депозитный калькулятор'!$D$8," ",IF(AND(EOMONTH(F48,0)=F48,OR(MONTH(F48)=3,MONTH(F48)=6,MONTH(F48)=9,MONTH(F48)=12)),IF(EDATE(F48,-3)&lt;'депозитный калькулятор'!$D$7,SUM($H$23:H48),IF(MOD(YEAR(F48),4)=0,IF(AND(EOMONTH(F48,0)=F48,OR(MONTH(F48)=3,MONTH(F48)=6)),SUM(OFFSET(H48,-90,0):H48),IF(AND(EOMONTH(F48,0)=F48,OR(MONTH(F48)=9,MONTH(F48)=12)),SUM(OFFSET(H48,-91,0):H48))),IF(AND(EOMONTH(F48,0)=F48,MONTH(F48)=3),SUM(OFFSET(H48,-89,0):H48),IF(AND(EOMONTH(F48,0)=F48,MONTH(F48)=6),SUM(OFFSET(H48,-90,0):H48),IF(AND(EOMONTH(F48,0)=F48,OR(MONTH(F48)=9,MONTH(F48)=12)),SUM(OFFSET(H48,-91,0):H48)))))),IF(F48='депозитный калькулятор'!$D$8,SUM($H$23:H48)-SUM($I$23:I47),0))),IF('депозитный калькулятор'!$G$10="ежегодное",IF(F48&gt;'депозитный калькулятор'!$D$8," ",IF(F48='депозитный калькулятор'!$D$8,SUM($H$23:H48)-SUM($I$23:I47),IF(AND(EOMONTH(F48,0)=F48,MONTH(F48)=12),IF(MOD(YEAR(F47),4)=0,IF(F48-'депозитный калькулятор'!$D$7&lt;366,SUM($H$23:H48),SUM(OFFSET(H48,-365,0):H48)),IF(F48-'депозитный калькулятор'!$D$7&lt;365,SUM($H$23:H48),SUM(OFFSET(H48,-364,0):H48))),0))),IF(AND('депозитный калькулятор'!$G$10="в конце срока",'депозитный калькулятор'!$D$8=F48),SUM($H$23:H48),0))))))))))))))))))</f>
        <v xml:space="preserve"> </v>
      </c>
      <c r="J48" s="59" t="str">
        <f>IF(F48&gt;'депозитный калькулятор'!$D$8," ",IF('депозитный калькулятор'!$G$16="нет",0,IF(AND('депозитный калькулятор'!$G$17="разовая (в конце срока)",F48='депозитный калькулятор'!$D$8),'депозитный калькулятор'!$G$18,IF(AND('депозитный калькулятор'!$G$17="ежемесячная",EOMONTH(F47,0)=F47),'депозитный калькулятор'!$G$18,IF(AND('депозитный калькулятор'!$G$17="ежегодная",DAY(F47)=31,MONTH(F47)=12),'депозитный калькулятор'!$G$18,IF(AND('депозитный калькулятор'!$G$17="ежемесячная в зависимости от остатка",EOMONTH(F47,0)=F47,P47&gt;0),'депозитный калькулятор'!$G$18,IF(AND('депозитный калькулятор'!$G$17="ежегодная в зависимости от остатка",DAY(F47)=31,MONTH(F47)=12,P47&gt;0),'депозитный калькулятор'!$G$18,0)))))))</f>
        <v xml:space="preserve"> </v>
      </c>
      <c r="K48" s="135" t="str">
        <f>IF($F48=" "," ",IFERROR(VLOOKUP($F48,'депозитный калькулятор'!$B$26:$F$70,2,0),0))</f>
        <v xml:space="preserve"> </v>
      </c>
      <c r="L48" s="135" t="str">
        <f>IF($F48=" "," ",IFERROR(VLOOKUP($F48,'депозитный калькулятор'!$B$26:$F$70,3,0),0))</f>
        <v xml:space="preserve"> </v>
      </c>
      <c r="M48" s="135" t="str">
        <f>IF($F48=" "," ",IFERROR(VLOOKUP($F48,'депозитный калькулятор'!$B$26:$F$70,4,0),0))</f>
        <v xml:space="preserve"> </v>
      </c>
      <c r="N48" s="135" t="str">
        <f>IF($F48=" "," ",IFERROR(VLOOKUP($F48,'депозитный калькулятор'!$B$26:$F$70,5,0),0))</f>
        <v xml:space="preserve"> </v>
      </c>
      <c r="O48" s="146" t="str">
        <f>IF(F48&gt;'депозитный калькулятор'!$D$8," ",IF(F48='депозитный калькулятор'!$D$8,IF(AND($F$24='депозитный калькулятор'!$D$8,'депозитный калькулятор'!$G$13="нет"),-G48-IF(I48=" ",0,I48)-IF(AND(OR('депозитный калькулятор'!$G$7="30/365",'депозитный калькулятор'!$G$7="30/360"),'депозитный калькулятор'!$G$10="в начале срока"),I47,0)-L48+M48-N48,-G48-IF(I48=" ",0,I48)-L48+M48-N48),IF('депозитный калькулятор'!$G$13="есть",M48-N48+IF('депозитный калькулятор'!$G$14="есть",0,-L48),-IF(I48=" ",0,I48)-IF(AND(OR('депозитный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срока"),I47,0)+M48-N48+IF('депозитный калькулятор'!$G$14="есть",0,-L48))))</f>
        <v xml:space="preserve"> </v>
      </c>
      <c r="P48" s="147" t="str">
        <f>IF(F48&gt;'депозитный калькулятор'!$D$8," ",IF(EOMONTH(F47,0)=F47,0,IF(G48&gt;='депозитный калькулятор'!$G$19,P47,P47+1)))</f>
        <v xml:space="preserve"> </v>
      </c>
      <c r="Q48" s="138" t="str">
        <f>IF(F48=" "," ",IF(AND(OR('депозитный калькулятор'!$G$7="30/365",'депозитный калькулятор'!$G$7="30/360"),AND(MONTH(F48)=2,EOMONTH(F48,0)=F48)),IF(DAY(F48)=28,3,2),1)*IF(G48&gt;='депозитный калькулятор'!$G$11,IF(AND('депозитный калькулятор'!$G$7="факт/факт",MOD(YEAR(F48),4)=0),G48*'депозитный калькулятор'!$D$11/366,G48*'депозитный калькулятор'!$G$8),0))</f>
        <v xml:space="preserve"> </v>
      </c>
      <c r="R48" s="148"/>
      <c r="S48" s="62" t="str">
        <f t="shared" ca="1" si="2"/>
        <v xml:space="preserve"> </v>
      </c>
      <c r="T48" s="149" t="str">
        <f ca="1">IF(S48=" "," ",IF('депозитный калькулятор'!$G$7="30/360",DAYS360(U47,IF(DAY(U48)=31,U48-1,U48))+IF(AND(MONTH(U48)=2,U48=EOMONTH(U48,0)),30-DAY(EOMONTH(U48,0)))+T47,VLOOKUP(S48,$C$22:$F$1023,2,0)))</f>
        <v xml:space="preserve"> </v>
      </c>
      <c r="U48" s="64" t="str">
        <f t="shared" ca="1" si="0"/>
        <v xml:space="preserve"> </v>
      </c>
      <c r="V48" s="150" t="str">
        <f t="shared" ca="1" si="3"/>
        <v xml:space="preserve"> </v>
      </c>
      <c r="W48" s="62" t="str">
        <f t="shared" ca="1" si="4"/>
        <v xml:space="preserve"> </v>
      </c>
      <c r="X48" s="141" t="str">
        <f ca="1">IF(S48=" "," ",IFERROR(VLOOKUP(U48,$F$23:$N$1023,7)+VLOOKUP(U48,$F$23:$N$1023,9)+IF(AND('депозитный калькулятор'!$G$13="нет",U48&lt;&gt;'депозитный калькулятор'!$D$8),VLOOKUP(U48,$F$23:$N$1023,4),0),0)+IF(U48='депозитный калькулятор'!$D$8,VLOOKUP(U48,$F$23:$N$1023,2)+VLOOKUP(U48,$F$23:$N$1023,4),0))</f>
        <v xml:space="preserve"> </v>
      </c>
      <c r="Y48" s="142" t="str">
        <f ca="1">IF(S48=" "," ",W48/(1+'депозитный калькулятор'!$K$8)^(T48/IF('депозитный калькулятор'!$G$7="30/360",360,365)))</f>
        <v xml:space="preserve"> </v>
      </c>
      <c r="Z48" s="142" t="str">
        <f ca="1">IF(S48=" "," ",X48/(1+'депозитный калькулятор'!$K$8)^(T48/IF('депозитный калькулятор'!$G$7="30/360",360,365)))</f>
        <v xml:space="preserve"> </v>
      </c>
      <c r="AA48" s="151"/>
      <c r="AB48" s="151"/>
      <c r="AC48" s="155"/>
      <c r="AD48" s="155"/>
    </row>
    <row r="49" spans="1:32" s="2" customFormat="1" ht="15.5" x14ac:dyDescent="0.35">
      <c r="A49" s="41" t="str">
        <f>IF(F49=" "," ",IF(OR('депозитный калькулятор'!$G$7="30/365",'депозитный калькулятор'!$G$7="30/360"),IF(AND(MONTH(F49)=2,DAY(F49)=DAY(EOMONTH(F49,0))),30-DAY(EOMONTH(F49,0)),IF(DAY(F49)=31,1," "))," "))</f>
        <v xml:space="preserve"> </v>
      </c>
      <c r="B49" s="130" t="str">
        <f t="shared" si="1"/>
        <v xml:space="preserve"> </v>
      </c>
      <c r="C49" s="130" t="str">
        <f>IF(OR(B49=0,B49=" ")," ",SUM($B$23:B49))</f>
        <v xml:space="preserve"> </v>
      </c>
      <c r="D49" s="62" t="str">
        <f>IF(D48=" "," ",IF(OR(F48='депозитный калькулятор'!$D$8,F48=" ")," ",D48+1))</f>
        <v xml:space="preserve"> </v>
      </c>
      <c r="E49" s="130" t="str">
        <f>IF(OR(F48='депозитный калькулятор'!$D$8,F48=" ")," ",IF(EOMONTH(F48,0)=F48,1,E48+1))</f>
        <v xml:space="preserve"> </v>
      </c>
      <c r="F49" s="64" t="str">
        <f>IF(F48=" "," ",IF(F48='депозитный калькулятор'!$D$8," ",F48+1))</f>
        <v xml:space="preserve"> </v>
      </c>
      <c r="G49" s="145" t="str">
        <f xml:space="preserve"> IF(F49&gt;'депозитный калькулятор'!$D$8," ",IF('депозитный калькулятор'!$G$13="есть",IF('депозитный калькулятор'!$G$14="есть",G48+IF(I48=" ",0,I48)-J49-K49+L49+M49-N49,G48+IF(I48=" ",0,I48)-J49-K49+M49-N49),IF('депозитный калькулятор'!$G$14="есть",G48-J49-K49+L49+M49-N49,G48-J49-K49+M49-N49)))</f>
        <v xml:space="preserve"> </v>
      </c>
      <c r="H49" s="133" t="str">
        <f>IF(F49&gt;'депозитный калькулятор'!$D$8," ",IF(AND(OR('депозитный калькулятор'!$G$7="30/365",'депозитный калькулятор'!$G$7="30/360"),AND(MONTH(F49)=2,EOMONTH(F49,0)=F49)),IF(DAY(F49)=28,3*G49*'депозитный калькулятор'!$G$8,2*G49*'депозитный калькулятор'!$G$8),IF(AND(OR('депозитный калькулятор'!$G$7="30/365",'депозитный калькулятор'!$G$7="30/360"),DAY(F49)=31)," ",IF(AND('депозитный калькулятор'!$G$7="факт/факт",MOD(YEAR(F49),4)=0),G49*'депозитный калькулятор'!$D$11/366,G49*'депозитный калькулятор'!$G$8))))</f>
        <v xml:space="preserve"> </v>
      </c>
      <c r="I49" s="134" t="str">
        <f ca="1">IF(F49=" "," ",IF('депозитный калькулятор'!$G$10="ежедневное",H49,IF(AND('депозитный калькулятор'!$G$10="еженедельное",WEEKDAY(F49,2)=7),SUM(OFFSET(H49,-6,0):H49),IF(AND('депозитный калькулятор'!$G$10="еженедельное",F49='депозитный калькулятор'!$D$8),SUM($H$23:H49)-SUM($I$23:I48),IF(AND('депозитный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недели",WEEKDAY(F49,2)=7),MIN(OFFSET(H49,-6,0):H49)*(COUNTIF(OFFSET(H49,-6,0):H49,"&gt;0")+SUMIF(OFFSET(A49,-WEEKDAY(F49,2),0):A49,"=2",OFFSET(A49,-WEEKDAY(F49,2),0):A49)),IF(AND('депозитный калькулятор'!$G$10="еженедельное, на минимальную сумму зафиксированную в течение недели",F49='депозитный калькулятор'!$D$8,WEEKDAY(F49,2)&lt;&gt;7),MIN(OFFSET(H49,-WEEKDAY(F49,2),0):H49)*(COUNTIF(OFFSET(H49,-WEEKDAY(F49,2)+1,0):H49,"&gt;0")+SUM(OFFSET(A49,-WEEKDAY(F49,2),0):A49)),IF(AND('депозитный калькулятор'!$G$10="ежемесячное (в конце месяца)",F49='депозитный калькулятор'!$D$8,EOMONTH(F49,0)&lt;&gt;F49),IF('депозитный калькулятор'!$F$1=1,$H$24,SUM($H$23:H49)-SUM($I$23:I48)),IF(AND('депозитный калькулятор'!$G$10="ежемесячное (в конце месяца)",EOMONTH(F49,0)=F49),SUM($H$23:H49)-SUM($I$23:I48),IF(AND('депозитный калькулятор'!$G$10="ежемесячное (по дням открытия вклада)",F49='депозитный калькулятор'!$D$8,DAY('депозитный калькулятор'!$D$7)&lt;&gt;DAY(F49)),IF('депозитный калькулятор'!$F$1=1,$H$24,SUM($H$23:H49)-SUM($I$23:I48)),IF(AND('депозитный калькулятор'!$G$10="ежемесячное (по дням открытия вклада)",DAY('депозитный калькулятор'!$D$7)=DAY(F49)),SUM($H$23:H49)-SUM($I$23:I48),IF(AND('депозитный калькулятор'!$G$10="ежемесячное, на минимальную сумму зафиксированную в течение месяца",F49='депозитный калькулятор'!$D$8,EOMONTH(F49,0)&lt;&gt;F49),IF('депозитный калькулятор'!$F$1=1,$H$24,IF(AND(OR('депозитный калькулятор'!$G$7="30/365",'депозитный калькулятор'!$G$7="30/360"),DAY(F49)=31),0,MIN(OFFSET(H49,-E49+1,0):H49)*(E49+SUMIF(OFFSET(A49,-E49+1,0):A49,"=2",OFFSET(A49,-E49+1,0):A49)))),IF(AND('депозитный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калькулятор'!$G$7="30/360"),DAY(EOMONTH(F49,0))=31),EOMONTH(F49,0)-1=F49,EOMONTH(F49,0)=F49)),IF(IF(AND(OR('депозитный калькулятор'!$G$7="30/365",'депозитный калькулятор'!$G$7="30/360"),DAY(EOMONTH($F$23,0))=31),F49=EOMONTH($F$23,0)-1,F49=EOMONTH($F$23,0)),MIN(OFFSET(H49,-(DAY(F49)-DAY($F$23)),0):H49)*E49,MIN(OFFSET(H49,-(DAY(F49)-1),0):H49)*IF(AND(OR('депозитный калькулятор'!$G$7="30/365",'депозитный калькулятор'!$G$7="30/360"),DAY(F49)&lt;30),30,DAY(F49))),IF(AND('депозитный калькулятор'!$G$10="ежемесячное, на средний остаток в течение месяца, при условии что остаток больше чем ограничение",F49='депозитный калькулятор'!$D$8,EOMONTH(F49,0)&lt;&gt;F49),IF('депозитный калькулятор'!$F$1=1,$H$24,SUM(OFFSET(Q49,-E49+1,0):Q49)),IF(AND('депозитный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калькулятор'!$G$7="30/360"),DAY(EOMONTH(F49,0))=31),EOMONTH(F49,0)-1=F49,EOMONTH(F49,0)=F49)),IF(IF(AND(OR('депозитный калькулятор'!$G$7="30/365",'депозитный калькулятор'!$G$7="30/360"),DAY(EOMONTH($F$24,0))=31),F49=EOMONTH($F$24,0)-1,F49=EOMONTH($F$24,0)),SUM(OFFSET(Q49,-E49+1,0):Q49),SUM(OFFSET(Q49,-E49+1,0):Q49)),IF('депозитный калькулятор'!$G$10="ежеквартальное",IF(F49&gt;'депозитный калькулятор'!$D$8," ",IF(AND(EOMONTH(F49,0)=F49,OR(MONTH(F49)=3,MONTH(F49)=6,MONTH(F49)=9,MONTH(F49)=12)),IF(EDATE(F49,-3)&lt;'депозитный калькулятор'!$D$7,SUM($H$23:H49),IF(MOD(YEAR(F49),4)=0,IF(AND(EOMONTH(F49,0)=F49,OR(MONTH(F49)=3,MONTH(F49)=6)),SUM(OFFSET(H49,-90,0):H49),IF(AND(EOMONTH(F49,0)=F49,OR(MONTH(F49)=9,MONTH(F49)=12)),SUM(OFFSET(H49,-91,0):H49))),IF(AND(EOMONTH(F49,0)=F49,MONTH(F49)=3),SUM(OFFSET(H49,-89,0):H49),IF(AND(EOMONTH(F49,0)=F49,MONTH(F49)=6),SUM(OFFSET(H49,-90,0):H49),IF(AND(EOMONTH(F49,0)=F49,OR(MONTH(F49)=9,MONTH(F49)=12)),SUM(OFFSET(H49,-91,0):H49)))))),IF(F49='депозитный калькулятор'!$D$8,SUM($H$23:H49)-SUM($I$23:I48),0))),IF('депозитный калькулятор'!$G$10="ежегодное",IF(F49&gt;'депозитный калькулятор'!$D$8," ",IF(F49='депозитный калькулятор'!$D$8,SUM($H$23:H49)-SUM($I$23:I48),IF(AND(EOMONTH(F49,0)=F49,MONTH(F49)=12),IF(MOD(YEAR(F48),4)=0,IF(F49-'депозитный калькулятор'!$D$7&lt;366,SUM($H$23:H49),SUM(OFFSET(H49,-365,0):H49)),IF(F49-'депозитный калькулятор'!$D$7&lt;365,SUM($H$23:H49),SUM(OFFSET(H49,-364,0):H49))),0))),IF(AND('депозитный калькулятор'!$G$10="в конце срока",'депозитный калькулятор'!$D$8=F49),SUM($H$23:H49),0))))))))))))))))))</f>
        <v xml:space="preserve"> </v>
      </c>
      <c r="J49" s="59" t="str">
        <f>IF(F49&gt;'депозитный калькулятор'!$D$8," ",IF('депозитный калькулятор'!$G$16="нет",0,IF(AND('депозитный калькулятор'!$G$17="разовая (в конце срока)",F49='депозитный калькулятор'!$D$8),'депозитный калькулятор'!$G$18,IF(AND('депозитный калькулятор'!$G$17="ежемесячная",EOMONTH(F48,0)=F48),'депозитный калькулятор'!$G$18,IF(AND('депозитный калькулятор'!$G$17="ежегодная",DAY(F48)=31,MONTH(F48)=12),'депозитный калькулятор'!$G$18,IF(AND('депозитный калькулятор'!$G$17="ежемесячная в зависимости от остатка",EOMONTH(F48,0)=F48,P48&gt;0),'депозитный калькулятор'!$G$18,IF(AND('депозитный калькулятор'!$G$17="ежегодная в зависимости от остатка",DAY(F48)=31,MONTH(F48)=12,P48&gt;0),'депозитный калькулятор'!$G$18,0)))))))</f>
        <v xml:space="preserve"> </v>
      </c>
      <c r="K49" s="135" t="str">
        <f>IF($F49=" "," ",IFERROR(VLOOKUP($F49,'депозитный калькулятор'!$B$26:$F$70,2,0),0))</f>
        <v xml:space="preserve"> </v>
      </c>
      <c r="L49" s="135" t="str">
        <f>IF($F49=" "," ",IFERROR(VLOOKUP($F49,'депозитный калькулятор'!$B$26:$F$70,3,0),0))</f>
        <v xml:space="preserve"> </v>
      </c>
      <c r="M49" s="135" t="str">
        <f>IF($F49=" "," ",IFERROR(VLOOKUP($F49,'депозитный калькулятор'!$B$26:$F$70,4,0),0))</f>
        <v xml:space="preserve"> </v>
      </c>
      <c r="N49" s="135" t="str">
        <f>IF($F49=" "," ",IFERROR(VLOOKUP($F49,'депозитный калькулятор'!$B$26:$F$70,5,0),0))</f>
        <v xml:space="preserve"> </v>
      </c>
      <c r="O49" s="146" t="str">
        <f>IF(F49&gt;'депозитный калькулятор'!$D$8," ",IF(F49='депозитный калькулятор'!$D$8,IF(AND($F$24='депозитный калькулятор'!$D$8,'депозитный калькулятор'!$G$13="нет"),-G49-IF(I49=" ",0,I49)-IF(AND(OR('депозитный калькулятор'!$G$7="30/365",'депозитный калькулятор'!$G$7="30/360"),'депозитный калькулятор'!$G$10="в начале срока"),I48,0)-L49+M49-N49,-G49-IF(I49=" ",0,I49)-L49+M49-N49),IF('депозитный калькулятор'!$G$13="есть",M49-N49+IF('депозитный калькулятор'!$G$14="есть",0,-L49),-IF(I49=" ",0,I49)-IF(AND(OR('депозитный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срока"),I48,0)+M49-N49+IF('депозитный калькулятор'!$G$14="есть",0,-L49))))</f>
        <v xml:space="preserve"> </v>
      </c>
      <c r="P49" s="147" t="str">
        <f>IF(F49&gt;'депозитный калькулятор'!$D$8," ",IF(EOMONTH(F48,0)=F48,0,IF(G49&gt;='депозитный калькулятор'!$G$19,P48,P48+1)))</f>
        <v xml:space="preserve"> </v>
      </c>
      <c r="Q49" s="138" t="str">
        <f>IF(F49=" "," ",IF(AND(OR('депозитный калькулятор'!$G$7="30/365",'депозитный калькулятор'!$G$7="30/360"),AND(MONTH(F49)=2,EOMONTH(F49,0)=F49)),IF(DAY(F49)=28,3,2),1)*IF(G49&gt;='депозитный калькулятор'!$G$11,IF(AND('депозитный калькулятор'!$G$7="факт/факт",MOD(YEAR(F49),4)=0),G49*'депозитный калькулятор'!$D$11/366,G49*'депозитный калькулятор'!$G$8),0))</f>
        <v xml:space="preserve"> </v>
      </c>
      <c r="R49" s="148"/>
      <c r="S49" s="62" t="str">
        <f t="shared" ca="1" si="2"/>
        <v xml:space="preserve"> </v>
      </c>
      <c r="T49" s="149" t="str">
        <f ca="1">IF(S49=" "," ",IF('депозитный калькулятор'!$G$7="30/360",DAYS360(U48,IF(DAY(U49)=31,U49-1,U49))+IF(AND(MONTH(U49)=2,U49=EOMONTH(U49,0)),30-DAY(EOMONTH(U49,0)))+T48,VLOOKUP(S49,$C$22:$F$1023,2,0)))</f>
        <v xml:space="preserve"> </v>
      </c>
      <c r="U49" s="64" t="str">
        <f t="shared" ca="1" si="0"/>
        <v xml:space="preserve"> </v>
      </c>
      <c r="V49" s="150" t="str">
        <f t="shared" ca="1" si="3"/>
        <v xml:space="preserve"> </v>
      </c>
      <c r="W49" s="62" t="str">
        <f t="shared" ca="1" si="4"/>
        <v xml:space="preserve"> </v>
      </c>
      <c r="X49" s="141" t="str">
        <f ca="1">IF(S49=" "," ",IFERROR(VLOOKUP(U49,$F$23:$N$1023,7)+VLOOKUP(U49,$F$23:$N$1023,9)+IF(AND('депозитный калькулятор'!$G$13="нет",U49&lt;&gt;'депозитный калькулятор'!$D$8),VLOOKUP(U49,$F$23:$N$1023,4),0),0)+IF(U49='депозитный калькулятор'!$D$8,VLOOKUP(U49,$F$23:$N$1023,2)+VLOOKUP(U49,$F$23:$N$1023,4),0))</f>
        <v xml:space="preserve"> </v>
      </c>
      <c r="Y49" s="142" t="str">
        <f ca="1">IF(S49=" "," ",W49/(1+'депозитный калькулятор'!$K$8)^(T49/IF('депозитный калькулятор'!$G$7="30/360",360,365)))</f>
        <v xml:space="preserve"> </v>
      </c>
      <c r="Z49" s="142" t="str">
        <f ca="1">IF(S49=" "," ",X49/(1+'депозитный калькулятор'!$K$8)^(T49/IF('депозитный калькулятор'!$G$7="30/360",360,365)))</f>
        <v xml:space="preserve"> </v>
      </c>
      <c r="AA49" s="151"/>
      <c r="AB49" s="151"/>
      <c r="AC49" s="155"/>
      <c r="AD49" s="155"/>
      <c r="AF49" s="5"/>
    </row>
    <row r="50" spans="1:32" s="2" customFormat="1" ht="15.5" x14ac:dyDescent="0.35">
      <c r="A50" s="41" t="str">
        <f>IF(F50=" "," ",IF(OR('депозитный калькулятор'!$G$7="30/365",'депозитный калькулятор'!$G$7="30/360"),IF(AND(MONTH(F50)=2,DAY(F50)=DAY(EOMONTH(F50,0))),30-DAY(EOMONTH(F50,0)),IF(DAY(F50)=31,1," "))," "))</f>
        <v xml:space="preserve"> </v>
      </c>
      <c r="B50" s="130" t="str">
        <f t="shared" si="1"/>
        <v xml:space="preserve"> </v>
      </c>
      <c r="C50" s="130" t="str">
        <f>IF(OR(B50=0,B50=" ")," ",SUM($B$23:B50))</f>
        <v xml:space="preserve"> </v>
      </c>
      <c r="D50" s="62" t="str">
        <f>IF(D49=" "," ",IF(OR(F49='депозитный калькулятор'!$D$8,F49=" ")," ",D49+1))</f>
        <v xml:space="preserve"> </v>
      </c>
      <c r="E50" s="130" t="str">
        <f>IF(OR(F49='депозитный калькулятор'!$D$8,F49=" ")," ",IF(EOMONTH(F49,0)=F49,1,E49+1))</f>
        <v xml:space="preserve"> </v>
      </c>
      <c r="F50" s="64" t="str">
        <f>IF(F49=" "," ",IF(F49='депозитный калькулятор'!$D$8," ",F49+1))</f>
        <v xml:space="preserve"> </v>
      </c>
      <c r="G50" s="145" t="str">
        <f xml:space="preserve"> IF(F50&gt;'депозитный калькулятор'!$D$8," ",IF('депозитный калькулятор'!$G$13="есть",IF('депозитный калькулятор'!$G$14="есть",G49+IF(I49=" ",0,I49)-J50-K50+L50+M50-N50,G49+IF(I49=" ",0,I49)-J50-K50+M50-N50),IF('депозитный калькулятор'!$G$14="есть",G49-J50-K50+L50+M50-N50,G49-J50-K50+M50-N50)))</f>
        <v xml:space="preserve"> </v>
      </c>
      <c r="H50" s="133" t="str">
        <f>IF(F50&gt;'депозитный калькулятор'!$D$8," ",IF(AND(OR('депозитный калькулятор'!$G$7="30/365",'депозитный калькулятор'!$G$7="30/360"),AND(MONTH(F50)=2,EOMONTH(F50,0)=F50)),IF(DAY(F50)=28,3*G50*'депозитный калькулятор'!$G$8,2*G50*'депозитный калькулятор'!$G$8),IF(AND(OR('депозитный калькулятор'!$G$7="30/365",'депозитный калькулятор'!$G$7="30/360"),DAY(F50)=31)," ",IF(AND('депозитный калькулятор'!$G$7="факт/факт",MOD(YEAR(F50),4)=0),G50*'депозитный калькулятор'!$D$11/366,G50*'депозитный калькулятор'!$G$8))))</f>
        <v xml:space="preserve"> </v>
      </c>
      <c r="I50" s="134" t="str">
        <f ca="1">IF(F50=" "," ",IF('депозитный калькулятор'!$G$10="ежедневное",H50,IF(AND('депозитный калькулятор'!$G$10="еженедельное",WEEKDAY(F50,2)=7),SUM(OFFSET(H50,-6,0):H50),IF(AND('депозитный калькулятор'!$G$10="еженедельное",F50='депозитный калькулятор'!$D$8),SUM($H$23:H50)-SUM($I$23:I49),IF(AND('депозитный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недели",WEEKDAY(F50,2)=7),MIN(OFFSET(H50,-6,0):H50)*(COUNTIF(OFFSET(H50,-6,0):H50,"&gt;0")+SUMIF(OFFSET(A50,-WEEKDAY(F50,2),0):A50,"=2",OFFSET(A50,-WEEKDAY(F50,2),0):A50)),IF(AND('депозитный калькулятор'!$G$10="еженедельное, на минимальную сумму зафиксированную в течение недели",F50='депозитный калькулятор'!$D$8,WEEKDAY(F50,2)&lt;&gt;7),MIN(OFFSET(H50,-WEEKDAY(F50,2),0):H50)*(COUNTIF(OFFSET(H50,-WEEKDAY(F50,2)+1,0):H50,"&gt;0")+SUM(OFFSET(A50,-WEEKDAY(F50,2),0):A50)),IF(AND('депозитный калькулятор'!$G$10="ежемесячное (в конце месяца)",F50='депозитный калькулятор'!$D$8,EOMONTH(F50,0)&lt;&gt;F50),IF('депозитный калькулятор'!$F$1=1,$H$24,SUM($H$23:H50)-SUM($I$23:I49)),IF(AND('депозитный калькулятор'!$G$10="ежемесячное (в конце месяца)",EOMONTH(F50,0)=F50),SUM($H$23:H50)-SUM($I$23:I49),IF(AND('депозитный калькулятор'!$G$10="ежемесячное (по дням открытия вклада)",F50='депозитный калькулятор'!$D$8,DAY('депозитный калькулятор'!$D$7)&lt;&gt;DAY(F50)),IF('депозитный калькулятор'!$F$1=1,$H$24,SUM($H$23:H50)-SUM($I$23:I49)),IF(AND('депозитный калькулятор'!$G$10="ежемесячное (по дням открытия вклада)",DAY('депозитный калькулятор'!$D$7)=DAY(F50)),SUM($H$23:H50)-SUM($I$23:I49),IF(AND('депозитный калькулятор'!$G$10="ежемесячное, на минимальную сумму зафиксированную в течение месяца",F50='депозитный калькулятор'!$D$8,EOMONTH(F50,0)&lt;&gt;F50),IF('депозитный калькулятор'!$F$1=1,$H$24,IF(AND(OR('депозитный калькулятор'!$G$7="30/365",'депозитный калькулятор'!$G$7="30/360"),DAY(F50)=31),0,MIN(OFFSET(H50,-E50+1,0):H50)*(E50+SUMIF(OFFSET(A50,-E50+1,0):A50,"=2",OFFSET(A50,-E50+1,0):A50)))),IF(AND('депозитный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калькулятор'!$G$7="30/360"),DAY(EOMONTH(F50,0))=31),EOMONTH(F50,0)-1=F50,EOMONTH(F50,0)=F50)),IF(IF(AND(OR('депозитный калькулятор'!$G$7="30/365",'депозитный калькулятор'!$G$7="30/360"),DAY(EOMONTH($F$23,0))=31),F50=EOMONTH($F$23,0)-1,F50=EOMONTH($F$23,0)),MIN(OFFSET(H50,-(DAY(F50)-DAY($F$23)),0):H50)*E50,MIN(OFFSET(H50,-(DAY(F50)-1),0):H50)*IF(AND(OR('депозитный калькулятор'!$G$7="30/365",'депозитный калькулятор'!$G$7="30/360"),DAY(F50)&lt;30),30,DAY(F50))),IF(AND('депозитный калькулятор'!$G$10="ежемесячное, на средний остаток в течение месяца, при условии что остаток больше чем ограничение",F50='депозитный калькулятор'!$D$8,EOMONTH(F50,0)&lt;&gt;F50),IF('депозитный калькулятор'!$F$1=1,$H$24,SUM(OFFSET(Q50,-E50+1,0):Q50)),IF(AND('депозитный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калькулятор'!$G$7="30/360"),DAY(EOMONTH(F50,0))=31),EOMONTH(F50,0)-1=F50,EOMONTH(F50,0)=F50)),IF(IF(AND(OR('депозитный калькулятор'!$G$7="30/365",'депозитный калькулятор'!$G$7="30/360"),DAY(EOMONTH($F$24,0))=31),F50=EOMONTH($F$24,0)-1,F50=EOMONTH($F$24,0)),SUM(OFFSET(Q50,-E50+1,0):Q50),SUM(OFFSET(Q50,-E50+1,0):Q50)),IF('депозитный калькулятор'!$G$10="ежеквартальное",IF(F50&gt;'депозитный калькулятор'!$D$8," ",IF(AND(EOMONTH(F50,0)=F50,OR(MONTH(F50)=3,MONTH(F50)=6,MONTH(F50)=9,MONTH(F50)=12)),IF(EDATE(F50,-3)&lt;'депозитный калькулятор'!$D$7,SUM($H$23:H50),IF(MOD(YEAR(F50),4)=0,IF(AND(EOMONTH(F50,0)=F50,OR(MONTH(F50)=3,MONTH(F50)=6)),SUM(OFFSET(H50,-90,0):H50),IF(AND(EOMONTH(F50,0)=F50,OR(MONTH(F50)=9,MONTH(F50)=12)),SUM(OFFSET(H50,-91,0):H50))),IF(AND(EOMONTH(F50,0)=F50,MONTH(F50)=3),SUM(OFFSET(H50,-89,0):H50),IF(AND(EOMONTH(F50,0)=F50,MONTH(F50)=6),SUM(OFFSET(H50,-90,0):H50),IF(AND(EOMONTH(F50,0)=F50,OR(MONTH(F50)=9,MONTH(F50)=12)),SUM(OFFSET(H50,-91,0):H50)))))),IF(F50='депозитный калькулятор'!$D$8,SUM($H$23:H50)-SUM($I$23:I49),0))),IF('депозитный калькулятор'!$G$10="ежегодное",IF(F50&gt;'депозитный калькулятор'!$D$8," ",IF(F50='депозитный калькулятор'!$D$8,SUM($H$23:H50)-SUM($I$23:I49),IF(AND(EOMONTH(F50,0)=F50,MONTH(F50)=12),IF(MOD(YEAR(F49),4)=0,IF(F50-'депозитный калькулятор'!$D$7&lt;366,SUM($H$23:H50),SUM(OFFSET(H50,-365,0):H50)),IF(F50-'депозитный калькулятор'!$D$7&lt;365,SUM($H$23:H50),SUM(OFFSET(H50,-364,0):H50))),0))),IF(AND('депозитный калькулятор'!$G$10="в конце срока",'депозитный калькулятор'!$D$8=F50),SUM($H$23:H50),0))))))))))))))))))</f>
        <v xml:space="preserve"> </v>
      </c>
      <c r="J50" s="59" t="str">
        <f>IF(F50&gt;'депозитный калькулятор'!$D$8," ",IF('депозитный калькулятор'!$G$16="нет",0,IF(AND('депозитный калькулятор'!$G$17="разовая (в конце срока)",F50='депозитный калькулятор'!$D$8),'депозитный калькулятор'!$G$18,IF(AND('депозитный калькулятор'!$G$17="ежемесячная",EOMONTH(F49,0)=F49),'депозитный калькулятор'!$G$18,IF(AND('депозитный калькулятор'!$G$17="ежегодная",DAY(F49)=31,MONTH(F49)=12),'депозитный калькулятор'!$G$18,IF(AND('депозитный калькулятор'!$G$17="ежемесячная в зависимости от остатка",EOMONTH(F49,0)=F49,P49&gt;0),'депозитный калькулятор'!$G$18,IF(AND('депозитный калькулятор'!$G$17="ежегодная в зависимости от остатка",DAY(F49)=31,MONTH(F49)=12,P49&gt;0),'депозитный калькулятор'!$G$18,0)))))))</f>
        <v xml:space="preserve"> </v>
      </c>
      <c r="K50" s="135" t="str">
        <f>IF($F50=" "," ",IFERROR(VLOOKUP($F50,'депозитный калькулятор'!$B$26:$F$70,2,0),0))</f>
        <v xml:space="preserve"> </v>
      </c>
      <c r="L50" s="135" t="str">
        <f>IF($F50=" "," ",IFERROR(VLOOKUP($F50,'депозитный калькулятор'!$B$26:$F$70,3,0),0))</f>
        <v xml:space="preserve"> </v>
      </c>
      <c r="M50" s="135" t="str">
        <f>IF($F50=" "," ",IFERROR(VLOOKUP($F50,'депозитный калькулятор'!$B$26:$F$70,4,0),0))</f>
        <v xml:space="preserve"> </v>
      </c>
      <c r="N50" s="135" t="str">
        <f>IF($F50=" "," ",IFERROR(VLOOKUP($F50,'депозитный калькулятор'!$B$26:$F$70,5,0),0))</f>
        <v xml:space="preserve"> </v>
      </c>
      <c r="O50" s="146" t="str">
        <f>IF(F50&gt;'депозитный калькулятор'!$D$8," ",IF(F50='депозитный калькулятор'!$D$8,IF(AND($F$24='депозитный калькулятор'!$D$8,'депозитный калькулятор'!$G$13="нет"),-G50-IF(I50=" ",0,I50)-IF(AND(OR('депозитный калькулятор'!$G$7="30/365",'депозитный калькулятор'!$G$7="30/360"),'депозитный калькулятор'!$G$10="в начале срока"),I49,0)-L50+M50-N50,-G50-IF(I50=" ",0,I50)-L50+M50-N50),IF('депозитный калькулятор'!$G$13="есть",M50-N50+IF('депозитный калькулятор'!$G$14="есть",0,-L50),-IF(I50=" ",0,I50)-IF(AND(OR('депозитный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срока"),I49,0)+M50-N50+IF('депозитный калькулятор'!$G$14="есть",0,-L50))))</f>
        <v xml:space="preserve"> </v>
      </c>
      <c r="P50" s="147" t="str">
        <f>IF(F50&gt;'депозитный калькулятор'!$D$8," ",IF(EOMONTH(F49,0)=F49,0,IF(G50&gt;='депозитный калькулятор'!$G$19,P49,P49+1)))</f>
        <v xml:space="preserve"> </v>
      </c>
      <c r="Q50" s="138" t="str">
        <f>IF(F50=" "," ",IF(AND(OR('депозитный калькулятор'!$G$7="30/365",'депозитный калькулятор'!$G$7="30/360"),AND(MONTH(F50)=2,EOMONTH(F50,0)=F50)),IF(DAY(F50)=28,3,2),1)*IF(G50&gt;='депозитный калькулятор'!$G$11,IF(AND('депозитный калькулятор'!$G$7="факт/факт",MOD(YEAR(F50),4)=0),G50*'депозитный калькулятор'!$D$11/366,G50*'депозитный калькулятор'!$G$8),0))</f>
        <v xml:space="preserve"> </v>
      </c>
      <c r="R50" s="148"/>
      <c r="S50" s="62" t="str">
        <f t="shared" ca="1" si="2"/>
        <v xml:space="preserve"> </v>
      </c>
      <c r="T50" s="149" t="str">
        <f ca="1">IF(S50=" "," ",IF('депозитный калькулятор'!$G$7="30/360",DAYS360(U49,IF(DAY(U50)=31,U50-1,U50))+IF(AND(MONTH(U50)=2,U50=EOMONTH(U50,0)),30-DAY(EOMONTH(U50,0)))+T49,VLOOKUP(S50,$C$22:$F$1023,2,0)))</f>
        <v xml:space="preserve"> </v>
      </c>
      <c r="U50" s="64" t="str">
        <f t="shared" ca="1" si="0"/>
        <v xml:space="preserve"> </v>
      </c>
      <c r="V50" s="150" t="str">
        <f t="shared" ca="1" si="3"/>
        <v xml:space="preserve"> </v>
      </c>
      <c r="W50" s="62" t="str">
        <f t="shared" ca="1" si="4"/>
        <v xml:space="preserve"> </v>
      </c>
      <c r="X50" s="141" t="str">
        <f ca="1">IF(S50=" "," ",IFERROR(VLOOKUP(U50,$F$23:$N$1023,7)+VLOOKUP(U50,$F$23:$N$1023,9)+IF(AND('депозитный калькулятор'!$G$13="нет",U50&lt;&gt;'депозитный калькулятор'!$D$8),VLOOKUP(U50,$F$23:$N$1023,4),0),0)+IF(U50='депозитный калькулятор'!$D$8,VLOOKUP(U50,$F$23:$N$1023,2)+VLOOKUP(U50,$F$23:$N$1023,4),0))</f>
        <v xml:space="preserve"> </v>
      </c>
      <c r="Y50" s="142" t="str">
        <f ca="1">IF(S50=" "," ",W50/(1+'депозитный калькулятор'!$K$8)^(T50/IF('депозитный калькулятор'!$G$7="30/360",360,365)))</f>
        <v xml:space="preserve"> </v>
      </c>
      <c r="Z50" s="142" t="str">
        <f ca="1">IF(S50=" "," ",X50/(1+'депозитный калькулятор'!$K$8)^(T50/IF('депозитный калькулятор'!$G$7="30/360",360,365)))</f>
        <v xml:space="preserve"> </v>
      </c>
      <c r="AA50" s="151"/>
      <c r="AB50" s="151"/>
      <c r="AC50" s="155"/>
      <c r="AD50" s="155"/>
      <c r="AF50" s="157"/>
    </row>
    <row r="51" spans="1:32" s="2" customFormat="1" ht="15.5" x14ac:dyDescent="0.35">
      <c r="A51" s="41" t="str">
        <f>IF(F51=" "," ",IF(OR('депозитный калькулятор'!$G$7="30/365",'депозитный калькулятор'!$G$7="30/360"),IF(AND(MONTH(F51)=2,DAY(F51)=DAY(EOMONTH(F51,0))),30-DAY(EOMONTH(F51,0)),IF(DAY(F51)=31,1," "))," "))</f>
        <v xml:space="preserve"> </v>
      </c>
      <c r="B51" s="130" t="str">
        <f t="shared" si="1"/>
        <v xml:space="preserve"> </v>
      </c>
      <c r="C51" s="130" t="str">
        <f>IF(OR(B51=0,B51=" ")," ",SUM($B$23:B51))</f>
        <v xml:space="preserve"> </v>
      </c>
      <c r="D51" s="62" t="str">
        <f>IF(D50=" "," ",IF(OR(F50='депозитный калькулятор'!$D$8,F50=" ")," ",D50+1))</f>
        <v xml:space="preserve"> </v>
      </c>
      <c r="E51" s="130" t="str">
        <f>IF(OR(F50='депозитный калькулятор'!$D$8,F50=" ")," ",IF(EOMONTH(F50,0)=F50,1,E50+1))</f>
        <v xml:space="preserve"> </v>
      </c>
      <c r="F51" s="64" t="str">
        <f>IF(F50=" "," ",IF(F50='депозитный калькулятор'!$D$8," ",F50+1))</f>
        <v xml:space="preserve"> </v>
      </c>
      <c r="G51" s="145" t="str">
        <f xml:space="preserve"> IF(F51&gt;'депозитный калькулятор'!$D$8," ",IF('депозитный калькулятор'!$G$13="есть",IF('депозитный калькулятор'!$G$14="есть",G50+IF(I50=" ",0,I50)-J51-K51+L51+M51-N51,G50+IF(I50=" ",0,I50)-J51-K51+M51-N51),IF('депозитный калькулятор'!$G$14="есть",G50-J51-K51+L51+M51-N51,G50-J51-K51+M51-N51)))</f>
        <v xml:space="preserve"> </v>
      </c>
      <c r="H51" s="133" t="str">
        <f>IF(F51&gt;'депозитный калькулятор'!$D$8," ",IF(AND(OR('депозитный калькулятор'!$G$7="30/365",'депозитный калькулятор'!$G$7="30/360"),AND(MONTH(F51)=2,EOMONTH(F51,0)=F51)),IF(DAY(F51)=28,3*G51*'депозитный калькулятор'!$G$8,2*G51*'депозитный калькулятор'!$G$8),IF(AND(OR('депозитный калькулятор'!$G$7="30/365",'депозитный калькулятор'!$G$7="30/360"),DAY(F51)=31)," ",IF(AND('депозитный калькулятор'!$G$7="факт/факт",MOD(YEAR(F51),4)=0),G51*'депозитный калькулятор'!$D$11/366,G51*'депозитный калькулятор'!$G$8))))</f>
        <v xml:space="preserve"> </v>
      </c>
      <c r="I51" s="134" t="str">
        <f ca="1">IF(F51=" "," ",IF('депозитный калькулятор'!$G$10="ежедневное",H51,IF(AND('депозитный калькулятор'!$G$10="еженедельное",WEEKDAY(F51,2)=7),SUM(OFFSET(H51,-6,0):H51),IF(AND('депозитный калькулятор'!$G$10="еженедельное",F51='депозитный калькулятор'!$D$8),SUM($H$23:H51)-SUM($I$23:I50),IF(AND('депозитный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недели",WEEKDAY(F51,2)=7),MIN(OFFSET(H51,-6,0):H51)*(COUNTIF(OFFSET(H51,-6,0):H51,"&gt;0")+SUMIF(OFFSET(A51,-WEEKDAY(F51,2),0):A51,"=2",OFFSET(A51,-WEEKDAY(F51,2),0):A51)),IF(AND('депозитный калькулятор'!$G$10="еженедельное, на минимальную сумму зафиксированную в течение недели",F51='депозитный калькулятор'!$D$8,WEEKDAY(F51,2)&lt;&gt;7),MIN(OFFSET(H51,-WEEKDAY(F51,2),0):H51)*(COUNTIF(OFFSET(H51,-WEEKDAY(F51,2)+1,0):H51,"&gt;0")+SUM(OFFSET(A51,-WEEKDAY(F51,2),0):A51)),IF(AND('депозитный калькулятор'!$G$10="ежемесячное (в конце месяца)",F51='депозитный калькулятор'!$D$8,EOMONTH(F51,0)&lt;&gt;F51),IF('депозитный калькулятор'!$F$1=1,$H$24,SUM($H$23:H51)-SUM($I$23:I50)),IF(AND('депозитный калькулятор'!$G$10="ежемесячное (в конце месяца)",EOMONTH(F51,0)=F51),SUM($H$23:H51)-SUM($I$23:I50),IF(AND('депозитный калькулятор'!$G$10="ежемесячное (по дням открытия вклада)",F51='депозитный калькулятор'!$D$8,DAY('депозитный калькулятор'!$D$7)&lt;&gt;DAY(F51)),IF('депозитный калькулятор'!$F$1=1,$H$24,SUM($H$23:H51)-SUM($I$23:I50)),IF(AND('депозитный калькулятор'!$G$10="ежемесячное (по дням открытия вклада)",DAY('депозитный калькулятор'!$D$7)=DAY(F51)),SUM($H$23:H51)-SUM($I$23:I50),IF(AND('депозитный калькулятор'!$G$10="ежемесячное, на минимальную сумму зафиксированную в течение месяца",F51='депозитный калькулятор'!$D$8,EOMONTH(F51,0)&lt;&gt;F51),IF('депозитный калькулятор'!$F$1=1,$H$24,IF(AND(OR('депозитный калькулятор'!$G$7="30/365",'депозитный калькулятор'!$G$7="30/360"),DAY(F51)=31),0,MIN(OFFSET(H51,-E51+1,0):H51)*(E51+SUMIF(OFFSET(A51,-E51+1,0):A51,"=2",OFFSET(A51,-E51+1,0):A51)))),IF(AND('депозитный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калькулятор'!$G$7="30/360"),DAY(EOMONTH(F51,0))=31),EOMONTH(F51,0)-1=F51,EOMONTH(F51,0)=F51)),IF(IF(AND(OR('депозитный калькулятор'!$G$7="30/365",'депозитный калькулятор'!$G$7="30/360"),DAY(EOMONTH($F$23,0))=31),F51=EOMONTH($F$23,0)-1,F51=EOMONTH($F$23,0)),MIN(OFFSET(H51,-(DAY(F51)-DAY($F$23)),0):H51)*E51,MIN(OFFSET(H51,-(DAY(F51)-1),0):H51)*IF(AND(OR('депозитный калькулятор'!$G$7="30/365",'депозитный калькулятор'!$G$7="30/360"),DAY(F51)&lt;30),30,DAY(F51))),IF(AND('депозитный калькулятор'!$G$10="ежемесячное, на средний остаток в течение месяца, при условии что остаток больше чем ограничение",F51='депозитный калькулятор'!$D$8,EOMONTH(F51,0)&lt;&gt;F51),IF('депозитный калькулятор'!$F$1=1,$H$24,SUM(OFFSET(Q51,-E51+1,0):Q51)),IF(AND('депозитный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калькулятор'!$G$7="30/360"),DAY(EOMONTH(F51,0))=31),EOMONTH(F51,0)-1=F51,EOMONTH(F51,0)=F51)),IF(IF(AND(OR('депозитный калькулятор'!$G$7="30/365",'депозитный калькулятор'!$G$7="30/360"),DAY(EOMONTH($F$24,0))=31),F51=EOMONTH($F$24,0)-1,F51=EOMONTH($F$24,0)),SUM(OFFSET(Q51,-E51+1,0):Q51),SUM(OFFSET(Q51,-E51+1,0):Q51)),IF('депозитный калькулятор'!$G$10="ежеквартальное",IF(F51&gt;'депозитный калькулятор'!$D$8," ",IF(AND(EOMONTH(F51,0)=F51,OR(MONTH(F51)=3,MONTH(F51)=6,MONTH(F51)=9,MONTH(F51)=12)),IF(EDATE(F51,-3)&lt;'депозитный калькулятор'!$D$7,SUM($H$23:H51),IF(MOD(YEAR(F51),4)=0,IF(AND(EOMONTH(F51,0)=F51,OR(MONTH(F51)=3,MONTH(F51)=6)),SUM(OFFSET(H51,-90,0):H51),IF(AND(EOMONTH(F51,0)=F51,OR(MONTH(F51)=9,MONTH(F51)=12)),SUM(OFFSET(H51,-91,0):H51))),IF(AND(EOMONTH(F51,0)=F51,MONTH(F51)=3),SUM(OFFSET(H51,-89,0):H51),IF(AND(EOMONTH(F51,0)=F51,MONTH(F51)=6),SUM(OFFSET(H51,-90,0):H51),IF(AND(EOMONTH(F51,0)=F51,OR(MONTH(F51)=9,MONTH(F51)=12)),SUM(OFFSET(H51,-91,0):H51)))))),IF(F51='депозитный калькулятор'!$D$8,SUM($H$23:H51)-SUM($I$23:I50),0))),IF('депозитный калькулятор'!$G$10="ежегодное",IF(F51&gt;'депозитный калькулятор'!$D$8," ",IF(F51='депозитный калькулятор'!$D$8,SUM($H$23:H51)-SUM($I$23:I50),IF(AND(EOMONTH(F51,0)=F51,MONTH(F51)=12),IF(MOD(YEAR(F50),4)=0,IF(F51-'депозитный калькулятор'!$D$7&lt;366,SUM($H$23:H51),SUM(OFFSET(H51,-365,0):H51)),IF(F51-'депозитный калькулятор'!$D$7&lt;365,SUM($H$23:H51),SUM(OFFSET(H51,-364,0):H51))),0))),IF(AND('депозитный калькулятор'!$G$10="в конце срока",'депозитный калькулятор'!$D$8=F51),SUM($H$23:H51),0))))))))))))))))))</f>
        <v xml:space="preserve"> </v>
      </c>
      <c r="J51" s="59" t="str">
        <f>IF(F51&gt;'депозитный калькулятор'!$D$8," ",IF('депозитный калькулятор'!$G$16="нет",0,IF(AND('депозитный калькулятор'!$G$17="разовая (в конце срока)",F51='депозитный калькулятор'!$D$8),'депозитный калькулятор'!$G$18,IF(AND('депозитный калькулятор'!$G$17="ежемесячная",EOMONTH(F50,0)=F50),'депозитный калькулятор'!$G$18,IF(AND('депозитный калькулятор'!$G$17="ежегодная",DAY(F50)=31,MONTH(F50)=12),'депозитный калькулятор'!$G$18,IF(AND('депозитный калькулятор'!$G$17="ежемесячная в зависимости от остатка",EOMONTH(F50,0)=F50,P50&gt;0),'депозитный калькулятор'!$G$18,IF(AND('депозитный калькулятор'!$G$17="ежегодная в зависимости от остатка",DAY(F50)=31,MONTH(F50)=12,P50&gt;0),'депозитный калькулятор'!$G$18,0)))))))</f>
        <v xml:space="preserve"> </v>
      </c>
      <c r="K51" s="135" t="str">
        <f>IF($F51=" "," ",IFERROR(VLOOKUP($F51,'депозитный калькулятор'!$B$26:$F$70,2,0),0))</f>
        <v xml:space="preserve"> </v>
      </c>
      <c r="L51" s="135" t="str">
        <f>IF($F51=" "," ",IFERROR(VLOOKUP($F51,'депозитный калькулятор'!$B$26:$F$70,3,0),0))</f>
        <v xml:space="preserve"> </v>
      </c>
      <c r="M51" s="135" t="str">
        <f>IF($F51=" "," ",IFERROR(VLOOKUP($F51,'депозитный калькулятор'!$B$26:$F$70,4,0),0))</f>
        <v xml:space="preserve"> </v>
      </c>
      <c r="N51" s="135" t="str">
        <f>IF($F51=" "," ",IFERROR(VLOOKUP($F51,'депозитный калькулятор'!$B$26:$F$70,5,0),0))</f>
        <v xml:space="preserve"> </v>
      </c>
      <c r="O51" s="146" t="str">
        <f>IF(F51&gt;'депозитный калькулятор'!$D$8," ",IF(F51='депозитный калькулятор'!$D$8,IF(AND($F$24='депозитный калькулятор'!$D$8,'депозитный калькулятор'!$G$13="нет"),-G51-IF(I51=" ",0,I51)-IF(AND(OR('депозитный калькулятор'!$G$7="30/365",'депозитный калькулятор'!$G$7="30/360"),'депозитный калькулятор'!$G$10="в начале срока"),I50,0)-L51+M51-N51,-G51-IF(I51=" ",0,I51)-L51+M51-N51),IF('депозитный калькулятор'!$G$13="есть",M51-N51+IF('депозитный калькулятор'!$G$14="есть",0,-L51),-IF(I51=" ",0,I51)-IF(AND(OR('депозитный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срока"),I50,0)+M51-N51+IF('депозитный калькулятор'!$G$14="есть",0,-L51))))</f>
        <v xml:space="preserve"> </v>
      </c>
      <c r="P51" s="147" t="str">
        <f>IF(F51&gt;'депозитный калькулятор'!$D$8," ",IF(EOMONTH(F50,0)=F50,0,IF(G51&gt;='депозитный калькулятор'!$G$19,P50,P50+1)))</f>
        <v xml:space="preserve"> </v>
      </c>
      <c r="Q51" s="138" t="str">
        <f>IF(F51=" "," ",IF(AND(OR('депозитный калькулятор'!$G$7="30/365",'депозитный калькулятор'!$G$7="30/360"),AND(MONTH(F51)=2,EOMONTH(F51,0)=F51)),IF(DAY(F51)=28,3,2),1)*IF(G51&gt;='депозитный калькулятор'!$G$11,IF(AND('депозитный калькулятор'!$G$7="факт/факт",MOD(YEAR(F51),4)=0),G51*'депозитный калькулятор'!$D$11/366,G51*'депозитный калькулятор'!$G$8),0))</f>
        <v xml:space="preserve"> </v>
      </c>
      <c r="R51" s="148"/>
      <c r="S51" s="62" t="str">
        <f t="shared" ca="1" si="2"/>
        <v xml:space="preserve"> </v>
      </c>
      <c r="T51" s="149" t="str">
        <f ca="1">IF(S51=" "," ",IF('депозитный калькулятор'!$G$7="30/360",DAYS360(U50,IF(DAY(U51)=31,U51-1,U51))+IF(AND(MONTH(U51)=2,U51=EOMONTH(U51,0)),30-DAY(EOMONTH(U51,0)))+T50,VLOOKUP(S51,$C$22:$F$1023,2,0)))</f>
        <v xml:space="preserve"> </v>
      </c>
      <c r="U51" s="64" t="str">
        <f t="shared" ca="1" si="0"/>
        <v xml:space="preserve"> </v>
      </c>
      <c r="V51" s="150" t="str">
        <f t="shared" ca="1" si="3"/>
        <v xml:space="preserve"> </v>
      </c>
      <c r="W51" s="62" t="str">
        <f t="shared" ca="1" si="4"/>
        <v xml:space="preserve"> </v>
      </c>
      <c r="X51" s="141" t="str">
        <f ca="1">IF(S51=" "," ",IFERROR(VLOOKUP(U51,$F$23:$N$1023,7)+VLOOKUP(U51,$F$23:$N$1023,9)+IF(AND('депозитный калькулятор'!$G$13="нет",U51&lt;&gt;'депозитный калькулятор'!$D$8),VLOOKUP(U51,$F$23:$N$1023,4),0),0)+IF(U51='депозитный калькулятор'!$D$8,VLOOKUP(U51,$F$23:$N$1023,2)+VLOOKUP(U51,$F$23:$N$1023,4),0))</f>
        <v xml:space="preserve"> </v>
      </c>
      <c r="Y51" s="142" t="str">
        <f ca="1">IF(S51=" "," ",W51/(1+'депозитный калькулятор'!$K$8)^(T51/IF('депозитный калькулятор'!$G$7="30/360",360,365)))</f>
        <v xml:space="preserve"> </v>
      </c>
      <c r="Z51" s="142" t="str">
        <f ca="1">IF(S51=" "," ",X51/(1+'депозитный калькулятор'!$K$8)^(T51/IF('депозитный калькулятор'!$G$7="30/360",360,365)))</f>
        <v xml:space="preserve"> </v>
      </c>
      <c r="AA51" s="151"/>
      <c r="AB51" s="151"/>
      <c r="AC51" s="155"/>
      <c r="AD51" s="155"/>
      <c r="AF51" s="5"/>
    </row>
    <row r="52" spans="1:32" s="2" customFormat="1" ht="15.5" x14ac:dyDescent="0.35">
      <c r="A52" s="41" t="str">
        <f>IF(F52=" "," ",IF(OR('депозитный калькулятор'!$G$7="30/365",'депозитный калькулятор'!$G$7="30/360"),IF(AND(MONTH(F52)=2,DAY(F52)=DAY(EOMONTH(F52,0))),30-DAY(EOMONTH(F52,0)),IF(DAY(F52)=31,1," "))," "))</f>
        <v xml:space="preserve"> </v>
      </c>
      <c r="B52" s="130" t="str">
        <f t="shared" si="1"/>
        <v xml:space="preserve"> </v>
      </c>
      <c r="C52" s="130" t="str">
        <f>IF(OR(B52=0,B52=" ")," ",SUM($B$23:B52))</f>
        <v xml:space="preserve"> </v>
      </c>
      <c r="D52" s="62" t="str">
        <f>IF(D51=" "," ",IF(OR(F51='депозитный калькулятор'!$D$8,F51=" ")," ",D51+1))</f>
        <v xml:space="preserve"> </v>
      </c>
      <c r="E52" s="130" t="str">
        <f>IF(OR(F51='депозитный калькулятор'!$D$8,F51=" ")," ",IF(EOMONTH(F51,0)=F51,1,E51+1))</f>
        <v xml:space="preserve"> </v>
      </c>
      <c r="F52" s="64" t="str">
        <f>IF(F51=" "," ",IF(F51='депозитный калькулятор'!$D$8," ",F51+1))</f>
        <v xml:space="preserve"> </v>
      </c>
      <c r="G52" s="145" t="str">
        <f xml:space="preserve"> IF(F52&gt;'депозитный калькулятор'!$D$8," ",IF('депозитный калькулятор'!$G$13="есть",IF('депозитный калькулятор'!$G$14="есть",G51+IF(I51=" ",0,I51)-J52-K52+L52+M52-N52,G51+IF(I51=" ",0,I51)-J52-K52+M52-N52),IF('депозитный калькулятор'!$G$14="есть",G51-J52-K52+L52+M52-N52,G51-J52-K52+M52-N52)))</f>
        <v xml:space="preserve"> </v>
      </c>
      <c r="H52" s="133" t="str">
        <f>IF(F52&gt;'депозитный калькулятор'!$D$8," ",IF(AND(OR('депозитный калькулятор'!$G$7="30/365",'депозитный калькулятор'!$G$7="30/360"),AND(MONTH(F52)=2,EOMONTH(F52,0)=F52)),IF(DAY(F52)=28,3*G52*'депозитный калькулятор'!$G$8,2*G52*'депозитный калькулятор'!$G$8),IF(AND(OR('депозитный калькулятор'!$G$7="30/365",'депозитный калькулятор'!$G$7="30/360"),DAY(F52)=31)," ",IF(AND('депозитный калькулятор'!$G$7="факт/факт",MOD(YEAR(F52),4)=0),G52*'депозитный калькулятор'!$D$11/366,G52*'депозитный калькулятор'!$G$8))))</f>
        <v xml:space="preserve"> </v>
      </c>
      <c r="I52" s="134" t="str">
        <f ca="1">IF(F52=" "," ",IF('депозитный калькулятор'!$G$10="ежедневное",H52,IF(AND('депозитный калькулятор'!$G$10="еженедельное",WEEKDAY(F52,2)=7),SUM(OFFSET(H52,-6,0):H52),IF(AND('депозитный калькулятор'!$G$10="еженедельное",F52='депозитный калькулятор'!$D$8),SUM($H$23:H52)-SUM($I$23:I51),IF(AND('депозитный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недели",WEEKDAY(F52,2)=7),MIN(OFFSET(H52,-6,0):H52)*(COUNTIF(OFFSET(H52,-6,0):H52,"&gt;0")+SUMIF(OFFSET(A52,-WEEKDAY(F52,2),0):A52,"=2",OFFSET(A52,-WEEKDAY(F52,2),0):A52)),IF(AND('депозитный калькулятор'!$G$10="еженедельное, на минимальную сумму зафиксированную в течение недели",F52='депозитный калькулятор'!$D$8,WEEKDAY(F52,2)&lt;&gt;7),MIN(OFFSET(H52,-WEEKDAY(F52,2),0):H52)*(COUNTIF(OFFSET(H52,-WEEKDAY(F52,2)+1,0):H52,"&gt;0")+SUM(OFFSET(A52,-WEEKDAY(F52,2),0):A52)),IF(AND('депозитный калькулятор'!$G$10="ежемесячное (в конце месяца)",F52='депозитный калькулятор'!$D$8,EOMONTH(F52,0)&lt;&gt;F52),IF('депозитный калькулятор'!$F$1=1,$H$24,SUM($H$23:H52)-SUM($I$23:I51)),IF(AND('депозитный калькулятор'!$G$10="ежемесячное (в конце месяца)",EOMONTH(F52,0)=F52),SUM($H$23:H52)-SUM($I$23:I51),IF(AND('депозитный калькулятор'!$G$10="ежемесячное (по дням открытия вклада)",F52='депозитный калькулятор'!$D$8,DAY('депозитный калькулятор'!$D$7)&lt;&gt;DAY(F52)),IF('депозитный калькулятор'!$F$1=1,$H$24,SUM($H$23:H52)-SUM($I$23:I51)),IF(AND('депозитный калькулятор'!$G$10="ежемесячное (по дням открытия вклада)",DAY('депозитный калькулятор'!$D$7)=DAY(F52)),SUM($H$23:H52)-SUM($I$23:I51),IF(AND('депозитный калькулятор'!$G$10="ежемесячное, на минимальную сумму зафиксированную в течение месяца",F52='депозитный калькулятор'!$D$8,EOMONTH(F52,0)&lt;&gt;F52),IF('депозитный калькулятор'!$F$1=1,$H$24,IF(AND(OR('депозитный калькулятор'!$G$7="30/365",'депозитный калькулятор'!$G$7="30/360"),DAY(F52)=31),0,MIN(OFFSET(H52,-E52+1,0):H52)*(E52+SUMIF(OFFSET(A52,-E52+1,0):A52,"=2",OFFSET(A52,-E52+1,0):A52)))),IF(AND('депозитный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калькулятор'!$G$7="30/360"),DAY(EOMONTH(F52,0))=31),EOMONTH(F52,0)-1=F52,EOMONTH(F52,0)=F52)),IF(IF(AND(OR('депозитный калькулятор'!$G$7="30/365",'депозитный калькулятор'!$G$7="30/360"),DAY(EOMONTH($F$23,0))=31),F52=EOMONTH($F$23,0)-1,F52=EOMONTH($F$23,0)),MIN(OFFSET(H52,-(DAY(F52)-DAY($F$23)),0):H52)*E52,MIN(OFFSET(H52,-(DAY(F52)-1),0):H52)*IF(AND(OR('депозитный калькулятор'!$G$7="30/365",'депозитный калькулятор'!$G$7="30/360"),DAY(F52)&lt;30),30,DAY(F52))),IF(AND('депозитный калькулятор'!$G$10="ежемесячное, на средний остаток в течение месяца, при условии что остаток больше чем ограничение",F52='депозитный калькулятор'!$D$8,EOMONTH(F52,0)&lt;&gt;F52),IF('депозитный калькулятор'!$F$1=1,$H$24,SUM(OFFSET(Q52,-E52+1,0):Q52)),IF(AND('депозитный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калькулятор'!$G$7="30/360"),DAY(EOMONTH(F52,0))=31),EOMONTH(F52,0)-1=F52,EOMONTH(F52,0)=F52)),IF(IF(AND(OR('депозитный калькулятор'!$G$7="30/365",'депозитный калькулятор'!$G$7="30/360"),DAY(EOMONTH($F$24,0))=31),F52=EOMONTH($F$24,0)-1,F52=EOMONTH($F$24,0)),SUM(OFFSET(Q52,-E52+1,0):Q52),SUM(OFFSET(Q52,-E52+1,0):Q52)),IF('депозитный калькулятор'!$G$10="ежеквартальное",IF(F52&gt;'депозитный калькулятор'!$D$8," ",IF(AND(EOMONTH(F52,0)=F52,OR(MONTH(F52)=3,MONTH(F52)=6,MONTH(F52)=9,MONTH(F52)=12)),IF(EDATE(F52,-3)&lt;'депозитный калькулятор'!$D$7,SUM($H$23:H52),IF(MOD(YEAR(F52),4)=0,IF(AND(EOMONTH(F52,0)=F52,OR(MONTH(F52)=3,MONTH(F52)=6)),SUM(OFFSET(H52,-90,0):H52),IF(AND(EOMONTH(F52,0)=F52,OR(MONTH(F52)=9,MONTH(F52)=12)),SUM(OFFSET(H52,-91,0):H52))),IF(AND(EOMONTH(F52,0)=F52,MONTH(F52)=3),SUM(OFFSET(H52,-89,0):H52),IF(AND(EOMONTH(F52,0)=F52,MONTH(F52)=6),SUM(OFFSET(H52,-90,0):H52),IF(AND(EOMONTH(F52,0)=F52,OR(MONTH(F52)=9,MONTH(F52)=12)),SUM(OFFSET(H52,-91,0):H52)))))),IF(F52='депозитный калькулятор'!$D$8,SUM($H$23:H52)-SUM($I$23:I51),0))),IF('депозитный калькулятор'!$G$10="ежегодное",IF(F52&gt;'депозитный калькулятор'!$D$8," ",IF(F52='депозитный калькулятор'!$D$8,SUM($H$23:H52)-SUM($I$23:I51),IF(AND(EOMONTH(F52,0)=F52,MONTH(F52)=12),IF(MOD(YEAR(F51),4)=0,IF(F52-'депозитный калькулятор'!$D$7&lt;366,SUM($H$23:H52),SUM(OFFSET(H52,-365,0):H52)),IF(F52-'депозитный калькулятор'!$D$7&lt;365,SUM($H$23:H52),SUM(OFFSET(H52,-364,0):H52))),0))),IF(AND('депозитный калькулятор'!$G$10="в конце срока",'депозитный калькулятор'!$D$8=F52),SUM($H$23:H52),0))))))))))))))))))</f>
        <v xml:space="preserve"> </v>
      </c>
      <c r="J52" s="59" t="str">
        <f>IF(F52&gt;'депозитный калькулятор'!$D$8," ",IF('депозитный калькулятор'!$G$16="нет",0,IF(AND('депозитный калькулятор'!$G$17="разовая (в конце срока)",F52='депозитный калькулятор'!$D$8),'депозитный калькулятор'!$G$18,IF(AND('депозитный калькулятор'!$G$17="ежемесячная",EOMONTH(F51,0)=F51),'депозитный калькулятор'!$G$18,IF(AND('депозитный калькулятор'!$G$17="ежегодная",DAY(F51)=31,MONTH(F51)=12),'депозитный калькулятор'!$G$18,IF(AND('депозитный калькулятор'!$G$17="ежемесячная в зависимости от остатка",EOMONTH(F51,0)=F51,P51&gt;0),'депозитный калькулятор'!$G$18,IF(AND('депозитный калькулятор'!$G$17="ежегодная в зависимости от остатка",DAY(F51)=31,MONTH(F51)=12,P51&gt;0),'депозитный калькулятор'!$G$18,0)))))))</f>
        <v xml:space="preserve"> </v>
      </c>
      <c r="K52" s="135" t="str">
        <f>IF($F52=" "," ",IFERROR(VLOOKUP($F52,'депозитный калькулятор'!$B$26:$F$70,2,0),0))</f>
        <v xml:space="preserve"> </v>
      </c>
      <c r="L52" s="135" t="str">
        <f>IF($F52=" "," ",IFERROR(VLOOKUP($F52,'депозитный калькулятор'!$B$26:$F$70,3,0),0))</f>
        <v xml:space="preserve"> </v>
      </c>
      <c r="M52" s="135" t="str">
        <f>IF($F52=" "," ",IFERROR(VLOOKUP($F52,'депозитный калькулятор'!$B$26:$F$70,4,0),0))</f>
        <v xml:space="preserve"> </v>
      </c>
      <c r="N52" s="135" t="str">
        <f>IF($F52=" "," ",IFERROR(VLOOKUP($F52,'депозитный калькулятор'!$B$26:$F$70,5,0),0))</f>
        <v xml:space="preserve"> </v>
      </c>
      <c r="O52" s="146" t="str">
        <f>IF(F52&gt;'депозитный калькулятор'!$D$8," ",IF(F52='депозитный калькулятор'!$D$8,IF(AND($F$24='депозитный калькулятор'!$D$8,'депозитный калькулятор'!$G$13="нет"),-G52-IF(I52=" ",0,I52)-IF(AND(OR('депозитный калькулятор'!$G$7="30/365",'депозитный калькулятор'!$G$7="30/360"),'депозитный калькулятор'!$G$10="в начале срока"),I51,0)-L52+M52-N52,-G52-IF(I52=" ",0,I52)-L52+M52-N52),IF('депозитный калькулятор'!$G$13="есть",M52-N52+IF('депозитный калькулятор'!$G$14="есть",0,-L52),-IF(I52=" ",0,I52)-IF(AND(OR('депозитный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срока"),I51,0)+M52-N52+IF('депозитный калькулятор'!$G$14="есть",0,-L52))))</f>
        <v xml:space="preserve"> </v>
      </c>
      <c r="P52" s="147" t="str">
        <f>IF(F52&gt;'депозитный калькулятор'!$D$8," ",IF(EOMONTH(F51,0)=F51,0,IF(G52&gt;='депозитный калькулятор'!$G$19,P51,P51+1)))</f>
        <v xml:space="preserve"> </v>
      </c>
      <c r="Q52" s="138" t="str">
        <f>IF(F52=" "," ",IF(AND(OR('депозитный калькулятор'!$G$7="30/365",'депозитный калькулятор'!$G$7="30/360"),AND(MONTH(F52)=2,EOMONTH(F52,0)=F52)),IF(DAY(F52)=28,3,2),1)*IF(G52&gt;='депозитный калькулятор'!$G$11,IF(AND('депозитный калькулятор'!$G$7="факт/факт",MOD(YEAR(F52),4)=0),G52*'депозитный калькулятор'!$D$11/366,G52*'депозитный калькулятор'!$G$8),0))</f>
        <v xml:space="preserve"> </v>
      </c>
      <c r="R52" s="148"/>
      <c r="S52" s="62" t="str">
        <f t="shared" ca="1" si="2"/>
        <v xml:space="preserve"> </v>
      </c>
      <c r="T52" s="149" t="str">
        <f ca="1">IF(S52=" "," ",IF('депозитный калькулятор'!$G$7="30/360",DAYS360(U51,IF(DAY(U52)=31,U52-1,U52))+IF(AND(MONTH(U52)=2,U52=EOMONTH(U52,0)),30-DAY(EOMONTH(U52,0)))+T51,VLOOKUP(S52,$C$22:$F$1023,2,0)))</f>
        <v xml:space="preserve"> </v>
      </c>
      <c r="U52" s="64" t="str">
        <f t="shared" ca="1" si="0"/>
        <v xml:space="preserve"> </v>
      </c>
      <c r="V52" s="150" t="str">
        <f t="shared" ca="1" si="3"/>
        <v xml:space="preserve"> </v>
      </c>
      <c r="W52" s="62" t="str">
        <f t="shared" ca="1" si="4"/>
        <v xml:space="preserve"> </v>
      </c>
      <c r="X52" s="141" t="str">
        <f ca="1">IF(S52=" "," ",IFERROR(VLOOKUP(U52,$F$23:$N$1023,7)+VLOOKUP(U52,$F$23:$N$1023,9)+IF(AND('депозитный калькулятор'!$G$13="нет",U52&lt;&gt;'депозитный калькулятор'!$D$8),VLOOKUP(U52,$F$23:$N$1023,4),0),0)+IF(U52='депозитный калькулятор'!$D$8,VLOOKUP(U52,$F$23:$N$1023,2)+VLOOKUP(U52,$F$23:$N$1023,4),0))</f>
        <v xml:space="preserve"> </v>
      </c>
      <c r="Y52" s="142" t="str">
        <f ca="1">IF(S52=" "," ",W52/(1+'депозитный калькулятор'!$K$8)^(T52/IF('депозитный калькулятор'!$G$7="30/360",360,365)))</f>
        <v xml:space="preserve"> </v>
      </c>
      <c r="Z52" s="142" t="str">
        <f ca="1">IF(S52=" "," ",X52/(1+'депозитный калькулятор'!$K$8)^(T52/IF('депозитный калькулятор'!$G$7="30/360",360,365)))</f>
        <v xml:space="preserve"> </v>
      </c>
      <c r="AA52" s="151"/>
      <c r="AB52" s="151"/>
      <c r="AC52" s="155"/>
      <c r="AD52" s="155"/>
      <c r="AF52" s="5"/>
    </row>
    <row r="53" spans="1:32" s="2" customFormat="1" ht="15.5" x14ac:dyDescent="0.35">
      <c r="A53" s="41" t="str">
        <f>IF(F53=" "," ",IF(OR('депозитный калькулятор'!$G$7="30/365",'депозитный калькулятор'!$G$7="30/360"),IF(AND(MONTH(F53)=2,DAY(F53)=DAY(EOMONTH(F53,0))),30-DAY(EOMONTH(F53,0)),IF(DAY(F53)=31,1," "))," "))</f>
        <v xml:space="preserve"> </v>
      </c>
      <c r="B53" s="130" t="str">
        <f t="shared" si="1"/>
        <v xml:space="preserve"> </v>
      </c>
      <c r="C53" s="130" t="str">
        <f>IF(OR(B53=0,B53=" ")," ",SUM($B$23:B53))</f>
        <v xml:space="preserve"> </v>
      </c>
      <c r="D53" s="62" t="str">
        <f>IF(D52=" "," ",IF(OR(F52='депозитный калькулятор'!$D$8,F52=" ")," ",D52+1))</f>
        <v xml:space="preserve"> </v>
      </c>
      <c r="E53" s="130" t="str">
        <f>IF(OR(F52='депозитный калькулятор'!$D$8,F52=" ")," ",IF(EOMONTH(F52,0)=F52,1,E52+1))</f>
        <v xml:space="preserve"> </v>
      </c>
      <c r="F53" s="64" t="str">
        <f>IF(F52=" "," ",IF(F52='депозитный калькулятор'!$D$8," ",F52+1))</f>
        <v xml:space="preserve"> </v>
      </c>
      <c r="G53" s="145" t="str">
        <f xml:space="preserve"> IF(F53&gt;'депозитный калькулятор'!$D$8," ",IF('депозитный калькулятор'!$G$13="есть",IF('депозитный калькулятор'!$G$14="есть",G52+IF(I52=" ",0,I52)-J53-K53+L53+M53-N53,G52+IF(I52=" ",0,I52)-J53-K53+M53-N53),IF('депозитный калькулятор'!$G$14="есть",G52-J53-K53+L53+M53-N53,G52-J53-K53+M53-N53)))</f>
        <v xml:space="preserve"> </v>
      </c>
      <c r="H53" s="133" t="str">
        <f>IF(F53&gt;'депозитный калькулятор'!$D$8," ",IF(AND(OR('депозитный калькулятор'!$G$7="30/365",'депозитный калькулятор'!$G$7="30/360"),AND(MONTH(F53)=2,EOMONTH(F53,0)=F53)),IF(DAY(F53)=28,3*G53*'депозитный калькулятор'!$G$8,2*G53*'депозитный калькулятор'!$G$8),IF(AND(OR('депозитный калькулятор'!$G$7="30/365",'депозитный калькулятор'!$G$7="30/360"),DAY(F53)=31)," ",IF(AND('депозитный калькулятор'!$G$7="факт/факт",MOD(YEAR(F53),4)=0),G53*'депозитный калькулятор'!$D$11/366,G53*'депозитный калькулятор'!$G$8))))</f>
        <v xml:space="preserve"> </v>
      </c>
      <c r="I53" s="134" t="str">
        <f ca="1">IF(F53=" "," ",IF('депозитный калькулятор'!$G$10="ежедневное",H53,IF(AND('депозитный калькулятор'!$G$10="еженедельное",WEEKDAY(F53,2)=7),SUM(OFFSET(H53,-6,0):H53),IF(AND('депозитный калькулятор'!$G$10="еженедельное",F53='депозитный калькулятор'!$D$8),SUM($H$23:H53)-SUM($I$23:I52),IF(AND('депозитный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недели",WEEKDAY(F53,2)=7),MIN(OFFSET(H53,-6,0):H53)*(COUNTIF(OFFSET(H53,-6,0):H53,"&gt;0")+SUMIF(OFFSET(A53,-WEEKDAY(F53,2),0):A53,"=2",OFFSET(A53,-WEEKDAY(F53,2),0):A53)),IF(AND('депозитный калькулятор'!$G$10="еженедельное, на минимальную сумму зафиксированную в течение недели",F53='депозитный калькулятор'!$D$8,WEEKDAY(F53,2)&lt;&gt;7),MIN(OFFSET(H53,-WEEKDAY(F53,2),0):H53)*(COUNTIF(OFFSET(H53,-WEEKDAY(F53,2)+1,0):H53,"&gt;0")+SUM(OFFSET(A53,-WEEKDAY(F53,2),0):A53)),IF(AND('депозитный калькулятор'!$G$10="ежемесячное (в конце месяца)",F53='депозитный калькулятор'!$D$8,EOMONTH(F53,0)&lt;&gt;F53),IF('депозитный калькулятор'!$F$1=1,$H$24,SUM($H$23:H53)-SUM($I$23:I52)),IF(AND('депозитный калькулятор'!$G$10="ежемесячное (в конце месяца)",EOMONTH(F53,0)=F53),SUM($H$23:H53)-SUM($I$23:I52),IF(AND('депозитный калькулятор'!$G$10="ежемесячное (по дням открытия вклада)",F53='депозитный калькулятор'!$D$8,DAY('депозитный калькулятор'!$D$7)&lt;&gt;DAY(F53)),IF('депозитный калькулятор'!$F$1=1,$H$24,SUM($H$23:H53)-SUM($I$23:I52)),IF(AND('депозитный калькулятор'!$G$10="ежемесячное (по дням открытия вклада)",DAY('депозитный калькулятор'!$D$7)=DAY(F53)),SUM($H$23:H53)-SUM($I$23:I52),IF(AND('депозитный калькулятор'!$G$10="ежемесячное, на минимальную сумму зафиксированную в течение месяца",F53='депозитный калькулятор'!$D$8,EOMONTH(F53,0)&lt;&gt;F53),IF('депозитный калькулятор'!$F$1=1,$H$24,IF(AND(OR('депозитный калькулятор'!$G$7="30/365",'депозитный калькулятор'!$G$7="30/360"),DAY(F53)=31),0,MIN(OFFSET(H53,-E53+1,0):H53)*(E53+SUMIF(OFFSET(A53,-E53+1,0):A53,"=2",OFFSET(A53,-E53+1,0):A53)))),IF(AND('депозитный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калькулятор'!$G$7="30/360"),DAY(EOMONTH(F53,0))=31),EOMONTH(F53,0)-1=F53,EOMONTH(F53,0)=F53)),IF(IF(AND(OR('депозитный калькулятор'!$G$7="30/365",'депозитный калькулятор'!$G$7="30/360"),DAY(EOMONTH($F$23,0))=31),F53=EOMONTH($F$23,0)-1,F53=EOMONTH($F$23,0)),MIN(OFFSET(H53,-(DAY(F53)-DAY($F$23)),0):H53)*E53,MIN(OFFSET(H53,-(DAY(F53)-1),0):H53)*IF(AND(OR('депозитный калькулятор'!$G$7="30/365",'депозитный калькулятор'!$G$7="30/360"),DAY(F53)&lt;30),30,DAY(F53))),IF(AND('депозитный калькулятор'!$G$10="ежемесячное, на средний остаток в течение месяца, при условии что остаток больше чем ограничение",F53='депозитный калькулятор'!$D$8,EOMONTH(F53,0)&lt;&gt;F53),IF('депозитный калькулятор'!$F$1=1,$H$24,SUM(OFFSET(Q53,-E53+1,0):Q53)),IF(AND('депозитный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калькулятор'!$G$7="30/360"),DAY(EOMONTH(F53,0))=31),EOMONTH(F53,0)-1=F53,EOMONTH(F53,0)=F53)),IF(IF(AND(OR('депозитный калькулятор'!$G$7="30/365",'депозитный калькулятор'!$G$7="30/360"),DAY(EOMONTH($F$24,0))=31),F53=EOMONTH($F$24,0)-1,F53=EOMONTH($F$24,0)),SUM(OFFSET(Q53,-E53+1,0):Q53),SUM(OFFSET(Q53,-E53+1,0):Q53)),IF('депозитный калькулятор'!$G$10="ежеквартальное",IF(F53&gt;'депозитный калькулятор'!$D$8," ",IF(AND(EOMONTH(F53,0)=F53,OR(MONTH(F53)=3,MONTH(F53)=6,MONTH(F53)=9,MONTH(F53)=12)),IF(EDATE(F53,-3)&lt;'депозитный калькулятор'!$D$7,SUM($H$23:H53),IF(MOD(YEAR(F53),4)=0,IF(AND(EOMONTH(F53,0)=F53,OR(MONTH(F53)=3,MONTH(F53)=6)),SUM(OFFSET(H53,-90,0):H53),IF(AND(EOMONTH(F53,0)=F53,OR(MONTH(F53)=9,MONTH(F53)=12)),SUM(OFFSET(H53,-91,0):H53))),IF(AND(EOMONTH(F53,0)=F53,MONTH(F53)=3),SUM(OFFSET(H53,-89,0):H53),IF(AND(EOMONTH(F53,0)=F53,MONTH(F53)=6),SUM(OFFSET(H53,-90,0):H53),IF(AND(EOMONTH(F53,0)=F53,OR(MONTH(F53)=9,MONTH(F53)=12)),SUM(OFFSET(H53,-91,0):H53)))))),IF(F53='депозитный калькулятор'!$D$8,SUM($H$23:H53)-SUM($I$23:I52),0))),IF('депозитный калькулятор'!$G$10="ежегодное",IF(F53&gt;'депозитный калькулятор'!$D$8," ",IF(F53='депозитный калькулятор'!$D$8,SUM($H$23:H53)-SUM($I$23:I52),IF(AND(EOMONTH(F53,0)=F53,MONTH(F53)=12),IF(MOD(YEAR(F52),4)=0,IF(F53-'депозитный калькулятор'!$D$7&lt;366,SUM($H$23:H53),SUM(OFFSET(H53,-365,0):H53)),IF(F53-'депозитный калькулятор'!$D$7&lt;365,SUM($H$23:H53),SUM(OFFSET(H53,-364,0):H53))),0))),IF(AND('депозитный калькулятор'!$G$10="в конце срока",'депозитный калькулятор'!$D$8=F53),SUM($H$23:H53),0))))))))))))))))))</f>
        <v xml:space="preserve"> </v>
      </c>
      <c r="J53" s="59" t="str">
        <f>IF(F53&gt;'депозитный калькулятор'!$D$8," ",IF('депозитный калькулятор'!$G$16="нет",0,IF(AND('депозитный калькулятор'!$G$17="разовая (в конце срока)",F53='депозитный калькулятор'!$D$8),'депозитный калькулятор'!$G$18,IF(AND('депозитный калькулятор'!$G$17="ежемесячная",EOMONTH(F52,0)=F52),'депозитный калькулятор'!$G$18,IF(AND('депозитный калькулятор'!$G$17="ежегодная",DAY(F52)=31,MONTH(F52)=12),'депозитный калькулятор'!$G$18,IF(AND('депозитный калькулятор'!$G$17="ежемесячная в зависимости от остатка",EOMONTH(F52,0)=F52,P52&gt;0),'депозитный калькулятор'!$G$18,IF(AND('депозитный калькулятор'!$G$17="ежегодная в зависимости от остатка",DAY(F52)=31,MONTH(F52)=12,P52&gt;0),'депозитный калькулятор'!$G$18,0)))))))</f>
        <v xml:space="preserve"> </v>
      </c>
      <c r="K53" s="135" t="str">
        <f>IF($F53=" "," ",IFERROR(VLOOKUP($F53,'депозитный калькулятор'!$B$26:$F$70,2,0),0))</f>
        <v xml:space="preserve"> </v>
      </c>
      <c r="L53" s="135" t="str">
        <f>IF($F53=" "," ",IFERROR(VLOOKUP($F53,'депозитный калькулятор'!$B$26:$F$70,3,0),0))</f>
        <v xml:space="preserve"> </v>
      </c>
      <c r="M53" s="135" t="str">
        <f>IF($F53=" "," ",IFERROR(VLOOKUP($F53,'депозитный калькулятор'!$B$26:$F$70,4,0),0))</f>
        <v xml:space="preserve"> </v>
      </c>
      <c r="N53" s="135" t="str">
        <f>IF($F53=" "," ",IFERROR(VLOOKUP($F53,'депозитный калькулятор'!$B$26:$F$70,5,0),0))</f>
        <v xml:space="preserve"> </v>
      </c>
      <c r="O53" s="146" t="str">
        <f>IF(F53&gt;'депозитный калькулятор'!$D$8," ",IF(F53='депозитный калькулятор'!$D$8,IF(AND($F$24='депозитный калькулятор'!$D$8,'депозитный калькулятор'!$G$13="нет"),-G53-IF(I53=" ",0,I53)-IF(AND(OR('депозитный калькулятор'!$G$7="30/365",'депозитный калькулятор'!$G$7="30/360"),'депозитный калькулятор'!$G$10="в начале срока"),I52,0)-L53+M53-N53,-G53-IF(I53=" ",0,I53)-L53+M53-N53),IF('депозитный калькулятор'!$G$13="есть",M53-N53+IF('депозитный калькулятор'!$G$14="есть",0,-L53),-IF(I53=" ",0,I53)-IF(AND(OR('депозитный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срока"),I52,0)+M53-N53+IF('депозитный калькулятор'!$G$14="есть",0,-L53))))</f>
        <v xml:space="preserve"> </v>
      </c>
      <c r="P53" s="147" t="str">
        <f>IF(F53&gt;'депозитный калькулятор'!$D$8," ",IF(EOMONTH(F52,0)=F52,0,IF(G53&gt;='депозитный калькулятор'!$G$19,P52,P52+1)))</f>
        <v xml:space="preserve"> </v>
      </c>
      <c r="Q53" s="138" t="str">
        <f>IF(F53=" "," ",IF(AND(OR('депозитный калькулятор'!$G$7="30/365",'депозитный калькулятор'!$G$7="30/360"),AND(MONTH(F53)=2,EOMONTH(F53,0)=F53)),IF(DAY(F53)=28,3,2),1)*IF(G53&gt;='депозитный калькулятор'!$G$11,IF(AND('депозитный калькулятор'!$G$7="факт/факт",MOD(YEAR(F53),4)=0),G53*'депозитный калькулятор'!$D$11/366,G53*'депозитный калькулятор'!$G$8),0))</f>
        <v xml:space="preserve"> </v>
      </c>
      <c r="R53" s="148"/>
      <c r="S53" s="62" t="str">
        <f t="shared" ca="1" si="2"/>
        <v xml:space="preserve"> </v>
      </c>
      <c r="T53" s="149" t="str">
        <f ca="1">IF(S53=" "," ",IF('депозитный калькулятор'!$G$7="30/360",DAYS360(U52,IF(DAY(U53)=31,U53-1,U53))+IF(AND(MONTH(U53)=2,U53=EOMONTH(U53,0)),30-DAY(EOMONTH(U53,0)))+T52,VLOOKUP(S53,$C$22:$F$1023,2,0)))</f>
        <v xml:space="preserve"> </v>
      </c>
      <c r="U53" s="64" t="str">
        <f t="shared" ca="1" si="0"/>
        <v xml:space="preserve"> </v>
      </c>
      <c r="V53" s="150" t="str">
        <f t="shared" ca="1" si="3"/>
        <v xml:space="preserve"> </v>
      </c>
      <c r="W53" s="62" t="str">
        <f t="shared" ca="1" si="4"/>
        <v xml:space="preserve"> </v>
      </c>
      <c r="X53" s="141" t="str">
        <f ca="1">IF(S53=" "," ",IFERROR(VLOOKUP(U53,$F$23:$N$1023,7)+VLOOKUP(U53,$F$23:$N$1023,9)+IF(AND('депозитный калькулятор'!$G$13="нет",U53&lt;&gt;'депозитный калькулятор'!$D$8),VLOOKUP(U53,$F$23:$N$1023,4),0),0)+IF(U53='депозитный калькулятор'!$D$8,VLOOKUP(U53,$F$23:$N$1023,2)+VLOOKUP(U53,$F$23:$N$1023,4),0))</f>
        <v xml:space="preserve"> </v>
      </c>
      <c r="Y53" s="142" t="str">
        <f ca="1">IF(S53=" "," ",W53/(1+'депозитный калькулятор'!$K$8)^(T53/IF('депозитный калькулятор'!$G$7="30/360",360,365)))</f>
        <v xml:space="preserve"> </v>
      </c>
      <c r="Z53" s="142" t="str">
        <f ca="1">IF(S53=" "," ",X53/(1+'депозитный калькулятор'!$K$8)^(T53/IF('депозитный калькулятор'!$G$7="30/360",360,365)))</f>
        <v xml:space="preserve"> </v>
      </c>
      <c r="AA53" s="151"/>
      <c r="AB53" s="151"/>
      <c r="AC53" s="155"/>
      <c r="AD53" s="155"/>
      <c r="AF53" s="5"/>
    </row>
    <row r="54" spans="1:32" s="2" customFormat="1" ht="15.5" x14ac:dyDescent="0.35">
      <c r="A54" s="41" t="str">
        <f>IF(F54=" "," ",IF(OR('депозитный калькулятор'!$G$7="30/365",'депозитный калькулятор'!$G$7="30/360"),IF(AND(MONTH(F54)=2,DAY(F54)=DAY(EOMONTH(F54,0))),30-DAY(EOMONTH(F54,0)),IF(DAY(F54)=31,1," "))," "))</f>
        <v xml:space="preserve"> </v>
      </c>
      <c r="B54" s="130" t="str">
        <f t="shared" si="1"/>
        <v xml:space="preserve"> </v>
      </c>
      <c r="C54" s="130" t="str">
        <f>IF(OR(B54=0,B54=" ")," ",SUM($B$23:B54))</f>
        <v xml:space="preserve"> </v>
      </c>
      <c r="D54" s="62" t="str">
        <f>IF(D53=" "," ",IF(OR(F53='депозитный калькулятор'!$D$8,F53=" ")," ",D53+1))</f>
        <v xml:space="preserve"> </v>
      </c>
      <c r="E54" s="130" t="str">
        <f>IF(OR(F53='депозитный калькулятор'!$D$8,F53=" ")," ",IF(EOMONTH(F53,0)=F53,1,E53+1))</f>
        <v xml:space="preserve"> </v>
      </c>
      <c r="F54" s="64" t="str">
        <f>IF(F53=" "," ",IF(F53='депозитный калькулятор'!$D$8," ",F53+1))</f>
        <v xml:space="preserve"> </v>
      </c>
      <c r="G54" s="145" t="str">
        <f xml:space="preserve"> IF(F54&gt;'депозитный калькулятор'!$D$8," ",IF('депозитный калькулятор'!$G$13="есть",IF('депозитный калькулятор'!$G$14="есть",G53+IF(I53=" ",0,I53)-J54-K54+L54+M54-N54,G53+IF(I53=" ",0,I53)-J54-K54+M54-N54),IF('депозитный калькулятор'!$G$14="есть",G53-J54-K54+L54+M54-N54,G53-J54-K54+M54-N54)))</f>
        <v xml:space="preserve"> </v>
      </c>
      <c r="H54" s="133" t="str">
        <f>IF(F54&gt;'депозитный калькулятор'!$D$8," ",IF(AND(OR('депозитный калькулятор'!$G$7="30/365",'депозитный калькулятор'!$G$7="30/360"),AND(MONTH(F54)=2,EOMONTH(F54,0)=F54)),IF(DAY(F54)=28,3*G54*'депозитный калькулятор'!$G$8,2*G54*'депозитный калькулятор'!$G$8),IF(AND(OR('депозитный калькулятор'!$G$7="30/365",'депозитный калькулятор'!$G$7="30/360"),DAY(F54)=31)," ",IF(AND('депозитный калькулятор'!$G$7="факт/факт",MOD(YEAR(F54),4)=0),G54*'депозитный калькулятор'!$D$11/366,G54*'депозитный калькулятор'!$G$8))))</f>
        <v xml:space="preserve"> </v>
      </c>
      <c r="I54" s="134" t="str">
        <f ca="1">IF(F54=" "," ",IF('депозитный калькулятор'!$G$10="ежедневное",H54,IF(AND('депозитный калькулятор'!$G$10="еженедельное",WEEKDAY(F54,2)=7),SUM(OFFSET(H54,-6,0):H54),IF(AND('депозитный калькулятор'!$G$10="еженедельное",F54='депозитный калькулятор'!$D$8),SUM($H$23:H54)-SUM($I$23:I53),IF(AND('депозитный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недели",WEEKDAY(F54,2)=7),MIN(OFFSET(H54,-6,0):H54)*(COUNTIF(OFFSET(H54,-6,0):H54,"&gt;0")+SUMIF(OFFSET(A54,-WEEKDAY(F54,2),0):A54,"=2",OFFSET(A54,-WEEKDAY(F54,2),0):A54)),IF(AND('депозитный калькулятор'!$G$10="еженедельное, на минимальную сумму зафиксированную в течение недели",F54='депозитный калькулятор'!$D$8,WEEKDAY(F54,2)&lt;&gt;7),MIN(OFFSET(H54,-WEEKDAY(F54,2),0):H54)*(COUNTIF(OFFSET(H54,-WEEKDAY(F54,2)+1,0):H54,"&gt;0")+SUM(OFFSET(A54,-WEEKDAY(F54,2),0):A54)),IF(AND('депозитный калькулятор'!$G$10="ежемесячное (в конце месяца)",F54='депозитный калькулятор'!$D$8,EOMONTH(F54,0)&lt;&gt;F54),IF('депозитный калькулятор'!$F$1=1,$H$24,SUM($H$23:H54)-SUM($I$23:I53)),IF(AND('депозитный калькулятор'!$G$10="ежемесячное (в конце месяца)",EOMONTH(F54,0)=F54),SUM($H$23:H54)-SUM($I$23:I53),IF(AND('депозитный калькулятор'!$G$10="ежемесячное (по дням открытия вклада)",F54='депозитный калькулятор'!$D$8,DAY('депозитный калькулятор'!$D$7)&lt;&gt;DAY(F54)),IF('депозитный калькулятор'!$F$1=1,$H$24,SUM($H$23:H54)-SUM($I$23:I53)),IF(AND('депозитный калькулятор'!$G$10="ежемесячное (по дням открытия вклада)",DAY('депозитный калькулятор'!$D$7)=DAY(F54)),SUM($H$23:H54)-SUM($I$23:I53),IF(AND('депозитный калькулятор'!$G$10="ежемесячное, на минимальную сумму зафиксированную в течение месяца",F54='депозитный калькулятор'!$D$8,EOMONTH(F54,0)&lt;&gt;F54),IF('депозитный калькулятор'!$F$1=1,$H$24,IF(AND(OR('депозитный калькулятор'!$G$7="30/365",'депозитный калькулятор'!$G$7="30/360"),DAY(F54)=31),0,MIN(OFFSET(H54,-E54+1,0):H54)*(E54+SUMIF(OFFSET(A54,-E54+1,0):A54,"=2",OFFSET(A54,-E54+1,0):A54)))),IF(AND('депозитный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калькулятор'!$G$7="30/360"),DAY(EOMONTH(F54,0))=31),EOMONTH(F54,0)-1=F54,EOMONTH(F54,0)=F54)),IF(IF(AND(OR('депозитный калькулятор'!$G$7="30/365",'депозитный калькулятор'!$G$7="30/360"),DAY(EOMONTH($F$23,0))=31),F54=EOMONTH($F$23,0)-1,F54=EOMONTH($F$23,0)),MIN(OFFSET(H54,-(DAY(F54)-DAY($F$23)),0):H54)*E54,MIN(OFFSET(H54,-(DAY(F54)-1),0):H54)*IF(AND(OR('депозитный калькулятор'!$G$7="30/365",'депозитный калькулятор'!$G$7="30/360"),DAY(F54)&lt;30),30,DAY(F54))),IF(AND('депозитный калькулятор'!$G$10="ежемесячное, на средний остаток в течение месяца, при условии что остаток больше чем ограничение",F54='депозитный калькулятор'!$D$8,EOMONTH(F54,0)&lt;&gt;F54),IF('депозитный калькулятор'!$F$1=1,$H$24,SUM(OFFSET(Q54,-E54+1,0):Q54)),IF(AND('депозитный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калькулятор'!$G$7="30/360"),DAY(EOMONTH(F54,0))=31),EOMONTH(F54,0)-1=F54,EOMONTH(F54,0)=F54)),IF(IF(AND(OR('депозитный калькулятор'!$G$7="30/365",'депозитный калькулятор'!$G$7="30/360"),DAY(EOMONTH($F$24,0))=31),F54=EOMONTH($F$24,0)-1,F54=EOMONTH($F$24,0)),SUM(OFFSET(Q54,-E54+1,0):Q54),SUM(OFFSET(Q54,-E54+1,0):Q54)),IF('депозитный калькулятор'!$G$10="ежеквартальное",IF(F54&gt;'депозитный калькулятор'!$D$8," ",IF(AND(EOMONTH(F54,0)=F54,OR(MONTH(F54)=3,MONTH(F54)=6,MONTH(F54)=9,MONTH(F54)=12)),IF(EDATE(F54,-3)&lt;'депозитный калькулятор'!$D$7,SUM($H$23:H54),IF(MOD(YEAR(F54),4)=0,IF(AND(EOMONTH(F54,0)=F54,OR(MONTH(F54)=3,MONTH(F54)=6)),SUM(OFFSET(H54,-90,0):H54),IF(AND(EOMONTH(F54,0)=F54,OR(MONTH(F54)=9,MONTH(F54)=12)),SUM(OFFSET(H54,-91,0):H54))),IF(AND(EOMONTH(F54,0)=F54,MONTH(F54)=3),SUM(OFFSET(H54,-89,0):H54),IF(AND(EOMONTH(F54,0)=F54,MONTH(F54)=6),SUM(OFFSET(H54,-90,0):H54),IF(AND(EOMONTH(F54,0)=F54,OR(MONTH(F54)=9,MONTH(F54)=12)),SUM(OFFSET(H54,-91,0):H54)))))),IF(F54='депозитный калькулятор'!$D$8,SUM($H$23:H54)-SUM($I$23:I53),0))),IF('депозитный калькулятор'!$G$10="ежегодное",IF(F54&gt;'депозитный калькулятор'!$D$8," ",IF(F54='депозитный калькулятор'!$D$8,SUM($H$23:H54)-SUM($I$23:I53),IF(AND(EOMONTH(F54,0)=F54,MONTH(F54)=12),IF(MOD(YEAR(F53),4)=0,IF(F54-'депозитный калькулятор'!$D$7&lt;366,SUM($H$23:H54),SUM(OFFSET(H54,-365,0):H54)),IF(F54-'депозитный калькулятор'!$D$7&lt;365,SUM($H$23:H54),SUM(OFFSET(H54,-364,0):H54))),0))),IF(AND('депозитный калькулятор'!$G$10="в конце срока",'депозитный калькулятор'!$D$8=F54),SUM($H$23:H54),0))))))))))))))))))</f>
        <v xml:space="preserve"> </v>
      </c>
      <c r="J54" s="59" t="str">
        <f>IF(F54&gt;'депозитный калькулятор'!$D$8," ",IF('депозитный калькулятор'!$G$16="нет",0,IF(AND('депозитный калькулятор'!$G$17="разовая (в конце срока)",F54='депозитный калькулятор'!$D$8),'депозитный калькулятор'!$G$18,IF(AND('депозитный калькулятор'!$G$17="ежемесячная",EOMONTH(F53,0)=F53),'депозитный калькулятор'!$G$18,IF(AND('депозитный калькулятор'!$G$17="ежегодная",DAY(F53)=31,MONTH(F53)=12),'депозитный калькулятор'!$G$18,IF(AND('депозитный калькулятор'!$G$17="ежемесячная в зависимости от остатка",EOMONTH(F53,0)=F53,P53&gt;0),'депозитный калькулятор'!$G$18,IF(AND('депозитный калькулятор'!$G$17="ежегодная в зависимости от остатка",DAY(F53)=31,MONTH(F53)=12,P53&gt;0),'депозитный калькулятор'!$G$18,0)))))))</f>
        <v xml:space="preserve"> </v>
      </c>
      <c r="K54" s="135" t="str">
        <f>IF($F54=" "," ",IFERROR(VLOOKUP($F54,'депозитный калькулятор'!$B$26:$F$70,2,0),0))</f>
        <v xml:space="preserve"> </v>
      </c>
      <c r="L54" s="135" t="str">
        <f>IF($F54=" "," ",IFERROR(VLOOKUP($F54,'депозитный калькулятор'!$B$26:$F$70,3,0),0))</f>
        <v xml:space="preserve"> </v>
      </c>
      <c r="M54" s="135" t="str">
        <f>IF($F54=" "," ",IFERROR(VLOOKUP($F54,'депозитный калькулятор'!$B$26:$F$70,4,0),0))</f>
        <v xml:space="preserve"> </v>
      </c>
      <c r="N54" s="135" t="str">
        <f>IF($F54=" "," ",IFERROR(VLOOKUP($F54,'депозитный калькулятор'!$B$26:$F$70,5,0),0))</f>
        <v xml:space="preserve"> </v>
      </c>
      <c r="O54" s="146" t="str">
        <f>IF(F54&gt;'депозитный калькулятор'!$D$8," ",IF(F54='депозитный калькулятор'!$D$8,IF(AND($F$24='депозитный калькулятор'!$D$8,'депозитный калькулятор'!$G$13="нет"),-G54-IF(I54=" ",0,I54)-IF(AND(OR('депозитный калькулятор'!$G$7="30/365",'депозитный калькулятор'!$G$7="30/360"),'депозитный калькулятор'!$G$10="в начале срока"),I53,0)-L54+M54-N54,-G54-IF(I54=" ",0,I54)-L54+M54-N54),IF('депозитный калькулятор'!$G$13="есть",M54-N54+IF('депозитный калькулятор'!$G$14="есть",0,-L54),-IF(I54=" ",0,I54)-IF(AND(OR('депозитный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срока"),I53,0)+M54-N54+IF('депозитный калькулятор'!$G$14="есть",0,-L54))))</f>
        <v xml:space="preserve"> </v>
      </c>
      <c r="P54" s="147" t="str">
        <f>IF(F54&gt;'депозитный калькулятор'!$D$8," ",IF(EOMONTH(F53,0)=F53,0,IF(G54&gt;='депозитный калькулятор'!$G$19,P53,P53+1)))</f>
        <v xml:space="preserve"> </v>
      </c>
      <c r="Q54" s="138" t="str">
        <f>IF(F54=" "," ",IF(AND(OR('депозитный калькулятор'!$G$7="30/365",'депозитный калькулятор'!$G$7="30/360"),AND(MONTH(F54)=2,EOMONTH(F54,0)=F54)),IF(DAY(F54)=28,3,2),1)*IF(G54&gt;='депозитный калькулятор'!$G$11,IF(AND('депозитный калькулятор'!$G$7="факт/факт",MOD(YEAR(F54),4)=0),G54*'депозитный калькулятор'!$D$11/366,G54*'депозитный калькулятор'!$G$8),0))</f>
        <v xml:space="preserve"> </v>
      </c>
      <c r="R54" s="148"/>
      <c r="S54" s="62" t="str">
        <f t="shared" ca="1" si="2"/>
        <v xml:space="preserve"> </v>
      </c>
      <c r="T54" s="149" t="str">
        <f ca="1">IF(S54=" "," ",IF('депозитный калькулятор'!$G$7="30/360",DAYS360(U53,IF(DAY(U54)=31,U54-1,U54))+IF(AND(MONTH(U54)=2,U54=EOMONTH(U54,0)),30-DAY(EOMONTH(U54,0)))+T53,VLOOKUP(S54,$C$22:$F$1023,2,0)))</f>
        <v xml:space="preserve"> </v>
      </c>
      <c r="U54" s="64" t="str">
        <f t="shared" ca="1" si="0"/>
        <v xml:space="preserve"> </v>
      </c>
      <c r="V54" s="150" t="str">
        <f t="shared" ca="1" si="3"/>
        <v xml:space="preserve"> </v>
      </c>
      <c r="W54" s="62" t="str">
        <f t="shared" ca="1" si="4"/>
        <v xml:space="preserve"> </v>
      </c>
      <c r="X54" s="141" t="str">
        <f ca="1">IF(S54=" "," ",IFERROR(VLOOKUP(U54,$F$23:$N$1023,7)+VLOOKUP(U54,$F$23:$N$1023,9)+IF(AND('депозитный калькулятор'!$G$13="нет",U54&lt;&gt;'депозитный калькулятор'!$D$8),VLOOKUP(U54,$F$23:$N$1023,4),0),0)+IF(U54='депозитный калькулятор'!$D$8,VLOOKUP(U54,$F$23:$N$1023,2)+VLOOKUP(U54,$F$23:$N$1023,4),0))</f>
        <v xml:space="preserve"> </v>
      </c>
      <c r="Y54" s="142" t="str">
        <f ca="1">IF(S54=" "," ",W54/(1+'депозитный калькулятор'!$K$8)^(T54/IF('депозитный калькулятор'!$G$7="30/360",360,365)))</f>
        <v xml:space="preserve"> </v>
      </c>
      <c r="Z54" s="142" t="str">
        <f ca="1">IF(S54=" "," ",X54/(1+'депозитный калькулятор'!$K$8)^(T54/IF('депозитный калькулятор'!$G$7="30/360",360,365)))</f>
        <v xml:space="preserve"> </v>
      </c>
      <c r="AA54" s="151"/>
      <c r="AB54" s="151"/>
      <c r="AC54" s="155"/>
      <c r="AD54" s="155"/>
      <c r="AF54" s="5"/>
    </row>
    <row r="55" spans="1:32" s="2" customFormat="1" ht="15.5" x14ac:dyDescent="0.35">
      <c r="A55" s="41" t="str">
        <f>IF(F55=" "," ",IF(OR('депозитный калькулятор'!$G$7="30/365",'депозитный калькулятор'!$G$7="30/360"),IF(AND(MONTH(F55)=2,DAY(F55)=DAY(EOMONTH(F55,0))),30-DAY(EOMONTH(F55,0)),IF(DAY(F55)=31,1," "))," "))</f>
        <v xml:space="preserve"> </v>
      </c>
      <c r="B55" s="130" t="str">
        <f t="shared" si="1"/>
        <v xml:space="preserve"> </v>
      </c>
      <c r="C55" s="130" t="str">
        <f>IF(OR(B55=0,B55=" ")," ",SUM($B$23:B55))</f>
        <v xml:space="preserve"> </v>
      </c>
      <c r="D55" s="62" t="str">
        <f>IF(D54=" "," ",IF(OR(F54='депозитный калькулятор'!$D$8,F54=" ")," ",D54+1))</f>
        <v xml:space="preserve"> </v>
      </c>
      <c r="E55" s="130" t="str">
        <f>IF(OR(F54='депозитный калькулятор'!$D$8,F54=" ")," ",IF(EOMONTH(F54,0)=F54,1,E54+1))</f>
        <v xml:space="preserve"> </v>
      </c>
      <c r="F55" s="64" t="str">
        <f>IF(F54=" "," ",IF(F54='депозитный калькулятор'!$D$8," ",F54+1))</f>
        <v xml:space="preserve"> </v>
      </c>
      <c r="G55" s="145" t="str">
        <f xml:space="preserve"> IF(F55&gt;'депозитный калькулятор'!$D$8," ",IF('депозитный калькулятор'!$G$13="есть",IF('депозитный калькулятор'!$G$14="есть",G54+IF(I54=" ",0,I54)-J55-K55+L55+M55-N55,G54+IF(I54=" ",0,I54)-J55-K55+M55-N55),IF('депозитный калькулятор'!$G$14="есть",G54-J55-K55+L55+M55-N55,G54-J55-K55+M55-N55)))</f>
        <v xml:space="preserve"> </v>
      </c>
      <c r="H55" s="133" t="str">
        <f>IF(F55&gt;'депозитный калькулятор'!$D$8," ",IF(AND(OR('депозитный калькулятор'!$G$7="30/365",'депозитный калькулятор'!$G$7="30/360"),AND(MONTH(F55)=2,EOMONTH(F55,0)=F55)),IF(DAY(F55)=28,3*G55*'депозитный калькулятор'!$G$8,2*G55*'депозитный калькулятор'!$G$8),IF(AND(OR('депозитный калькулятор'!$G$7="30/365",'депозитный калькулятор'!$G$7="30/360"),DAY(F55)=31)," ",IF(AND('депозитный калькулятор'!$G$7="факт/факт",MOD(YEAR(F55),4)=0),G55*'депозитный калькулятор'!$D$11/366,G55*'депозитный калькулятор'!$G$8))))</f>
        <v xml:space="preserve"> </v>
      </c>
      <c r="I55" s="134" t="str">
        <f ca="1">IF(F55=" "," ",IF('депозитный калькулятор'!$G$10="ежедневное",H55,IF(AND('депозитный калькулятор'!$G$10="еженедельное",WEEKDAY(F55,2)=7),SUM(OFFSET(H55,-6,0):H55),IF(AND('депозитный калькулятор'!$G$10="еженедельное",F55='депозитный калькулятор'!$D$8),SUM($H$23:H55)-SUM($I$23:I54),IF(AND('депозитный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недели",WEEKDAY(F55,2)=7),MIN(OFFSET(H55,-6,0):H55)*(COUNTIF(OFFSET(H55,-6,0):H55,"&gt;0")+SUMIF(OFFSET(A55,-WEEKDAY(F55,2),0):A55,"=2",OFFSET(A55,-WEEKDAY(F55,2),0):A55)),IF(AND('депозитный калькулятор'!$G$10="еженедельное, на минимальную сумму зафиксированную в течение недели",F55='депозитный калькулятор'!$D$8,WEEKDAY(F55,2)&lt;&gt;7),MIN(OFFSET(H55,-WEEKDAY(F55,2),0):H55)*(COUNTIF(OFFSET(H55,-WEEKDAY(F55,2)+1,0):H55,"&gt;0")+SUM(OFFSET(A55,-WEEKDAY(F55,2),0):A55)),IF(AND('депозитный калькулятор'!$G$10="ежемесячное (в конце месяца)",F55='депозитный калькулятор'!$D$8,EOMONTH(F55,0)&lt;&gt;F55),IF('депозитный калькулятор'!$F$1=1,$H$24,SUM($H$23:H55)-SUM($I$23:I54)),IF(AND('депозитный калькулятор'!$G$10="ежемесячное (в конце месяца)",EOMONTH(F55,0)=F55),SUM($H$23:H55)-SUM($I$23:I54),IF(AND('депозитный калькулятор'!$G$10="ежемесячное (по дням открытия вклада)",F55='депозитный калькулятор'!$D$8,DAY('депозитный калькулятор'!$D$7)&lt;&gt;DAY(F55)),IF('депозитный калькулятор'!$F$1=1,$H$24,SUM($H$23:H55)-SUM($I$23:I54)),IF(AND('депозитный калькулятор'!$G$10="ежемесячное (по дням открытия вклада)",DAY('депозитный калькулятор'!$D$7)=DAY(F55)),SUM($H$23:H55)-SUM($I$23:I54),IF(AND('депозитный калькулятор'!$G$10="ежемесячное, на минимальную сумму зафиксированную в течение месяца",F55='депозитный калькулятор'!$D$8,EOMONTH(F55,0)&lt;&gt;F55),IF('депозитный калькулятор'!$F$1=1,$H$24,IF(AND(OR('депозитный калькулятор'!$G$7="30/365",'депозитный калькулятор'!$G$7="30/360"),DAY(F55)=31),0,MIN(OFFSET(H55,-E55+1,0):H55)*(E55+SUMIF(OFFSET(A55,-E55+1,0):A55,"=2",OFFSET(A55,-E55+1,0):A55)))),IF(AND('депозитный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калькулятор'!$G$7="30/360"),DAY(EOMONTH(F55,0))=31),EOMONTH(F55,0)-1=F55,EOMONTH(F55,0)=F55)),IF(IF(AND(OR('депозитный калькулятор'!$G$7="30/365",'депозитный калькулятор'!$G$7="30/360"),DAY(EOMONTH($F$23,0))=31),F55=EOMONTH($F$23,0)-1,F55=EOMONTH($F$23,0)),MIN(OFFSET(H55,-(DAY(F55)-DAY($F$23)),0):H55)*E55,MIN(OFFSET(H55,-(DAY(F55)-1),0):H55)*IF(AND(OR('депозитный калькулятор'!$G$7="30/365",'депозитный калькулятор'!$G$7="30/360"),DAY(F55)&lt;30),30,DAY(F55))),IF(AND('депозитный калькулятор'!$G$10="ежемесячное, на средний остаток в течение месяца, при условии что остаток больше чем ограничение",F55='депозитный калькулятор'!$D$8,EOMONTH(F55,0)&lt;&gt;F55),IF('депозитный калькулятор'!$F$1=1,$H$24,SUM(OFFSET(Q55,-E55+1,0):Q55)),IF(AND('депозитный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калькулятор'!$G$7="30/360"),DAY(EOMONTH(F55,0))=31),EOMONTH(F55,0)-1=F55,EOMONTH(F55,0)=F55)),IF(IF(AND(OR('депозитный калькулятор'!$G$7="30/365",'депозитный калькулятор'!$G$7="30/360"),DAY(EOMONTH($F$24,0))=31),F55=EOMONTH($F$24,0)-1,F55=EOMONTH($F$24,0)),SUM(OFFSET(Q55,-E55+1,0):Q55),SUM(OFFSET(Q55,-E55+1,0):Q55)),IF('депозитный калькулятор'!$G$10="ежеквартальное",IF(F55&gt;'депозитный калькулятор'!$D$8," ",IF(AND(EOMONTH(F55,0)=F55,OR(MONTH(F55)=3,MONTH(F55)=6,MONTH(F55)=9,MONTH(F55)=12)),IF(EDATE(F55,-3)&lt;'депозитный калькулятор'!$D$7,SUM($H$23:H55),IF(MOD(YEAR(F55),4)=0,IF(AND(EOMONTH(F55,0)=F55,OR(MONTH(F55)=3,MONTH(F55)=6)),SUM(OFFSET(H55,-90,0):H55),IF(AND(EOMONTH(F55,0)=F55,OR(MONTH(F55)=9,MONTH(F55)=12)),SUM(OFFSET(H55,-91,0):H55))),IF(AND(EOMONTH(F55,0)=F55,MONTH(F55)=3),SUM(OFFSET(H55,-89,0):H55),IF(AND(EOMONTH(F55,0)=F55,MONTH(F55)=6),SUM(OFFSET(H55,-90,0):H55),IF(AND(EOMONTH(F55,0)=F55,OR(MONTH(F55)=9,MONTH(F55)=12)),SUM(OFFSET(H55,-91,0):H55)))))),IF(F55='депозитный калькулятор'!$D$8,SUM($H$23:H55)-SUM($I$23:I54),0))),IF('депозитный калькулятор'!$G$10="ежегодное",IF(F55&gt;'депозитный калькулятор'!$D$8," ",IF(F55='депозитный калькулятор'!$D$8,SUM($H$23:H55)-SUM($I$23:I54),IF(AND(EOMONTH(F55,0)=F55,MONTH(F55)=12),IF(MOD(YEAR(F54),4)=0,IF(F55-'депозитный калькулятор'!$D$7&lt;366,SUM($H$23:H55),SUM(OFFSET(H55,-365,0):H55)),IF(F55-'депозитный калькулятор'!$D$7&lt;365,SUM($H$23:H55),SUM(OFFSET(H55,-364,0):H55))),0))),IF(AND('депозитный калькулятор'!$G$10="в конце срока",'депозитный калькулятор'!$D$8=F55),SUM($H$23:H55),0))))))))))))))))))</f>
        <v xml:space="preserve"> </v>
      </c>
      <c r="J55" s="59" t="str">
        <f>IF(F55&gt;'депозитный калькулятор'!$D$8," ",IF('депозитный калькулятор'!$G$16="нет",0,IF(AND('депозитный калькулятор'!$G$17="разовая (в конце срока)",F55='депозитный калькулятор'!$D$8),'депозитный калькулятор'!$G$18,IF(AND('депозитный калькулятор'!$G$17="ежемесячная",EOMONTH(F54,0)=F54),'депозитный калькулятор'!$G$18,IF(AND('депозитный калькулятор'!$G$17="ежегодная",DAY(F54)=31,MONTH(F54)=12),'депозитный калькулятор'!$G$18,IF(AND('депозитный калькулятор'!$G$17="ежемесячная в зависимости от остатка",EOMONTH(F54,0)=F54,P54&gt;0),'депозитный калькулятор'!$G$18,IF(AND('депозитный калькулятор'!$G$17="ежегодная в зависимости от остатка",DAY(F54)=31,MONTH(F54)=12,P54&gt;0),'депозитный калькулятор'!$G$18,0)))))))</f>
        <v xml:space="preserve"> </v>
      </c>
      <c r="K55" s="135" t="str">
        <f>IF($F55=" "," ",IFERROR(VLOOKUP($F55,'депозитный калькулятор'!$B$26:$F$70,2,0),0))</f>
        <v xml:space="preserve"> </v>
      </c>
      <c r="L55" s="135" t="str">
        <f>IF($F55=" "," ",IFERROR(VLOOKUP($F55,'депозитный калькулятор'!$B$26:$F$70,3,0),0))</f>
        <v xml:space="preserve"> </v>
      </c>
      <c r="M55" s="135" t="str">
        <f>IF($F55=" "," ",IFERROR(VLOOKUP($F55,'депозитный калькулятор'!$B$26:$F$70,4,0),0))</f>
        <v xml:space="preserve"> </v>
      </c>
      <c r="N55" s="135" t="str">
        <f>IF($F55=" "," ",IFERROR(VLOOKUP($F55,'депозитный калькулятор'!$B$26:$F$70,5,0),0))</f>
        <v xml:space="preserve"> </v>
      </c>
      <c r="O55" s="146" t="str">
        <f>IF(F55&gt;'депозитный калькулятор'!$D$8," ",IF(F55='депозитный калькулятор'!$D$8,IF(AND($F$24='депозитный калькулятор'!$D$8,'депозитный калькулятор'!$G$13="нет"),-G55-IF(I55=" ",0,I55)-IF(AND(OR('депозитный калькулятор'!$G$7="30/365",'депозитный калькулятор'!$G$7="30/360"),'депозитный калькулятор'!$G$10="в начале срока"),I54,0)-L55+M55-N55,-G55-IF(I55=" ",0,I55)-L55+M55-N55),IF('депозитный калькулятор'!$G$13="есть",M55-N55+IF('депозитный калькулятор'!$G$14="есть",0,-L55),-IF(I55=" ",0,I55)-IF(AND(OR('депозитный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срока"),I54,0)+M55-N55+IF('депозитный калькулятор'!$G$14="есть",0,-L55))))</f>
        <v xml:space="preserve"> </v>
      </c>
      <c r="P55" s="147" t="str">
        <f>IF(F55&gt;'депозитный калькулятор'!$D$8," ",IF(EOMONTH(F54,0)=F54,0,IF(G55&gt;='депозитный калькулятор'!$G$19,P54,P54+1)))</f>
        <v xml:space="preserve"> </v>
      </c>
      <c r="Q55" s="138" t="str">
        <f>IF(F55=" "," ",IF(AND(OR('депозитный калькулятор'!$G$7="30/365",'депозитный калькулятор'!$G$7="30/360"),AND(MONTH(F55)=2,EOMONTH(F55,0)=F55)),IF(DAY(F55)=28,3,2),1)*IF(G55&gt;='депозитный калькулятор'!$G$11,IF(AND('депозитный калькулятор'!$G$7="факт/факт",MOD(YEAR(F55),4)=0),G55*'депозитный калькулятор'!$D$11/366,G55*'депозитный калькулятор'!$G$8),0))</f>
        <v xml:space="preserve"> </v>
      </c>
      <c r="R55" s="148"/>
      <c r="S55" s="62" t="str">
        <f t="shared" ca="1" si="2"/>
        <v xml:space="preserve"> </v>
      </c>
      <c r="T55" s="149" t="str">
        <f ca="1">IF(S55=" "," ",IF('депозитный калькулятор'!$G$7="30/360",DAYS360(U54,IF(DAY(U55)=31,U55-1,U55))+IF(AND(MONTH(U55)=2,U55=EOMONTH(U55,0)),30-DAY(EOMONTH(U55,0)))+T54,VLOOKUP(S55,$C$22:$F$1023,2,0)))</f>
        <v xml:space="preserve"> </v>
      </c>
      <c r="U55" s="64" t="str">
        <f t="shared" ca="1" si="0"/>
        <v xml:space="preserve"> </v>
      </c>
      <c r="V55" s="150" t="str">
        <f t="shared" ca="1" si="3"/>
        <v xml:space="preserve"> </v>
      </c>
      <c r="W55" s="62" t="str">
        <f t="shared" ca="1" si="4"/>
        <v xml:space="preserve"> </v>
      </c>
      <c r="X55" s="141" t="str">
        <f ca="1">IF(S55=" "," ",IFERROR(VLOOKUP(U55,$F$23:$N$1023,7)+VLOOKUP(U55,$F$23:$N$1023,9)+IF(AND('депозитный калькулятор'!$G$13="нет",U55&lt;&gt;'депозитный калькулятор'!$D$8),VLOOKUP(U55,$F$23:$N$1023,4),0),0)+IF(U55='депозитный калькулятор'!$D$8,VLOOKUP(U55,$F$23:$N$1023,2)+VLOOKUP(U55,$F$23:$N$1023,4),0))</f>
        <v xml:space="preserve"> </v>
      </c>
      <c r="Y55" s="142" t="str">
        <f ca="1">IF(S55=" "," ",W55/(1+'депозитный калькулятор'!$K$8)^(T55/IF('депозитный калькулятор'!$G$7="30/360",360,365)))</f>
        <v xml:space="preserve"> </v>
      </c>
      <c r="Z55" s="142" t="str">
        <f ca="1">IF(S55=" "," ",X55/(1+'депозитный калькулятор'!$K$8)^(T55/IF('депозитный калькулятор'!$G$7="30/360",360,365)))</f>
        <v xml:space="preserve"> </v>
      </c>
      <c r="AA55" s="151"/>
      <c r="AB55" s="151"/>
      <c r="AC55" s="155"/>
      <c r="AD55" s="155"/>
      <c r="AF55" s="5"/>
    </row>
    <row r="56" spans="1:32" s="2" customFormat="1" ht="15.5" x14ac:dyDescent="0.35">
      <c r="A56" s="41" t="str">
        <f>IF(F56=" "," ",IF(OR('депозитный калькулятор'!$G$7="30/365",'депозитный калькулятор'!$G$7="30/360"),IF(AND(MONTH(F56)=2,DAY(F56)=DAY(EOMONTH(F56,0))),30-DAY(EOMONTH(F56,0)),IF(DAY(F56)=31,1," "))," "))</f>
        <v xml:space="preserve"> </v>
      </c>
      <c r="B56" s="130" t="str">
        <f t="shared" si="1"/>
        <v xml:space="preserve"> </v>
      </c>
      <c r="C56" s="130" t="str">
        <f>IF(OR(B56=0,B56=" ")," ",SUM($B$23:B56))</f>
        <v xml:space="preserve"> </v>
      </c>
      <c r="D56" s="62" t="str">
        <f>IF(D55=" "," ",IF(OR(F55='депозитный калькулятор'!$D$8,F55=" ")," ",D55+1))</f>
        <v xml:space="preserve"> </v>
      </c>
      <c r="E56" s="130" t="str">
        <f>IF(OR(F55='депозитный калькулятор'!$D$8,F55=" ")," ",IF(EOMONTH(F55,0)=F55,1,E55+1))</f>
        <v xml:space="preserve"> </v>
      </c>
      <c r="F56" s="64" t="str">
        <f>IF(F55=" "," ",IF(F55='депозитный калькулятор'!$D$8," ",F55+1))</f>
        <v xml:space="preserve"> </v>
      </c>
      <c r="G56" s="145" t="str">
        <f xml:space="preserve"> IF(F56&gt;'депозитный калькулятор'!$D$8," ",IF('депозитный калькулятор'!$G$13="есть",IF('депозитный калькулятор'!$G$14="есть",G55+IF(I55=" ",0,I55)-J56-K56+L56+M56-N56,G55+IF(I55=" ",0,I55)-J56-K56+M56-N56),IF('депозитный калькулятор'!$G$14="есть",G55-J56-K56+L56+M56-N56,G55-J56-K56+M56-N56)))</f>
        <v xml:space="preserve"> </v>
      </c>
      <c r="H56" s="133" t="str">
        <f>IF(F56&gt;'депозитный калькулятор'!$D$8," ",IF(AND(OR('депозитный калькулятор'!$G$7="30/365",'депозитный калькулятор'!$G$7="30/360"),AND(MONTH(F56)=2,EOMONTH(F56,0)=F56)),IF(DAY(F56)=28,3*G56*'депозитный калькулятор'!$G$8,2*G56*'депозитный калькулятор'!$G$8),IF(AND(OR('депозитный калькулятор'!$G$7="30/365",'депозитный калькулятор'!$G$7="30/360"),DAY(F56)=31)," ",IF(AND('депозитный калькулятор'!$G$7="факт/факт",MOD(YEAR(F56),4)=0),G56*'депозитный калькулятор'!$D$11/366,G56*'депозитный калькулятор'!$G$8))))</f>
        <v xml:space="preserve"> </v>
      </c>
      <c r="I56" s="134" t="str">
        <f ca="1">IF(F56=" "," ",IF('депозитный калькулятор'!$G$10="ежедневное",H56,IF(AND('депозитный калькулятор'!$G$10="еженедельное",WEEKDAY(F56,2)=7),SUM(OFFSET(H56,-6,0):H56),IF(AND('депозитный калькулятор'!$G$10="еженедельное",F56='депозитный калькулятор'!$D$8),SUM($H$23:H56)-SUM($I$23:I55),IF(AND('депозитный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недели",WEEKDAY(F56,2)=7),MIN(OFFSET(H56,-6,0):H56)*(COUNTIF(OFFSET(H56,-6,0):H56,"&gt;0")+SUMIF(OFFSET(A56,-WEEKDAY(F56,2),0):A56,"=2",OFFSET(A56,-WEEKDAY(F56,2),0):A56)),IF(AND('депозитный калькулятор'!$G$10="еженедельное, на минимальную сумму зафиксированную в течение недели",F56='депозитный калькулятор'!$D$8,WEEKDAY(F56,2)&lt;&gt;7),MIN(OFFSET(H56,-WEEKDAY(F56,2),0):H56)*(COUNTIF(OFFSET(H56,-WEEKDAY(F56,2)+1,0):H56,"&gt;0")+SUM(OFFSET(A56,-WEEKDAY(F56,2),0):A56)),IF(AND('депозитный калькулятор'!$G$10="ежемесячное (в конце месяца)",F56='депозитный калькулятор'!$D$8,EOMONTH(F56,0)&lt;&gt;F56),IF('депозитный калькулятор'!$F$1=1,$H$24,SUM($H$23:H56)-SUM($I$23:I55)),IF(AND('депозитный калькулятор'!$G$10="ежемесячное (в конце месяца)",EOMONTH(F56,0)=F56),SUM($H$23:H56)-SUM($I$23:I55),IF(AND('депозитный калькулятор'!$G$10="ежемесячное (по дням открытия вклада)",F56='депозитный калькулятор'!$D$8,DAY('депозитный калькулятор'!$D$7)&lt;&gt;DAY(F56)),IF('депозитный калькулятор'!$F$1=1,$H$24,SUM($H$23:H56)-SUM($I$23:I55)),IF(AND('депозитный калькулятор'!$G$10="ежемесячное (по дням открытия вклада)",DAY('депозитный калькулятор'!$D$7)=DAY(F56)),SUM($H$23:H56)-SUM($I$23:I55),IF(AND('депозитный калькулятор'!$G$10="ежемесячное, на минимальную сумму зафиксированную в течение месяца",F56='депозитный калькулятор'!$D$8,EOMONTH(F56,0)&lt;&gt;F56),IF('депозитный калькулятор'!$F$1=1,$H$24,IF(AND(OR('депозитный калькулятор'!$G$7="30/365",'депозитный калькулятор'!$G$7="30/360"),DAY(F56)=31),0,MIN(OFFSET(H56,-E56+1,0):H56)*(E56+SUMIF(OFFSET(A56,-E56+1,0):A56,"=2",OFFSET(A56,-E56+1,0):A56)))),IF(AND('депозитный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калькулятор'!$G$7="30/360"),DAY(EOMONTH(F56,0))=31),EOMONTH(F56,0)-1=F56,EOMONTH(F56,0)=F56)),IF(IF(AND(OR('депозитный калькулятор'!$G$7="30/365",'депозитный калькулятор'!$G$7="30/360"),DAY(EOMONTH($F$23,0))=31),F56=EOMONTH($F$23,0)-1,F56=EOMONTH($F$23,0)),MIN(OFFSET(H56,-(DAY(F56)-DAY($F$23)),0):H56)*E56,MIN(OFFSET(H56,-(DAY(F56)-1),0):H56)*IF(AND(OR('депозитный калькулятор'!$G$7="30/365",'депозитный калькулятор'!$G$7="30/360"),DAY(F56)&lt;30),30,DAY(F56))),IF(AND('депозитный калькулятор'!$G$10="ежемесячное, на средний остаток в течение месяца, при условии что остаток больше чем ограничение",F56='депозитный калькулятор'!$D$8,EOMONTH(F56,0)&lt;&gt;F56),IF('депозитный калькулятор'!$F$1=1,$H$24,SUM(OFFSET(Q56,-E56+1,0):Q56)),IF(AND('депозитный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калькулятор'!$G$7="30/360"),DAY(EOMONTH(F56,0))=31),EOMONTH(F56,0)-1=F56,EOMONTH(F56,0)=F56)),IF(IF(AND(OR('депозитный калькулятор'!$G$7="30/365",'депозитный калькулятор'!$G$7="30/360"),DAY(EOMONTH($F$24,0))=31),F56=EOMONTH($F$24,0)-1,F56=EOMONTH($F$24,0)),SUM(OFFSET(Q56,-E56+1,0):Q56),SUM(OFFSET(Q56,-E56+1,0):Q56)),IF('депозитный калькулятор'!$G$10="ежеквартальное",IF(F56&gt;'депозитный калькулятор'!$D$8," ",IF(AND(EOMONTH(F56,0)=F56,OR(MONTH(F56)=3,MONTH(F56)=6,MONTH(F56)=9,MONTH(F56)=12)),IF(EDATE(F56,-3)&lt;'депозитный калькулятор'!$D$7,SUM($H$23:H56),IF(MOD(YEAR(F56),4)=0,IF(AND(EOMONTH(F56,0)=F56,OR(MONTH(F56)=3,MONTH(F56)=6)),SUM(OFFSET(H56,-90,0):H56),IF(AND(EOMONTH(F56,0)=F56,OR(MONTH(F56)=9,MONTH(F56)=12)),SUM(OFFSET(H56,-91,0):H56))),IF(AND(EOMONTH(F56,0)=F56,MONTH(F56)=3),SUM(OFFSET(H56,-89,0):H56),IF(AND(EOMONTH(F56,0)=F56,MONTH(F56)=6),SUM(OFFSET(H56,-90,0):H56),IF(AND(EOMONTH(F56,0)=F56,OR(MONTH(F56)=9,MONTH(F56)=12)),SUM(OFFSET(H56,-91,0):H56)))))),IF(F56='депозитный калькулятор'!$D$8,SUM($H$23:H56)-SUM($I$23:I55),0))),IF('депозитный калькулятор'!$G$10="ежегодное",IF(F56&gt;'депозитный калькулятор'!$D$8," ",IF(F56='депозитный калькулятор'!$D$8,SUM($H$23:H56)-SUM($I$23:I55),IF(AND(EOMONTH(F56,0)=F56,MONTH(F56)=12),IF(MOD(YEAR(F55),4)=0,IF(F56-'депозитный калькулятор'!$D$7&lt;366,SUM($H$23:H56),SUM(OFFSET(H56,-365,0):H56)),IF(F56-'депозитный калькулятор'!$D$7&lt;365,SUM($H$23:H56),SUM(OFFSET(H56,-364,0):H56))),0))),IF(AND('депозитный калькулятор'!$G$10="в конце срока",'депозитный калькулятор'!$D$8=F56),SUM($H$23:H56),0))))))))))))))))))</f>
        <v xml:space="preserve"> </v>
      </c>
      <c r="J56" s="59" t="str">
        <f>IF(F56&gt;'депозитный калькулятор'!$D$8," ",IF('депозитный калькулятор'!$G$16="нет",0,IF(AND('депозитный калькулятор'!$G$17="разовая (в конце срока)",F56='депозитный калькулятор'!$D$8),'депозитный калькулятор'!$G$18,IF(AND('депозитный калькулятор'!$G$17="ежемесячная",EOMONTH(F55,0)=F55),'депозитный калькулятор'!$G$18,IF(AND('депозитный калькулятор'!$G$17="ежегодная",DAY(F55)=31,MONTH(F55)=12),'депозитный калькулятор'!$G$18,IF(AND('депозитный калькулятор'!$G$17="ежемесячная в зависимости от остатка",EOMONTH(F55,0)=F55,P55&gt;0),'депозитный калькулятор'!$G$18,IF(AND('депозитный калькулятор'!$G$17="ежегодная в зависимости от остатка",DAY(F55)=31,MONTH(F55)=12,P55&gt;0),'депозитный калькулятор'!$G$18,0)))))))</f>
        <v xml:space="preserve"> </v>
      </c>
      <c r="K56" s="135" t="str">
        <f>IF($F56=" "," ",IFERROR(VLOOKUP($F56,'депозитный калькулятор'!$B$26:$F$70,2,0),0))</f>
        <v xml:space="preserve"> </v>
      </c>
      <c r="L56" s="135" t="str">
        <f>IF($F56=" "," ",IFERROR(VLOOKUP($F56,'депозитный калькулятор'!$B$26:$F$70,3,0),0))</f>
        <v xml:space="preserve"> </v>
      </c>
      <c r="M56" s="135" t="str">
        <f>IF($F56=" "," ",IFERROR(VLOOKUP($F56,'депозитный калькулятор'!$B$26:$F$70,4,0),0))</f>
        <v xml:space="preserve"> </v>
      </c>
      <c r="N56" s="135" t="str">
        <f>IF($F56=" "," ",IFERROR(VLOOKUP($F56,'депозитный калькулятор'!$B$26:$F$70,5,0),0))</f>
        <v xml:space="preserve"> </v>
      </c>
      <c r="O56" s="146" t="str">
        <f>IF(F56&gt;'депозитный калькулятор'!$D$8," ",IF(F56='депозитный калькулятор'!$D$8,IF(AND($F$24='депозитный калькулятор'!$D$8,'депозитный калькулятор'!$G$13="нет"),-G56-IF(I56=" ",0,I56)-IF(AND(OR('депозитный калькулятор'!$G$7="30/365",'депозитный калькулятор'!$G$7="30/360"),'депозитный калькулятор'!$G$10="в начале срока"),I55,0)-L56+M56-N56,-G56-IF(I56=" ",0,I56)-L56+M56-N56),IF('депозитный калькулятор'!$G$13="есть",M56-N56+IF('депозитный калькулятор'!$G$14="есть",0,-L56),-IF(I56=" ",0,I56)-IF(AND(OR('депозитный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срока"),I55,0)+M56-N56+IF('депозитный калькулятор'!$G$14="есть",0,-L56))))</f>
        <v xml:space="preserve"> </v>
      </c>
      <c r="P56" s="147" t="str">
        <f>IF(F56&gt;'депозитный калькулятор'!$D$8," ",IF(EOMONTH(F55,0)=F55,0,IF(G56&gt;='депозитный калькулятор'!$G$19,P55,P55+1)))</f>
        <v xml:space="preserve"> </v>
      </c>
      <c r="Q56" s="138" t="str">
        <f>IF(F56=" "," ",IF(AND(OR('депозитный калькулятор'!$G$7="30/365",'депозитный калькулятор'!$G$7="30/360"),AND(MONTH(F56)=2,EOMONTH(F56,0)=F56)),IF(DAY(F56)=28,3,2),1)*IF(G56&gt;='депозитный калькулятор'!$G$11,IF(AND('депозитный калькулятор'!$G$7="факт/факт",MOD(YEAR(F56),4)=0),G56*'депозитный калькулятор'!$D$11/366,G56*'депозитный калькулятор'!$G$8),0))</f>
        <v xml:space="preserve"> </v>
      </c>
      <c r="R56" s="148"/>
      <c r="S56" s="62" t="str">
        <f t="shared" ca="1" si="2"/>
        <v xml:space="preserve"> </v>
      </c>
      <c r="T56" s="149" t="str">
        <f ca="1">IF(S56=" "," ",IF('депозитный калькулятор'!$G$7="30/360",DAYS360(U55,IF(DAY(U56)=31,U56-1,U56))+IF(AND(MONTH(U56)=2,U56=EOMONTH(U56,0)),30-DAY(EOMONTH(U56,0)))+T55,VLOOKUP(S56,$C$22:$F$1023,2,0)))</f>
        <v xml:space="preserve"> </v>
      </c>
      <c r="U56" s="64" t="str">
        <f t="shared" ca="1" si="0"/>
        <v xml:space="preserve"> </v>
      </c>
      <c r="V56" s="150" t="str">
        <f t="shared" ca="1" si="3"/>
        <v xml:space="preserve"> </v>
      </c>
      <c r="W56" s="62" t="str">
        <f t="shared" ca="1" si="4"/>
        <v xml:space="preserve"> </v>
      </c>
      <c r="X56" s="141" t="str">
        <f ca="1">IF(S56=" "," ",IFERROR(VLOOKUP(U56,$F$23:$N$1023,7)+VLOOKUP(U56,$F$23:$N$1023,9)+IF(AND('депозитный калькулятор'!$G$13="нет",U56&lt;&gt;'депозитный калькулятор'!$D$8),VLOOKUP(U56,$F$23:$N$1023,4),0),0)+IF(U56='депозитный калькулятор'!$D$8,VLOOKUP(U56,$F$23:$N$1023,2)+VLOOKUP(U56,$F$23:$N$1023,4),0))</f>
        <v xml:space="preserve"> </v>
      </c>
      <c r="Y56" s="142" t="str">
        <f ca="1">IF(S56=" "," ",W56/(1+'депозитный калькулятор'!$K$8)^(T56/IF('депозитный калькулятор'!$G$7="30/360",360,365)))</f>
        <v xml:space="preserve"> </v>
      </c>
      <c r="Z56" s="142" t="str">
        <f ca="1">IF(S56=" "," ",X56/(1+'депозитный калькулятор'!$K$8)^(T56/IF('депозитный калькулятор'!$G$7="30/360",360,365)))</f>
        <v xml:space="preserve"> </v>
      </c>
      <c r="AA56" s="151"/>
      <c r="AB56" s="151"/>
      <c r="AC56" s="155"/>
      <c r="AD56" s="155"/>
      <c r="AF56" s="5"/>
    </row>
    <row r="57" spans="1:32" s="2" customFormat="1" ht="15.5" x14ac:dyDescent="0.35">
      <c r="A57" s="41" t="str">
        <f>IF(F57=" "," ",IF(OR('депозитный калькулятор'!$G$7="30/365",'депозитный калькулятор'!$G$7="30/360"),IF(AND(MONTH(F57)=2,DAY(F57)=DAY(EOMONTH(F57,0))),30-DAY(EOMONTH(F57,0)),IF(DAY(F57)=31,1," "))," "))</f>
        <v xml:space="preserve"> </v>
      </c>
      <c r="B57" s="130" t="str">
        <f t="shared" si="1"/>
        <v xml:space="preserve"> </v>
      </c>
      <c r="C57" s="130" t="str">
        <f>IF(OR(B57=0,B57=" ")," ",SUM($B$23:B57))</f>
        <v xml:space="preserve"> </v>
      </c>
      <c r="D57" s="62" t="str">
        <f>IF(D56=" "," ",IF(OR(F56='депозитный калькулятор'!$D$8,F56=" ")," ",D56+1))</f>
        <v xml:space="preserve"> </v>
      </c>
      <c r="E57" s="130" t="str">
        <f>IF(OR(F56='депозитный калькулятор'!$D$8,F56=" ")," ",IF(EOMONTH(F56,0)=F56,1,E56+1))</f>
        <v xml:space="preserve"> </v>
      </c>
      <c r="F57" s="64" t="str">
        <f>IF(F56=" "," ",IF(F56='депозитный калькулятор'!$D$8," ",F56+1))</f>
        <v xml:space="preserve"> </v>
      </c>
      <c r="G57" s="145" t="str">
        <f xml:space="preserve"> IF(F57&gt;'депозитный калькулятор'!$D$8," ",IF('депозитный калькулятор'!$G$13="есть",IF('депозитный калькулятор'!$G$14="есть",G56+IF(I56=" ",0,I56)-J57-K57+L57+M57-N57,G56+IF(I56=" ",0,I56)-J57-K57+M57-N57),IF('депозитный калькулятор'!$G$14="есть",G56-J57-K57+L57+M57-N57,G56-J57-K57+M57-N57)))</f>
        <v xml:space="preserve"> </v>
      </c>
      <c r="H57" s="133" t="str">
        <f>IF(F57&gt;'депозитный калькулятор'!$D$8," ",IF(AND(OR('депозитный калькулятор'!$G$7="30/365",'депозитный калькулятор'!$G$7="30/360"),AND(MONTH(F57)=2,EOMONTH(F57,0)=F57)),IF(DAY(F57)=28,3*G57*'депозитный калькулятор'!$G$8,2*G57*'депозитный калькулятор'!$G$8),IF(AND(OR('депозитный калькулятор'!$G$7="30/365",'депозитный калькулятор'!$G$7="30/360"),DAY(F57)=31)," ",IF(AND('депозитный калькулятор'!$G$7="факт/факт",MOD(YEAR(F57),4)=0),G57*'депозитный калькулятор'!$D$11/366,G57*'депозитный калькулятор'!$G$8))))</f>
        <v xml:space="preserve"> </v>
      </c>
      <c r="I57" s="134" t="str">
        <f ca="1">IF(F57=" "," ",IF('депозитный калькулятор'!$G$10="ежедневное",H57,IF(AND('депозитный калькулятор'!$G$10="еженедельное",WEEKDAY(F57,2)=7),SUM(OFFSET(H57,-6,0):H57),IF(AND('депозитный калькулятор'!$G$10="еженедельное",F57='депозитный калькулятор'!$D$8),SUM($H$23:H57)-SUM($I$23:I56),IF(AND('депозитный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недели",WEEKDAY(F57,2)=7),MIN(OFFSET(H57,-6,0):H57)*(COUNTIF(OFFSET(H57,-6,0):H57,"&gt;0")+SUMIF(OFFSET(A57,-WEEKDAY(F57,2),0):A57,"=2",OFFSET(A57,-WEEKDAY(F57,2),0):A57)),IF(AND('депозитный калькулятор'!$G$10="еженедельное, на минимальную сумму зафиксированную в течение недели",F57='депозитный калькулятор'!$D$8,WEEKDAY(F57,2)&lt;&gt;7),MIN(OFFSET(H57,-WEEKDAY(F57,2),0):H57)*(COUNTIF(OFFSET(H57,-WEEKDAY(F57,2)+1,0):H57,"&gt;0")+SUM(OFFSET(A57,-WEEKDAY(F57,2),0):A57)),IF(AND('депозитный калькулятор'!$G$10="ежемесячное (в конце месяца)",F57='депозитный калькулятор'!$D$8,EOMONTH(F57,0)&lt;&gt;F57),IF('депозитный калькулятор'!$F$1=1,$H$24,SUM($H$23:H57)-SUM($I$23:I56)),IF(AND('депозитный калькулятор'!$G$10="ежемесячное (в конце месяца)",EOMONTH(F57,0)=F57),SUM($H$23:H57)-SUM($I$23:I56),IF(AND('депозитный калькулятор'!$G$10="ежемесячное (по дням открытия вклада)",F57='депозитный калькулятор'!$D$8,DAY('депозитный калькулятор'!$D$7)&lt;&gt;DAY(F57)),IF('депозитный калькулятор'!$F$1=1,$H$24,SUM($H$23:H57)-SUM($I$23:I56)),IF(AND('депозитный калькулятор'!$G$10="ежемесячное (по дням открытия вклада)",DAY('депозитный калькулятор'!$D$7)=DAY(F57)),SUM($H$23:H57)-SUM($I$23:I56),IF(AND('депозитный калькулятор'!$G$10="ежемесячное, на минимальную сумму зафиксированную в течение месяца",F57='депозитный калькулятор'!$D$8,EOMONTH(F57,0)&lt;&gt;F57),IF('депозитный калькулятор'!$F$1=1,$H$24,IF(AND(OR('депозитный калькулятор'!$G$7="30/365",'депозитный калькулятор'!$G$7="30/360"),DAY(F57)=31),0,MIN(OFFSET(H57,-E57+1,0):H57)*(E57+SUMIF(OFFSET(A57,-E57+1,0):A57,"=2",OFFSET(A57,-E57+1,0):A57)))),IF(AND('депозитный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калькулятор'!$G$7="30/360"),DAY(EOMONTH(F57,0))=31),EOMONTH(F57,0)-1=F57,EOMONTH(F57,0)=F57)),IF(IF(AND(OR('депозитный калькулятор'!$G$7="30/365",'депозитный калькулятор'!$G$7="30/360"),DAY(EOMONTH($F$23,0))=31),F57=EOMONTH($F$23,0)-1,F57=EOMONTH($F$23,0)),MIN(OFFSET(H57,-(DAY(F57)-DAY($F$23)),0):H57)*E57,MIN(OFFSET(H57,-(DAY(F57)-1),0):H57)*IF(AND(OR('депозитный калькулятор'!$G$7="30/365",'депозитный калькулятор'!$G$7="30/360"),DAY(F57)&lt;30),30,DAY(F57))),IF(AND('депозитный калькулятор'!$G$10="ежемесячное, на средний остаток в течение месяца, при условии что остаток больше чем ограничение",F57='депозитный калькулятор'!$D$8,EOMONTH(F57,0)&lt;&gt;F57),IF('депозитный калькулятор'!$F$1=1,$H$24,SUM(OFFSET(Q57,-E57+1,0):Q57)),IF(AND('депозитный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калькулятор'!$G$7="30/360"),DAY(EOMONTH(F57,0))=31),EOMONTH(F57,0)-1=F57,EOMONTH(F57,0)=F57)),IF(IF(AND(OR('депозитный калькулятор'!$G$7="30/365",'депозитный калькулятор'!$G$7="30/360"),DAY(EOMONTH($F$24,0))=31),F57=EOMONTH($F$24,0)-1,F57=EOMONTH($F$24,0)),SUM(OFFSET(Q57,-E57+1,0):Q57),SUM(OFFSET(Q57,-E57+1,0):Q57)),IF('депозитный калькулятор'!$G$10="ежеквартальное",IF(F57&gt;'депозитный калькулятор'!$D$8," ",IF(AND(EOMONTH(F57,0)=F57,OR(MONTH(F57)=3,MONTH(F57)=6,MONTH(F57)=9,MONTH(F57)=12)),IF(EDATE(F57,-3)&lt;'депозитный калькулятор'!$D$7,SUM($H$23:H57),IF(MOD(YEAR(F57),4)=0,IF(AND(EOMONTH(F57,0)=F57,OR(MONTH(F57)=3,MONTH(F57)=6)),SUM(OFFSET(H57,-90,0):H57),IF(AND(EOMONTH(F57,0)=F57,OR(MONTH(F57)=9,MONTH(F57)=12)),SUM(OFFSET(H57,-91,0):H57))),IF(AND(EOMONTH(F57,0)=F57,MONTH(F57)=3),SUM(OFFSET(H57,-89,0):H57),IF(AND(EOMONTH(F57,0)=F57,MONTH(F57)=6),SUM(OFFSET(H57,-90,0):H57),IF(AND(EOMONTH(F57,0)=F57,OR(MONTH(F57)=9,MONTH(F57)=12)),SUM(OFFSET(H57,-91,0):H57)))))),IF(F57='депозитный калькулятор'!$D$8,SUM($H$23:H57)-SUM($I$23:I56),0))),IF('депозитный калькулятор'!$G$10="ежегодное",IF(F57&gt;'депозитный калькулятор'!$D$8," ",IF(F57='депозитный калькулятор'!$D$8,SUM($H$23:H57)-SUM($I$23:I56),IF(AND(EOMONTH(F57,0)=F57,MONTH(F57)=12),IF(MOD(YEAR(F56),4)=0,IF(F57-'депозитный калькулятор'!$D$7&lt;366,SUM($H$23:H57),SUM(OFFSET(H57,-365,0):H57)),IF(F57-'депозитный калькулятор'!$D$7&lt;365,SUM($H$23:H57),SUM(OFFSET(H57,-364,0):H57))),0))),IF(AND('депозитный калькулятор'!$G$10="в конце срока",'депозитный калькулятор'!$D$8=F57),SUM($H$23:H57),0))))))))))))))))))</f>
        <v xml:space="preserve"> </v>
      </c>
      <c r="J57" s="59" t="str">
        <f>IF(F57&gt;'депозитный калькулятор'!$D$8," ",IF('депозитный калькулятор'!$G$16="нет",0,IF(AND('депозитный калькулятор'!$G$17="разовая (в конце срока)",F57='депозитный калькулятор'!$D$8),'депозитный калькулятор'!$G$18,IF(AND('депозитный калькулятор'!$G$17="ежемесячная",EOMONTH(F56,0)=F56),'депозитный калькулятор'!$G$18,IF(AND('депозитный калькулятор'!$G$17="ежегодная",DAY(F56)=31,MONTH(F56)=12),'депозитный калькулятор'!$G$18,IF(AND('депозитный калькулятор'!$G$17="ежемесячная в зависимости от остатка",EOMONTH(F56,0)=F56,P56&gt;0),'депозитный калькулятор'!$G$18,IF(AND('депозитный калькулятор'!$G$17="ежегодная в зависимости от остатка",DAY(F56)=31,MONTH(F56)=12,P56&gt;0),'депозитный калькулятор'!$G$18,0)))))))</f>
        <v xml:space="preserve"> </v>
      </c>
      <c r="K57" s="135" t="str">
        <f>IF($F57=" "," ",IFERROR(VLOOKUP($F57,'депозитный калькулятор'!$B$26:$F$70,2,0),0))</f>
        <v xml:space="preserve"> </v>
      </c>
      <c r="L57" s="135" t="str">
        <f>IF($F57=" "," ",IFERROR(VLOOKUP($F57,'депозитный калькулятор'!$B$26:$F$70,3,0),0))</f>
        <v xml:space="preserve"> </v>
      </c>
      <c r="M57" s="135" t="str">
        <f>IF($F57=" "," ",IFERROR(VLOOKUP($F57,'депозитный калькулятор'!$B$26:$F$70,4,0),0))</f>
        <v xml:space="preserve"> </v>
      </c>
      <c r="N57" s="135" t="str">
        <f>IF($F57=" "," ",IFERROR(VLOOKUP($F57,'депозитный калькулятор'!$B$26:$F$70,5,0),0))</f>
        <v xml:space="preserve"> </v>
      </c>
      <c r="O57" s="146" t="str">
        <f>IF(F57&gt;'депозитный калькулятор'!$D$8," ",IF(F57='депозитный калькулятор'!$D$8,IF(AND($F$24='депозитный калькулятор'!$D$8,'депозитный калькулятор'!$G$13="нет"),-G57-IF(I57=" ",0,I57)-IF(AND(OR('депозитный калькулятор'!$G$7="30/365",'депозитный калькулятор'!$G$7="30/360"),'депозитный калькулятор'!$G$10="в начале срока"),I56,0)-L57+M57-N57,-G57-IF(I57=" ",0,I57)-L57+M57-N57),IF('депозитный калькулятор'!$G$13="есть",M57-N57+IF('депозитный калькулятор'!$G$14="есть",0,-L57),-IF(I57=" ",0,I57)-IF(AND(OR('депозитный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срока"),I56,0)+M57-N57+IF('депозитный калькулятор'!$G$14="есть",0,-L57))))</f>
        <v xml:space="preserve"> </v>
      </c>
      <c r="P57" s="147" t="str">
        <f>IF(F57&gt;'депозитный калькулятор'!$D$8," ",IF(EOMONTH(F56,0)=F56,0,IF(G57&gt;='депозитный калькулятор'!$G$19,P56,P56+1)))</f>
        <v xml:space="preserve"> </v>
      </c>
      <c r="Q57" s="138" t="str">
        <f>IF(F57=" "," ",IF(AND(OR('депозитный калькулятор'!$G$7="30/365",'депозитный калькулятор'!$G$7="30/360"),AND(MONTH(F57)=2,EOMONTH(F57,0)=F57)),IF(DAY(F57)=28,3,2),1)*IF(G57&gt;='депозитный калькулятор'!$G$11,IF(AND('депозитный калькулятор'!$G$7="факт/факт",MOD(YEAR(F57),4)=0),G57*'депозитный калькулятор'!$D$11/366,G57*'депозитный калькулятор'!$G$8),0))</f>
        <v xml:space="preserve"> </v>
      </c>
      <c r="R57" s="148"/>
      <c r="S57" s="62" t="str">
        <f t="shared" ca="1" si="2"/>
        <v xml:space="preserve"> </v>
      </c>
      <c r="T57" s="149" t="str">
        <f ca="1">IF(S57=" "," ",IF('депозитный калькулятор'!$G$7="30/360",DAYS360(U56,IF(DAY(U57)=31,U57-1,U57))+IF(AND(MONTH(U57)=2,U57=EOMONTH(U57,0)),30-DAY(EOMONTH(U57,0)))+T56,VLOOKUP(S57,$C$22:$F$1023,2,0)))</f>
        <v xml:space="preserve"> </v>
      </c>
      <c r="U57" s="64" t="str">
        <f t="shared" ca="1" si="0"/>
        <v xml:space="preserve"> </v>
      </c>
      <c r="V57" s="150" t="str">
        <f t="shared" ca="1" si="3"/>
        <v xml:space="preserve"> </v>
      </c>
      <c r="W57" s="62" t="str">
        <f t="shared" ca="1" si="4"/>
        <v xml:space="preserve"> </v>
      </c>
      <c r="X57" s="141" t="str">
        <f ca="1">IF(S57=" "," ",IFERROR(VLOOKUP(U57,$F$23:$N$1023,7)+VLOOKUP(U57,$F$23:$N$1023,9)+IF(AND('депозитный калькулятор'!$G$13="нет",U57&lt;&gt;'депозитный калькулятор'!$D$8),VLOOKUP(U57,$F$23:$N$1023,4),0),0)+IF(U57='депозитный калькулятор'!$D$8,VLOOKUP(U57,$F$23:$N$1023,2)+VLOOKUP(U57,$F$23:$N$1023,4),0))</f>
        <v xml:space="preserve"> </v>
      </c>
      <c r="Y57" s="142" t="str">
        <f ca="1">IF(S57=" "," ",W57/(1+'депозитный калькулятор'!$K$8)^(T57/IF('депозитный калькулятор'!$G$7="30/360",360,365)))</f>
        <v xml:space="preserve"> </v>
      </c>
      <c r="Z57" s="142" t="str">
        <f ca="1">IF(S57=" "," ",X57/(1+'депозитный калькулятор'!$K$8)^(T57/IF('депозитный калькулятор'!$G$7="30/360",360,365)))</f>
        <v xml:space="preserve"> </v>
      </c>
      <c r="AA57" s="151"/>
      <c r="AB57" s="151"/>
      <c r="AC57" s="155"/>
      <c r="AD57" s="155"/>
      <c r="AF57" s="5"/>
    </row>
    <row r="58" spans="1:32" s="2" customFormat="1" ht="15.5" x14ac:dyDescent="0.35">
      <c r="A58" s="41" t="str">
        <f>IF(F58=" "," ",IF(OR('депозитный калькулятор'!$G$7="30/365",'депозитный калькулятор'!$G$7="30/360"),IF(AND(MONTH(F58)=2,DAY(F58)=DAY(EOMONTH(F58,0))),30-DAY(EOMONTH(F58,0)),IF(DAY(F58)=31,1," "))," "))</f>
        <v xml:space="preserve"> </v>
      </c>
      <c r="B58" s="130" t="str">
        <f t="shared" si="1"/>
        <v xml:space="preserve"> </v>
      </c>
      <c r="C58" s="130" t="str">
        <f>IF(OR(B58=0,B58=" ")," ",SUM($B$23:B58))</f>
        <v xml:space="preserve"> </v>
      </c>
      <c r="D58" s="62" t="str">
        <f>IF(D57=" "," ",IF(OR(F57='депозитный калькулятор'!$D$8,F57=" ")," ",D57+1))</f>
        <v xml:space="preserve"> </v>
      </c>
      <c r="E58" s="130" t="str">
        <f>IF(OR(F57='депозитный калькулятор'!$D$8,F57=" ")," ",IF(EOMONTH(F57,0)=F57,1,E57+1))</f>
        <v xml:space="preserve"> </v>
      </c>
      <c r="F58" s="64" t="str">
        <f>IF(F57=" "," ",IF(F57='депозитный калькулятор'!$D$8," ",F57+1))</f>
        <v xml:space="preserve"> </v>
      </c>
      <c r="G58" s="145" t="str">
        <f xml:space="preserve"> IF(F58&gt;'депозитный калькулятор'!$D$8," ",IF('депозитный калькулятор'!$G$13="есть",IF('депозитный калькулятор'!$G$14="есть",G57+IF(I57=" ",0,I57)-J58-K58+L58+M58-N58,G57+IF(I57=" ",0,I57)-J58-K58+M58-N58),IF('депозитный калькулятор'!$G$14="есть",G57-J58-K58+L58+M58-N58,G57-J58-K58+M58-N58)))</f>
        <v xml:space="preserve"> </v>
      </c>
      <c r="H58" s="133" t="str">
        <f>IF(F58&gt;'депозитный калькулятор'!$D$8," ",IF(AND(OR('депозитный калькулятор'!$G$7="30/365",'депозитный калькулятор'!$G$7="30/360"),AND(MONTH(F58)=2,EOMONTH(F58,0)=F58)),IF(DAY(F58)=28,3*G58*'депозитный калькулятор'!$G$8,2*G58*'депозитный калькулятор'!$G$8),IF(AND(OR('депозитный калькулятор'!$G$7="30/365",'депозитный калькулятор'!$G$7="30/360"),DAY(F58)=31)," ",IF(AND('депозитный калькулятор'!$G$7="факт/факт",MOD(YEAR(F58),4)=0),G58*'депозитный калькулятор'!$D$11/366,G58*'депозитный калькулятор'!$G$8))))</f>
        <v xml:space="preserve"> </v>
      </c>
      <c r="I58" s="134" t="str">
        <f ca="1">IF(F58=" "," ",IF('депозитный калькулятор'!$G$10="ежедневное",H58,IF(AND('депозитный калькулятор'!$G$10="еженедельное",WEEKDAY(F58,2)=7),SUM(OFFSET(H58,-6,0):H58),IF(AND('депозитный калькулятор'!$G$10="еженедельное",F58='депозитный калькулятор'!$D$8),SUM($H$23:H58)-SUM($I$23:I57),IF(AND('депозитный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недели",WEEKDAY(F58,2)=7),MIN(OFFSET(H58,-6,0):H58)*(COUNTIF(OFFSET(H58,-6,0):H58,"&gt;0")+SUMIF(OFFSET(A58,-WEEKDAY(F58,2),0):A58,"=2",OFFSET(A58,-WEEKDAY(F58,2),0):A58)),IF(AND('депозитный калькулятор'!$G$10="еженедельное, на минимальную сумму зафиксированную в течение недели",F58='депозитный калькулятор'!$D$8,WEEKDAY(F58,2)&lt;&gt;7),MIN(OFFSET(H58,-WEEKDAY(F58,2),0):H58)*(COUNTIF(OFFSET(H58,-WEEKDAY(F58,2)+1,0):H58,"&gt;0")+SUM(OFFSET(A58,-WEEKDAY(F58,2),0):A58)),IF(AND('депозитный калькулятор'!$G$10="ежемесячное (в конце месяца)",F58='депозитный калькулятор'!$D$8,EOMONTH(F58,0)&lt;&gt;F58),IF('депозитный калькулятор'!$F$1=1,$H$24,SUM($H$23:H58)-SUM($I$23:I57)),IF(AND('депозитный калькулятор'!$G$10="ежемесячное (в конце месяца)",EOMONTH(F58,0)=F58),SUM($H$23:H58)-SUM($I$23:I57),IF(AND('депозитный калькулятор'!$G$10="ежемесячное (по дням открытия вклада)",F58='депозитный калькулятор'!$D$8,DAY('депозитный калькулятор'!$D$7)&lt;&gt;DAY(F58)),IF('депозитный калькулятор'!$F$1=1,$H$24,SUM($H$23:H58)-SUM($I$23:I57)),IF(AND('депозитный калькулятор'!$G$10="ежемесячное (по дням открытия вклада)",DAY('депозитный калькулятор'!$D$7)=DAY(F58)),SUM($H$23:H58)-SUM($I$23:I57),IF(AND('депозитный калькулятор'!$G$10="ежемесячное, на минимальную сумму зафиксированную в течение месяца",F58='депозитный калькулятор'!$D$8,EOMONTH(F58,0)&lt;&gt;F58),IF('депозитный калькулятор'!$F$1=1,$H$24,IF(AND(OR('депозитный калькулятор'!$G$7="30/365",'депозитный калькулятор'!$G$7="30/360"),DAY(F58)=31),0,MIN(OFFSET(H58,-E58+1,0):H58)*(E58+SUMIF(OFFSET(A58,-E58+1,0):A58,"=2",OFFSET(A58,-E58+1,0):A58)))),IF(AND('депозитный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калькулятор'!$G$7="30/360"),DAY(EOMONTH(F58,0))=31),EOMONTH(F58,0)-1=F58,EOMONTH(F58,0)=F58)),IF(IF(AND(OR('депозитный калькулятор'!$G$7="30/365",'депозитный калькулятор'!$G$7="30/360"),DAY(EOMONTH($F$23,0))=31),F58=EOMONTH($F$23,0)-1,F58=EOMONTH($F$23,0)),MIN(OFFSET(H58,-(DAY(F58)-DAY($F$23)),0):H58)*E58,MIN(OFFSET(H58,-(DAY(F58)-1),0):H58)*IF(AND(OR('депозитный калькулятор'!$G$7="30/365",'депозитный калькулятор'!$G$7="30/360"),DAY(F58)&lt;30),30,DAY(F58))),IF(AND('депозитный калькулятор'!$G$10="ежемесячное, на средний остаток в течение месяца, при условии что остаток больше чем ограничение",F58='депозитный калькулятор'!$D$8,EOMONTH(F58,0)&lt;&gt;F58),IF('депозитный калькулятор'!$F$1=1,$H$24,SUM(OFFSET(Q58,-E58+1,0):Q58)),IF(AND('депозитный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калькулятор'!$G$7="30/360"),DAY(EOMONTH(F58,0))=31),EOMONTH(F58,0)-1=F58,EOMONTH(F58,0)=F58)),IF(IF(AND(OR('депозитный калькулятор'!$G$7="30/365",'депозитный калькулятор'!$G$7="30/360"),DAY(EOMONTH($F$24,0))=31),F58=EOMONTH($F$24,0)-1,F58=EOMONTH($F$24,0)),SUM(OFFSET(Q58,-E58+1,0):Q58),SUM(OFFSET(Q58,-E58+1,0):Q58)),IF('депозитный калькулятор'!$G$10="ежеквартальное",IF(F58&gt;'депозитный калькулятор'!$D$8," ",IF(AND(EOMONTH(F58,0)=F58,OR(MONTH(F58)=3,MONTH(F58)=6,MONTH(F58)=9,MONTH(F58)=12)),IF(EDATE(F58,-3)&lt;'депозитный калькулятор'!$D$7,SUM($H$23:H58),IF(MOD(YEAR(F58),4)=0,IF(AND(EOMONTH(F58,0)=F58,OR(MONTH(F58)=3,MONTH(F58)=6)),SUM(OFFSET(H58,-90,0):H58),IF(AND(EOMONTH(F58,0)=F58,OR(MONTH(F58)=9,MONTH(F58)=12)),SUM(OFFSET(H58,-91,0):H58))),IF(AND(EOMONTH(F58,0)=F58,MONTH(F58)=3),SUM(OFFSET(H58,-89,0):H58),IF(AND(EOMONTH(F58,0)=F58,MONTH(F58)=6),SUM(OFFSET(H58,-90,0):H58),IF(AND(EOMONTH(F58,0)=F58,OR(MONTH(F58)=9,MONTH(F58)=12)),SUM(OFFSET(H58,-91,0):H58)))))),IF(F58='депозитный калькулятор'!$D$8,SUM($H$23:H58)-SUM($I$23:I57),0))),IF('депозитный калькулятор'!$G$10="ежегодное",IF(F58&gt;'депозитный калькулятор'!$D$8," ",IF(F58='депозитный калькулятор'!$D$8,SUM($H$23:H58)-SUM($I$23:I57),IF(AND(EOMONTH(F58,0)=F58,MONTH(F58)=12),IF(MOD(YEAR(F57),4)=0,IF(F58-'депозитный калькулятор'!$D$7&lt;366,SUM($H$23:H58),SUM(OFFSET(H58,-365,0):H58)),IF(F58-'депозитный калькулятор'!$D$7&lt;365,SUM($H$23:H58),SUM(OFFSET(H58,-364,0):H58))),0))),IF(AND('депозитный калькулятор'!$G$10="в конце срока",'депозитный калькулятор'!$D$8=F58),SUM($H$23:H58),0))))))))))))))))))</f>
        <v xml:space="preserve"> </v>
      </c>
      <c r="J58" s="59" t="str">
        <f>IF(F58&gt;'депозитный калькулятор'!$D$8," ",IF('депозитный калькулятор'!$G$16="нет",0,IF(AND('депозитный калькулятор'!$G$17="разовая (в конце срока)",F58='депозитный калькулятор'!$D$8),'депозитный калькулятор'!$G$18,IF(AND('депозитный калькулятор'!$G$17="ежемесячная",EOMONTH(F57,0)=F57),'депозитный калькулятор'!$G$18,IF(AND('депозитный калькулятор'!$G$17="ежегодная",DAY(F57)=31,MONTH(F57)=12),'депозитный калькулятор'!$G$18,IF(AND('депозитный калькулятор'!$G$17="ежемесячная в зависимости от остатка",EOMONTH(F57,0)=F57,P57&gt;0),'депозитный калькулятор'!$G$18,IF(AND('депозитный калькулятор'!$G$17="ежегодная в зависимости от остатка",DAY(F57)=31,MONTH(F57)=12,P57&gt;0),'депозитный калькулятор'!$G$18,0)))))))</f>
        <v xml:space="preserve"> </v>
      </c>
      <c r="K58" s="135" t="str">
        <f>IF($F58=" "," ",IFERROR(VLOOKUP($F58,'депозитный калькулятор'!$B$26:$F$70,2,0),0))</f>
        <v xml:space="preserve"> </v>
      </c>
      <c r="L58" s="135" t="str">
        <f>IF($F58=" "," ",IFERROR(VLOOKUP($F58,'депозитный калькулятор'!$B$26:$F$70,3,0),0))</f>
        <v xml:space="preserve"> </v>
      </c>
      <c r="M58" s="135" t="str">
        <f>IF($F58=" "," ",IFERROR(VLOOKUP($F58,'депозитный калькулятор'!$B$26:$F$70,4,0),0))</f>
        <v xml:space="preserve"> </v>
      </c>
      <c r="N58" s="135" t="str">
        <f>IF($F58=" "," ",IFERROR(VLOOKUP($F58,'депозитный калькулятор'!$B$26:$F$70,5,0),0))</f>
        <v xml:space="preserve"> </v>
      </c>
      <c r="O58" s="146" t="str">
        <f>IF(F58&gt;'депозитный калькулятор'!$D$8," ",IF(F58='депозитный калькулятор'!$D$8,IF(AND($F$24='депозитный калькулятор'!$D$8,'депозитный калькулятор'!$G$13="нет"),-G58-IF(I58=" ",0,I58)-IF(AND(OR('депозитный калькулятор'!$G$7="30/365",'депозитный калькулятор'!$G$7="30/360"),'депозитный калькулятор'!$G$10="в начале срока"),I57,0)-L58+M58-N58,-G58-IF(I58=" ",0,I58)-L58+M58-N58),IF('депозитный калькулятор'!$G$13="есть",M58-N58+IF('депозитный калькулятор'!$G$14="есть",0,-L58),-IF(I58=" ",0,I58)-IF(AND(OR('депозитный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срока"),I57,0)+M58-N58+IF('депозитный калькулятор'!$G$14="есть",0,-L58))))</f>
        <v xml:space="preserve"> </v>
      </c>
      <c r="P58" s="147" t="str">
        <f>IF(F58&gt;'депозитный калькулятор'!$D$8," ",IF(EOMONTH(F57,0)=F57,0,IF(G58&gt;='депозитный калькулятор'!$G$19,P57,P57+1)))</f>
        <v xml:space="preserve"> </v>
      </c>
      <c r="Q58" s="138" t="str">
        <f>IF(F58=" "," ",IF(AND(OR('депозитный калькулятор'!$G$7="30/365",'депозитный калькулятор'!$G$7="30/360"),AND(MONTH(F58)=2,EOMONTH(F58,0)=F58)),IF(DAY(F58)=28,3,2),1)*IF(G58&gt;='депозитный калькулятор'!$G$11,IF(AND('депозитный калькулятор'!$G$7="факт/факт",MOD(YEAR(F58),4)=0),G58*'депозитный калькулятор'!$D$11/366,G58*'депозитный калькулятор'!$G$8),0))</f>
        <v xml:space="preserve"> </v>
      </c>
      <c r="R58" s="148"/>
      <c r="S58" s="62" t="str">
        <f t="shared" ca="1" si="2"/>
        <v xml:space="preserve"> </v>
      </c>
      <c r="T58" s="149" t="str">
        <f ca="1">IF(S58=" "," ",IF('депозитный калькулятор'!$G$7="30/360",DAYS360(U57,IF(DAY(U58)=31,U58-1,U58))+IF(AND(MONTH(U58)=2,U58=EOMONTH(U58,0)),30-DAY(EOMONTH(U58,0)))+T57,VLOOKUP(S58,$C$22:$F$1023,2,0)))</f>
        <v xml:space="preserve"> </v>
      </c>
      <c r="U58" s="64" t="str">
        <f t="shared" ca="1" si="0"/>
        <v xml:space="preserve"> </v>
      </c>
      <c r="V58" s="150" t="str">
        <f t="shared" ca="1" si="3"/>
        <v xml:space="preserve"> </v>
      </c>
      <c r="W58" s="62" t="str">
        <f t="shared" ca="1" si="4"/>
        <v xml:space="preserve"> </v>
      </c>
      <c r="X58" s="141" t="str">
        <f ca="1">IF(S58=" "," ",IFERROR(VLOOKUP(U58,$F$23:$N$1023,7)+VLOOKUP(U58,$F$23:$N$1023,9)+IF(AND('депозитный калькулятор'!$G$13="нет",U58&lt;&gt;'депозитный калькулятор'!$D$8),VLOOKUP(U58,$F$23:$N$1023,4),0),0)+IF(U58='депозитный калькулятор'!$D$8,VLOOKUP(U58,$F$23:$N$1023,2)+VLOOKUP(U58,$F$23:$N$1023,4),0))</f>
        <v xml:space="preserve"> </v>
      </c>
      <c r="Y58" s="142" t="str">
        <f ca="1">IF(S58=" "," ",W58/(1+'депозитный калькулятор'!$K$8)^(T58/IF('депозитный калькулятор'!$G$7="30/360",360,365)))</f>
        <v xml:space="preserve"> </v>
      </c>
      <c r="Z58" s="142" t="str">
        <f ca="1">IF(S58=" "," ",X58/(1+'депозитный калькулятор'!$K$8)^(T58/IF('депозитный калькулятор'!$G$7="30/360",360,365)))</f>
        <v xml:space="preserve"> </v>
      </c>
      <c r="AA58" s="151"/>
      <c r="AB58" s="151"/>
      <c r="AC58" s="155"/>
      <c r="AD58" s="155"/>
      <c r="AF58" s="5"/>
    </row>
    <row r="59" spans="1:32" s="2" customFormat="1" ht="15.5" x14ac:dyDescent="0.35">
      <c r="A59" s="41" t="str">
        <f>IF(F59=" "," ",IF(OR('депозитный калькулятор'!$G$7="30/365",'депозитный калькулятор'!$G$7="30/360"),IF(AND(MONTH(F59)=2,DAY(F59)=DAY(EOMONTH(F59,0))),30-DAY(EOMONTH(F59,0)),IF(DAY(F59)=31,1," "))," "))</f>
        <v xml:space="preserve"> </v>
      </c>
      <c r="B59" s="130" t="str">
        <f t="shared" si="1"/>
        <v xml:space="preserve"> </v>
      </c>
      <c r="C59" s="130" t="str">
        <f>IF(OR(B59=0,B59=" ")," ",SUM($B$23:B59))</f>
        <v xml:space="preserve"> </v>
      </c>
      <c r="D59" s="62" t="str">
        <f>IF(D58=" "," ",IF(OR(F58='депозитный калькулятор'!$D$8,F58=" ")," ",D58+1))</f>
        <v xml:space="preserve"> </v>
      </c>
      <c r="E59" s="130" t="str">
        <f>IF(OR(F58='депозитный калькулятор'!$D$8,F58=" ")," ",IF(EOMONTH(F58,0)=F58,1,E58+1))</f>
        <v xml:space="preserve"> </v>
      </c>
      <c r="F59" s="64" t="str">
        <f>IF(F58=" "," ",IF(F58='депозитный калькулятор'!$D$8," ",F58+1))</f>
        <v xml:space="preserve"> </v>
      </c>
      <c r="G59" s="145" t="str">
        <f xml:space="preserve"> IF(F59&gt;'депозитный калькулятор'!$D$8," ",IF('депозитный калькулятор'!$G$13="есть",IF('депозитный калькулятор'!$G$14="есть",G58+IF(I58=" ",0,I58)-J59-K59+L59+M59-N59,G58+IF(I58=" ",0,I58)-J59-K59+M59-N59),IF('депозитный калькулятор'!$G$14="есть",G58-J59-K59+L59+M59-N59,G58-J59-K59+M59-N59)))</f>
        <v xml:space="preserve"> </v>
      </c>
      <c r="H59" s="133" t="str">
        <f>IF(F59&gt;'депозитный калькулятор'!$D$8," ",IF(AND(OR('депозитный калькулятор'!$G$7="30/365",'депозитный калькулятор'!$G$7="30/360"),AND(MONTH(F59)=2,EOMONTH(F59,0)=F59)),IF(DAY(F59)=28,3*G59*'депозитный калькулятор'!$G$8,2*G59*'депозитный калькулятор'!$G$8),IF(AND(OR('депозитный калькулятор'!$G$7="30/365",'депозитный калькулятор'!$G$7="30/360"),DAY(F59)=31)," ",IF(AND('депозитный калькулятор'!$G$7="факт/факт",MOD(YEAR(F59),4)=0),G59*'депозитный калькулятор'!$D$11/366,G59*'депозитный калькулятор'!$G$8))))</f>
        <v xml:space="preserve"> </v>
      </c>
      <c r="I59" s="134" t="str">
        <f ca="1">IF(F59=" "," ",IF('депозитный калькулятор'!$G$10="ежедневное",H59,IF(AND('депозитный калькулятор'!$G$10="еженедельное",WEEKDAY(F59,2)=7),SUM(OFFSET(H59,-6,0):H59),IF(AND('депозитный калькулятор'!$G$10="еженедельное",F59='депозитный калькулятор'!$D$8),SUM($H$23:H59)-SUM($I$23:I58),IF(AND('депозитный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недели",WEEKDAY(F59,2)=7),MIN(OFFSET(H59,-6,0):H59)*(COUNTIF(OFFSET(H59,-6,0):H59,"&gt;0")+SUMIF(OFFSET(A59,-WEEKDAY(F59,2),0):A59,"=2",OFFSET(A59,-WEEKDAY(F59,2),0):A59)),IF(AND('депозитный калькулятор'!$G$10="еженедельное, на минимальную сумму зафиксированную в течение недели",F59='депозитный калькулятор'!$D$8,WEEKDAY(F59,2)&lt;&gt;7),MIN(OFFSET(H59,-WEEKDAY(F59,2),0):H59)*(COUNTIF(OFFSET(H59,-WEEKDAY(F59,2)+1,0):H59,"&gt;0")+SUM(OFFSET(A59,-WEEKDAY(F59,2),0):A59)),IF(AND('депозитный калькулятор'!$G$10="ежемесячное (в конце месяца)",F59='депозитный калькулятор'!$D$8,EOMONTH(F59,0)&lt;&gt;F59),IF('депозитный калькулятор'!$F$1=1,$H$24,SUM($H$23:H59)-SUM($I$23:I58)),IF(AND('депозитный калькулятор'!$G$10="ежемесячное (в конце месяца)",EOMONTH(F59,0)=F59),SUM($H$23:H59)-SUM($I$23:I58),IF(AND('депозитный калькулятор'!$G$10="ежемесячное (по дням открытия вклада)",F59='депозитный калькулятор'!$D$8,DAY('депозитный калькулятор'!$D$7)&lt;&gt;DAY(F59)),IF('депозитный калькулятор'!$F$1=1,$H$24,SUM($H$23:H59)-SUM($I$23:I58)),IF(AND('депозитный калькулятор'!$G$10="ежемесячное (по дням открытия вклада)",DAY('депозитный калькулятор'!$D$7)=DAY(F59)),SUM($H$23:H59)-SUM($I$23:I58),IF(AND('депозитный калькулятор'!$G$10="ежемесячное, на минимальную сумму зафиксированную в течение месяца",F59='депозитный калькулятор'!$D$8,EOMONTH(F59,0)&lt;&gt;F59),IF('депозитный калькулятор'!$F$1=1,$H$24,IF(AND(OR('депозитный калькулятор'!$G$7="30/365",'депозитный калькулятор'!$G$7="30/360"),DAY(F59)=31),0,MIN(OFFSET(H59,-E59+1,0):H59)*(E59+SUMIF(OFFSET(A59,-E59+1,0):A59,"=2",OFFSET(A59,-E59+1,0):A59)))),IF(AND('депозитный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калькулятор'!$G$7="30/360"),DAY(EOMONTH(F59,0))=31),EOMONTH(F59,0)-1=F59,EOMONTH(F59,0)=F59)),IF(IF(AND(OR('депозитный калькулятор'!$G$7="30/365",'депозитный калькулятор'!$G$7="30/360"),DAY(EOMONTH($F$23,0))=31),F59=EOMONTH($F$23,0)-1,F59=EOMONTH($F$23,0)),MIN(OFFSET(H59,-(DAY(F59)-DAY($F$23)),0):H59)*E59,MIN(OFFSET(H59,-(DAY(F59)-1),0):H59)*IF(AND(OR('депозитный калькулятор'!$G$7="30/365",'депозитный калькулятор'!$G$7="30/360"),DAY(F59)&lt;30),30,DAY(F59))),IF(AND('депозитный калькулятор'!$G$10="ежемесячное, на средний остаток в течение месяца, при условии что остаток больше чем ограничение",F59='депозитный калькулятор'!$D$8,EOMONTH(F59,0)&lt;&gt;F59),IF('депозитный калькулятор'!$F$1=1,$H$24,SUM(OFFSET(Q59,-E59+1,0):Q59)),IF(AND('депозитный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калькулятор'!$G$7="30/360"),DAY(EOMONTH(F59,0))=31),EOMONTH(F59,0)-1=F59,EOMONTH(F59,0)=F59)),IF(IF(AND(OR('депозитный калькулятор'!$G$7="30/365",'депозитный калькулятор'!$G$7="30/360"),DAY(EOMONTH($F$24,0))=31),F59=EOMONTH($F$24,0)-1,F59=EOMONTH($F$24,0)),SUM(OFFSET(Q59,-E59+1,0):Q59),SUM(OFFSET(Q59,-E59+1,0):Q59)),IF('депозитный калькулятор'!$G$10="ежеквартальное",IF(F59&gt;'депозитный калькулятор'!$D$8," ",IF(AND(EOMONTH(F59,0)=F59,OR(MONTH(F59)=3,MONTH(F59)=6,MONTH(F59)=9,MONTH(F59)=12)),IF(EDATE(F59,-3)&lt;'депозитный калькулятор'!$D$7,SUM($H$23:H59),IF(MOD(YEAR(F59),4)=0,IF(AND(EOMONTH(F59,0)=F59,OR(MONTH(F59)=3,MONTH(F59)=6)),SUM(OFFSET(H59,-90,0):H59),IF(AND(EOMONTH(F59,0)=F59,OR(MONTH(F59)=9,MONTH(F59)=12)),SUM(OFFSET(H59,-91,0):H59))),IF(AND(EOMONTH(F59,0)=F59,MONTH(F59)=3),SUM(OFFSET(H59,-89,0):H59),IF(AND(EOMONTH(F59,0)=F59,MONTH(F59)=6),SUM(OFFSET(H59,-90,0):H59),IF(AND(EOMONTH(F59,0)=F59,OR(MONTH(F59)=9,MONTH(F59)=12)),SUM(OFFSET(H59,-91,0):H59)))))),IF(F59='депозитный калькулятор'!$D$8,SUM($H$23:H59)-SUM($I$23:I58),0))),IF('депозитный калькулятор'!$G$10="ежегодное",IF(F59&gt;'депозитный калькулятор'!$D$8," ",IF(F59='депозитный калькулятор'!$D$8,SUM($H$23:H59)-SUM($I$23:I58),IF(AND(EOMONTH(F59,0)=F59,MONTH(F59)=12),IF(MOD(YEAR(F58),4)=0,IF(F59-'депозитный калькулятор'!$D$7&lt;366,SUM($H$23:H59),SUM(OFFSET(H59,-365,0):H59)),IF(F59-'депозитный калькулятор'!$D$7&lt;365,SUM($H$23:H59),SUM(OFFSET(H59,-364,0):H59))),0))),IF(AND('депозитный калькулятор'!$G$10="в конце срока",'депозитный калькулятор'!$D$8=F59),SUM($H$23:H59),0))))))))))))))))))</f>
        <v xml:space="preserve"> </v>
      </c>
      <c r="J59" s="59" t="str">
        <f>IF(F59&gt;'депозитный калькулятор'!$D$8," ",IF('депозитный калькулятор'!$G$16="нет",0,IF(AND('депозитный калькулятор'!$G$17="разовая (в конце срока)",F59='депозитный калькулятор'!$D$8),'депозитный калькулятор'!$G$18,IF(AND('депозитный калькулятор'!$G$17="ежемесячная",EOMONTH(F58,0)=F58),'депозитный калькулятор'!$G$18,IF(AND('депозитный калькулятор'!$G$17="ежегодная",DAY(F58)=31,MONTH(F58)=12),'депозитный калькулятор'!$G$18,IF(AND('депозитный калькулятор'!$G$17="ежемесячная в зависимости от остатка",EOMONTH(F58,0)=F58,P58&gt;0),'депозитный калькулятор'!$G$18,IF(AND('депозитный калькулятор'!$G$17="ежегодная в зависимости от остатка",DAY(F58)=31,MONTH(F58)=12,P58&gt;0),'депозитный калькулятор'!$G$18,0)))))))</f>
        <v xml:space="preserve"> </v>
      </c>
      <c r="K59" s="135" t="str">
        <f>IF($F59=" "," ",IFERROR(VLOOKUP($F59,'депозитный калькулятор'!$B$26:$F$70,2,0),0))</f>
        <v xml:space="preserve"> </v>
      </c>
      <c r="L59" s="135" t="str">
        <f>IF($F59=" "," ",IFERROR(VLOOKUP($F59,'депозитный калькулятор'!$B$26:$F$70,3,0),0))</f>
        <v xml:space="preserve"> </v>
      </c>
      <c r="M59" s="135" t="str">
        <f>IF($F59=" "," ",IFERROR(VLOOKUP($F59,'депозитный калькулятор'!$B$26:$F$70,4,0),0))</f>
        <v xml:space="preserve"> </v>
      </c>
      <c r="N59" s="135" t="str">
        <f>IF($F59=" "," ",IFERROR(VLOOKUP($F59,'депозитный калькулятор'!$B$26:$F$70,5,0),0))</f>
        <v xml:space="preserve"> </v>
      </c>
      <c r="O59" s="146" t="str">
        <f>IF(F59&gt;'депозитный калькулятор'!$D$8," ",IF(F59='депозитный калькулятор'!$D$8,IF(AND($F$24='депозитный калькулятор'!$D$8,'депозитный калькулятор'!$G$13="нет"),-G59-IF(I59=" ",0,I59)-IF(AND(OR('депозитный калькулятор'!$G$7="30/365",'депозитный калькулятор'!$G$7="30/360"),'депозитный калькулятор'!$G$10="в начале срока"),I58,0)-L59+M59-N59,-G59-IF(I59=" ",0,I59)-L59+M59-N59),IF('депозитный калькулятор'!$G$13="есть",M59-N59+IF('депозитный калькулятор'!$G$14="есть",0,-L59),-IF(I59=" ",0,I59)-IF(AND(OR('депозитный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срока"),I58,0)+M59-N59+IF('депозитный калькулятор'!$G$14="есть",0,-L59))))</f>
        <v xml:space="preserve"> </v>
      </c>
      <c r="P59" s="147" t="str">
        <f>IF(F59&gt;'депозитный калькулятор'!$D$8," ",IF(EOMONTH(F58,0)=F58,0,IF(G59&gt;='депозитный калькулятор'!$G$19,P58,P58+1)))</f>
        <v xml:space="preserve"> </v>
      </c>
      <c r="Q59" s="138" t="str">
        <f>IF(F59=" "," ",IF(AND(OR('депозитный калькулятор'!$G$7="30/365",'депозитный калькулятор'!$G$7="30/360"),AND(MONTH(F59)=2,EOMONTH(F59,0)=F59)),IF(DAY(F59)=28,3,2),1)*IF(G59&gt;='депозитный калькулятор'!$G$11,IF(AND('депозитный калькулятор'!$G$7="факт/факт",MOD(YEAR(F59),4)=0),G59*'депозитный калькулятор'!$D$11/366,G59*'депозитный калькулятор'!$G$8),0))</f>
        <v xml:space="preserve"> </v>
      </c>
      <c r="R59" s="148"/>
      <c r="S59" s="62" t="str">
        <f t="shared" ca="1" si="2"/>
        <v xml:space="preserve"> </v>
      </c>
      <c r="T59" s="149" t="str">
        <f ca="1">IF(S59=" "," ",IF('депозитный калькулятор'!$G$7="30/360",DAYS360(U58,IF(DAY(U59)=31,U59-1,U59))+IF(AND(MONTH(U59)=2,U59=EOMONTH(U59,0)),30-DAY(EOMONTH(U59,0)))+T58,VLOOKUP(S59,$C$22:$F$1023,2,0)))</f>
        <v xml:space="preserve"> </v>
      </c>
      <c r="U59" s="64" t="str">
        <f t="shared" ca="1" si="0"/>
        <v xml:space="preserve"> </v>
      </c>
      <c r="V59" s="150" t="str">
        <f t="shared" ca="1" si="3"/>
        <v xml:space="preserve"> </v>
      </c>
      <c r="W59" s="62" t="str">
        <f t="shared" ca="1" si="4"/>
        <v xml:space="preserve"> </v>
      </c>
      <c r="X59" s="141" t="str">
        <f ca="1">IF(S59=" "," ",IFERROR(VLOOKUP(U59,$F$23:$N$1023,7)+VLOOKUP(U59,$F$23:$N$1023,9)+IF(AND('депозитный калькулятор'!$G$13="нет",U59&lt;&gt;'депозитный калькулятор'!$D$8),VLOOKUP(U59,$F$23:$N$1023,4),0),0)+IF(U59='депозитный калькулятор'!$D$8,VLOOKUP(U59,$F$23:$N$1023,2)+VLOOKUP(U59,$F$23:$N$1023,4),0))</f>
        <v xml:space="preserve"> </v>
      </c>
      <c r="Y59" s="142" t="str">
        <f ca="1">IF(S59=" "," ",W59/(1+'депозитный калькулятор'!$K$8)^(T59/IF('депозитный калькулятор'!$G$7="30/360",360,365)))</f>
        <v xml:space="preserve"> </v>
      </c>
      <c r="Z59" s="142" t="str">
        <f ca="1">IF(S59=" "," ",X59/(1+'депозитный калькулятор'!$K$8)^(T59/IF('депозитный калькулятор'!$G$7="30/360",360,365)))</f>
        <v xml:space="preserve"> </v>
      </c>
      <c r="AA59" s="151"/>
      <c r="AB59" s="151"/>
      <c r="AC59" s="155"/>
      <c r="AD59" s="155"/>
      <c r="AF59" s="5"/>
    </row>
    <row r="60" spans="1:32" s="2" customFormat="1" ht="15.5" x14ac:dyDescent="0.35">
      <c r="A60" s="41" t="str">
        <f>IF(F60=" "," ",IF(OR('депозитный калькулятор'!$G$7="30/365",'депозитный калькулятор'!$G$7="30/360"),IF(AND(MONTH(F60)=2,DAY(F60)=DAY(EOMONTH(F60,0))),30-DAY(EOMONTH(F60,0)),IF(DAY(F60)=31,1," "))," "))</f>
        <v xml:space="preserve"> </v>
      </c>
      <c r="B60" s="130" t="str">
        <f t="shared" si="1"/>
        <v xml:space="preserve"> </v>
      </c>
      <c r="C60" s="130" t="str">
        <f>IF(OR(B60=0,B60=" ")," ",SUM($B$23:B60))</f>
        <v xml:space="preserve"> </v>
      </c>
      <c r="D60" s="62" t="str">
        <f>IF(D59=" "," ",IF(OR(F59='депозитный калькулятор'!$D$8,F59=" ")," ",D59+1))</f>
        <v xml:space="preserve"> </v>
      </c>
      <c r="E60" s="130" t="str">
        <f>IF(OR(F59='депозитный калькулятор'!$D$8,F59=" ")," ",IF(EOMONTH(F59,0)=F59,1,E59+1))</f>
        <v xml:space="preserve"> </v>
      </c>
      <c r="F60" s="64" t="str">
        <f>IF(F59=" "," ",IF(F59='депозитный калькулятор'!$D$8," ",F59+1))</f>
        <v xml:space="preserve"> </v>
      </c>
      <c r="G60" s="145" t="str">
        <f xml:space="preserve"> IF(F60&gt;'депозитный калькулятор'!$D$8," ",IF('депозитный калькулятор'!$G$13="есть",IF('депозитный калькулятор'!$G$14="есть",G59+IF(I59=" ",0,I59)-J60-K60+L60+M60-N60,G59+IF(I59=" ",0,I59)-J60-K60+M60-N60),IF('депозитный калькулятор'!$G$14="есть",G59-J60-K60+L60+M60-N60,G59-J60-K60+M60-N60)))</f>
        <v xml:space="preserve"> </v>
      </c>
      <c r="H60" s="133" t="str">
        <f>IF(F60&gt;'депозитный калькулятор'!$D$8," ",IF(AND(OR('депозитный калькулятор'!$G$7="30/365",'депозитный калькулятор'!$G$7="30/360"),AND(MONTH(F60)=2,EOMONTH(F60,0)=F60)),IF(DAY(F60)=28,3*G60*'депозитный калькулятор'!$G$8,2*G60*'депозитный калькулятор'!$G$8),IF(AND(OR('депозитный калькулятор'!$G$7="30/365",'депозитный калькулятор'!$G$7="30/360"),DAY(F60)=31)," ",IF(AND('депозитный калькулятор'!$G$7="факт/факт",MOD(YEAR(F60),4)=0),G60*'депозитный калькулятор'!$D$11/366,G60*'депозитный калькулятор'!$G$8))))</f>
        <v xml:space="preserve"> </v>
      </c>
      <c r="I60" s="134" t="str">
        <f ca="1">IF(F60=" "," ",IF('депозитный калькулятор'!$G$10="ежедневное",H60,IF(AND('депозитный калькулятор'!$G$10="еженедельное",WEEKDAY(F60,2)=7),SUM(OFFSET(H60,-6,0):H60),IF(AND('депозитный калькулятор'!$G$10="еженедельное",F60='депозитный калькулятор'!$D$8),SUM($H$23:H60)-SUM($I$23:I59),IF(AND('депозитный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недели",WEEKDAY(F60,2)=7),MIN(OFFSET(H60,-6,0):H60)*(COUNTIF(OFFSET(H60,-6,0):H60,"&gt;0")+SUMIF(OFFSET(A60,-WEEKDAY(F60,2),0):A60,"=2",OFFSET(A60,-WEEKDAY(F60,2),0):A60)),IF(AND('депозитный калькулятор'!$G$10="еженедельное, на минимальную сумму зафиксированную в течение недели",F60='депозитный калькулятор'!$D$8,WEEKDAY(F60,2)&lt;&gt;7),MIN(OFFSET(H60,-WEEKDAY(F60,2),0):H60)*(COUNTIF(OFFSET(H60,-WEEKDAY(F60,2)+1,0):H60,"&gt;0")+SUM(OFFSET(A60,-WEEKDAY(F60,2),0):A60)),IF(AND('депозитный калькулятор'!$G$10="ежемесячное (в конце месяца)",F60='депозитный калькулятор'!$D$8,EOMONTH(F60,0)&lt;&gt;F60),IF('депозитный калькулятор'!$F$1=1,$H$24,SUM($H$23:H60)-SUM($I$23:I59)),IF(AND('депозитный калькулятор'!$G$10="ежемесячное (в конце месяца)",EOMONTH(F60,0)=F60),SUM($H$23:H60)-SUM($I$23:I59),IF(AND('депозитный калькулятор'!$G$10="ежемесячное (по дням открытия вклада)",F60='депозитный калькулятор'!$D$8,DAY('депозитный калькулятор'!$D$7)&lt;&gt;DAY(F60)),IF('депозитный калькулятор'!$F$1=1,$H$24,SUM($H$23:H60)-SUM($I$23:I59)),IF(AND('депозитный калькулятор'!$G$10="ежемесячное (по дням открытия вклада)",DAY('депозитный калькулятор'!$D$7)=DAY(F60)),SUM($H$23:H60)-SUM($I$23:I59),IF(AND('депозитный калькулятор'!$G$10="ежемесячное, на минимальную сумму зафиксированную в течение месяца",F60='депозитный калькулятор'!$D$8,EOMONTH(F60,0)&lt;&gt;F60),IF('депозитный калькулятор'!$F$1=1,$H$24,IF(AND(OR('депозитный калькулятор'!$G$7="30/365",'депозитный калькулятор'!$G$7="30/360"),DAY(F60)=31),0,MIN(OFFSET(H60,-E60+1,0):H60)*(E60+SUMIF(OFFSET(A60,-E60+1,0):A60,"=2",OFFSET(A60,-E60+1,0):A60)))),IF(AND('депозитный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калькулятор'!$G$7="30/360"),DAY(EOMONTH(F60,0))=31),EOMONTH(F60,0)-1=F60,EOMONTH(F60,0)=F60)),IF(IF(AND(OR('депозитный калькулятор'!$G$7="30/365",'депозитный калькулятор'!$G$7="30/360"),DAY(EOMONTH($F$23,0))=31),F60=EOMONTH($F$23,0)-1,F60=EOMONTH($F$23,0)),MIN(OFFSET(H60,-(DAY(F60)-DAY($F$23)),0):H60)*E60,MIN(OFFSET(H60,-(DAY(F60)-1),0):H60)*IF(AND(OR('депозитный калькулятор'!$G$7="30/365",'депозитный калькулятор'!$G$7="30/360"),DAY(F60)&lt;30),30,DAY(F60))),IF(AND('депозитный калькулятор'!$G$10="ежемесячное, на средний остаток в течение месяца, при условии что остаток больше чем ограничение",F60='депозитный калькулятор'!$D$8,EOMONTH(F60,0)&lt;&gt;F60),IF('депозитный калькулятор'!$F$1=1,$H$24,SUM(OFFSET(Q60,-E60+1,0):Q60)),IF(AND('депозитный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калькулятор'!$G$7="30/360"),DAY(EOMONTH(F60,0))=31),EOMONTH(F60,0)-1=F60,EOMONTH(F60,0)=F60)),IF(IF(AND(OR('депозитный калькулятор'!$G$7="30/365",'депозитный калькулятор'!$G$7="30/360"),DAY(EOMONTH($F$24,0))=31),F60=EOMONTH($F$24,0)-1,F60=EOMONTH($F$24,0)),SUM(OFFSET(Q60,-E60+1,0):Q60),SUM(OFFSET(Q60,-E60+1,0):Q60)),IF('депозитный калькулятор'!$G$10="ежеквартальное",IF(F60&gt;'депозитный калькулятор'!$D$8," ",IF(AND(EOMONTH(F60,0)=F60,OR(MONTH(F60)=3,MONTH(F60)=6,MONTH(F60)=9,MONTH(F60)=12)),IF(EDATE(F60,-3)&lt;'депозитный калькулятор'!$D$7,SUM($H$23:H60),IF(MOD(YEAR(F60),4)=0,IF(AND(EOMONTH(F60,0)=F60,OR(MONTH(F60)=3,MONTH(F60)=6)),SUM(OFFSET(H60,-90,0):H60),IF(AND(EOMONTH(F60,0)=F60,OR(MONTH(F60)=9,MONTH(F60)=12)),SUM(OFFSET(H60,-91,0):H60))),IF(AND(EOMONTH(F60,0)=F60,MONTH(F60)=3),SUM(OFFSET(H60,-89,0):H60),IF(AND(EOMONTH(F60,0)=F60,MONTH(F60)=6),SUM(OFFSET(H60,-90,0):H60),IF(AND(EOMONTH(F60,0)=F60,OR(MONTH(F60)=9,MONTH(F60)=12)),SUM(OFFSET(H60,-91,0):H60)))))),IF(F60='депозитный калькулятор'!$D$8,SUM($H$23:H60)-SUM($I$23:I59),0))),IF('депозитный калькулятор'!$G$10="ежегодное",IF(F60&gt;'депозитный калькулятор'!$D$8," ",IF(F60='депозитный калькулятор'!$D$8,SUM($H$23:H60)-SUM($I$23:I59),IF(AND(EOMONTH(F60,0)=F60,MONTH(F60)=12),IF(MOD(YEAR(F59),4)=0,IF(F60-'депозитный калькулятор'!$D$7&lt;366,SUM($H$23:H60),SUM(OFFSET(H60,-365,0):H60)),IF(F60-'депозитный калькулятор'!$D$7&lt;365,SUM($H$23:H60),SUM(OFFSET(H60,-364,0):H60))),0))),IF(AND('депозитный калькулятор'!$G$10="в конце срока",'депозитный калькулятор'!$D$8=F60),SUM($H$23:H60),0))))))))))))))))))</f>
        <v xml:space="preserve"> </v>
      </c>
      <c r="J60" s="59" t="str">
        <f>IF(F60&gt;'депозитный калькулятор'!$D$8," ",IF('депозитный калькулятор'!$G$16="нет",0,IF(AND('депозитный калькулятор'!$G$17="разовая (в конце срока)",F60='депозитный калькулятор'!$D$8),'депозитный калькулятор'!$G$18,IF(AND('депозитный калькулятор'!$G$17="ежемесячная",EOMONTH(F59,0)=F59),'депозитный калькулятор'!$G$18,IF(AND('депозитный калькулятор'!$G$17="ежегодная",DAY(F59)=31,MONTH(F59)=12),'депозитный калькулятор'!$G$18,IF(AND('депозитный калькулятор'!$G$17="ежемесячная в зависимости от остатка",EOMONTH(F59,0)=F59,P59&gt;0),'депозитный калькулятор'!$G$18,IF(AND('депозитный калькулятор'!$G$17="ежегодная в зависимости от остатка",DAY(F59)=31,MONTH(F59)=12,P59&gt;0),'депозитный калькулятор'!$G$18,0)))))))</f>
        <v xml:space="preserve"> </v>
      </c>
      <c r="K60" s="135" t="str">
        <f>IF($F60=" "," ",IFERROR(VLOOKUP($F60,'депозитный калькулятор'!$B$26:$F$70,2,0),0))</f>
        <v xml:space="preserve"> </v>
      </c>
      <c r="L60" s="135" t="str">
        <f>IF($F60=" "," ",IFERROR(VLOOKUP($F60,'депозитный калькулятор'!$B$26:$F$70,3,0),0))</f>
        <v xml:space="preserve"> </v>
      </c>
      <c r="M60" s="135" t="str">
        <f>IF($F60=" "," ",IFERROR(VLOOKUP($F60,'депозитный калькулятор'!$B$26:$F$70,4,0),0))</f>
        <v xml:space="preserve"> </v>
      </c>
      <c r="N60" s="135" t="str">
        <f>IF($F60=" "," ",IFERROR(VLOOKUP($F60,'депозитный калькулятор'!$B$26:$F$70,5,0),0))</f>
        <v xml:space="preserve"> </v>
      </c>
      <c r="O60" s="146" t="str">
        <f>IF(F60&gt;'депозитный калькулятор'!$D$8," ",IF(F60='депозитный калькулятор'!$D$8,IF(AND($F$24='депозитный калькулятор'!$D$8,'депозитный калькулятор'!$G$13="нет"),-G60-IF(I60=" ",0,I60)-IF(AND(OR('депозитный калькулятор'!$G$7="30/365",'депозитный калькулятор'!$G$7="30/360"),'депозитный калькулятор'!$G$10="в начале срока"),I59,0)-L60+M60-N60,-G60-IF(I60=" ",0,I60)-L60+M60-N60),IF('депозитный калькулятор'!$G$13="есть",M60-N60+IF('депозитный калькулятор'!$G$14="есть",0,-L60),-IF(I60=" ",0,I60)-IF(AND(OR('депозитный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срока"),I59,0)+M60-N60+IF('депозитный калькулятор'!$G$14="есть",0,-L60))))</f>
        <v xml:space="preserve"> </v>
      </c>
      <c r="P60" s="147" t="str">
        <f>IF(F60&gt;'депозитный калькулятор'!$D$8," ",IF(EOMONTH(F59,0)=F59,0,IF(G60&gt;='депозитный калькулятор'!$G$19,P59,P59+1)))</f>
        <v xml:space="preserve"> </v>
      </c>
      <c r="Q60" s="138" t="str">
        <f>IF(F60=" "," ",IF(AND(OR('депозитный калькулятор'!$G$7="30/365",'депозитный калькулятор'!$G$7="30/360"),AND(MONTH(F60)=2,EOMONTH(F60,0)=F60)),IF(DAY(F60)=28,3,2),1)*IF(G60&gt;='депозитный калькулятор'!$G$11,IF(AND('депозитный калькулятор'!$G$7="факт/факт",MOD(YEAR(F60),4)=0),G60*'депозитный калькулятор'!$D$11/366,G60*'депозитный калькулятор'!$G$8),0))</f>
        <v xml:space="preserve"> </v>
      </c>
      <c r="R60" s="148"/>
      <c r="S60" s="62" t="str">
        <f t="shared" ca="1" si="2"/>
        <v xml:space="preserve"> </v>
      </c>
      <c r="T60" s="149" t="str">
        <f ca="1">IF(S60=" "," ",IF('депозитный калькулятор'!$G$7="30/360",DAYS360(U59,IF(DAY(U60)=31,U60-1,U60))+IF(AND(MONTH(U60)=2,U60=EOMONTH(U60,0)),30-DAY(EOMONTH(U60,0)))+T59,VLOOKUP(S60,$C$22:$F$1023,2,0)))</f>
        <v xml:space="preserve"> </v>
      </c>
      <c r="U60" s="64" t="str">
        <f t="shared" ca="1" si="0"/>
        <v xml:space="preserve"> </v>
      </c>
      <c r="V60" s="150" t="str">
        <f t="shared" ca="1" si="3"/>
        <v xml:space="preserve"> </v>
      </c>
      <c r="W60" s="62" t="str">
        <f t="shared" ca="1" si="4"/>
        <v xml:space="preserve"> </v>
      </c>
      <c r="X60" s="141" t="str">
        <f ca="1">IF(S60=" "," ",IFERROR(VLOOKUP(U60,$F$23:$N$1023,7)+VLOOKUP(U60,$F$23:$N$1023,9)+IF(AND('депозитный калькулятор'!$G$13="нет",U60&lt;&gt;'депозитный калькулятор'!$D$8),VLOOKUP(U60,$F$23:$N$1023,4),0),0)+IF(U60='депозитный калькулятор'!$D$8,VLOOKUP(U60,$F$23:$N$1023,2)+VLOOKUP(U60,$F$23:$N$1023,4),0))</f>
        <v xml:space="preserve"> </v>
      </c>
      <c r="Y60" s="142" t="str">
        <f ca="1">IF(S60=" "," ",W60/(1+'депозитный калькулятор'!$K$8)^(T60/IF('депозитный калькулятор'!$G$7="30/360",360,365)))</f>
        <v xml:space="preserve"> </v>
      </c>
      <c r="Z60" s="142" t="str">
        <f ca="1">IF(S60=" "," ",X60/(1+'депозитный калькулятор'!$K$8)^(T60/IF('депозитный калькулятор'!$G$7="30/360",360,365)))</f>
        <v xml:space="preserve"> </v>
      </c>
      <c r="AA60" s="151"/>
      <c r="AB60" s="151"/>
      <c r="AC60" s="155"/>
      <c r="AD60" s="155"/>
      <c r="AF60" s="5"/>
    </row>
    <row r="61" spans="1:32" s="2" customFormat="1" ht="15.5" x14ac:dyDescent="0.35">
      <c r="A61" s="41" t="str">
        <f>IF(F61=" "," ",IF(OR('депозитный калькулятор'!$G$7="30/365",'депозитный калькулятор'!$G$7="30/360"),IF(AND(MONTH(F61)=2,DAY(F61)=DAY(EOMONTH(F61,0))),30-DAY(EOMONTH(F61,0)),IF(DAY(F61)=31,1," "))," "))</f>
        <v xml:space="preserve"> </v>
      </c>
      <c r="B61" s="130" t="str">
        <f t="shared" si="1"/>
        <v xml:space="preserve"> </v>
      </c>
      <c r="C61" s="130" t="str">
        <f>IF(OR(B61=0,B61=" ")," ",SUM($B$23:B61))</f>
        <v xml:space="preserve"> </v>
      </c>
      <c r="D61" s="62" t="str">
        <f>IF(D60=" "," ",IF(OR(F60='депозитный калькулятор'!$D$8,F60=" ")," ",D60+1))</f>
        <v xml:space="preserve"> </v>
      </c>
      <c r="E61" s="130" t="str">
        <f>IF(OR(F60='депозитный калькулятор'!$D$8,F60=" ")," ",IF(EOMONTH(F60,0)=F60,1,E60+1))</f>
        <v xml:space="preserve"> </v>
      </c>
      <c r="F61" s="64" t="str">
        <f>IF(F60=" "," ",IF(F60='депозитный калькулятор'!$D$8," ",F60+1))</f>
        <v xml:space="preserve"> </v>
      </c>
      <c r="G61" s="145" t="str">
        <f xml:space="preserve"> IF(F61&gt;'депозитный калькулятор'!$D$8," ",IF('депозитный калькулятор'!$G$13="есть",IF('депозитный калькулятор'!$G$14="есть",G60+IF(I60=" ",0,I60)-J61-K61+L61+M61-N61,G60+IF(I60=" ",0,I60)-J61-K61+M61-N61),IF('депозитный калькулятор'!$G$14="есть",G60-J61-K61+L61+M61-N61,G60-J61-K61+M61-N61)))</f>
        <v xml:space="preserve"> </v>
      </c>
      <c r="H61" s="133" t="str">
        <f>IF(F61&gt;'депозитный калькулятор'!$D$8," ",IF(AND(OR('депозитный калькулятор'!$G$7="30/365",'депозитный калькулятор'!$G$7="30/360"),AND(MONTH(F61)=2,EOMONTH(F61,0)=F61)),IF(DAY(F61)=28,3*G61*'депозитный калькулятор'!$G$8,2*G61*'депозитный калькулятор'!$G$8),IF(AND(OR('депозитный калькулятор'!$G$7="30/365",'депозитный калькулятор'!$G$7="30/360"),DAY(F61)=31)," ",IF(AND('депозитный калькулятор'!$G$7="факт/факт",MOD(YEAR(F61),4)=0),G61*'депозитный калькулятор'!$D$11/366,G61*'депозитный калькулятор'!$G$8))))</f>
        <v xml:space="preserve"> </v>
      </c>
      <c r="I61" s="134" t="str">
        <f ca="1">IF(F61=" "," ",IF('депозитный калькулятор'!$G$10="ежедневное",H61,IF(AND('депозитный калькулятор'!$G$10="еженедельное",WEEKDAY(F61,2)=7),SUM(OFFSET(H61,-6,0):H61),IF(AND('депозитный калькулятор'!$G$10="еженедельное",F61='депозитный калькулятор'!$D$8),SUM($H$23:H61)-SUM($I$23:I60),IF(AND('депозитный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недели",WEEKDAY(F61,2)=7),MIN(OFFSET(H61,-6,0):H61)*(COUNTIF(OFFSET(H61,-6,0):H61,"&gt;0")+SUMIF(OFFSET(A61,-WEEKDAY(F61,2),0):A61,"=2",OFFSET(A61,-WEEKDAY(F61,2),0):A61)),IF(AND('депозитный калькулятор'!$G$10="еженедельное, на минимальную сумму зафиксированную в течение недели",F61='депозитный калькулятор'!$D$8,WEEKDAY(F61,2)&lt;&gt;7),MIN(OFFSET(H61,-WEEKDAY(F61,2),0):H61)*(COUNTIF(OFFSET(H61,-WEEKDAY(F61,2)+1,0):H61,"&gt;0")+SUM(OFFSET(A61,-WEEKDAY(F61,2),0):A61)),IF(AND('депозитный калькулятор'!$G$10="ежемесячное (в конце месяца)",F61='депозитный калькулятор'!$D$8,EOMONTH(F61,0)&lt;&gt;F61),IF('депозитный калькулятор'!$F$1=1,$H$24,SUM($H$23:H61)-SUM($I$23:I60)),IF(AND('депозитный калькулятор'!$G$10="ежемесячное (в конце месяца)",EOMONTH(F61,0)=F61),SUM($H$23:H61)-SUM($I$23:I60),IF(AND('депозитный калькулятор'!$G$10="ежемесячное (по дням открытия вклада)",F61='депозитный калькулятор'!$D$8,DAY('депозитный калькулятор'!$D$7)&lt;&gt;DAY(F61)),IF('депозитный калькулятор'!$F$1=1,$H$24,SUM($H$23:H61)-SUM($I$23:I60)),IF(AND('депозитный калькулятор'!$G$10="ежемесячное (по дням открытия вклада)",DAY('депозитный калькулятор'!$D$7)=DAY(F61)),SUM($H$23:H61)-SUM($I$23:I60),IF(AND('депозитный калькулятор'!$G$10="ежемесячное, на минимальную сумму зафиксированную в течение месяца",F61='депозитный калькулятор'!$D$8,EOMONTH(F61,0)&lt;&gt;F61),IF('депозитный калькулятор'!$F$1=1,$H$24,IF(AND(OR('депозитный калькулятор'!$G$7="30/365",'депозитный калькулятор'!$G$7="30/360"),DAY(F61)=31),0,MIN(OFFSET(H61,-E61+1,0):H61)*(E61+SUMIF(OFFSET(A61,-E61+1,0):A61,"=2",OFFSET(A61,-E61+1,0):A61)))),IF(AND('депозитный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калькулятор'!$G$7="30/360"),DAY(EOMONTH(F61,0))=31),EOMONTH(F61,0)-1=F61,EOMONTH(F61,0)=F61)),IF(IF(AND(OR('депозитный калькулятор'!$G$7="30/365",'депозитный калькулятор'!$G$7="30/360"),DAY(EOMONTH($F$23,0))=31),F61=EOMONTH($F$23,0)-1,F61=EOMONTH($F$23,0)),MIN(OFFSET(H61,-(DAY(F61)-DAY($F$23)),0):H61)*E61,MIN(OFFSET(H61,-(DAY(F61)-1),0):H61)*IF(AND(OR('депозитный калькулятор'!$G$7="30/365",'депозитный калькулятор'!$G$7="30/360"),DAY(F61)&lt;30),30,DAY(F61))),IF(AND('депозитный калькулятор'!$G$10="ежемесячное, на средний остаток в течение месяца, при условии что остаток больше чем ограничение",F61='депозитный калькулятор'!$D$8,EOMONTH(F61,0)&lt;&gt;F61),IF('депозитный калькулятор'!$F$1=1,$H$24,SUM(OFFSET(Q61,-E61+1,0):Q61)),IF(AND('депозитный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калькулятор'!$G$7="30/360"),DAY(EOMONTH(F61,0))=31),EOMONTH(F61,0)-1=F61,EOMONTH(F61,0)=F61)),IF(IF(AND(OR('депозитный калькулятор'!$G$7="30/365",'депозитный калькулятор'!$G$7="30/360"),DAY(EOMONTH($F$24,0))=31),F61=EOMONTH($F$24,0)-1,F61=EOMONTH($F$24,0)),SUM(OFFSET(Q61,-E61+1,0):Q61),SUM(OFFSET(Q61,-E61+1,0):Q61)),IF('депозитный калькулятор'!$G$10="ежеквартальное",IF(F61&gt;'депозитный калькулятор'!$D$8," ",IF(AND(EOMONTH(F61,0)=F61,OR(MONTH(F61)=3,MONTH(F61)=6,MONTH(F61)=9,MONTH(F61)=12)),IF(EDATE(F61,-3)&lt;'депозитный калькулятор'!$D$7,SUM($H$23:H61),IF(MOD(YEAR(F61),4)=0,IF(AND(EOMONTH(F61,0)=F61,OR(MONTH(F61)=3,MONTH(F61)=6)),SUM(OFFSET(H61,-90,0):H61),IF(AND(EOMONTH(F61,0)=F61,OR(MONTH(F61)=9,MONTH(F61)=12)),SUM(OFFSET(H61,-91,0):H61))),IF(AND(EOMONTH(F61,0)=F61,MONTH(F61)=3),SUM(OFFSET(H61,-89,0):H61),IF(AND(EOMONTH(F61,0)=F61,MONTH(F61)=6),SUM(OFFSET(H61,-90,0):H61),IF(AND(EOMONTH(F61,0)=F61,OR(MONTH(F61)=9,MONTH(F61)=12)),SUM(OFFSET(H61,-91,0):H61)))))),IF(F61='депозитный калькулятор'!$D$8,SUM($H$23:H61)-SUM($I$23:I60),0))),IF('депозитный калькулятор'!$G$10="ежегодное",IF(F61&gt;'депозитный калькулятор'!$D$8," ",IF(F61='депозитный калькулятор'!$D$8,SUM($H$23:H61)-SUM($I$23:I60),IF(AND(EOMONTH(F61,0)=F61,MONTH(F61)=12),IF(MOD(YEAR(F60),4)=0,IF(F61-'депозитный калькулятор'!$D$7&lt;366,SUM($H$23:H61),SUM(OFFSET(H61,-365,0):H61)),IF(F61-'депозитный калькулятор'!$D$7&lt;365,SUM($H$23:H61),SUM(OFFSET(H61,-364,0):H61))),0))),IF(AND('депозитный калькулятор'!$G$10="в конце срока",'депозитный калькулятор'!$D$8=F61),SUM($H$23:H61),0))))))))))))))))))</f>
        <v xml:space="preserve"> </v>
      </c>
      <c r="J61" s="59" t="str">
        <f>IF(F61&gt;'депозитный калькулятор'!$D$8," ",IF('депозитный калькулятор'!$G$16="нет",0,IF(AND('депозитный калькулятор'!$G$17="разовая (в конце срока)",F61='депозитный калькулятор'!$D$8),'депозитный калькулятор'!$G$18,IF(AND('депозитный калькулятор'!$G$17="ежемесячная",EOMONTH(F60,0)=F60),'депозитный калькулятор'!$G$18,IF(AND('депозитный калькулятор'!$G$17="ежегодная",DAY(F60)=31,MONTH(F60)=12),'депозитный калькулятор'!$G$18,IF(AND('депозитный калькулятор'!$G$17="ежемесячная в зависимости от остатка",EOMONTH(F60,0)=F60,P60&gt;0),'депозитный калькулятор'!$G$18,IF(AND('депозитный калькулятор'!$G$17="ежегодная в зависимости от остатка",DAY(F60)=31,MONTH(F60)=12,P60&gt;0),'депозитный калькулятор'!$G$18,0)))))))</f>
        <v xml:space="preserve"> </v>
      </c>
      <c r="K61" s="135" t="str">
        <f>IF($F61=" "," ",IFERROR(VLOOKUP($F61,'депозитный калькулятор'!$B$26:$F$70,2,0),0))</f>
        <v xml:space="preserve"> </v>
      </c>
      <c r="L61" s="135" t="str">
        <f>IF($F61=" "," ",IFERROR(VLOOKUP($F61,'депозитный калькулятор'!$B$26:$F$70,3,0),0))</f>
        <v xml:space="preserve"> </v>
      </c>
      <c r="M61" s="135" t="str">
        <f>IF($F61=" "," ",IFERROR(VLOOKUP($F61,'депозитный калькулятор'!$B$26:$F$70,4,0),0))</f>
        <v xml:space="preserve"> </v>
      </c>
      <c r="N61" s="135" t="str">
        <f>IF($F61=" "," ",IFERROR(VLOOKUP($F61,'депозитный калькулятор'!$B$26:$F$70,5,0),0))</f>
        <v xml:space="preserve"> </v>
      </c>
      <c r="O61" s="146" t="str">
        <f>IF(F61&gt;'депозитный калькулятор'!$D$8," ",IF(F61='депозитный калькулятор'!$D$8,IF(AND($F$24='депозитный калькулятор'!$D$8,'депозитный калькулятор'!$G$13="нет"),-G61-IF(I61=" ",0,I61)-IF(AND(OR('депозитный калькулятор'!$G$7="30/365",'депозитный калькулятор'!$G$7="30/360"),'депозитный калькулятор'!$G$10="в начале срока"),I60,0)-L61+M61-N61,-G61-IF(I61=" ",0,I61)-L61+M61-N61),IF('депозитный калькулятор'!$G$13="есть",M61-N61+IF('депозитный калькулятор'!$G$14="есть",0,-L61),-IF(I61=" ",0,I61)-IF(AND(OR('депозитный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срока"),I60,0)+M61-N61+IF('депозитный калькулятор'!$G$14="есть",0,-L61))))</f>
        <v xml:space="preserve"> </v>
      </c>
      <c r="P61" s="147" t="str">
        <f>IF(F61&gt;'депозитный калькулятор'!$D$8," ",IF(EOMONTH(F60,0)=F60,0,IF(G61&gt;='депозитный калькулятор'!$G$19,P60,P60+1)))</f>
        <v xml:space="preserve"> </v>
      </c>
      <c r="Q61" s="138" t="str">
        <f>IF(F61=" "," ",IF(AND(OR('депозитный калькулятор'!$G$7="30/365",'депозитный калькулятор'!$G$7="30/360"),AND(MONTH(F61)=2,EOMONTH(F61,0)=F61)),IF(DAY(F61)=28,3,2),1)*IF(G61&gt;='депозитный калькулятор'!$G$11,IF(AND('депозитный калькулятор'!$G$7="факт/факт",MOD(YEAR(F61),4)=0),G61*'депозитный калькулятор'!$D$11/366,G61*'депозитный калькулятор'!$G$8),0))</f>
        <v xml:space="preserve"> </v>
      </c>
      <c r="R61" s="148"/>
      <c r="S61" s="62" t="str">
        <f t="shared" ca="1" si="2"/>
        <v xml:space="preserve"> </v>
      </c>
      <c r="T61" s="149" t="str">
        <f ca="1">IF(S61=" "," ",IF('депозитный калькулятор'!$G$7="30/360",DAYS360(U60,IF(DAY(U61)=31,U61-1,U61))+IF(AND(MONTH(U61)=2,U61=EOMONTH(U61,0)),30-DAY(EOMONTH(U61,0)))+T60,VLOOKUP(S61,$C$22:$F$1023,2,0)))</f>
        <v xml:space="preserve"> </v>
      </c>
      <c r="U61" s="64" t="str">
        <f t="shared" ca="1" si="0"/>
        <v xml:space="preserve"> </v>
      </c>
      <c r="V61" s="150" t="str">
        <f t="shared" ca="1" si="3"/>
        <v xml:space="preserve"> </v>
      </c>
      <c r="W61" s="62" t="str">
        <f t="shared" ca="1" si="4"/>
        <v xml:space="preserve"> </v>
      </c>
      <c r="X61" s="141" t="str">
        <f ca="1">IF(S61=" "," ",IFERROR(VLOOKUP(U61,$F$23:$N$1023,7)+VLOOKUP(U61,$F$23:$N$1023,9)+IF(AND('депозитный калькулятор'!$G$13="нет",U61&lt;&gt;'депозитный калькулятор'!$D$8),VLOOKUP(U61,$F$23:$N$1023,4),0),0)+IF(U61='депозитный калькулятор'!$D$8,VLOOKUP(U61,$F$23:$N$1023,2)+VLOOKUP(U61,$F$23:$N$1023,4),0))</f>
        <v xml:space="preserve"> </v>
      </c>
      <c r="Y61" s="142" t="str">
        <f ca="1">IF(S61=" "," ",W61/(1+'депозитный калькулятор'!$K$8)^(T61/IF('депозитный калькулятор'!$G$7="30/360",360,365)))</f>
        <v xml:space="preserve"> </v>
      </c>
      <c r="Z61" s="142" t="str">
        <f ca="1">IF(S61=" "," ",X61/(1+'депозитный калькулятор'!$K$8)^(T61/IF('депозитный калькулятор'!$G$7="30/360",360,365)))</f>
        <v xml:space="preserve"> </v>
      </c>
      <c r="AA61" s="151"/>
      <c r="AB61" s="151"/>
      <c r="AC61" s="155"/>
      <c r="AD61" s="155"/>
      <c r="AF61" s="5"/>
    </row>
    <row r="62" spans="1:32" s="2" customFormat="1" ht="15.5" x14ac:dyDescent="0.35">
      <c r="A62" s="41" t="str">
        <f>IF(F62=" "," ",IF(OR('депозитный калькулятор'!$G$7="30/365",'депозитный калькулятор'!$G$7="30/360"),IF(AND(MONTH(F62)=2,DAY(F62)=DAY(EOMONTH(F62,0))),30-DAY(EOMONTH(F62,0)),IF(DAY(F62)=31,1," "))," "))</f>
        <v xml:space="preserve"> </v>
      </c>
      <c r="B62" s="130" t="str">
        <f t="shared" si="1"/>
        <v xml:space="preserve"> </v>
      </c>
      <c r="C62" s="130" t="str">
        <f>IF(OR(B62=0,B62=" ")," ",SUM($B$23:B62))</f>
        <v xml:space="preserve"> </v>
      </c>
      <c r="D62" s="62" t="str">
        <f>IF(D61=" "," ",IF(OR(F61='депозитный калькулятор'!$D$8,F61=" ")," ",D61+1))</f>
        <v xml:space="preserve"> </v>
      </c>
      <c r="E62" s="130" t="str">
        <f>IF(OR(F61='депозитный калькулятор'!$D$8,F61=" ")," ",IF(EOMONTH(F61,0)=F61,1,E61+1))</f>
        <v xml:space="preserve"> </v>
      </c>
      <c r="F62" s="64" t="str">
        <f>IF(F61=" "," ",IF(F61='депозитный калькулятор'!$D$8," ",F61+1))</f>
        <v xml:space="preserve"> </v>
      </c>
      <c r="G62" s="145" t="str">
        <f xml:space="preserve"> IF(F62&gt;'депозитный калькулятор'!$D$8," ",IF('депозитный калькулятор'!$G$13="есть",IF('депозитный калькулятор'!$G$14="есть",G61+IF(I61=" ",0,I61)-J62-K62+L62+M62-N62,G61+IF(I61=" ",0,I61)-J62-K62+M62-N62),IF('депозитный калькулятор'!$G$14="есть",G61-J62-K62+L62+M62-N62,G61-J62-K62+M62-N62)))</f>
        <v xml:space="preserve"> </v>
      </c>
      <c r="H62" s="133" t="str">
        <f>IF(F62&gt;'депозитный калькулятор'!$D$8," ",IF(AND(OR('депозитный калькулятор'!$G$7="30/365",'депозитный калькулятор'!$G$7="30/360"),AND(MONTH(F62)=2,EOMONTH(F62,0)=F62)),IF(DAY(F62)=28,3*G62*'депозитный калькулятор'!$G$8,2*G62*'депозитный калькулятор'!$G$8),IF(AND(OR('депозитный калькулятор'!$G$7="30/365",'депозитный калькулятор'!$G$7="30/360"),DAY(F62)=31)," ",IF(AND('депозитный калькулятор'!$G$7="факт/факт",MOD(YEAR(F62),4)=0),G62*'депозитный калькулятор'!$D$11/366,G62*'депозитный калькулятор'!$G$8))))</f>
        <v xml:space="preserve"> </v>
      </c>
      <c r="I62" s="134" t="str">
        <f ca="1">IF(F62=" "," ",IF('депозитный калькулятор'!$G$10="ежедневное",H62,IF(AND('депозитный калькулятор'!$G$10="еженедельное",WEEKDAY(F62,2)=7),SUM(OFFSET(H62,-6,0):H62),IF(AND('депозитный калькулятор'!$G$10="еженедельное",F62='депозитный калькулятор'!$D$8),SUM($H$23:H62)-SUM($I$23:I61),IF(AND('депозитный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недели",WEEKDAY(F62,2)=7),MIN(OFFSET(H62,-6,0):H62)*(COUNTIF(OFFSET(H62,-6,0):H62,"&gt;0")+SUMIF(OFFSET(A62,-WEEKDAY(F62,2),0):A62,"=2",OFFSET(A62,-WEEKDAY(F62,2),0):A62)),IF(AND('депозитный калькулятор'!$G$10="еженедельное, на минимальную сумму зафиксированную в течение недели",F62='депозитный калькулятор'!$D$8,WEEKDAY(F62,2)&lt;&gt;7),MIN(OFFSET(H62,-WEEKDAY(F62,2),0):H62)*(COUNTIF(OFFSET(H62,-WEEKDAY(F62,2)+1,0):H62,"&gt;0")+SUM(OFFSET(A62,-WEEKDAY(F62,2),0):A62)),IF(AND('депозитный калькулятор'!$G$10="ежемесячное (в конце месяца)",F62='депозитный калькулятор'!$D$8,EOMONTH(F62,0)&lt;&gt;F62),IF('депозитный калькулятор'!$F$1=1,$H$24,SUM($H$23:H62)-SUM($I$23:I61)),IF(AND('депозитный калькулятор'!$G$10="ежемесячное (в конце месяца)",EOMONTH(F62,0)=F62),SUM($H$23:H62)-SUM($I$23:I61),IF(AND('депозитный калькулятор'!$G$10="ежемесячное (по дням открытия вклада)",F62='депозитный калькулятор'!$D$8,DAY('депозитный калькулятор'!$D$7)&lt;&gt;DAY(F62)),IF('депозитный калькулятор'!$F$1=1,$H$24,SUM($H$23:H62)-SUM($I$23:I61)),IF(AND('депозитный калькулятор'!$G$10="ежемесячное (по дням открытия вклада)",DAY('депозитный калькулятор'!$D$7)=DAY(F62)),SUM($H$23:H62)-SUM($I$23:I61),IF(AND('депозитный калькулятор'!$G$10="ежемесячное, на минимальную сумму зафиксированную в течение месяца",F62='депозитный калькулятор'!$D$8,EOMONTH(F62,0)&lt;&gt;F62),IF('депозитный калькулятор'!$F$1=1,$H$24,IF(AND(OR('депозитный калькулятор'!$G$7="30/365",'депозитный калькулятор'!$G$7="30/360"),DAY(F62)=31),0,MIN(OFFSET(H62,-E62+1,0):H62)*(E62+SUMIF(OFFSET(A62,-E62+1,0):A62,"=2",OFFSET(A62,-E62+1,0):A62)))),IF(AND('депозитный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калькулятор'!$G$7="30/360"),DAY(EOMONTH(F62,0))=31),EOMONTH(F62,0)-1=F62,EOMONTH(F62,0)=F62)),IF(IF(AND(OR('депозитный калькулятор'!$G$7="30/365",'депозитный калькулятор'!$G$7="30/360"),DAY(EOMONTH($F$23,0))=31),F62=EOMONTH($F$23,0)-1,F62=EOMONTH($F$23,0)),MIN(OFFSET(H62,-(DAY(F62)-DAY($F$23)),0):H62)*E62,MIN(OFFSET(H62,-(DAY(F62)-1),0):H62)*IF(AND(OR('депозитный калькулятор'!$G$7="30/365",'депозитный калькулятор'!$G$7="30/360"),DAY(F62)&lt;30),30,DAY(F62))),IF(AND('депозитный калькулятор'!$G$10="ежемесячное, на средний остаток в течение месяца, при условии что остаток больше чем ограничение",F62='депозитный калькулятор'!$D$8,EOMONTH(F62,0)&lt;&gt;F62),IF('депозитный калькулятор'!$F$1=1,$H$24,SUM(OFFSET(Q62,-E62+1,0):Q62)),IF(AND('депозитный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калькулятор'!$G$7="30/360"),DAY(EOMONTH(F62,0))=31),EOMONTH(F62,0)-1=F62,EOMONTH(F62,0)=F62)),IF(IF(AND(OR('депозитный калькулятор'!$G$7="30/365",'депозитный калькулятор'!$G$7="30/360"),DAY(EOMONTH($F$24,0))=31),F62=EOMONTH($F$24,0)-1,F62=EOMONTH($F$24,0)),SUM(OFFSET(Q62,-E62+1,0):Q62),SUM(OFFSET(Q62,-E62+1,0):Q62)),IF('депозитный калькулятор'!$G$10="ежеквартальное",IF(F62&gt;'депозитный калькулятор'!$D$8," ",IF(AND(EOMONTH(F62,0)=F62,OR(MONTH(F62)=3,MONTH(F62)=6,MONTH(F62)=9,MONTH(F62)=12)),IF(EDATE(F62,-3)&lt;'депозитный калькулятор'!$D$7,SUM($H$23:H62),IF(MOD(YEAR(F62),4)=0,IF(AND(EOMONTH(F62,0)=F62,OR(MONTH(F62)=3,MONTH(F62)=6)),SUM(OFFSET(H62,-90,0):H62),IF(AND(EOMONTH(F62,0)=F62,OR(MONTH(F62)=9,MONTH(F62)=12)),SUM(OFFSET(H62,-91,0):H62))),IF(AND(EOMONTH(F62,0)=F62,MONTH(F62)=3),SUM(OFFSET(H62,-89,0):H62),IF(AND(EOMONTH(F62,0)=F62,MONTH(F62)=6),SUM(OFFSET(H62,-90,0):H62),IF(AND(EOMONTH(F62,0)=F62,OR(MONTH(F62)=9,MONTH(F62)=12)),SUM(OFFSET(H62,-91,0):H62)))))),IF(F62='депозитный калькулятор'!$D$8,SUM($H$23:H62)-SUM($I$23:I61),0))),IF('депозитный калькулятор'!$G$10="ежегодное",IF(F62&gt;'депозитный калькулятор'!$D$8," ",IF(F62='депозитный калькулятор'!$D$8,SUM($H$23:H62)-SUM($I$23:I61),IF(AND(EOMONTH(F62,0)=F62,MONTH(F62)=12),IF(MOD(YEAR(F61),4)=0,IF(F62-'депозитный калькулятор'!$D$7&lt;366,SUM($H$23:H62),SUM(OFFSET(H62,-365,0):H62)),IF(F62-'депозитный калькулятор'!$D$7&lt;365,SUM($H$23:H62),SUM(OFFSET(H62,-364,0):H62))),0))),IF(AND('депозитный калькулятор'!$G$10="в конце срока",'депозитный калькулятор'!$D$8=F62),SUM($H$23:H62),0))))))))))))))))))</f>
        <v xml:space="preserve"> </v>
      </c>
      <c r="J62" s="59" t="str">
        <f>IF(F62&gt;'депозитный калькулятор'!$D$8," ",IF('депозитный калькулятор'!$G$16="нет",0,IF(AND('депозитный калькулятор'!$G$17="разовая (в конце срока)",F62='депозитный калькулятор'!$D$8),'депозитный калькулятор'!$G$18,IF(AND('депозитный калькулятор'!$G$17="ежемесячная",EOMONTH(F61,0)=F61),'депозитный калькулятор'!$G$18,IF(AND('депозитный калькулятор'!$G$17="ежегодная",DAY(F61)=31,MONTH(F61)=12),'депозитный калькулятор'!$G$18,IF(AND('депозитный калькулятор'!$G$17="ежемесячная в зависимости от остатка",EOMONTH(F61,0)=F61,P61&gt;0),'депозитный калькулятор'!$G$18,IF(AND('депозитный калькулятор'!$G$17="ежегодная в зависимости от остатка",DAY(F61)=31,MONTH(F61)=12,P61&gt;0),'депозитный калькулятор'!$G$18,0)))))))</f>
        <v xml:space="preserve"> </v>
      </c>
      <c r="K62" s="135" t="str">
        <f>IF($F62=" "," ",IFERROR(VLOOKUP($F62,'депозитный калькулятор'!$B$26:$F$70,2,0),0))</f>
        <v xml:space="preserve"> </v>
      </c>
      <c r="L62" s="135" t="str">
        <f>IF($F62=" "," ",IFERROR(VLOOKUP($F62,'депозитный калькулятор'!$B$26:$F$70,3,0),0))</f>
        <v xml:space="preserve"> </v>
      </c>
      <c r="M62" s="135" t="str">
        <f>IF($F62=" "," ",IFERROR(VLOOKUP($F62,'депозитный калькулятор'!$B$26:$F$70,4,0),0))</f>
        <v xml:space="preserve"> </v>
      </c>
      <c r="N62" s="135" t="str">
        <f>IF($F62=" "," ",IFERROR(VLOOKUP($F62,'депозитный калькулятор'!$B$26:$F$70,5,0),0))</f>
        <v xml:space="preserve"> </v>
      </c>
      <c r="O62" s="146" t="str">
        <f>IF(F62&gt;'депозитный калькулятор'!$D$8," ",IF(F62='депозитный калькулятор'!$D$8,IF(AND($F$24='депозитный калькулятор'!$D$8,'депозитный калькулятор'!$G$13="нет"),-G62-IF(I62=" ",0,I62)-IF(AND(OR('депозитный калькулятор'!$G$7="30/365",'депозитный калькулятор'!$G$7="30/360"),'депозитный калькулятор'!$G$10="в начале срока"),I61,0)-L62+M62-N62,-G62-IF(I62=" ",0,I62)-L62+M62-N62),IF('депозитный калькулятор'!$G$13="есть",M62-N62+IF('депозитный калькулятор'!$G$14="есть",0,-L62),-IF(I62=" ",0,I62)-IF(AND(OR('депозитный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срока"),I61,0)+M62-N62+IF('депозитный калькулятор'!$G$14="есть",0,-L62))))</f>
        <v xml:space="preserve"> </v>
      </c>
      <c r="P62" s="147" t="str">
        <f>IF(F62&gt;'депозитный калькулятор'!$D$8," ",IF(EOMONTH(F61,0)=F61,0,IF(G62&gt;='депозитный калькулятор'!$G$19,P61,P61+1)))</f>
        <v xml:space="preserve"> </v>
      </c>
      <c r="Q62" s="138" t="str">
        <f>IF(F62=" "," ",IF(AND(OR('депозитный калькулятор'!$G$7="30/365",'депозитный калькулятор'!$G$7="30/360"),AND(MONTH(F62)=2,EOMONTH(F62,0)=F62)),IF(DAY(F62)=28,3,2),1)*IF(G62&gt;='депозитный калькулятор'!$G$11,IF(AND('депозитный калькулятор'!$G$7="факт/факт",MOD(YEAR(F62),4)=0),G62*'депозитный калькулятор'!$D$11/366,G62*'депозитный калькулятор'!$G$8),0))</f>
        <v xml:space="preserve"> </v>
      </c>
      <c r="R62" s="148"/>
      <c r="S62" s="62" t="str">
        <f t="shared" ca="1" si="2"/>
        <v xml:space="preserve"> </v>
      </c>
      <c r="T62" s="149" t="str">
        <f ca="1">IF(S62=" "," ",IF('депозитный калькулятор'!$G$7="30/360",DAYS360(U61,IF(DAY(U62)=31,U62-1,U62))+IF(AND(MONTH(U62)=2,U62=EOMONTH(U62,0)),30-DAY(EOMONTH(U62,0)))+T61,VLOOKUP(S62,$C$22:$F$1023,2,0)))</f>
        <v xml:space="preserve"> </v>
      </c>
      <c r="U62" s="64" t="str">
        <f t="shared" ca="1" si="0"/>
        <v xml:space="preserve"> </v>
      </c>
      <c r="V62" s="150" t="str">
        <f t="shared" ca="1" si="3"/>
        <v xml:space="preserve"> </v>
      </c>
      <c r="W62" s="62" t="str">
        <f t="shared" ca="1" si="4"/>
        <v xml:space="preserve"> </v>
      </c>
      <c r="X62" s="141" t="str">
        <f ca="1">IF(S62=" "," ",IFERROR(VLOOKUP(U62,$F$23:$N$1023,7)+VLOOKUP(U62,$F$23:$N$1023,9)+IF(AND('депозитный калькулятор'!$G$13="нет",U62&lt;&gt;'депозитный калькулятор'!$D$8),VLOOKUP(U62,$F$23:$N$1023,4),0),0)+IF(U62='депозитный калькулятор'!$D$8,VLOOKUP(U62,$F$23:$N$1023,2)+VLOOKUP(U62,$F$23:$N$1023,4),0))</f>
        <v xml:space="preserve"> </v>
      </c>
      <c r="Y62" s="142" t="str">
        <f ca="1">IF(S62=" "," ",W62/(1+'депозитный калькулятор'!$K$8)^(T62/IF('депозитный калькулятор'!$G$7="30/360",360,365)))</f>
        <v xml:space="preserve"> </v>
      </c>
      <c r="Z62" s="142" t="str">
        <f ca="1">IF(S62=" "," ",X62/(1+'депозитный калькулятор'!$K$8)^(T62/IF('депозитный калькулятор'!$G$7="30/360",360,365)))</f>
        <v xml:space="preserve"> </v>
      </c>
      <c r="AA62" s="151"/>
      <c r="AB62" s="151"/>
      <c r="AC62" s="155"/>
      <c r="AD62" s="155"/>
      <c r="AF62" s="5"/>
    </row>
    <row r="63" spans="1:32" s="2" customFormat="1" ht="15.5" x14ac:dyDescent="0.35">
      <c r="A63" s="41" t="str">
        <f>IF(F63=" "," ",IF(OR('депозитный калькулятор'!$G$7="30/365",'депозитный калькулятор'!$G$7="30/360"),IF(AND(MONTH(F63)=2,DAY(F63)=DAY(EOMONTH(F63,0))),30-DAY(EOMONTH(F63,0)),IF(DAY(F63)=31,1," "))," "))</f>
        <v xml:space="preserve"> </v>
      </c>
      <c r="B63" s="130" t="str">
        <f t="shared" si="1"/>
        <v xml:space="preserve"> </v>
      </c>
      <c r="C63" s="130" t="str">
        <f>IF(OR(B63=0,B63=" ")," ",SUM($B$23:B63))</f>
        <v xml:space="preserve"> </v>
      </c>
      <c r="D63" s="62" t="str">
        <f>IF(D62=" "," ",IF(OR(F62='депозитный калькулятор'!$D$8,F62=" ")," ",D62+1))</f>
        <v xml:space="preserve"> </v>
      </c>
      <c r="E63" s="130" t="str">
        <f>IF(OR(F62='депозитный калькулятор'!$D$8,F62=" ")," ",IF(EOMONTH(F62,0)=F62,1,E62+1))</f>
        <v xml:space="preserve"> </v>
      </c>
      <c r="F63" s="64" t="str">
        <f>IF(F62=" "," ",IF(F62='депозитный калькулятор'!$D$8," ",F62+1))</f>
        <v xml:space="preserve"> </v>
      </c>
      <c r="G63" s="145" t="str">
        <f xml:space="preserve"> IF(F63&gt;'депозитный калькулятор'!$D$8," ",IF('депозитный калькулятор'!$G$13="есть",IF('депозитный калькулятор'!$G$14="есть",G62+IF(I62=" ",0,I62)-J63-K63+L63+M63-N63,G62+IF(I62=" ",0,I62)-J63-K63+M63-N63),IF('депозитный калькулятор'!$G$14="есть",G62-J63-K63+L63+M63-N63,G62-J63-K63+M63-N63)))</f>
        <v xml:space="preserve"> </v>
      </c>
      <c r="H63" s="133" t="str">
        <f>IF(F63&gt;'депозитный калькулятор'!$D$8," ",IF(AND(OR('депозитный калькулятор'!$G$7="30/365",'депозитный калькулятор'!$G$7="30/360"),AND(MONTH(F63)=2,EOMONTH(F63,0)=F63)),IF(DAY(F63)=28,3*G63*'депозитный калькулятор'!$G$8,2*G63*'депозитный калькулятор'!$G$8),IF(AND(OR('депозитный калькулятор'!$G$7="30/365",'депозитный калькулятор'!$G$7="30/360"),DAY(F63)=31)," ",IF(AND('депозитный калькулятор'!$G$7="факт/факт",MOD(YEAR(F63),4)=0),G63*'депозитный калькулятор'!$D$11/366,G63*'депозитный калькулятор'!$G$8))))</f>
        <v xml:space="preserve"> </v>
      </c>
      <c r="I63" s="134" t="str">
        <f ca="1">IF(F63=" "," ",IF('депозитный калькулятор'!$G$10="ежедневное",H63,IF(AND('депозитный калькулятор'!$G$10="еженедельное",WEEKDAY(F63,2)=7),SUM(OFFSET(H63,-6,0):H63),IF(AND('депозитный калькулятор'!$G$10="еженедельное",F63='депозитный калькулятор'!$D$8),SUM($H$23:H63)-SUM($I$23:I62),IF(AND('депозитный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недели",WEEKDAY(F63,2)=7),MIN(OFFSET(H63,-6,0):H63)*(COUNTIF(OFFSET(H63,-6,0):H63,"&gt;0")+SUMIF(OFFSET(A63,-WEEKDAY(F63,2),0):A63,"=2",OFFSET(A63,-WEEKDAY(F63,2),0):A63)),IF(AND('депозитный калькулятор'!$G$10="еженедельное, на минимальную сумму зафиксированную в течение недели",F63='депозитный калькулятор'!$D$8,WEEKDAY(F63,2)&lt;&gt;7),MIN(OFFSET(H63,-WEEKDAY(F63,2),0):H63)*(COUNTIF(OFFSET(H63,-WEEKDAY(F63,2)+1,0):H63,"&gt;0")+SUM(OFFSET(A63,-WEEKDAY(F63,2),0):A63)),IF(AND('депозитный калькулятор'!$G$10="ежемесячное (в конце месяца)",F63='депозитный калькулятор'!$D$8,EOMONTH(F63,0)&lt;&gt;F63),IF('депозитный калькулятор'!$F$1=1,$H$24,SUM($H$23:H63)-SUM($I$23:I62)),IF(AND('депозитный калькулятор'!$G$10="ежемесячное (в конце месяца)",EOMONTH(F63,0)=F63),SUM($H$23:H63)-SUM($I$23:I62),IF(AND('депозитный калькулятор'!$G$10="ежемесячное (по дням открытия вклада)",F63='депозитный калькулятор'!$D$8,DAY('депозитный калькулятор'!$D$7)&lt;&gt;DAY(F63)),IF('депозитный калькулятор'!$F$1=1,$H$24,SUM($H$23:H63)-SUM($I$23:I62)),IF(AND('депозитный калькулятор'!$G$10="ежемесячное (по дням открытия вклада)",DAY('депозитный калькулятор'!$D$7)=DAY(F63)),SUM($H$23:H63)-SUM($I$23:I62),IF(AND('депозитный калькулятор'!$G$10="ежемесячное, на минимальную сумму зафиксированную в течение месяца",F63='депозитный калькулятор'!$D$8,EOMONTH(F63,0)&lt;&gt;F63),IF('депозитный калькулятор'!$F$1=1,$H$24,IF(AND(OR('депозитный калькулятор'!$G$7="30/365",'депозитный калькулятор'!$G$7="30/360"),DAY(F63)=31),0,MIN(OFFSET(H63,-E63+1,0):H63)*(E63+SUMIF(OFFSET(A63,-E63+1,0):A63,"=2",OFFSET(A63,-E63+1,0):A63)))),IF(AND('депозитный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калькулятор'!$G$7="30/360"),DAY(EOMONTH(F63,0))=31),EOMONTH(F63,0)-1=F63,EOMONTH(F63,0)=F63)),IF(IF(AND(OR('депозитный калькулятор'!$G$7="30/365",'депозитный калькулятор'!$G$7="30/360"),DAY(EOMONTH($F$23,0))=31),F63=EOMONTH($F$23,0)-1,F63=EOMONTH($F$23,0)),MIN(OFFSET(H63,-(DAY(F63)-DAY($F$23)),0):H63)*E63,MIN(OFFSET(H63,-(DAY(F63)-1),0):H63)*IF(AND(OR('депозитный калькулятор'!$G$7="30/365",'депозитный калькулятор'!$G$7="30/360"),DAY(F63)&lt;30),30,DAY(F63))),IF(AND('депозитный калькулятор'!$G$10="ежемесячное, на средний остаток в течение месяца, при условии что остаток больше чем ограничение",F63='депозитный калькулятор'!$D$8,EOMONTH(F63,0)&lt;&gt;F63),IF('депозитный калькулятор'!$F$1=1,$H$24,SUM(OFFSET(Q63,-E63+1,0):Q63)),IF(AND('депозитный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калькулятор'!$G$7="30/360"),DAY(EOMONTH(F63,0))=31),EOMONTH(F63,0)-1=F63,EOMONTH(F63,0)=F63)),IF(IF(AND(OR('депозитный калькулятор'!$G$7="30/365",'депозитный калькулятор'!$G$7="30/360"),DAY(EOMONTH($F$24,0))=31),F63=EOMONTH($F$24,0)-1,F63=EOMONTH($F$24,0)),SUM(OFFSET(Q63,-E63+1,0):Q63),SUM(OFFSET(Q63,-E63+1,0):Q63)),IF('депозитный калькулятор'!$G$10="ежеквартальное",IF(F63&gt;'депозитный калькулятор'!$D$8," ",IF(AND(EOMONTH(F63,0)=F63,OR(MONTH(F63)=3,MONTH(F63)=6,MONTH(F63)=9,MONTH(F63)=12)),IF(EDATE(F63,-3)&lt;'депозитный калькулятор'!$D$7,SUM($H$23:H63),IF(MOD(YEAR(F63),4)=0,IF(AND(EOMONTH(F63,0)=F63,OR(MONTH(F63)=3,MONTH(F63)=6)),SUM(OFFSET(H63,-90,0):H63),IF(AND(EOMONTH(F63,0)=F63,OR(MONTH(F63)=9,MONTH(F63)=12)),SUM(OFFSET(H63,-91,0):H63))),IF(AND(EOMONTH(F63,0)=F63,MONTH(F63)=3),SUM(OFFSET(H63,-89,0):H63),IF(AND(EOMONTH(F63,0)=F63,MONTH(F63)=6),SUM(OFFSET(H63,-90,0):H63),IF(AND(EOMONTH(F63,0)=F63,OR(MONTH(F63)=9,MONTH(F63)=12)),SUM(OFFSET(H63,-91,0):H63)))))),IF(F63='депозитный калькулятор'!$D$8,SUM($H$23:H63)-SUM($I$23:I62),0))),IF('депозитный калькулятор'!$G$10="ежегодное",IF(F63&gt;'депозитный калькулятор'!$D$8," ",IF(F63='депозитный калькулятор'!$D$8,SUM($H$23:H63)-SUM($I$23:I62),IF(AND(EOMONTH(F63,0)=F63,MONTH(F63)=12),IF(MOD(YEAR(F62),4)=0,IF(F63-'депозитный калькулятор'!$D$7&lt;366,SUM($H$23:H63),SUM(OFFSET(H63,-365,0):H63)),IF(F63-'депозитный калькулятор'!$D$7&lt;365,SUM($H$23:H63),SUM(OFFSET(H63,-364,0):H63))),0))),IF(AND('депозитный калькулятор'!$G$10="в конце срока",'депозитный калькулятор'!$D$8=F63),SUM($H$23:H63),0))))))))))))))))))</f>
        <v xml:space="preserve"> </v>
      </c>
      <c r="J63" s="59" t="str">
        <f>IF(F63&gt;'депозитный калькулятор'!$D$8," ",IF('депозитный калькулятор'!$G$16="нет",0,IF(AND('депозитный калькулятор'!$G$17="разовая (в конце срока)",F63='депозитный калькулятор'!$D$8),'депозитный калькулятор'!$G$18,IF(AND('депозитный калькулятор'!$G$17="ежемесячная",EOMONTH(F62,0)=F62),'депозитный калькулятор'!$G$18,IF(AND('депозитный калькулятор'!$G$17="ежегодная",DAY(F62)=31,MONTH(F62)=12),'депозитный калькулятор'!$G$18,IF(AND('депозитный калькулятор'!$G$17="ежемесячная в зависимости от остатка",EOMONTH(F62,0)=F62,P62&gt;0),'депозитный калькулятор'!$G$18,IF(AND('депозитный калькулятор'!$G$17="ежегодная в зависимости от остатка",DAY(F62)=31,MONTH(F62)=12,P62&gt;0),'депозитный калькулятор'!$G$18,0)))))))</f>
        <v xml:space="preserve"> </v>
      </c>
      <c r="K63" s="135" t="str">
        <f>IF($F63=" "," ",IFERROR(VLOOKUP($F63,'депозитный калькулятор'!$B$26:$F$70,2,0),0))</f>
        <v xml:space="preserve"> </v>
      </c>
      <c r="L63" s="135" t="str">
        <f>IF($F63=" "," ",IFERROR(VLOOKUP($F63,'депозитный калькулятор'!$B$26:$F$70,3,0),0))</f>
        <v xml:space="preserve"> </v>
      </c>
      <c r="M63" s="135" t="str">
        <f>IF($F63=" "," ",IFERROR(VLOOKUP($F63,'депозитный калькулятор'!$B$26:$F$70,4,0),0))</f>
        <v xml:space="preserve"> </v>
      </c>
      <c r="N63" s="135" t="str">
        <f>IF($F63=" "," ",IFERROR(VLOOKUP($F63,'депозитный калькулятор'!$B$26:$F$70,5,0),0))</f>
        <v xml:space="preserve"> </v>
      </c>
      <c r="O63" s="146" t="str">
        <f>IF(F63&gt;'депозитный калькулятор'!$D$8," ",IF(F63='депозитный калькулятор'!$D$8,IF(AND($F$24='депозитный калькулятор'!$D$8,'депозитный калькулятор'!$G$13="нет"),-G63-IF(I63=" ",0,I63)-IF(AND(OR('депозитный калькулятор'!$G$7="30/365",'депозитный калькулятор'!$G$7="30/360"),'депозитный калькулятор'!$G$10="в начале срока"),I62,0)-L63+M63-N63,-G63-IF(I63=" ",0,I63)-L63+M63-N63),IF('депозитный калькулятор'!$G$13="есть",M63-N63+IF('депозитный калькулятор'!$G$14="есть",0,-L63),-IF(I63=" ",0,I63)-IF(AND(OR('депозитный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срока"),I62,0)+M63-N63+IF('депозитный калькулятор'!$G$14="есть",0,-L63))))</f>
        <v xml:space="preserve"> </v>
      </c>
      <c r="P63" s="147" t="str">
        <f>IF(F63&gt;'депозитный калькулятор'!$D$8," ",IF(EOMONTH(F62,0)=F62,0,IF(G63&gt;='депозитный калькулятор'!$G$19,P62,P62+1)))</f>
        <v xml:space="preserve"> </v>
      </c>
      <c r="Q63" s="138" t="str">
        <f>IF(F63=" "," ",IF(AND(OR('депозитный калькулятор'!$G$7="30/365",'депозитный калькулятор'!$G$7="30/360"),AND(MONTH(F63)=2,EOMONTH(F63,0)=F63)),IF(DAY(F63)=28,3,2),1)*IF(G63&gt;='депозитный калькулятор'!$G$11,IF(AND('депозитный калькулятор'!$G$7="факт/факт",MOD(YEAR(F63),4)=0),G63*'депозитный калькулятор'!$D$11/366,G63*'депозитный калькулятор'!$G$8),0))</f>
        <v xml:space="preserve"> </v>
      </c>
      <c r="R63" s="148"/>
      <c r="S63" s="62" t="str">
        <f t="shared" ca="1" si="2"/>
        <v xml:space="preserve"> </v>
      </c>
      <c r="T63" s="149" t="str">
        <f ca="1">IF(S63=" "," ",IF('депозитный калькулятор'!$G$7="30/360",DAYS360(U62,IF(DAY(U63)=31,U63-1,U63))+IF(AND(MONTH(U63)=2,U63=EOMONTH(U63,0)),30-DAY(EOMONTH(U63,0)))+T62,VLOOKUP(S63,$C$22:$F$1023,2,0)))</f>
        <v xml:space="preserve"> </v>
      </c>
      <c r="U63" s="64" t="str">
        <f t="shared" ca="1" si="0"/>
        <v xml:space="preserve"> </v>
      </c>
      <c r="V63" s="150" t="str">
        <f t="shared" ca="1" si="3"/>
        <v xml:space="preserve"> </v>
      </c>
      <c r="W63" s="62" t="str">
        <f t="shared" ca="1" si="4"/>
        <v xml:space="preserve"> </v>
      </c>
      <c r="X63" s="141" t="str">
        <f ca="1">IF(S63=" "," ",IFERROR(VLOOKUP(U63,$F$23:$N$1023,7)+VLOOKUP(U63,$F$23:$N$1023,9)+IF(AND('депозитный калькулятор'!$G$13="нет",U63&lt;&gt;'депозитный калькулятор'!$D$8),VLOOKUP(U63,$F$23:$N$1023,4),0),0)+IF(U63='депозитный калькулятор'!$D$8,VLOOKUP(U63,$F$23:$N$1023,2)+VLOOKUP(U63,$F$23:$N$1023,4),0))</f>
        <v xml:space="preserve"> </v>
      </c>
      <c r="Y63" s="142" t="str">
        <f ca="1">IF(S63=" "," ",W63/(1+'депозитный калькулятор'!$K$8)^(T63/IF('депозитный калькулятор'!$G$7="30/360",360,365)))</f>
        <v xml:space="preserve"> </v>
      </c>
      <c r="Z63" s="142" t="str">
        <f ca="1">IF(S63=" "," ",X63/(1+'депозитный калькулятор'!$K$8)^(T63/IF('депозитный калькулятор'!$G$7="30/360",360,365)))</f>
        <v xml:space="preserve"> </v>
      </c>
      <c r="AA63" s="151"/>
      <c r="AB63" s="151"/>
      <c r="AC63" s="155"/>
      <c r="AD63" s="155"/>
      <c r="AF63" s="5"/>
    </row>
    <row r="64" spans="1:32" s="2" customFormat="1" ht="15.5" x14ac:dyDescent="0.35">
      <c r="A64" s="41" t="str">
        <f>IF(F64=" "," ",IF(OR('депозитный калькулятор'!$G$7="30/365",'депозитный калькулятор'!$G$7="30/360"),IF(AND(MONTH(F64)=2,DAY(F64)=DAY(EOMONTH(F64,0))),30-DAY(EOMONTH(F64,0)),IF(DAY(F64)=31,1," "))," "))</f>
        <v xml:space="preserve"> </v>
      </c>
      <c r="B64" s="130" t="str">
        <f t="shared" si="1"/>
        <v xml:space="preserve"> </v>
      </c>
      <c r="C64" s="130" t="str">
        <f>IF(OR(B64=0,B64=" ")," ",SUM($B$23:B64))</f>
        <v xml:space="preserve"> </v>
      </c>
      <c r="D64" s="62" t="str">
        <f>IF(D63=" "," ",IF(OR(F63='депозитный калькулятор'!$D$8,F63=" ")," ",D63+1))</f>
        <v xml:space="preserve"> </v>
      </c>
      <c r="E64" s="130" t="str">
        <f>IF(OR(F63='депозитный калькулятор'!$D$8,F63=" ")," ",IF(EOMONTH(F63,0)=F63,1,E63+1))</f>
        <v xml:space="preserve"> </v>
      </c>
      <c r="F64" s="64" t="str">
        <f>IF(F63=" "," ",IF(F63='депозитный калькулятор'!$D$8," ",F63+1))</f>
        <v xml:space="preserve"> </v>
      </c>
      <c r="G64" s="145" t="str">
        <f xml:space="preserve"> IF(F64&gt;'депозитный калькулятор'!$D$8," ",IF('депозитный калькулятор'!$G$13="есть",IF('депозитный калькулятор'!$G$14="есть",G63+IF(I63=" ",0,I63)-J64-K64+L64+M64-N64,G63+IF(I63=" ",0,I63)-J64-K64+M64-N64),IF('депозитный калькулятор'!$G$14="есть",G63-J64-K64+L64+M64-N64,G63-J64-K64+M64-N64)))</f>
        <v xml:space="preserve"> </v>
      </c>
      <c r="H64" s="133" t="str">
        <f>IF(F64&gt;'депозитный калькулятор'!$D$8," ",IF(AND(OR('депозитный калькулятор'!$G$7="30/365",'депозитный калькулятор'!$G$7="30/360"),AND(MONTH(F64)=2,EOMONTH(F64,0)=F64)),IF(DAY(F64)=28,3*G64*'депозитный калькулятор'!$G$8,2*G64*'депозитный калькулятор'!$G$8),IF(AND(OR('депозитный калькулятор'!$G$7="30/365",'депозитный калькулятор'!$G$7="30/360"),DAY(F64)=31)," ",IF(AND('депозитный калькулятор'!$G$7="факт/факт",MOD(YEAR(F64),4)=0),G64*'депозитный калькулятор'!$D$11/366,G64*'депозитный калькулятор'!$G$8))))</f>
        <v xml:space="preserve"> </v>
      </c>
      <c r="I64" s="134" t="str">
        <f ca="1">IF(F64=" "," ",IF('депозитный калькулятор'!$G$10="ежедневное",H64,IF(AND('депозитный калькулятор'!$G$10="еженедельное",WEEKDAY(F64,2)=7),SUM(OFFSET(H64,-6,0):H64),IF(AND('депозитный калькулятор'!$G$10="еженедельное",F64='депозитный калькулятор'!$D$8),SUM($H$23:H64)-SUM($I$23:I63),IF(AND('депозитный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недели",WEEKDAY(F64,2)=7),MIN(OFFSET(H64,-6,0):H64)*(COUNTIF(OFFSET(H64,-6,0):H64,"&gt;0")+SUMIF(OFFSET(A64,-WEEKDAY(F64,2),0):A64,"=2",OFFSET(A64,-WEEKDAY(F64,2),0):A64)),IF(AND('депозитный калькулятор'!$G$10="еженедельное, на минимальную сумму зафиксированную в течение недели",F64='депозитный калькулятор'!$D$8,WEEKDAY(F64,2)&lt;&gt;7),MIN(OFFSET(H64,-WEEKDAY(F64,2),0):H64)*(COUNTIF(OFFSET(H64,-WEEKDAY(F64,2)+1,0):H64,"&gt;0")+SUM(OFFSET(A64,-WEEKDAY(F64,2),0):A64)),IF(AND('депозитный калькулятор'!$G$10="ежемесячное (в конце месяца)",F64='депозитный калькулятор'!$D$8,EOMONTH(F64,0)&lt;&gt;F64),IF('депозитный калькулятор'!$F$1=1,$H$24,SUM($H$23:H64)-SUM($I$23:I63)),IF(AND('депозитный калькулятор'!$G$10="ежемесячное (в конце месяца)",EOMONTH(F64,0)=F64),SUM($H$23:H64)-SUM($I$23:I63),IF(AND('депозитный калькулятор'!$G$10="ежемесячное (по дням открытия вклада)",F64='депозитный калькулятор'!$D$8,DAY('депозитный калькулятор'!$D$7)&lt;&gt;DAY(F64)),IF('депозитный калькулятор'!$F$1=1,$H$24,SUM($H$23:H64)-SUM($I$23:I63)),IF(AND('депозитный калькулятор'!$G$10="ежемесячное (по дням открытия вклада)",DAY('депозитный калькулятор'!$D$7)=DAY(F64)),SUM($H$23:H64)-SUM($I$23:I63),IF(AND('депозитный калькулятор'!$G$10="ежемесячное, на минимальную сумму зафиксированную в течение месяца",F64='депозитный калькулятор'!$D$8,EOMONTH(F64,0)&lt;&gt;F64),IF('депозитный калькулятор'!$F$1=1,$H$24,IF(AND(OR('депозитный калькулятор'!$G$7="30/365",'депозитный калькулятор'!$G$7="30/360"),DAY(F64)=31),0,MIN(OFFSET(H64,-E64+1,0):H64)*(E64+SUMIF(OFFSET(A64,-E64+1,0):A64,"=2",OFFSET(A64,-E64+1,0):A64)))),IF(AND('депозитный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калькулятор'!$G$7="30/360"),DAY(EOMONTH(F64,0))=31),EOMONTH(F64,0)-1=F64,EOMONTH(F64,0)=F64)),IF(IF(AND(OR('депозитный калькулятор'!$G$7="30/365",'депозитный калькулятор'!$G$7="30/360"),DAY(EOMONTH($F$23,0))=31),F64=EOMONTH($F$23,0)-1,F64=EOMONTH($F$23,0)),MIN(OFFSET(H64,-(DAY(F64)-DAY($F$23)),0):H64)*E64,MIN(OFFSET(H64,-(DAY(F64)-1),0):H64)*IF(AND(OR('депозитный калькулятор'!$G$7="30/365",'депозитный калькулятор'!$G$7="30/360"),DAY(F64)&lt;30),30,DAY(F64))),IF(AND('депозитный калькулятор'!$G$10="ежемесячное, на средний остаток в течение месяца, при условии что остаток больше чем ограничение",F64='депозитный калькулятор'!$D$8,EOMONTH(F64,0)&lt;&gt;F64),IF('депозитный калькулятор'!$F$1=1,$H$24,SUM(OFFSET(Q64,-E64+1,0):Q64)),IF(AND('депозитный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калькулятор'!$G$7="30/360"),DAY(EOMONTH(F64,0))=31),EOMONTH(F64,0)-1=F64,EOMONTH(F64,0)=F64)),IF(IF(AND(OR('депозитный калькулятор'!$G$7="30/365",'депозитный калькулятор'!$G$7="30/360"),DAY(EOMONTH($F$24,0))=31),F64=EOMONTH($F$24,0)-1,F64=EOMONTH($F$24,0)),SUM(OFFSET(Q64,-E64+1,0):Q64),SUM(OFFSET(Q64,-E64+1,0):Q64)),IF('депозитный калькулятор'!$G$10="ежеквартальное",IF(F64&gt;'депозитный калькулятор'!$D$8," ",IF(AND(EOMONTH(F64,0)=F64,OR(MONTH(F64)=3,MONTH(F64)=6,MONTH(F64)=9,MONTH(F64)=12)),IF(EDATE(F64,-3)&lt;'депозитный калькулятор'!$D$7,SUM($H$23:H64),IF(MOD(YEAR(F64),4)=0,IF(AND(EOMONTH(F64,0)=F64,OR(MONTH(F64)=3,MONTH(F64)=6)),SUM(OFFSET(H64,-90,0):H64),IF(AND(EOMONTH(F64,0)=F64,OR(MONTH(F64)=9,MONTH(F64)=12)),SUM(OFFSET(H64,-91,0):H64))),IF(AND(EOMONTH(F64,0)=F64,MONTH(F64)=3),SUM(OFFSET(H64,-89,0):H64),IF(AND(EOMONTH(F64,0)=F64,MONTH(F64)=6),SUM(OFFSET(H64,-90,0):H64),IF(AND(EOMONTH(F64,0)=F64,OR(MONTH(F64)=9,MONTH(F64)=12)),SUM(OFFSET(H64,-91,0):H64)))))),IF(F64='депозитный калькулятор'!$D$8,SUM($H$23:H64)-SUM($I$23:I63),0))),IF('депозитный калькулятор'!$G$10="ежегодное",IF(F64&gt;'депозитный калькулятор'!$D$8," ",IF(F64='депозитный калькулятор'!$D$8,SUM($H$23:H64)-SUM($I$23:I63),IF(AND(EOMONTH(F64,0)=F64,MONTH(F64)=12),IF(MOD(YEAR(F63),4)=0,IF(F64-'депозитный калькулятор'!$D$7&lt;366,SUM($H$23:H64),SUM(OFFSET(H64,-365,0):H64)),IF(F64-'депозитный калькулятор'!$D$7&lt;365,SUM($H$23:H64),SUM(OFFSET(H64,-364,0):H64))),0))),IF(AND('депозитный калькулятор'!$G$10="в конце срока",'депозитный калькулятор'!$D$8=F64),SUM($H$23:H64),0))))))))))))))))))</f>
        <v xml:space="preserve"> </v>
      </c>
      <c r="J64" s="59" t="str">
        <f>IF(F64&gt;'депозитный калькулятор'!$D$8," ",IF('депозитный калькулятор'!$G$16="нет",0,IF(AND('депозитный калькулятор'!$G$17="разовая (в конце срока)",F64='депозитный калькулятор'!$D$8),'депозитный калькулятор'!$G$18,IF(AND('депозитный калькулятор'!$G$17="ежемесячная",EOMONTH(F63,0)=F63),'депозитный калькулятор'!$G$18,IF(AND('депозитный калькулятор'!$G$17="ежегодная",DAY(F63)=31,MONTH(F63)=12),'депозитный калькулятор'!$G$18,IF(AND('депозитный калькулятор'!$G$17="ежемесячная в зависимости от остатка",EOMONTH(F63,0)=F63,P63&gt;0),'депозитный калькулятор'!$G$18,IF(AND('депозитный калькулятор'!$G$17="ежегодная в зависимости от остатка",DAY(F63)=31,MONTH(F63)=12,P63&gt;0),'депозитный калькулятор'!$G$18,0)))))))</f>
        <v xml:space="preserve"> </v>
      </c>
      <c r="K64" s="135" t="str">
        <f>IF($F64=" "," ",IFERROR(VLOOKUP($F64,'депозитный калькулятор'!$B$26:$F$70,2,0),0))</f>
        <v xml:space="preserve"> </v>
      </c>
      <c r="L64" s="135" t="str">
        <f>IF($F64=" "," ",IFERROR(VLOOKUP($F64,'депозитный калькулятор'!$B$26:$F$70,3,0),0))</f>
        <v xml:space="preserve"> </v>
      </c>
      <c r="M64" s="135" t="str">
        <f>IF($F64=" "," ",IFERROR(VLOOKUP($F64,'депозитный калькулятор'!$B$26:$F$70,4,0),0))</f>
        <v xml:space="preserve"> </v>
      </c>
      <c r="N64" s="135" t="str">
        <f>IF($F64=" "," ",IFERROR(VLOOKUP($F64,'депозитный калькулятор'!$B$26:$F$70,5,0),0))</f>
        <v xml:space="preserve"> </v>
      </c>
      <c r="O64" s="146" t="str">
        <f>IF(F64&gt;'депозитный калькулятор'!$D$8," ",IF(F64='депозитный калькулятор'!$D$8,IF(AND($F$24='депозитный калькулятор'!$D$8,'депозитный калькулятор'!$G$13="нет"),-G64-IF(I64=" ",0,I64)-IF(AND(OR('депозитный калькулятор'!$G$7="30/365",'депозитный калькулятор'!$G$7="30/360"),'депозитный калькулятор'!$G$10="в начале срока"),I63,0)-L64+M64-N64,-G64-IF(I64=" ",0,I64)-L64+M64-N64),IF('депозитный калькулятор'!$G$13="есть",M64-N64+IF('депозитный калькулятор'!$G$14="есть",0,-L64),-IF(I64=" ",0,I64)-IF(AND(OR('депозитный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срока"),I63,0)+M64-N64+IF('депозитный калькулятор'!$G$14="есть",0,-L64))))</f>
        <v xml:space="preserve"> </v>
      </c>
      <c r="P64" s="147" t="str">
        <f>IF(F64&gt;'депозитный калькулятор'!$D$8," ",IF(EOMONTH(F63,0)=F63,0,IF(G64&gt;='депозитный калькулятор'!$G$19,P63,P63+1)))</f>
        <v xml:space="preserve"> </v>
      </c>
      <c r="Q64" s="138" t="str">
        <f>IF(F64=" "," ",IF(AND(OR('депозитный калькулятор'!$G$7="30/365",'депозитный калькулятор'!$G$7="30/360"),AND(MONTH(F64)=2,EOMONTH(F64,0)=F64)),IF(DAY(F64)=28,3,2),1)*IF(G64&gt;='депозитный калькулятор'!$G$11,IF(AND('депозитный калькулятор'!$G$7="факт/факт",MOD(YEAR(F64),4)=0),G64*'депозитный калькулятор'!$D$11/366,G64*'депозитный калькулятор'!$G$8),0))</f>
        <v xml:space="preserve"> </v>
      </c>
      <c r="R64" s="148"/>
      <c r="S64" s="62" t="str">
        <f t="shared" ca="1" si="2"/>
        <v xml:space="preserve"> </v>
      </c>
      <c r="T64" s="149" t="str">
        <f ca="1">IF(S64=" "," ",IF('депозитный калькулятор'!$G$7="30/360",DAYS360(U63,IF(DAY(U64)=31,U64-1,U64))+IF(AND(MONTH(U64)=2,U64=EOMONTH(U64,0)),30-DAY(EOMONTH(U64,0)))+T63,VLOOKUP(S64,$C$22:$F$1023,2,0)))</f>
        <v xml:space="preserve"> </v>
      </c>
      <c r="U64" s="64" t="str">
        <f t="shared" ca="1" si="0"/>
        <v xml:space="preserve"> </v>
      </c>
      <c r="V64" s="150" t="str">
        <f t="shared" ca="1" si="3"/>
        <v xml:space="preserve"> </v>
      </c>
      <c r="W64" s="62" t="str">
        <f t="shared" ca="1" si="4"/>
        <v xml:space="preserve"> </v>
      </c>
      <c r="X64" s="141" t="str">
        <f ca="1">IF(S64=" "," ",IFERROR(VLOOKUP(U64,$F$23:$N$1023,7)+VLOOKUP(U64,$F$23:$N$1023,9)+IF(AND('депозитный калькулятор'!$G$13="нет",U64&lt;&gt;'депозитный калькулятор'!$D$8),VLOOKUP(U64,$F$23:$N$1023,4),0),0)+IF(U64='депозитный калькулятор'!$D$8,VLOOKUP(U64,$F$23:$N$1023,2)+VLOOKUP(U64,$F$23:$N$1023,4),0))</f>
        <v xml:space="preserve"> </v>
      </c>
      <c r="Y64" s="142" t="str">
        <f ca="1">IF(S64=" "," ",W64/(1+'депозитный калькулятор'!$K$8)^(T64/IF('депозитный калькулятор'!$G$7="30/360",360,365)))</f>
        <v xml:space="preserve"> </v>
      </c>
      <c r="Z64" s="142" t="str">
        <f ca="1">IF(S64=" "," ",X64/(1+'депозитный калькулятор'!$K$8)^(T64/IF('депозитный калькулятор'!$G$7="30/360",360,365)))</f>
        <v xml:space="preserve"> </v>
      </c>
      <c r="AA64" s="151"/>
      <c r="AB64" s="151"/>
      <c r="AC64" s="155"/>
      <c r="AD64" s="155"/>
      <c r="AF64" s="5"/>
    </row>
    <row r="65" spans="1:30" s="2" customFormat="1" ht="15.5" x14ac:dyDescent="0.35">
      <c r="A65" s="41" t="str">
        <f>IF(F65=" "," ",IF(OR('депозитный калькулятор'!$G$7="30/365",'депозитный калькулятор'!$G$7="30/360"),IF(AND(MONTH(F65)=2,DAY(F65)=DAY(EOMONTH(F65,0))),30-DAY(EOMONTH(F65,0)),IF(DAY(F65)=31,1," "))," "))</f>
        <v xml:space="preserve"> </v>
      </c>
      <c r="B65" s="130" t="str">
        <f t="shared" si="1"/>
        <v xml:space="preserve"> </v>
      </c>
      <c r="C65" s="130" t="str">
        <f>IF(OR(B65=0,B65=" ")," ",SUM($B$23:B65))</f>
        <v xml:space="preserve"> </v>
      </c>
      <c r="D65" s="62" t="str">
        <f>IF(D64=" "," ",IF(OR(F64='депозитный калькулятор'!$D$8,F64=" ")," ",D64+1))</f>
        <v xml:space="preserve"> </v>
      </c>
      <c r="E65" s="130" t="str">
        <f>IF(OR(F64='депозитный калькулятор'!$D$8,F64=" ")," ",IF(EOMONTH(F64,0)=F64,1,E64+1))</f>
        <v xml:space="preserve"> </v>
      </c>
      <c r="F65" s="64" t="str">
        <f>IF(F64=" "," ",IF(F64='депозитный калькулятор'!$D$8," ",F64+1))</f>
        <v xml:space="preserve"> </v>
      </c>
      <c r="G65" s="145" t="str">
        <f xml:space="preserve"> IF(F65&gt;'депозитный калькулятор'!$D$8," ",IF('депозитный калькулятор'!$G$13="есть",IF('депозитный калькулятор'!$G$14="есть",G64+IF(I64=" ",0,I64)-J65-K65+L65+M65-N65,G64+IF(I64=" ",0,I64)-J65-K65+M65-N65),IF('депозитный калькулятор'!$G$14="есть",G64-J65-K65+L65+M65-N65,G64-J65-K65+M65-N65)))</f>
        <v xml:space="preserve"> </v>
      </c>
      <c r="H65" s="133" t="str">
        <f>IF(F65&gt;'депозитный калькулятор'!$D$8," ",IF(AND(OR('депозитный калькулятор'!$G$7="30/365",'депозитный калькулятор'!$G$7="30/360"),AND(MONTH(F65)=2,EOMONTH(F65,0)=F65)),IF(DAY(F65)=28,3*G65*'депозитный калькулятор'!$G$8,2*G65*'депозитный калькулятор'!$G$8),IF(AND(OR('депозитный калькулятор'!$G$7="30/365",'депозитный калькулятор'!$G$7="30/360"),DAY(F65)=31)," ",IF(AND('депозитный калькулятор'!$G$7="факт/факт",MOD(YEAR(F65),4)=0),G65*'депозитный калькулятор'!$D$11/366,G65*'депозитный калькулятор'!$G$8))))</f>
        <v xml:space="preserve"> </v>
      </c>
      <c r="I65" s="134" t="str">
        <f ca="1">IF(F65=" "," ",IF('депозитный калькулятор'!$G$10="ежедневное",H65,IF(AND('депозитный калькулятор'!$G$10="еженедельное",WEEKDAY(F65,2)=7),SUM(OFFSET(H65,-6,0):H65),IF(AND('депозитный калькулятор'!$G$10="еженедельное",F65='депозитный калькулятор'!$D$8),SUM($H$23:H65)-SUM($I$23:I64),IF(AND('депозитный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недели",WEEKDAY(F65,2)=7),MIN(OFFSET(H65,-6,0):H65)*(COUNTIF(OFFSET(H65,-6,0):H65,"&gt;0")+SUMIF(OFFSET(A65,-WEEKDAY(F65,2),0):A65,"=2",OFFSET(A65,-WEEKDAY(F65,2),0):A65)),IF(AND('депозитный калькулятор'!$G$10="еженедельное, на минимальную сумму зафиксированную в течение недели",F65='депозитный калькулятор'!$D$8,WEEKDAY(F65,2)&lt;&gt;7),MIN(OFFSET(H65,-WEEKDAY(F65,2),0):H65)*(COUNTIF(OFFSET(H65,-WEEKDAY(F65,2)+1,0):H65,"&gt;0")+SUM(OFFSET(A65,-WEEKDAY(F65,2),0):A65)),IF(AND('депозитный калькулятор'!$G$10="ежемесячное (в конце месяца)",F65='депозитный калькулятор'!$D$8,EOMONTH(F65,0)&lt;&gt;F65),IF('депозитный калькулятор'!$F$1=1,$H$24,SUM($H$23:H65)-SUM($I$23:I64)),IF(AND('депозитный калькулятор'!$G$10="ежемесячное (в конце месяца)",EOMONTH(F65,0)=F65),SUM($H$23:H65)-SUM($I$23:I64),IF(AND('депозитный калькулятор'!$G$10="ежемесячное (по дням открытия вклада)",F65='депозитный калькулятор'!$D$8,DAY('депозитный калькулятор'!$D$7)&lt;&gt;DAY(F65)),IF('депозитный калькулятор'!$F$1=1,$H$24,SUM($H$23:H65)-SUM($I$23:I64)),IF(AND('депозитный калькулятор'!$G$10="ежемесячное (по дням открытия вклада)",DAY('депозитный калькулятор'!$D$7)=DAY(F65)),SUM($H$23:H65)-SUM($I$23:I64),IF(AND('депозитный калькулятор'!$G$10="ежемесячное, на минимальную сумму зафиксированную в течение месяца",F65='депозитный калькулятор'!$D$8,EOMONTH(F65,0)&lt;&gt;F65),IF('депозитный калькулятор'!$F$1=1,$H$24,IF(AND(OR('депозитный калькулятор'!$G$7="30/365",'депозитный калькулятор'!$G$7="30/360"),DAY(F65)=31),0,MIN(OFFSET(H65,-E65+1,0):H65)*(E65+SUMIF(OFFSET(A65,-E65+1,0):A65,"=2",OFFSET(A65,-E65+1,0):A65)))),IF(AND('депозитный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калькулятор'!$G$7="30/360"),DAY(EOMONTH(F65,0))=31),EOMONTH(F65,0)-1=F65,EOMONTH(F65,0)=F65)),IF(IF(AND(OR('депозитный калькулятор'!$G$7="30/365",'депозитный калькулятор'!$G$7="30/360"),DAY(EOMONTH($F$23,0))=31),F65=EOMONTH($F$23,0)-1,F65=EOMONTH($F$23,0)),MIN(OFFSET(H65,-(DAY(F65)-DAY($F$23)),0):H65)*E65,MIN(OFFSET(H65,-(DAY(F65)-1),0):H65)*IF(AND(OR('депозитный калькулятор'!$G$7="30/365",'депозитный калькулятор'!$G$7="30/360"),DAY(F65)&lt;30),30,DAY(F65))),IF(AND('депозитный калькулятор'!$G$10="ежемесячное, на средний остаток в течение месяца, при условии что остаток больше чем ограничение",F65='депозитный калькулятор'!$D$8,EOMONTH(F65,0)&lt;&gt;F65),IF('депозитный калькулятор'!$F$1=1,$H$24,SUM(OFFSET(Q65,-E65+1,0):Q65)),IF(AND('депозитный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калькулятор'!$G$7="30/360"),DAY(EOMONTH(F65,0))=31),EOMONTH(F65,0)-1=F65,EOMONTH(F65,0)=F65)),IF(IF(AND(OR('депозитный калькулятор'!$G$7="30/365",'депозитный калькулятор'!$G$7="30/360"),DAY(EOMONTH($F$24,0))=31),F65=EOMONTH($F$24,0)-1,F65=EOMONTH($F$24,0)),SUM(OFFSET(Q65,-E65+1,0):Q65),SUM(OFFSET(Q65,-E65+1,0):Q65)),IF('депозитный калькулятор'!$G$10="ежеквартальное",IF(F65&gt;'депозитный калькулятор'!$D$8," ",IF(AND(EOMONTH(F65,0)=F65,OR(MONTH(F65)=3,MONTH(F65)=6,MONTH(F65)=9,MONTH(F65)=12)),IF(EDATE(F65,-3)&lt;'депозитный калькулятор'!$D$7,SUM($H$23:H65),IF(MOD(YEAR(F65),4)=0,IF(AND(EOMONTH(F65,0)=F65,OR(MONTH(F65)=3,MONTH(F65)=6)),SUM(OFFSET(H65,-90,0):H65),IF(AND(EOMONTH(F65,0)=F65,OR(MONTH(F65)=9,MONTH(F65)=12)),SUM(OFFSET(H65,-91,0):H65))),IF(AND(EOMONTH(F65,0)=F65,MONTH(F65)=3),SUM(OFFSET(H65,-89,0):H65),IF(AND(EOMONTH(F65,0)=F65,MONTH(F65)=6),SUM(OFFSET(H65,-90,0):H65),IF(AND(EOMONTH(F65,0)=F65,OR(MONTH(F65)=9,MONTH(F65)=12)),SUM(OFFSET(H65,-91,0):H65)))))),IF(F65='депозитный калькулятор'!$D$8,SUM($H$23:H65)-SUM($I$23:I64),0))),IF('депозитный калькулятор'!$G$10="ежегодное",IF(F65&gt;'депозитный калькулятор'!$D$8," ",IF(F65='депозитный калькулятор'!$D$8,SUM($H$23:H65)-SUM($I$23:I64),IF(AND(EOMONTH(F65,0)=F65,MONTH(F65)=12),IF(MOD(YEAR(F64),4)=0,IF(F65-'депозитный калькулятор'!$D$7&lt;366,SUM($H$23:H65),SUM(OFFSET(H65,-365,0):H65)),IF(F65-'депозитный калькулятор'!$D$7&lt;365,SUM($H$23:H65),SUM(OFFSET(H65,-364,0):H65))),0))),IF(AND('депозитный калькулятор'!$G$10="в конце срока",'депозитный калькулятор'!$D$8=F65),SUM($H$23:H65),0))))))))))))))))))</f>
        <v xml:space="preserve"> </v>
      </c>
      <c r="J65" s="59" t="str">
        <f>IF(F65&gt;'депозитный калькулятор'!$D$8," ",IF('депозитный калькулятор'!$G$16="нет",0,IF(AND('депозитный калькулятор'!$G$17="разовая (в конце срока)",F65='депозитный калькулятор'!$D$8),'депозитный калькулятор'!$G$18,IF(AND('депозитный калькулятор'!$G$17="ежемесячная",EOMONTH(F64,0)=F64),'депозитный калькулятор'!$G$18,IF(AND('депозитный калькулятор'!$G$17="ежегодная",DAY(F64)=31,MONTH(F64)=12),'депозитный калькулятор'!$G$18,IF(AND('депозитный калькулятор'!$G$17="ежемесячная в зависимости от остатка",EOMONTH(F64,0)=F64,P64&gt;0),'депозитный калькулятор'!$G$18,IF(AND('депозитный калькулятор'!$G$17="ежегодная в зависимости от остатка",DAY(F64)=31,MONTH(F64)=12,P64&gt;0),'депозитный калькулятор'!$G$18,0)))))))</f>
        <v xml:space="preserve"> </v>
      </c>
      <c r="K65" s="135" t="str">
        <f>IF($F65=" "," ",IFERROR(VLOOKUP($F65,'депозитный калькулятор'!$B$26:$F$70,2,0),0))</f>
        <v xml:space="preserve"> </v>
      </c>
      <c r="L65" s="135" t="str">
        <f>IF($F65=" "," ",IFERROR(VLOOKUP($F65,'депозитный калькулятор'!$B$26:$F$70,3,0),0))</f>
        <v xml:space="preserve"> </v>
      </c>
      <c r="M65" s="135" t="str">
        <f>IF($F65=" "," ",IFERROR(VLOOKUP($F65,'депозитный калькулятор'!$B$26:$F$70,4,0),0))</f>
        <v xml:space="preserve"> </v>
      </c>
      <c r="N65" s="135" t="str">
        <f>IF($F65=" "," ",IFERROR(VLOOKUP($F65,'депозитный калькулятор'!$B$26:$F$70,5,0),0))</f>
        <v xml:space="preserve"> </v>
      </c>
      <c r="O65" s="146" t="str">
        <f>IF(F65&gt;'депозитный калькулятор'!$D$8," ",IF(F65='депозитный калькулятор'!$D$8,IF(AND($F$24='депозитный калькулятор'!$D$8,'депозитный калькулятор'!$G$13="нет"),-G65-IF(I65=" ",0,I65)-IF(AND(OR('депозитный калькулятор'!$G$7="30/365",'депозитный калькулятор'!$G$7="30/360"),'депозитный калькулятор'!$G$10="в начале срока"),I64,0)-L65+M65-N65,-G65-IF(I65=" ",0,I65)-L65+M65-N65),IF('депозитный калькулятор'!$G$13="есть",M65-N65+IF('депозитный калькулятор'!$G$14="есть",0,-L65),-IF(I65=" ",0,I65)-IF(AND(OR('депозитный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срока"),I64,0)+M65-N65+IF('депозитный калькулятор'!$G$14="есть",0,-L65))))</f>
        <v xml:space="preserve"> </v>
      </c>
      <c r="P65" s="147" t="str">
        <f>IF(F65&gt;'депозитный калькулятор'!$D$8," ",IF(EOMONTH(F64,0)=F64,0,IF(G65&gt;='депозитный калькулятор'!$G$19,P64,P64+1)))</f>
        <v xml:space="preserve"> </v>
      </c>
      <c r="Q65" s="138" t="str">
        <f>IF(F65=" "," ",IF(AND(OR('депозитный калькулятор'!$G$7="30/365",'депозитный калькулятор'!$G$7="30/360"),AND(MONTH(F65)=2,EOMONTH(F65,0)=F65)),IF(DAY(F65)=28,3,2),1)*IF(G65&gt;='депозитный калькулятор'!$G$11,IF(AND('депозитный калькулятор'!$G$7="факт/факт",MOD(YEAR(F65),4)=0),G65*'депозитный калькулятор'!$D$11/366,G65*'депозитный калькулятор'!$G$8),0))</f>
        <v xml:space="preserve"> </v>
      </c>
      <c r="R65" s="148"/>
      <c r="S65" s="62" t="str">
        <f t="shared" ca="1" si="2"/>
        <v xml:space="preserve"> </v>
      </c>
      <c r="T65" s="149" t="str">
        <f ca="1">IF(S65=" "," ",IF('депозитный калькулятор'!$G$7="30/360",DAYS360(U64,IF(DAY(U65)=31,U65-1,U65))+IF(AND(MONTH(U65)=2,U65=EOMONTH(U65,0)),30-DAY(EOMONTH(U65,0)))+T64,VLOOKUP(S65,$C$22:$F$1023,2,0)))</f>
        <v xml:space="preserve"> </v>
      </c>
      <c r="U65" s="64" t="str">
        <f t="shared" ca="1" si="0"/>
        <v xml:space="preserve"> </v>
      </c>
      <c r="V65" s="150" t="str">
        <f t="shared" ca="1" si="3"/>
        <v xml:space="preserve"> </v>
      </c>
      <c r="W65" s="62" t="str">
        <f t="shared" ca="1" si="4"/>
        <v xml:space="preserve"> </v>
      </c>
      <c r="X65" s="141" t="str">
        <f ca="1">IF(S65=" "," ",IFERROR(VLOOKUP(U65,$F$23:$N$1023,7)+VLOOKUP(U65,$F$23:$N$1023,9)+IF(AND('депозитный калькулятор'!$G$13="нет",U65&lt;&gt;'депозитный калькулятор'!$D$8),VLOOKUP(U65,$F$23:$N$1023,4),0),0)+IF(U65='депозитный калькулятор'!$D$8,VLOOKUP(U65,$F$23:$N$1023,2)+VLOOKUP(U65,$F$23:$N$1023,4),0))</f>
        <v xml:space="preserve"> </v>
      </c>
      <c r="Y65" s="142" t="str">
        <f ca="1">IF(S65=" "," ",W65/(1+'депозитный калькулятор'!$K$8)^(T65/IF('депозитный калькулятор'!$G$7="30/360",360,365)))</f>
        <v xml:space="preserve"> </v>
      </c>
      <c r="Z65" s="142" t="str">
        <f ca="1">IF(S65=" "," ",X65/(1+'депозитный калькулятор'!$K$8)^(T65/IF('депозитный калькулятор'!$G$7="30/360",360,365)))</f>
        <v xml:space="preserve"> </v>
      </c>
      <c r="AA65" s="151"/>
      <c r="AB65" s="151"/>
      <c r="AC65" s="155"/>
      <c r="AD65" s="155"/>
    </row>
    <row r="66" spans="1:30" s="2" customFormat="1" ht="15.5" x14ac:dyDescent="0.35">
      <c r="A66" s="41" t="str">
        <f>IF(F66=" "," ",IF(OR('депозитный калькулятор'!$G$7="30/365",'депозитный калькулятор'!$G$7="30/360"),IF(AND(MONTH(F66)=2,DAY(F66)=DAY(EOMONTH(F66,0))),30-DAY(EOMONTH(F66,0)),IF(DAY(F66)=31,1," "))," "))</f>
        <v xml:space="preserve"> </v>
      </c>
      <c r="B66" s="130" t="str">
        <f t="shared" si="1"/>
        <v xml:space="preserve"> </v>
      </c>
      <c r="C66" s="130" t="str">
        <f>IF(OR(B66=0,B66=" ")," ",SUM($B$23:B66))</f>
        <v xml:space="preserve"> </v>
      </c>
      <c r="D66" s="62" t="str">
        <f>IF(D65=" "," ",IF(OR(F65='депозитный калькулятор'!$D$8,F65=" ")," ",D65+1))</f>
        <v xml:space="preserve"> </v>
      </c>
      <c r="E66" s="130" t="str">
        <f>IF(OR(F65='депозитный калькулятор'!$D$8,F65=" ")," ",IF(EOMONTH(F65,0)=F65,1,E65+1))</f>
        <v xml:space="preserve"> </v>
      </c>
      <c r="F66" s="64" t="str">
        <f>IF(F65=" "," ",IF(F65='депозитный калькулятор'!$D$8," ",F65+1))</f>
        <v xml:space="preserve"> </v>
      </c>
      <c r="G66" s="145" t="str">
        <f xml:space="preserve"> IF(F66&gt;'депозитный калькулятор'!$D$8," ",IF('депозитный калькулятор'!$G$13="есть",IF('депозитный калькулятор'!$G$14="есть",G65+IF(I65=" ",0,I65)-J66-K66+L66+M66-N66,G65+IF(I65=" ",0,I65)-J66-K66+M66-N66),IF('депозитный калькулятор'!$G$14="есть",G65-J66-K66+L66+M66-N66,G65-J66-K66+M66-N66)))</f>
        <v xml:space="preserve"> </v>
      </c>
      <c r="H66" s="133" t="str">
        <f>IF(F66&gt;'депозитный калькулятор'!$D$8," ",IF(AND(OR('депозитный калькулятор'!$G$7="30/365",'депозитный калькулятор'!$G$7="30/360"),AND(MONTH(F66)=2,EOMONTH(F66,0)=F66)),IF(DAY(F66)=28,3*G66*'депозитный калькулятор'!$G$8,2*G66*'депозитный калькулятор'!$G$8),IF(AND(OR('депозитный калькулятор'!$G$7="30/365",'депозитный калькулятор'!$G$7="30/360"),DAY(F66)=31)," ",IF(AND('депозитный калькулятор'!$G$7="факт/факт",MOD(YEAR(F66),4)=0),G66*'депозитный калькулятор'!$D$11/366,G66*'депозитный калькулятор'!$G$8))))</f>
        <v xml:space="preserve"> </v>
      </c>
      <c r="I66" s="134" t="str">
        <f ca="1">IF(F66=" "," ",IF('депозитный калькулятор'!$G$10="ежедневное",H66,IF(AND('депозитный калькулятор'!$G$10="еженедельное",WEEKDAY(F66,2)=7),SUM(OFFSET(H66,-6,0):H66),IF(AND('депозитный калькулятор'!$G$10="еженедельное",F66='депозитный калькулятор'!$D$8),SUM($H$23:H66)-SUM($I$23:I65),IF(AND('депозитный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недели",WEEKDAY(F66,2)=7),MIN(OFFSET(H66,-6,0):H66)*(COUNTIF(OFFSET(H66,-6,0):H66,"&gt;0")+SUMIF(OFFSET(A66,-WEEKDAY(F66,2),0):A66,"=2",OFFSET(A66,-WEEKDAY(F66,2),0):A66)),IF(AND('депозитный калькулятор'!$G$10="еженедельное, на минимальную сумму зафиксированную в течение недели",F66='депозитный калькулятор'!$D$8,WEEKDAY(F66,2)&lt;&gt;7),MIN(OFFSET(H66,-WEEKDAY(F66,2),0):H66)*(COUNTIF(OFFSET(H66,-WEEKDAY(F66,2)+1,0):H66,"&gt;0")+SUM(OFFSET(A66,-WEEKDAY(F66,2),0):A66)),IF(AND('депозитный калькулятор'!$G$10="ежемесячное (в конце месяца)",F66='депозитный калькулятор'!$D$8,EOMONTH(F66,0)&lt;&gt;F66),IF('депозитный калькулятор'!$F$1=1,$H$24,SUM($H$23:H66)-SUM($I$23:I65)),IF(AND('депозитный калькулятор'!$G$10="ежемесячное (в конце месяца)",EOMONTH(F66,0)=F66),SUM($H$23:H66)-SUM($I$23:I65),IF(AND('депозитный калькулятор'!$G$10="ежемесячное (по дням открытия вклада)",F66='депозитный калькулятор'!$D$8,DAY('депозитный калькулятор'!$D$7)&lt;&gt;DAY(F66)),IF('депозитный калькулятор'!$F$1=1,$H$24,SUM($H$23:H66)-SUM($I$23:I65)),IF(AND('депозитный калькулятор'!$G$10="ежемесячное (по дням открытия вклада)",DAY('депозитный калькулятор'!$D$7)=DAY(F66)),SUM($H$23:H66)-SUM($I$23:I65),IF(AND('депозитный калькулятор'!$G$10="ежемесячное, на минимальную сумму зафиксированную в течение месяца",F66='депозитный калькулятор'!$D$8,EOMONTH(F66,0)&lt;&gt;F66),IF('депозитный калькулятор'!$F$1=1,$H$24,IF(AND(OR('депозитный калькулятор'!$G$7="30/365",'депозитный калькулятор'!$G$7="30/360"),DAY(F66)=31),0,MIN(OFFSET(H66,-E66+1,0):H66)*(E66+SUMIF(OFFSET(A66,-E66+1,0):A66,"=2",OFFSET(A66,-E66+1,0):A66)))),IF(AND('депозитный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калькулятор'!$G$7="30/360"),DAY(EOMONTH(F66,0))=31),EOMONTH(F66,0)-1=F66,EOMONTH(F66,0)=F66)),IF(IF(AND(OR('депозитный калькулятор'!$G$7="30/365",'депозитный калькулятор'!$G$7="30/360"),DAY(EOMONTH($F$23,0))=31),F66=EOMONTH($F$23,0)-1,F66=EOMONTH($F$23,0)),MIN(OFFSET(H66,-(DAY(F66)-DAY($F$23)),0):H66)*E66,MIN(OFFSET(H66,-(DAY(F66)-1),0):H66)*IF(AND(OR('депозитный калькулятор'!$G$7="30/365",'депозитный калькулятор'!$G$7="30/360"),DAY(F66)&lt;30),30,DAY(F66))),IF(AND('депозитный калькулятор'!$G$10="ежемесячное, на средний остаток в течение месяца, при условии что остаток больше чем ограничение",F66='депозитный калькулятор'!$D$8,EOMONTH(F66,0)&lt;&gt;F66),IF('депозитный калькулятор'!$F$1=1,$H$24,SUM(OFFSET(Q66,-E66+1,0):Q66)),IF(AND('депозитный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калькулятор'!$G$7="30/360"),DAY(EOMONTH(F66,0))=31),EOMONTH(F66,0)-1=F66,EOMONTH(F66,0)=F66)),IF(IF(AND(OR('депозитный калькулятор'!$G$7="30/365",'депозитный калькулятор'!$G$7="30/360"),DAY(EOMONTH($F$24,0))=31),F66=EOMONTH($F$24,0)-1,F66=EOMONTH($F$24,0)),SUM(OFFSET(Q66,-E66+1,0):Q66),SUM(OFFSET(Q66,-E66+1,0):Q66)),IF('депозитный калькулятор'!$G$10="ежеквартальное",IF(F66&gt;'депозитный калькулятор'!$D$8," ",IF(AND(EOMONTH(F66,0)=F66,OR(MONTH(F66)=3,MONTH(F66)=6,MONTH(F66)=9,MONTH(F66)=12)),IF(EDATE(F66,-3)&lt;'депозитный калькулятор'!$D$7,SUM($H$23:H66),IF(MOD(YEAR(F66),4)=0,IF(AND(EOMONTH(F66,0)=F66,OR(MONTH(F66)=3,MONTH(F66)=6)),SUM(OFFSET(H66,-90,0):H66),IF(AND(EOMONTH(F66,0)=F66,OR(MONTH(F66)=9,MONTH(F66)=12)),SUM(OFFSET(H66,-91,0):H66))),IF(AND(EOMONTH(F66,0)=F66,MONTH(F66)=3),SUM(OFFSET(H66,-89,0):H66),IF(AND(EOMONTH(F66,0)=F66,MONTH(F66)=6),SUM(OFFSET(H66,-90,0):H66),IF(AND(EOMONTH(F66,0)=F66,OR(MONTH(F66)=9,MONTH(F66)=12)),SUM(OFFSET(H66,-91,0):H66)))))),IF(F66='депозитный калькулятор'!$D$8,SUM($H$23:H66)-SUM($I$23:I65),0))),IF('депозитный калькулятор'!$G$10="ежегодное",IF(F66&gt;'депозитный калькулятор'!$D$8," ",IF(F66='депозитный калькулятор'!$D$8,SUM($H$23:H66)-SUM($I$23:I65),IF(AND(EOMONTH(F66,0)=F66,MONTH(F66)=12),IF(MOD(YEAR(F65),4)=0,IF(F66-'депозитный калькулятор'!$D$7&lt;366,SUM($H$23:H66),SUM(OFFSET(H66,-365,0):H66)),IF(F66-'депозитный калькулятор'!$D$7&lt;365,SUM($H$23:H66),SUM(OFFSET(H66,-364,0):H66))),0))),IF(AND('депозитный калькулятор'!$G$10="в конце срока",'депозитный калькулятор'!$D$8=F66),SUM($H$23:H66),0))))))))))))))))))</f>
        <v xml:space="preserve"> </v>
      </c>
      <c r="J66" s="59" t="str">
        <f>IF(F66&gt;'депозитный калькулятор'!$D$8," ",IF('депозитный калькулятор'!$G$16="нет",0,IF(AND('депозитный калькулятор'!$G$17="разовая (в конце срока)",F66='депозитный калькулятор'!$D$8),'депозитный калькулятор'!$G$18,IF(AND('депозитный калькулятор'!$G$17="ежемесячная",EOMONTH(F65,0)=F65),'депозитный калькулятор'!$G$18,IF(AND('депозитный калькулятор'!$G$17="ежегодная",DAY(F65)=31,MONTH(F65)=12),'депозитный калькулятор'!$G$18,IF(AND('депозитный калькулятор'!$G$17="ежемесячная в зависимости от остатка",EOMONTH(F65,0)=F65,P65&gt;0),'депозитный калькулятор'!$G$18,IF(AND('депозитный калькулятор'!$G$17="ежегодная в зависимости от остатка",DAY(F65)=31,MONTH(F65)=12,P65&gt;0),'депозитный калькулятор'!$G$18,0)))))))</f>
        <v xml:space="preserve"> </v>
      </c>
      <c r="K66" s="135" t="str">
        <f>IF($F66=" "," ",IFERROR(VLOOKUP($F66,'депозитный калькулятор'!$B$26:$F$70,2,0),0))</f>
        <v xml:space="preserve"> </v>
      </c>
      <c r="L66" s="135" t="str">
        <f>IF($F66=" "," ",IFERROR(VLOOKUP($F66,'депозитный калькулятор'!$B$26:$F$70,3,0),0))</f>
        <v xml:space="preserve"> </v>
      </c>
      <c r="M66" s="135" t="str">
        <f>IF($F66=" "," ",IFERROR(VLOOKUP($F66,'депозитный калькулятор'!$B$26:$F$70,4,0),0))</f>
        <v xml:space="preserve"> </v>
      </c>
      <c r="N66" s="135" t="str">
        <f>IF($F66=" "," ",IFERROR(VLOOKUP($F66,'депозитный калькулятор'!$B$26:$F$70,5,0),0))</f>
        <v xml:space="preserve"> </v>
      </c>
      <c r="O66" s="146" t="str">
        <f>IF(F66&gt;'депозитный калькулятор'!$D$8," ",IF(F66='депозитный калькулятор'!$D$8,IF(AND($F$24='депозитный калькулятор'!$D$8,'депозитный калькулятор'!$G$13="нет"),-G66-IF(I66=" ",0,I66)-IF(AND(OR('депозитный калькулятор'!$G$7="30/365",'депозитный калькулятор'!$G$7="30/360"),'депозитный калькулятор'!$G$10="в начале срока"),I65,0)-L66+M66-N66,-G66-IF(I66=" ",0,I66)-L66+M66-N66),IF('депозитный калькулятор'!$G$13="есть",M66-N66+IF('депозитный калькулятор'!$G$14="есть",0,-L66),-IF(I66=" ",0,I66)-IF(AND(OR('депозитный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срока"),I65,0)+M66-N66+IF('депозитный калькулятор'!$G$14="есть",0,-L66))))</f>
        <v xml:space="preserve"> </v>
      </c>
      <c r="P66" s="147" t="str">
        <f>IF(F66&gt;'депозитный калькулятор'!$D$8," ",IF(EOMONTH(F65,0)=F65,0,IF(G66&gt;='депозитный калькулятор'!$G$19,P65,P65+1)))</f>
        <v xml:space="preserve"> </v>
      </c>
      <c r="Q66" s="138" t="str">
        <f>IF(F66=" "," ",IF(AND(OR('депозитный калькулятор'!$G$7="30/365",'депозитный калькулятор'!$G$7="30/360"),AND(MONTH(F66)=2,EOMONTH(F66,0)=F66)),IF(DAY(F66)=28,3,2),1)*IF(G66&gt;='депозитный калькулятор'!$G$11,IF(AND('депозитный калькулятор'!$G$7="факт/факт",MOD(YEAR(F66),4)=0),G66*'депозитный калькулятор'!$D$11/366,G66*'депозитный калькулятор'!$G$8),0))</f>
        <v xml:space="preserve"> </v>
      </c>
      <c r="R66" s="148"/>
      <c r="S66" s="62" t="str">
        <f t="shared" ca="1" si="2"/>
        <v xml:space="preserve"> </v>
      </c>
      <c r="T66" s="149" t="str">
        <f ca="1">IF(S66=" "," ",IF('депозитный калькулятор'!$G$7="30/360",DAYS360(U65,IF(DAY(U66)=31,U66-1,U66))+IF(AND(MONTH(U66)=2,U66=EOMONTH(U66,0)),30-DAY(EOMONTH(U66,0)))+T65,VLOOKUP(S66,$C$22:$F$1023,2,0)))</f>
        <v xml:space="preserve"> </v>
      </c>
      <c r="U66" s="64" t="str">
        <f t="shared" ca="1" si="0"/>
        <v xml:space="preserve"> </v>
      </c>
      <c r="V66" s="150" t="str">
        <f t="shared" ca="1" si="3"/>
        <v xml:space="preserve"> </v>
      </c>
      <c r="W66" s="62" t="str">
        <f t="shared" ca="1" si="4"/>
        <v xml:space="preserve"> </v>
      </c>
      <c r="X66" s="141" t="str">
        <f ca="1">IF(S66=" "," ",IFERROR(VLOOKUP(U66,$F$23:$N$1023,7)+VLOOKUP(U66,$F$23:$N$1023,9)+IF(AND('депозитный калькулятор'!$G$13="нет",U66&lt;&gt;'депозитный калькулятор'!$D$8),VLOOKUP(U66,$F$23:$N$1023,4),0),0)+IF(U66='депозитный калькулятор'!$D$8,VLOOKUP(U66,$F$23:$N$1023,2)+VLOOKUP(U66,$F$23:$N$1023,4),0))</f>
        <v xml:space="preserve"> </v>
      </c>
      <c r="Y66" s="142" t="str">
        <f ca="1">IF(S66=" "," ",W66/(1+'депозитный калькулятор'!$K$8)^(T66/IF('депозитный калькулятор'!$G$7="30/360",360,365)))</f>
        <v xml:space="preserve"> </v>
      </c>
      <c r="Z66" s="142" t="str">
        <f ca="1">IF(S66=" "," ",X66/(1+'депозитный калькулятор'!$K$8)^(T66/IF('депозитный калькулятор'!$G$7="30/360",360,365)))</f>
        <v xml:space="preserve"> </v>
      </c>
      <c r="AA66" s="151"/>
      <c r="AB66" s="151"/>
      <c r="AC66" s="155"/>
      <c r="AD66" s="155"/>
    </row>
    <row r="67" spans="1:30" s="2" customFormat="1" ht="15.5" x14ac:dyDescent="0.35">
      <c r="A67" s="41" t="str">
        <f>IF(F67=" "," ",IF(OR('депозитный калькулятор'!$G$7="30/365",'депозитный калькулятор'!$G$7="30/360"),IF(AND(MONTH(F67)=2,DAY(F67)=DAY(EOMONTH(F67,0))),30-DAY(EOMONTH(F67,0)),IF(DAY(F67)=31,1," "))," "))</f>
        <v xml:space="preserve"> </v>
      </c>
      <c r="B67" s="130" t="str">
        <f t="shared" si="1"/>
        <v xml:space="preserve"> </v>
      </c>
      <c r="C67" s="130" t="str">
        <f>IF(OR(B67=0,B67=" ")," ",SUM($B$23:B67))</f>
        <v xml:space="preserve"> </v>
      </c>
      <c r="D67" s="62" t="str">
        <f>IF(D66=" "," ",IF(OR(F66='депозитный калькулятор'!$D$8,F66=" ")," ",D66+1))</f>
        <v xml:space="preserve"> </v>
      </c>
      <c r="E67" s="130" t="str">
        <f>IF(OR(F66='депозитный калькулятор'!$D$8,F66=" ")," ",IF(EOMONTH(F66,0)=F66,1,E66+1))</f>
        <v xml:space="preserve"> </v>
      </c>
      <c r="F67" s="64" t="str">
        <f>IF(F66=" "," ",IF(F66='депозитный калькулятор'!$D$8," ",F66+1))</f>
        <v xml:space="preserve"> </v>
      </c>
      <c r="G67" s="145" t="str">
        <f xml:space="preserve"> IF(F67&gt;'депозитный калькулятор'!$D$8," ",IF('депозитный калькулятор'!$G$13="есть",IF('депозитный калькулятор'!$G$14="есть",G66+IF(I66=" ",0,I66)-J67-K67+L67+M67-N67,G66+IF(I66=" ",0,I66)-J67-K67+M67-N67),IF('депозитный калькулятор'!$G$14="есть",G66-J67-K67+L67+M67-N67,G66-J67-K67+M67-N67)))</f>
        <v xml:space="preserve"> </v>
      </c>
      <c r="H67" s="133" t="str">
        <f>IF(F67&gt;'депозитный калькулятор'!$D$8," ",IF(AND(OR('депозитный калькулятор'!$G$7="30/365",'депозитный калькулятор'!$G$7="30/360"),AND(MONTH(F67)=2,EOMONTH(F67,0)=F67)),IF(DAY(F67)=28,3*G67*'депозитный калькулятор'!$G$8,2*G67*'депозитный калькулятор'!$G$8),IF(AND(OR('депозитный калькулятор'!$G$7="30/365",'депозитный калькулятор'!$G$7="30/360"),DAY(F67)=31)," ",IF(AND('депозитный калькулятор'!$G$7="факт/факт",MOD(YEAR(F67),4)=0),G67*'депозитный калькулятор'!$D$11/366,G67*'депозитный калькулятор'!$G$8))))</f>
        <v xml:space="preserve"> </v>
      </c>
      <c r="I67" s="134" t="str">
        <f ca="1">IF(F67=" "," ",IF('депозитный калькулятор'!$G$10="ежедневное",H67,IF(AND('депозитный калькулятор'!$G$10="еженедельное",WEEKDAY(F67,2)=7),SUM(OFFSET(H67,-6,0):H67),IF(AND('депозитный калькулятор'!$G$10="еженедельное",F67='депозитный калькулятор'!$D$8),SUM($H$23:H67)-SUM($I$23:I66),IF(AND('депозитный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недели",WEEKDAY(F67,2)=7),MIN(OFFSET(H67,-6,0):H67)*(COUNTIF(OFFSET(H67,-6,0):H67,"&gt;0")+SUMIF(OFFSET(A67,-WEEKDAY(F67,2),0):A67,"=2",OFFSET(A67,-WEEKDAY(F67,2),0):A67)),IF(AND('депозитный калькулятор'!$G$10="еженедельное, на минимальную сумму зафиксированную в течение недели",F67='депозитный калькулятор'!$D$8,WEEKDAY(F67,2)&lt;&gt;7),MIN(OFFSET(H67,-WEEKDAY(F67,2),0):H67)*(COUNTIF(OFFSET(H67,-WEEKDAY(F67,2)+1,0):H67,"&gt;0")+SUM(OFFSET(A67,-WEEKDAY(F67,2),0):A67)),IF(AND('депозитный калькулятор'!$G$10="ежемесячное (в конце месяца)",F67='депозитный калькулятор'!$D$8,EOMONTH(F67,0)&lt;&gt;F67),IF('депозитный калькулятор'!$F$1=1,$H$24,SUM($H$23:H67)-SUM($I$23:I66)),IF(AND('депозитный калькулятор'!$G$10="ежемесячное (в конце месяца)",EOMONTH(F67,0)=F67),SUM($H$23:H67)-SUM($I$23:I66),IF(AND('депозитный калькулятор'!$G$10="ежемесячное (по дням открытия вклада)",F67='депозитный калькулятор'!$D$8,DAY('депозитный калькулятор'!$D$7)&lt;&gt;DAY(F67)),IF('депозитный калькулятор'!$F$1=1,$H$24,SUM($H$23:H67)-SUM($I$23:I66)),IF(AND('депозитный калькулятор'!$G$10="ежемесячное (по дням открытия вклада)",DAY('депозитный калькулятор'!$D$7)=DAY(F67)),SUM($H$23:H67)-SUM($I$23:I66),IF(AND('депозитный калькулятор'!$G$10="ежемесячное, на минимальную сумму зафиксированную в течение месяца",F67='депозитный калькулятор'!$D$8,EOMONTH(F67,0)&lt;&gt;F67),IF('депозитный калькулятор'!$F$1=1,$H$24,IF(AND(OR('депозитный калькулятор'!$G$7="30/365",'депозитный калькулятор'!$G$7="30/360"),DAY(F67)=31),0,MIN(OFFSET(H67,-E67+1,0):H67)*(E67+SUMIF(OFFSET(A67,-E67+1,0):A67,"=2",OFFSET(A67,-E67+1,0):A67)))),IF(AND('депозитный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калькулятор'!$G$7="30/360"),DAY(EOMONTH(F67,0))=31),EOMONTH(F67,0)-1=F67,EOMONTH(F67,0)=F67)),IF(IF(AND(OR('депозитный калькулятор'!$G$7="30/365",'депозитный калькулятор'!$G$7="30/360"),DAY(EOMONTH($F$23,0))=31),F67=EOMONTH($F$23,0)-1,F67=EOMONTH($F$23,0)),MIN(OFFSET(H67,-(DAY(F67)-DAY($F$23)),0):H67)*E67,MIN(OFFSET(H67,-(DAY(F67)-1),0):H67)*IF(AND(OR('депозитный калькулятор'!$G$7="30/365",'депозитный калькулятор'!$G$7="30/360"),DAY(F67)&lt;30),30,DAY(F67))),IF(AND('депозитный калькулятор'!$G$10="ежемесячное, на средний остаток в течение месяца, при условии что остаток больше чем ограничение",F67='депозитный калькулятор'!$D$8,EOMONTH(F67,0)&lt;&gt;F67),IF('депозитный калькулятор'!$F$1=1,$H$24,SUM(OFFSET(Q67,-E67+1,0):Q67)),IF(AND('депозитный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калькулятор'!$G$7="30/360"),DAY(EOMONTH(F67,0))=31),EOMONTH(F67,0)-1=F67,EOMONTH(F67,0)=F67)),IF(IF(AND(OR('депозитный калькулятор'!$G$7="30/365",'депозитный калькулятор'!$G$7="30/360"),DAY(EOMONTH($F$24,0))=31),F67=EOMONTH($F$24,0)-1,F67=EOMONTH($F$24,0)),SUM(OFFSET(Q67,-E67+1,0):Q67),SUM(OFFSET(Q67,-E67+1,0):Q67)),IF('депозитный калькулятор'!$G$10="ежеквартальное",IF(F67&gt;'депозитный калькулятор'!$D$8," ",IF(AND(EOMONTH(F67,0)=F67,OR(MONTH(F67)=3,MONTH(F67)=6,MONTH(F67)=9,MONTH(F67)=12)),IF(EDATE(F67,-3)&lt;'депозитный калькулятор'!$D$7,SUM($H$23:H67),IF(MOD(YEAR(F67),4)=0,IF(AND(EOMONTH(F67,0)=F67,OR(MONTH(F67)=3,MONTH(F67)=6)),SUM(OFFSET(H67,-90,0):H67),IF(AND(EOMONTH(F67,0)=F67,OR(MONTH(F67)=9,MONTH(F67)=12)),SUM(OFFSET(H67,-91,0):H67))),IF(AND(EOMONTH(F67,0)=F67,MONTH(F67)=3),SUM(OFFSET(H67,-89,0):H67),IF(AND(EOMONTH(F67,0)=F67,MONTH(F67)=6),SUM(OFFSET(H67,-90,0):H67),IF(AND(EOMONTH(F67,0)=F67,OR(MONTH(F67)=9,MONTH(F67)=12)),SUM(OFFSET(H67,-91,0):H67)))))),IF(F67='депозитный калькулятор'!$D$8,SUM($H$23:H67)-SUM($I$23:I66),0))),IF('депозитный калькулятор'!$G$10="ежегодное",IF(F67&gt;'депозитный калькулятор'!$D$8," ",IF(F67='депозитный калькулятор'!$D$8,SUM($H$23:H67)-SUM($I$23:I66),IF(AND(EOMONTH(F67,0)=F67,MONTH(F67)=12),IF(MOD(YEAR(F66),4)=0,IF(F67-'депозитный калькулятор'!$D$7&lt;366,SUM($H$23:H67),SUM(OFFSET(H67,-365,0):H67)),IF(F67-'депозитный калькулятор'!$D$7&lt;365,SUM($H$23:H67),SUM(OFFSET(H67,-364,0):H67))),0))),IF(AND('депозитный калькулятор'!$G$10="в конце срока",'депозитный калькулятор'!$D$8=F67),SUM($H$23:H67),0))))))))))))))))))</f>
        <v xml:space="preserve"> </v>
      </c>
      <c r="J67" s="59" t="str">
        <f>IF(F67&gt;'депозитный калькулятор'!$D$8," ",IF('депозитный калькулятор'!$G$16="нет",0,IF(AND('депозитный калькулятор'!$G$17="разовая (в конце срока)",F67='депозитный калькулятор'!$D$8),'депозитный калькулятор'!$G$18,IF(AND('депозитный калькулятор'!$G$17="ежемесячная",EOMONTH(F66,0)=F66),'депозитный калькулятор'!$G$18,IF(AND('депозитный калькулятор'!$G$17="ежегодная",DAY(F66)=31,MONTH(F66)=12),'депозитный калькулятор'!$G$18,IF(AND('депозитный калькулятор'!$G$17="ежемесячная в зависимости от остатка",EOMONTH(F66,0)=F66,P66&gt;0),'депозитный калькулятор'!$G$18,IF(AND('депозитный калькулятор'!$G$17="ежегодная в зависимости от остатка",DAY(F66)=31,MONTH(F66)=12,P66&gt;0),'депозитный калькулятор'!$G$18,0)))))))</f>
        <v xml:space="preserve"> </v>
      </c>
      <c r="K67" s="135" t="str">
        <f>IF($F67=" "," ",IFERROR(VLOOKUP($F67,'депозитный калькулятор'!$B$26:$F$70,2,0),0))</f>
        <v xml:space="preserve"> </v>
      </c>
      <c r="L67" s="135" t="str">
        <f>IF($F67=" "," ",IFERROR(VLOOKUP($F67,'депозитный калькулятор'!$B$26:$F$70,3,0),0))</f>
        <v xml:space="preserve"> </v>
      </c>
      <c r="M67" s="135" t="str">
        <f>IF($F67=" "," ",IFERROR(VLOOKUP($F67,'депозитный калькулятор'!$B$26:$F$70,4,0),0))</f>
        <v xml:space="preserve"> </v>
      </c>
      <c r="N67" s="135" t="str">
        <f>IF($F67=" "," ",IFERROR(VLOOKUP($F67,'депозитный калькулятор'!$B$26:$F$70,5,0),0))</f>
        <v xml:space="preserve"> </v>
      </c>
      <c r="O67" s="146" t="str">
        <f>IF(F67&gt;'депозитный калькулятор'!$D$8," ",IF(F67='депозитный калькулятор'!$D$8,IF(AND($F$24='депозитный калькулятор'!$D$8,'депозитный калькулятор'!$G$13="нет"),-G67-IF(I67=" ",0,I67)-IF(AND(OR('депозитный калькулятор'!$G$7="30/365",'депозитный калькулятор'!$G$7="30/360"),'депозитный калькулятор'!$G$10="в начале срока"),I66,0)-L67+M67-N67,-G67-IF(I67=" ",0,I67)-L67+M67-N67),IF('депозитный калькулятор'!$G$13="есть",M67-N67+IF('депозитный калькулятор'!$G$14="есть",0,-L67),-IF(I67=" ",0,I67)-IF(AND(OR('депозитный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срока"),I66,0)+M67-N67+IF('депозитный калькулятор'!$G$14="есть",0,-L67))))</f>
        <v xml:space="preserve"> </v>
      </c>
      <c r="P67" s="147" t="str">
        <f>IF(F67&gt;'депозитный калькулятор'!$D$8," ",IF(EOMONTH(F66,0)=F66,0,IF(G67&gt;='депозитный калькулятор'!$G$19,P66,P66+1)))</f>
        <v xml:space="preserve"> </v>
      </c>
      <c r="Q67" s="138" t="str">
        <f>IF(F67=" "," ",IF(AND(OR('депозитный калькулятор'!$G$7="30/365",'депозитный калькулятор'!$G$7="30/360"),AND(MONTH(F67)=2,EOMONTH(F67,0)=F67)),IF(DAY(F67)=28,3,2),1)*IF(G67&gt;='депозитный калькулятор'!$G$11,IF(AND('депозитный калькулятор'!$G$7="факт/факт",MOD(YEAR(F67),4)=0),G67*'депозитный калькулятор'!$D$11/366,G67*'депозитный калькулятор'!$G$8),0))</f>
        <v xml:space="preserve"> </v>
      </c>
      <c r="R67" s="148"/>
      <c r="S67" s="62" t="str">
        <f t="shared" ca="1" si="2"/>
        <v xml:space="preserve"> </v>
      </c>
      <c r="T67" s="149" t="str">
        <f ca="1">IF(S67=" "," ",IF('депозитный калькулятор'!$G$7="30/360",DAYS360(U66,IF(DAY(U67)=31,U67-1,U67))+IF(AND(MONTH(U67)=2,U67=EOMONTH(U67,0)),30-DAY(EOMONTH(U67,0)))+T66,VLOOKUP(S67,$C$22:$F$1023,2,0)))</f>
        <v xml:space="preserve"> </v>
      </c>
      <c r="U67" s="64" t="str">
        <f t="shared" ca="1" si="0"/>
        <v xml:space="preserve"> </v>
      </c>
      <c r="V67" s="150" t="str">
        <f t="shared" ca="1" si="3"/>
        <v xml:space="preserve"> </v>
      </c>
      <c r="W67" s="62" t="str">
        <f t="shared" ca="1" si="4"/>
        <v xml:space="preserve"> </v>
      </c>
      <c r="X67" s="141" t="str">
        <f ca="1">IF(S67=" "," ",IFERROR(VLOOKUP(U67,$F$23:$N$1023,7)+VLOOKUP(U67,$F$23:$N$1023,9)+IF(AND('депозитный калькулятор'!$G$13="нет",U67&lt;&gt;'депозитный калькулятор'!$D$8),VLOOKUP(U67,$F$23:$N$1023,4),0),0)+IF(U67='депозитный калькулятор'!$D$8,VLOOKUP(U67,$F$23:$N$1023,2)+VLOOKUP(U67,$F$23:$N$1023,4),0))</f>
        <v xml:space="preserve"> </v>
      </c>
      <c r="Y67" s="142" t="str">
        <f ca="1">IF(S67=" "," ",W67/(1+'депозитный калькулятор'!$K$8)^(T67/IF('депозитный калькулятор'!$G$7="30/360",360,365)))</f>
        <v xml:space="preserve"> </v>
      </c>
      <c r="Z67" s="142" t="str">
        <f ca="1">IF(S67=" "," ",X67/(1+'депозитный калькулятор'!$K$8)^(T67/IF('депозитный калькулятор'!$G$7="30/360",360,365)))</f>
        <v xml:space="preserve"> </v>
      </c>
      <c r="AA67" s="151"/>
      <c r="AB67" s="151"/>
      <c r="AC67" s="155"/>
      <c r="AD67" s="155"/>
    </row>
    <row r="68" spans="1:30" s="2" customFormat="1" ht="15.5" x14ac:dyDescent="0.35">
      <c r="A68" s="41" t="str">
        <f>IF(F68=" "," ",IF(OR('депозитный калькулятор'!$G$7="30/365",'депозитный калькулятор'!$G$7="30/360"),IF(AND(MONTH(F68)=2,DAY(F68)=DAY(EOMONTH(F68,0))),30-DAY(EOMONTH(F68,0)),IF(DAY(F68)=31,1," "))," "))</f>
        <v xml:space="preserve"> </v>
      </c>
      <c r="B68" s="130" t="str">
        <f t="shared" si="1"/>
        <v xml:space="preserve"> </v>
      </c>
      <c r="C68" s="130" t="str">
        <f>IF(OR(B68=0,B68=" ")," ",SUM($B$23:B68))</f>
        <v xml:space="preserve"> </v>
      </c>
      <c r="D68" s="62" t="str">
        <f>IF(D67=" "," ",IF(OR(F67='депозитный калькулятор'!$D$8,F67=" ")," ",D67+1))</f>
        <v xml:space="preserve"> </v>
      </c>
      <c r="E68" s="130" t="str">
        <f>IF(OR(F67='депозитный калькулятор'!$D$8,F67=" ")," ",IF(EOMONTH(F67,0)=F67,1,E67+1))</f>
        <v xml:space="preserve"> </v>
      </c>
      <c r="F68" s="64" t="str">
        <f>IF(F67=" "," ",IF(F67='депозитный калькулятор'!$D$8," ",F67+1))</f>
        <v xml:space="preserve"> </v>
      </c>
      <c r="G68" s="145" t="str">
        <f xml:space="preserve"> IF(F68&gt;'депозитный калькулятор'!$D$8," ",IF('депозитный калькулятор'!$G$13="есть",IF('депозитный калькулятор'!$G$14="есть",G67+IF(I67=" ",0,I67)-J68-K68+L68+M68-N68,G67+IF(I67=" ",0,I67)-J68-K68+M68-N68),IF('депозитный калькулятор'!$G$14="есть",G67-J68-K68+L68+M68-N68,G67-J68-K68+M68-N68)))</f>
        <v xml:space="preserve"> </v>
      </c>
      <c r="H68" s="133" t="str">
        <f>IF(F68&gt;'депозитный калькулятор'!$D$8," ",IF(AND(OR('депозитный калькулятор'!$G$7="30/365",'депозитный калькулятор'!$G$7="30/360"),AND(MONTH(F68)=2,EOMONTH(F68,0)=F68)),IF(DAY(F68)=28,3*G68*'депозитный калькулятор'!$G$8,2*G68*'депозитный калькулятор'!$G$8),IF(AND(OR('депозитный калькулятор'!$G$7="30/365",'депозитный калькулятор'!$G$7="30/360"),DAY(F68)=31)," ",IF(AND('депозитный калькулятор'!$G$7="факт/факт",MOD(YEAR(F68),4)=0),G68*'депозитный калькулятор'!$D$11/366,G68*'депозитный калькулятор'!$G$8))))</f>
        <v xml:space="preserve"> </v>
      </c>
      <c r="I68" s="134" t="str">
        <f ca="1">IF(F68=" "," ",IF('депозитный калькулятор'!$G$10="ежедневное",H68,IF(AND('депозитный калькулятор'!$G$10="еженедельное",WEEKDAY(F68,2)=7),SUM(OFFSET(H68,-6,0):H68),IF(AND('депозитный калькулятор'!$G$10="еженедельное",F68='депозитный калькулятор'!$D$8),SUM($H$23:H68)-SUM($I$23:I67),IF(AND('депозитный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недели",WEEKDAY(F68,2)=7),MIN(OFFSET(H68,-6,0):H68)*(COUNTIF(OFFSET(H68,-6,0):H68,"&gt;0")+SUMIF(OFFSET(A68,-WEEKDAY(F68,2),0):A68,"=2",OFFSET(A68,-WEEKDAY(F68,2),0):A68)),IF(AND('депозитный калькулятор'!$G$10="еженедельное, на минимальную сумму зафиксированную в течение недели",F68='депозитный калькулятор'!$D$8,WEEKDAY(F68,2)&lt;&gt;7),MIN(OFFSET(H68,-WEEKDAY(F68,2),0):H68)*(COUNTIF(OFFSET(H68,-WEEKDAY(F68,2)+1,0):H68,"&gt;0")+SUM(OFFSET(A68,-WEEKDAY(F68,2),0):A68)),IF(AND('депозитный калькулятор'!$G$10="ежемесячное (в конце месяца)",F68='депозитный калькулятор'!$D$8,EOMONTH(F68,0)&lt;&gt;F68),IF('депозитный калькулятор'!$F$1=1,$H$24,SUM($H$23:H68)-SUM($I$23:I67)),IF(AND('депозитный калькулятор'!$G$10="ежемесячное (в конце месяца)",EOMONTH(F68,0)=F68),SUM($H$23:H68)-SUM($I$23:I67),IF(AND('депозитный калькулятор'!$G$10="ежемесячное (по дням открытия вклада)",F68='депозитный калькулятор'!$D$8,DAY('депозитный калькулятор'!$D$7)&lt;&gt;DAY(F68)),IF('депозитный калькулятор'!$F$1=1,$H$24,SUM($H$23:H68)-SUM($I$23:I67)),IF(AND('депозитный калькулятор'!$G$10="ежемесячное (по дням открытия вклада)",DAY('депозитный калькулятор'!$D$7)=DAY(F68)),SUM($H$23:H68)-SUM($I$23:I67),IF(AND('депозитный калькулятор'!$G$10="ежемесячное, на минимальную сумму зафиксированную в течение месяца",F68='депозитный калькулятор'!$D$8,EOMONTH(F68,0)&lt;&gt;F68),IF('депозитный калькулятор'!$F$1=1,$H$24,IF(AND(OR('депозитный калькулятор'!$G$7="30/365",'депозитный калькулятор'!$G$7="30/360"),DAY(F68)=31),0,MIN(OFFSET(H68,-E68+1,0):H68)*(E68+SUMIF(OFFSET(A68,-E68+1,0):A68,"=2",OFFSET(A68,-E68+1,0):A68)))),IF(AND('депозитный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калькулятор'!$G$7="30/360"),DAY(EOMONTH(F68,0))=31),EOMONTH(F68,0)-1=F68,EOMONTH(F68,0)=F68)),IF(IF(AND(OR('депозитный калькулятор'!$G$7="30/365",'депозитный калькулятор'!$G$7="30/360"),DAY(EOMONTH($F$23,0))=31),F68=EOMONTH($F$23,0)-1,F68=EOMONTH($F$23,0)),MIN(OFFSET(H68,-(DAY(F68)-DAY($F$23)),0):H68)*E68,MIN(OFFSET(H68,-(DAY(F68)-1),0):H68)*IF(AND(OR('депозитный калькулятор'!$G$7="30/365",'депозитный калькулятор'!$G$7="30/360"),DAY(F68)&lt;30),30,DAY(F68))),IF(AND('депозитный калькулятор'!$G$10="ежемесячное, на средний остаток в течение месяца, при условии что остаток больше чем ограничение",F68='депозитный калькулятор'!$D$8,EOMONTH(F68,0)&lt;&gt;F68),IF('депозитный калькулятор'!$F$1=1,$H$24,SUM(OFFSET(Q68,-E68+1,0):Q68)),IF(AND('депозитный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калькулятор'!$G$7="30/360"),DAY(EOMONTH(F68,0))=31),EOMONTH(F68,0)-1=F68,EOMONTH(F68,0)=F68)),IF(IF(AND(OR('депозитный калькулятор'!$G$7="30/365",'депозитный калькулятор'!$G$7="30/360"),DAY(EOMONTH($F$24,0))=31),F68=EOMONTH($F$24,0)-1,F68=EOMONTH($F$24,0)),SUM(OFFSET(Q68,-E68+1,0):Q68),SUM(OFFSET(Q68,-E68+1,0):Q68)),IF('депозитный калькулятор'!$G$10="ежеквартальное",IF(F68&gt;'депозитный калькулятор'!$D$8," ",IF(AND(EOMONTH(F68,0)=F68,OR(MONTH(F68)=3,MONTH(F68)=6,MONTH(F68)=9,MONTH(F68)=12)),IF(EDATE(F68,-3)&lt;'депозитный калькулятор'!$D$7,SUM($H$23:H68),IF(MOD(YEAR(F68),4)=0,IF(AND(EOMONTH(F68,0)=F68,OR(MONTH(F68)=3,MONTH(F68)=6)),SUM(OFFSET(H68,-90,0):H68),IF(AND(EOMONTH(F68,0)=F68,OR(MONTH(F68)=9,MONTH(F68)=12)),SUM(OFFSET(H68,-91,0):H68))),IF(AND(EOMONTH(F68,0)=F68,MONTH(F68)=3),SUM(OFFSET(H68,-89,0):H68),IF(AND(EOMONTH(F68,0)=F68,MONTH(F68)=6),SUM(OFFSET(H68,-90,0):H68),IF(AND(EOMONTH(F68,0)=F68,OR(MONTH(F68)=9,MONTH(F68)=12)),SUM(OFFSET(H68,-91,0):H68)))))),IF(F68='депозитный калькулятор'!$D$8,SUM($H$23:H68)-SUM($I$23:I67),0))),IF('депозитный калькулятор'!$G$10="ежегодное",IF(F68&gt;'депозитный калькулятор'!$D$8," ",IF(F68='депозитный калькулятор'!$D$8,SUM($H$23:H68)-SUM($I$23:I67),IF(AND(EOMONTH(F68,0)=F68,MONTH(F68)=12),IF(MOD(YEAR(F67),4)=0,IF(F68-'депозитный калькулятор'!$D$7&lt;366,SUM($H$23:H68),SUM(OFFSET(H68,-365,0):H68)),IF(F68-'депозитный калькулятор'!$D$7&lt;365,SUM($H$23:H68),SUM(OFFSET(H68,-364,0):H68))),0))),IF(AND('депозитный калькулятор'!$G$10="в конце срока",'депозитный калькулятор'!$D$8=F68),SUM($H$23:H68),0))))))))))))))))))</f>
        <v xml:space="preserve"> </v>
      </c>
      <c r="J68" s="59" t="str">
        <f>IF(F68&gt;'депозитный калькулятор'!$D$8," ",IF('депозитный калькулятор'!$G$16="нет",0,IF(AND('депозитный калькулятор'!$G$17="разовая (в конце срока)",F68='депозитный калькулятор'!$D$8),'депозитный калькулятор'!$G$18,IF(AND('депозитный калькулятор'!$G$17="ежемесячная",EOMONTH(F67,0)=F67),'депозитный калькулятор'!$G$18,IF(AND('депозитный калькулятор'!$G$17="ежегодная",DAY(F67)=31,MONTH(F67)=12),'депозитный калькулятор'!$G$18,IF(AND('депозитный калькулятор'!$G$17="ежемесячная в зависимости от остатка",EOMONTH(F67,0)=F67,P67&gt;0),'депозитный калькулятор'!$G$18,IF(AND('депозитный калькулятор'!$G$17="ежегодная в зависимости от остатка",DAY(F67)=31,MONTH(F67)=12,P67&gt;0),'депозитный калькулятор'!$G$18,0)))))))</f>
        <v xml:space="preserve"> </v>
      </c>
      <c r="K68" s="135" t="str">
        <f>IF($F68=" "," ",IFERROR(VLOOKUP($F68,'депозитный калькулятор'!$B$26:$F$70,2,0),0))</f>
        <v xml:space="preserve"> </v>
      </c>
      <c r="L68" s="135" t="str">
        <f>IF($F68=" "," ",IFERROR(VLOOKUP($F68,'депозитный калькулятор'!$B$26:$F$70,3,0),0))</f>
        <v xml:space="preserve"> </v>
      </c>
      <c r="M68" s="135" t="str">
        <f>IF($F68=" "," ",IFERROR(VLOOKUP($F68,'депозитный калькулятор'!$B$26:$F$70,4,0),0))</f>
        <v xml:space="preserve"> </v>
      </c>
      <c r="N68" s="135" t="str">
        <f>IF($F68=" "," ",IFERROR(VLOOKUP($F68,'депозитный калькулятор'!$B$26:$F$70,5,0),0))</f>
        <v xml:space="preserve"> </v>
      </c>
      <c r="O68" s="146" t="str">
        <f>IF(F68&gt;'депозитный калькулятор'!$D$8," ",IF(F68='депозитный калькулятор'!$D$8,IF(AND($F$24='депозитный калькулятор'!$D$8,'депозитный калькулятор'!$G$13="нет"),-G68-IF(I68=" ",0,I68)-IF(AND(OR('депозитный калькулятор'!$G$7="30/365",'депозитный калькулятор'!$G$7="30/360"),'депозитный калькулятор'!$G$10="в начале срока"),I67,0)-L68+M68-N68,-G68-IF(I68=" ",0,I68)-L68+M68-N68),IF('депозитный калькулятор'!$G$13="есть",M68-N68+IF('депозитный калькулятор'!$G$14="есть",0,-L68),-IF(I68=" ",0,I68)-IF(AND(OR('депозитный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срока"),I67,0)+M68-N68+IF('депозитный калькулятор'!$G$14="есть",0,-L68))))</f>
        <v xml:space="preserve"> </v>
      </c>
      <c r="P68" s="147" t="str">
        <f>IF(F68&gt;'депозитный калькулятор'!$D$8," ",IF(EOMONTH(F67,0)=F67,0,IF(G68&gt;='депозитный калькулятор'!$G$19,P67,P67+1)))</f>
        <v xml:space="preserve"> </v>
      </c>
      <c r="Q68" s="138" t="str">
        <f>IF(F68=" "," ",IF(AND(OR('депозитный калькулятор'!$G$7="30/365",'депозитный калькулятор'!$G$7="30/360"),AND(MONTH(F68)=2,EOMONTH(F68,0)=F68)),IF(DAY(F68)=28,3,2),1)*IF(G68&gt;='депозитный калькулятор'!$G$11,IF(AND('депозитный калькулятор'!$G$7="факт/факт",MOD(YEAR(F68),4)=0),G68*'депозитный калькулятор'!$D$11/366,G68*'депозитный калькулятор'!$G$8),0))</f>
        <v xml:space="preserve"> </v>
      </c>
      <c r="R68" s="148"/>
      <c r="S68" s="62" t="str">
        <f t="shared" ca="1" si="2"/>
        <v xml:space="preserve"> </v>
      </c>
      <c r="T68" s="149" t="str">
        <f ca="1">IF(S68=" "," ",IF('депозитный калькулятор'!$G$7="30/360",DAYS360(U67,IF(DAY(U68)=31,U68-1,U68))+IF(AND(MONTH(U68)=2,U68=EOMONTH(U68,0)),30-DAY(EOMONTH(U68,0)))+T67,VLOOKUP(S68,$C$22:$F$1023,2,0)))</f>
        <v xml:space="preserve"> </v>
      </c>
      <c r="U68" s="64" t="str">
        <f t="shared" ca="1" si="0"/>
        <v xml:space="preserve"> </v>
      </c>
      <c r="V68" s="150" t="str">
        <f t="shared" ca="1" si="3"/>
        <v xml:space="preserve"> </v>
      </c>
      <c r="W68" s="62" t="str">
        <f t="shared" ca="1" si="4"/>
        <v xml:space="preserve"> </v>
      </c>
      <c r="X68" s="141" t="str">
        <f ca="1">IF(S68=" "," ",IFERROR(VLOOKUP(U68,$F$23:$N$1023,7)+VLOOKUP(U68,$F$23:$N$1023,9)+IF(AND('депозитный калькулятор'!$G$13="нет",U68&lt;&gt;'депозитный калькулятор'!$D$8),VLOOKUP(U68,$F$23:$N$1023,4),0),0)+IF(U68='депозитный калькулятор'!$D$8,VLOOKUP(U68,$F$23:$N$1023,2)+VLOOKUP(U68,$F$23:$N$1023,4),0))</f>
        <v xml:space="preserve"> </v>
      </c>
      <c r="Y68" s="142" t="str">
        <f ca="1">IF(S68=" "," ",W68/(1+'депозитный калькулятор'!$K$8)^(T68/IF('депозитный калькулятор'!$G$7="30/360",360,365)))</f>
        <v xml:space="preserve"> </v>
      </c>
      <c r="Z68" s="142" t="str">
        <f ca="1">IF(S68=" "," ",X68/(1+'депозитный калькулятор'!$K$8)^(T68/IF('депозитный калькулятор'!$G$7="30/360",360,365)))</f>
        <v xml:space="preserve"> </v>
      </c>
      <c r="AA68" s="151"/>
      <c r="AB68" s="151"/>
      <c r="AC68" s="155"/>
      <c r="AD68" s="155"/>
    </row>
    <row r="69" spans="1:30" s="2" customFormat="1" ht="15.5" x14ac:dyDescent="0.35">
      <c r="A69" s="41" t="str">
        <f>IF(F69=" "," ",IF(OR('депозитный калькулятор'!$G$7="30/365",'депозитный калькулятор'!$G$7="30/360"),IF(AND(MONTH(F69)=2,DAY(F69)=DAY(EOMONTH(F69,0))),30-DAY(EOMONTH(F69,0)),IF(DAY(F69)=31,1," "))," "))</f>
        <v xml:space="preserve"> </v>
      </c>
      <c r="B69" s="130" t="str">
        <f t="shared" si="1"/>
        <v xml:space="preserve"> </v>
      </c>
      <c r="C69" s="130" t="str">
        <f>IF(OR(B69=0,B69=" ")," ",SUM($B$23:B69))</f>
        <v xml:space="preserve"> </v>
      </c>
      <c r="D69" s="62" t="str">
        <f>IF(D68=" "," ",IF(OR(F68='депозитный калькулятор'!$D$8,F68=" ")," ",D68+1))</f>
        <v xml:space="preserve"> </v>
      </c>
      <c r="E69" s="130" t="str">
        <f>IF(OR(F68='депозитный калькулятор'!$D$8,F68=" ")," ",IF(EOMONTH(F68,0)=F68,1,E68+1))</f>
        <v xml:space="preserve"> </v>
      </c>
      <c r="F69" s="64" t="str">
        <f>IF(F68=" "," ",IF(F68='депозитный калькулятор'!$D$8," ",F68+1))</f>
        <v xml:space="preserve"> </v>
      </c>
      <c r="G69" s="145" t="str">
        <f xml:space="preserve"> IF(F69&gt;'депозитный калькулятор'!$D$8," ",IF('депозитный калькулятор'!$G$13="есть",IF('депозитный калькулятор'!$G$14="есть",G68+IF(I68=" ",0,I68)-J69-K69+L69+M69-N69,G68+IF(I68=" ",0,I68)-J69-K69+M69-N69),IF('депозитный калькулятор'!$G$14="есть",G68-J69-K69+L69+M69-N69,G68-J69-K69+M69-N69)))</f>
        <v xml:space="preserve"> </v>
      </c>
      <c r="H69" s="133" t="str">
        <f>IF(F69&gt;'депозитный калькулятор'!$D$8," ",IF(AND(OR('депозитный калькулятор'!$G$7="30/365",'депозитный калькулятор'!$G$7="30/360"),AND(MONTH(F69)=2,EOMONTH(F69,0)=F69)),IF(DAY(F69)=28,3*G69*'депозитный калькулятор'!$G$8,2*G69*'депозитный калькулятор'!$G$8),IF(AND(OR('депозитный калькулятор'!$G$7="30/365",'депозитный калькулятор'!$G$7="30/360"),DAY(F69)=31)," ",IF(AND('депозитный калькулятор'!$G$7="факт/факт",MOD(YEAR(F69),4)=0),G69*'депозитный калькулятор'!$D$11/366,G69*'депозитный калькулятор'!$G$8))))</f>
        <v xml:space="preserve"> </v>
      </c>
      <c r="I69" s="134" t="str">
        <f ca="1">IF(F69=" "," ",IF('депозитный калькулятор'!$G$10="ежедневное",H69,IF(AND('депозитный калькулятор'!$G$10="еженедельное",WEEKDAY(F69,2)=7),SUM(OFFSET(H69,-6,0):H69),IF(AND('депозитный калькулятор'!$G$10="еженедельное",F69='депозитный калькулятор'!$D$8),SUM($H$23:H69)-SUM($I$23:I68),IF(AND('депозитный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недели",WEEKDAY(F69,2)=7),MIN(OFFSET(H69,-6,0):H69)*(COUNTIF(OFFSET(H69,-6,0):H69,"&gt;0")+SUMIF(OFFSET(A69,-WEEKDAY(F69,2),0):A69,"=2",OFFSET(A69,-WEEKDAY(F69,2),0):A69)),IF(AND('депозитный калькулятор'!$G$10="еженедельное, на минимальную сумму зафиксированную в течение недели",F69='депозитный калькулятор'!$D$8,WEEKDAY(F69,2)&lt;&gt;7),MIN(OFFSET(H69,-WEEKDAY(F69,2),0):H69)*(COUNTIF(OFFSET(H69,-WEEKDAY(F69,2)+1,0):H69,"&gt;0")+SUM(OFFSET(A69,-WEEKDAY(F69,2),0):A69)),IF(AND('депозитный калькулятор'!$G$10="ежемесячное (в конце месяца)",F69='депозитный калькулятор'!$D$8,EOMONTH(F69,0)&lt;&gt;F69),IF('депозитный калькулятор'!$F$1=1,$H$24,SUM($H$23:H69)-SUM($I$23:I68)),IF(AND('депозитный калькулятор'!$G$10="ежемесячное (в конце месяца)",EOMONTH(F69,0)=F69),SUM($H$23:H69)-SUM($I$23:I68),IF(AND('депозитный калькулятор'!$G$10="ежемесячное (по дням открытия вклада)",F69='депозитный калькулятор'!$D$8,DAY('депозитный калькулятор'!$D$7)&lt;&gt;DAY(F69)),IF('депозитный калькулятор'!$F$1=1,$H$24,SUM($H$23:H69)-SUM($I$23:I68)),IF(AND('депозитный калькулятор'!$G$10="ежемесячное (по дням открытия вклада)",DAY('депозитный калькулятор'!$D$7)=DAY(F69)),SUM($H$23:H69)-SUM($I$23:I68),IF(AND('депозитный калькулятор'!$G$10="ежемесячное, на минимальную сумму зафиксированную в течение месяца",F69='депозитный калькулятор'!$D$8,EOMONTH(F69,0)&lt;&gt;F69),IF('депозитный калькулятор'!$F$1=1,$H$24,IF(AND(OR('депозитный калькулятор'!$G$7="30/365",'депозитный калькулятор'!$G$7="30/360"),DAY(F69)=31),0,MIN(OFFSET(H69,-E69+1,0):H69)*(E69+SUMIF(OFFSET(A69,-E69+1,0):A69,"=2",OFFSET(A69,-E69+1,0):A69)))),IF(AND('депозитный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калькулятор'!$G$7="30/360"),DAY(EOMONTH(F69,0))=31),EOMONTH(F69,0)-1=F69,EOMONTH(F69,0)=F69)),IF(IF(AND(OR('депозитный калькулятор'!$G$7="30/365",'депозитный калькулятор'!$G$7="30/360"),DAY(EOMONTH($F$23,0))=31),F69=EOMONTH($F$23,0)-1,F69=EOMONTH($F$23,0)),MIN(OFFSET(H69,-(DAY(F69)-DAY($F$23)),0):H69)*E69,MIN(OFFSET(H69,-(DAY(F69)-1),0):H69)*IF(AND(OR('депозитный калькулятор'!$G$7="30/365",'депозитный калькулятор'!$G$7="30/360"),DAY(F69)&lt;30),30,DAY(F69))),IF(AND('депозитный калькулятор'!$G$10="ежемесячное, на средний остаток в течение месяца, при условии что остаток больше чем ограничение",F69='депозитный калькулятор'!$D$8,EOMONTH(F69,0)&lt;&gt;F69),IF('депозитный калькулятор'!$F$1=1,$H$24,SUM(OFFSET(Q69,-E69+1,0):Q69)),IF(AND('депозитный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калькулятор'!$G$7="30/360"),DAY(EOMONTH(F69,0))=31),EOMONTH(F69,0)-1=F69,EOMONTH(F69,0)=F69)),IF(IF(AND(OR('депозитный калькулятор'!$G$7="30/365",'депозитный калькулятор'!$G$7="30/360"),DAY(EOMONTH($F$24,0))=31),F69=EOMONTH($F$24,0)-1,F69=EOMONTH($F$24,0)),SUM(OFFSET(Q69,-E69+1,0):Q69),SUM(OFFSET(Q69,-E69+1,0):Q69)),IF('депозитный калькулятор'!$G$10="ежеквартальное",IF(F69&gt;'депозитный калькулятор'!$D$8," ",IF(AND(EOMONTH(F69,0)=F69,OR(MONTH(F69)=3,MONTH(F69)=6,MONTH(F69)=9,MONTH(F69)=12)),IF(EDATE(F69,-3)&lt;'депозитный калькулятор'!$D$7,SUM($H$23:H69),IF(MOD(YEAR(F69),4)=0,IF(AND(EOMONTH(F69,0)=F69,OR(MONTH(F69)=3,MONTH(F69)=6)),SUM(OFFSET(H69,-90,0):H69),IF(AND(EOMONTH(F69,0)=F69,OR(MONTH(F69)=9,MONTH(F69)=12)),SUM(OFFSET(H69,-91,0):H69))),IF(AND(EOMONTH(F69,0)=F69,MONTH(F69)=3),SUM(OFFSET(H69,-89,0):H69),IF(AND(EOMONTH(F69,0)=F69,MONTH(F69)=6),SUM(OFFSET(H69,-90,0):H69),IF(AND(EOMONTH(F69,0)=F69,OR(MONTH(F69)=9,MONTH(F69)=12)),SUM(OFFSET(H69,-91,0):H69)))))),IF(F69='депозитный калькулятор'!$D$8,SUM($H$23:H69)-SUM($I$23:I68),0))),IF('депозитный калькулятор'!$G$10="ежегодное",IF(F69&gt;'депозитный калькулятор'!$D$8," ",IF(F69='депозитный калькулятор'!$D$8,SUM($H$23:H69)-SUM($I$23:I68),IF(AND(EOMONTH(F69,0)=F69,MONTH(F69)=12),IF(MOD(YEAR(F68),4)=0,IF(F69-'депозитный калькулятор'!$D$7&lt;366,SUM($H$23:H69),SUM(OFFSET(H69,-365,0):H69)),IF(F69-'депозитный калькулятор'!$D$7&lt;365,SUM($H$23:H69),SUM(OFFSET(H69,-364,0):H69))),0))),IF(AND('депозитный калькулятор'!$G$10="в конце срока",'депозитный калькулятор'!$D$8=F69),SUM($H$23:H69),0))))))))))))))))))</f>
        <v xml:space="preserve"> </v>
      </c>
      <c r="J69" s="59" t="str">
        <f>IF(F69&gt;'депозитный калькулятор'!$D$8," ",IF('депозитный калькулятор'!$G$16="нет",0,IF(AND('депозитный калькулятор'!$G$17="разовая (в конце срока)",F69='депозитный калькулятор'!$D$8),'депозитный калькулятор'!$G$18,IF(AND('депозитный калькулятор'!$G$17="ежемесячная",EOMONTH(F68,0)=F68),'депозитный калькулятор'!$G$18,IF(AND('депозитный калькулятор'!$G$17="ежегодная",DAY(F68)=31,MONTH(F68)=12),'депозитный калькулятор'!$G$18,IF(AND('депозитный калькулятор'!$G$17="ежемесячная в зависимости от остатка",EOMONTH(F68,0)=F68,P68&gt;0),'депозитный калькулятор'!$G$18,IF(AND('депозитный калькулятор'!$G$17="ежегодная в зависимости от остатка",DAY(F68)=31,MONTH(F68)=12,P68&gt;0),'депозитный калькулятор'!$G$18,0)))))))</f>
        <v xml:space="preserve"> </v>
      </c>
      <c r="K69" s="135" t="str">
        <f>IF($F69=" "," ",IFERROR(VLOOKUP($F69,'депозитный калькулятор'!$B$26:$F$70,2,0),0))</f>
        <v xml:space="preserve"> </v>
      </c>
      <c r="L69" s="135" t="str">
        <f>IF($F69=" "," ",IFERROR(VLOOKUP($F69,'депозитный калькулятор'!$B$26:$F$70,3,0),0))</f>
        <v xml:space="preserve"> </v>
      </c>
      <c r="M69" s="135" t="str">
        <f>IF($F69=" "," ",IFERROR(VLOOKUP($F69,'депозитный калькулятор'!$B$26:$F$70,4,0),0))</f>
        <v xml:space="preserve"> </v>
      </c>
      <c r="N69" s="135" t="str">
        <f>IF($F69=" "," ",IFERROR(VLOOKUP($F69,'депозитный калькулятор'!$B$26:$F$70,5,0),0))</f>
        <v xml:space="preserve"> </v>
      </c>
      <c r="O69" s="146" t="str">
        <f>IF(F69&gt;'депозитный калькулятор'!$D$8," ",IF(F69='депозитный калькулятор'!$D$8,IF(AND($F$24='депозитный калькулятор'!$D$8,'депозитный калькулятор'!$G$13="нет"),-G69-IF(I69=" ",0,I69)-IF(AND(OR('депозитный калькулятор'!$G$7="30/365",'депозитный калькулятор'!$G$7="30/360"),'депозитный калькулятор'!$G$10="в начале срока"),I68,0)-L69+M69-N69,-G69-IF(I69=" ",0,I69)-L69+M69-N69),IF('депозитный калькулятор'!$G$13="есть",M69-N69+IF('депозитный калькулятор'!$G$14="есть",0,-L69),-IF(I69=" ",0,I69)-IF(AND(OR('депозитный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срока"),I68,0)+M69-N69+IF('депозитный калькулятор'!$G$14="есть",0,-L69))))</f>
        <v xml:space="preserve"> </v>
      </c>
      <c r="P69" s="147" t="str">
        <f>IF(F69&gt;'депозитный калькулятор'!$D$8," ",IF(EOMONTH(F68,0)=F68,0,IF(G69&gt;='депозитный калькулятор'!$G$19,P68,P68+1)))</f>
        <v xml:space="preserve"> </v>
      </c>
      <c r="Q69" s="138" t="str">
        <f>IF(F69=" "," ",IF(AND(OR('депозитный калькулятор'!$G$7="30/365",'депозитный калькулятор'!$G$7="30/360"),AND(MONTH(F69)=2,EOMONTH(F69,0)=F69)),IF(DAY(F69)=28,3,2),1)*IF(G69&gt;='депозитный калькулятор'!$G$11,IF(AND('депозитный калькулятор'!$G$7="факт/факт",MOD(YEAR(F69),4)=0),G69*'депозитный калькулятор'!$D$11/366,G69*'депозитный калькулятор'!$G$8),0))</f>
        <v xml:space="preserve"> </v>
      </c>
      <c r="R69" s="148"/>
      <c r="S69" s="62" t="str">
        <f t="shared" ca="1" si="2"/>
        <v xml:space="preserve"> </v>
      </c>
      <c r="T69" s="149" t="str">
        <f ca="1">IF(S69=" "," ",IF('депозитный калькулятор'!$G$7="30/360",DAYS360(U68,IF(DAY(U69)=31,U69-1,U69))+IF(AND(MONTH(U69)=2,U69=EOMONTH(U69,0)),30-DAY(EOMONTH(U69,0)))+T68,VLOOKUP(S69,$C$22:$F$1023,2,0)))</f>
        <v xml:space="preserve"> </v>
      </c>
      <c r="U69" s="64" t="str">
        <f t="shared" ca="1" si="0"/>
        <v xml:space="preserve"> </v>
      </c>
      <c r="V69" s="150" t="str">
        <f t="shared" ca="1" si="3"/>
        <v xml:space="preserve"> </v>
      </c>
      <c r="W69" s="62" t="str">
        <f t="shared" ca="1" si="4"/>
        <v xml:space="preserve"> </v>
      </c>
      <c r="X69" s="141" t="str">
        <f ca="1">IF(S69=" "," ",IFERROR(VLOOKUP(U69,$F$23:$N$1023,7)+VLOOKUP(U69,$F$23:$N$1023,9)+IF(AND('депозитный калькулятор'!$G$13="нет",U69&lt;&gt;'депозитный калькулятор'!$D$8),VLOOKUP(U69,$F$23:$N$1023,4),0),0)+IF(U69='депозитный калькулятор'!$D$8,VLOOKUP(U69,$F$23:$N$1023,2)+VLOOKUP(U69,$F$23:$N$1023,4),0))</f>
        <v xml:space="preserve"> </v>
      </c>
      <c r="Y69" s="142" t="str">
        <f ca="1">IF(S69=" "," ",W69/(1+'депозитный калькулятор'!$K$8)^(T69/IF('депозитный калькулятор'!$G$7="30/360",360,365)))</f>
        <v xml:space="preserve"> </v>
      </c>
      <c r="Z69" s="142" t="str">
        <f ca="1">IF(S69=" "," ",X69/(1+'депозитный калькулятор'!$K$8)^(T69/IF('депозитный калькулятор'!$G$7="30/360",360,365)))</f>
        <v xml:space="preserve"> </v>
      </c>
      <c r="AA69" s="151"/>
      <c r="AB69" s="151"/>
      <c r="AC69" s="155"/>
      <c r="AD69" s="155"/>
    </row>
    <row r="70" spans="1:30" s="2" customFormat="1" ht="15.5" x14ac:dyDescent="0.35">
      <c r="A70" s="41" t="str">
        <f>IF(F70=" "," ",IF(OR('депозитный калькулятор'!$G$7="30/365",'депозитный калькулятор'!$G$7="30/360"),IF(AND(MONTH(F70)=2,DAY(F70)=DAY(EOMONTH(F70,0))),30-DAY(EOMONTH(F70,0)),IF(DAY(F70)=31,1," "))," "))</f>
        <v xml:space="preserve"> </v>
      </c>
      <c r="B70" s="130" t="str">
        <f t="shared" si="1"/>
        <v xml:space="preserve"> </v>
      </c>
      <c r="C70" s="130" t="str">
        <f>IF(OR(B70=0,B70=" ")," ",SUM($B$23:B70))</f>
        <v xml:space="preserve"> </v>
      </c>
      <c r="D70" s="62" t="str">
        <f>IF(D69=" "," ",IF(OR(F69='депозитный калькулятор'!$D$8,F69=" ")," ",D69+1))</f>
        <v xml:space="preserve"> </v>
      </c>
      <c r="E70" s="130" t="str">
        <f>IF(OR(F69='депозитный калькулятор'!$D$8,F69=" ")," ",IF(EOMONTH(F69,0)=F69,1,E69+1))</f>
        <v xml:space="preserve"> </v>
      </c>
      <c r="F70" s="64" t="str">
        <f>IF(F69=" "," ",IF(F69='депозитный калькулятор'!$D$8," ",F69+1))</f>
        <v xml:space="preserve"> </v>
      </c>
      <c r="G70" s="145" t="str">
        <f xml:space="preserve"> IF(F70&gt;'депозитный калькулятор'!$D$8," ",IF('депозитный калькулятор'!$G$13="есть",IF('депозитный калькулятор'!$G$14="есть",G69+IF(I69=" ",0,I69)-J70-K70+L70+M70-N70,G69+IF(I69=" ",0,I69)-J70-K70+M70-N70),IF('депозитный калькулятор'!$G$14="есть",G69-J70-K70+L70+M70-N70,G69-J70-K70+M70-N70)))</f>
        <v xml:space="preserve"> </v>
      </c>
      <c r="H70" s="133" t="str">
        <f>IF(F70&gt;'депозитный калькулятор'!$D$8," ",IF(AND(OR('депозитный калькулятор'!$G$7="30/365",'депозитный калькулятор'!$G$7="30/360"),AND(MONTH(F70)=2,EOMONTH(F70,0)=F70)),IF(DAY(F70)=28,3*G70*'депозитный калькулятор'!$G$8,2*G70*'депозитный калькулятор'!$G$8),IF(AND(OR('депозитный калькулятор'!$G$7="30/365",'депозитный калькулятор'!$G$7="30/360"),DAY(F70)=31)," ",IF(AND('депозитный калькулятор'!$G$7="факт/факт",MOD(YEAR(F70),4)=0),G70*'депозитный калькулятор'!$D$11/366,G70*'депозитный калькулятор'!$G$8))))</f>
        <v xml:space="preserve"> </v>
      </c>
      <c r="I70" s="134" t="str">
        <f ca="1">IF(F70=" "," ",IF('депозитный калькулятор'!$G$10="ежедневное",H70,IF(AND('депозитный калькулятор'!$G$10="еженедельное",WEEKDAY(F70,2)=7),SUM(OFFSET(H70,-6,0):H70),IF(AND('депозитный калькулятор'!$G$10="еженедельное",F70='депозитный калькулятор'!$D$8),SUM($H$23:H70)-SUM($I$23:I69),IF(AND('депозитный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недели",WEEKDAY(F70,2)=7),MIN(OFFSET(H70,-6,0):H70)*(COUNTIF(OFFSET(H70,-6,0):H70,"&gt;0")+SUMIF(OFFSET(A70,-WEEKDAY(F70,2),0):A70,"=2",OFFSET(A70,-WEEKDAY(F70,2),0):A70)),IF(AND('депозитный калькулятор'!$G$10="еженедельное, на минимальную сумму зафиксированную в течение недели",F70='депозитный калькулятор'!$D$8,WEEKDAY(F70,2)&lt;&gt;7),MIN(OFFSET(H70,-WEEKDAY(F70,2),0):H70)*(COUNTIF(OFFSET(H70,-WEEKDAY(F70,2)+1,0):H70,"&gt;0")+SUM(OFFSET(A70,-WEEKDAY(F70,2),0):A70)),IF(AND('депозитный калькулятор'!$G$10="ежемесячное (в конце месяца)",F70='депозитный калькулятор'!$D$8,EOMONTH(F70,0)&lt;&gt;F70),IF('депозитный калькулятор'!$F$1=1,$H$24,SUM($H$23:H70)-SUM($I$23:I69)),IF(AND('депозитный калькулятор'!$G$10="ежемесячное (в конце месяца)",EOMONTH(F70,0)=F70),SUM($H$23:H70)-SUM($I$23:I69),IF(AND('депозитный калькулятор'!$G$10="ежемесячное (по дням открытия вклада)",F70='депозитный калькулятор'!$D$8,DAY('депозитный калькулятор'!$D$7)&lt;&gt;DAY(F70)),IF('депозитный калькулятор'!$F$1=1,$H$24,SUM($H$23:H70)-SUM($I$23:I69)),IF(AND('депозитный калькулятор'!$G$10="ежемесячное (по дням открытия вклада)",DAY('депозитный калькулятор'!$D$7)=DAY(F70)),SUM($H$23:H70)-SUM($I$23:I69),IF(AND('депозитный калькулятор'!$G$10="ежемесячное, на минимальную сумму зафиксированную в течение месяца",F70='депозитный калькулятор'!$D$8,EOMONTH(F70,0)&lt;&gt;F70),IF('депозитный калькулятор'!$F$1=1,$H$24,IF(AND(OR('депозитный калькулятор'!$G$7="30/365",'депозитный калькулятор'!$G$7="30/360"),DAY(F70)=31),0,MIN(OFFSET(H70,-E70+1,0):H70)*(E70+SUMIF(OFFSET(A70,-E70+1,0):A70,"=2",OFFSET(A70,-E70+1,0):A70)))),IF(AND('депозитный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калькулятор'!$G$7="30/360"),DAY(EOMONTH(F70,0))=31),EOMONTH(F70,0)-1=F70,EOMONTH(F70,0)=F70)),IF(IF(AND(OR('депозитный калькулятор'!$G$7="30/365",'депозитный калькулятор'!$G$7="30/360"),DAY(EOMONTH($F$23,0))=31),F70=EOMONTH($F$23,0)-1,F70=EOMONTH($F$23,0)),MIN(OFFSET(H70,-(DAY(F70)-DAY($F$23)),0):H70)*E70,MIN(OFFSET(H70,-(DAY(F70)-1),0):H70)*IF(AND(OR('депозитный калькулятор'!$G$7="30/365",'депозитный калькулятор'!$G$7="30/360"),DAY(F70)&lt;30),30,DAY(F70))),IF(AND('депозитный калькулятор'!$G$10="ежемесячное, на средний остаток в течение месяца, при условии что остаток больше чем ограничение",F70='депозитный калькулятор'!$D$8,EOMONTH(F70,0)&lt;&gt;F70),IF('депозитный калькулятор'!$F$1=1,$H$24,SUM(OFFSET(Q70,-E70+1,0):Q70)),IF(AND('депозитный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калькулятор'!$G$7="30/360"),DAY(EOMONTH(F70,0))=31),EOMONTH(F70,0)-1=F70,EOMONTH(F70,0)=F70)),IF(IF(AND(OR('депозитный калькулятор'!$G$7="30/365",'депозитный калькулятор'!$G$7="30/360"),DAY(EOMONTH($F$24,0))=31),F70=EOMONTH($F$24,0)-1,F70=EOMONTH($F$24,0)),SUM(OFFSET(Q70,-E70+1,0):Q70),SUM(OFFSET(Q70,-E70+1,0):Q70)),IF('депозитный калькулятор'!$G$10="ежеквартальное",IF(F70&gt;'депозитный калькулятор'!$D$8," ",IF(AND(EOMONTH(F70,0)=F70,OR(MONTH(F70)=3,MONTH(F70)=6,MONTH(F70)=9,MONTH(F70)=12)),IF(EDATE(F70,-3)&lt;'депозитный калькулятор'!$D$7,SUM($H$23:H70),IF(MOD(YEAR(F70),4)=0,IF(AND(EOMONTH(F70,0)=F70,OR(MONTH(F70)=3,MONTH(F70)=6)),SUM(OFFSET(H70,-90,0):H70),IF(AND(EOMONTH(F70,0)=F70,OR(MONTH(F70)=9,MONTH(F70)=12)),SUM(OFFSET(H70,-91,0):H70))),IF(AND(EOMONTH(F70,0)=F70,MONTH(F70)=3),SUM(OFFSET(H70,-89,0):H70),IF(AND(EOMONTH(F70,0)=F70,MONTH(F70)=6),SUM(OFFSET(H70,-90,0):H70),IF(AND(EOMONTH(F70,0)=F70,OR(MONTH(F70)=9,MONTH(F70)=12)),SUM(OFFSET(H70,-91,0):H70)))))),IF(F70='депозитный калькулятор'!$D$8,SUM($H$23:H70)-SUM($I$23:I69),0))),IF('депозитный калькулятор'!$G$10="ежегодное",IF(F70&gt;'депозитный калькулятор'!$D$8," ",IF(F70='депозитный калькулятор'!$D$8,SUM($H$23:H70)-SUM($I$23:I69),IF(AND(EOMONTH(F70,0)=F70,MONTH(F70)=12),IF(MOD(YEAR(F69),4)=0,IF(F70-'депозитный калькулятор'!$D$7&lt;366,SUM($H$23:H70),SUM(OFFSET(H70,-365,0):H70)),IF(F70-'депозитный калькулятор'!$D$7&lt;365,SUM($H$23:H70),SUM(OFFSET(H70,-364,0):H70))),0))),IF(AND('депозитный калькулятор'!$G$10="в конце срока",'депозитный калькулятор'!$D$8=F70),SUM($H$23:H70),0))))))))))))))))))</f>
        <v xml:space="preserve"> </v>
      </c>
      <c r="J70" s="59" t="str">
        <f>IF(F70&gt;'депозитный калькулятор'!$D$8," ",IF('депозитный калькулятор'!$G$16="нет",0,IF(AND('депозитный калькулятор'!$G$17="разовая (в конце срока)",F70='депозитный калькулятор'!$D$8),'депозитный калькулятор'!$G$18,IF(AND('депозитный калькулятор'!$G$17="ежемесячная",EOMONTH(F69,0)=F69),'депозитный калькулятор'!$G$18,IF(AND('депозитный калькулятор'!$G$17="ежегодная",DAY(F69)=31,MONTH(F69)=12),'депозитный калькулятор'!$G$18,IF(AND('депозитный калькулятор'!$G$17="ежемесячная в зависимости от остатка",EOMONTH(F69,0)=F69,P69&gt;0),'депозитный калькулятор'!$G$18,IF(AND('депозитный калькулятор'!$G$17="ежегодная в зависимости от остатка",DAY(F69)=31,MONTH(F69)=12,P69&gt;0),'депозитный калькулятор'!$G$18,0)))))))</f>
        <v xml:space="preserve"> </v>
      </c>
      <c r="K70" s="135" t="str">
        <f>IF($F70=" "," ",IFERROR(VLOOKUP($F70,'депозитный калькулятор'!$B$26:$F$70,2,0),0))</f>
        <v xml:space="preserve"> </v>
      </c>
      <c r="L70" s="135" t="str">
        <f>IF($F70=" "," ",IFERROR(VLOOKUP($F70,'депозитный калькулятор'!$B$26:$F$70,3,0),0))</f>
        <v xml:space="preserve"> </v>
      </c>
      <c r="M70" s="135" t="str">
        <f>IF($F70=" "," ",IFERROR(VLOOKUP($F70,'депозитный калькулятор'!$B$26:$F$70,4,0),0))</f>
        <v xml:space="preserve"> </v>
      </c>
      <c r="N70" s="135" t="str">
        <f>IF($F70=" "," ",IFERROR(VLOOKUP($F70,'депозитный калькулятор'!$B$26:$F$70,5,0),0))</f>
        <v xml:space="preserve"> </v>
      </c>
      <c r="O70" s="146" t="str">
        <f>IF(F70&gt;'депозитный калькулятор'!$D$8," ",IF(F70='депозитный калькулятор'!$D$8,IF(AND($F$24='депозитный калькулятор'!$D$8,'депозитный калькулятор'!$G$13="нет"),-G70-IF(I70=" ",0,I70)-IF(AND(OR('депозитный калькулятор'!$G$7="30/365",'депозитный калькулятор'!$G$7="30/360"),'депозитный калькулятор'!$G$10="в начале срока"),I69,0)-L70+M70-N70,-G70-IF(I70=" ",0,I70)-L70+M70-N70),IF('депозитный калькулятор'!$G$13="есть",M70-N70+IF('депозитный калькулятор'!$G$14="есть",0,-L70),-IF(I70=" ",0,I70)-IF(AND(OR('депозитный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срока"),I69,0)+M70-N70+IF('депозитный калькулятор'!$G$14="есть",0,-L70))))</f>
        <v xml:space="preserve"> </v>
      </c>
      <c r="P70" s="147" t="str">
        <f>IF(F70&gt;'депозитный калькулятор'!$D$8," ",IF(EOMONTH(F69,0)=F69,0,IF(G70&gt;='депозитный калькулятор'!$G$19,P69,P69+1)))</f>
        <v xml:space="preserve"> </v>
      </c>
      <c r="Q70" s="138" t="str">
        <f>IF(F70=" "," ",IF(AND(OR('депозитный калькулятор'!$G$7="30/365",'депозитный калькулятор'!$G$7="30/360"),AND(MONTH(F70)=2,EOMONTH(F70,0)=F70)),IF(DAY(F70)=28,3,2),1)*IF(G70&gt;='депозитный калькулятор'!$G$11,IF(AND('депозитный калькулятор'!$G$7="факт/факт",MOD(YEAR(F70),4)=0),G70*'депозитный калькулятор'!$D$11/366,G70*'депозитный калькулятор'!$G$8),0))</f>
        <v xml:space="preserve"> </v>
      </c>
      <c r="R70" s="148"/>
      <c r="S70" s="62" t="str">
        <f t="shared" ca="1" si="2"/>
        <v xml:space="preserve"> </v>
      </c>
      <c r="T70" s="149" t="str">
        <f ca="1">IF(S70=" "," ",IF('депозитный калькулятор'!$G$7="30/360",DAYS360(U69,IF(DAY(U70)=31,U70-1,U70))+IF(AND(MONTH(U70)=2,U70=EOMONTH(U70,0)),30-DAY(EOMONTH(U70,0)))+T69,VLOOKUP(S70,$C$22:$F$1023,2,0)))</f>
        <v xml:space="preserve"> </v>
      </c>
      <c r="U70" s="64" t="str">
        <f t="shared" ca="1" si="0"/>
        <v xml:space="preserve"> </v>
      </c>
      <c r="V70" s="150" t="str">
        <f t="shared" ca="1" si="3"/>
        <v xml:space="preserve"> </v>
      </c>
      <c r="W70" s="62" t="str">
        <f t="shared" ca="1" si="4"/>
        <v xml:space="preserve"> </v>
      </c>
      <c r="X70" s="141" t="str">
        <f ca="1">IF(S70=" "," ",IFERROR(VLOOKUP(U70,$F$23:$N$1023,7)+VLOOKUP(U70,$F$23:$N$1023,9)+IF(AND('депозитный калькулятор'!$G$13="нет",U70&lt;&gt;'депозитный калькулятор'!$D$8),VLOOKUP(U70,$F$23:$N$1023,4),0),0)+IF(U70='депозитный калькулятор'!$D$8,VLOOKUP(U70,$F$23:$N$1023,2)+VLOOKUP(U70,$F$23:$N$1023,4),0))</f>
        <v xml:space="preserve"> </v>
      </c>
      <c r="Y70" s="142" t="str">
        <f ca="1">IF(S70=" "," ",W70/(1+'депозитный калькулятор'!$K$8)^(T70/IF('депозитный калькулятор'!$G$7="30/360",360,365)))</f>
        <v xml:space="preserve"> </v>
      </c>
      <c r="Z70" s="142" t="str">
        <f ca="1">IF(S70=" "," ",X70/(1+'депозитный калькулятор'!$K$8)^(T70/IF('депозитный калькулятор'!$G$7="30/360",360,365)))</f>
        <v xml:space="preserve"> </v>
      </c>
      <c r="AA70" s="151"/>
      <c r="AB70" s="151"/>
      <c r="AC70" s="155"/>
      <c r="AD70" s="155"/>
    </row>
    <row r="71" spans="1:30" s="2" customFormat="1" ht="15.5" x14ac:dyDescent="0.35">
      <c r="A71" s="41" t="str">
        <f>IF(F71=" "," ",IF(OR('депозитный калькулятор'!$G$7="30/365",'депозитный калькулятор'!$G$7="30/360"),IF(AND(MONTH(F71)=2,DAY(F71)=DAY(EOMONTH(F71,0))),30-DAY(EOMONTH(F71,0)),IF(DAY(F71)=31,1," "))," "))</f>
        <v xml:space="preserve"> </v>
      </c>
      <c r="B71" s="130" t="str">
        <f t="shared" si="1"/>
        <v xml:space="preserve"> </v>
      </c>
      <c r="C71" s="130" t="str">
        <f>IF(OR(B71=0,B71=" ")," ",SUM($B$23:B71))</f>
        <v xml:space="preserve"> </v>
      </c>
      <c r="D71" s="62" t="str">
        <f>IF(D70=" "," ",IF(OR(F70='депозитный калькулятор'!$D$8,F70=" ")," ",D70+1))</f>
        <v xml:space="preserve"> </v>
      </c>
      <c r="E71" s="130" t="str">
        <f>IF(OR(F70='депозитный калькулятор'!$D$8,F70=" ")," ",IF(EOMONTH(F70,0)=F70,1,E70+1))</f>
        <v xml:space="preserve"> </v>
      </c>
      <c r="F71" s="64" t="str">
        <f>IF(F70=" "," ",IF(F70='депозитный калькулятор'!$D$8," ",F70+1))</f>
        <v xml:space="preserve"> </v>
      </c>
      <c r="G71" s="145" t="str">
        <f xml:space="preserve"> IF(F71&gt;'депозитный калькулятор'!$D$8," ",IF('депозитный калькулятор'!$G$13="есть",IF('депозитный калькулятор'!$G$14="есть",G70+IF(I70=" ",0,I70)-J71-K71+L71+M71-N71,G70+IF(I70=" ",0,I70)-J71-K71+M71-N71),IF('депозитный калькулятор'!$G$14="есть",G70-J71-K71+L71+M71-N71,G70-J71-K71+M71-N71)))</f>
        <v xml:space="preserve"> </v>
      </c>
      <c r="H71" s="133" t="str">
        <f>IF(F71&gt;'депозитный калькулятор'!$D$8," ",IF(AND(OR('депозитный калькулятор'!$G$7="30/365",'депозитный калькулятор'!$G$7="30/360"),AND(MONTH(F71)=2,EOMONTH(F71,0)=F71)),IF(DAY(F71)=28,3*G71*'депозитный калькулятор'!$G$8,2*G71*'депозитный калькулятор'!$G$8),IF(AND(OR('депозитный калькулятор'!$G$7="30/365",'депозитный калькулятор'!$G$7="30/360"),DAY(F71)=31)," ",IF(AND('депозитный калькулятор'!$G$7="факт/факт",MOD(YEAR(F71),4)=0),G71*'депозитный калькулятор'!$D$11/366,G71*'депозитный калькулятор'!$G$8))))</f>
        <v xml:space="preserve"> </v>
      </c>
      <c r="I71" s="134" t="str">
        <f ca="1">IF(F71=" "," ",IF('депозитный калькулятор'!$G$10="ежедневное",H71,IF(AND('депозитный калькулятор'!$G$10="еженедельное",WEEKDAY(F71,2)=7),SUM(OFFSET(H71,-6,0):H71),IF(AND('депозитный калькулятор'!$G$10="еженедельное",F71='депозитный калькулятор'!$D$8),SUM($H$23:H71)-SUM($I$23:I70),IF(AND('депозитный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недели",WEEKDAY(F71,2)=7),MIN(OFFSET(H71,-6,0):H71)*(COUNTIF(OFFSET(H71,-6,0):H71,"&gt;0")+SUMIF(OFFSET(A71,-WEEKDAY(F71,2),0):A71,"=2",OFFSET(A71,-WEEKDAY(F71,2),0):A71)),IF(AND('депозитный калькулятор'!$G$10="еженедельное, на минимальную сумму зафиксированную в течение недели",F71='депозитный калькулятор'!$D$8,WEEKDAY(F71,2)&lt;&gt;7),MIN(OFFSET(H71,-WEEKDAY(F71,2),0):H71)*(COUNTIF(OFFSET(H71,-WEEKDAY(F71,2)+1,0):H71,"&gt;0")+SUM(OFFSET(A71,-WEEKDAY(F71,2),0):A71)),IF(AND('депозитный калькулятор'!$G$10="ежемесячное (в конце месяца)",F71='депозитный калькулятор'!$D$8,EOMONTH(F71,0)&lt;&gt;F71),IF('депозитный калькулятор'!$F$1=1,$H$24,SUM($H$23:H71)-SUM($I$23:I70)),IF(AND('депозитный калькулятор'!$G$10="ежемесячное (в конце месяца)",EOMONTH(F71,0)=F71),SUM($H$23:H71)-SUM($I$23:I70),IF(AND('депозитный калькулятор'!$G$10="ежемесячное (по дням открытия вклада)",F71='депозитный калькулятор'!$D$8,DAY('депозитный калькулятор'!$D$7)&lt;&gt;DAY(F71)),IF('депозитный калькулятор'!$F$1=1,$H$24,SUM($H$23:H71)-SUM($I$23:I70)),IF(AND('депозитный калькулятор'!$G$10="ежемесячное (по дням открытия вклада)",DAY('депозитный калькулятор'!$D$7)=DAY(F71)),SUM($H$23:H71)-SUM($I$23:I70),IF(AND('депозитный калькулятор'!$G$10="ежемесячное, на минимальную сумму зафиксированную в течение месяца",F71='депозитный калькулятор'!$D$8,EOMONTH(F71,0)&lt;&gt;F71),IF('депозитный калькулятор'!$F$1=1,$H$24,IF(AND(OR('депозитный калькулятор'!$G$7="30/365",'депозитный калькулятор'!$G$7="30/360"),DAY(F71)=31),0,MIN(OFFSET(H71,-E71+1,0):H71)*(E71+SUMIF(OFFSET(A71,-E71+1,0):A71,"=2",OFFSET(A71,-E71+1,0):A71)))),IF(AND('депозитный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калькулятор'!$G$7="30/360"),DAY(EOMONTH(F71,0))=31),EOMONTH(F71,0)-1=F71,EOMONTH(F71,0)=F71)),IF(IF(AND(OR('депозитный калькулятор'!$G$7="30/365",'депозитный калькулятор'!$G$7="30/360"),DAY(EOMONTH($F$23,0))=31),F71=EOMONTH($F$23,0)-1,F71=EOMONTH($F$23,0)),MIN(OFFSET(H71,-(DAY(F71)-DAY($F$23)),0):H71)*E71,MIN(OFFSET(H71,-(DAY(F71)-1),0):H71)*IF(AND(OR('депозитный калькулятор'!$G$7="30/365",'депозитный калькулятор'!$G$7="30/360"),DAY(F71)&lt;30),30,DAY(F71))),IF(AND('депозитный калькулятор'!$G$10="ежемесячное, на средний остаток в течение месяца, при условии что остаток больше чем ограничение",F71='депозитный калькулятор'!$D$8,EOMONTH(F71,0)&lt;&gt;F71),IF('депозитный калькулятор'!$F$1=1,$H$24,SUM(OFFSET(Q71,-E71+1,0):Q71)),IF(AND('депозитный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калькулятор'!$G$7="30/360"),DAY(EOMONTH(F71,0))=31),EOMONTH(F71,0)-1=F71,EOMONTH(F71,0)=F71)),IF(IF(AND(OR('депозитный калькулятор'!$G$7="30/365",'депозитный калькулятор'!$G$7="30/360"),DAY(EOMONTH($F$24,0))=31),F71=EOMONTH($F$24,0)-1,F71=EOMONTH($F$24,0)),SUM(OFFSET(Q71,-E71+1,0):Q71),SUM(OFFSET(Q71,-E71+1,0):Q71)),IF('депозитный калькулятор'!$G$10="ежеквартальное",IF(F71&gt;'депозитный калькулятор'!$D$8," ",IF(AND(EOMONTH(F71,0)=F71,OR(MONTH(F71)=3,MONTH(F71)=6,MONTH(F71)=9,MONTH(F71)=12)),IF(EDATE(F71,-3)&lt;'депозитный калькулятор'!$D$7,SUM($H$23:H71),IF(MOD(YEAR(F71),4)=0,IF(AND(EOMONTH(F71,0)=F71,OR(MONTH(F71)=3,MONTH(F71)=6)),SUM(OFFSET(H71,-90,0):H71),IF(AND(EOMONTH(F71,0)=F71,OR(MONTH(F71)=9,MONTH(F71)=12)),SUM(OFFSET(H71,-91,0):H71))),IF(AND(EOMONTH(F71,0)=F71,MONTH(F71)=3),SUM(OFFSET(H71,-89,0):H71),IF(AND(EOMONTH(F71,0)=F71,MONTH(F71)=6),SUM(OFFSET(H71,-90,0):H71),IF(AND(EOMONTH(F71,0)=F71,OR(MONTH(F71)=9,MONTH(F71)=12)),SUM(OFFSET(H71,-91,0):H71)))))),IF(F71='депозитный калькулятор'!$D$8,SUM($H$23:H71)-SUM($I$23:I70),0))),IF('депозитный калькулятор'!$G$10="ежегодное",IF(F71&gt;'депозитный калькулятор'!$D$8," ",IF(F71='депозитный калькулятор'!$D$8,SUM($H$23:H71)-SUM($I$23:I70),IF(AND(EOMONTH(F71,0)=F71,MONTH(F71)=12),IF(MOD(YEAR(F70),4)=0,IF(F71-'депозитный калькулятор'!$D$7&lt;366,SUM($H$23:H71),SUM(OFFSET(H71,-365,0):H71)),IF(F71-'депозитный калькулятор'!$D$7&lt;365,SUM($H$23:H71),SUM(OFFSET(H71,-364,0):H71))),0))),IF(AND('депозитный калькулятор'!$G$10="в конце срока",'депозитный калькулятор'!$D$8=F71),SUM($H$23:H71),0))))))))))))))))))</f>
        <v xml:space="preserve"> </v>
      </c>
      <c r="J71" s="59" t="str">
        <f>IF(F71&gt;'депозитный калькулятор'!$D$8," ",IF('депозитный калькулятор'!$G$16="нет",0,IF(AND('депозитный калькулятор'!$G$17="разовая (в конце срока)",F71='депозитный калькулятор'!$D$8),'депозитный калькулятор'!$G$18,IF(AND('депозитный калькулятор'!$G$17="ежемесячная",EOMONTH(F70,0)=F70),'депозитный калькулятор'!$G$18,IF(AND('депозитный калькулятор'!$G$17="ежегодная",DAY(F70)=31,MONTH(F70)=12),'депозитный калькулятор'!$G$18,IF(AND('депозитный калькулятор'!$G$17="ежемесячная в зависимости от остатка",EOMONTH(F70,0)=F70,P70&gt;0),'депозитный калькулятор'!$G$18,IF(AND('депозитный калькулятор'!$G$17="ежегодная в зависимости от остатка",DAY(F70)=31,MONTH(F70)=12,P70&gt;0),'депозитный калькулятор'!$G$18,0)))))))</f>
        <v xml:space="preserve"> </v>
      </c>
      <c r="K71" s="135" t="str">
        <f>IF($F71=" "," ",IFERROR(VLOOKUP($F71,'депозитный калькулятор'!$B$26:$F$70,2,0),0))</f>
        <v xml:space="preserve"> </v>
      </c>
      <c r="L71" s="135" t="str">
        <f>IF($F71=" "," ",IFERROR(VLOOKUP($F71,'депозитный калькулятор'!$B$26:$F$70,3,0),0))</f>
        <v xml:space="preserve"> </v>
      </c>
      <c r="M71" s="135" t="str">
        <f>IF($F71=" "," ",IFERROR(VLOOKUP($F71,'депозитный калькулятор'!$B$26:$F$70,4,0),0))</f>
        <v xml:space="preserve"> </v>
      </c>
      <c r="N71" s="135" t="str">
        <f>IF($F71=" "," ",IFERROR(VLOOKUP($F71,'депозитный калькулятор'!$B$26:$F$70,5,0),0))</f>
        <v xml:space="preserve"> </v>
      </c>
      <c r="O71" s="146" t="str">
        <f>IF(F71&gt;'депозитный калькулятор'!$D$8," ",IF(F71='депозитный калькулятор'!$D$8,IF(AND($F$24='депозитный калькулятор'!$D$8,'депозитный калькулятор'!$G$13="нет"),-G71-IF(I71=" ",0,I71)-IF(AND(OR('депозитный калькулятор'!$G$7="30/365",'депозитный калькулятор'!$G$7="30/360"),'депозитный калькулятор'!$G$10="в начале срока"),I70,0)-L71+M71-N71,-G71-IF(I71=" ",0,I71)-L71+M71-N71),IF('депозитный калькулятор'!$G$13="есть",M71-N71+IF('депозитный калькулятор'!$G$14="есть",0,-L71),-IF(I71=" ",0,I71)-IF(AND(OR('депозитный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срока"),I70,0)+M71-N71+IF('депозитный калькулятор'!$G$14="есть",0,-L71))))</f>
        <v xml:space="preserve"> </v>
      </c>
      <c r="P71" s="147" t="str">
        <f>IF(F71&gt;'депозитный калькулятор'!$D$8," ",IF(EOMONTH(F70,0)=F70,0,IF(G71&gt;='депозитный калькулятор'!$G$19,P70,P70+1)))</f>
        <v xml:space="preserve"> </v>
      </c>
      <c r="Q71" s="138" t="str">
        <f>IF(F71=" "," ",IF(AND(OR('депозитный калькулятор'!$G$7="30/365",'депозитный калькулятор'!$G$7="30/360"),AND(MONTH(F71)=2,EOMONTH(F71,0)=F71)),IF(DAY(F71)=28,3,2),1)*IF(G71&gt;='депозитный калькулятор'!$G$11,IF(AND('депозитный калькулятор'!$G$7="факт/факт",MOD(YEAR(F71),4)=0),G71*'депозитный калькулятор'!$D$11/366,G71*'депозитный калькулятор'!$G$8),0))</f>
        <v xml:space="preserve"> </v>
      </c>
      <c r="R71" s="148"/>
      <c r="S71" s="62" t="str">
        <f t="shared" ca="1" si="2"/>
        <v xml:space="preserve"> </v>
      </c>
      <c r="T71" s="149" t="str">
        <f ca="1">IF(S71=" "," ",IF('депозитный калькулятор'!$G$7="30/360",DAYS360(U70,IF(DAY(U71)=31,U71-1,U71))+IF(AND(MONTH(U71)=2,U71=EOMONTH(U71,0)),30-DAY(EOMONTH(U71,0)))+T70,VLOOKUP(S71,$C$22:$F$1023,2,0)))</f>
        <v xml:space="preserve"> </v>
      </c>
      <c r="U71" s="64" t="str">
        <f t="shared" ca="1" si="0"/>
        <v xml:space="preserve"> </v>
      </c>
      <c r="V71" s="150" t="str">
        <f t="shared" ca="1" si="3"/>
        <v xml:space="preserve"> </v>
      </c>
      <c r="W71" s="62" t="str">
        <f t="shared" ca="1" si="4"/>
        <v xml:space="preserve"> </v>
      </c>
      <c r="X71" s="141" t="str">
        <f ca="1">IF(S71=" "," ",IFERROR(VLOOKUP(U71,$F$23:$N$1023,7)+VLOOKUP(U71,$F$23:$N$1023,9)+IF(AND('депозитный калькулятор'!$G$13="нет",U71&lt;&gt;'депозитный калькулятор'!$D$8),VLOOKUP(U71,$F$23:$N$1023,4),0),0)+IF(U71='депозитный калькулятор'!$D$8,VLOOKUP(U71,$F$23:$N$1023,2)+VLOOKUP(U71,$F$23:$N$1023,4),0))</f>
        <v xml:space="preserve"> </v>
      </c>
      <c r="Y71" s="142" t="str">
        <f ca="1">IF(S71=" "," ",W71/(1+'депозитный калькулятор'!$K$8)^(T71/IF('депозитный калькулятор'!$G$7="30/360",360,365)))</f>
        <v xml:space="preserve"> </v>
      </c>
      <c r="Z71" s="142" t="str">
        <f ca="1">IF(S71=" "," ",X71/(1+'депозитный калькулятор'!$K$8)^(T71/IF('депозитный калькулятор'!$G$7="30/360",360,365)))</f>
        <v xml:space="preserve"> </v>
      </c>
      <c r="AA71" s="151"/>
      <c r="AB71" s="151"/>
      <c r="AC71" s="155"/>
      <c r="AD71" s="155"/>
    </row>
    <row r="72" spans="1:30" s="2" customFormat="1" ht="15.5" x14ac:dyDescent="0.35">
      <c r="A72" s="41" t="str">
        <f>IF(F72=" "," ",IF(OR('депозитный калькулятор'!$G$7="30/365",'депозитный калькулятор'!$G$7="30/360"),IF(AND(MONTH(F72)=2,DAY(F72)=DAY(EOMONTH(F72,0))),30-DAY(EOMONTH(F72,0)),IF(DAY(F72)=31,1," "))," "))</f>
        <v xml:space="preserve"> </v>
      </c>
      <c r="B72" s="130" t="str">
        <f t="shared" si="1"/>
        <v xml:space="preserve"> </v>
      </c>
      <c r="C72" s="130" t="str">
        <f>IF(OR(B72=0,B72=" ")," ",SUM($B$23:B72))</f>
        <v xml:space="preserve"> </v>
      </c>
      <c r="D72" s="62" t="str">
        <f>IF(D71=" "," ",IF(OR(F71='депозитный калькулятор'!$D$8,F71=" ")," ",D71+1))</f>
        <v xml:space="preserve"> </v>
      </c>
      <c r="E72" s="130" t="str">
        <f>IF(OR(F71='депозитный калькулятор'!$D$8,F71=" ")," ",IF(EOMONTH(F71,0)=F71,1,E71+1))</f>
        <v xml:space="preserve"> </v>
      </c>
      <c r="F72" s="64" t="str">
        <f>IF(F71=" "," ",IF(F71='депозитный калькулятор'!$D$8," ",F71+1))</f>
        <v xml:space="preserve"> </v>
      </c>
      <c r="G72" s="145" t="str">
        <f xml:space="preserve"> IF(F72&gt;'депозитный калькулятор'!$D$8," ",IF('депозитный калькулятор'!$G$13="есть",IF('депозитный калькулятор'!$G$14="есть",G71+IF(I71=" ",0,I71)-J72-K72+L72+M72-N72,G71+IF(I71=" ",0,I71)-J72-K72+M72-N72),IF('депозитный калькулятор'!$G$14="есть",G71-J72-K72+L72+M72-N72,G71-J72-K72+M72-N72)))</f>
        <v xml:space="preserve"> </v>
      </c>
      <c r="H72" s="133" t="str">
        <f>IF(F72&gt;'депозитный калькулятор'!$D$8," ",IF(AND(OR('депозитный калькулятор'!$G$7="30/365",'депозитный калькулятор'!$G$7="30/360"),AND(MONTH(F72)=2,EOMONTH(F72,0)=F72)),IF(DAY(F72)=28,3*G72*'депозитный калькулятор'!$G$8,2*G72*'депозитный калькулятор'!$G$8),IF(AND(OR('депозитный калькулятор'!$G$7="30/365",'депозитный калькулятор'!$G$7="30/360"),DAY(F72)=31)," ",IF(AND('депозитный калькулятор'!$G$7="факт/факт",MOD(YEAR(F72),4)=0),G72*'депозитный калькулятор'!$D$11/366,G72*'депозитный калькулятор'!$G$8))))</f>
        <v xml:space="preserve"> </v>
      </c>
      <c r="I72" s="134" t="str">
        <f ca="1">IF(F72=" "," ",IF('депозитный калькулятор'!$G$10="ежедневное",H72,IF(AND('депозитный калькулятор'!$G$10="еженедельное",WEEKDAY(F72,2)=7),SUM(OFFSET(H72,-6,0):H72),IF(AND('депозитный калькулятор'!$G$10="еженедельное",F72='депозитный калькулятор'!$D$8),SUM($H$23:H72)-SUM($I$23:I71),IF(AND('депозитный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недели",WEEKDAY(F72,2)=7),MIN(OFFSET(H72,-6,0):H72)*(COUNTIF(OFFSET(H72,-6,0):H72,"&gt;0")+SUMIF(OFFSET(A72,-WEEKDAY(F72,2),0):A72,"=2",OFFSET(A72,-WEEKDAY(F72,2),0):A72)),IF(AND('депозитный калькулятор'!$G$10="еженедельное, на минимальную сумму зафиксированную в течение недели",F72='депозитный калькулятор'!$D$8,WEEKDAY(F72,2)&lt;&gt;7),MIN(OFFSET(H72,-WEEKDAY(F72,2),0):H72)*(COUNTIF(OFFSET(H72,-WEEKDAY(F72,2)+1,0):H72,"&gt;0")+SUM(OFFSET(A72,-WEEKDAY(F72,2),0):A72)),IF(AND('депозитный калькулятор'!$G$10="ежемесячное (в конце месяца)",F72='депозитный калькулятор'!$D$8,EOMONTH(F72,0)&lt;&gt;F72),IF('депозитный калькулятор'!$F$1=1,$H$24,SUM($H$23:H72)-SUM($I$23:I71)),IF(AND('депозитный калькулятор'!$G$10="ежемесячное (в конце месяца)",EOMONTH(F72,0)=F72),SUM($H$23:H72)-SUM($I$23:I71),IF(AND('депозитный калькулятор'!$G$10="ежемесячное (по дням открытия вклада)",F72='депозитный калькулятор'!$D$8,DAY('депозитный калькулятор'!$D$7)&lt;&gt;DAY(F72)),IF('депозитный калькулятор'!$F$1=1,$H$24,SUM($H$23:H72)-SUM($I$23:I71)),IF(AND('депозитный калькулятор'!$G$10="ежемесячное (по дням открытия вклада)",DAY('депозитный калькулятор'!$D$7)=DAY(F72)),SUM($H$23:H72)-SUM($I$23:I71),IF(AND('депозитный калькулятор'!$G$10="ежемесячное, на минимальную сумму зафиксированную в течение месяца",F72='депозитный калькулятор'!$D$8,EOMONTH(F72,0)&lt;&gt;F72),IF('депозитный калькулятор'!$F$1=1,$H$24,IF(AND(OR('депозитный калькулятор'!$G$7="30/365",'депозитный калькулятор'!$G$7="30/360"),DAY(F72)=31),0,MIN(OFFSET(H72,-E72+1,0):H72)*(E72+SUMIF(OFFSET(A72,-E72+1,0):A72,"=2",OFFSET(A72,-E72+1,0):A72)))),IF(AND('депозитный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калькулятор'!$G$7="30/360"),DAY(EOMONTH(F72,0))=31),EOMONTH(F72,0)-1=F72,EOMONTH(F72,0)=F72)),IF(IF(AND(OR('депозитный калькулятор'!$G$7="30/365",'депозитный калькулятор'!$G$7="30/360"),DAY(EOMONTH($F$23,0))=31),F72=EOMONTH($F$23,0)-1,F72=EOMONTH($F$23,0)),MIN(OFFSET(H72,-(DAY(F72)-DAY($F$23)),0):H72)*E72,MIN(OFFSET(H72,-(DAY(F72)-1),0):H72)*IF(AND(OR('депозитный калькулятор'!$G$7="30/365",'депозитный калькулятор'!$G$7="30/360"),DAY(F72)&lt;30),30,DAY(F72))),IF(AND('депозитный калькулятор'!$G$10="ежемесячное, на средний остаток в течение месяца, при условии что остаток больше чем ограничение",F72='депозитный калькулятор'!$D$8,EOMONTH(F72,0)&lt;&gt;F72),IF('депозитный калькулятор'!$F$1=1,$H$24,SUM(OFFSET(Q72,-E72+1,0):Q72)),IF(AND('депозитный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калькулятор'!$G$7="30/360"),DAY(EOMONTH(F72,0))=31),EOMONTH(F72,0)-1=F72,EOMONTH(F72,0)=F72)),IF(IF(AND(OR('депозитный калькулятор'!$G$7="30/365",'депозитный калькулятор'!$G$7="30/360"),DAY(EOMONTH($F$24,0))=31),F72=EOMONTH($F$24,0)-1,F72=EOMONTH($F$24,0)),SUM(OFFSET(Q72,-E72+1,0):Q72),SUM(OFFSET(Q72,-E72+1,0):Q72)),IF('депозитный калькулятор'!$G$10="ежеквартальное",IF(F72&gt;'депозитный калькулятор'!$D$8," ",IF(AND(EOMONTH(F72,0)=F72,OR(MONTH(F72)=3,MONTH(F72)=6,MONTH(F72)=9,MONTH(F72)=12)),IF(EDATE(F72,-3)&lt;'депозитный калькулятор'!$D$7,SUM($H$23:H72),IF(MOD(YEAR(F72),4)=0,IF(AND(EOMONTH(F72,0)=F72,OR(MONTH(F72)=3,MONTH(F72)=6)),SUM(OFFSET(H72,-90,0):H72),IF(AND(EOMONTH(F72,0)=F72,OR(MONTH(F72)=9,MONTH(F72)=12)),SUM(OFFSET(H72,-91,0):H72))),IF(AND(EOMONTH(F72,0)=F72,MONTH(F72)=3),SUM(OFFSET(H72,-89,0):H72),IF(AND(EOMONTH(F72,0)=F72,MONTH(F72)=6),SUM(OFFSET(H72,-90,0):H72),IF(AND(EOMONTH(F72,0)=F72,OR(MONTH(F72)=9,MONTH(F72)=12)),SUM(OFFSET(H72,-91,0):H72)))))),IF(F72='депозитный калькулятор'!$D$8,SUM($H$23:H72)-SUM($I$23:I71),0))),IF('депозитный калькулятор'!$G$10="ежегодное",IF(F72&gt;'депозитный калькулятор'!$D$8," ",IF(F72='депозитный калькулятор'!$D$8,SUM($H$23:H72)-SUM($I$23:I71),IF(AND(EOMONTH(F72,0)=F72,MONTH(F72)=12),IF(MOD(YEAR(F71),4)=0,IF(F72-'депозитный калькулятор'!$D$7&lt;366,SUM($H$23:H72),SUM(OFFSET(H72,-365,0):H72)),IF(F72-'депозитный калькулятор'!$D$7&lt;365,SUM($H$23:H72),SUM(OFFSET(H72,-364,0):H72))),0))),IF(AND('депозитный калькулятор'!$G$10="в конце срока",'депозитный калькулятор'!$D$8=F72),SUM($H$23:H72),0))))))))))))))))))</f>
        <v xml:space="preserve"> </v>
      </c>
      <c r="J72" s="59" t="str">
        <f>IF(F72&gt;'депозитный калькулятор'!$D$8," ",IF('депозитный калькулятор'!$G$16="нет",0,IF(AND('депозитный калькулятор'!$G$17="разовая (в конце срока)",F72='депозитный калькулятор'!$D$8),'депозитный калькулятор'!$G$18,IF(AND('депозитный калькулятор'!$G$17="ежемесячная",EOMONTH(F71,0)=F71),'депозитный калькулятор'!$G$18,IF(AND('депозитный калькулятор'!$G$17="ежегодная",DAY(F71)=31,MONTH(F71)=12),'депозитный калькулятор'!$G$18,IF(AND('депозитный калькулятор'!$G$17="ежемесячная в зависимости от остатка",EOMONTH(F71,0)=F71,P71&gt;0),'депозитный калькулятор'!$G$18,IF(AND('депозитный калькулятор'!$G$17="ежегодная в зависимости от остатка",DAY(F71)=31,MONTH(F71)=12,P71&gt;0),'депозитный калькулятор'!$G$18,0)))))))</f>
        <v xml:space="preserve"> </v>
      </c>
      <c r="K72" s="135" t="str">
        <f>IF($F72=" "," ",IFERROR(VLOOKUP($F72,'депозитный калькулятор'!$B$26:$F$70,2,0),0))</f>
        <v xml:space="preserve"> </v>
      </c>
      <c r="L72" s="135" t="str">
        <f>IF($F72=" "," ",IFERROR(VLOOKUP($F72,'депозитный калькулятор'!$B$26:$F$70,3,0),0))</f>
        <v xml:space="preserve"> </v>
      </c>
      <c r="M72" s="135" t="str">
        <f>IF($F72=" "," ",IFERROR(VLOOKUP($F72,'депозитный калькулятор'!$B$26:$F$70,4,0),0))</f>
        <v xml:space="preserve"> </v>
      </c>
      <c r="N72" s="135" t="str">
        <f>IF($F72=" "," ",IFERROR(VLOOKUP($F72,'депозитный калькулятор'!$B$26:$F$70,5,0),0))</f>
        <v xml:space="preserve"> </v>
      </c>
      <c r="O72" s="146" t="str">
        <f>IF(F72&gt;'депозитный калькулятор'!$D$8," ",IF(F72='депозитный калькулятор'!$D$8,IF(AND($F$24='депозитный калькулятор'!$D$8,'депозитный калькулятор'!$G$13="нет"),-G72-IF(I72=" ",0,I72)-IF(AND(OR('депозитный калькулятор'!$G$7="30/365",'депозитный калькулятор'!$G$7="30/360"),'депозитный калькулятор'!$G$10="в начале срока"),I71,0)-L72+M72-N72,-G72-IF(I72=" ",0,I72)-L72+M72-N72),IF('депозитный калькулятор'!$G$13="есть",M72-N72+IF('депозитный калькулятор'!$G$14="есть",0,-L72),-IF(I72=" ",0,I72)-IF(AND(OR('депозитный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срока"),I71,0)+M72-N72+IF('депозитный калькулятор'!$G$14="есть",0,-L72))))</f>
        <v xml:space="preserve"> </v>
      </c>
      <c r="P72" s="147" t="str">
        <f>IF(F72&gt;'депозитный калькулятор'!$D$8," ",IF(EOMONTH(F71,0)=F71,0,IF(G72&gt;='депозитный калькулятор'!$G$19,P71,P71+1)))</f>
        <v xml:space="preserve"> </v>
      </c>
      <c r="Q72" s="138" t="str">
        <f>IF(F72=" "," ",IF(AND(OR('депозитный калькулятор'!$G$7="30/365",'депозитный калькулятор'!$G$7="30/360"),AND(MONTH(F72)=2,EOMONTH(F72,0)=F72)),IF(DAY(F72)=28,3,2),1)*IF(G72&gt;='депозитный калькулятор'!$G$11,IF(AND('депозитный калькулятор'!$G$7="факт/факт",MOD(YEAR(F72),4)=0),G72*'депозитный калькулятор'!$D$11/366,G72*'депозитный калькулятор'!$G$8),0))</f>
        <v xml:space="preserve"> </v>
      </c>
      <c r="R72" s="148"/>
      <c r="S72" s="62" t="str">
        <f t="shared" ca="1" si="2"/>
        <v xml:space="preserve"> </v>
      </c>
      <c r="T72" s="149" t="str">
        <f ca="1">IF(S72=" "," ",IF('депозитный калькулятор'!$G$7="30/360",DAYS360(U71,IF(DAY(U72)=31,U72-1,U72))+IF(AND(MONTH(U72)=2,U72=EOMONTH(U72,0)),30-DAY(EOMONTH(U72,0)))+T71,VLOOKUP(S72,$C$22:$F$1023,2,0)))</f>
        <v xml:space="preserve"> </v>
      </c>
      <c r="U72" s="64" t="str">
        <f t="shared" ca="1" si="0"/>
        <v xml:space="preserve"> </v>
      </c>
      <c r="V72" s="150" t="str">
        <f t="shared" ca="1" si="3"/>
        <v xml:space="preserve"> </v>
      </c>
      <c r="W72" s="62" t="str">
        <f t="shared" ca="1" si="4"/>
        <v xml:space="preserve"> </v>
      </c>
      <c r="X72" s="141" t="str">
        <f ca="1">IF(S72=" "," ",IFERROR(VLOOKUP(U72,$F$23:$N$1023,7)+VLOOKUP(U72,$F$23:$N$1023,9)+IF(AND('депозитный калькулятор'!$G$13="нет",U72&lt;&gt;'депозитный калькулятор'!$D$8),VLOOKUP(U72,$F$23:$N$1023,4),0),0)+IF(U72='депозитный калькулятор'!$D$8,VLOOKUP(U72,$F$23:$N$1023,2)+VLOOKUP(U72,$F$23:$N$1023,4),0))</f>
        <v xml:space="preserve"> </v>
      </c>
      <c r="Y72" s="142" t="str">
        <f ca="1">IF(S72=" "," ",W72/(1+'депозитный калькулятор'!$K$8)^(T72/IF('депозитный калькулятор'!$G$7="30/360",360,365)))</f>
        <v xml:space="preserve"> </v>
      </c>
      <c r="Z72" s="142" t="str">
        <f ca="1">IF(S72=" "," ",X72/(1+'депозитный калькулятор'!$K$8)^(T72/IF('депозитный калькулятор'!$G$7="30/360",360,365)))</f>
        <v xml:space="preserve"> </v>
      </c>
      <c r="AA72" s="151"/>
      <c r="AB72" s="151"/>
      <c r="AC72" s="155"/>
      <c r="AD72" s="155"/>
    </row>
    <row r="73" spans="1:30" s="2" customFormat="1" ht="15.5" x14ac:dyDescent="0.35">
      <c r="A73" s="41" t="str">
        <f>IF(F73=" "," ",IF(OR('депозитный калькулятор'!$G$7="30/365",'депозитный калькулятор'!$G$7="30/360"),IF(AND(MONTH(F73)=2,DAY(F73)=DAY(EOMONTH(F73,0))),30-DAY(EOMONTH(F73,0)),IF(DAY(F73)=31,1," "))," "))</f>
        <v xml:space="preserve"> </v>
      </c>
      <c r="B73" s="130" t="str">
        <f t="shared" si="1"/>
        <v xml:space="preserve"> </v>
      </c>
      <c r="C73" s="130" t="str">
        <f>IF(OR(B73=0,B73=" ")," ",SUM($B$23:B73))</f>
        <v xml:space="preserve"> </v>
      </c>
      <c r="D73" s="62" t="str">
        <f>IF(D72=" "," ",IF(OR(F72='депозитный калькулятор'!$D$8,F72=" ")," ",D72+1))</f>
        <v xml:space="preserve"> </v>
      </c>
      <c r="E73" s="130" t="str">
        <f>IF(OR(F72='депозитный калькулятор'!$D$8,F72=" ")," ",IF(EOMONTH(F72,0)=F72,1,E72+1))</f>
        <v xml:space="preserve"> </v>
      </c>
      <c r="F73" s="64" t="str">
        <f>IF(F72=" "," ",IF(F72='депозитный калькулятор'!$D$8," ",F72+1))</f>
        <v xml:space="preserve"> </v>
      </c>
      <c r="G73" s="145" t="str">
        <f xml:space="preserve"> IF(F73&gt;'депозитный калькулятор'!$D$8," ",IF('депозитный калькулятор'!$G$13="есть",IF('депозитный калькулятор'!$G$14="есть",G72+IF(I72=" ",0,I72)-J73-K73+L73+M73-N73,G72+IF(I72=" ",0,I72)-J73-K73+M73-N73),IF('депозитный калькулятор'!$G$14="есть",G72-J73-K73+L73+M73-N73,G72-J73-K73+M73-N73)))</f>
        <v xml:space="preserve"> </v>
      </c>
      <c r="H73" s="133" t="str">
        <f>IF(F73&gt;'депозитный калькулятор'!$D$8," ",IF(AND(OR('депозитный калькулятор'!$G$7="30/365",'депозитный калькулятор'!$G$7="30/360"),AND(MONTH(F73)=2,EOMONTH(F73,0)=F73)),IF(DAY(F73)=28,3*G73*'депозитный калькулятор'!$G$8,2*G73*'депозитный калькулятор'!$G$8),IF(AND(OR('депозитный калькулятор'!$G$7="30/365",'депозитный калькулятор'!$G$7="30/360"),DAY(F73)=31)," ",IF(AND('депозитный калькулятор'!$G$7="факт/факт",MOD(YEAR(F73),4)=0),G73*'депозитный калькулятор'!$D$11/366,G73*'депозитный калькулятор'!$G$8))))</f>
        <v xml:space="preserve"> </v>
      </c>
      <c r="I73" s="134" t="str">
        <f ca="1">IF(F73=" "," ",IF('депозитный калькулятор'!$G$10="ежедневное",H73,IF(AND('депозитный калькулятор'!$G$10="еженедельное",WEEKDAY(F73,2)=7),SUM(OFFSET(H73,-6,0):H73),IF(AND('депозитный калькулятор'!$G$10="еженедельное",F73='депозитный калькулятор'!$D$8),SUM($H$23:H73)-SUM($I$23:I72),IF(AND('депозитный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недели",WEEKDAY(F73,2)=7),MIN(OFFSET(H73,-6,0):H73)*(COUNTIF(OFFSET(H73,-6,0):H73,"&gt;0")+SUMIF(OFFSET(A73,-WEEKDAY(F73,2),0):A73,"=2",OFFSET(A73,-WEEKDAY(F73,2),0):A73)),IF(AND('депозитный калькулятор'!$G$10="еженедельное, на минимальную сумму зафиксированную в течение недели",F73='депозитный калькулятор'!$D$8,WEEKDAY(F73,2)&lt;&gt;7),MIN(OFFSET(H73,-WEEKDAY(F73,2),0):H73)*(COUNTIF(OFFSET(H73,-WEEKDAY(F73,2)+1,0):H73,"&gt;0")+SUM(OFFSET(A73,-WEEKDAY(F73,2),0):A73)),IF(AND('депозитный калькулятор'!$G$10="ежемесячное (в конце месяца)",F73='депозитный калькулятор'!$D$8,EOMONTH(F73,0)&lt;&gt;F73),IF('депозитный калькулятор'!$F$1=1,$H$24,SUM($H$23:H73)-SUM($I$23:I72)),IF(AND('депозитный калькулятор'!$G$10="ежемесячное (в конце месяца)",EOMONTH(F73,0)=F73),SUM($H$23:H73)-SUM($I$23:I72),IF(AND('депозитный калькулятор'!$G$10="ежемесячное (по дням открытия вклада)",F73='депозитный калькулятор'!$D$8,DAY('депозитный калькулятор'!$D$7)&lt;&gt;DAY(F73)),IF('депозитный калькулятор'!$F$1=1,$H$24,SUM($H$23:H73)-SUM($I$23:I72)),IF(AND('депозитный калькулятор'!$G$10="ежемесячное (по дням открытия вклада)",DAY('депозитный калькулятор'!$D$7)=DAY(F73)),SUM($H$23:H73)-SUM($I$23:I72),IF(AND('депозитный калькулятор'!$G$10="ежемесячное, на минимальную сумму зафиксированную в течение месяца",F73='депозитный калькулятор'!$D$8,EOMONTH(F73,0)&lt;&gt;F73),IF('депозитный калькулятор'!$F$1=1,$H$24,IF(AND(OR('депозитный калькулятор'!$G$7="30/365",'депозитный калькулятор'!$G$7="30/360"),DAY(F73)=31),0,MIN(OFFSET(H73,-E73+1,0):H73)*(E73+SUMIF(OFFSET(A73,-E73+1,0):A73,"=2",OFFSET(A73,-E73+1,0):A73)))),IF(AND('депозитный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калькулятор'!$G$7="30/360"),DAY(EOMONTH(F73,0))=31),EOMONTH(F73,0)-1=F73,EOMONTH(F73,0)=F73)),IF(IF(AND(OR('депозитный калькулятор'!$G$7="30/365",'депозитный калькулятор'!$G$7="30/360"),DAY(EOMONTH($F$23,0))=31),F73=EOMONTH($F$23,0)-1,F73=EOMONTH($F$23,0)),MIN(OFFSET(H73,-(DAY(F73)-DAY($F$23)),0):H73)*E73,MIN(OFFSET(H73,-(DAY(F73)-1),0):H73)*IF(AND(OR('депозитный калькулятор'!$G$7="30/365",'депозитный калькулятор'!$G$7="30/360"),DAY(F73)&lt;30),30,DAY(F73))),IF(AND('депозитный калькулятор'!$G$10="ежемесячное, на средний остаток в течение месяца, при условии что остаток больше чем ограничение",F73='депозитный калькулятор'!$D$8,EOMONTH(F73,0)&lt;&gt;F73),IF('депозитный калькулятор'!$F$1=1,$H$24,SUM(OFFSET(Q73,-E73+1,0):Q73)),IF(AND('депозитный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калькулятор'!$G$7="30/360"),DAY(EOMONTH(F73,0))=31),EOMONTH(F73,0)-1=F73,EOMONTH(F73,0)=F73)),IF(IF(AND(OR('депозитный калькулятор'!$G$7="30/365",'депозитный калькулятор'!$G$7="30/360"),DAY(EOMONTH($F$24,0))=31),F73=EOMONTH($F$24,0)-1,F73=EOMONTH($F$24,0)),SUM(OFFSET(Q73,-E73+1,0):Q73),SUM(OFFSET(Q73,-E73+1,0):Q73)),IF('депозитный калькулятор'!$G$10="ежеквартальное",IF(F73&gt;'депозитный калькулятор'!$D$8," ",IF(AND(EOMONTH(F73,0)=F73,OR(MONTH(F73)=3,MONTH(F73)=6,MONTH(F73)=9,MONTH(F73)=12)),IF(EDATE(F73,-3)&lt;'депозитный калькулятор'!$D$7,SUM($H$23:H73),IF(MOD(YEAR(F73),4)=0,IF(AND(EOMONTH(F73,0)=F73,OR(MONTH(F73)=3,MONTH(F73)=6)),SUM(OFFSET(H73,-90,0):H73),IF(AND(EOMONTH(F73,0)=F73,OR(MONTH(F73)=9,MONTH(F73)=12)),SUM(OFFSET(H73,-91,0):H73))),IF(AND(EOMONTH(F73,0)=F73,MONTH(F73)=3),SUM(OFFSET(H73,-89,0):H73),IF(AND(EOMONTH(F73,0)=F73,MONTH(F73)=6),SUM(OFFSET(H73,-90,0):H73),IF(AND(EOMONTH(F73,0)=F73,OR(MONTH(F73)=9,MONTH(F73)=12)),SUM(OFFSET(H73,-91,0):H73)))))),IF(F73='депозитный калькулятор'!$D$8,SUM($H$23:H73)-SUM($I$23:I72),0))),IF('депозитный калькулятор'!$G$10="ежегодное",IF(F73&gt;'депозитный калькулятор'!$D$8," ",IF(F73='депозитный калькулятор'!$D$8,SUM($H$23:H73)-SUM($I$23:I72),IF(AND(EOMONTH(F73,0)=F73,MONTH(F73)=12),IF(MOD(YEAR(F72),4)=0,IF(F73-'депозитный калькулятор'!$D$7&lt;366,SUM($H$23:H73),SUM(OFFSET(H73,-365,0):H73)),IF(F73-'депозитный калькулятор'!$D$7&lt;365,SUM($H$23:H73),SUM(OFFSET(H73,-364,0):H73))),0))),IF(AND('депозитный калькулятор'!$G$10="в конце срока",'депозитный калькулятор'!$D$8=F73),SUM($H$23:H73),0))))))))))))))))))</f>
        <v xml:space="preserve"> </v>
      </c>
      <c r="J73" s="59" t="str">
        <f>IF(F73&gt;'депозитный калькулятор'!$D$8," ",IF('депозитный калькулятор'!$G$16="нет",0,IF(AND('депозитный калькулятор'!$G$17="разовая (в конце срока)",F73='депозитный калькулятор'!$D$8),'депозитный калькулятор'!$G$18,IF(AND('депозитный калькулятор'!$G$17="ежемесячная",EOMONTH(F72,0)=F72),'депозитный калькулятор'!$G$18,IF(AND('депозитный калькулятор'!$G$17="ежегодная",DAY(F72)=31,MONTH(F72)=12),'депозитный калькулятор'!$G$18,IF(AND('депозитный калькулятор'!$G$17="ежемесячная в зависимости от остатка",EOMONTH(F72,0)=F72,P72&gt;0),'депозитный калькулятор'!$G$18,IF(AND('депозитный калькулятор'!$G$17="ежегодная в зависимости от остатка",DAY(F72)=31,MONTH(F72)=12,P72&gt;0),'депозитный калькулятор'!$G$18,0)))))))</f>
        <v xml:space="preserve"> </v>
      </c>
      <c r="K73" s="135" t="str">
        <f>IF($F73=" "," ",IFERROR(VLOOKUP($F73,'депозитный калькулятор'!$B$26:$F$70,2,0),0))</f>
        <v xml:space="preserve"> </v>
      </c>
      <c r="L73" s="135" t="str">
        <f>IF($F73=" "," ",IFERROR(VLOOKUP($F73,'депозитный калькулятор'!$B$26:$F$70,3,0),0))</f>
        <v xml:space="preserve"> </v>
      </c>
      <c r="M73" s="135" t="str">
        <f>IF($F73=" "," ",IFERROR(VLOOKUP($F73,'депозитный калькулятор'!$B$26:$F$70,4,0),0))</f>
        <v xml:space="preserve"> </v>
      </c>
      <c r="N73" s="135" t="str">
        <f>IF($F73=" "," ",IFERROR(VLOOKUP($F73,'депозитный калькулятор'!$B$26:$F$70,5,0),0))</f>
        <v xml:space="preserve"> </v>
      </c>
      <c r="O73" s="146" t="str">
        <f>IF(F73&gt;'депозитный калькулятор'!$D$8," ",IF(F73='депозитный калькулятор'!$D$8,IF(AND($F$24='депозитный калькулятор'!$D$8,'депозитный калькулятор'!$G$13="нет"),-G73-IF(I73=" ",0,I73)-IF(AND(OR('депозитный калькулятор'!$G$7="30/365",'депозитный калькулятор'!$G$7="30/360"),'депозитный калькулятор'!$G$10="в начале срока"),I72,0)-L73+M73-N73,-G73-IF(I73=" ",0,I73)-L73+M73-N73),IF('депозитный калькулятор'!$G$13="есть",M73-N73+IF('депозитный калькулятор'!$G$14="есть",0,-L73),-IF(I73=" ",0,I73)-IF(AND(OR('депозитный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срока"),I72,0)+M73-N73+IF('депозитный калькулятор'!$G$14="есть",0,-L73))))</f>
        <v xml:space="preserve"> </v>
      </c>
      <c r="P73" s="147" t="str">
        <f>IF(F73&gt;'депозитный калькулятор'!$D$8," ",IF(EOMONTH(F72,0)=F72,0,IF(G73&gt;='депозитный калькулятор'!$G$19,P72,P72+1)))</f>
        <v xml:space="preserve"> </v>
      </c>
      <c r="Q73" s="138" t="str">
        <f>IF(F73=" "," ",IF(AND(OR('депозитный калькулятор'!$G$7="30/365",'депозитный калькулятор'!$G$7="30/360"),AND(MONTH(F73)=2,EOMONTH(F73,0)=F73)),IF(DAY(F73)=28,3,2),1)*IF(G73&gt;='депозитный калькулятор'!$G$11,IF(AND('депозитный калькулятор'!$G$7="факт/факт",MOD(YEAR(F73),4)=0),G73*'депозитный калькулятор'!$D$11/366,G73*'депозитный калькулятор'!$G$8),0))</f>
        <v xml:space="preserve"> </v>
      </c>
      <c r="R73" s="148"/>
      <c r="S73" s="62" t="str">
        <f t="shared" ca="1" si="2"/>
        <v xml:space="preserve"> </v>
      </c>
      <c r="T73" s="149" t="str">
        <f ca="1">IF(S73=" "," ",IF('депозитный калькулятор'!$G$7="30/360",DAYS360(U72,IF(DAY(U73)=31,U73-1,U73))+IF(AND(MONTH(U73)=2,U73=EOMONTH(U73,0)),30-DAY(EOMONTH(U73,0)))+T72,VLOOKUP(S73,$C$22:$F$1023,2,0)))</f>
        <v xml:space="preserve"> </v>
      </c>
      <c r="U73" s="64" t="str">
        <f t="shared" ca="1" si="0"/>
        <v xml:space="preserve"> </v>
      </c>
      <c r="V73" s="150" t="str">
        <f t="shared" ca="1" si="3"/>
        <v xml:space="preserve"> </v>
      </c>
      <c r="W73" s="62" t="str">
        <f t="shared" ca="1" si="4"/>
        <v xml:space="preserve"> </v>
      </c>
      <c r="X73" s="141" t="str">
        <f ca="1">IF(S73=" "," ",IFERROR(VLOOKUP(U73,$F$23:$N$1023,7)+VLOOKUP(U73,$F$23:$N$1023,9)+IF(AND('депозитный калькулятор'!$G$13="нет",U73&lt;&gt;'депозитный калькулятор'!$D$8),VLOOKUP(U73,$F$23:$N$1023,4),0),0)+IF(U73='депозитный калькулятор'!$D$8,VLOOKUP(U73,$F$23:$N$1023,2)+VLOOKUP(U73,$F$23:$N$1023,4),0))</f>
        <v xml:space="preserve"> </v>
      </c>
      <c r="Y73" s="142" t="str">
        <f ca="1">IF(S73=" "," ",W73/(1+'депозитный калькулятор'!$K$8)^(T73/IF('депозитный калькулятор'!$G$7="30/360",360,365)))</f>
        <v xml:space="preserve"> </v>
      </c>
      <c r="Z73" s="142" t="str">
        <f ca="1">IF(S73=" "," ",X73/(1+'депозитный калькулятор'!$K$8)^(T73/IF('депозитный калькулятор'!$G$7="30/360",360,365)))</f>
        <v xml:space="preserve"> </v>
      </c>
      <c r="AA73" s="151"/>
      <c r="AB73" s="151"/>
      <c r="AC73" s="155"/>
      <c r="AD73" s="155"/>
    </row>
    <row r="74" spans="1:30" s="2" customFormat="1" ht="15.5" x14ac:dyDescent="0.35">
      <c r="A74" s="41" t="str">
        <f>IF(F74=" "," ",IF(OR('депозитный калькулятор'!$G$7="30/365",'депозитный калькулятор'!$G$7="30/360"),IF(AND(MONTH(F74)=2,DAY(F74)=DAY(EOMONTH(F74,0))),30-DAY(EOMONTH(F74,0)),IF(DAY(F74)=31,1," "))," "))</f>
        <v xml:space="preserve"> </v>
      </c>
      <c r="B74" s="130" t="str">
        <f t="shared" si="1"/>
        <v xml:space="preserve"> </v>
      </c>
      <c r="C74" s="130" t="str">
        <f>IF(OR(B74=0,B74=" ")," ",SUM($B$23:B74))</f>
        <v xml:space="preserve"> </v>
      </c>
      <c r="D74" s="62" t="str">
        <f>IF(D73=" "," ",IF(OR(F73='депозитный калькулятор'!$D$8,F73=" ")," ",D73+1))</f>
        <v xml:space="preserve"> </v>
      </c>
      <c r="E74" s="130" t="str">
        <f>IF(OR(F73='депозитный калькулятор'!$D$8,F73=" ")," ",IF(EOMONTH(F73,0)=F73,1,E73+1))</f>
        <v xml:space="preserve"> </v>
      </c>
      <c r="F74" s="64" t="str">
        <f>IF(F73=" "," ",IF(F73='депозитный калькулятор'!$D$8," ",F73+1))</f>
        <v xml:space="preserve"> </v>
      </c>
      <c r="G74" s="145" t="str">
        <f xml:space="preserve"> IF(F74&gt;'депозитный калькулятор'!$D$8," ",IF('депозитный калькулятор'!$G$13="есть",IF('депозитный калькулятор'!$G$14="есть",G73+IF(I73=" ",0,I73)-J74-K74+L74+M74-N74,G73+IF(I73=" ",0,I73)-J74-K74+M74-N74),IF('депозитный калькулятор'!$G$14="есть",G73-J74-K74+L74+M74-N74,G73-J74-K74+M74-N74)))</f>
        <v xml:space="preserve"> </v>
      </c>
      <c r="H74" s="133" t="str">
        <f>IF(F74&gt;'депозитный калькулятор'!$D$8," ",IF(AND(OR('депозитный калькулятор'!$G$7="30/365",'депозитный калькулятор'!$G$7="30/360"),AND(MONTH(F74)=2,EOMONTH(F74,0)=F74)),IF(DAY(F74)=28,3*G74*'депозитный калькулятор'!$G$8,2*G74*'депозитный калькулятор'!$G$8),IF(AND(OR('депозитный калькулятор'!$G$7="30/365",'депозитный калькулятор'!$G$7="30/360"),DAY(F74)=31)," ",IF(AND('депозитный калькулятор'!$G$7="факт/факт",MOD(YEAR(F74),4)=0),G74*'депозитный калькулятор'!$D$11/366,G74*'депозитный калькулятор'!$G$8))))</f>
        <v xml:space="preserve"> </v>
      </c>
      <c r="I74" s="134" t="str">
        <f ca="1">IF(F74=" "," ",IF('депозитный калькулятор'!$G$10="ежедневное",H74,IF(AND('депозитный калькулятор'!$G$10="еженедельное",WEEKDAY(F74,2)=7),SUM(OFFSET(H74,-6,0):H74),IF(AND('депозитный калькулятор'!$G$10="еженедельное",F74='депозитный калькулятор'!$D$8),SUM($H$23:H74)-SUM($I$23:I73),IF(AND('депозитный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недели",WEEKDAY(F74,2)=7),MIN(OFFSET(H74,-6,0):H74)*(COUNTIF(OFFSET(H74,-6,0):H74,"&gt;0")+SUMIF(OFFSET(A74,-WEEKDAY(F74,2),0):A74,"=2",OFFSET(A74,-WEEKDAY(F74,2),0):A74)),IF(AND('депозитный калькулятор'!$G$10="еженедельное, на минимальную сумму зафиксированную в течение недели",F74='депозитный калькулятор'!$D$8,WEEKDAY(F74,2)&lt;&gt;7),MIN(OFFSET(H74,-WEEKDAY(F74,2),0):H74)*(COUNTIF(OFFSET(H74,-WEEKDAY(F74,2)+1,0):H74,"&gt;0")+SUM(OFFSET(A74,-WEEKDAY(F74,2),0):A74)),IF(AND('депозитный калькулятор'!$G$10="ежемесячное (в конце месяца)",F74='депозитный калькулятор'!$D$8,EOMONTH(F74,0)&lt;&gt;F74),IF('депозитный калькулятор'!$F$1=1,$H$24,SUM($H$23:H74)-SUM($I$23:I73)),IF(AND('депозитный калькулятор'!$G$10="ежемесячное (в конце месяца)",EOMONTH(F74,0)=F74),SUM($H$23:H74)-SUM($I$23:I73),IF(AND('депозитный калькулятор'!$G$10="ежемесячное (по дням открытия вклада)",F74='депозитный калькулятор'!$D$8,DAY('депозитный калькулятор'!$D$7)&lt;&gt;DAY(F74)),IF('депозитный калькулятор'!$F$1=1,$H$24,SUM($H$23:H74)-SUM($I$23:I73)),IF(AND('депозитный калькулятор'!$G$10="ежемесячное (по дням открытия вклада)",DAY('депозитный калькулятор'!$D$7)=DAY(F74)),SUM($H$23:H74)-SUM($I$23:I73),IF(AND('депозитный калькулятор'!$G$10="ежемесячное, на минимальную сумму зафиксированную в течение месяца",F74='депозитный калькулятор'!$D$8,EOMONTH(F74,0)&lt;&gt;F74),IF('депозитный калькулятор'!$F$1=1,$H$24,IF(AND(OR('депозитный калькулятор'!$G$7="30/365",'депозитный калькулятор'!$G$7="30/360"),DAY(F74)=31),0,MIN(OFFSET(H74,-E74+1,0):H74)*(E74+SUMIF(OFFSET(A74,-E74+1,0):A74,"=2",OFFSET(A74,-E74+1,0):A74)))),IF(AND('депозитный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калькулятор'!$G$7="30/360"),DAY(EOMONTH(F74,0))=31),EOMONTH(F74,0)-1=F74,EOMONTH(F74,0)=F74)),IF(IF(AND(OR('депозитный калькулятор'!$G$7="30/365",'депозитный калькулятор'!$G$7="30/360"),DAY(EOMONTH($F$23,0))=31),F74=EOMONTH($F$23,0)-1,F74=EOMONTH($F$23,0)),MIN(OFFSET(H74,-(DAY(F74)-DAY($F$23)),0):H74)*E74,MIN(OFFSET(H74,-(DAY(F74)-1),0):H74)*IF(AND(OR('депозитный калькулятор'!$G$7="30/365",'депозитный калькулятор'!$G$7="30/360"),DAY(F74)&lt;30),30,DAY(F74))),IF(AND('депозитный калькулятор'!$G$10="ежемесячное, на средний остаток в течение месяца, при условии что остаток больше чем ограничение",F74='депозитный калькулятор'!$D$8,EOMONTH(F74,0)&lt;&gt;F74),IF('депозитный калькулятор'!$F$1=1,$H$24,SUM(OFFSET(Q74,-E74+1,0):Q74)),IF(AND('депозитный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калькулятор'!$G$7="30/360"),DAY(EOMONTH(F74,0))=31),EOMONTH(F74,0)-1=F74,EOMONTH(F74,0)=F74)),IF(IF(AND(OR('депозитный калькулятор'!$G$7="30/365",'депозитный калькулятор'!$G$7="30/360"),DAY(EOMONTH($F$24,0))=31),F74=EOMONTH($F$24,0)-1,F74=EOMONTH($F$24,0)),SUM(OFFSET(Q74,-E74+1,0):Q74),SUM(OFFSET(Q74,-E74+1,0):Q74)),IF('депозитный калькулятор'!$G$10="ежеквартальное",IF(F74&gt;'депозитный калькулятор'!$D$8," ",IF(AND(EOMONTH(F74,0)=F74,OR(MONTH(F74)=3,MONTH(F74)=6,MONTH(F74)=9,MONTH(F74)=12)),IF(EDATE(F74,-3)&lt;'депозитный калькулятор'!$D$7,SUM($H$23:H74),IF(MOD(YEAR(F74),4)=0,IF(AND(EOMONTH(F74,0)=F74,OR(MONTH(F74)=3,MONTH(F74)=6)),SUM(OFFSET(H74,-90,0):H74),IF(AND(EOMONTH(F74,0)=F74,OR(MONTH(F74)=9,MONTH(F74)=12)),SUM(OFFSET(H74,-91,0):H74))),IF(AND(EOMONTH(F74,0)=F74,MONTH(F74)=3),SUM(OFFSET(H74,-89,0):H74),IF(AND(EOMONTH(F74,0)=F74,MONTH(F74)=6),SUM(OFFSET(H74,-90,0):H74),IF(AND(EOMONTH(F74,0)=F74,OR(MONTH(F74)=9,MONTH(F74)=12)),SUM(OFFSET(H74,-91,0):H74)))))),IF(F74='депозитный калькулятор'!$D$8,SUM($H$23:H74)-SUM($I$23:I73),0))),IF('депозитный калькулятор'!$G$10="ежегодное",IF(F74&gt;'депозитный калькулятор'!$D$8," ",IF(F74='депозитный калькулятор'!$D$8,SUM($H$23:H74)-SUM($I$23:I73),IF(AND(EOMONTH(F74,0)=F74,MONTH(F74)=12),IF(MOD(YEAR(F73),4)=0,IF(F74-'депозитный калькулятор'!$D$7&lt;366,SUM($H$23:H74),SUM(OFFSET(H74,-365,0):H74)),IF(F74-'депозитный калькулятор'!$D$7&lt;365,SUM($H$23:H74),SUM(OFFSET(H74,-364,0):H74))),0))),IF(AND('депозитный калькулятор'!$G$10="в конце срока",'депозитный калькулятор'!$D$8=F74),SUM($H$23:H74),0))))))))))))))))))</f>
        <v xml:space="preserve"> </v>
      </c>
      <c r="J74" s="59" t="str">
        <f>IF(F74&gt;'депозитный калькулятор'!$D$8," ",IF('депозитный калькулятор'!$G$16="нет",0,IF(AND('депозитный калькулятор'!$G$17="разовая (в конце срока)",F74='депозитный калькулятор'!$D$8),'депозитный калькулятор'!$G$18,IF(AND('депозитный калькулятор'!$G$17="ежемесячная",EOMONTH(F73,0)=F73),'депозитный калькулятор'!$G$18,IF(AND('депозитный калькулятор'!$G$17="ежегодная",DAY(F73)=31,MONTH(F73)=12),'депозитный калькулятор'!$G$18,IF(AND('депозитный калькулятор'!$G$17="ежемесячная в зависимости от остатка",EOMONTH(F73,0)=F73,P73&gt;0),'депозитный калькулятор'!$G$18,IF(AND('депозитный калькулятор'!$G$17="ежегодная в зависимости от остатка",DAY(F73)=31,MONTH(F73)=12,P73&gt;0),'депозитный калькулятор'!$G$18,0)))))))</f>
        <v xml:space="preserve"> </v>
      </c>
      <c r="K74" s="135" t="str">
        <f>IF($F74=" "," ",IFERROR(VLOOKUP($F74,'депозитный калькулятор'!$B$26:$F$70,2,0),0))</f>
        <v xml:space="preserve"> </v>
      </c>
      <c r="L74" s="135" t="str">
        <f>IF($F74=" "," ",IFERROR(VLOOKUP($F74,'депозитный калькулятор'!$B$26:$F$70,3,0),0))</f>
        <v xml:space="preserve"> </v>
      </c>
      <c r="M74" s="135" t="str">
        <f>IF($F74=" "," ",IFERROR(VLOOKUP($F74,'депозитный калькулятор'!$B$26:$F$70,4,0),0))</f>
        <v xml:space="preserve"> </v>
      </c>
      <c r="N74" s="135" t="str">
        <f>IF($F74=" "," ",IFERROR(VLOOKUP($F74,'депозитный калькулятор'!$B$26:$F$70,5,0),0))</f>
        <v xml:space="preserve"> </v>
      </c>
      <c r="O74" s="146" t="str">
        <f>IF(F74&gt;'депозитный калькулятор'!$D$8," ",IF(F74='депозитный калькулятор'!$D$8,IF(AND($F$24='депозитный калькулятор'!$D$8,'депозитный калькулятор'!$G$13="нет"),-G74-IF(I74=" ",0,I74)-IF(AND(OR('депозитный калькулятор'!$G$7="30/365",'депозитный калькулятор'!$G$7="30/360"),'депозитный калькулятор'!$G$10="в начале срока"),I73,0)-L74+M74-N74,-G74-IF(I74=" ",0,I74)-L74+M74-N74),IF('депозитный калькулятор'!$G$13="есть",M74-N74+IF('депозитный калькулятор'!$G$14="есть",0,-L74),-IF(I74=" ",0,I74)-IF(AND(OR('депозитный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срока"),I73,0)+M74-N74+IF('депозитный калькулятор'!$G$14="есть",0,-L74))))</f>
        <v xml:space="preserve"> </v>
      </c>
      <c r="P74" s="147" t="str">
        <f>IF(F74&gt;'депозитный калькулятор'!$D$8," ",IF(EOMONTH(F73,0)=F73,0,IF(G74&gt;='депозитный калькулятор'!$G$19,P73,P73+1)))</f>
        <v xml:space="preserve"> </v>
      </c>
      <c r="Q74" s="138" t="str">
        <f>IF(F74=" "," ",IF(AND(OR('депозитный калькулятор'!$G$7="30/365",'депозитный калькулятор'!$G$7="30/360"),AND(MONTH(F74)=2,EOMONTH(F74,0)=F74)),IF(DAY(F74)=28,3,2),1)*IF(G74&gt;='депозитный калькулятор'!$G$11,IF(AND('депозитный калькулятор'!$G$7="факт/факт",MOD(YEAR(F74),4)=0),G74*'депозитный калькулятор'!$D$11/366,G74*'депозитный калькулятор'!$G$8),0))</f>
        <v xml:space="preserve"> </v>
      </c>
      <c r="R74" s="148"/>
      <c r="S74" s="62" t="str">
        <f t="shared" ca="1" si="2"/>
        <v xml:space="preserve"> </v>
      </c>
      <c r="T74" s="149" t="str">
        <f ca="1">IF(S74=" "," ",IF('депозитный калькулятор'!$G$7="30/360",DAYS360(U73,IF(DAY(U74)=31,U74-1,U74))+IF(AND(MONTH(U74)=2,U74=EOMONTH(U74,0)),30-DAY(EOMONTH(U74,0)))+T73,VLOOKUP(S74,$C$22:$F$1023,2,0)))</f>
        <v xml:space="preserve"> </v>
      </c>
      <c r="U74" s="64" t="str">
        <f t="shared" ca="1" si="0"/>
        <v xml:space="preserve"> </v>
      </c>
      <c r="V74" s="150" t="str">
        <f t="shared" ca="1" si="3"/>
        <v xml:space="preserve"> </v>
      </c>
      <c r="W74" s="62" t="str">
        <f t="shared" ca="1" si="4"/>
        <v xml:space="preserve"> </v>
      </c>
      <c r="X74" s="141" t="str">
        <f ca="1">IF(S74=" "," ",IFERROR(VLOOKUP(U74,$F$23:$N$1023,7)+VLOOKUP(U74,$F$23:$N$1023,9)+IF(AND('депозитный калькулятор'!$G$13="нет",U74&lt;&gt;'депозитный калькулятор'!$D$8),VLOOKUP(U74,$F$23:$N$1023,4),0),0)+IF(U74='депозитный калькулятор'!$D$8,VLOOKUP(U74,$F$23:$N$1023,2)+VLOOKUP(U74,$F$23:$N$1023,4),0))</f>
        <v xml:space="preserve"> </v>
      </c>
      <c r="Y74" s="142" t="str">
        <f ca="1">IF(S74=" "," ",W74/(1+'депозитный калькулятор'!$K$8)^(T74/IF('депозитный калькулятор'!$G$7="30/360",360,365)))</f>
        <v xml:space="preserve"> </v>
      </c>
      <c r="Z74" s="142" t="str">
        <f ca="1">IF(S74=" "," ",X74/(1+'депозитный калькулятор'!$K$8)^(T74/IF('депозитный калькулятор'!$G$7="30/360",360,365)))</f>
        <v xml:space="preserve"> </v>
      </c>
      <c r="AA74" s="151"/>
      <c r="AB74" s="151"/>
      <c r="AC74" s="155"/>
      <c r="AD74" s="155"/>
    </row>
    <row r="75" spans="1:30" s="2" customFormat="1" ht="15.5" x14ac:dyDescent="0.35">
      <c r="A75" s="41" t="str">
        <f>IF(F75=" "," ",IF(OR('депозитный калькулятор'!$G$7="30/365",'депозитный калькулятор'!$G$7="30/360"),IF(AND(MONTH(F75)=2,DAY(F75)=DAY(EOMONTH(F75,0))),30-DAY(EOMONTH(F75,0)),IF(DAY(F75)=31,1," "))," "))</f>
        <v xml:space="preserve"> </v>
      </c>
      <c r="B75" s="130" t="str">
        <f t="shared" si="1"/>
        <v xml:space="preserve"> </v>
      </c>
      <c r="C75" s="130" t="str">
        <f>IF(OR(B75=0,B75=" ")," ",SUM($B$23:B75))</f>
        <v xml:space="preserve"> </v>
      </c>
      <c r="D75" s="62" t="str">
        <f>IF(D74=" "," ",IF(OR(F74='депозитный калькулятор'!$D$8,F74=" ")," ",D74+1))</f>
        <v xml:space="preserve"> </v>
      </c>
      <c r="E75" s="130" t="str">
        <f>IF(OR(F74='депозитный калькулятор'!$D$8,F74=" ")," ",IF(EOMONTH(F74,0)=F74,1,E74+1))</f>
        <v xml:space="preserve"> </v>
      </c>
      <c r="F75" s="64" t="str">
        <f>IF(F74=" "," ",IF(F74='депозитный калькулятор'!$D$8," ",F74+1))</f>
        <v xml:space="preserve"> </v>
      </c>
      <c r="G75" s="145" t="str">
        <f xml:space="preserve"> IF(F75&gt;'депозитный калькулятор'!$D$8," ",IF('депозитный калькулятор'!$G$13="есть",IF('депозитный калькулятор'!$G$14="есть",G74+IF(I74=" ",0,I74)-J75-K75+L75+M75-N75,G74+IF(I74=" ",0,I74)-J75-K75+M75-N75),IF('депозитный калькулятор'!$G$14="есть",G74-J75-K75+L75+M75-N75,G74-J75-K75+M75-N75)))</f>
        <v xml:space="preserve"> </v>
      </c>
      <c r="H75" s="133" t="str">
        <f>IF(F75&gt;'депозитный калькулятор'!$D$8," ",IF(AND(OR('депозитный калькулятор'!$G$7="30/365",'депозитный калькулятор'!$G$7="30/360"),AND(MONTH(F75)=2,EOMONTH(F75,0)=F75)),IF(DAY(F75)=28,3*G75*'депозитный калькулятор'!$G$8,2*G75*'депозитный калькулятор'!$G$8),IF(AND(OR('депозитный калькулятор'!$G$7="30/365",'депозитный калькулятор'!$G$7="30/360"),DAY(F75)=31)," ",IF(AND('депозитный калькулятор'!$G$7="факт/факт",MOD(YEAR(F75),4)=0),G75*'депозитный калькулятор'!$D$11/366,G75*'депозитный калькулятор'!$G$8))))</f>
        <v xml:space="preserve"> </v>
      </c>
      <c r="I75" s="134" t="str">
        <f ca="1">IF(F75=" "," ",IF('депозитный калькулятор'!$G$10="ежедневное",H75,IF(AND('депозитный калькулятор'!$G$10="еженедельное",WEEKDAY(F75,2)=7),SUM(OFFSET(H75,-6,0):H75),IF(AND('депозитный калькулятор'!$G$10="еженедельное",F75='депозитный калькулятор'!$D$8),SUM($H$23:H75)-SUM($I$23:I74),IF(AND('депозитный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недели",WEEKDAY(F75,2)=7),MIN(OFFSET(H75,-6,0):H75)*(COUNTIF(OFFSET(H75,-6,0):H75,"&gt;0")+SUMIF(OFFSET(A75,-WEEKDAY(F75,2),0):A75,"=2",OFFSET(A75,-WEEKDAY(F75,2),0):A75)),IF(AND('депозитный калькулятор'!$G$10="еженедельное, на минимальную сумму зафиксированную в течение недели",F75='депозитный калькулятор'!$D$8,WEEKDAY(F75,2)&lt;&gt;7),MIN(OFFSET(H75,-WEEKDAY(F75,2),0):H75)*(COUNTIF(OFFSET(H75,-WEEKDAY(F75,2)+1,0):H75,"&gt;0")+SUM(OFFSET(A75,-WEEKDAY(F75,2),0):A75)),IF(AND('депозитный калькулятор'!$G$10="ежемесячное (в конце месяца)",F75='депозитный калькулятор'!$D$8,EOMONTH(F75,0)&lt;&gt;F75),IF('депозитный калькулятор'!$F$1=1,$H$24,SUM($H$23:H75)-SUM($I$23:I74)),IF(AND('депозитный калькулятор'!$G$10="ежемесячное (в конце месяца)",EOMONTH(F75,0)=F75),SUM($H$23:H75)-SUM($I$23:I74),IF(AND('депозитный калькулятор'!$G$10="ежемесячное (по дням открытия вклада)",F75='депозитный калькулятор'!$D$8,DAY('депозитный калькулятор'!$D$7)&lt;&gt;DAY(F75)),IF('депозитный калькулятор'!$F$1=1,$H$24,SUM($H$23:H75)-SUM($I$23:I74)),IF(AND('депозитный калькулятор'!$G$10="ежемесячное (по дням открытия вклада)",DAY('депозитный калькулятор'!$D$7)=DAY(F75)),SUM($H$23:H75)-SUM($I$23:I74),IF(AND('депозитный калькулятор'!$G$10="ежемесячное, на минимальную сумму зафиксированную в течение месяца",F75='депозитный калькулятор'!$D$8,EOMONTH(F75,0)&lt;&gt;F75),IF('депозитный калькулятор'!$F$1=1,$H$24,IF(AND(OR('депозитный калькулятор'!$G$7="30/365",'депозитный калькулятор'!$G$7="30/360"),DAY(F75)=31),0,MIN(OFFSET(H75,-E75+1,0):H75)*(E75+SUMIF(OFFSET(A75,-E75+1,0):A75,"=2",OFFSET(A75,-E75+1,0):A75)))),IF(AND('депозитный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калькулятор'!$G$7="30/360"),DAY(EOMONTH(F75,0))=31),EOMONTH(F75,0)-1=F75,EOMONTH(F75,0)=F75)),IF(IF(AND(OR('депозитный калькулятор'!$G$7="30/365",'депозитный калькулятор'!$G$7="30/360"),DAY(EOMONTH($F$23,0))=31),F75=EOMONTH($F$23,0)-1,F75=EOMONTH($F$23,0)),MIN(OFFSET(H75,-(DAY(F75)-DAY($F$23)),0):H75)*E75,MIN(OFFSET(H75,-(DAY(F75)-1),0):H75)*IF(AND(OR('депозитный калькулятор'!$G$7="30/365",'депозитный калькулятор'!$G$7="30/360"),DAY(F75)&lt;30),30,DAY(F75))),IF(AND('депозитный калькулятор'!$G$10="ежемесячное, на средний остаток в течение месяца, при условии что остаток больше чем ограничение",F75='депозитный калькулятор'!$D$8,EOMONTH(F75,0)&lt;&gt;F75),IF('депозитный калькулятор'!$F$1=1,$H$24,SUM(OFFSET(Q75,-E75+1,0):Q75)),IF(AND('депозитный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калькулятор'!$G$7="30/360"),DAY(EOMONTH(F75,0))=31),EOMONTH(F75,0)-1=F75,EOMONTH(F75,0)=F75)),IF(IF(AND(OR('депозитный калькулятор'!$G$7="30/365",'депозитный калькулятор'!$G$7="30/360"),DAY(EOMONTH($F$24,0))=31),F75=EOMONTH($F$24,0)-1,F75=EOMONTH($F$24,0)),SUM(OFFSET(Q75,-E75+1,0):Q75),SUM(OFFSET(Q75,-E75+1,0):Q75)),IF('депозитный калькулятор'!$G$10="ежеквартальное",IF(F75&gt;'депозитный калькулятор'!$D$8," ",IF(AND(EOMONTH(F75,0)=F75,OR(MONTH(F75)=3,MONTH(F75)=6,MONTH(F75)=9,MONTH(F75)=12)),IF(EDATE(F75,-3)&lt;'депозитный калькулятор'!$D$7,SUM($H$23:H75),IF(MOD(YEAR(F75),4)=0,IF(AND(EOMONTH(F75,0)=F75,OR(MONTH(F75)=3,MONTH(F75)=6)),SUM(OFFSET(H75,-90,0):H75),IF(AND(EOMONTH(F75,0)=F75,OR(MONTH(F75)=9,MONTH(F75)=12)),SUM(OFFSET(H75,-91,0):H75))),IF(AND(EOMONTH(F75,0)=F75,MONTH(F75)=3),SUM(OFFSET(H75,-89,0):H75),IF(AND(EOMONTH(F75,0)=F75,MONTH(F75)=6),SUM(OFFSET(H75,-90,0):H75),IF(AND(EOMONTH(F75,0)=F75,OR(MONTH(F75)=9,MONTH(F75)=12)),SUM(OFFSET(H75,-91,0):H75)))))),IF(F75='депозитный калькулятор'!$D$8,SUM($H$23:H75)-SUM($I$23:I74),0))),IF('депозитный калькулятор'!$G$10="ежегодное",IF(F75&gt;'депозитный калькулятор'!$D$8," ",IF(F75='депозитный калькулятор'!$D$8,SUM($H$23:H75)-SUM($I$23:I74),IF(AND(EOMONTH(F75,0)=F75,MONTH(F75)=12),IF(MOD(YEAR(F74),4)=0,IF(F75-'депозитный калькулятор'!$D$7&lt;366,SUM($H$23:H75),SUM(OFFSET(H75,-365,0):H75)),IF(F75-'депозитный калькулятор'!$D$7&lt;365,SUM($H$23:H75),SUM(OFFSET(H75,-364,0):H75))),0))),IF(AND('депозитный калькулятор'!$G$10="в конце срока",'депозитный калькулятор'!$D$8=F75),SUM($H$23:H75),0))))))))))))))))))</f>
        <v xml:space="preserve"> </v>
      </c>
      <c r="J75" s="59" t="str">
        <f>IF(F75&gt;'депозитный калькулятор'!$D$8," ",IF('депозитный калькулятор'!$G$16="нет",0,IF(AND('депозитный калькулятор'!$G$17="разовая (в конце срока)",F75='депозитный калькулятор'!$D$8),'депозитный калькулятор'!$G$18,IF(AND('депозитный калькулятор'!$G$17="ежемесячная",EOMONTH(F74,0)=F74),'депозитный калькулятор'!$G$18,IF(AND('депозитный калькулятор'!$G$17="ежегодная",DAY(F74)=31,MONTH(F74)=12),'депозитный калькулятор'!$G$18,IF(AND('депозитный калькулятор'!$G$17="ежемесячная в зависимости от остатка",EOMONTH(F74,0)=F74,P74&gt;0),'депозитный калькулятор'!$G$18,IF(AND('депозитный калькулятор'!$G$17="ежегодная в зависимости от остатка",DAY(F74)=31,MONTH(F74)=12,P74&gt;0),'депозитный калькулятор'!$G$18,0)))))))</f>
        <v xml:space="preserve"> </v>
      </c>
      <c r="K75" s="135" t="str">
        <f>IF($F75=" "," ",IFERROR(VLOOKUP($F75,'депозитный калькулятор'!$B$26:$F$70,2,0),0))</f>
        <v xml:space="preserve"> </v>
      </c>
      <c r="L75" s="135" t="str">
        <f>IF($F75=" "," ",IFERROR(VLOOKUP($F75,'депозитный калькулятор'!$B$26:$F$70,3,0),0))</f>
        <v xml:space="preserve"> </v>
      </c>
      <c r="M75" s="135" t="str">
        <f>IF($F75=" "," ",IFERROR(VLOOKUP($F75,'депозитный калькулятор'!$B$26:$F$70,4,0),0))</f>
        <v xml:space="preserve"> </v>
      </c>
      <c r="N75" s="135" t="str">
        <f>IF($F75=" "," ",IFERROR(VLOOKUP($F75,'депозитный калькулятор'!$B$26:$F$70,5,0),0))</f>
        <v xml:space="preserve"> </v>
      </c>
      <c r="O75" s="146" t="str">
        <f>IF(F75&gt;'депозитный калькулятор'!$D$8," ",IF(F75='депозитный калькулятор'!$D$8,IF(AND($F$24='депозитный калькулятор'!$D$8,'депозитный калькулятор'!$G$13="нет"),-G75-IF(I75=" ",0,I75)-IF(AND(OR('депозитный калькулятор'!$G$7="30/365",'депозитный калькулятор'!$G$7="30/360"),'депозитный калькулятор'!$G$10="в начале срока"),I74,0)-L75+M75-N75,-G75-IF(I75=" ",0,I75)-L75+M75-N75),IF('депозитный калькулятор'!$G$13="есть",M75-N75+IF('депозитный калькулятор'!$G$14="есть",0,-L75),-IF(I75=" ",0,I75)-IF(AND(OR('депозитный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срока"),I74,0)+M75-N75+IF('депозитный калькулятор'!$G$14="есть",0,-L75))))</f>
        <v xml:space="preserve"> </v>
      </c>
      <c r="P75" s="147" t="str">
        <f>IF(F75&gt;'депозитный калькулятор'!$D$8," ",IF(EOMONTH(F74,0)=F74,0,IF(G75&gt;='депозитный калькулятор'!$G$19,P74,P74+1)))</f>
        <v xml:space="preserve"> </v>
      </c>
      <c r="Q75" s="138" t="str">
        <f>IF(F75=" "," ",IF(AND(OR('депозитный калькулятор'!$G$7="30/365",'депозитный калькулятор'!$G$7="30/360"),AND(MONTH(F75)=2,EOMONTH(F75,0)=F75)),IF(DAY(F75)=28,3,2),1)*IF(G75&gt;='депозитный калькулятор'!$G$11,IF(AND('депозитный калькулятор'!$G$7="факт/факт",MOD(YEAR(F75),4)=0),G75*'депозитный калькулятор'!$D$11/366,G75*'депозитный калькулятор'!$G$8),0))</f>
        <v xml:space="preserve"> </v>
      </c>
      <c r="R75" s="148"/>
      <c r="S75" s="62" t="str">
        <f t="shared" ca="1" si="2"/>
        <v xml:space="preserve"> </v>
      </c>
      <c r="T75" s="149" t="str">
        <f ca="1">IF(S75=" "," ",IF('депозитный калькулятор'!$G$7="30/360",DAYS360(U74,IF(DAY(U75)=31,U75-1,U75))+IF(AND(MONTH(U75)=2,U75=EOMONTH(U75,0)),30-DAY(EOMONTH(U75,0)))+T74,VLOOKUP(S75,$C$22:$F$1023,2,0)))</f>
        <v xml:space="preserve"> </v>
      </c>
      <c r="U75" s="64" t="str">
        <f t="shared" ca="1" si="0"/>
        <v xml:space="preserve"> </v>
      </c>
      <c r="V75" s="150" t="str">
        <f t="shared" ca="1" si="3"/>
        <v xml:space="preserve"> </v>
      </c>
      <c r="W75" s="62" t="str">
        <f t="shared" ca="1" si="4"/>
        <v xml:space="preserve"> </v>
      </c>
      <c r="X75" s="141" t="str">
        <f ca="1">IF(S75=" "," ",IFERROR(VLOOKUP(U75,$F$23:$N$1023,7)+VLOOKUP(U75,$F$23:$N$1023,9)+IF(AND('депозитный калькулятор'!$G$13="нет",U75&lt;&gt;'депозитный калькулятор'!$D$8),VLOOKUP(U75,$F$23:$N$1023,4),0),0)+IF(U75='депозитный калькулятор'!$D$8,VLOOKUP(U75,$F$23:$N$1023,2)+VLOOKUP(U75,$F$23:$N$1023,4),0))</f>
        <v xml:space="preserve"> </v>
      </c>
      <c r="Y75" s="142" t="str">
        <f ca="1">IF(S75=" "," ",W75/(1+'депозитный калькулятор'!$K$8)^(T75/IF('депозитный калькулятор'!$G$7="30/360",360,365)))</f>
        <v xml:space="preserve"> </v>
      </c>
      <c r="Z75" s="142" t="str">
        <f ca="1">IF(S75=" "," ",X75/(1+'депозитный калькулятор'!$K$8)^(T75/IF('депозитный калькулятор'!$G$7="30/360",360,365)))</f>
        <v xml:space="preserve"> </v>
      </c>
      <c r="AA75" s="151"/>
      <c r="AB75" s="151"/>
      <c r="AC75" s="155"/>
      <c r="AD75" s="155"/>
    </row>
    <row r="76" spans="1:30" s="2" customFormat="1" ht="15.5" x14ac:dyDescent="0.35">
      <c r="A76" s="41" t="str">
        <f>IF(F76=" "," ",IF(OR('депозитный калькулятор'!$G$7="30/365",'депозитный калькулятор'!$G$7="30/360"),IF(AND(MONTH(F76)=2,DAY(F76)=DAY(EOMONTH(F76,0))),30-DAY(EOMONTH(F76,0)),IF(DAY(F76)=31,1," "))," "))</f>
        <v xml:space="preserve"> </v>
      </c>
      <c r="B76" s="130" t="str">
        <f t="shared" si="1"/>
        <v xml:space="preserve"> </v>
      </c>
      <c r="C76" s="130" t="str">
        <f>IF(OR(B76=0,B76=" ")," ",SUM($B$23:B76))</f>
        <v xml:space="preserve"> </v>
      </c>
      <c r="D76" s="62" t="str">
        <f>IF(D75=" "," ",IF(OR(F75='депозитный калькулятор'!$D$8,F75=" ")," ",D75+1))</f>
        <v xml:space="preserve"> </v>
      </c>
      <c r="E76" s="130" t="str">
        <f>IF(OR(F75='депозитный калькулятор'!$D$8,F75=" ")," ",IF(EOMONTH(F75,0)=F75,1,E75+1))</f>
        <v xml:space="preserve"> </v>
      </c>
      <c r="F76" s="64" t="str">
        <f>IF(F75=" "," ",IF(F75='депозитный калькулятор'!$D$8," ",F75+1))</f>
        <v xml:space="preserve"> </v>
      </c>
      <c r="G76" s="145" t="str">
        <f xml:space="preserve"> IF(F76&gt;'депозитный калькулятор'!$D$8," ",IF('депозитный калькулятор'!$G$13="есть",IF('депозитный калькулятор'!$G$14="есть",G75+IF(I75=" ",0,I75)-J76-K76+L76+M76-N76,G75+IF(I75=" ",0,I75)-J76-K76+M76-N76),IF('депозитный калькулятор'!$G$14="есть",G75-J76-K76+L76+M76-N76,G75-J76-K76+M76-N76)))</f>
        <v xml:space="preserve"> </v>
      </c>
      <c r="H76" s="133" t="str">
        <f>IF(F76&gt;'депозитный калькулятор'!$D$8," ",IF(AND(OR('депозитный калькулятор'!$G$7="30/365",'депозитный калькулятор'!$G$7="30/360"),AND(MONTH(F76)=2,EOMONTH(F76,0)=F76)),IF(DAY(F76)=28,3*G76*'депозитный калькулятор'!$G$8,2*G76*'депозитный калькулятор'!$G$8),IF(AND(OR('депозитный калькулятор'!$G$7="30/365",'депозитный калькулятор'!$G$7="30/360"),DAY(F76)=31)," ",IF(AND('депозитный калькулятор'!$G$7="факт/факт",MOD(YEAR(F76),4)=0),G76*'депозитный калькулятор'!$D$11/366,G76*'депозитный калькулятор'!$G$8))))</f>
        <v xml:space="preserve"> </v>
      </c>
      <c r="I76" s="134" t="str">
        <f ca="1">IF(F76=" "," ",IF('депозитный калькулятор'!$G$10="ежедневное",H76,IF(AND('депозитный калькулятор'!$G$10="еженедельное",WEEKDAY(F76,2)=7),SUM(OFFSET(H76,-6,0):H76),IF(AND('депозитный калькулятор'!$G$10="еженедельное",F76='депозитный калькулятор'!$D$8),SUM($H$23:H76)-SUM($I$23:I75),IF(AND('депозитный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недели",WEEKDAY(F76,2)=7),MIN(OFFSET(H76,-6,0):H76)*(COUNTIF(OFFSET(H76,-6,0):H76,"&gt;0")+SUMIF(OFFSET(A76,-WEEKDAY(F76,2),0):A76,"=2",OFFSET(A76,-WEEKDAY(F76,2),0):A76)),IF(AND('депозитный калькулятор'!$G$10="еженедельное, на минимальную сумму зафиксированную в течение недели",F76='депозитный калькулятор'!$D$8,WEEKDAY(F76,2)&lt;&gt;7),MIN(OFFSET(H76,-WEEKDAY(F76,2),0):H76)*(COUNTIF(OFFSET(H76,-WEEKDAY(F76,2)+1,0):H76,"&gt;0")+SUM(OFFSET(A76,-WEEKDAY(F76,2),0):A76)),IF(AND('депозитный калькулятор'!$G$10="ежемесячное (в конце месяца)",F76='депозитный калькулятор'!$D$8,EOMONTH(F76,0)&lt;&gt;F76),IF('депозитный калькулятор'!$F$1=1,$H$24,SUM($H$23:H76)-SUM($I$23:I75)),IF(AND('депозитный калькулятор'!$G$10="ежемесячное (в конце месяца)",EOMONTH(F76,0)=F76),SUM($H$23:H76)-SUM($I$23:I75),IF(AND('депозитный калькулятор'!$G$10="ежемесячное (по дням открытия вклада)",F76='депозитный калькулятор'!$D$8,DAY('депозитный калькулятор'!$D$7)&lt;&gt;DAY(F76)),IF('депозитный калькулятор'!$F$1=1,$H$24,SUM($H$23:H76)-SUM($I$23:I75)),IF(AND('депозитный калькулятор'!$G$10="ежемесячное (по дням открытия вклада)",DAY('депозитный калькулятор'!$D$7)=DAY(F76)),SUM($H$23:H76)-SUM($I$23:I75),IF(AND('депозитный калькулятор'!$G$10="ежемесячное, на минимальную сумму зафиксированную в течение месяца",F76='депозитный калькулятор'!$D$8,EOMONTH(F76,0)&lt;&gt;F76),IF('депозитный калькулятор'!$F$1=1,$H$24,IF(AND(OR('депозитный калькулятор'!$G$7="30/365",'депозитный калькулятор'!$G$7="30/360"),DAY(F76)=31),0,MIN(OFFSET(H76,-E76+1,0):H76)*(E76+SUMIF(OFFSET(A76,-E76+1,0):A76,"=2",OFFSET(A76,-E76+1,0):A76)))),IF(AND('депозитный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калькулятор'!$G$7="30/360"),DAY(EOMONTH(F76,0))=31),EOMONTH(F76,0)-1=F76,EOMONTH(F76,0)=F76)),IF(IF(AND(OR('депозитный калькулятор'!$G$7="30/365",'депозитный калькулятор'!$G$7="30/360"),DAY(EOMONTH($F$23,0))=31),F76=EOMONTH($F$23,0)-1,F76=EOMONTH($F$23,0)),MIN(OFFSET(H76,-(DAY(F76)-DAY($F$23)),0):H76)*E76,MIN(OFFSET(H76,-(DAY(F76)-1),0):H76)*IF(AND(OR('депозитный калькулятор'!$G$7="30/365",'депозитный калькулятор'!$G$7="30/360"),DAY(F76)&lt;30),30,DAY(F76))),IF(AND('депозитный калькулятор'!$G$10="ежемесячное, на средний остаток в течение месяца, при условии что остаток больше чем ограничение",F76='депозитный калькулятор'!$D$8,EOMONTH(F76,0)&lt;&gt;F76),IF('депозитный калькулятор'!$F$1=1,$H$24,SUM(OFFSET(Q76,-E76+1,0):Q76)),IF(AND('депозитный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калькулятор'!$G$7="30/360"),DAY(EOMONTH(F76,0))=31),EOMONTH(F76,0)-1=F76,EOMONTH(F76,0)=F76)),IF(IF(AND(OR('депозитный калькулятор'!$G$7="30/365",'депозитный калькулятор'!$G$7="30/360"),DAY(EOMONTH($F$24,0))=31),F76=EOMONTH($F$24,0)-1,F76=EOMONTH($F$24,0)),SUM(OFFSET(Q76,-E76+1,0):Q76),SUM(OFFSET(Q76,-E76+1,0):Q76)),IF('депозитный калькулятор'!$G$10="ежеквартальное",IF(F76&gt;'депозитный калькулятор'!$D$8," ",IF(AND(EOMONTH(F76,0)=F76,OR(MONTH(F76)=3,MONTH(F76)=6,MONTH(F76)=9,MONTH(F76)=12)),IF(EDATE(F76,-3)&lt;'депозитный калькулятор'!$D$7,SUM($H$23:H76),IF(MOD(YEAR(F76),4)=0,IF(AND(EOMONTH(F76,0)=F76,OR(MONTH(F76)=3,MONTH(F76)=6)),SUM(OFFSET(H76,-90,0):H76),IF(AND(EOMONTH(F76,0)=F76,OR(MONTH(F76)=9,MONTH(F76)=12)),SUM(OFFSET(H76,-91,0):H76))),IF(AND(EOMONTH(F76,0)=F76,MONTH(F76)=3),SUM(OFFSET(H76,-89,0):H76),IF(AND(EOMONTH(F76,0)=F76,MONTH(F76)=6),SUM(OFFSET(H76,-90,0):H76),IF(AND(EOMONTH(F76,0)=F76,OR(MONTH(F76)=9,MONTH(F76)=12)),SUM(OFFSET(H76,-91,0):H76)))))),IF(F76='депозитный калькулятор'!$D$8,SUM($H$23:H76)-SUM($I$23:I75),0))),IF('депозитный калькулятор'!$G$10="ежегодное",IF(F76&gt;'депозитный калькулятор'!$D$8," ",IF(F76='депозитный калькулятор'!$D$8,SUM($H$23:H76)-SUM($I$23:I75),IF(AND(EOMONTH(F76,0)=F76,MONTH(F76)=12),IF(MOD(YEAR(F75),4)=0,IF(F76-'депозитный калькулятор'!$D$7&lt;366,SUM($H$23:H76),SUM(OFFSET(H76,-365,0):H76)),IF(F76-'депозитный калькулятор'!$D$7&lt;365,SUM($H$23:H76),SUM(OFFSET(H76,-364,0):H76))),0))),IF(AND('депозитный калькулятор'!$G$10="в конце срока",'депозитный калькулятор'!$D$8=F76),SUM($H$23:H76),0))))))))))))))))))</f>
        <v xml:space="preserve"> </v>
      </c>
      <c r="J76" s="59" t="str">
        <f>IF(F76&gt;'депозитный калькулятор'!$D$8," ",IF('депозитный калькулятор'!$G$16="нет",0,IF(AND('депозитный калькулятор'!$G$17="разовая (в конце срока)",F76='депозитный калькулятор'!$D$8),'депозитный калькулятор'!$G$18,IF(AND('депозитный калькулятор'!$G$17="ежемесячная",EOMONTH(F75,0)=F75),'депозитный калькулятор'!$G$18,IF(AND('депозитный калькулятор'!$G$17="ежегодная",DAY(F75)=31,MONTH(F75)=12),'депозитный калькулятор'!$G$18,IF(AND('депозитный калькулятор'!$G$17="ежемесячная в зависимости от остатка",EOMONTH(F75,0)=F75,P75&gt;0),'депозитный калькулятор'!$G$18,IF(AND('депозитный калькулятор'!$G$17="ежегодная в зависимости от остатка",DAY(F75)=31,MONTH(F75)=12,P75&gt;0),'депозитный калькулятор'!$G$18,0)))))))</f>
        <v xml:space="preserve"> </v>
      </c>
      <c r="K76" s="135" t="str">
        <f>IF($F76=" "," ",IFERROR(VLOOKUP($F76,'депозитный калькулятор'!$B$26:$F$70,2,0),0))</f>
        <v xml:space="preserve"> </v>
      </c>
      <c r="L76" s="135" t="str">
        <f>IF($F76=" "," ",IFERROR(VLOOKUP($F76,'депозитный калькулятор'!$B$26:$F$70,3,0),0))</f>
        <v xml:space="preserve"> </v>
      </c>
      <c r="M76" s="135" t="str">
        <f>IF($F76=" "," ",IFERROR(VLOOKUP($F76,'депозитный калькулятор'!$B$26:$F$70,4,0),0))</f>
        <v xml:space="preserve"> </v>
      </c>
      <c r="N76" s="135" t="str">
        <f>IF($F76=" "," ",IFERROR(VLOOKUP($F76,'депозитный калькулятор'!$B$26:$F$70,5,0),0))</f>
        <v xml:space="preserve"> </v>
      </c>
      <c r="O76" s="146" t="str">
        <f>IF(F76&gt;'депозитный калькулятор'!$D$8," ",IF(F76='депозитный калькулятор'!$D$8,IF(AND($F$24='депозитный калькулятор'!$D$8,'депозитный калькулятор'!$G$13="нет"),-G76-IF(I76=" ",0,I76)-IF(AND(OR('депозитный калькулятор'!$G$7="30/365",'депозитный калькулятор'!$G$7="30/360"),'депозитный калькулятор'!$G$10="в начале срока"),I75,0)-L76+M76-N76,-G76-IF(I76=" ",0,I76)-L76+M76-N76),IF('депозитный калькулятор'!$G$13="есть",M76-N76+IF('депозитный калькулятор'!$G$14="есть",0,-L76),-IF(I76=" ",0,I76)-IF(AND(OR('депозитный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срока"),I75,0)+M76-N76+IF('депозитный калькулятор'!$G$14="есть",0,-L76))))</f>
        <v xml:space="preserve"> </v>
      </c>
      <c r="P76" s="147" t="str">
        <f>IF(F76&gt;'депозитный калькулятор'!$D$8," ",IF(EOMONTH(F75,0)=F75,0,IF(G76&gt;='депозитный калькулятор'!$G$19,P75,P75+1)))</f>
        <v xml:space="preserve"> </v>
      </c>
      <c r="Q76" s="138" t="str">
        <f>IF(F76=" "," ",IF(AND(OR('депозитный калькулятор'!$G$7="30/365",'депозитный калькулятор'!$G$7="30/360"),AND(MONTH(F76)=2,EOMONTH(F76,0)=F76)),IF(DAY(F76)=28,3,2),1)*IF(G76&gt;='депозитный калькулятор'!$G$11,IF(AND('депозитный калькулятор'!$G$7="факт/факт",MOD(YEAR(F76),4)=0),G76*'депозитный калькулятор'!$D$11/366,G76*'депозитный калькулятор'!$G$8),0))</f>
        <v xml:space="preserve"> </v>
      </c>
      <c r="R76" s="148"/>
      <c r="S76" s="62" t="str">
        <f t="shared" ca="1" si="2"/>
        <v xml:space="preserve"> </v>
      </c>
      <c r="T76" s="149" t="str">
        <f ca="1">IF(S76=" "," ",IF('депозитный калькулятор'!$G$7="30/360",DAYS360(U75,IF(DAY(U76)=31,U76-1,U76))+IF(AND(MONTH(U76)=2,U76=EOMONTH(U76,0)),30-DAY(EOMONTH(U76,0)))+T75,VLOOKUP(S76,$C$22:$F$1023,2,0)))</f>
        <v xml:space="preserve"> </v>
      </c>
      <c r="U76" s="64" t="str">
        <f t="shared" ca="1" si="0"/>
        <v xml:space="preserve"> </v>
      </c>
      <c r="V76" s="150" t="str">
        <f t="shared" ca="1" si="3"/>
        <v xml:space="preserve"> </v>
      </c>
      <c r="W76" s="62" t="str">
        <f t="shared" ca="1" si="4"/>
        <v xml:space="preserve"> </v>
      </c>
      <c r="X76" s="141" t="str">
        <f ca="1">IF(S76=" "," ",IFERROR(VLOOKUP(U76,$F$23:$N$1023,7)+VLOOKUP(U76,$F$23:$N$1023,9)+IF(AND('депозитный калькулятор'!$G$13="нет",U76&lt;&gt;'депозитный калькулятор'!$D$8),VLOOKUP(U76,$F$23:$N$1023,4),0),0)+IF(U76='депозитный калькулятор'!$D$8,VLOOKUP(U76,$F$23:$N$1023,2)+VLOOKUP(U76,$F$23:$N$1023,4),0))</f>
        <v xml:space="preserve"> </v>
      </c>
      <c r="Y76" s="142" t="str">
        <f ca="1">IF(S76=" "," ",W76/(1+'депозитный калькулятор'!$K$8)^(T76/IF('депозитный калькулятор'!$G$7="30/360",360,365)))</f>
        <v xml:space="preserve"> </v>
      </c>
      <c r="Z76" s="142" t="str">
        <f ca="1">IF(S76=" "," ",X76/(1+'депозитный калькулятор'!$K$8)^(T76/IF('депозитный калькулятор'!$G$7="30/360",360,365)))</f>
        <v xml:space="preserve"> </v>
      </c>
      <c r="AA76" s="151"/>
      <c r="AB76" s="151"/>
      <c r="AC76" s="155"/>
      <c r="AD76" s="155"/>
    </row>
    <row r="77" spans="1:30" s="2" customFormat="1" ht="15.5" x14ac:dyDescent="0.35">
      <c r="A77" s="41" t="str">
        <f>IF(F77=" "," ",IF(OR('депозитный калькулятор'!$G$7="30/365",'депозитный калькулятор'!$G$7="30/360"),IF(AND(MONTH(F77)=2,DAY(F77)=DAY(EOMONTH(F77,0))),30-DAY(EOMONTH(F77,0)),IF(DAY(F77)=31,1," "))," "))</f>
        <v xml:space="preserve"> </v>
      </c>
      <c r="B77" s="130" t="str">
        <f t="shared" si="1"/>
        <v xml:space="preserve"> </v>
      </c>
      <c r="C77" s="130" t="str">
        <f>IF(OR(B77=0,B77=" ")," ",SUM($B$23:B77))</f>
        <v xml:space="preserve"> </v>
      </c>
      <c r="D77" s="62" t="str">
        <f>IF(D76=" "," ",IF(OR(F76='депозитный калькулятор'!$D$8,F76=" ")," ",D76+1))</f>
        <v xml:space="preserve"> </v>
      </c>
      <c r="E77" s="130" t="str">
        <f>IF(OR(F76='депозитный калькулятор'!$D$8,F76=" ")," ",IF(EOMONTH(F76,0)=F76,1,E76+1))</f>
        <v xml:space="preserve"> </v>
      </c>
      <c r="F77" s="64" t="str">
        <f>IF(F76=" "," ",IF(F76='депозитный калькулятор'!$D$8," ",F76+1))</f>
        <v xml:space="preserve"> </v>
      </c>
      <c r="G77" s="145" t="str">
        <f xml:space="preserve"> IF(F77&gt;'депозитный калькулятор'!$D$8," ",IF('депозитный калькулятор'!$G$13="есть",IF('депозитный калькулятор'!$G$14="есть",G76+IF(I76=" ",0,I76)-J77-K77+L77+M77-N77,G76+IF(I76=" ",0,I76)-J77-K77+M77-N77),IF('депозитный калькулятор'!$G$14="есть",G76-J77-K77+L77+M77-N77,G76-J77-K77+M77-N77)))</f>
        <v xml:space="preserve"> </v>
      </c>
      <c r="H77" s="133" t="str">
        <f>IF(F77&gt;'депозитный калькулятор'!$D$8," ",IF(AND(OR('депозитный калькулятор'!$G$7="30/365",'депозитный калькулятор'!$G$7="30/360"),AND(MONTH(F77)=2,EOMONTH(F77,0)=F77)),IF(DAY(F77)=28,3*G77*'депозитный калькулятор'!$G$8,2*G77*'депозитный калькулятор'!$G$8),IF(AND(OR('депозитный калькулятор'!$G$7="30/365",'депозитный калькулятор'!$G$7="30/360"),DAY(F77)=31)," ",IF(AND('депозитный калькулятор'!$G$7="факт/факт",MOD(YEAR(F77),4)=0),G77*'депозитный калькулятор'!$D$11/366,G77*'депозитный калькулятор'!$G$8))))</f>
        <v xml:space="preserve"> </v>
      </c>
      <c r="I77" s="134" t="str">
        <f ca="1">IF(F77=" "," ",IF('депозитный калькулятор'!$G$10="ежедневное",H77,IF(AND('депозитный калькулятор'!$G$10="еженедельное",WEEKDAY(F77,2)=7),SUM(OFFSET(H77,-6,0):H77),IF(AND('депозитный калькулятор'!$G$10="еженедельное",F77='депозитный калькулятор'!$D$8),SUM($H$23:H77)-SUM($I$23:I76),IF(AND('депозитный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недели",WEEKDAY(F77,2)=7),MIN(OFFSET(H77,-6,0):H77)*(COUNTIF(OFFSET(H77,-6,0):H77,"&gt;0")+SUMIF(OFFSET(A77,-WEEKDAY(F77,2),0):A77,"=2",OFFSET(A77,-WEEKDAY(F77,2),0):A77)),IF(AND('депозитный калькулятор'!$G$10="еженедельное, на минимальную сумму зафиксированную в течение недели",F77='депозитный калькулятор'!$D$8,WEEKDAY(F77,2)&lt;&gt;7),MIN(OFFSET(H77,-WEEKDAY(F77,2),0):H77)*(COUNTIF(OFFSET(H77,-WEEKDAY(F77,2)+1,0):H77,"&gt;0")+SUM(OFFSET(A77,-WEEKDAY(F77,2),0):A77)),IF(AND('депозитный калькулятор'!$G$10="ежемесячное (в конце месяца)",F77='депозитный калькулятор'!$D$8,EOMONTH(F77,0)&lt;&gt;F77),IF('депозитный калькулятор'!$F$1=1,$H$24,SUM($H$23:H77)-SUM($I$23:I76)),IF(AND('депозитный калькулятор'!$G$10="ежемесячное (в конце месяца)",EOMONTH(F77,0)=F77),SUM($H$23:H77)-SUM($I$23:I76),IF(AND('депозитный калькулятор'!$G$10="ежемесячное (по дням открытия вклада)",F77='депозитный калькулятор'!$D$8,DAY('депозитный калькулятор'!$D$7)&lt;&gt;DAY(F77)),IF('депозитный калькулятор'!$F$1=1,$H$24,SUM($H$23:H77)-SUM($I$23:I76)),IF(AND('депозитный калькулятор'!$G$10="ежемесячное (по дням открытия вклада)",DAY('депозитный калькулятор'!$D$7)=DAY(F77)),SUM($H$23:H77)-SUM($I$23:I76),IF(AND('депозитный калькулятор'!$G$10="ежемесячное, на минимальную сумму зафиксированную в течение месяца",F77='депозитный калькулятор'!$D$8,EOMONTH(F77,0)&lt;&gt;F77),IF('депозитный калькулятор'!$F$1=1,$H$24,IF(AND(OR('депозитный калькулятор'!$G$7="30/365",'депозитный калькулятор'!$G$7="30/360"),DAY(F77)=31),0,MIN(OFFSET(H77,-E77+1,0):H77)*(E77+SUMIF(OFFSET(A77,-E77+1,0):A77,"=2",OFFSET(A77,-E77+1,0):A77)))),IF(AND('депозитный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калькулятор'!$G$7="30/360"),DAY(EOMONTH(F77,0))=31),EOMONTH(F77,0)-1=F77,EOMONTH(F77,0)=F77)),IF(IF(AND(OR('депозитный калькулятор'!$G$7="30/365",'депозитный калькулятор'!$G$7="30/360"),DAY(EOMONTH($F$23,0))=31),F77=EOMONTH($F$23,0)-1,F77=EOMONTH($F$23,0)),MIN(OFFSET(H77,-(DAY(F77)-DAY($F$23)),0):H77)*E77,MIN(OFFSET(H77,-(DAY(F77)-1),0):H77)*IF(AND(OR('депозитный калькулятор'!$G$7="30/365",'депозитный калькулятор'!$G$7="30/360"),DAY(F77)&lt;30),30,DAY(F77))),IF(AND('депозитный калькулятор'!$G$10="ежемесячное, на средний остаток в течение месяца, при условии что остаток больше чем ограничение",F77='депозитный калькулятор'!$D$8,EOMONTH(F77,0)&lt;&gt;F77),IF('депозитный калькулятор'!$F$1=1,$H$24,SUM(OFFSET(Q77,-E77+1,0):Q77)),IF(AND('депозитный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калькулятор'!$G$7="30/360"),DAY(EOMONTH(F77,0))=31),EOMONTH(F77,0)-1=F77,EOMONTH(F77,0)=F77)),IF(IF(AND(OR('депозитный калькулятор'!$G$7="30/365",'депозитный калькулятор'!$G$7="30/360"),DAY(EOMONTH($F$24,0))=31),F77=EOMONTH($F$24,0)-1,F77=EOMONTH($F$24,0)),SUM(OFFSET(Q77,-E77+1,0):Q77),SUM(OFFSET(Q77,-E77+1,0):Q77)),IF('депозитный калькулятор'!$G$10="ежеквартальное",IF(F77&gt;'депозитный калькулятор'!$D$8," ",IF(AND(EOMONTH(F77,0)=F77,OR(MONTH(F77)=3,MONTH(F77)=6,MONTH(F77)=9,MONTH(F77)=12)),IF(EDATE(F77,-3)&lt;'депозитный калькулятор'!$D$7,SUM($H$23:H77),IF(MOD(YEAR(F77),4)=0,IF(AND(EOMONTH(F77,0)=F77,OR(MONTH(F77)=3,MONTH(F77)=6)),SUM(OFFSET(H77,-90,0):H77),IF(AND(EOMONTH(F77,0)=F77,OR(MONTH(F77)=9,MONTH(F77)=12)),SUM(OFFSET(H77,-91,0):H77))),IF(AND(EOMONTH(F77,0)=F77,MONTH(F77)=3),SUM(OFFSET(H77,-89,0):H77),IF(AND(EOMONTH(F77,0)=F77,MONTH(F77)=6),SUM(OFFSET(H77,-90,0):H77),IF(AND(EOMONTH(F77,0)=F77,OR(MONTH(F77)=9,MONTH(F77)=12)),SUM(OFFSET(H77,-91,0):H77)))))),IF(F77='депозитный калькулятор'!$D$8,SUM($H$23:H77)-SUM($I$23:I76),0))),IF('депозитный калькулятор'!$G$10="ежегодное",IF(F77&gt;'депозитный калькулятор'!$D$8," ",IF(F77='депозитный калькулятор'!$D$8,SUM($H$23:H77)-SUM($I$23:I76),IF(AND(EOMONTH(F77,0)=F77,MONTH(F77)=12),IF(MOD(YEAR(F76),4)=0,IF(F77-'депозитный калькулятор'!$D$7&lt;366,SUM($H$23:H77),SUM(OFFSET(H77,-365,0):H77)),IF(F77-'депозитный калькулятор'!$D$7&lt;365,SUM($H$23:H77),SUM(OFFSET(H77,-364,0):H77))),0))),IF(AND('депозитный калькулятор'!$G$10="в конце срока",'депозитный калькулятор'!$D$8=F77),SUM($H$23:H77),0))))))))))))))))))</f>
        <v xml:space="preserve"> </v>
      </c>
      <c r="J77" s="59" t="str">
        <f>IF(F77&gt;'депозитный калькулятор'!$D$8," ",IF('депозитный калькулятор'!$G$16="нет",0,IF(AND('депозитный калькулятор'!$G$17="разовая (в конце срока)",F77='депозитный калькулятор'!$D$8),'депозитный калькулятор'!$G$18,IF(AND('депозитный калькулятор'!$G$17="ежемесячная",EOMONTH(F76,0)=F76),'депозитный калькулятор'!$G$18,IF(AND('депозитный калькулятор'!$G$17="ежегодная",DAY(F76)=31,MONTH(F76)=12),'депозитный калькулятор'!$G$18,IF(AND('депозитный калькулятор'!$G$17="ежемесячная в зависимости от остатка",EOMONTH(F76,0)=F76,P76&gt;0),'депозитный калькулятор'!$G$18,IF(AND('депозитный калькулятор'!$G$17="ежегодная в зависимости от остатка",DAY(F76)=31,MONTH(F76)=12,P76&gt;0),'депозитный калькулятор'!$G$18,0)))))))</f>
        <v xml:space="preserve"> </v>
      </c>
      <c r="K77" s="135" t="str">
        <f>IF($F77=" "," ",IFERROR(VLOOKUP($F77,'депозитный калькулятор'!$B$26:$F$70,2,0),0))</f>
        <v xml:space="preserve"> </v>
      </c>
      <c r="L77" s="135" t="str">
        <f>IF($F77=" "," ",IFERROR(VLOOKUP($F77,'депозитный калькулятор'!$B$26:$F$70,3,0),0))</f>
        <v xml:space="preserve"> </v>
      </c>
      <c r="M77" s="135" t="str">
        <f>IF($F77=" "," ",IFERROR(VLOOKUP($F77,'депозитный калькулятор'!$B$26:$F$70,4,0),0))</f>
        <v xml:space="preserve"> </v>
      </c>
      <c r="N77" s="135" t="str">
        <f>IF($F77=" "," ",IFERROR(VLOOKUP($F77,'депозитный калькулятор'!$B$26:$F$70,5,0),0))</f>
        <v xml:space="preserve"> </v>
      </c>
      <c r="O77" s="146" t="str">
        <f>IF(F77&gt;'депозитный калькулятор'!$D$8," ",IF(F77='депозитный калькулятор'!$D$8,IF(AND($F$24='депозитный калькулятор'!$D$8,'депозитный калькулятор'!$G$13="нет"),-G77-IF(I77=" ",0,I77)-IF(AND(OR('депозитный калькулятор'!$G$7="30/365",'депозитный калькулятор'!$G$7="30/360"),'депозитный калькулятор'!$G$10="в начале срока"),I76,0)-L77+M77-N77,-G77-IF(I77=" ",0,I77)-L77+M77-N77),IF('депозитный калькулятор'!$G$13="есть",M77-N77+IF('депозитный калькулятор'!$G$14="есть",0,-L77),-IF(I77=" ",0,I77)-IF(AND(OR('депозитный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срока"),I76,0)+M77-N77+IF('депозитный калькулятор'!$G$14="есть",0,-L77))))</f>
        <v xml:space="preserve"> </v>
      </c>
      <c r="P77" s="147" t="str">
        <f>IF(F77&gt;'депозитный калькулятор'!$D$8," ",IF(EOMONTH(F76,0)=F76,0,IF(G77&gt;='депозитный калькулятор'!$G$19,P76,P76+1)))</f>
        <v xml:space="preserve"> </v>
      </c>
      <c r="Q77" s="138" t="str">
        <f>IF(F77=" "," ",IF(AND(OR('депозитный калькулятор'!$G$7="30/365",'депозитный калькулятор'!$G$7="30/360"),AND(MONTH(F77)=2,EOMONTH(F77,0)=F77)),IF(DAY(F77)=28,3,2),1)*IF(G77&gt;='депозитный калькулятор'!$G$11,IF(AND('депозитный калькулятор'!$G$7="факт/факт",MOD(YEAR(F77),4)=0),G77*'депозитный калькулятор'!$D$11/366,G77*'депозитный калькулятор'!$G$8),0))</f>
        <v xml:space="preserve"> </v>
      </c>
      <c r="R77" s="148"/>
      <c r="S77" s="62" t="str">
        <f t="shared" ca="1" si="2"/>
        <v xml:space="preserve"> </v>
      </c>
      <c r="T77" s="149" t="str">
        <f ca="1">IF(S77=" "," ",IF('депозитный калькулятор'!$G$7="30/360",DAYS360(U76,IF(DAY(U77)=31,U77-1,U77))+IF(AND(MONTH(U77)=2,U77=EOMONTH(U77,0)),30-DAY(EOMONTH(U77,0)))+T76,VLOOKUP(S77,$C$22:$F$1023,2,0)))</f>
        <v xml:space="preserve"> </v>
      </c>
      <c r="U77" s="64" t="str">
        <f t="shared" ca="1" si="0"/>
        <v xml:space="preserve"> </v>
      </c>
      <c r="V77" s="150" t="str">
        <f t="shared" ca="1" si="3"/>
        <v xml:space="preserve"> </v>
      </c>
      <c r="W77" s="62" t="str">
        <f t="shared" ca="1" si="4"/>
        <v xml:space="preserve"> </v>
      </c>
      <c r="X77" s="141" t="str">
        <f ca="1">IF(S77=" "," ",IFERROR(VLOOKUP(U77,$F$23:$N$1023,7)+VLOOKUP(U77,$F$23:$N$1023,9)+IF(AND('депозитный калькулятор'!$G$13="нет",U77&lt;&gt;'депозитный калькулятор'!$D$8),VLOOKUP(U77,$F$23:$N$1023,4),0),0)+IF(U77='депозитный калькулятор'!$D$8,VLOOKUP(U77,$F$23:$N$1023,2)+VLOOKUP(U77,$F$23:$N$1023,4),0))</f>
        <v xml:space="preserve"> </v>
      </c>
      <c r="Y77" s="142" t="str">
        <f ca="1">IF(S77=" "," ",W77/(1+'депозитный калькулятор'!$K$8)^(T77/IF('депозитный калькулятор'!$G$7="30/360",360,365)))</f>
        <v xml:space="preserve"> </v>
      </c>
      <c r="Z77" s="142" t="str">
        <f ca="1">IF(S77=" "," ",X77/(1+'депозитный калькулятор'!$K$8)^(T77/IF('депозитный калькулятор'!$G$7="30/360",360,365)))</f>
        <v xml:space="preserve"> </v>
      </c>
      <c r="AA77" s="151"/>
      <c r="AB77" s="151"/>
      <c r="AC77" s="155"/>
      <c r="AD77" s="155"/>
    </row>
    <row r="78" spans="1:30" s="2" customFormat="1" ht="15.5" x14ac:dyDescent="0.35">
      <c r="A78" s="41" t="str">
        <f>IF(F78=" "," ",IF(OR('депозитный калькулятор'!$G$7="30/365",'депозитный калькулятор'!$G$7="30/360"),IF(AND(MONTH(F78)=2,DAY(F78)=DAY(EOMONTH(F78,0))),30-DAY(EOMONTH(F78,0)),IF(DAY(F78)=31,1," "))," "))</f>
        <v xml:space="preserve"> </v>
      </c>
      <c r="B78" s="130" t="str">
        <f t="shared" si="1"/>
        <v xml:space="preserve"> </v>
      </c>
      <c r="C78" s="130" t="str">
        <f>IF(OR(B78=0,B78=" ")," ",SUM($B$23:B78))</f>
        <v xml:space="preserve"> </v>
      </c>
      <c r="D78" s="62" t="str">
        <f>IF(D77=" "," ",IF(OR(F77='депозитный калькулятор'!$D$8,F77=" ")," ",D77+1))</f>
        <v xml:space="preserve"> </v>
      </c>
      <c r="E78" s="130" t="str">
        <f>IF(OR(F77='депозитный калькулятор'!$D$8,F77=" ")," ",IF(EOMONTH(F77,0)=F77,1,E77+1))</f>
        <v xml:space="preserve"> </v>
      </c>
      <c r="F78" s="64" t="str">
        <f>IF(F77=" "," ",IF(F77='депозитный калькулятор'!$D$8," ",F77+1))</f>
        <v xml:space="preserve"> </v>
      </c>
      <c r="G78" s="145" t="str">
        <f xml:space="preserve"> IF(F78&gt;'депозитный калькулятор'!$D$8," ",IF('депозитный калькулятор'!$G$13="есть",IF('депозитный калькулятор'!$G$14="есть",G77+IF(I77=" ",0,I77)-J78-K78+L78+M78-N78,G77+IF(I77=" ",0,I77)-J78-K78+M78-N78),IF('депозитный калькулятор'!$G$14="есть",G77-J78-K78+L78+M78-N78,G77-J78-K78+M78-N78)))</f>
        <v xml:space="preserve"> </v>
      </c>
      <c r="H78" s="133" t="str">
        <f>IF(F78&gt;'депозитный калькулятор'!$D$8," ",IF(AND(OR('депозитный калькулятор'!$G$7="30/365",'депозитный калькулятор'!$G$7="30/360"),AND(MONTH(F78)=2,EOMONTH(F78,0)=F78)),IF(DAY(F78)=28,3*G78*'депозитный калькулятор'!$G$8,2*G78*'депозитный калькулятор'!$G$8),IF(AND(OR('депозитный калькулятор'!$G$7="30/365",'депозитный калькулятор'!$G$7="30/360"),DAY(F78)=31)," ",IF(AND('депозитный калькулятор'!$G$7="факт/факт",MOD(YEAR(F78),4)=0),G78*'депозитный калькулятор'!$D$11/366,G78*'депозитный калькулятор'!$G$8))))</f>
        <v xml:space="preserve"> </v>
      </c>
      <c r="I78" s="134" t="str">
        <f ca="1">IF(F78=" "," ",IF('депозитный калькулятор'!$G$10="ежедневное",H78,IF(AND('депозитный калькулятор'!$G$10="еженедельное",WEEKDAY(F78,2)=7),SUM(OFFSET(H78,-6,0):H78),IF(AND('депозитный калькулятор'!$G$10="еженедельное",F78='депозитный калькулятор'!$D$8),SUM($H$23:H78)-SUM($I$23:I77),IF(AND('депозитный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недели",WEEKDAY(F78,2)=7),MIN(OFFSET(H78,-6,0):H78)*(COUNTIF(OFFSET(H78,-6,0):H78,"&gt;0")+SUMIF(OFFSET(A78,-WEEKDAY(F78,2),0):A78,"=2",OFFSET(A78,-WEEKDAY(F78,2),0):A78)),IF(AND('депозитный калькулятор'!$G$10="еженедельное, на минимальную сумму зафиксированную в течение недели",F78='депозитный калькулятор'!$D$8,WEEKDAY(F78,2)&lt;&gt;7),MIN(OFFSET(H78,-WEEKDAY(F78,2),0):H78)*(COUNTIF(OFFSET(H78,-WEEKDAY(F78,2)+1,0):H78,"&gt;0")+SUM(OFFSET(A78,-WEEKDAY(F78,2),0):A78)),IF(AND('депозитный калькулятор'!$G$10="ежемесячное (в конце месяца)",F78='депозитный калькулятор'!$D$8,EOMONTH(F78,0)&lt;&gt;F78),IF('депозитный калькулятор'!$F$1=1,$H$24,SUM($H$23:H78)-SUM($I$23:I77)),IF(AND('депозитный калькулятор'!$G$10="ежемесячное (в конце месяца)",EOMONTH(F78,0)=F78),SUM($H$23:H78)-SUM($I$23:I77),IF(AND('депозитный калькулятор'!$G$10="ежемесячное (по дням открытия вклада)",F78='депозитный калькулятор'!$D$8,DAY('депозитный калькулятор'!$D$7)&lt;&gt;DAY(F78)),IF('депозитный калькулятор'!$F$1=1,$H$24,SUM($H$23:H78)-SUM($I$23:I77)),IF(AND('депозитный калькулятор'!$G$10="ежемесячное (по дням открытия вклада)",DAY('депозитный калькулятор'!$D$7)=DAY(F78)),SUM($H$23:H78)-SUM($I$23:I77),IF(AND('депозитный калькулятор'!$G$10="ежемесячное, на минимальную сумму зафиксированную в течение месяца",F78='депозитный калькулятор'!$D$8,EOMONTH(F78,0)&lt;&gt;F78),IF('депозитный калькулятор'!$F$1=1,$H$24,IF(AND(OR('депозитный калькулятор'!$G$7="30/365",'депозитный калькулятор'!$G$7="30/360"),DAY(F78)=31),0,MIN(OFFSET(H78,-E78+1,0):H78)*(E78+SUMIF(OFFSET(A78,-E78+1,0):A78,"=2",OFFSET(A78,-E78+1,0):A78)))),IF(AND('депозитный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калькулятор'!$G$7="30/360"),DAY(EOMONTH(F78,0))=31),EOMONTH(F78,0)-1=F78,EOMONTH(F78,0)=F78)),IF(IF(AND(OR('депозитный калькулятор'!$G$7="30/365",'депозитный калькулятор'!$G$7="30/360"),DAY(EOMONTH($F$23,0))=31),F78=EOMONTH($F$23,0)-1,F78=EOMONTH($F$23,0)),MIN(OFFSET(H78,-(DAY(F78)-DAY($F$23)),0):H78)*E78,MIN(OFFSET(H78,-(DAY(F78)-1),0):H78)*IF(AND(OR('депозитный калькулятор'!$G$7="30/365",'депозитный калькулятор'!$G$7="30/360"),DAY(F78)&lt;30),30,DAY(F78))),IF(AND('депозитный калькулятор'!$G$10="ежемесячное, на средний остаток в течение месяца, при условии что остаток больше чем ограничение",F78='депозитный калькулятор'!$D$8,EOMONTH(F78,0)&lt;&gt;F78),IF('депозитный калькулятор'!$F$1=1,$H$24,SUM(OFFSET(Q78,-E78+1,0):Q78)),IF(AND('депозитный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калькулятор'!$G$7="30/360"),DAY(EOMONTH(F78,0))=31),EOMONTH(F78,0)-1=F78,EOMONTH(F78,0)=F78)),IF(IF(AND(OR('депозитный калькулятор'!$G$7="30/365",'депозитный калькулятор'!$G$7="30/360"),DAY(EOMONTH($F$24,0))=31),F78=EOMONTH($F$24,0)-1,F78=EOMONTH($F$24,0)),SUM(OFFSET(Q78,-E78+1,0):Q78),SUM(OFFSET(Q78,-E78+1,0):Q78)),IF('депозитный калькулятор'!$G$10="ежеквартальное",IF(F78&gt;'депозитный калькулятор'!$D$8," ",IF(AND(EOMONTH(F78,0)=F78,OR(MONTH(F78)=3,MONTH(F78)=6,MONTH(F78)=9,MONTH(F78)=12)),IF(EDATE(F78,-3)&lt;'депозитный калькулятор'!$D$7,SUM($H$23:H78),IF(MOD(YEAR(F78),4)=0,IF(AND(EOMONTH(F78,0)=F78,OR(MONTH(F78)=3,MONTH(F78)=6)),SUM(OFFSET(H78,-90,0):H78),IF(AND(EOMONTH(F78,0)=F78,OR(MONTH(F78)=9,MONTH(F78)=12)),SUM(OFFSET(H78,-91,0):H78))),IF(AND(EOMONTH(F78,0)=F78,MONTH(F78)=3),SUM(OFFSET(H78,-89,0):H78),IF(AND(EOMONTH(F78,0)=F78,MONTH(F78)=6),SUM(OFFSET(H78,-90,0):H78),IF(AND(EOMONTH(F78,0)=F78,OR(MONTH(F78)=9,MONTH(F78)=12)),SUM(OFFSET(H78,-91,0):H78)))))),IF(F78='депозитный калькулятор'!$D$8,SUM($H$23:H78)-SUM($I$23:I77),0))),IF('депозитный калькулятор'!$G$10="ежегодное",IF(F78&gt;'депозитный калькулятор'!$D$8," ",IF(F78='депозитный калькулятор'!$D$8,SUM($H$23:H78)-SUM($I$23:I77),IF(AND(EOMONTH(F78,0)=F78,MONTH(F78)=12),IF(MOD(YEAR(F77),4)=0,IF(F78-'депозитный калькулятор'!$D$7&lt;366,SUM($H$23:H78),SUM(OFFSET(H78,-365,0):H78)),IF(F78-'депозитный калькулятор'!$D$7&lt;365,SUM($H$23:H78),SUM(OFFSET(H78,-364,0):H78))),0))),IF(AND('депозитный калькулятор'!$G$10="в конце срока",'депозитный калькулятор'!$D$8=F78),SUM($H$23:H78),0))))))))))))))))))</f>
        <v xml:space="preserve"> </v>
      </c>
      <c r="J78" s="59" t="str">
        <f>IF(F78&gt;'депозитный калькулятор'!$D$8," ",IF('депозитный калькулятор'!$G$16="нет",0,IF(AND('депозитный калькулятор'!$G$17="разовая (в конце срока)",F78='депозитный калькулятор'!$D$8),'депозитный калькулятор'!$G$18,IF(AND('депозитный калькулятор'!$G$17="ежемесячная",EOMONTH(F77,0)=F77),'депозитный калькулятор'!$G$18,IF(AND('депозитный калькулятор'!$G$17="ежегодная",DAY(F77)=31,MONTH(F77)=12),'депозитный калькулятор'!$G$18,IF(AND('депозитный калькулятор'!$G$17="ежемесячная в зависимости от остатка",EOMONTH(F77,0)=F77,P77&gt;0),'депозитный калькулятор'!$G$18,IF(AND('депозитный калькулятор'!$G$17="ежегодная в зависимости от остатка",DAY(F77)=31,MONTH(F77)=12,P77&gt;0),'депозитный калькулятор'!$G$18,0)))))))</f>
        <v xml:space="preserve"> </v>
      </c>
      <c r="K78" s="135" t="str">
        <f>IF($F78=" "," ",IFERROR(VLOOKUP($F78,'депозитный калькулятор'!$B$26:$F$70,2,0),0))</f>
        <v xml:space="preserve"> </v>
      </c>
      <c r="L78" s="135" t="str">
        <f>IF($F78=" "," ",IFERROR(VLOOKUP($F78,'депозитный калькулятор'!$B$26:$F$70,3,0),0))</f>
        <v xml:space="preserve"> </v>
      </c>
      <c r="M78" s="135" t="str">
        <f>IF($F78=" "," ",IFERROR(VLOOKUP($F78,'депозитный калькулятор'!$B$26:$F$70,4,0),0))</f>
        <v xml:space="preserve"> </v>
      </c>
      <c r="N78" s="135" t="str">
        <f>IF($F78=" "," ",IFERROR(VLOOKUP($F78,'депозитный калькулятор'!$B$26:$F$70,5,0),0))</f>
        <v xml:space="preserve"> </v>
      </c>
      <c r="O78" s="146" t="str">
        <f>IF(F78&gt;'депозитный калькулятор'!$D$8," ",IF(F78='депозитный калькулятор'!$D$8,IF(AND($F$24='депозитный калькулятор'!$D$8,'депозитный калькулятор'!$G$13="нет"),-G78-IF(I78=" ",0,I78)-IF(AND(OR('депозитный калькулятор'!$G$7="30/365",'депозитный калькулятор'!$G$7="30/360"),'депозитный калькулятор'!$G$10="в начале срока"),I77,0)-L78+M78-N78,-G78-IF(I78=" ",0,I78)-L78+M78-N78),IF('депозитный калькулятор'!$G$13="есть",M78-N78+IF('депозитный калькулятор'!$G$14="есть",0,-L78),-IF(I78=" ",0,I78)-IF(AND(OR('депозитный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срока"),I77,0)+M78-N78+IF('депозитный калькулятор'!$G$14="есть",0,-L78))))</f>
        <v xml:space="preserve"> </v>
      </c>
      <c r="P78" s="147" t="str">
        <f>IF(F78&gt;'депозитный калькулятор'!$D$8," ",IF(EOMONTH(F77,0)=F77,0,IF(G78&gt;='депозитный калькулятор'!$G$19,P77,P77+1)))</f>
        <v xml:space="preserve"> </v>
      </c>
      <c r="Q78" s="138" t="str">
        <f>IF(F78=" "," ",IF(AND(OR('депозитный калькулятор'!$G$7="30/365",'депозитный калькулятор'!$G$7="30/360"),AND(MONTH(F78)=2,EOMONTH(F78,0)=F78)),IF(DAY(F78)=28,3,2),1)*IF(G78&gt;='депозитный калькулятор'!$G$11,IF(AND('депозитный калькулятор'!$G$7="факт/факт",MOD(YEAR(F78),4)=0),G78*'депозитный калькулятор'!$D$11/366,G78*'депозитный калькулятор'!$G$8),0))</f>
        <v xml:space="preserve"> </v>
      </c>
      <c r="R78" s="148"/>
      <c r="S78" s="62" t="str">
        <f t="shared" ca="1" si="2"/>
        <v xml:space="preserve"> </v>
      </c>
      <c r="T78" s="149" t="str">
        <f ca="1">IF(S78=" "," ",IF('депозитный калькулятор'!$G$7="30/360",DAYS360(U77,IF(DAY(U78)=31,U78-1,U78))+IF(AND(MONTH(U78)=2,U78=EOMONTH(U78,0)),30-DAY(EOMONTH(U78,0)))+T77,VLOOKUP(S78,$C$22:$F$1023,2,0)))</f>
        <v xml:space="preserve"> </v>
      </c>
      <c r="U78" s="64" t="str">
        <f t="shared" ca="1" si="0"/>
        <v xml:space="preserve"> </v>
      </c>
      <c r="V78" s="150" t="str">
        <f t="shared" ca="1" si="3"/>
        <v xml:space="preserve"> </v>
      </c>
      <c r="W78" s="62" t="str">
        <f t="shared" ca="1" si="4"/>
        <v xml:space="preserve"> </v>
      </c>
      <c r="X78" s="141" t="str">
        <f ca="1">IF(S78=" "," ",IFERROR(VLOOKUP(U78,$F$23:$N$1023,7)+VLOOKUP(U78,$F$23:$N$1023,9)+IF(AND('депозитный калькулятор'!$G$13="нет",U78&lt;&gt;'депозитный калькулятор'!$D$8),VLOOKUP(U78,$F$23:$N$1023,4),0),0)+IF(U78='депозитный калькулятор'!$D$8,VLOOKUP(U78,$F$23:$N$1023,2)+VLOOKUP(U78,$F$23:$N$1023,4),0))</f>
        <v xml:space="preserve"> </v>
      </c>
      <c r="Y78" s="142" t="str">
        <f ca="1">IF(S78=" "," ",W78/(1+'депозитный калькулятор'!$K$8)^(T78/IF('депозитный калькулятор'!$G$7="30/360",360,365)))</f>
        <v xml:space="preserve"> </v>
      </c>
      <c r="Z78" s="142" t="str">
        <f ca="1">IF(S78=" "," ",X78/(1+'депозитный калькулятор'!$K$8)^(T78/IF('депозитный калькулятор'!$G$7="30/360",360,365)))</f>
        <v xml:space="preserve"> </v>
      </c>
      <c r="AA78" s="151"/>
      <c r="AB78" s="151"/>
      <c r="AC78" s="155"/>
      <c r="AD78" s="155"/>
    </row>
    <row r="79" spans="1:30" s="2" customFormat="1" ht="15.5" x14ac:dyDescent="0.35">
      <c r="A79" s="41" t="str">
        <f>IF(F79=" "," ",IF(OR('депозитный калькулятор'!$G$7="30/365",'депозитный калькулятор'!$G$7="30/360"),IF(AND(MONTH(F79)=2,DAY(F79)=DAY(EOMONTH(F79,0))),30-DAY(EOMONTH(F79,0)),IF(DAY(F79)=31,1," "))," "))</f>
        <v xml:space="preserve"> </v>
      </c>
      <c r="B79" s="130" t="str">
        <f t="shared" si="1"/>
        <v xml:space="preserve"> </v>
      </c>
      <c r="C79" s="130" t="str">
        <f>IF(OR(B79=0,B79=" ")," ",SUM($B$23:B79))</f>
        <v xml:space="preserve"> </v>
      </c>
      <c r="D79" s="62" t="str">
        <f>IF(D78=" "," ",IF(OR(F78='депозитный калькулятор'!$D$8,F78=" ")," ",D78+1))</f>
        <v xml:space="preserve"> </v>
      </c>
      <c r="E79" s="130" t="str">
        <f>IF(OR(F78='депозитный калькулятор'!$D$8,F78=" ")," ",IF(EOMONTH(F78,0)=F78,1,E78+1))</f>
        <v xml:space="preserve"> </v>
      </c>
      <c r="F79" s="64" t="str">
        <f>IF(F78=" "," ",IF(F78='депозитный калькулятор'!$D$8," ",F78+1))</f>
        <v xml:space="preserve"> </v>
      </c>
      <c r="G79" s="145" t="str">
        <f xml:space="preserve"> IF(F79&gt;'депозитный калькулятор'!$D$8," ",IF('депозитный калькулятор'!$G$13="есть",IF('депозитный калькулятор'!$G$14="есть",G78+IF(I78=" ",0,I78)-J79-K79+L79+M79-N79,G78+IF(I78=" ",0,I78)-J79-K79+M79-N79),IF('депозитный калькулятор'!$G$14="есть",G78-J79-K79+L79+M79-N79,G78-J79-K79+M79-N79)))</f>
        <v xml:space="preserve"> </v>
      </c>
      <c r="H79" s="133" t="str">
        <f>IF(F79&gt;'депозитный калькулятор'!$D$8," ",IF(AND(OR('депозитный калькулятор'!$G$7="30/365",'депозитный калькулятор'!$G$7="30/360"),AND(MONTH(F79)=2,EOMONTH(F79,0)=F79)),IF(DAY(F79)=28,3*G79*'депозитный калькулятор'!$G$8,2*G79*'депозитный калькулятор'!$G$8),IF(AND(OR('депозитный калькулятор'!$G$7="30/365",'депозитный калькулятор'!$G$7="30/360"),DAY(F79)=31)," ",IF(AND('депозитный калькулятор'!$G$7="факт/факт",MOD(YEAR(F79),4)=0),G79*'депозитный калькулятор'!$D$11/366,G79*'депозитный калькулятор'!$G$8))))</f>
        <v xml:space="preserve"> </v>
      </c>
      <c r="I79" s="134" t="str">
        <f ca="1">IF(F79=" "," ",IF('депозитный калькулятор'!$G$10="ежедневное",H79,IF(AND('депозитный калькулятор'!$G$10="еженедельное",WEEKDAY(F79,2)=7),SUM(OFFSET(H79,-6,0):H79),IF(AND('депозитный калькулятор'!$G$10="еженедельное",F79='депозитный калькулятор'!$D$8),SUM($H$23:H79)-SUM($I$23:I78),IF(AND('депозитный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недели",WEEKDAY(F79,2)=7),MIN(OFFSET(H79,-6,0):H79)*(COUNTIF(OFFSET(H79,-6,0):H79,"&gt;0")+SUMIF(OFFSET(A79,-WEEKDAY(F79,2),0):A79,"=2",OFFSET(A79,-WEEKDAY(F79,2),0):A79)),IF(AND('депозитный калькулятор'!$G$10="еженедельное, на минимальную сумму зафиксированную в течение недели",F79='депозитный калькулятор'!$D$8,WEEKDAY(F79,2)&lt;&gt;7),MIN(OFFSET(H79,-WEEKDAY(F79,2),0):H79)*(COUNTIF(OFFSET(H79,-WEEKDAY(F79,2)+1,0):H79,"&gt;0")+SUM(OFFSET(A79,-WEEKDAY(F79,2),0):A79)),IF(AND('депозитный калькулятор'!$G$10="ежемесячное (в конце месяца)",F79='депозитный калькулятор'!$D$8,EOMONTH(F79,0)&lt;&gt;F79),IF('депозитный калькулятор'!$F$1=1,$H$24,SUM($H$23:H79)-SUM($I$23:I78)),IF(AND('депозитный калькулятор'!$G$10="ежемесячное (в конце месяца)",EOMONTH(F79,0)=F79),SUM($H$23:H79)-SUM($I$23:I78),IF(AND('депозитный калькулятор'!$G$10="ежемесячное (по дням открытия вклада)",F79='депозитный калькулятор'!$D$8,DAY('депозитный калькулятор'!$D$7)&lt;&gt;DAY(F79)),IF('депозитный калькулятор'!$F$1=1,$H$24,SUM($H$23:H79)-SUM($I$23:I78)),IF(AND('депозитный калькулятор'!$G$10="ежемесячное (по дням открытия вклада)",DAY('депозитный калькулятор'!$D$7)=DAY(F79)),SUM($H$23:H79)-SUM($I$23:I78),IF(AND('депозитный калькулятор'!$G$10="ежемесячное, на минимальную сумму зафиксированную в течение месяца",F79='депозитный калькулятор'!$D$8,EOMONTH(F79,0)&lt;&gt;F79),IF('депозитный калькулятор'!$F$1=1,$H$24,IF(AND(OR('депозитный калькулятор'!$G$7="30/365",'депозитный калькулятор'!$G$7="30/360"),DAY(F79)=31),0,MIN(OFFSET(H79,-E79+1,0):H79)*(E79+SUMIF(OFFSET(A79,-E79+1,0):A79,"=2",OFFSET(A79,-E79+1,0):A79)))),IF(AND('депозитный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калькулятор'!$G$7="30/360"),DAY(EOMONTH(F79,0))=31),EOMONTH(F79,0)-1=F79,EOMONTH(F79,0)=F79)),IF(IF(AND(OR('депозитный калькулятор'!$G$7="30/365",'депозитный калькулятор'!$G$7="30/360"),DAY(EOMONTH($F$23,0))=31),F79=EOMONTH($F$23,0)-1,F79=EOMONTH($F$23,0)),MIN(OFFSET(H79,-(DAY(F79)-DAY($F$23)),0):H79)*E79,MIN(OFFSET(H79,-(DAY(F79)-1),0):H79)*IF(AND(OR('депозитный калькулятор'!$G$7="30/365",'депозитный калькулятор'!$G$7="30/360"),DAY(F79)&lt;30),30,DAY(F79))),IF(AND('депозитный калькулятор'!$G$10="ежемесячное, на средний остаток в течение месяца, при условии что остаток больше чем ограничение",F79='депозитный калькулятор'!$D$8,EOMONTH(F79,0)&lt;&gt;F79),IF('депозитный калькулятор'!$F$1=1,$H$24,SUM(OFFSET(Q79,-E79+1,0):Q79)),IF(AND('депозитный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калькулятор'!$G$7="30/360"),DAY(EOMONTH(F79,0))=31),EOMONTH(F79,0)-1=F79,EOMONTH(F79,0)=F79)),IF(IF(AND(OR('депозитный калькулятор'!$G$7="30/365",'депозитный калькулятор'!$G$7="30/360"),DAY(EOMONTH($F$24,0))=31),F79=EOMONTH($F$24,0)-1,F79=EOMONTH($F$24,0)),SUM(OFFSET(Q79,-E79+1,0):Q79),SUM(OFFSET(Q79,-E79+1,0):Q79)),IF('депозитный калькулятор'!$G$10="ежеквартальное",IF(F79&gt;'депозитный калькулятор'!$D$8," ",IF(AND(EOMONTH(F79,0)=F79,OR(MONTH(F79)=3,MONTH(F79)=6,MONTH(F79)=9,MONTH(F79)=12)),IF(EDATE(F79,-3)&lt;'депозитный калькулятор'!$D$7,SUM($H$23:H79),IF(MOD(YEAR(F79),4)=0,IF(AND(EOMONTH(F79,0)=F79,OR(MONTH(F79)=3,MONTH(F79)=6)),SUM(OFFSET(H79,-90,0):H79),IF(AND(EOMONTH(F79,0)=F79,OR(MONTH(F79)=9,MONTH(F79)=12)),SUM(OFFSET(H79,-91,0):H79))),IF(AND(EOMONTH(F79,0)=F79,MONTH(F79)=3),SUM(OFFSET(H79,-89,0):H79),IF(AND(EOMONTH(F79,0)=F79,MONTH(F79)=6),SUM(OFFSET(H79,-90,0):H79),IF(AND(EOMONTH(F79,0)=F79,OR(MONTH(F79)=9,MONTH(F79)=12)),SUM(OFFSET(H79,-91,0):H79)))))),IF(F79='депозитный калькулятор'!$D$8,SUM($H$23:H79)-SUM($I$23:I78),0))),IF('депозитный калькулятор'!$G$10="ежегодное",IF(F79&gt;'депозитный калькулятор'!$D$8," ",IF(F79='депозитный калькулятор'!$D$8,SUM($H$23:H79)-SUM($I$23:I78),IF(AND(EOMONTH(F79,0)=F79,MONTH(F79)=12),IF(MOD(YEAR(F78),4)=0,IF(F79-'депозитный калькулятор'!$D$7&lt;366,SUM($H$23:H79),SUM(OFFSET(H79,-365,0):H79)),IF(F79-'депозитный калькулятор'!$D$7&lt;365,SUM($H$23:H79),SUM(OFFSET(H79,-364,0):H79))),0))),IF(AND('депозитный калькулятор'!$G$10="в конце срока",'депозитный калькулятор'!$D$8=F79),SUM($H$23:H79),0))))))))))))))))))</f>
        <v xml:space="preserve"> </v>
      </c>
      <c r="J79" s="59" t="str">
        <f>IF(F79&gt;'депозитный калькулятор'!$D$8," ",IF('депозитный калькулятор'!$G$16="нет",0,IF(AND('депозитный калькулятор'!$G$17="разовая (в конце срока)",F79='депозитный калькулятор'!$D$8),'депозитный калькулятор'!$G$18,IF(AND('депозитный калькулятор'!$G$17="ежемесячная",EOMONTH(F78,0)=F78),'депозитный калькулятор'!$G$18,IF(AND('депозитный калькулятор'!$G$17="ежегодная",DAY(F78)=31,MONTH(F78)=12),'депозитный калькулятор'!$G$18,IF(AND('депозитный калькулятор'!$G$17="ежемесячная в зависимости от остатка",EOMONTH(F78,0)=F78,P78&gt;0),'депозитный калькулятор'!$G$18,IF(AND('депозитный калькулятор'!$G$17="ежегодная в зависимости от остатка",DAY(F78)=31,MONTH(F78)=12,P78&gt;0),'депозитный калькулятор'!$G$18,0)))))))</f>
        <v xml:space="preserve"> </v>
      </c>
      <c r="K79" s="135" t="str">
        <f>IF($F79=" "," ",IFERROR(VLOOKUP($F79,'депозитный калькулятор'!$B$26:$F$70,2,0),0))</f>
        <v xml:space="preserve"> </v>
      </c>
      <c r="L79" s="135" t="str">
        <f>IF($F79=" "," ",IFERROR(VLOOKUP($F79,'депозитный калькулятор'!$B$26:$F$70,3,0),0))</f>
        <v xml:space="preserve"> </v>
      </c>
      <c r="M79" s="135" t="str">
        <f>IF($F79=" "," ",IFERROR(VLOOKUP($F79,'депозитный калькулятор'!$B$26:$F$70,4,0),0))</f>
        <v xml:space="preserve"> </v>
      </c>
      <c r="N79" s="135" t="str">
        <f>IF($F79=" "," ",IFERROR(VLOOKUP($F79,'депозитный калькулятор'!$B$26:$F$70,5,0),0))</f>
        <v xml:space="preserve"> </v>
      </c>
      <c r="O79" s="146" t="str">
        <f>IF(F79&gt;'депозитный калькулятор'!$D$8," ",IF(F79='депозитный калькулятор'!$D$8,IF(AND($F$24='депозитный калькулятор'!$D$8,'депозитный калькулятор'!$G$13="нет"),-G79-IF(I79=" ",0,I79)-IF(AND(OR('депозитный калькулятор'!$G$7="30/365",'депозитный калькулятор'!$G$7="30/360"),'депозитный калькулятор'!$G$10="в начале срока"),I78,0)-L79+M79-N79,-G79-IF(I79=" ",0,I79)-L79+M79-N79),IF('депозитный калькулятор'!$G$13="есть",M79-N79+IF('депозитный калькулятор'!$G$14="есть",0,-L79),-IF(I79=" ",0,I79)-IF(AND(OR('депозитный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срока"),I78,0)+M79-N79+IF('депозитный калькулятор'!$G$14="есть",0,-L79))))</f>
        <v xml:space="preserve"> </v>
      </c>
      <c r="P79" s="147" t="str">
        <f>IF(F79&gt;'депозитный калькулятор'!$D$8," ",IF(EOMONTH(F78,0)=F78,0,IF(G79&gt;='депозитный калькулятор'!$G$19,P78,P78+1)))</f>
        <v xml:space="preserve"> </v>
      </c>
      <c r="Q79" s="138" t="str">
        <f>IF(F79=" "," ",IF(AND(OR('депозитный калькулятор'!$G$7="30/365",'депозитный калькулятор'!$G$7="30/360"),AND(MONTH(F79)=2,EOMONTH(F79,0)=F79)),IF(DAY(F79)=28,3,2),1)*IF(G79&gt;='депозитный калькулятор'!$G$11,IF(AND('депозитный калькулятор'!$G$7="факт/факт",MOD(YEAR(F79),4)=0),G79*'депозитный калькулятор'!$D$11/366,G79*'депозитный калькулятор'!$G$8),0))</f>
        <v xml:space="preserve"> </v>
      </c>
      <c r="R79" s="148"/>
      <c r="S79" s="62" t="str">
        <f t="shared" ca="1" si="2"/>
        <v xml:space="preserve"> </v>
      </c>
      <c r="T79" s="149" t="str">
        <f ca="1">IF(S79=" "," ",IF('депозитный калькулятор'!$G$7="30/360",DAYS360(U78,IF(DAY(U79)=31,U79-1,U79))+IF(AND(MONTH(U79)=2,U79=EOMONTH(U79,0)),30-DAY(EOMONTH(U79,0)))+T78,VLOOKUP(S79,$C$22:$F$1023,2,0)))</f>
        <v xml:space="preserve"> </v>
      </c>
      <c r="U79" s="64" t="str">
        <f t="shared" ca="1" si="0"/>
        <v xml:space="preserve"> </v>
      </c>
      <c r="V79" s="150" t="str">
        <f t="shared" ca="1" si="3"/>
        <v xml:space="preserve"> </v>
      </c>
      <c r="W79" s="62" t="str">
        <f t="shared" ca="1" si="4"/>
        <v xml:space="preserve"> </v>
      </c>
      <c r="X79" s="141" t="str">
        <f ca="1">IF(S79=" "," ",IFERROR(VLOOKUP(U79,$F$23:$N$1023,7)+VLOOKUP(U79,$F$23:$N$1023,9)+IF(AND('депозитный калькулятор'!$G$13="нет",U79&lt;&gt;'депозитный калькулятор'!$D$8),VLOOKUP(U79,$F$23:$N$1023,4),0),0)+IF(U79='депозитный калькулятор'!$D$8,VLOOKUP(U79,$F$23:$N$1023,2)+VLOOKUP(U79,$F$23:$N$1023,4),0))</f>
        <v xml:space="preserve"> </v>
      </c>
      <c r="Y79" s="142" t="str">
        <f ca="1">IF(S79=" "," ",W79/(1+'депозитный калькулятор'!$K$8)^(T79/IF('депозитный калькулятор'!$G$7="30/360",360,365)))</f>
        <v xml:space="preserve"> </v>
      </c>
      <c r="Z79" s="142" t="str">
        <f ca="1">IF(S79=" "," ",X79/(1+'депозитный калькулятор'!$K$8)^(T79/IF('депозитный калькулятор'!$G$7="30/360",360,365)))</f>
        <v xml:space="preserve"> </v>
      </c>
      <c r="AA79" s="151"/>
      <c r="AB79" s="151"/>
      <c r="AC79" s="155"/>
      <c r="AD79" s="155"/>
    </row>
    <row r="80" spans="1:30" s="2" customFormat="1" ht="15.5" x14ac:dyDescent="0.35">
      <c r="A80" s="41" t="str">
        <f>IF(F80=" "," ",IF(OR('депозитный калькулятор'!$G$7="30/365",'депозитный калькулятор'!$G$7="30/360"),IF(AND(MONTH(F80)=2,DAY(F80)=DAY(EOMONTH(F80,0))),30-DAY(EOMONTH(F80,0)),IF(DAY(F80)=31,1," "))," "))</f>
        <v xml:space="preserve"> </v>
      </c>
      <c r="B80" s="130" t="str">
        <f t="shared" si="1"/>
        <v xml:space="preserve"> </v>
      </c>
      <c r="C80" s="130" t="str">
        <f>IF(OR(B80=0,B80=" ")," ",SUM($B$23:B80))</f>
        <v xml:space="preserve"> </v>
      </c>
      <c r="D80" s="62" t="str">
        <f>IF(D79=" "," ",IF(OR(F79='депозитный калькулятор'!$D$8,F79=" ")," ",D79+1))</f>
        <v xml:space="preserve"> </v>
      </c>
      <c r="E80" s="130" t="str">
        <f>IF(OR(F79='депозитный калькулятор'!$D$8,F79=" ")," ",IF(EOMONTH(F79,0)=F79,1,E79+1))</f>
        <v xml:space="preserve"> </v>
      </c>
      <c r="F80" s="64" t="str">
        <f>IF(F79=" "," ",IF(F79='депозитный калькулятор'!$D$8," ",F79+1))</f>
        <v xml:space="preserve"> </v>
      </c>
      <c r="G80" s="145" t="str">
        <f xml:space="preserve"> IF(F80&gt;'депозитный калькулятор'!$D$8," ",IF('депозитный калькулятор'!$G$13="есть",IF('депозитный калькулятор'!$G$14="есть",G79+IF(I79=" ",0,I79)-J80-K80+L80+M80-N80,G79+IF(I79=" ",0,I79)-J80-K80+M80-N80),IF('депозитный калькулятор'!$G$14="есть",G79-J80-K80+L80+M80-N80,G79-J80-K80+M80-N80)))</f>
        <v xml:space="preserve"> </v>
      </c>
      <c r="H80" s="133" t="str">
        <f>IF(F80&gt;'депозитный калькулятор'!$D$8," ",IF(AND(OR('депозитный калькулятор'!$G$7="30/365",'депозитный калькулятор'!$G$7="30/360"),AND(MONTH(F80)=2,EOMONTH(F80,0)=F80)),IF(DAY(F80)=28,3*G80*'депозитный калькулятор'!$G$8,2*G80*'депозитный калькулятор'!$G$8),IF(AND(OR('депозитный калькулятор'!$G$7="30/365",'депозитный калькулятор'!$G$7="30/360"),DAY(F80)=31)," ",IF(AND('депозитный калькулятор'!$G$7="факт/факт",MOD(YEAR(F80),4)=0),G80*'депозитный калькулятор'!$D$11/366,G80*'депозитный калькулятор'!$G$8))))</f>
        <v xml:space="preserve"> </v>
      </c>
      <c r="I80" s="134" t="str">
        <f ca="1">IF(F80=" "," ",IF('депозитный калькулятор'!$G$10="ежедневное",H80,IF(AND('депозитный калькулятор'!$G$10="еженедельное",WEEKDAY(F80,2)=7),SUM(OFFSET(H80,-6,0):H80),IF(AND('депозитный калькулятор'!$G$10="еженедельное",F80='депозитный калькулятор'!$D$8),SUM($H$23:H80)-SUM($I$23:I79),IF(AND('депозитный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недели",WEEKDAY(F80,2)=7),MIN(OFFSET(H80,-6,0):H80)*(COUNTIF(OFFSET(H80,-6,0):H80,"&gt;0")+SUMIF(OFFSET(A80,-WEEKDAY(F80,2),0):A80,"=2",OFFSET(A80,-WEEKDAY(F80,2),0):A80)),IF(AND('депозитный калькулятор'!$G$10="еженедельное, на минимальную сумму зафиксированную в течение недели",F80='депозитный калькулятор'!$D$8,WEEKDAY(F80,2)&lt;&gt;7),MIN(OFFSET(H80,-WEEKDAY(F80,2),0):H80)*(COUNTIF(OFFSET(H80,-WEEKDAY(F80,2)+1,0):H80,"&gt;0")+SUM(OFFSET(A80,-WEEKDAY(F80,2),0):A80)),IF(AND('депозитный калькулятор'!$G$10="ежемесячное (в конце месяца)",F80='депозитный калькулятор'!$D$8,EOMONTH(F80,0)&lt;&gt;F80),IF('депозитный калькулятор'!$F$1=1,$H$24,SUM($H$23:H80)-SUM($I$23:I79)),IF(AND('депозитный калькулятор'!$G$10="ежемесячное (в конце месяца)",EOMONTH(F80,0)=F80),SUM($H$23:H80)-SUM($I$23:I79),IF(AND('депозитный калькулятор'!$G$10="ежемесячное (по дням открытия вклада)",F80='депозитный калькулятор'!$D$8,DAY('депозитный калькулятор'!$D$7)&lt;&gt;DAY(F80)),IF('депозитный калькулятор'!$F$1=1,$H$24,SUM($H$23:H80)-SUM($I$23:I79)),IF(AND('депозитный калькулятор'!$G$10="ежемесячное (по дням открытия вклада)",DAY('депозитный калькулятор'!$D$7)=DAY(F80)),SUM($H$23:H80)-SUM($I$23:I79),IF(AND('депозитный калькулятор'!$G$10="ежемесячное, на минимальную сумму зафиксированную в течение месяца",F80='депозитный калькулятор'!$D$8,EOMONTH(F80,0)&lt;&gt;F80),IF('депозитный калькулятор'!$F$1=1,$H$24,IF(AND(OR('депозитный калькулятор'!$G$7="30/365",'депозитный калькулятор'!$G$7="30/360"),DAY(F80)=31),0,MIN(OFFSET(H80,-E80+1,0):H80)*(E80+SUMIF(OFFSET(A80,-E80+1,0):A80,"=2",OFFSET(A80,-E80+1,0):A80)))),IF(AND('депозитный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калькулятор'!$G$7="30/360"),DAY(EOMONTH(F80,0))=31),EOMONTH(F80,0)-1=F80,EOMONTH(F80,0)=F80)),IF(IF(AND(OR('депозитный калькулятор'!$G$7="30/365",'депозитный калькулятор'!$G$7="30/360"),DAY(EOMONTH($F$23,0))=31),F80=EOMONTH($F$23,0)-1,F80=EOMONTH($F$23,0)),MIN(OFFSET(H80,-(DAY(F80)-DAY($F$23)),0):H80)*E80,MIN(OFFSET(H80,-(DAY(F80)-1),0):H80)*IF(AND(OR('депозитный калькулятор'!$G$7="30/365",'депозитный калькулятор'!$G$7="30/360"),DAY(F80)&lt;30),30,DAY(F80))),IF(AND('депозитный калькулятор'!$G$10="ежемесячное, на средний остаток в течение месяца, при условии что остаток больше чем ограничение",F80='депозитный калькулятор'!$D$8,EOMONTH(F80,0)&lt;&gt;F80),IF('депозитный калькулятор'!$F$1=1,$H$24,SUM(OFFSET(Q80,-E80+1,0):Q80)),IF(AND('депозитный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калькулятор'!$G$7="30/360"),DAY(EOMONTH(F80,0))=31),EOMONTH(F80,0)-1=F80,EOMONTH(F80,0)=F80)),IF(IF(AND(OR('депозитный калькулятор'!$G$7="30/365",'депозитный калькулятор'!$G$7="30/360"),DAY(EOMONTH($F$24,0))=31),F80=EOMONTH($F$24,0)-1,F80=EOMONTH($F$24,0)),SUM(OFFSET(Q80,-E80+1,0):Q80),SUM(OFFSET(Q80,-E80+1,0):Q80)),IF('депозитный калькулятор'!$G$10="ежеквартальное",IF(F80&gt;'депозитный калькулятор'!$D$8," ",IF(AND(EOMONTH(F80,0)=F80,OR(MONTH(F80)=3,MONTH(F80)=6,MONTH(F80)=9,MONTH(F80)=12)),IF(EDATE(F80,-3)&lt;'депозитный калькулятор'!$D$7,SUM($H$23:H80),IF(MOD(YEAR(F80),4)=0,IF(AND(EOMONTH(F80,0)=F80,OR(MONTH(F80)=3,MONTH(F80)=6)),SUM(OFFSET(H80,-90,0):H80),IF(AND(EOMONTH(F80,0)=F80,OR(MONTH(F80)=9,MONTH(F80)=12)),SUM(OFFSET(H80,-91,0):H80))),IF(AND(EOMONTH(F80,0)=F80,MONTH(F80)=3),SUM(OFFSET(H80,-89,0):H80),IF(AND(EOMONTH(F80,0)=F80,MONTH(F80)=6),SUM(OFFSET(H80,-90,0):H80),IF(AND(EOMONTH(F80,0)=F80,OR(MONTH(F80)=9,MONTH(F80)=12)),SUM(OFFSET(H80,-91,0):H80)))))),IF(F80='депозитный калькулятор'!$D$8,SUM($H$23:H80)-SUM($I$23:I79),0))),IF('депозитный калькулятор'!$G$10="ежегодное",IF(F80&gt;'депозитный калькулятор'!$D$8," ",IF(F80='депозитный калькулятор'!$D$8,SUM($H$23:H80)-SUM($I$23:I79),IF(AND(EOMONTH(F80,0)=F80,MONTH(F80)=12),IF(MOD(YEAR(F79),4)=0,IF(F80-'депозитный калькулятор'!$D$7&lt;366,SUM($H$23:H80),SUM(OFFSET(H80,-365,0):H80)),IF(F80-'депозитный калькулятор'!$D$7&lt;365,SUM($H$23:H80),SUM(OFFSET(H80,-364,0):H80))),0))),IF(AND('депозитный калькулятор'!$G$10="в конце срока",'депозитный калькулятор'!$D$8=F80),SUM($H$23:H80),0))))))))))))))))))</f>
        <v xml:space="preserve"> </v>
      </c>
      <c r="J80" s="59" t="str">
        <f>IF(F80&gt;'депозитный калькулятор'!$D$8," ",IF('депозитный калькулятор'!$G$16="нет",0,IF(AND('депозитный калькулятор'!$G$17="разовая (в конце срока)",F80='депозитный калькулятор'!$D$8),'депозитный калькулятор'!$G$18,IF(AND('депозитный калькулятор'!$G$17="ежемесячная",EOMONTH(F79,0)=F79),'депозитный калькулятор'!$G$18,IF(AND('депозитный калькулятор'!$G$17="ежегодная",DAY(F79)=31,MONTH(F79)=12),'депозитный калькулятор'!$G$18,IF(AND('депозитный калькулятор'!$G$17="ежемесячная в зависимости от остатка",EOMONTH(F79,0)=F79,P79&gt;0),'депозитный калькулятор'!$G$18,IF(AND('депозитный калькулятор'!$G$17="ежегодная в зависимости от остатка",DAY(F79)=31,MONTH(F79)=12,P79&gt;0),'депозитный калькулятор'!$G$18,0)))))))</f>
        <v xml:space="preserve"> </v>
      </c>
      <c r="K80" s="135" t="str">
        <f>IF($F80=" "," ",IFERROR(VLOOKUP($F80,'депозитный калькулятор'!$B$26:$F$70,2,0),0))</f>
        <v xml:space="preserve"> </v>
      </c>
      <c r="L80" s="135" t="str">
        <f>IF($F80=" "," ",IFERROR(VLOOKUP($F80,'депозитный калькулятор'!$B$26:$F$70,3,0),0))</f>
        <v xml:space="preserve"> </v>
      </c>
      <c r="M80" s="135" t="str">
        <f>IF($F80=" "," ",IFERROR(VLOOKUP($F80,'депозитный калькулятор'!$B$26:$F$70,4,0),0))</f>
        <v xml:space="preserve"> </v>
      </c>
      <c r="N80" s="135" t="str">
        <f>IF($F80=" "," ",IFERROR(VLOOKUP($F80,'депозитный калькулятор'!$B$26:$F$70,5,0),0))</f>
        <v xml:space="preserve"> </v>
      </c>
      <c r="O80" s="146" t="str">
        <f>IF(F80&gt;'депозитный калькулятор'!$D$8," ",IF(F80='депозитный калькулятор'!$D$8,IF(AND($F$24='депозитный калькулятор'!$D$8,'депозитный калькулятор'!$G$13="нет"),-G80-IF(I80=" ",0,I80)-IF(AND(OR('депозитный калькулятор'!$G$7="30/365",'депозитный калькулятор'!$G$7="30/360"),'депозитный калькулятор'!$G$10="в начале срока"),I79,0)-L80+M80-N80,-G80-IF(I80=" ",0,I80)-L80+M80-N80),IF('депозитный калькулятор'!$G$13="есть",M80-N80+IF('депозитный калькулятор'!$G$14="есть",0,-L80),-IF(I80=" ",0,I80)-IF(AND(OR('депозитный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срока"),I79,0)+M80-N80+IF('депозитный калькулятор'!$G$14="есть",0,-L80))))</f>
        <v xml:space="preserve"> </v>
      </c>
      <c r="P80" s="147" t="str">
        <f>IF(F80&gt;'депозитный калькулятор'!$D$8," ",IF(EOMONTH(F79,0)=F79,0,IF(G80&gt;='депозитный калькулятор'!$G$19,P79,P79+1)))</f>
        <v xml:space="preserve"> </v>
      </c>
      <c r="Q80" s="138" t="str">
        <f>IF(F80=" "," ",IF(AND(OR('депозитный калькулятор'!$G$7="30/365",'депозитный калькулятор'!$G$7="30/360"),AND(MONTH(F80)=2,EOMONTH(F80,0)=F80)),IF(DAY(F80)=28,3,2),1)*IF(G80&gt;='депозитный калькулятор'!$G$11,IF(AND('депозитный калькулятор'!$G$7="факт/факт",MOD(YEAR(F80),4)=0),G80*'депозитный калькулятор'!$D$11/366,G80*'депозитный калькулятор'!$G$8),0))</f>
        <v xml:space="preserve"> </v>
      </c>
      <c r="R80" s="148"/>
      <c r="S80" s="62" t="str">
        <f t="shared" ca="1" si="2"/>
        <v xml:space="preserve"> </v>
      </c>
      <c r="T80" s="149" t="str">
        <f ca="1">IF(S80=" "," ",IF('депозитный калькулятор'!$G$7="30/360",DAYS360(U79,IF(DAY(U80)=31,U80-1,U80))+IF(AND(MONTH(U80)=2,U80=EOMONTH(U80,0)),30-DAY(EOMONTH(U80,0)))+T79,VLOOKUP(S80,$C$22:$F$1023,2,0)))</f>
        <v xml:space="preserve"> </v>
      </c>
      <c r="U80" s="64" t="str">
        <f t="shared" ca="1" si="0"/>
        <v xml:space="preserve"> </v>
      </c>
      <c r="V80" s="150" t="str">
        <f t="shared" ca="1" si="3"/>
        <v xml:space="preserve"> </v>
      </c>
      <c r="W80" s="62" t="str">
        <f t="shared" ca="1" si="4"/>
        <v xml:space="preserve"> </v>
      </c>
      <c r="X80" s="141" t="str">
        <f ca="1">IF(S80=" "," ",IFERROR(VLOOKUP(U80,$F$23:$N$1023,7)+VLOOKUP(U80,$F$23:$N$1023,9)+IF(AND('депозитный калькулятор'!$G$13="нет",U80&lt;&gt;'депозитный калькулятор'!$D$8),VLOOKUP(U80,$F$23:$N$1023,4),0),0)+IF(U80='депозитный калькулятор'!$D$8,VLOOKUP(U80,$F$23:$N$1023,2)+VLOOKUP(U80,$F$23:$N$1023,4),0))</f>
        <v xml:space="preserve"> </v>
      </c>
      <c r="Y80" s="142" t="str">
        <f ca="1">IF(S80=" "," ",W80/(1+'депозитный калькулятор'!$K$8)^(T80/IF('депозитный калькулятор'!$G$7="30/360",360,365)))</f>
        <v xml:space="preserve"> </v>
      </c>
      <c r="Z80" s="142" t="str">
        <f ca="1">IF(S80=" "," ",X80/(1+'депозитный калькулятор'!$K$8)^(T80/IF('депозитный калькулятор'!$G$7="30/360",360,365)))</f>
        <v xml:space="preserve"> </v>
      </c>
      <c r="AA80" s="151"/>
      <c r="AB80" s="151"/>
      <c r="AC80" s="155"/>
      <c r="AD80" s="155"/>
    </row>
    <row r="81" spans="1:32" s="2" customFormat="1" ht="15.5" x14ac:dyDescent="0.35">
      <c r="A81" s="41" t="str">
        <f>IF(F81=" "," ",IF(OR('депозитный калькулятор'!$G$7="30/365",'депозитный калькулятор'!$G$7="30/360"),IF(AND(MONTH(F81)=2,DAY(F81)=DAY(EOMONTH(F81,0))),30-DAY(EOMONTH(F81,0)),IF(DAY(F81)=31,1," "))," "))</f>
        <v xml:space="preserve"> </v>
      </c>
      <c r="B81" s="130" t="str">
        <f t="shared" si="1"/>
        <v xml:space="preserve"> </v>
      </c>
      <c r="C81" s="130" t="str">
        <f>IF(OR(B81=0,B81=" ")," ",SUM($B$23:B81))</f>
        <v xml:space="preserve"> </v>
      </c>
      <c r="D81" s="62" t="str">
        <f>IF(D80=" "," ",IF(OR(F80='депозитный калькулятор'!$D$8,F80=" ")," ",D80+1))</f>
        <v xml:space="preserve"> </v>
      </c>
      <c r="E81" s="130" t="str">
        <f>IF(OR(F80='депозитный калькулятор'!$D$8,F80=" ")," ",IF(EOMONTH(F80,0)=F80,1,E80+1))</f>
        <v xml:space="preserve"> </v>
      </c>
      <c r="F81" s="64" t="str">
        <f>IF(F80=" "," ",IF(F80='депозитный калькулятор'!$D$8," ",F80+1))</f>
        <v xml:space="preserve"> </v>
      </c>
      <c r="G81" s="145" t="str">
        <f xml:space="preserve"> IF(F81&gt;'депозитный калькулятор'!$D$8," ",IF('депозитный калькулятор'!$G$13="есть",IF('депозитный калькулятор'!$G$14="есть",G80+IF(I80=" ",0,I80)-J81-K81+L81+M81-N81,G80+IF(I80=" ",0,I80)-J81-K81+M81-N81),IF('депозитный калькулятор'!$G$14="есть",G80-J81-K81+L81+M81-N81,G80-J81-K81+M81-N81)))</f>
        <v xml:space="preserve"> </v>
      </c>
      <c r="H81" s="133" t="str">
        <f>IF(F81&gt;'депозитный калькулятор'!$D$8," ",IF(AND(OR('депозитный калькулятор'!$G$7="30/365",'депозитный калькулятор'!$G$7="30/360"),AND(MONTH(F81)=2,EOMONTH(F81,0)=F81)),IF(DAY(F81)=28,3*G81*'депозитный калькулятор'!$G$8,2*G81*'депозитный калькулятор'!$G$8),IF(AND(OR('депозитный калькулятор'!$G$7="30/365",'депозитный калькулятор'!$G$7="30/360"),DAY(F81)=31)," ",IF(AND('депозитный калькулятор'!$G$7="факт/факт",MOD(YEAR(F81),4)=0),G81*'депозитный калькулятор'!$D$11/366,G81*'депозитный калькулятор'!$G$8))))</f>
        <v xml:space="preserve"> </v>
      </c>
      <c r="I81" s="134" t="str">
        <f ca="1">IF(F81=" "," ",IF('депозитный калькулятор'!$G$10="ежедневное",H81,IF(AND('депозитный калькулятор'!$G$10="еженедельное",WEEKDAY(F81,2)=7),SUM(OFFSET(H81,-6,0):H81),IF(AND('депозитный калькулятор'!$G$10="еженедельное",F81='депозитный калькулятор'!$D$8),SUM($H$23:H81)-SUM($I$23:I80),IF(AND('депозитный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недели",WEEKDAY(F81,2)=7),MIN(OFFSET(H81,-6,0):H81)*(COUNTIF(OFFSET(H81,-6,0):H81,"&gt;0")+SUMIF(OFFSET(A81,-WEEKDAY(F81,2),0):A81,"=2",OFFSET(A81,-WEEKDAY(F81,2),0):A81)),IF(AND('депозитный калькулятор'!$G$10="еженедельное, на минимальную сумму зафиксированную в течение недели",F81='депозитный калькулятор'!$D$8,WEEKDAY(F81,2)&lt;&gt;7),MIN(OFFSET(H81,-WEEKDAY(F81,2),0):H81)*(COUNTIF(OFFSET(H81,-WEEKDAY(F81,2)+1,0):H81,"&gt;0")+SUM(OFFSET(A81,-WEEKDAY(F81,2),0):A81)),IF(AND('депозитный калькулятор'!$G$10="ежемесячное (в конце месяца)",F81='депозитный калькулятор'!$D$8,EOMONTH(F81,0)&lt;&gt;F81),IF('депозитный калькулятор'!$F$1=1,$H$24,SUM($H$23:H81)-SUM($I$23:I80)),IF(AND('депозитный калькулятор'!$G$10="ежемесячное (в конце месяца)",EOMONTH(F81,0)=F81),SUM($H$23:H81)-SUM($I$23:I80),IF(AND('депозитный калькулятор'!$G$10="ежемесячное (по дням открытия вклада)",F81='депозитный калькулятор'!$D$8,DAY('депозитный калькулятор'!$D$7)&lt;&gt;DAY(F81)),IF('депозитный калькулятор'!$F$1=1,$H$24,SUM($H$23:H81)-SUM($I$23:I80)),IF(AND('депозитный калькулятор'!$G$10="ежемесячное (по дням открытия вклада)",DAY('депозитный калькулятор'!$D$7)=DAY(F81)),SUM($H$23:H81)-SUM($I$23:I80),IF(AND('депозитный калькулятор'!$G$10="ежемесячное, на минимальную сумму зафиксированную в течение месяца",F81='депозитный калькулятор'!$D$8,EOMONTH(F81,0)&lt;&gt;F81),IF('депозитный калькулятор'!$F$1=1,$H$24,IF(AND(OR('депозитный калькулятор'!$G$7="30/365",'депозитный калькулятор'!$G$7="30/360"),DAY(F81)=31),0,MIN(OFFSET(H81,-E81+1,0):H81)*(E81+SUMIF(OFFSET(A81,-E81+1,0):A81,"=2",OFFSET(A81,-E81+1,0):A81)))),IF(AND('депозитный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калькулятор'!$G$7="30/360"),DAY(EOMONTH(F81,0))=31),EOMONTH(F81,0)-1=F81,EOMONTH(F81,0)=F81)),IF(IF(AND(OR('депозитный калькулятор'!$G$7="30/365",'депозитный калькулятор'!$G$7="30/360"),DAY(EOMONTH($F$23,0))=31),F81=EOMONTH($F$23,0)-1,F81=EOMONTH($F$23,0)),MIN(OFFSET(H81,-(DAY(F81)-DAY($F$23)),0):H81)*E81,MIN(OFFSET(H81,-(DAY(F81)-1),0):H81)*IF(AND(OR('депозитный калькулятор'!$G$7="30/365",'депозитный калькулятор'!$G$7="30/360"),DAY(F81)&lt;30),30,DAY(F81))),IF(AND('депозитный калькулятор'!$G$10="ежемесячное, на средний остаток в течение месяца, при условии что остаток больше чем ограничение",F81='депозитный калькулятор'!$D$8,EOMONTH(F81,0)&lt;&gt;F81),IF('депозитный калькулятор'!$F$1=1,$H$24,SUM(OFFSET(Q81,-E81+1,0):Q81)),IF(AND('депозитный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калькулятор'!$G$7="30/360"),DAY(EOMONTH(F81,0))=31),EOMONTH(F81,0)-1=F81,EOMONTH(F81,0)=F81)),IF(IF(AND(OR('депозитный калькулятор'!$G$7="30/365",'депозитный калькулятор'!$G$7="30/360"),DAY(EOMONTH($F$24,0))=31),F81=EOMONTH($F$24,0)-1,F81=EOMONTH($F$24,0)),SUM(OFFSET(Q81,-E81+1,0):Q81),SUM(OFFSET(Q81,-E81+1,0):Q81)),IF('депозитный калькулятор'!$G$10="ежеквартальное",IF(F81&gt;'депозитный калькулятор'!$D$8," ",IF(AND(EOMONTH(F81,0)=F81,OR(MONTH(F81)=3,MONTH(F81)=6,MONTH(F81)=9,MONTH(F81)=12)),IF(EDATE(F81,-3)&lt;'депозитный калькулятор'!$D$7,SUM($H$23:H81),IF(MOD(YEAR(F81),4)=0,IF(AND(EOMONTH(F81,0)=F81,OR(MONTH(F81)=3,MONTH(F81)=6)),SUM(OFFSET(H81,-90,0):H81),IF(AND(EOMONTH(F81,0)=F81,OR(MONTH(F81)=9,MONTH(F81)=12)),SUM(OFFSET(H81,-91,0):H81))),IF(AND(EOMONTH(F81,0)=F81,MONTH(F81)=3),SUM(OFFSET(H81,-89,0):H81),IF(AND(EOMONTH(F81,0)=F81,MONTH(F81)=6),SUM(OFFSET(H81,-90,0):H81),IF(AND(EOMONTH(F81,0)=F81,OR(MONTH(F81)=9,MONTH(F81)=12)),SUM(OFFSET(H81,-91,0):H81)))))),IF(F81='депозитный калькулятор'!$D$8,SUM($H$23:H81)-SUM($I$23:I80),0))),IF('депозитный калькулятор'!$G$10="ежегодное",IF(F81&gt;'депозитный калькулятор'!$D$8," ",IF(F81='депозитный калькулятор'!$D$8,SUM($H$23:H81)-SUM($I$23:I80),IF(AND(EOMONTH(F81,0)=F81,MONTH(F81)=12),IF(MOD(YEAR(F80),4)=0,IF(F81-'депозитный калькулятор'!$D$7&lt;366,SUM($H$23:H81),SUM(OFFSET(H81,-365,0):H81)),IF(F81-'депозитный калькулятор'!$D$7&lt;365,SUM($H$23:H81),SUM(OFFSET(H81,-364,0):H81))),0))),IF(AND('депозитный калькулятор'!$G$10="в конце срока",'депозитный калькулятор'!$D$8=F81),SUM($H$23:H81),0))))))))))))))))))</f>
        <v xml:space="preserve"> </v>
      </c>
      <c r="J81" s="59" t="str">
        <f>IF(F81&gt;'депозитный калькулятор'!$D$8," ",IF('депозитный калькулятор'!$G$16="нет",0,IF(AND('депозитный калькулятор'!$G$17="разовая (в конце срока)",F81='депозитный калькулятор'!$D$8),'депозитный калькулятор'!$G$18,IF(AND('депозитный калькулятор'!$G$17="ежемесячная",EOMONTH(F80,0)=F80),'депозитный калькулятор'!$G$18,IF(AND('депозитный калькулятор'!$G$17="ежегодная",DAY(F80)=31,MONTH(F80)=12),'депозитный калькулятор'!$G$18,IF(AND('депозитный калькулятор'!$G$17="ежемесячная в зависимости от остатка",EOMONTH(F80,0)=F80,P80&gt;0),'депозитный калькулятор'!$G$18,IF(AND('депозитный калькулятор'!$G$17="ежегодная в зависимости от остатка",DAY(F80)=31,MONTH(F80)=12,P80&gt;0),'депозитный калькулятор'!$G$18,0)))))))</f>
        <v xml:space="preserve"> </v>
      </c>
      <c r="K81" s="135" t="str">
        <f>IF($F81=" "," ",IFERROR(VLOOKUP($F81,'депозитный калькулятор'!$B$26:$F$70,2,0),0))</f>
        <v xml:space="preserve"> </v>
      </c>
      <c r="L81" s="135" t="str">
        <f>IF($F81=" "," ",IFERROR(VLOOKUP($F81,'депозитный калькулятор'!$B$26:$F$70,3,0),0))</f>
        <v xml:space="preserve"> </v>
      </c>
      <c r="M81" s="135" t="str">
        <f>IF($F81=" "," ",IFERROR(VLOOKUP($F81,'депозитный калькулятор'!$B$26:$F$70,4,0),0))</f>
        <v xml:space="preserve"> </v>
      </c>
      <c r="N81" s="135" t="str">
        <f>IF($F81=" "," ",IFERROR(VLOOKUP($F81,'депозитный калькулятор'!$B$26:$F$70,5,0),0))</f>
        <v xml:space="preserve"> </v>
      </c>
      <c r="O81" s="146" t="str">
        <f>IF(F81&gt;'депозитный калькулятор'!$D$8," ",IF(F81='депозитный калькулятор'!$D$8,IF(AND($F$24='депозитный калькулятор'!$D$8,'депозитный калькулятор'!$G$13="нет"),-G81-IF(I81=" ",0,I81)-IF(AND(OR('депозитный калькулятор'!$G$7="30/365",'депозитный калькулятор'!$G$7="30/360"),'депозитный калькулятор'!$G$10="в начале срока"),I80,0)-L81+M81-N81,-G81-IF(I81=" ",0,I81)-L81+M81-N81),IF('депозитный калькулятор'!$G$13="есть",M81-N81+IF('депозитный калькулятор'!$G$14="есть",0,-L81),-IF(I81=" ",0,I81)-IF(AND(OR('депозитный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срока"),I80,0)+M81-N81+IF('депозитный калькулятор'!$G$14="есть",0,-L81))))</f>
        <v xml:space="preserve"> </v>
      </c>
      <c r="P81" s="147" t="str">
        <f>IF(F81&gt;'депозитный калькулятор'!$D$8," ",IF(EOMONTH(F80,0)=F80,0,IF(G81&gt;='депозитный калькулятор'!$G$19,P80,P80+1)))</f>
        <v xml:space="preserve"> </v>
      </c>
      <c r="Q81" s="138" t="str">
        <f>IF(F81=" "," ",IF(AND(OR('депозитный калькулятор'!$G$7="30/365",'депозитный калькулятор'!$G$7="30/360"),AND(MONTH(F81)=2,EOMONTH(F81,0)=F81)),IF(DAY(F81)=28,3,2),1)*IF(G81&gt;='депозитный калькулятор'!$G$11,IF(AND('депозитный калькулятор'!$G$7="факт/факт",MOD(YEAR(F81),4)=0),G81*'депозитный калькулятор'!$D$11/366,G81*'депозитный калькулятор'!$G$8),0))</f>
        <v xml:space="preserve"> </v>
      </c>
      <c r="R81" s="148"/>
      <c r="S81" s="62" t="str">
        <f t="shared" ca="1" si="2"/>
        <v xml:space="preserve"> </v>
      </c>
      <c r="T81" s="149" t="str">
        <f ca="1">IF(S81=" "," ",IF('депозитный калькулятор'!$G$7="30/360",DAYS360(U80,IF(DAY(U81)=31,U81-1,U81))+IF(AND(MONTH(U81)=2,U81=EOMONTH(U81,0)),30-DAY(EOMONTH(U81,0)))+T80,VLOOKUP(S81,$C$22:$F$1023,2,0)))</f>
        <v xml:space="preserve"> </v>
      </c>
      <c r="U81" s="64" t="str">
        <f t="shared" ca="1" si="0"/>
        <v xml:space="preserve"> </v>
      </c>
      <c r="V81" s="150" t="str">
        <f t="shared" ca="1" si="3"/>
        <v xml:space="preserve"> </v>
      </c>
      <c r="W81" s="62" t="str">
        <f t="shared" ca="1" si="4"/>
        <v xml:space="preserve"> </v>
      </c>
      <c r="X81" s="141" t="str">
        <f ca="1">IF(S81=" "," ",IFERROR(VLOOKUP(U81,$F$23:$N$1023,7)+VLOOKUP(U81,$F$23:$N$1023,9)+IF(AND('депозитный калькулятор'!$G$13="нет",U81&lt;&gt;'депозитный калькулятор'!$D$8),VLOOKUP(U81,$F$23:$N$1023,4),0),0)+IF(U81='депозитный калькулятор'!$D$8,VLOOKUP(U81,$F$23:$N$1023,2)+VLOOKUP(U81,$F$23:$N$1023,4),0))</f>
        <v xml:space="preserve"> </v>
      </c>
      <c r="Y81" s="142" t="str">
        <f ca="1">IF(S81=" "," ",W81/(1+'депозитный калькулятор'!$K$8)^(T81/IF('депозитный калькулятор'!$G$7="30/360",360,365)))</f>
        <v xml:space="preserve"> </v>
      </c>
      <c r="Z81" s="142" t="str">
        <f ca="1">IF(S81=" "," ",X81/(1+'депозитный калькулятор'!$K$8)^(T81/IF('депозитный калькулятор'!$G$7="30/360",360,365)))</f>
        <v xml:space="preserve"> </v>
      </c>
      <c r="AA81" s="151"/>
      <c r="AB81" s="151"/>
      <c r="AC81" s="155"/>
      <c r="AD81" s="155"/>
      <c r="AF81" s="157"/>
    </row>
    <row r="82" spans="1:32" s="2" customFormat="1" ht="15.5" x14ac:dyDescent="0.35">
      <c r="A82" s="41" t="str">
        <f>IF(F82=" "," ",IF(OR('депозитный калькулятор'!$G$7="30/365",'депозитный калькулятор'!$G$7="30/360"),IF(AND(MONTH(F82)=2,DAY(F82)=DAY(EOMONTH(F82,0))),30-DAY(EOMONTH(F82,0)),IF(DAY(F82)=31,1," "))," "))</f>
        <v xml:space="preserve"> </v>
      </c>
      <c r="B82" s="130" t="str">
        <f t="shared" si="1"/>
        <v xml:space="preserve"> </v>
      </c>
      <c r="C82" s="130" t="str">
        <f>IF(OR(B82=0,B82=" ")," ",SUM($B$23:B82))</f>
        <v xml:space="preserve"> </v>
      </c>
      <c r="D82" s="62" t="str">
        <f>IF(D81=" "," ",IF(OR(F81='депозитный калькулятор'!$D$8,F81=" ")," ",D81+1))</f>
        <v xml:space="preserve"> </v>
      </c>
      <c r="E82" s="130" t="str">
        <f>IF(OR(F81='депозитный калькулятор'!$D$8,F81=" ")," ",IF(EOMONTH(F81,0)=F81,1,E81+1))</f>
        <v xml:space="preserve"> </v>
      </c>
      <c r="F82" s="64" t="str">
        <f>IF(F81=" "," ",IF(F81='депозитный калькулятор'!$D$8," ",F81+1))</f>
        <v xml:space="preserve"> </v>
      </c>
      <c r="G82" s="145" t="str">
        <f xml:space="preserve"> IF(F82&gt;'депозитный калькулятор'!$D$8," ",IF('депозитный калькулятор'!$G$13="есть",IF('депозитный калькулятор'!$G$14="есть",G81+IF(I81=" ",0,I81)-J82-K82+L82+M82-N82,G81+IF(I81=" ",0,I81)-J82-K82+M82-N82),IF('депозитный калькулятор'!$G$14="есть",G81-J82-K82+L82+M82-N82,G81-J82-K82+M82-N82)))</f>
        <v xml:space="preserve"> </v>
      </c>
      <c r="H82" s="133" t="str">
        <f>IF(F82&gt;'депозитный калькулятор'!$D$8," ",IF(AND(OR('депозитный калькулятор'!$G$7="30/365",'депозитный калькулятор'!$G$7="30/360"),AND(MONTH(F82)=2,EOMONTH(F82,0)=F82)),IF(DAY(F82)=28,3*G82*'депозитный калькулятор'!$G$8,2*G82*'депозитный калькулятор'!$G$8),IF(AND(OR('депозитный калькулятор'!$G$7="30/365",'депозитный калькулятор'!$G$7="30/360"),DAY(F82)=31)," ",IF(AND('депозитный калькулятор'!$G$7="факт/факт",MOD(YEAR(F82),4)=0),G82*'депозитный калькулятор'!$D$11/366,G82*'депозитный калькулятор'!$G$8))))</f>
        <v xml:space="preserve"> </v>
      </c>
      <c r="I82" s="134" t="str">
        <f ca="1">IF(F82=" "," ",IF('депозитный калькулятор'!$G$10="ежедневное",H82,IF(AND('депозитный калькулятор'!$G$10="еженедельное",WEEKDAY(F82,2)=7),SUM(OFFSET(H82,-6,0):H82),IF(AND('депозитный калькулятор'!$G$10="еженедельное",F82='депозитный калькулятор'!$D$8),SUM($H$23:H82)-SUM($I$23:I81),IF(AND('депозитный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недели",WEEKDAY(F82,2)=7),MIN(OFFSET(H82,-6,0):H82)*(COUNTIF(OFFSET(H82,-6,0):H82,"&gt;0")+SUMIF(OFFSET(A82,-WEEKDAY(F82,2),0):A82,"=2",OFFSET(A82,-WEEKDAY(F82,2),0):A82)),IF(AND('депозитный калькулятор'!$G$10="еженедельное, на минимальную сумму зафиксированную в течение недели",F82='депозитный калькулятор'!$D$8,WEEKDAY(F82,2)&lt;&gt;7),MIN(OFFSET(H82,-WEEKDAY(F82,2),0):H82)*(COUNTIF(OFFSET(H82,-WEEKDAY(F82,2)+1,0):H82,"&gt;0")+SUM(OFFSET(A82,-WEEKDAY(F82,2),0):A82)),IF(AND('депозитный калькулятор'!$G$10="ежемесячное (в конце месяца)",F82='депозитный калькулятор'!$D$8,EOMONTH(F82,0)&lt;&gt;F82),IF('депозитный калькулятор'!$F$1=1,$H$24,SUM($H$23:H82)-SUM($I$23:I81)),IF(AND('депозитный калькулятор'!$G$10="ежемесячное (в конце месяца)",EOMONTH(F82,0)=F82),SUM($H$23:H82)-SUM($I$23:I81),IF(AND('депозитный калькулятор'!$G$10="ежемесячное (по дням открытия вклада)",F82='депозитный калькулятор'!$D$8,DAY('депозитный калькулятор'!$D$7)&lt;&gt;DAY(F82)),IF('депозитный калькулятор'!$F$1=1,$H$24,SUM($H$23:H82)-SUM($I$23:I81)),IF(AND('депозитный калькулятор'!$G$10="ежемесячное (по дням открытия вклада)",DAY('депозитный калькулятор'!$D$7)=DAY(F82)),SUM($H$23:H82)-SUM($I$23:I81),IF(AND('депозитный калькулятор'!$G$10="ежемесячное, на минимальную сумму зафиксированную в течение месяца",F82='депозитный калькулятор'!$D$8,EOMONTH(F82,0)&lt;&gt;F82),IF('депозитный калькулятор'!$F$1=1,$H$24,IF(AND(OR('депозитный калькулятор'!$G$7="30/365",'депозитный калькулятор'!$G$7="30/360"),DAY(F82)=31),0,MIN(OFFSET(H82,-E82+1,0):H82)*(E82+SUMIF(OFFSET(A82,-E82+1,0):A82,"=2",OFFSET(A82,-E82+1,0):A82)))),IF(AND('депозитный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калькулятор'!$G$7="30/360"),DAY(EOMONTH(F82,0))=31),EOMONTH(F82,0)-1=F82,EOMONTH(F82,0)=F82)),IF(IF(AND(OR('депозитный калькулятор'!$G$7="30/365",'депозитный калькулятор'!$G$7="30/360"),DAY(EOMONTH($F$23,0))=31),F82=EOMONTH($F$23,0)-1,F82=EOMONTH($F$23,0)),MIN(OFFSET(H82,-(DAY(F82)-DAY($F$23)),0):H82)*E82,MIN(OFFSET(H82,-(DAY(F82)-1),0):H82)*IF(AND(OR('депозитный калькулятор'!$G$7="30/365",'депозитный калькулятор'!$G$7="30/360"),DAY(F82)&lt;30),30,DAY(F82))),IF(AND('депозитный калькулятор'!$G$10="ежемесячное, на средний остаток в течение месяца, при условии что остаток больше чем ограничение",F82='депозитный калькулятор'!$D$8,EOMONTH(F82,0)&lt;&gt;F82),IF('депозитный калькулятор'!$F$1=1,$H$24,SUM(OFFSET(Q82,-E82+1,0):Q82)),IF(AND('депозитный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калькулятор'!$G$7="30/360"),DAY(EOMONTH(F82,0))=31),EOMONTH(F82,0)-1=F82,EOMONTH(F82,0)=F82)),IF(IF(AND(OR('депозитный калькулятор'!$G$7="30/365",'депозитный калькулятор'!$G$7="30/360"),DAY(EOMONTH($F$24,0))=31),F82=EOMONTH($F$24,0)-1,F82=EOMONTH($F$24,0)),SUM(OFFSET(Q82,-E82+1,0):Q82),SUM(OFFSET(Q82,-E82+1,0):Q82)),IF('депозитный калькулятор'!$G$10="ежеквартальное",IF(F82&gt;'депозитный калькулятор'!$D$8," ",IF(AND(EOMONTH(F82,0)=F82,OR(MONTH(F82)=3,MONTH(F82)=6,MONTH(F82)=9,MONTH(F82)=12)),IF(EDATE(F82,-3)&lt;'депозитный калькулятор'!$D$7,SUM($H$23:H82),IF(MOD(YEAR(F82),4)=0,IF(AND(EOMONTH(F82,0)=F82,OR(MONTH(F82)=3,MONTH(F82)=6)),SUM(OFFSET(H82,-90,0):H82),IF(AND(EOMONTH(F82,0)=F82,OR(MONTH(F82)=9,MONTH(F82)=12)),SUM(OFFSET(H82,-91,0):H82))),IF(AND(EOMONTH(F82,0)=F82,MONTH(F82)=3),SUM(OFFSET(H82,-89,0):H82),IF(AND(EOMONTH(F82,0)=F82,MONTH(F82)=6),SUM(OFFSET(H82,-90,0):H82),IF(AND(EOMONTH(F82,0)=F82,OR(MONTH(F82)=9,MONTH(F82)=12)),SUM(OFFSET(H82,-91,0):H82)))))),IF(F82='депозитный калькулятор'!$D$8,SUM($H$23:H82)-SUM($I$23:I81),0))),IF('депозитный калькулятор'!$G$10="ежегодное",IF(F82&gt;'депозитный калькулятор'!$D$8," ",IF(F82='депозитный калькулятор'!$D$8,SUM($H$23:H82)-SUM($I$23:I81),IF(AND(EOMONTH(F82,0)=F82,MONTH(F82)=12),IF(MOD(YEAR(F81),4)=0,IF(F82-'депозитный калькулятор'!$D$7&lt;366,SUM($H$23:H82),SUM(OFFSET(H82,-365,0):H82)),IF(F82-'депозитный калькулятор'!$D$7&lt;365,SUM($H$23:H82),SUM(OFFSET(H82,-364,0):H82))),0))),IF(AND('депозитный калькулятор'!$G$10="в конце срока",'депозитный калькулятор'!$D$8=F82),SUM($H$23:H82),0))))))))))))))))))</f>
        <v xml:space="preserve"> </v>
      </c>
      <c r="J82" s="59" t="str">
        <f>IF(F82&gt;'депозитный калькулятор'!$D$8," ",IF('депозитный калькулятор'!$G$16="нет",0,IF(AND('депозитный калькулятор'!$G$17="разовая (в конце срока)",F82='депозитный калькулятор'!$D$8),'депозитный калькулятор'!$G$18,IF(AND('депозитный калькулятор'!$G$17="ежемесячная",EOMONTH(F81,0)=F81),'депозитный калькулятор'!$G$18,IF(AND('депозитный калькулятор'!$G$17="ежегодная",DAY(F81)=31,MONTH(F81)=12),'депозитный калькулятор'!$G$18,IF(AND('депозитный калькулятор'!$G$17="ежемесячная в зависимости от остатка",EOMONTH(F81,0)=F81,P81&gt;0),'депозитный калькулятор'!$G$18,IF(AND('депозитный калькулятор'!$G$17="ежегодная в зависимости от остатка",DAY(F81)=31,MONTH(F81)=12,P81&gt;0),'депозитный калькулятор'!$G$18,0)))))))</f>
        <v xml:space="preserve"> </v>
      </c>
      <c r="K82" s="135" t="str">
        <f>IF($F82=" "," ",IFERROR(VLOOKUP($F82,'депозитный калькулятор'!$B$26:$F$70,2,0),0))</f>
        <v xml:space="preserve"> </v>
      </c>
      <c r="L82" s="135" t="str">
        <f>IF($F82=" "," ",IFERROR(VLOOKUP($F82,'депозитный калькулятор'!$B$26:$F$70,3,0),0))</f>
        <v xml:space="preserve"> </v>
      </c>
      <c r="M82" s="135" t="str">
        <f>IF($F82=" "," ",IFERROR(VLOOKUP($F82,'депозитный калькулятор'!$B$26:$F$70,4,0),0))</f>
        <v xml:space="preserve"> </v>
      </c>
      <c r="N82" s="135" t="str">
        <f>IF($F82=" "," ",IFERROR(VLOOKUP($F82,'депозитный калькулятор'!$B$26:$F$70,5,0),0))</f>
        <v xml:space="preserve"> </v>
      </c>
      <c r="O82" s="146" t="str">
        <f>IF(F82&gt;'депозитный калькулятор'!$D$8," ",IF(F82='депозитный калькулятор'!$D$8,IF(AND($F$24='депозитный калькулятор'!$D$8,'депозитный калькулятор'!$G$13="нет"),-G82-IF(I82=" ",0,I82)-IF(AND(OR('депозитный калькулятор'!$G$7="30/365",'депозитный калькулятор'!$G$7="30/360"),'депозитный калькулятор'!$G$10="в начале срока"),I81,0)-L82+M82-N82,-G82-IF(I82=" ",0,I82)-L82+M82-N82),IF('депозитный калькулятор'!$G$13="есть",M82-N82+IF('депозитный калькулятор'!$G$14="есть",0,-L82),-IF(I82=" ",0,I82)-IF(AND(OR('депозитный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срока"),I81,0)+M82-N82+IF('депозитный калькулятор'!$G$14="есть",0,-L82))))</f>
        <v xml:space="preserve"> </v>
      </c>
      <c r="P82" s="147" t="str">
        <f>IF(F82&gt;'депозитный калькулятор'!$D$8," ",IF(EOMONTH(F81,0)=F81,0,IF(G82&gt;='депозитный калькулятор'!$G$19,P81,P81+1)))</f>
        <v xml:space="preserve"> </v>
      </c>
      <c r="Q82" s="138" t="str">
        <f>IF(F82=" "," ",IF(AND(OR('депозитный калькулятор'!$G$7="30/365",'депозитный калькулятор'!$G$7="30/360"),AND(MONTH(F82)=2,EOMONTH(F82,0)=F82)),IF(DAY(F82)=28,3,2),1)*IF(G82&gt;='депозитный калькулятор'!$G$11,IF(AND('депозитный калькулятор'!$G$7="факт/факт",MOD(YEAR(F82),4)=0),G82*'депозитный калькулятор'!$D$11/366,G82*'депозитный калькулятор'!$G$8),0))</f>
        <v xml:space="preserve"> </v>
      </c>
      <c r="R82" s="148"/>
      <c r="S82" s="62" t="str">
        <f t="shared" ca="1" si="2"/>
        <v xml:space="preserve"> </v>
      </c>
      <c r="T82" s="149" t="str">
        <f ca="1">IF(S82=" "," ",IF('депозитный калькулятор'!$G$7="30/360",DAYS360(U81,IF(DAY(U82)=31,U82-1,U82))+IF(AND(MONTH(U82)=2,U82=EOMONTH(U82,0)),30-DAY(EOMONTH(U82,0)))+T81,VLOOKUP(S82,$C$22:$F$1023,2,0)))</f>
        <v xml:space="preserve"> </v>
      </c>
      <c r="U82" s="64" t="str">
        <f t="shared" ca="1" si="0"/>
        <v xml:space="preserve"> </v>
      </c>
      <c r="V82" s="150" t="str">
        <f t="shared" ca="1" si="3"/>
        <v xml:space="preserve"> </v>
      </c>
      <c r="W82" s="62" t="str">
        <f t="shared" ca="1" si="4"/>
        <v xml:space="preserve"> </v>
      </c>
      <c r="X82" s="141" t="str">
        <f ca="1">IF(S82=" "," ",IFERROR(VLOOKUP(U82,$F$23:$N$1023,7)+VLOOKUP(U82,$F$23:$N$1023,9)+IF(AND('депозитный калькулятор'!$G$13="нет",U82&lt;&gt;'депозитный калькулятор'!$D$8),VLOOKUP(U82,$F$23:$N$1023,4),0),0)+IF(U82='депозитный калькулятор'!$D$8,VLOOKUP(U82,$F$23:$N$1023,2)+VLOOKUP(U82,$F$23:$N$1023,4),0))</f>
        <v xml:space="preserve"> </v>
      </c>
      <c r="Y82" s="142" t="str">
        <f ca="1">IF(S82=" "," ",W82/(1+'депозитный калькулятор'!$K$8)^(T82/IF('депозитный калькулятор'!$G$7="30/360",360,365)))</f>
        <v xml:space="preserve"> </v>
      </c>
      <c r="Z82" s="142" t="str">
        <f ca="1">IF(S82=" "," ",X82/(1+'депозитный калькулятор'!$K$8)^(T82/IF('депозитный калькулятор'!$G$7="30/360",360,365)))</f>
        <v xml:space="preserve"> </v>
      </c>
      <c r="AA82" s="151"/>
      <c r="AB82" s="151"/>
      <c r="AC82" s="155"/>
      <c r="AD82" s="155"/>
      <c r="AF82" s="5"/>
    </row>
    <row r="83" spans="1:32" s="2" customFormat="1" ht="15.5" x14ac:dyDescent="0.35">
      <c r="A83" s="41" t="str">
        <f>IF(F83=" "," ",IF(OR('депозитный калькулятор'!$G$7="30/365",'депозитный калькулятор'!$G$7="30/360"),IF(AND(MONTH(F83)=2,DAY(F83)=DAY(EOMONTH(F83,0))),30-DAY(EOMONTH(F83,0)),IF(DAY(F83)=31,1," "))," "))</f>
        <v xml:space="preserve"> </v>
      </c>
      <c r="B83" s="130" t="str">
        <f t="shared" si="1"/>
        <v xml:space="preserve"> </v>
      </c>
      <c r="C83" s="130" t="str">
        <f>IF(OR(B83=0,B83=" ")," ",SUM($B$23:B83))</f>
        <v xml:space="preserve"> </v>
      </c>
      <c r="D83" s="62" t="str">
        <f>IF(D82=" "," ",IF(OR(F82='депозитный калькулятор'!$D$8,F82=" ")," ",D82+1))</f>
        <v xml:space="preserve"> </v>
      </c>
      <c r="E83" s="130" t="str">
        <f>IF(OR(F82='депозитный калькулятор'!$D$8,F82=" ")," ",IF(EOMONTH(F82,0)=F82,1,E82+1))</f>
        <v xml:space="preserve"> </v>
      </c>
      <c r="F83" s="64" t="str">
        <f>IF(F82=" "," ",IF(F82='депозитный калькулятор'!$D$8," ",F82+1))</f>
        <v xml:space="preserve"> </v>
      </c>
      <c r="G83" s="145" t="str">
        <f xml:space="preserve"> IF(F83&gt;'депозитный калькулятор'!$D$8," ",IF('депозитный калькулятор'!$G$13="есть",IF('депозитный калькулятор'!$G$14="есть",G82+IF(I82=" ",0,I82)-J83-K83+L83+M83-N83,G82+IF(I82=" ",0,I82)-J83-K83+M83-N83),IF('депозитный калькулятор'!$G$14="есть",G82-J83-K83+L83+M83-N83,G82-J83-K83+M83-N83)))</f>
        <v xml:space="preserve"> </v>
      </c>
      <c r="H83" s="133" t="str">
        <f>IF(F83&gt;'депозитный калькулятор'!$D$8," ",IF(AND(OR('депозитный калькулятор'!$G$7="30/365",'депозитный калькулятор'!$G$7="30/360"),AND(MONTH(F83)=2,EOMONTH(F83,0)=F83)),IF(DAY(F83)=28,3*G83*'депозитный калькулятор'!$G$8,2*G83*'депозитный калькулятор'!$G$8),IF(AND(OR('депозитный калькулятор'!$G$7="30/365",'депозитный калькулятор'!$G$7="30/360"),DAY(F83)=31)," ",IF(AND('депозитный калькулятор'!$G$7="факт/факт",MOD(YEAR(F83),4)=0),G83*'депозитный калькулятор'!$D$11/366,G83*'депозитный калькулятор'!$G$8))))</f>
        <v xml:space="preserve"> </v>
      </c>
      <c r="I83" s="134" t="str">
        <f ca="1">IF(F83=" "," ",IF('депозитный калькулятор'!$G$10="ежедневное",H83,IF(AND('депозитный калькулятор'!$G$10="еженедельное",WEEKDAY(F83,2)=7),SUM(OFFSET(H83,-6,0):H83),IF(AND('депозитный калькулятор'!$G$10="еженедельное",F83='депозитный калькулятор'!$D$8),SUM($H$23:H83)-SUM($I$23:I82),IF(AND('депозитный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недели",WEEKDAY(F83,2)=7),MIN(OFFSET(H83,-6,0):H83)*(COUNTIF(OFFSET(H83,-6,0):H83,"&gt;0")+SUMIF(OFFSET(A83,-WEEKDAY(F83,2),0):A83,"=2",OFFSET(A83,-WEEKDAY(F83,2),0):A83)),IF(AND('депозитный калькулятор'!$G$10="еженедельное, на минимальную сумму зафиксированную в течение недели",F83='депозитный калькулятор'!$D$8,WEEKDAY(F83,2)&lt;&gt;7),MIN(OFFSET(H83,-WEEKDAY(F83,2),0):H83)*(COUNTIF(OFFSET(H83,-WEEKDAY(F83,2)+1,0):H83,"&gt;0")+SUM(OFFSET(A83,-WEEKDAY(F83,2),0):A83)),IF(AND('депозитный калькулятор'!$G$10="ежемесячное (в конце месяца)",F83='депозитный калькулятор'!$D$8,EOMONTH(F83,0)&lt;&gt;F83),IF('депозитный калькулятор'!$F$1=1,$H$24,SUM($H$23:H83)-SUM($I$23:I82)),IF(AND('депозитный калькулятор'!$G$10="ежемесячное (в конце месяца)",EOMONTH(F83,0)=F83),SUM($H$23:H83)-SUM($I$23:I82),IF(AND('депозитный калькулятор'!$G$10="ежемесячное (по дням открытия вклада)",F83='депозитный калькулятор'!$D$8,DAY('депозитный калькулятор'!$D$7)&lt;&gt;DAY(F83)),IF('депозитный калькулятор'!$F$1=1,$H$24,SUM($H$23:H83)-SUM($I$23:I82)),IF(AND('депозитный калькулятор'!$G$10="ежемесячное (по дням открытия вклада)",DAY('депозитный калькулятор'!$D$7)=DAY(F83)),SUM($H$23:H83)-SUM($I$23:I82),IF(AND('депозитный калькулятор'!$G$10="ежемесячное, на минимальную сумму зафиксированную в течение месяца",F83='депозитный калькулятор'!$D$8,EOMONTH(F83,0)&lt;&gt;F83),IF('депозитный калькулятор'!$F$1=1,$H$24,IF(AND(OR('депозитный калькулятор'!$G$7="30/365",'депозитный калькулятор'!$G$7="30/360"),DAY(F83)=31),0,MIN(OFFSET(H83,-E83+1,0):H83)*(E83+SUMIF(OFFSET(A83,-E83+1,0):A83,"=2",OFFSET(A83,-E83+1,0):A83)))),IF(AND('депозитный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калькулятор'!$G$7="30/360"),DAY(EOMONTH(F83,0))=31),EOMONTH(F83,0)-1=F83,EOMONTH(F83,0)=F83)),IF(IF(AND(OR('депозитный калькулятор'!$G$7="30/365",'депозитный калькулятор'!$G$7="30/360"),DAY(EOMONTH($F$23,0))=31),F83=EOMONTH($F$23,0)-1,F83=EOMONTH($F$23,0)),MIN(OFFSET(H83,-(DAY(F83)-DAY($F$23)),0):H83)*E83,MIN(OFFSET(H83,-(DAY(F83)-1),0):H83)*IF(AND(OR('депозитный калькулятор'!$G$7="30/365",'депозитный калькулятор'!$G$7="30/360"),DAY(F83)&lt;30),30,DAY(F83))),IF(AND('депозитный калькулятор'!$G$10="ежемесячное, на средний остаток в течение месяца, при условии что остаток больше чем ограничение",F83='депозитный калькулятор'!$D$8,EOMONTH(F83,0)&lt;&gt;F83),IF('депозитный калькулятор'!$F$1=1,$H$24,SUM(OFFSET(Q83,-E83+1,0):Q83)),IF(AND('депозитный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калькулятор'!$G$7="30/360"),DAY(EOMONTH(F83,0))=31),EOMONTH(F83,0)-1=F83,EOMONTH(F83,0)=F83)),IF(IF(AND(OR('депозитный калькулятор'!$G$7="30/365",'депозитный калькулятор'!$G$7="30/360"),DAY(EOMONTH($F$24,0))=31),F83=EOMONTH($F$24,0)-1,F83=EOMONTH($F$24,0)),SUM(OFFSET(Q83,-E83+1,0):Q83),SUM(OFFSET(Q83,-E83+1,0):Q83)),IF('депозитный калькулятор'!$G$10="ежеквартальное",IF(F83&gt;'депозитный калькулятор'!$D$8," ",IF(AND(EOMONTH(F83,0)=F83,OR(MONTH(F83)=3,MONTH(F83)=6,MONTH(F83)=9,MONTH(F83)=12)),IF(EDATE(F83,-3)&lt;'депозитный калькулятор'!$D$7,SUM($H$23:H83),IF(MOD(YEAR(F83),4)=0,IF(AND(EOMONTH(F83,0)=F83,OR(MONTH(F83)=3,MONTH(F83)=6)),SUM(OFFSET(H83,-90,0):H83),IF(AND(EOMONTH(F83,0)=F83,OR(MONTH(F83)=9,MONTH(F83)=12)),SUM(OFFSET(H83,-91,0):H83))),IF(AND(EOMONTH(F83,0)=F83,MONTH(F83)=3),SUM(OFFSET(H83,-89,0):H83),IF(AND(EOMONTH(F83,0)=F83,MONTH(F83)=6),SUM(OFFSET(H83,-90,0):H83),IF(AND(EOMONTH(F83,0)=F83,OR(MONTH(F83)=9,MONTH(F83)=12)),SUM(OFFSET(H83,-91,0):H83)))))),IF(F83='депозитный калькулятор'!$D$8,SUM($H$23:H83)-SUM($I$23:I82),0))),IF('депозитный калькулятор'!$G$10="ежегодное",IF(F83&gt;'депозитный калькулятор'!$D$8," ",IF(F83='депозитный калькулятор'!$D$8,SUM($H$23:H83)-SUM($I$23:I82),IF(AND(EOMONTH(F83,0)=F83,MONTH(F83)=12),IF(MOD(YEAR(F82),4)=0,IF(F83-'депозитный калькулятор'!$D$7&lt;366,SUM($H$23:H83),SUM(OFFSET(H83,-365,0):H83)),IF(F83-'депозитный калькулятор'!$D$7&lt;365,SUM($H$23:H83),SUM(OFFSET(H83,-364,0):H83))),0))),IF(AND('депозитный калькулятор'!$G$10="в конце срока",'депозитный калькулятор'!$D$8=F83),SUM($H$23:H83),0))))))))))))))))))</f>
        <v xml:space="preserve"> </v>
      </c>
      <c r="J83" s="59" t="str">
        <f>IF(F83&gt;'депозитный калькулятор'!$D$8," ",IF('депозитный калькулятор'!$G$16="нет",0,IF(AND('депозитный калькулятор'!$G$17="разовая (в конце срока)",F83='депозитный калькулятор'!$D$8),'депозитный калькулятор'!$G$18,IF(AND('депозитный калькулятор'!$G$17="ежемесячная",EOMONTH(F82,0)=F82),'депозитный калькулятор'!$G$18,IF(AND('депозитный калькулятор'!$G$17="ежегодная",DAY(F82)=31,MONTH(F82)=12),'депозитный калькулятор'!$G$18,IF(AND('депозитный калькулятор'!$G$17="ежемесячная в зависимости от остатка",EOMONTH(F82,0)=F82,P82&gt;0),'депозитный калькулятор'!$G$18,IF(AND('депозитный калькулятор'!$G$17="ежегодная в зависимости от остатка",DAY(F82)=31,MONTH(F82)=12,P82&gt;0),'депозитный калькулятор'!$G$18,0)))))))</f>
        <v xml:space="preserve"> </v>
      </c>
      <c r="K83" s="135" t="str">
        <f>IF($F83=" "," ",IFERROR(VLOOKUP($F83,'депозитный калькулятор'!$B$26:$F$70,2,0),0))</f>
        <v xml:space="preserve"> </v>
      </c>
      <c r="L83" s="135" t="str">
        <f>IF($F83=" "," ",IFERROR(VLOOKUP($F83,'депозитный калькулятор'!$B$26:$F$70,3,0),0))</f>
        <v xml:space="preserve"> </v>
      </c>
      <c r="M83" s="135" t="str">
        <f>IF($F83=" "," ",IFERROR(VLOOKUP($F83,'депозитный калькулятор'!$B$26:$F$70,4,0),0))</f>
        <v xml:space="preserve"> </v>
      </c>
      <c r="N83" s="135" t="str">
        <f>IF($F83=" "," ",IFERROR(VLOOKUP($F83,'депозитный калькулятор'!$B$26:$F$70,5,0),0))</f>
        <v xml:space="preserve"> </v>
      </c>
      <c r="O83" s="146" t="str">
        <f>IF(F83&gt;'депозитный калькулятор'!$D$8," ",IF(F83='депозитный калькулятор'!$D$8,IF(AND($F$24='депозитный калькулятор'!$D$8,'депозитный калькулятор'!$G$13="нет"),-G83-IF(I83=" ",0,I83)-IF(AND(OR('депозитный калькулятор'!$G$7="30/365",'депозитный калькулятор'!$G$7="30/360"),'депозитный калькулятор'!$G$10="в начале срока"),I82,0)-L83+M83-N83,-G83-IF(I83=" ",0,I83)-L83+M83-N83),IF('депозитный калькулятор'!$G$13="есть",M83-N83+IF('депозитный калькулятор'!$G$14="есть",0,-L83),-IF(I83=" ",0,I83)-IF(AND(OR('депозитный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срока"),I82,0)+M83-N83+IF('депозитный калькулятор'!$G$14="есть",0,-L83))))</f>
        <v xml:space="preserve"> </v>
      </c>
      <c r="P83" s="147" t="str">
        <f>IF(F83&gt;'депозитный калькулятор'!$D$8," ",IF(EOMONTH(F82,0)=F82,0,IF(G83&gt;='депозитный калькулятор'!$G$19,P82,P82+1)))</f>
        <v xml:space="preserve"> </v>
      </c>
      <c r="Q83" s="138" t="str">
        <f>IF(F83=" "," ",IF(AND(OR('депозитный калькулятор'!$G$7="30/365",'депозитный калькулятор'!$G$7="30/360"),AND(MONTH(F83)=2,EOMONTH(F83,0)=F83)),IF(DAY(F83)=28,3,2),1)*IF(G83&gt;='депозитный калькулятор'!$G$11,IF(AND('депозитный калькулятор'!$G$7="факт/факт",MOD(YEAR(F83),4)=0),G83*'депозитный калькулятор'!$D$11/366,G83*'депозитный калькулятор'!$G$8),0))</f>
        <v xml:space="preserve"> </v>
      </c>
      <c r="R83" s="148"/>
      <c r="S83" s="62" t="str">
        <f t="shared" ca="1" si="2"/>
        <v xml:space="preserve"> </v>
      </c>
      <c r="T83" s="149" t="str">
        <f ca="1">IF(S83=" "," ",IF('депозитный калькулятор'!$G$7="30/360",DAYS360(U82,IF(DAY(U83)=31,U83-1,U83))+IF(AND(MONTH(U83)=2,U83=EOMONTH(U83,0)),30-DAY(EOMONTH(U83,0)))+T82,VLOOKUP(S83,$C$22:$F$1023,2,0)))</f>
        <v xml:space="preserve"> </v>
      </c>
      <c r="U83" s="64" t="str">
        <f t="shared" ca="1" si="0"/>
        <v xml:space="preserve"> </v>
      </c>
      <c r="V83" s="150" t="str">
        <f t="shared" ca="1" si="3"/>
        <v xml:space="preserve"> </v>
      </c>
      <c r="W83" s="62" t="str">
        <f t="shared" ca="1" si="4"/>
        <v xml:space="preserve"> </v>
      </c>
      <c r="X83" s="141" t="str">
        <f ca="1">IF(S83=" "," ",IFERROR(VLOOKUP(U83,$F$23:$N$1023,7)+VLOOKUP(U83,$F$23:$N$1023,9)+IF(AND('депозитный калькулятор'!$G$13="нет",U83&lt;&gt;'депозитный калькулятор'!$D$8),VLOOKUP(U83,$F$23:$N$1023,4),0),0)+IF(U83='депозитный калькулятор'!$D$8,VLOOKUP(U83,$F$23:$N$1023,2)+VLOOKUP(U83,$F$23:$N$1023,4),0))</f>
        <v xml:space="preserve"> </v>
      </c>
      <c r="Y83" s="142" t="str">
        <f ca="1">IF(S83=" "," ",W83/(1+'депозитный калькулятор'!$K$8)^(T83/IF('депозитный калькулятор'!$G$7="30/360",360,365)))</f>
        <v xml:space="preserve"> </v>
      </c>
      <c r="Z83" s="142" t="str">
        <f ca="1">IF(S83=" "," ",X83/(1+'депозитный калькулятор'!$K$8)^(T83/IF('депозитный калькулятор'!$G$7="30/360",360,365)))</f>
        <v xml:space="preserve"> </v>
      </c>
      <c r="AA83" s="151"/>
      <c r="AB83" s="151"/>
      <c r="AC83" s="155"/>
      <c r="AD83" s="155"/>
      <c r="AF83" s="5"/>
    </row>
    <row r="84" spans="1:32" s="2" customFormat="1" ht="15.5" x14ac:dyDescent="0.35">
      <c r="A84" s="41" t="str">
        <f>IF(F84=" "," ",IF(OR('депозитный калькулятор'!$G$7="30/365",'депозитный калькулятор'!$G$7="30/360"),IF(AND(MONTH(F84)=2,DAY(F84)=DAY(EOMONTH(F84,0))),30-DAY(EOMONTH(F84,0)),IF(DAY(F84)=31,1," "))," "))</f>
        <v xml:space="preserve"> </v>
      </c>
      <c r="B84" s="130" t="str">
        <f t="shared" si="1"/>
        <v xml:space="preserve"> </v>
      </c>
      <c r="C84" s="130" t="str">
        <f>IF(OR(B84=0,B84=" ")," ",SUM($B$23:B84))</f>
        <v xml:space="preserve"> </v>
      </c>
      <c r="D84" s="62" t="str">
        <f>IF(D83=" "," ",IF(OR(F83='депозитный калькулятор'!$D$8,F83=" ")," ",D83+1))</f>
        <v xml:space="preserve"> </v>
      </c>
      <c r="E84" s="130" t="str">
        <f>IF(OR(F83='депозитный калькулятор'!$D$8,F83=" ")," ",IF(EOMONTH(F83,0)=F83,1,E83+1))</f>
        <v xml:space="preserve"> </v>
      </c>
      <c r="F84" s="64" t="str">
        <f>IF(F83=" "," ",IF(F83='депозитный калькулятор'!$D$8," ",F83+1))</f>
        <v xml:space="preserve"> </v>
      </c>
      <c r="G84" s="145" t="str">
        <f xml:space="preserve"> IF(F84&gt;'депозитный калькулятор'!$D$8," ",IF('депозитный калькулятор'!$G$13="есть",IF('депозитный калькулятор'!$G$14="есть",G83+IF(I83=" ",0,I83)-J84-K84+L84+M84-N84,G83+IF(I83=" ",0,I83)-J84-K84+M84-N84),IF('депозитный калькулятор'!$G$14="есть",G83-J84-K84+L84+M84-N84,G83-J84-K84+M84-N84)))</f>
        <v xml:space="preserve"> </v>
      </c>
      <c r="H84" s="133" t="str">
        <f>IF(F84&gt;'депозитный калькулятор'!$D$8," ",IF(AND(OR('депозитный калькулятор'!$G$7="30/365",'депозитный калькулятор'!$G$7="30/360"),AND(MONTH(F84)=2,EOMONTH(F84,0)=F84)),IF(DAY(F84)=28,3*G84*'депозитный калькулятор'!$G$8,2*G84*'депозитный калькулятор'!$G$8),IF(AND(OR('депозитный калькулятор'!$G$7="30/365",'депозитный калькулятор'!$G$7="30/360"),DAY(F84)=31)," ",IF(AND('депозитный калькулятор'!$G$7="факт/факт",MOD(YEAR(F84),4)=0),G84*'депозитный калькулятор'!$D$11/366,G84*'депозитный калькулятор'!$G$8))))</f>
        <v xml:space="preserve"> </v>
      </c>
      <c r="I84" s="134" t="str">
        <f ca="1">IF(F84=" "," ",IF('депозитный калькулятор'!$G$10="ежедневное",H84,IF(AND('депозитный калькулятор'!$G$10="еженедельное",WEEKDAY(F84,2)=7),SUM(OFFSET(H84,-6,0):H84),IF(AND('депозитный калькулятор'!$G$10="еженедельное",F84='депозитный калькулятор'!$D$8),SUM($H$23:H84)-SUM($I$23:I83),IF(AND('депозитный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недели",WEEKDAY(F84,2)=7),MIN(OFFSET(H84,-6,0):H84)*(COUNTIF(OFFSET(H84,-6,0):H84,"&gt;0")+SUMIF(OFFSET(A84,-WEEKDAY(F84,2),0):A84,"=2",OFFSET(A84,-WEEKDAY(F84,2),0):A84)),IF(AND('депозитный калькулятор'!$G$10="еженедельное, на минимальную сумму зафиксированную в течение недели",F84='депозитный калькулятор'!$D$8,WEEKDAY(F84,2)&lt;&gt;7),MIN(OFFSET(H84,-WEEKDAY(F84,2),0):H84)*(COUNTIF(OFFSET(H84,-WEEKDAY(F84,2)+1,0):H84,"&gt;0")+SUM(OFFSET(A84,-WEEKDAY(F84,2),0):A84)),IF(AND('депозитный калькулятор'!$G$10="ежемесячное (в конце месяца)",F84='депозитный калькулятор'!$D$8,EOMONTH(F84,0)&lt;&gt;F84),IF('депозитный калькулятор'!$F$1=1,$H$24,SUM($H$23:H84)-SUM($I$23:I83)),IF(AND('депозитный калькулятор'!$G$10="ежемесячное (в конце месяца)",EOMONTH(F84,0)=F84),SUM($H$23:H84)-SUM($I$23:I83),IF(AND('депозитный калькулятор'!$G$10="ежемесячное (по дням открытия вклада)",F84='депозитный калькулятор'!$D$8,DAY('депозитный калькулятор'!$D$7)&lt;&gt;DAY(F84)),IF('депозитный калькулятор'!$F$1=1,$H$24,SUM($H$23:H84)-SUM($I$23:I83)),IF(AND('депозитный калькулятор'!$G$10="ежемесячное (по дням открытия вклада)",DAY('депозитный калькулятор'!$D$7)=DAY(F84)),SUM($H$23:H84)-SUM($I$23:I83),IF(AND('депозитный калькулятор'!$G$10="ежемесячное, на минимальную сумму зафиксированную в течение месяца",F84='депозитный калькулятор'!$D$8,EOMONTH(F84,0)&lt;&gt;F84),IF('депозитный калькулятор'!$F$1=1,$H$24,IF(AND(OR('депозитный калькулятор'!$G$7="30/365",'депозитный калькулятор'!$G$7="30/360"),DAY(F84)=31),0,MIN(OFFSET(H84,-E84+1,0):H84)*(E84+SUMIF(OFFSET(A84,-E84+1,0):A84,"=2",OFFSET(A84,-E84+1,0):A84)))),IF(AND('депозитный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калькулятор'!$G$7="30/360"),DAY(EOMONTH(F84,0))=31),EOMONTH(F84,0)-1=F84,EOMONTH(F84,0)=F84)),IF(IF(AND(OR('депозитный калькулятор'!$G$7="30/365",'депозитный калькулятор'!$G$7="30/360"),DAY(EOMONTH($F$23,0))=31),F84=EOMONTH($F$23,0)-1,F84=EOMONTH($F$23,0)),MIN(OFFSET(H84,-(DAY(F84)-DAY($F$23)),0):H84)*E84,MIN(OFFSET(H84,-(DAY(F84)-1),0):H84)*IF(AND(OR('депозитный калькулятор'!$G$7="30/365",'депозитный калькулятор'!$G$7="30/360"),DAY(F84)&lt;30),30,DAY(F84))),IF(AND('депозитный калькулятор'!$G$10="ежемесячное, на средний остаток в течение месяца, при условии что остаток больше чем ограничение",F84='депозитный калькулятор'!$D$8,EOMONTH(F84,0)&lt;&gt;F84),IF('депозитный калькулятор'!$F$1=1,$H$24,SUM(OFFSET(Q84,-E84+1,0):Q84)),IF(AND('депозитный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калькулятор'!$G$7="30/360"),DAY(EOMONTH(F84,0))=31),EOMONTH(F84,0)-1=F84,EOMONTH(F84,0)=F84)),IF(IF(AND(OR('депозитный калькулятор'!$G$7="30/365",'депозитный калькулятор'!$G$7="30/360"),DAY(EOMONTH($F$24,0))=31),F84=EOMONTH($F$24,0)-1,F84=EOMONTH($F$24,0)),SUM(OFFSET(Q84,-E84+1,0):Q84),SUM(OFFSET(Q84,-E84+1,0):Q84)),IF('депозитный калькулятор'!$G$10="ежеквартальное",IF(F84&gt;'депозитный калькулятор'!$D$8," ",IF(AND(EOMONTH(F84,0)=F84,OR(MONTH(F84)=3,MONTH(F84)=6,MONTH(F84)=9,MONTH(F84)=12)),IF(EDATE(F84,-3)&lt;'депозитный калькулятор'!$D$7,SUM($H$23:H84),IF(MOD(YEAR(F84),4)=0,IF(AND(EOMONTH(F84,0)=F84,OR(MONTH(F84)=3,MONTH(F84)=6)),SUM(OFFSET(H84,-90,0):H84),IF(AND(EOMONTH(F84,0)=F84,OR(MONTH(F84)=9,MONTH(F84)=12)),SUM(OFFSET(H84,-91,0):H84))),IF(AND(EOMONTH(F84,0)=F84,MONTH(F84)=3),SUM(OFFSET(H84,-89,0):H84),IF(AND(EOMONTH(F84,0)=F84,MONTH(F84)=6),SUM(OFFSET(H84,-90,0):H84),IF(AND(EOMONTH(F84,0)=F84,OR(MONTH(F84)=9,MONTH(F84)=12)),SUM(OFFSET(H84,-91,0):H84)))))),IF(F84='депозитный калькулятор'!$D$8,SUM($H$23:H84)-SUM($I$23:I83),0))),IF('депозитный калькулятор'!$G$10="ежегодное",IF(F84&gt;'депозитный калькулятор'!$D$8," ",IF(F84='депозитный калькулятор'!$D$8,SUM($H$23:H84)-SUM($I$23:I83),IF(AND(EOMONTH(F84,0)=F84,MONTH(F84)=12),IF(MOD(YEAR(F83),4)=0,IF(F84-'депозитный калькулятор'!$D$7&lt;366,SUM($H$23:H84),SUM(OFFSET(H84,-365,0):H84)),IF(F84-'депозитный калькулятор'!$D$7&lt;365,SUM($H$23:H84),SUM(OFFSET(H84,-364,0):H84))),0))),IF(AND('депозитный калькулятор'!$G$10="в конце срока",'депозитный калькулятор'!$D$8=F84),SUM($H$23:H84),0))))))))))))))))))</f>
        <v xml:space="preserve"> </v>
      </c>
      <c r="J84" s="59" t="str">
        <f>IF(F84&gt;'депозитный калькулятор'!$D$8," ",IF('депозитный калькулятор'!$G$16="нет",0,IF(AND('депозитный калькулятор'!$G$17="разовая (в конце срока)",F84='депозитный калькулятор'!$D$8),'депозитный калькулятор'!$G$18,IF(AND('депозитный калькулятор'!$G$17="ежемесячная",EOMONTH(F83,0)=F83),'депозитный калькулятор'!$G$18,IF(AND('депозитный калькулятор'!$G$17="ежегодная",DAY(F83)=31,MONTH(F83)=12),'депозитный калькулятор'!$G$18,IF(AND('депозитный калькулятор'!$G$17="ежемесячная в зависимости от остатка",EOMONTH(F83,0)=F83,P83&gt;0),'депозитный калькулятор'!$G$18,IF(AND('депозитный калькулятор'!$G$17="ежегодная в зависимости от остатка",DAY(F83)=31,MONTH(F83)=12,P83&gt;0),'депозитный калькулятор'!$G$18,0)))))))</f>
        <v xml:space="preserve"> </v>
      </c>
      <c r="K84" s="135" t="str">
        <f>IF($F84=" "," ",IFERROR(VLOOKUP($F84,'депозитный калькулятор'!$B$26:$F$70,2,0),0))</f>
        <v xml:space="preserve"> </v>
      </c>
      <c r="L84" s="135" t="str">
        <f>IF($F84=" "," ",IFERROR(VLOOKUP($F84,'депозитный калькулятор'!$B$26:$F$70,3,0),0))</f>
        <v xml:space="preserve"> </v>
      </c>
      <c r="M84" s="135" t="str">
        <f>IF($F84=" "," ",IFERROR(VLOOKUP($F84,'депозитный калькулятор'!$B$26:$F$70,4,0),0))</f>
        <v xml:space="preserve"> </v>
      </c>
      <c r="N84" s="135" t="str">
        <f>IF($F84=" "," ",IFERROR(VLOOKUP($F84,'депозитный калькулятор'!$B$26:$F$70,5,0),0))</f>
        <v xml:space="preserve"> </v>
      </c>
      <c r="O84" s="146" t="str">
        <f>IF(F84&gt;'депозитный калькулятор'!$D$8," ",IF(F84='депозитный калькулятор'!$D$8,IF(AND($F$24='депозитный калькулятор'!$D$8,'депозитный калькулятор'!$G$13="нет"),-G84-IF(I84=" ",0,I84)-IF(AND(OR('депозитный калькулятор'!$G$7="30/365",'депозитный калькулятор'!$G$7="30/360"),'депозитный калькулятор'!$G$10="в начале срока"),I83,0)-L84+M84-N84,-G84-IF(I84=" ",0,I84)-L84+M84-N84),IF('депозитный калькулятор'!$G$13="есть",M84-N84+IF('депозитный калькулятор'!$G$14="есть",0,-L84),-IF(I84=" ",0,I84)-IF(AND(OR('депозитный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срока"),I83,0)+M84-N84+IF('депозитный калькулятор'!$G$14="есть",0,-L84))))</f>
        <v xml:space="preserve"> </v>
      </c>
      <c r="P84" s="147" t="str">
        <f>IF(F84&gt;'депозитный калькулятор'!$D$8," ",IF(EOMONTH(F83,0)=F83,0,IF(G84&gt;='депозитный калькулятор'!$G$19,P83,P83+1)))</f>
        <v xml:space="preserve"> </v>
      </c>
      <c r="Q84" s="138" t="str">
        <f>IF(F84=" "," ",IF(AND(OR('депозитный калькулятор'!$G$7="30/365",'депозитный калькулятор'!$G$7="30/360"),AND(MONTH(F84)=2,EOMONTH(F84,0)=F84)),IF(DAY(F84)=28,3,2),1)*IF(G84&gt;='депозитный калькулятор'!$G$11,IF(AND('депозитный калькулятор'!$G$7="факт/факт",MOD(YEAR(F84),4)=0),G84*'депозитный калькулятор'!$D$11/366,G84*'депозитный калькулятор'!$G$8),0))</f>
        <v xml:space="preserve"> </v>
      </c>
      <c r="R84" s="148"/>
      <c r="S84" s="62" t="str">
        <f t="shared" ca="1" si="2"/>
        <v xml:space="preserve"> </v>
      </c>
      <c r="T84" s="149" t="str">
        <f ca="1">IF(S84=" "," ",IF('депозитный калькулятор'!$G$7="30/360",DAYS360(U83,IF(DAY(U84)=31,U84-1,U84))+IF(AND(MONTH(U84)=2,U84=EOMONTH(U84,0)),30-DAY(EOMONTH(U84,0)))+T83,VLOOKUP(S84,$C$22:$F$1023,2,0)))</f>
        <v xml:space="preserve"> </v>
      </c>
      <c r="U84" s="64" t="str">
        <f t="shared" ca="1" si="0"/>
        <v xml:space="preserve"> </v>
      </c>
      <c r="V84" s="150" t="str">
        <f t="shared" ca="1" si="3"/>
        <v xml:space="preserve"> </v>
      </c>
      <c r="W84" s="62" t="str">
        <f t="shared" ca="1" si="4"/>
        <v xml:space="preserve"> </v>
      </c>
      <c r="X84" s="141" t="str">
        <f ca="1">IF(S84=" "," ",IFERROR(VLOOKUP(U84,$F$23:$N$1023,7)+VLOOKUP(U84,$F$23:$N$1023,9)+IF(AND('депозитный калькулятор'!$G$13="нет",U84&lt;&gt;'депозитный калькулятор'!$D$8),VLOOKUP(U84,$F$23:$N$1023,4),0),0)+IF(U84='депозитный калькулятор'!$D$8,VLOOKUP(U84,$F$23:$N$1023,2)+VLOOKUP(U84,$F$23:$N$1023,4),0))</f>
        <v xml:space="preserve"> </v>
      </c>
      <c r="Y84" s="142" t="str">
        <f ca="1">IF(S84=" "," ",W84/(1+'депозитный калькулятор'!$K$8)^(T84/IF('депозитный калькулятор'!$G$7="30/360",360,365)))</f>
        <v xml:space="preserve"> </v>
      </c>
      <c r="Z84" s="142" t="str">
        <f ca="1">IF(S84=" "," ",X84/(1+'депозитный калькулятор'!$K$8)^(T84/IF('депозитный калькулятор'!$G$7="30/360",360,365)))</f>
        <v xml:space="preserve"> </v>
      </c>
      <c r="AA84" s="151"/>
      <c r="AB84" s="151"/>
      <c r="AC84" s="155"/>
      <c r="AD84" s="155"/>
      <c r="AF84" s="5"/>
    </row>
    <row r="85" spans="1:32" s="2" customFormat="1" ht="15.5" x14ac:dyDescent="0.35">
      <c r="A85" s="41" t="str">
        <f>IF(F85=" "," ",IF(OR('депозитный калькулятор'!$G$7="30/365",'депозитный калькулятор'!$G$7="30/360"),IF(AND(MONTH(F85)=2,DAY(F85)=DAY(EOMONTH(F85,0))),30-DAY(EOMONTH(F85,0)),IF(DAY(F85)=31,1," "))," "))</f>
        <v xml:space="preserve"> </v>
      </c>
      <c r="B85" s="130" t="str">
        <f t="shared" si="1"/>
        <v xml:space="preserve"> </v>
      </c>
      <c r="C85" s="130" t="str">
        <f>IF(OR(B85=0,B85=" ")," ",SUM($B$23:B85))</f>
        <v xml:space="preserve"> </v>
      </c>
      <c r="D85" s="62" t="str">
        <f>IF(D84=" "," ",IF(OR(F84='депозитный калькулятор'!$D$8,F84=" ")," ",D84+1))</f>
        <v xml:space="preserve"> </v>
      </c>
      <c r="E85" s="130" t="str">
        <f>IF(OR(F84='депозитный калькулятор'!$D$8,F84=" ")," ",IF(EOMONTH(F84,0)=F84,1,E84+1))</f>
        <v xml:space="preserve"> </v>
      </c>
      <c r="F85" s="64" t="str">
        <f>IF(F84=" "," ",IF(F84='депозитный калькулятор'!$D$8," ",F84+1))</f>
        <v xml:space="preserve"> </v>
      </c>
      <c r="G85" s="145" t="str">
        <f xml:space="preserve"> IF(F85&gt;'депозитный калькулятор'!$D$8," ",IF('депозитный калькулятор'!$G$13="есть",IF('депозитный калькулятор'!$G$14="есть",G84+IF(I84=" ",0,I84)-J85-K85+L85+M85-N85,G84+IF(I84=" ",0,I84)-J85-K85+M85-N85),IF('депозитный калькулятор'!$G$14="есть",G84-J85-K85+L85+M85-N85,G84-J85-K85+M85-N85)))</f>
        <v xml:space="preserve"> </v>
      </c>
      <c r="H85" s="133" t="str">
        <f>IF(F85&gt;'депозитный калькулятор'!$D$8," ",IF(AND(OR('депозитный калькулятор'!$G$7="30/365",'депозитный калькулятор'!$G$7="30/360"),AND(MONTH(F85)=2,EOMONTH(F85,0)=F85)),IF(DAY(F85)=28,3*G85*'депозитный калькулятор'!$G$8,2*G85*'депозитный калькулятор'!$G$8),IF(AND(OR('депозитный калькулятор'!$G$7="30/365",'депозитный калькулятор'!$G$7="30/360"),DAY(F85)=31)," ",IF(AND('депозитный калькулятор'!$G$7="факт/факт",MOD(YEAR(F85),4)=0),G85*'депозитный калькулятор'!$D$11/366,G85*'депозитный калькулятор'!$G$8))))</f>
        <v xml:space="preserve"> </v>
      </c>
      <c r="I85" s="134" t="str">
        <f ca="1">IF(F85=" "," ",IF('депозитный калькулятор'!$G$10="ежедневное",H85,IF(AND('депозитный калькулятор'!$G$10="еженедельное",WEEKDAY(F85,2)=7),SUM(OFFSET(H85,-6,0):H85),IF(AND('депозитный калькулятор'!$G$10="еженедельное",F85='депозитный калькулятор'!$D$8),SUM($H$23:H85)-SUM($I$23:I84),IF(AND('депозитный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недели",WEEKDAY(F85,2)=7),MIN(OFFSET(H85,-6,0):H85)*(COUNTIF(OFFSET(H85,-6,0):H85,"&gt;0")+SUMIF(OFFSET(A85,-WEEKDAY(F85,2),0):A85,"=2",OFFSET(A85,-WEEKDAY(F85,2),0):A85)),IF(AND('депозитный калькулятор'!$G$10="еженедельное, на минимальную сумму зафиксированную в течение недели",F85='депозитный калькулятор'!$D$8,WEEKDAY(F85,2)&lt;&gt;7),MIN(OFFSET(H85,-WEEKDAY(F85,2),0):H85)*(COUNTIF(OFFSET(H85,-WEEKDAY(F85,2)+1,0):H85,"&gt;0")+SUM(OFFSET(A85,-WEEKDAY(F85,2),0):A85)),IF(AND('депозитный калькулятор'!$G$10="ежемесячное (в конце месяца)",F85='депозитный калькулятор'!$D$8,EOMONTH(F85,0)&lt;&gt;F85),IF('депозитный калькулятор'!$F$1=1,$H$24,SUM($H$23:H85)-SUM($I$23:I84)),IF(AND('депозитный калькулятор'!$G$10="ежемесячное (в конце месяца)",EOMONTH(F85,0)=F85),SUM($H$23:H85)-SUM($I$23:I84),IF(AND('депозитный калькулятор'!$G$10="ежемесячное (по дням открытия вклада)",F85='депозитный калькулятор'!$D$8,DAY('депозитный калькулятор'!$D$7)&lt;&gt;DAY(F85)),IF('депозитный калькулятор'!$F$1=1,$H$24,SUM($H$23:H85)-SUM($I$23:I84)),IF(AND('депозитный калькулятор'!$G$10="ежемесячное (по дням открытия вклада)",DAY('депозитный калькулятор'!$D$7)=DAY(F85)),SUM($H$23:H85)-SUM($I$23:I84),IF(AND('депозитный калькулятор'!$G$10="ежемесячное, на минимальную сумму зафиксированную в течение месяца",F85='депозитный калькулятор'!$D$8,EOMONTH(F85,0)&lt;&gt;F85),IF('депозитный калькулятор'!$F$1=1,$H$24,IF(AND(OR('депозитный калькулятор'!$G$7="30/365",'депозитный калькулятор'!$G$7="30/360"),DAY(F85)=31),0,MIN(OFFSET(H85,-E85+1,0):H85)*(E85+SUMIF(OFFSET(A85,-E85+1,0):A85,"=2",OFFSET(A85,-E85+1,0):A85)))),IF(AND('депозитный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калькулятор'!$G$7="30/360"),DAY(EOMONTH(F85,0))=31),EOMONTH(F85,0)-1=F85,EOMONTH(F85,0)=F85)),IF(IF(AND(OR('депозитный калькулятор'!$G$7="30/365",'депозитный калькулятор'!$G$7="30/360"),DAY(EOMONTH($F$23,0))=31),F85=EOMONTH($F$23,0)-1,F85=EOMONTH($F$23,0)),MIN(OFFSET(H85,-(DAY(F85)-DAY($F$23)),0):H85)*E85,MIN(OFFSET(H85,-(DAY(F85)-1),0):H85)*IF(AND(OR('депозитный калькулятор'!$G$7="30/365",'депозитный калькулятор'!$G$7="30/360"),DAY(F85)&lt;30),30,DAY(F85))),IF(AND('депозитный калькулятор'!$G$10="ежемесячное, на средний остаток в течение месяца, при условии что остаток больше чем ограничение",F85='депозитный калькулятор'!$D$8,EOMONTH(F85,0)&lt;&gt;F85),IF('депозитный калькулятор'!$F$1=1,$H$24,SUM(OFFSET(Q85,-E85+1,0):Q85)),IF(AND('депозитный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калькулятор'!$G$7="30/360"),DAY(EOMONTH(F85,0))=31),EOMONTH(F85,0)-1=F85,EOMONTH(F85,0)=F85)),IF(IF(AND(OR('депозитный калькулятор'!$G$7="30/365",'депозитный калькулятор'!$G$7="30/360"),DAY(EOMONTH($F$24,0))=31),F85=EOMONTH($F$24,0)-1,F85=EOMONTH($F$24,0)),SUM(OFFSET(Q85,-E85+1,0):Q85),SUM(OFFSET(Q85,-E85+1,0):Q85)),IF('депозитный калькулятор'!$G$10="ежеквартальное",IF(F85&gt;'депозитный калькулятор'!$D$8," ",IF(AND(EOMONTH(F85,0)=F85,OR(MONTH(F85)=3,MONTH(F85)=6,MONTH(F85)=9,MONTH(F85)=12)),IF(EDATE(F85,-3)&lt;'депозитный калькулятор'!$D$7,SUM($H$23:H85),IF(MOD(YEAR(F85),4)=0,IF(AND(EOMONTH(F85,0)=F85,OR(MONTH(F85)=3,MONTH(F85)=6)),SUM(OFFSET(H85,-90,0):H85),IF(AND(EOMONTH(F85,0)=F85,OR(MONTH(F85)=9,MONTH(F85)=12)),SUM(OFFSET(H85,-91,0):H85))),IF(AND(EOMONTH(F85,0)=F85,MONTH(F85)=3),SUM(OFFSET(H85,-89,0):H85),IF(AND(EOMONTH(F85,0)=F85,MONTH(F85)=6),SUM(OFFSET(H85,-90,0):H85),IF(AND(EOMONTH(F85,0)=F85,OR(MONTH(F85)=9,MONTH(F85)=12)),SUM(OFFSET(H85,-91,0):H85)))))),IF(F85='депозитный калькулятор'!$D$8,SUM($H$23:H85)-SUM($I$23:I84),0))),IF('депозитный калькулятор'!$G$10="ежегодное",IF(F85&gt;'депозитный калькулятор'!$D$8," ",IF(F85='депозитный калькулятор'!$D$8,SUM($H$23:H85)-SUM($I$23:I84),IF(AND(EOMONTH(F85,0)=F85,MONTH(F85)=12),IF(MOD(YEAR(F84),4)=0,IF(F85-'депозитный калькулятор'!$D$7&lt;366,SUM($H$23:H85),SUM(OFFSET(H85,-365,0):H85)),IF(F85-'депозитный калькулятор'!$D$7&lt;365,SUM($H$23:H85),SUM(OFFSET(H85,-364,0):H85))),0))),IF(AND('депозитный калькулятор'!$G$10="в конце срока",'депозитный калькулятор'!$D$8=F85),SUM($H$23:H85),0))))))))))))))))))</f>
        <v xml:space="preserve"> </v>
      </c>
      <c r="J85" s="59" t="str">
        <f>IF(F85&gt;'депозитный калькулятор'!$D$8," ",IF('депозитный калькулятор'!$G$16="нет",0,IF(AND('депозитный калькулятор'!$G$17="разовая (в конце срока)",F85='депозитный калькулятор'!$D$8),'депозитный калькулятор'!$G$18,IF(AND('депозитный калькулятор'!$G$17="ежемесячная",EOMONTH(F84,0)=F84),'депозитный калькулятор'!$G$18,IF(AND('депозитный калькулятор'!$G$17="ежегодная",DAY(F84)=31,MONTH(F84)=12),'депозитный калькулятор'!$G$18,IF(AND('депозитный калькулятор'!$G$17="ежемесячная в зависимости от остатка",EOMONTH(F84,0)=F84,P84&gt;0),'депозитный калькулятор'!$G$18,IF(AND('депозитный калькулятор'!$G$17="ежегодная в зависимости от остатка",DAY(F84)=31,MONTH(F84)=12,P84&gt;0),'депозитный калькулятор'!$G$18,0)))))))</f>
        <v xml:space="preserve"> </v>
      </c>
      <c r="K85" s="135" t="str">
        <f>IF($F85=" "," ",IFERROR(VLOOKUP($F85,'депозитный калькулятор'!$B$26:$F$70,2,0),0))</f>
        <v xml:space="preserve"> </v>
      </c>
      <c r="L85" s="135" t="str">
        <f>IF($F85=" "," ",IFERROR(VLOOKUP($F85,'депозитный калькулятор'!$B$26:$F$70,3,0),0))</f>
        <v xml:space="preserve"> </v>
      </c>
      <c r="M85" s="135" t="str">
        <f>IF($F85=" "," ",IFERROR(VLOOKUP($F85,'депозитный калькулятор'!$B$26:$F$70,4,0),0))</f>
        <v xml:space="preserve"> </v>
      </c>
      <c r="N85" s="135" t="str">
        <f>IF($F85=" "," ",IFERROR(VLOOKUP($F85,'депозитный калькулятор'!$B$26:$F$70,5,0),0))</f>
        <v xml:space="preserve"> </v>
      </c>
      <c r="O85" s="146" t="str">
        <f>IF(F85&gt;'депозитный калькулятор'!$D$8," ",IF(F85='депозитный калькулятор'!$D$8,IF(AND($F$24='депозитный калькулятор'!$D$8,'депозитный калькулятор'!$G$13="нет"),-G85-IF(I85=" ",0,I85)-IF(AND(OR('депозитный калькулятор'!$G$7="30/365",'депозитный калькулятор'!$G$7="30/360"),'депозитный калькулятор'!$G$10="в начале срока"),I84,0)-L85+M85-N85,-G85-IF(I85=" ",0,I85)-L85+M85-N85),IF('депозитный калькулятор'!$G$13="есть",M85-N85+IF('депозитный калькулятор'!$G$14="есть",0,-L85),-IF(I85=" ",0,I85)-IF(AND(OR('депозитный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срока"),I84,0)+M85-N85+IF('депозитный калькулятор'!$G$14="есть",0,-L85))))</f>
        <v xml:space="preserve"> </v>
      </c>
      <c r="P85" s="147" t="str">
        <f>IF(F85&gt;'депозитный калькулятор'!$D$8," ",IF(EOMONTH(F84,0)=F84,0,IF(G85&gt;='депозитный калькулятор'!$G$19,P84,P84+1)))</f>
        <v xml:space="preserve"> </v>
      </c>
      <c r="Q85" s="138" t="str">
        <f>IF(F85=" "," ",IF(AND(OR('депозитный калькулятор'!$G$7="30/365",'депозитный калькулятор'!$G$7="30/360"),AND(MONTH(F85)=2,EOMONTH(F85,0)=F85)),IF(DAY(F85)=28,3,2),1)*IF(G85&gt;='депозитный калькулятор'!$G$11,IF(AND('депозитный калькулятор'!$G$7="факт/факт",MOD(YEAR(F85),4)=0),G85*'депозитный калькулятор'!$D$11/366,G85*'депозитный калькулятор'!$G$8),0))</f>
        <v xml:space="preserve"> </v>
      </c>
      <c r="R85" s="148"/>
      <c r="S85" s="62" t="str">
        <f t="shared" ca="1" si="2"/>
        <v xml:space="preserve"> </v>
      </c>
      <c r="T85" s="149" t="str">
        <f ca="1">IF(S85=" "," ",IF('депозитный калькулятор'!$G$7="30/360",DAYS360(U84,IF(DAY(U85)=31,U85-1,U85))+IF(AND(MONTH(U85)=2,U85=EOMONTH(U85,0)),30-DAY(EOMONTH(U85,0)))+T84,VLOOKUP(S85,$C$22:$F$1023,2,0)))</f>
        <v xml:space="preserve"> </v>
      </c>
      <c r="U85" s="64" t="str">
        <f t="shared" ca="1" si="0"/>
        <v xml:space="preserve"> </v>
      </c>
      <c r="V85" s="150" t="str">
        <f t="shared" ca="1" si="3"/>
        <v xml:space="preserve"> </v>
      </c>
      <c r="W85" s="62" t="str">
        <f t="shared" ca="1" si="4"/>
        <v xml:space="preserve"> </v>
      </c>
      <c r="X85" s="141" t="str">
        <f ca="1">IF(S85=" "," ",IFERROR(VLOOKUP(U85,$F$23:$N$1023,7)+VLOOKUP(U85,$F$23:$N$1023,9)+IF(AND('депозитный калькулятор'!$G$13="нет",U85&lt;&gt;'депозитный калькулятор'!$D$8),VLOOKUP(U85,$F$23:$N$1023,4),0),0)+IF(U85='депозитный калькулятор'!$D$8,VLOOKUP(U85,$F$23:$N$1023,2)+VLOOKUP(U85,$F$23:$N$1023,4),0))</f>
        <v xml:space="preserve"> </v>
      </c>
      <c r="Y85" s="142" t="str">
        <f ca="1">IF(S85=" "," ",W85/(1+'депозитный калькулятор'!$K$8)^(T85/IF('депозитный калькулятор'!$G$7="30/360",360,365)))</f>
        <v xml:space="preserve"> </v>
      </c>
      <c r="Z85" s="142" t="str">
        <f ca="1">IF(S85=" "," ",X85/(1+'депозитный калькулятор'!$K$8)^(T85/IF('депозитный калькулятор'!$G$7="30/360",360,365)))</f>
        <v xml:space="preserve"> </v>
      </c>
      <c r="AA85" s="151"/>
      <c r="AB85" s="151"/>
      <c r="AC85" s="155"/>
      <c r="AD85" s="155"/>
      <c r="AF85" s="5"/>
    </row>
    <row r="86" spans="1:32" s="2" customFormat="1" ht="15.5" x14ac:dyDescent="0.35">
      <c r="A86" s="41" t="str">
        <f>IF(F86=" "," ",IF(OR('депозитный калькулятор'!$G$7="30/365",'депозитный калькулятор'!$G$7="30/360"),IF(AND(MONTH(F86)=2,DAY(F86)=DAY(EOMONTH(F86,0))),30-DAY(EOMONTH(F86,0)),IF(DAY(F86)=31,1," "))," "))</f>
        <v xml:space="preserve"> </v>
      </c>
      <c r="B86" s="130" t="str">
        <f t="shared" si="1"/>
        <v xml:space="preserve"> </v>
      </c>
      <c r="C86" s="130" t="str">
        <f>IF(OR(B86=0,B86=" ")," ",SUM($B$23:B86))</f>
        <v xml:space="preserve"> </v>
      </c>
      <c r="D86" s="62" t="str">
        <f>IF(D85=" "," ",IF(OR(F85='депозитный калькулятор'!$D$8,F85=" ")," ",D85+1))</f>
        <v xml:space="preserve"> </v>
      </c>
      <c r="E86" s="130" t="str">
        <f>IF(OR(F85='депозитный калькулятор'!$D$8,F85=" ")," ",IF(EOMONTH(F85,0)=F85,1,E85+1))</f>
        <v xml:space="preserve"> </v>
      </c>
      <c r="F86" s="64" t="str">
        <f>IF(F85=" "," ",IF(F85='депозитный калькулятор'!$D$8," ",F85+1))</f>
        <v xml:space="preserve"> </v>
      </c>
      <c r="G86" s="145" t="str">
        <f xml:space="preserve"> IF(F86&gt;'депозитный калькулятор'!$D$8," ",IF('депозитный калькулятор'!$G$13="есть",IF('депозитный калькулятор'!$G$14="есть",G85+IF(I85=" ",0,I85)-J86-K86+L86+M86-N86,G85+IF(I85=" ",0,I85)-J86-K86+M86-N86),IF('депозитный калькулятор'!$G$14="есть",G85-J86-K86+L86+M86-N86,G85-J86-K86+M86-N86)))</f>
        <v xml:space="preserve"> </v>
      </c>
      <c r="H86" s="133" t="str">
        <f>IF(F86&gt;'депозитный калькулятор'!$D$8," ",IF(AND(OR('депозитный калькулятор'!$G$7="30/365",'депозитный калькулятор'!$G$7="30/360"),AND(MONTH(F86)=2,EOMONTH(F86,0)=F86)),IF(DAY(F86)=28,3*G86*'депозитный калькулятор'!$G$8,2*G86*'депозитный калькулятор'!$G$8),IF(AND(OR('депозитный калькулятор'!$G$7="30/365",'депозитный калькулятор'!$G$7="30/360"),DAY(F86)=31)," ",IF(AND('депозитный калькулятор'!$G$7="факт/факт",MOD(YEAR(F86),4)=0),G86*'депозитный калькулятор'!$D$11/366,G86*'депозитный калькулятор'!$G$8))))</f>
        <v xml:space="preserve"> </v>
      </c>
      <c r="I86" s="134" t="str">
        <f ca="1">IF(F86=" "," ",IF('депозитный калькулятор'!$G$10="ежедневное",H86,IF(AND('депозитный калькулятор'!$G$10="еженедельное",WEEKDAY(F86,2)=7),SUM(OFFSET(H86,-6,0):H86),IF(AND('депозитный калькулятор'!$G$10="еженедельное",F86='депозитный калькулятор'!$D$8),SUM($H$23:H86)-SUM($I$23:I85),IF(AND('депозитный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недели",WEEKDAY(F86,2)=7),MIN(OFFSET(H86,-6,0):H86)*(COUNTIF(OFFSET(H86,-6,0):H86,"&gt;0")+SUMIF(OFFSET(A86,-WEEKDAY(F86,2),0):A86,"=2",OFFSET(A86,-WEEKDAY(F86,2),0):A86)),IF(AND('депозитный калькулятор'!$G$10="еженедельное, на минимальную сумму зафиксированную в течение недели",F86='депозитный калькулятор'!$D$8,WEEKDAY(F86,2)&lt;&gt;7),MIN(OFFSET(H86,-WEEKDAY(F86,2),0):H86)*(COUNTIF(OFFSET(H86,-WEEKDAY(F86,2)+1,0):H86,"&gt;0")+SUM(OFFSET(A86,-WEEKDAY(F86,2),0):A86)),IF(AND('депозитный калькулятор'!$G$10="ежемесячное (в конце месяца)",F86='депозитный калькулятор'!$D$8,EOMONTH(F86,0)&lt;&gt;F86),IF('депозитный калькулятор'!$F$1=1,$H$24,SUM($H$23:H86)-SUM($I$23:I85)),IF(AND('депозитный калькулятор'!$G$10="ежемесячное (в конце месяца)",EOMONTH(F86,0)=F86),SUM($H$23:H86)-SUM($I$23:I85),IF(AND('депозитный калькулятор'!$G$10="ежемесячное (по дням открытия вклада)",F86='депозитный калькулятор'!$D$8,DAY('депозитный калькулятор'!$D$7)&lt;&gt;DAY(F86)),IF('депозитный калькулятор'!$F$1=1,$H$24,SUM($H$23:H86)-SUM($I$23:I85)),IF(AND('депозитный калькулятор'!$G$10="ежемесячное (по дням открытия вклада)",DAY('депозитный калькулятор'!$D$7)=DAY(F86)),SUM($H$23:H86)-SUM($I$23:I85),IF(AND('депозитный калькулятор'!$G$10="ежемесячное, на минимальную сумму зафиксированную в течение месяца",F86='депозитный калькулятор'!$D$8,EOMONTH(F86,0)&lt;&gt;F86),IF('депозитный калькулятор'!$F$1=1,$H$24,IF(AND(OR('депозитный калькулятор'!$G$7="30/365",'депозитный калькулятор'!$G$7="30/360"),DAY(F86)=31),0,MIN(OFFSET(H86,-E86+1,0):H86)*(E86+SUMIF(OFFSET(A86,-E86+1,0):A86,"=2",OFFSET(A86,-E86+1,0):A86)))),IF(AND('депозитный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калькулятор'!$G$7="30/360"),DAY(EOMONTH(F86,0))=31),EOMONTH(F86,0)-1=F86,EOMONTH(F86,0)=F86)),IF(IF(AND(OR('депозитный калькулятор'!$G$7="30/365",'депозитный калькулятор'!$G$7="30/360"),DAY(EOMONTH($F$23,0))=31),F86=EOMONTH($F$23,0)-1,F86=EOMONTH($F$23,0)),MIN(OFFSET(H86,-(DAY(F86)-DAY($F$23)),0):H86)*E86,MIN(OFFSET(H86,-(DAY(F86)-1),0):H86)*IF(AND(OR('депозитный калькулятор'!$G$7="30/365",'депозитный калькулятор'!$G$7="30/360"),DAY(F86)&lt;30),30,DAY(F86))),IF(AND('депозитный калькулятор'!$G$10="ежемесячное, на средний остаток в течение месяца, при условии что остаток больше чем ограничение",F86='депозитный калькулятор'!$D$8,EOMONTH(F86,0)&lt;&gt;F86),IF('депозитный калькулятор'!$F$1=1,$H$24,SUM(OFFSET(Q86,-E86+1,0):Q86)),IF(AND('депозитный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калькулятор'!$G$7="30/360"),DAY(EOMONTH(F86,0))=31),EOMONTH(F86,0)-1=F86,EOMONTH(F86,0)=F86)),IF(IF(AND(OR('депозитный калькулятор'!$G$7="30/365",'депозитный калькулятор'!$G$7="30/360"),DAY(EOMONTH($F$24,0))=31),F86=EOMONTH($F$24,0)-1,F86=EOMONTH($F$24,0)),SUM(OFFSET(Q86,-E86+1,0):Q86),SUM(OFFSET(Q86,-E86+1,0):Q86)),IF('депозитный калькулятор'!$G$10="ежеквартальное",IF(F86&gt;'депозитный калькулятор'!$D$8," ",IF(AND(EOMONTH(F86,0)=F86,OR(MONTH(F86)=3,MONTH(F86)=6,MONTH(F86)=9,MONTH(F86)=12)),IF(EDATE(F86,-3)&lt;'депозитный калькулятор'!$D$7,SUM($H$23:H86),IF(MOD(YEAR(F86),4)=0,IF(AND(EOMONTH(F86,0)=F86,OR(MONTH(F86)=3,MONTH(F86)=6)),SUM(OFFSET(H86,-90,0):H86),IF(AND(EOMONTH(F86,0)=F86,OR(MONTH(F86)=9,MONTH(F86)=12)),SUM(OFFSET(H86,-91,0):H86))),IF(AND(EOMONTH(F86,0)=F86,MONTH(F86)=3),SUM(OFFSET(H86,-89,0):H86),IF(AND(EOMONTH(F86,0)=F86,MONTH(F86)=6),SUM(OFFSET(H86,-90,0):H86),IF(AND(EOMONTH(F86,0)=F86,OR(MONTH(F86)=9,MONTH(F86)=12)),SUM(OFFSET(H86,-91,0):H86)))))),IF(F86='депозитный калькулятор'!$D$8,SUM($H$23:H86)-SUM($I$23:I85),0))),IF('депозитный калькулятор'!$G$10="ежегодное",IF(F86&gt;'депозитный калькулятор'!$D$8," ",IF(F86='депозитный калькулятор'!$D$8,SUM($H$23:H86)-SUM($I$23:I85),IF(AND(EOMONTH(F86,0)=F86,MONTH(F86)=12),IF(MOD(YEAR(F85),4)=0,IF(F86-'депозитный калькулятор'!$D$7&lt;366,SUM($H$23:H86),SUM(OFFSET(H86,-365,0):H86)),IF(F86-'депозитный калькулятор'!$D$7&lt;365,SUM($H$23:H86),SUM(OFFSET(H86,-364,0):H86))),0))),IF(AND('депозитный калькулятор'!$G$10="в конце срока",'депозитный калькулятор'!$D$8=F86),SUM($H$23:H86),0))))))))))))))))))</f>
        <v xml:space="preserve"> </v>
      </c>
      <c r="J86" s="59" t="str">
        <f>IF(F86&gt;'депозитный калькулятор'!$D$8," ",IF('депозитный калькулятор'!$G$16="нет",0,IF(AND('депозитный калькулятор'!$G$17="разовая (в конце срока)",F86='депозитный калькулятор'!$D$8),'депозитный калькулятор'!$G$18,IF(AND('депозитный калькулятор'!$G$17="ежемесячная",EOMONTH(F85,0)=F85),'депозитный калькулятор'!$G$18,IF(AND('депозитный калькулятор'!$G$17="ежегодная",DAY(F85)=31,MONTH(F85)=12),'депозитный калькулятор'!$G$18,IF(AND('депозитный калькулятор'!$G$17="ежемесячная в зависимости от остатка",EOMONTH(F85,0)=F85,P85&gt;0),'депозитный калькулятор'!$G$18,IF(AND('депозитный калькулятор'!$G$17="ежегодная в зависимости от остатка",DAY(F85)=31,MONTH(F85)=12,P85&gt;0),'депозитный калькулятор'!$G$18,0)))))))</f>
        <v xml:space="preserve"> </v>
      </c>
      <c r="K86" s="135" t="str">
        <f>IF($F86=" "," ",IFERROR(VLOOKUP($F86,'депозитный калькулятор'!$B$26:$F$70,2,0),0))</f>
        <v xml:space="preserve"> </v>
      </c>
      <c r="L86" s="135" t="str">
        <f>IF($F86=" "," ",IFERROR(VLOOKUP($F86,'депозитный калькулятор'!$B$26:$F$70,3,0),0))</f>
        <v xml:space="preserve"> </v>
      </c>
      <c r="M86" s="135" t="str">
        <f>IF($F86=" "," ",IFERROR(VLOOKUP($F86,'депозитный калькулятор'!$B$26:$F$70,4,0),0))</f>
        <v xml:space="preserve"> </v>
      </c>
      <c r="N86" s="135" t="str">
        <f>IF($F86=" "," ",IFERROR(VLOOKUP($F86,'депозитный калькулятор'!$B$26:$F$70,5,0),0))</f>
        <v xml:space="preserve"> </v>
      </c>
      <c r="O86" s="146" t="str">
        <f>IF(F86&gt;'депозитный калькулятор'!$D$8," ",IF(F86='депозитный калькулятор'!$D$8,IF(AND($F$24='депозитный калькулятор'!$D$8,'депозитный калькулятор'!$G$13="нет"),-G86-IF(I86=" ",0,I86)-IF(AND(OR('депозитный калькулятор'!$G$7="30/365",'депозитный калькулятор'!$G$7="30/360"),'депозитный калькулятор'!$G$10="в начале срока"),I85,0)-L86+M86-N86,-G86-IF(I86=" ",0,I86)-L86+M86-N86),IF('депозитный калькулятор'!$G$13="есть",M86-N86+IF('депозитный калькулятор'!$G$14="есть",0,-L86),-IF(I86=" ",0,I86)-IF(AND(OR('депозитный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срока"),I85,0)+M86-N86+IF('депозитный калькулятор'!$G$14="есть",0,-L86))))</f>
        <v xml:space="preserve"> </v>
      </c>
      <c r="P86" s="147" t="str">
        <f>IF(F86&gt;'депозитный калькулятор'!$D$8," ",IF(EOMONTH(F85,0)=F85,0,IF(G86&gt;='депозитный калькулятор'!$G$19,P85,P85+1)))</f>
        <v xml:space="preserve"> </v>
      </c>
      <c r="Q86" s="138" t="str">
        <f>IF(F86=" "," ",IF(AND(OR('депозитный калькулятор'!$G$7="30/365",'депозитный калькулятор'!$G$7="30/360"),AND(MONTH(F86)=2,EOMONTH(F86,0)=F86)),IF(DAY(F86)=28,3,2),1)*IF(G86&gt;='депозитный калькулятор'!$G$11,IF(AND('депозитный калькулятор'!$G$7="факт/факт",MOD(YEAR(F86),4)=0),G86*'депозитный калькулятор'!$D$11/366,G86*'депозитный калькулятор'!$G$8),0))</f>
        <v xml:space="preserve"> </v>
      </c>
      <c r="R86" s="148"/>
      <c r="S86" s="62" t="str">
        <f t="shared" ca="1" si="2"/>
        <v xml:space="preserve"> </v>
      </c>
      <c r="T86" s="149" t="str">
        <f ca="1">IF(S86=" "," ",IF('депозитный калькулятор'!$G$7="30/360",DAYS360(U85,IF(DAY(U86)=31,U86-1,U86))+IF(AND(MONTH(U86)=2,U86=EOMONTH(U86,0)),30-DAY(EOMONTH(U86,0)))+T85,VLOOKUP(S86,$C$22:$F$1023,2,0)))</f>
        <v xml:space="preserve"> </v>
      </c>
      <c r="U86" s="64" t="str">
        <f t="shared" ca="1" si="0"/>
        <v xml:space="preserve"> </v>
      </c>
      <c r="V86" s="150" t="str">
        <f t="shared" ca="1" si="3"/>
        <v xml:space="preserve"> </v>
      </c>
      <c r="W86" s="62" t="str">
        <f t="shared" ca="1" si="4"/>
        <v xml:space="preserve"> </v>
      </c>
      <c r="X86" s="141" t="str">
        <f ca="1">IF(S86=" "," ",IFERROR(VLOOKUP(U86,$F$23:$N$1023,7)+VLOOKUP(U86,$F$23:$N$1023,9)+IF(AND('депозитный калькулятор'!$G$13="нет",U86&lt;&gt;'депозитный калькулятор'!$D$8),VLOOKUP(U86,$F$23:$N$1023,4),0),0)+IF(U86='депозитный калькулятор'!$D$8,VLOOKUP(U86,$F$23:$N$1023,2)+VLOOKUP(U86,$F$23:$N$1023,4),0))</f>
        <v xml:space="preserve"> </v>
      </c>
      <c r="Y86" s="142" t="str">
        <f ca="1">IF(S86=" "," ",W86/(1+'депозитный калькулятор'!$K$8)^(T86/IF('депозитный калькулятор'!$G$7="30/360",360,365)))</f>
        <v xml:space="preserve"> </v>
      </c>
      <c r="Z86" s="142" t="str">
        <f ca="1">IF(S86=" "," ",X86/(1+'депозитный калькулятор'!$K$8)^(T86/IF('депозитный калькулятор'!$G$7="30/360",360,365)))</f>
        <v xml:space="preserve"> </v>
      </c>
      <c r="AA86" s="151"/>
      <c r="AB86" s="151"/>
      <c r="AC86" s="155"/>
      <c r="AD86" s="155"/>
      <c r="AF86" s="5"/>
    </row>
    <row r="87" spans="1:32" s="2" customFormat="1" ht="15.5" x14ac:dyDescent="0.35">
      <c r="A87" s="41" t="str">
        <f>IF(F87=" "," ",IF(OR('депозитный калькулятор'!$G$7="30/365",'депозитный калькулятор'!$G$7="30/360"),IF(AND(MONTH(F87)=2,DAY(F87)=DAY(EOMONTH(F87,0))),30-DAY(EOMONTH(F87,0)),IF(DAY(F87)=31,1," "))," "))</f>
        <v xml:space="preserve"> </v>
      </c>
      <c r="B87" s="130" t="str">
        <f t="shared" si="1"/>
        <v xml:space="preserve"> </v>
      </c>
      <c r="C87" s="130" t="str">
        <f>IF(OR(B87=0,B87=" ")," ",SUM($B$23:B87))</f>
        <v xml:space="preserve"> </v>
      </c>
      <c r="D87" s="62" t="str">
        <f>IF(D86=" "," ",IF(OR(F86='депозитный калькулятор'!$D$8,F86=" ")," ",D86+1))</f>
        <v xml:space="preserve"> </v>
      </c>
      <c r="E87" s="130" t="str">
        <f>IF(OR(F86='депозитный калькулятор'!$D$8,F86=" ")," ",IF(EOMONTH(F86,0)=F86,1,E86+1))</f>
        <v xml:space="preserve"> </v>
      </c>
      <c r="F87" s="64" t="str">
        <f>IF(F86=" "," ",IF(F86='депозитный калькулятор'!$D$8," ",F86+1))</f>
        <v xml:space="preserve"> </v>
      </c>
      <c r="G87" s="145" t="str">
        <f xml:space="preserve"> IF(F87&gt;'депозитный калькулятор'!$D$8," ",IF('депозитный калькулятор'!$G$13="есть",IF('депозитный калькулятор'!$G$14="есть",G86+IF(I86=" ",0,I86)-J87-K87+L87+M87-N87,G86+IF(I86=" ",0,I86)-J87-K87+M87-N87),IF('депозитный калькулятор'!$G$14="есть",G86-J87-K87+L87+M87-N87,G86-J87-K87+M87-N87)))</f>
        <v xml:space="preserve"> </v>
      </c>
      <c r="H87" s="133" t="str">
        <f>IF(F87&gt;'депозитный калькулятор'!$D$8," ",IF(AND(OR('депозитный калькулятор'!$G$7="30/365",'депозитный калькулятор'!$G$7="30/360"),AND(MONTH(F87)=2,EOMONTH(F87,0)=F87)),IF(DAY(F87)=28,3*G87*'депозитный калькулятор'!$G$8,2*G87*'депозитный калькулятор'!$G$8),IF(AND(OR('депозитный калькулятор'!$G$7="30/365",'депозитный калькулятор'!$G$7="30/360"),DAY(F87)=31)," ",IF(AND('депозитный калькулятор'!$G$7="факт/факт",MOD(YEAR(F87),4)=0),G87*'депозитный калькулятор'!$D$11/366,G87*'депозитный калькулятор'!$G$8))))</f>
        <v xml:space="preserve"> </v>
      </c>
      <c r="I87" s="134" t="str">
        <f ca="1">IF(F87=" "," ",IF('депозитный калькулятор'!$G$10="ежедневное",H87,IF(AND('депозитный калькулятор'!$G$10="еженедельное",WEEKDAY(F87,2)=7),SUM(OFFSET(H87,-6,0):H87),IF(AND('депозитный калькулятор'!$G$10="еженедельное",F87='депозитный калькулятор'!$D$8),SUM($H$23:H87)-SUM($I$23:I86),IF(AND('депозитный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недели",WEEKDAY(F87,2)=7),MIN(OFFSET(H87,-6,0):H87)*(COUNTIF(OFFSET(H87,-6,0):H87,"&gt;0")+SUMIF(OFFSET(A87,-WEEKDAY(F87,2),0):A87,"=2",OFFSET(A87,-WEEKDAY(F87,2),0):A87)),IF(AND('депозитный калькулятор'!$G$10="еженедельное, на минимальную сумму зафиксированную в течение недели",F87='депозитный калькулятор'!$D$8,WEEKDAY(F87,2)&lt;&gt;7),MIN(OFFSET(H87,-WEEKDAY(F87,2),0):H87)*(COUNTIF(OFFSET(H87,-WEEKDAY(F87,2)+1,0):H87,"&gt;0")+SUM(OFFSET(A87,-WEEKDAY(F87,2),0):A87)),IF(AND('депозитный калькулятор'!$G$10="ежемесячное (в конце месяца)",F87='депозитный калькулятор'!$D$8,EOMONTH(F87,0)&lt;&gt;F87),IF('депозитный калькулятор'!$F$1=1,$H$24,SUM($H$23:H87)-SUM($I$23:I86)),IF(AND('депозитный калькулятор'!$G$10="ежемесячное (в конце месяца)",EOMONTH(F87,0)=F87),SUM($H$23:H87)-SUM($I$23:I86),IF(AND('депозитный калькулятор'!$G$10="ежемесячное (по дням открытия вклада)",F87='депозитный калькулятор'!$D$8,DAY('депозитный калькулятор'!$D$7)&lt;&gt;DAY(F87)),IF('депозитный калькулятор'!$F$1=1,$H$24,SUM($H$23:H87)-SUM($I$23:I86)),IF(AND('депозитный калькулятор'!$G$10="ежемесячное (по дням открытия вклада)",DAY('депозитный калькулятор'!$D$7)=DAY(F87)),SUM($H$23:H87)-SUM($I$23:I86),IF(AND('депозитный калькулятор'!$G$10="ежемесячное, на минимальную сумму зафиксированную в течение месяца",F87='депозитный калькулятор'!$D$8,EOMONTH(F87,0)&lt;&gt;F87),IF('депозитный калькулятор'!$F$1=1,$H$24,IF(AND(OR('депозитный калькулятор'!$G$7="30/365",'депозитный калькулятор'!$G$7="30/360"),DAY(F87)=31),0,MIN(OFFSET(H87,-E87+1,0):H87)*(E87+SUMIF(OFFSET(A87,-E87+1,0):A87,"=2",OFFSET(A87,-E87+1,0):A87)))),IF(AND('депозитный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калькулятор'!$G$7="30/360"),DAY(EOMONTH(F87,0))=31),EOMONTH(F87,0)-1=F87,EOMONTH(F87,0)=F87)),IF(IF(AND(OR('депозитный калькулятор'!$G$7="30/365",'депозитный калькулятор'!$G$7="30/360"),DAY(EOMONTH($F$23,0))=31),F87=EOMONTH($F$23,0)-1,F87=EOMONTH($F$23,0)),MIN(OFFSET(H87,-(DAY(F87)-DAY($F$23)),0):H87)*E87,MIN(OFFSET(H87,-(DAY(F87)-1),0):H87)*IF(AND(OR('депозитный калькулятор'!$G$7="30/365",'депозитный калькулятор'!$G$7="30/360"),DAY(F87)&lt;30),30,DAY(F87))),IF(AND('депозитный калькулятор'!$G$10="ежемесячное, на средний остаток в течение месяца, при условии что остаток больше чем ограничение",F87='депозитный калькулятор'!$D$8,EOMONTH(F87,0)&lt;&gt;F87),IF('депозитный калькулятор'!$F$1=1,$H$24,SUM(OFFSET(Q87,-E87+1,0):Q87)),IF(AND('депозитный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калькулятор'!$G$7="30/360"),DAY(EOMONTH(F87,0))=31),EOMONTH(F87,0)-1=F87,EOMONTH(F87,0)=F87)),IF(IF(AND(OR('депозитный калькулятор'!$G$7="30/365",'депозитный калькулятор'!$G$7="30/360"),DAY(EOMONTH($F$24,0))=31),F87=EOMONTH($F$24,0)-1,F87=EOMONTH($F$24,0)),SUM(OFFSET(Q87,-E87+1,0):Q87),SUM(OFFSET(Q87,-E87+1,0):Q87)),IF('депозитный калькулятор'!$G$10="ежеквартальное",IF(F87&gt;'депозитный калькулятор'!$D$8," ",IF(AND(EOMONTH(F87,0)=F87,OR(MONTH(F87)=3,MONTH(F87)=6,MONTH(F87)=9,MONTH(F87)=12)),IF(EDATE(F87,-3)&lt;'депозитный калькулятор'!$D$7,SUM($H$23:H87),IF(MOD(YEAR(F87),4)=0,IF(AND(EOMONTH(F87,0)=F87,OR(MONTH(F87)=3,MONTH(F87)=6)),SUM(OFFSET(H87,-90,0):H87),IF(AND(EOMONTH(F87,0)=F87,OR(MONTH(F87)=9,MONTH(F87)=12)),SUM(OFFSET(H87,-91,0):H87))),IF(AND(EOMONTH(F87,0)=F87,MONTH(F87)=3),SUM(OFFSET(H87,-89,0):H87),IF(AND(EOMONTH(F87,0)=F87,MONTH(F87)=6),SUM(OFFSET(H87,-90,0):H87),IF(AND(EOMONTH(F87,0)=F87,OR(MONTH(F87)=9,MONTH(F87)=12)),SUM(OFFSET(H87,-91,0):H87)))))),IF(F87='депозитный калькулятор'!$D$8,SUM($H$23:H87)-SUM($I$23:I86),0))),IF('депозитный калькулятор'!$G$10="ежегодное",IF(F87&gt;'депозитный калькулятор'!$D$8," ",IF(F87='депозитный калькулятор'!$D$8,SUM($H$23:H87)-SUM($I$23:I86),IF(AND(EOMONTH(F87,0)=F87,MONTH(F87)=12),IF(MOD(YEAR(F86),4)=0,IF(F87-'депозитный калькулятор'!$D$7&lt;366,SUM($H$23:H87),SUM(OFFSET(H87,-365,0):H87)),IF(F87-'депозитный калькулятор'!$D$7&lt;365,SUM($H$23:H87),SUM(OFFSET(H87,-364,0):H87))),0))),IF(AND('депозитный калькулятор'!$G$10="в конце срока",'депозитный калькулятор'!$D$8=F87),SUM($H$23:H87),0))))))))))))))))))</f>
        <v xml:space="preserve"> </v>
      </c>
      <c r="J87" s="59" t="str">
        <f>IF(F87&gt;'депозитный калькулятор'!$D$8," ",IF('депозитный калькулятор'!$G$16="нет",0,IF(AND('депозитный калькулятор'!$G$17="разовая (в конце срока)",F87='депозитный калькулятор'!$D$8),'депозитный калькулятор'!$G$18,IF(AND('депозитный калькулятор'!$G$17="ежемесячная",EOMONTH(F86,0)=F86),'депозитный калькулятор'!$G$18,IF(AND('депозитный калькулятор'!$G$17="ежегодная",DAY(F86)=31,MONTH(F86)=12),'депозитный калькулятор'!$G$18,IF(AND('депозитный калькулятор'!$G$17="ежемесячная в зависимости от остатка",EOMONTH(F86,0)=F86,P86&gt;0),'депозитный калькулятор'!$G$18,IF(AND('депозитный калькулятор'!$G$17="ежегодная в зависимости от остатка",DAY(F86)=31,MONTH(F86)=12,P86&gt;0),'депозитный калькулятор'!$G$18,0)))))))</f>
        <v xml:space="preserve"> </v>
      </c>
      <c r="K87" s="135" t="str">
        <f>IF($F87=" "," ",IFERROR(VLOOKUP($F87,'депозитный калькулятор'!$B$26:$F$70,2,0),0))</f>
        <v xml:space="preserve"> </v>
      </c>
      <c r="L87" s="135" t="str">
        <f>IF($F87=" "," ",IFERROR(VLOOKUP($F87,'депозитный калькулятор'!$B$26:$F$70,3,0),0))</f>
        <v xml:space="preserve"> </v>
      </c>
      <c r="M87" s="135" t="str">
        <f>IF($F87=" "," ",IFERROR(VLOOKUP($F87,'депозитный калькулятор'!$B$26:$F$70,4,0),0))</f>
        <v xml:space="preserve"> </v>
      </c>
      <c r="N87" s="135" t="str">
        <f>IF($F87=" "," ",IFERROR(VLOOKUP($F87,'депозитный калькулятор'!$B$26:$F$70,5,0),0))</f>
        <v xml:space="preserve"> </v>
      </c>
      <c r="O87" s="146" t="str">
        <f>IF(F87&gt;'депозитный калькулятор'!$D$8," ",IF(F87='депозитный калькулятор'!$D$8,IF(AND($F$24='депозитный калькулятор'!$D$8,'депозитный калькулятор'!$G$13="нет"),-G87-IF(I87=" ",0,I87)-IF(AND(OR('депозитный калькулятор'!$G$7="30/365",'депозитный калькулятор'!$G$7="30/360"),'депозитный калькулятор'!$G$10="в начале срока"),I86,0)-L87+M87-N87,-G87-IF(I87=" ",0,I87)-L87+M87-N87),IF('депозитный калькулятор'!$G$13="есть",M87-N87+IF('депозитный калькулятор'!$G$14="есть",0,-L87),-IF(I87=" ",0,I87)-IF(AND(OR('депозитный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срока"),I86,0)+M87-N87+IF('депозитный калькулятор'!$G$14="есть",0,-L87))))</f>
        <v xml:space="preserve"> </v>
      </c>
      <c r="P87" s="147" t="str">
        <f>IF(F87&gt;'депозитный калькулятор'!$D$8," ",IF(EOMONTH(F86,0)=F86,0,IF(G87&gt;='депозитный калькулятор'!$G$19,P86,P86+1)))</f>
        <v xml:space="preserve"> </v>
      </c>
      <c r="Q87" s="138" t="str">
        <f>IF(F87=" "," ",IF(AND(OR('депозитный калькулятор'!$G$7="30/365",'депозитный калькулятор'!$G$7="30/360"),AND(MONTH(F87)=2,EOMONTH(F87,0)=F87)),IF(DAY(F87)=28,3,2),1)*IF(G87&gt;='депозитный калькулятор'!$G$11,IF(AND('депозитный калькулятор'!$G$7="факт/факт",MOD(YEAR(F87),4)=0),G87*'депозитный калькулятор'!$D$11/366,G87*'депозитный калькулятор'!$G$8),0))</f>
        <v xml:space="preserve"> </v>
      </c>
      <c r="R87" s="148"/>
      <c r="S87" s="62" t="str">
        <f t="shared" ca="1" si="2"/>
        <v xml:space="preserve"> </v>
      </c>
      <c r="T87" s="149" t="str">
        <f ca="1">IF(S87=" "," ",IF('депозитный калькулятор'!$G$7="30/360",DAYS360(U86,IF(DAY(U87)=31,U87-1,U87))+IF(AND(MONTH(U87)=2,U87=EOMONTH(U87,0)),30-DAY(EOMONTH(U87,0)))+T86,VLOOKUP(S87,$C$22:$F$1023,2,0)))</f>
        <v xml:space="preserve"> </v>
      </c>
      <c r="U87" s="64" t="str">
        <f t="shared" ref="U87:U150" ca="1" si="5">IF(S87=" "," ",VLOOKUP(S87,$C$22:$F$1023,4,0))</f>
        <v xml:space="preserve"> </v>
      </c>
      <c r="V87" s="150" t="str">
        <f t="shared" ca="1" si="3"/>
        <v xml:space="preserve"> </v>
      </c>
      <c r="W87" s="62" t="str">
        <f t="shared" ca="1" si="4"/>
        <v xml:space="preserve"> </v>
      </c>
      <c r="X87" s="141" t="str">
        <f ca="1">IF(S87=" "," ",IFERROR(VLOOKUP(U87,$F$23:$N$1023,7)+VLOOKUP(U87,$F$23:$N$1023,9)+IF(AND('депозитный калькулятор'!$G$13="нет",U87&lt;&gt;'депозитный калькулятор'!$D$8),VLOOKUP(U87,$F$23:$N$1023,4),0),0)+IF(U87='депозитный калькулятор'!$D$8,VLOOKUP(U87,$F$23:$N$1023,2)+VLOOKUP(U87,$F$23:$N$1023,4),0))</f>
        <v xml:space="preserve"> </v>
      </c>
      <c r="Y87" s="142" t="str">
        <f ca="1">IF(S87=" "," ",W87/(1+'депозитный калькулятор'!$K$8)^(T87/IF('депозитный калькулятор'!$G$7="30/360",360,365)))</f>
        <v xml:space="preserve"> </v>
      </c>
      <c r="Z87" s="142" t="str">
        <f ca="1">IF(S87=" "," ",X87/(1+'депозитный калькулятор'!$K$8)^(T87/IF('депозитный калькулятор'!$G$7="30/360",360,365)))</f>
        <v xml:space="preserve"> </v>
      </c>
      <c r="AA87" s="151"/>
      <c r="AB87" s="151"/>
      <c r="AC87" s="155"/>
      <c r="AD87" s="155"/>
      <c r="AF87" s="5"/>
    </row>
    <row r="88" spans="1:32" s="2" customFormat="1" ht="15.5" x14ac:dyDescent="0.35">
      <c r="A88" s="41" t="str">
        <f>IF(F88=" "," ",IF(OR('депозитный калькулятор'!$G$7="30/365",'депозитный калькулятор'!$G$7="30/360"),IF(AND(MONTH(F88)=2,DAY(F88)=DAY(EOMONTH(F88,0))),30-DAY(EOMONTH(F88,0)),IF(DAY(F88)=31,1," "))," "))</f>
        <v xml:space="preserve"> </v>
      </c>
      <c r="B88" s="130" t="str">
        <f t="shared" ref="B88:B151" si="6">IF(F88=" "," ",IF(O88&lt;&gt;0,1,0))</f>
        <v xml:space="preserve"> </v>
      </c>
      <c r="C88" s="130" t="str">
        <f>IF(OR(B88=0,B88=" ")," ",SUM($B$23:B88))</f>
        <v xml:space="preserve"> </v>
      </c>
      <c r="D88" s="62" t="str">
        <f>IF(D87=" "," ",IF(OR(F87='депозитный калькулятор'!$D$8,F87=" ")," ",D87+1))</f>
        <v xml:space="preserve"> </v>
      </c>
      <c r="E88" s="130" t="str">
        <f>IF(OR(F87='депозитный калькулятор'!$D$8,F87=" ")," ",IF(EOMONTH(F87,0)=F87,1,E87+1))</f>
        <v xml:space="preserve"> </v>
      </c>
      <c r="F88" s="64" t="str">
        <f>IF(F87=" "," ",IF(F87='депозитный калькулятор'!$D$8," ",F87+1))</f>
        <v xml:space="preserve"> </v>
      </c>
      <c r="G88" s="145" t="str">
        <f xml:space="preserve"> IF(F88&gt;'депозитный калькулятор'!$D$8," ",IF('депозитный калькулятор'!$G$13="есть",IF('депозитный калькулятор'!$G$14="есть",G87+IF(I87=" ",0,I87)-J88-K88+L88+M88-N88,G87+IF(I87=" ",0,I87)-J88-K88+M88-N88),IF('депозитный калькулятор'!$G$14="есть",G87-J88-K88+L88+M88-N88,G87-J88-K88+M88-N88)))</f>
        <v xml:space="preserve"> </v>
      </c>
      <c r="H88" s="133" t="str">
        <f>IF(F88&gt;'депозитный калькулятор'!$D$8," ",IF(AND(OR('депозитный калькулятор'!$G$7="30/365",'депозитный калькулятор'!$G$7="30/360"),AND(MONTH(F88)=2,EOMONTH(F88,0)=F88)),IF(DAY(F88)=28,3*G88*'депозитный калькулятор'!$G$8,2*G88*'депозитный калькулятор'!$G$8),IF(AND(OR('депозитный калькулятор'!$G$7="30/365",'депозитный калькулятор'!$G$7="30/360"),DAY(F88)=31)," ",IF(AND('депозитный калькулятор'!$G$7="факт/факт",MOD(YEAR(F88),4)=0),G88*'депозитный калькулятор'!$D$11/366,G88*'депозитный калькулятор'!$G$8))))</f>
        <v xml:space="preserve"> </v>
      </c>
      <c r="I88" s="134" t="str">
        <f ca="1">IF(F88=" "," ",IF('депозитный калькулятор'!$G$10="ежедневное",H88,IF(AND('депозитный калькулятор'!$G$10="еженедельное",WEEKDAY(F88,2)=7),SUM(OFFSET(H88,-6,0):H88),IF(AND('депозитный калькулятор'!$G$10="еженедельное",F88='депозитный калькулятор'!$D$8),SUM($H$23:H88)-SUM($I$23:I87),IF(AND('депозитный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недели",WEEKDAY(F88,2)=7),MIN(OFFSET(H88,-6,0):H88)*(COUNTIF(OFFSET(H88,-6,0):H88,"&gt;0")+SUMIF(OFFSET(A88,-WEEKDAY(F88,2),0):A88,"=2",OFFSET(A88,-WEEKDAY(F88,2),0):A88)),IF(AND('депозитный калькулятор'!$G$10="еженедельное, на минимальную сумму зафиксированную в течение недели",F88='депозитный калькулятор'!$D$8,WEEKDAY(F88,2)&lt;&gt;7),MIN(OFFSET(H88,-WEEKDAY(F88,2),0):H88)*(COUNTIF(OFFSET(H88,-WEEKDAY(F88,2)+1,0):H88,"&gt;0")+SUM(OFFSET(A88,-WEEKDAY(F88,2),0):A88)),IF(AND('депозитный калькулятор'!$G$10="ежемесячное (в конце месяца)",F88='депозитный калькулятор'!$D$8,EOMONTH(F88,0)&lt;&gt;F88),IF('депозитный калькулятор'!$F$1=1,$H$24,SUM($H$23:H88)-SUM($I$23:I87)),IF(AND('депозитный калькулятор'!$G$10="ежемесячное (в конце месяца)",EOMONTH(F88,0)=F88),SUM($H$23:H88)-SUM($I$23:I87),IF(AND('депозитный калькулятор'!$G$10="ежемесячное (по дням открытия вклада)",F88='депозитный калькулятор'!$D$8,DAY('депозитный калькулятор'!$D$7)&lt;&gt;DAY(F88)),IF('депозитный калькулятор'!$F$1=1,$H$24,SUM($H$23:H88)-SUM($I$23:I87)),IF(AND('депозитный калькулятор'!$G$10="ежемесячное (по дням открытия вклада)",DAY('депозитный калькулятор'!$D$7)=DAY(F88)),SUM($H$23:H88)-SUM($I$23:I87),IF(AND('депозитный калькулятор'!$G$10="ежемесячное, на минимальную сумму зафиксированную в течение месяца",F88='депозитный калькулятор'!$D$8,EOMONTH(F88,0)&lt;&gt;F88),IF('депозитный калькулятор'!$F$1=1,$H$24,IF(AND(OR('депозитный калькулятор'!$G$7="30/365",'депозитный калькулятор'!$G$7="30/360"),DAY(F88)=31),0,MIN(OFFSET(H88,-E88+1,0):H88)*(E88+SUMIF(OFFSET(A88,-E88+1,0):A88,"=2",OFFSET(A88,-E88+1,0):A88)))),IF(AND('депозитный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калькулятор'!$G$7="30/360"),DAY(EOMONTH(F88,0))=31),EOMONTH(F88,0)-1=F88,EOMONTH(F88,0)=F88)),IF(IF(AND(OR('депозитный калькулятор'!$G$7="30/365",'депозитный калькулятор'!$G$7="30/360"),DAY(EOMONTH($F$23,0))=31),F88=EOMONTH($F$23,0)-1,F88=EOMONTH($F$23,0)),MIN(OFFSET(H88,-(DAY(F88)-DAY($F$23)),0):H88)*E88,MIN(OFFSET(H88,-(DAY(F88)-1),0):H88)*IF(AND(OR('депозитный калькулятор'!$G$7="30/365",'депозитный калькулятор'!$G$7="30/360"),DAY(F88)&lt;30),30,DAY(F88))),IF(AND('депозитный калькулятор'!$G$10="ежемесячное, на средний остаток в течение месяца, при условии что остаток больше чем ограничение",F88='депозитный калькулятор'!$D$8,EOMONTH(F88,0)&lt;&gt;F88),IF('депозитный калькулятор'!$F$1=1,$H$24,SUM(OFFSET(Q88,-E88+1,0):Q88)),IF(AND('депозитный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калькулятор'!$G$7="30/360"),DAY(EOMONTH(F88,0))=31),EOMONTH(F88,0)-1=F88,EOMONTH(F88,0)=F88)),IF(IF(AND(OR('депозитный калькулятор'!$G$7="30/365",'депозитный калькулятор'!$G$7="30/360"),DAY(EOMONTH($F$24,0))=31),F88=EOMONTH($F$24,0)-1,F88=EOMONTH($F$24,0)),SUM(OFFSET(Q88,-E88+1,0):Q88),SUM(OFFSET(Q88,-E88+1,0):Q88)),IF('депозитный калькулятор'!$G$10="ежеквартальное",IF(F88&gt;'депозитный калькулятор'!$D$8," ",IF(AND(EOMONTH(F88,0)=F88,OR(MONTH(F88)=3,MONTH(F88)=6,MONTH(F88)=9,MONTH(F88)=12)),IF(EDATE(F88,-3)&lt;'депозитный калькулятор'!$D$7,SUM($H$23:H88),IF(MOD(YEAR(F88),4)=0,IF(AND(EOMONTH(F88,0)=F88,OR(MONTH(F88)=3,MONTH(F88)=6)),SUM(OFFSET(H88,-90,0):H88),IF(AND(EOMONTH(F88,0)=F88,OR(MONTH(F88)=9,MONTH(F88)=12)),SUM(OFFSET(H88,-91,0):H88))),IF(AND(EOMONTH(F88,0)=F88,MONTH(F88)=3),SUM(OFFSET(H88,-89,0):H88),IF(AND(EOMONTH(F88,0)=F88,MONTH(F88)=6),SUM(OFFSET(H88,-90,0):H88),IF(AND(EOMONTH(F88,0)=F88,OR(MONTH(F88)=9,MONTH(F88)=12)),SUM(OFFSET(H88,-91,0):H88)))))),IF(F88='депозитный калькулятор'!$D$8,SUM($H$23:H88)-SUM($I$23:I87),0))),IF('депозитный калькулятор'!$G$10="ежегодное",IF(F88&gt;'депозитный калькулятор'!$D$8," ",IF(F88='депозитный калькулятор'!$D$8,SUM($H$23:H88)-SUM($I$23:I87),IF(AND(EOMONTH(F88,0)=F88,MONTH(F88)=12),IF(MOD(YEAR(F87),4)=0,IF(F88-'депозитный калькулятор'!$D$7&lt;366,SUM($H$23:H88),SUM(OFFSET(H88,-365,0):H88)),IF(F88-'депозитный калькулятор'!$D$7&lt;365,SUM($H$23:H88),SUM(OFFSET(H88,-364,0):H88))),0))),IF(AND('депозитный калькулятор'!$G$10="в конце срока",'депозитный калькулятор'!$D$8=F88),SUM($H$23:H88),0))))))))))))))))))</f>
        <v xml:space="preserve"> </v>
      </c>
      <c r="J88" s="59" t="str">
        <f>IF(F88&gt;'депозитный калькулятор'!$D$8," ",IF('депозитный калькулятор'!$G$16="нет",0,IF(AND('депозитный калькулятор'!$G$17="разовая (в конце срока)",F88='депозитный калькулятор'!$D$8),'депозитный калькулятор'!$G$18,IF(AND('депозитный калькулятор'!$G$17="ежемесячная",EOMONTH(F87,0)=F87),'депозитный калькулятор'!$G$18,IF(AND('депозитный калькулятор'!$G$17="ежегодная",DAY(F87)=31,MONTH(F87)=12),'депозитный калькулятор'!$G$18,IF(AND('депозитный калькулятор'!$G$17="ежемесячная в зависимости от остатка",EOMONTH(F87,0)=F87,P87&gt;0),'депозитный калькулятор'!$G$18,IF(AND('депозитный калькулятор'!$G$17="ежегодная в зависимости от остатка",DAY(F87)=31,MONTH(F87)=12,P87&gt;0),'депозитный калькулятор'!$G$18,0)))))))</f>
        <v xml:space="preserve"> </v>
      </c>
      <c r="K88" s="135" t="str">
        <f>IF($F88=" "," ",IFERROR(VLOOKUP($F88,'депозитный калькулятор'!$B$26:$F$70,2,0),0))</f>
        <v xml:space="preserve"> </v>
      </c>
      <c r="L88" s="135" t="str">
        <f>IF($F88=" "," ",IFERROR(VLOOKUP($F88,'депозитный калькулятор'!$B$26:$F$70,3,0),0))</f>
        <v xml:space="preserve"> </v>
      </c>
      <c r="M88" s="135" t="str">
        <f>IF($F88=" "," ",IFERROR(VLOOKUP($F88,'депозитный калькулятор'!$B$26:$F$70,4,0),0))</f>
        <v xml:space="preserve"> </v>
      </c>
      <c r="N88" s="135" t="str">
        <f>IF($F88=" "," ",IFERROR(VLOOKUP($F88,'депозитный калькулятор'!$B$26:$F$70,5,0),0))</f>
        <v xml:space="preserve"> </v>
      </c>
      <c r="O88" s="146" t="str">
        <f>IF(F88&gt;'депозитный калькулятор'!$D$8," ",IF(F88='депозитный калькулятор'!$D$8,IF(AND($F$24='депозитный калькулятор'!$D$8,'депозитный калькулятор'!$G$13="нет"),-G88-IF(I88=" ",0,I88)-IF(AND(OR('депозитный калькулятор'!$G$7="30/365",'депозитный калькулятор'!$G$7="30/360"),'депозитный калькулятор'!$G$10="в начале срока"),I87,0)-L88+M88-N88,-G88-IF(I88=" ",0,I88)-L88+M88-N88),IF('депозитный калькулятор'!$G$13="есть",M88-N88+IF('депозитный калькулятор'!$G$14="есть",0,-L88),-IF(I88=" ",0,I88)-IF(AND(OR('депозитный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срока"),I87,0)+M88-N88+IF('депозитный калькулятор'!$G$14="есть",0,-L88))))</f>
        <v xml:space="preserve"> </v>
      </c>
      <c r="P88" s="147" t="str">
        <f>IF(F88&gt;'депозитный калькулятор'!$D$8," ",IF(EOMONTH(F87,0)=F87,0,IF(G88&gt;='депозитный калькулятор'!$G$19,P87,P87+1)))</f>
        <v xml:space="preserve"> </v>
      </c>
      <c r="Q88" s="138" t="str">
        <f>IF(F88=" "," ",IF(AND(OR('депозитный калькулятор'!$G$7="30/365",'депозитный калькулятор'!$G$7="30/360"),AND(MONTH(F88)=2,EOMONTH(F88,0)=F88)),IF(DAY(F88)=28,3,2),1)*IF(G88&gt;='депозитный калькулятор'!$G$11,IF(AND('депозитный калькулятор'!$G$7="факт/факт",MOD(YEAR(F88),4)=0),G88*'депозитный калькулятор'!$D$11/366,G88*'депозитный калькулятор'!$G$8),0))</f>
        <v xml:space="preserve"> </v>
      </c>
      <c r="R88" s="148"/>
      <c r="S88" s="62" t="str">
        <f t="shared" ref="S88:S151" ca="1" si="7">IF(S87&lt;COUNTIFS($B$23:$B$1023,"&gt;0"),S87+1," ")</f>
        <v xml:space="preserve"> </v>
      </c>
      <c r="T88" s="149" t="str">
        <f ca="1">IF(S88=" "," ",IF('депозитный калькулятор'!$G$7="30/360",DAYS360(U87,IF(DAY(U88)=31,U88-1,U88))+IF(AND(MONTH(U88)=2,U88=EOMONTH(U88,0)),30-DAY(EOMONTH(U88,0)))+T87,VLOOKUP(S88,$C$22:$F$1023,2,0)))</f>
        <v xml:space="preserve"> </v>
      </c>
      <c r="U88" s="64" t="str">
        <f t="shared" ca="1" si="5"/>
        <v xml:space="preserve"> </v>
      </c>
      <c r="V88" s="150" t="str">
        <f t="shared" ref="V88:V151" ca="1" si="8">VLOOKUP(U88,$F$24:$O$1023,10)</f>
        <v xml:space="preserve"> </v>
      </c>
      <c r="W88" s="62" t="str">
        <f t="shared" ref="W88:W151" ca="1" si="9">IF(S88=" "," ",VLOOKUP(U88,$F$24:$N$1023,8))</f>
        <v xml:space="preserve"> </v>
      </c>
      <c r="X88" s="141" t="str">
        <f ca="1">IF(S88=" "," ",IFERROR(VLOOKUP(U88,$F$23:$N$1023,7)+VLOOKUP(U88,$F$23:$N$1023,9)+IF(AND('депозитный калькулятор'!$G$13="нет",U88&lt;&gt;'депозитный калькулятор'!$D$8),VLOOKUP(U88,$F$23:$N$1023,4),0),0)+IF(U88='депозитный калькулятор'!$D$8,VLOOKUP(U88,$F$23:$N$1023,2)+VLOOKUP(U88,$F$23:$N$1023,4),0))</f>
        <v xml:space="preserve"> </v>
      </c>
      <c r="Y88" s="142" t="str">
        <f ca="1">IF(S88=" "," ",W88/(1+'депозитный калькулятор'!$K$8)^(T88/IF('депозитный калькулятор'!$G$7="30/360",360,365)))</f>
        <v xml:space="preserve"> </v>
      </c>
      <c r="Z88" s="142" t="str">
        <f ca="1">IF(S88=" "," ",X88/(1+'депозитный калькулятор'!$K$8)^(T88/IF('депозитный калькулятор'!$G$7="30/360",360,365)))</f>
        <v xml:space="preserve"> </v>
      </c>
      <c r="AA88" s="151"/>
      <c r="AB88" s="151"/>
      <c r="AC88" s="155"/>
      <c r="AD88" s="155"/>
      <c r="AF88" s="5"/>
    </row>
    <row r="89" spans="1:32" s="2" customFormat="1" ht="15.5" x14ac:dyDescent="0.35">
      <c r="A89" s="41" t="str">
        <f>IF(F89=" "," ",IF(OR('депозитный калькулятор'!$G$7="30/365",'депозитный калькулятор'!$G$7="30/360"),IF(AND(MONTH(F89)=2,DAY(F89)=DAY(EOMONTH(F89,0))),30-DAY(EOMONTH(F89,0)),IF(DAY(F89)=31,1," "))," "))</f>
        <v xml:space="preserve"> </v>
      </c>
      <c r="B89" s="130" t="str">
        <f t="shared" si="6"/>
        <v xml:space="preserve"> </v>
      </c>
      <c r="C89" s="130" t="str">
        <f>IF(OR(B89=0,B89=" ")," ",SUM($B$23:B89))</f>
        <v xml:space="preserve"> </v>
      </c>
      <c r="D89" s="62" t="str">
        <f>IF(D88=" "," ",IF(OR(F88='депозитный калькулятор'!$D$8,F88=" ")," ",D88+1))</f>
        <v xml:space="preserve"> </v>
      </c>
      <c r="E89" s="130" t="str">
        <f>IF(OR(F88='депозитный калькулятор'!$D$8,F88=" ")," ",IF(EOMONTH(F88,0)=F88,1,E88+1))</f>
        <v xml:space="preserve"> </v>
      </c>
      <c r="F89" s="64" t="str">
        <f>IF(F88=" "," ",IF(F88='депозитный калькулятор'!$D$8," ",F88+1))</f>
        <v xml:space="preserve"> </v>
      </c>
      <c r="G89" s="145" t="str">
        <f xml:space="preserve"> IF(F89&gt;'депозитный калькулятор'!$D$8," ",IF('депозитный калькулятор'!$G$13="есть",IF('депозитный калькулятор'!$G$14="есть",G88+IF(I88=" ",0,I88)-J89-K89+L89+M89-N89,G88+IF(I88=" ",0,I88)-J89-K89+M89-N89),IF('депозитный калькулятор'!$G$14="есть",G88-J89-K89+L89+M89-N89,G88-J89-K89+M89-N89)))</f>
        <v xml:space="preserve"> </v>
      </c>
      <c r="H89" s="133" t="str">
        <f>IF(F89&gt;'депозитный калькулятор'!$D$8," ",IF(AND(OR('депозитный калькулятор'!$G$7="30/365",'депозитный калькулятор'!$G$7="30/360"),AND(MONTH(F89)=2,EOMONTH(F89,0)=F89)),IF(DAY(F89)=28,3*G89*'депозитный калькулятор'!$G$8,2*G89*'депозитный калькулятор'!$G$8),IF(AND(OR('депозитный калькулятор'!$G$7="30/365",'депозитный калькулятор'!$G$7="30/360"),DAY(F89)=31)," ",IF(AND('депозитный калькулятор'!$G$7="факт/факт",MOD(YEAR(F89),4)=0),G89*'депозитный калькулятор'!$D$11/366,G89*'депозитный калькулятор'!$G$8))))</f>
        <v xml:space="preserve"> </v>
      </c>
      <c r="I89" s="134" t="str">
        <f ca="1">IF(F89=" "," ",IF('депозитный калькулятор'!$G$10="ежедневное",H89,IF(AND('депозитный калькулятор'!$G$10="еженедельное",WEEKDAY(F89,2)=7),SUM(OFFSET(H89,-6,0):H89),IF(AND('депозитный калькулятор'!$G$10="еженедельное",F89='депозитный калькулятор'!$D$8),SUM($H$23:H89)-SUM($I$23:I88),IF(AND('депозитный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недели",WEEKDAY(F89,2)=7),MIN(OFFSET(H89,-6,0):H89)*(COUNTIF(OFFSET(H89,-6,0):H89,"&gt;0")+SUMIF(OFFSET(A89,-WEEKDAY(F89,2),0):A89,"=2",OFFSET(A89,-WEEKDAY(F89,2),0):A89)),IF(AND('депозитный калькулятор'!$G$10="еженедельное, на минимальную сумму зафиксированную в течение недели",F89='депозитный калькулятор'!$D$8,WEEKDAY(F89,2)&lt;&gt;7),MIN(OFFSET(H89,-WEEKDAY(F89,2),0):H89)*(COUNTIF(OFFSET(H89,-WEEKDAY(F89,2)+1,0):H89,"&gt;0")+SUM(OFFSET(A89,-WEEKDAY(F89,2),0):A89)),IF(AND('депозитный калькулятор'!$G$10="ежемесячное (в конце месяца)",F89='депозитный калькулятор'!$D$8,EOMONTH(F89,0)&lt;&gt;F89),IF('депозитный калькулятор'!$F$1=1,$H$24,SUM($H$23:H89)-SUM($I$23:I88)),IF(AND('депозитный калькулятор'!$G$10="ежемесячное (в конце месяца)",EOMONTH(F89,0)=F89),SUM($H$23:H89)-SUM($I$23:I88),IF(AND('депозитный калькулятор'!$G$10="ежемесячное (по дням открытия вклада)",F89='депозитный калькулятор'!$D$8,DAY('депозитный калькулятор'!$D$7)&lt;&gt;DAY(F89)),IF('депозитный калькулятор'!$F$1=1,$H$24,SUM($H$23:H89)-SUM($I$23:I88)),IF(AND('депозитный калькулятор'!$G$10="ежемесячное (по дням открытия вклада)",DAY('депозитный калькулятор'!$D$7)=DAY(F89)),SUM($H$23:H89)-SUM($I$23:I88),IF(AND('депозитный калькулятор'!$G$10="ежемесячное, на минимальную сумму зафиксированную в течение месяца",F89='депозитный калькулятор'!$D$8,EOMONTH(F89,0)&lt;&gt;F89),IF('депозитный калькулятор'!$F$1=1,$H$24,IF(AND(OR('депозитный калькулятор'!$G$7="30/365",'депозитный калькулятор'!$G$7="30/360"),DAY(F89)=31),0,MIN(OFFSET(H89,-E89+1,0):H89)*(E89+SUMIF(OFFSET(A89,-E89+1,0):A89,"=2",OFFSET(A89,-E89+1,0):A89)))),IF(AND('депозитный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калькулятор'!$G$7="30/360"),DAY(EOMONTH(F89,0))=31),EOMONTH(F89,0)-1=F89,EOMONTH(F89,0)=F89)),IF(IF(AND(OR('депозитный калькулятор'!$G$7="30/365",'депозитный калькулятор'!$G$7="30/360"),DAY(EOMONTH($F$23,0))=31),F89=EOMONTH($F$23,0)-1,F89=EOMONTH($F$23,0)),MIN(OFFSET(H89,-(DAY(F89)-DAY($F$23)),0):H89)*E89,MIN(OFFSET(H89,-(DAY(F89)-1),0):H89)*IF(AND(OR('депозитный калькулятор'!$G$7="30/365",'депозитный калькулятор'!$G$7="30/360"),DAY(F89)&lt;30),30,DAY(F89))),IF(AND('депозитный калькулятор'!$G$10="ежемесячное, на средний остаток в течение месяца, при условии что остаток больше чем ограничение",F89='депозитный калькулятор'!$D$8,EOMONTH(F89,0)&lt;&gt;F89),IF('депозитный калькулятор'!$F$1=1,$H$24,SUM(OFFSET(Q89,-E89+1,0):Q89)),IF(AND('депозитный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калькулятор'!$G$7="30/360"),DAY(EOMONTH(F89,0))=31),EOMONTH(F89,0)-1=F89,EOMONTH(F89,0)=F89)),IF(IF(AND(OR('депозитный калькулятор'!$G$7="30/365",'депозитный калькулятор'!$G$7="30/360"),DAY(EOMONTH($F$24,0))=31),F89=EOMONTH($F$24,0)-1,F89=EOMONTH($F$24,0)),SUM(OFFSET(Q89,-E89+1,0):Q89),SUM(OFFSET(Q89,-E89+1,0):Q89)),IF('депозитный калькулятор'!$G$10="ежеквартальное",IF(F89&gt;'депозитный калькулятор'!$D$8," ",IF(AND(EOMONTH(F89,0)=F89,OR(MONTH(F89)=3,MONTH(F89)=6,MONTH(F89)=9,MONTH(F89)=12)),IF(EDATE(F89,-3)&lt;'депозитный калькулятор'!$D$7,SUM($H$23:H89),IF(MOD(YEAR(F89),4)=0,IF(AND(EOMONTH(F89,0)=F89,OR(MONTH(F89)=3,MONTH(F89)=6)),SUM(OFFSET(H89,-90,0):H89),IF(AND(EOMONTH(F89,0)=F89,OR(MONTH(F89)=9,MONTH(F89)=12)),SUM(OFFSET(H89,-91,0):H89))),IF(AND(EOMONTH(F89,0)=F89,MONTH(F89)=3),SUM(OFFSET(H89,-89,0):H89),IF(AND(EOMONTH(F89,0)=F89,MONTH(F89)=6),SUM(OFFSET(H89,-90,0):H89),IF(AND(EOMONTH(F89,0)=F89,OR(MONTH(F89)=9,MONTH(F89)=12)),SUM(OFFSET(H89,-91,0):H89)))))),IF(F89='депозитный калькулятор'!$D$8,SUM($H$23:H89)-SUM($I$23:I88),0))),IF('депозитный калькулятор'!$G$10="ежегодное",IF(F89&gt;'депозитный калькулятор'!$D$8," ",IF(F89='депозитный калькулятор'!$D$8,SUM($H$23:H89)-SUM($I$23:I88),IF(AND(EOMONTH(F89,0)=F89,MONTH(F89)=12),IF(MOD(YEAR(F88),4)=0,IF(F89-'депозитный калькулятор'!$D$7&lt;366,SUM($H$23:H89),SUM(OFFSET(H89,-365,0):H89)),IF(F89-'депозитный калькулятор'!$D$7&lt;365,SUM($H$23:H89),SUM(OFFSET(H89,-364,0):H89))),0))),IF(AND('депозитный калькулятор'!$G$10="в конце срока",'депозитный калькулятор'!$D$8=F89),SUM($H$23:H89),0))))))))))))))))))</f>
        <v xml:space="preserve"> </v>
      </c>
      <c r="J89" s="59" t="str">
        <f>IF(F89&gt;'депозитный калькулятор'!$D$8," ",IF('депозитный калькулятор'!$G$16="нет",0,IF(AND('депозитный калькулятор'!$G$17="разовая (в конце срока)",F89='депозитный калькулятор'!$D$8),'депозитный калькулятор'!$G$18,IF(AND('депозитный калькулятор'!$G$17="ежемесячная",EOMONTH(F88,0)=F88),'депозитный калькулятор'!$G$18,IF(AND('депозитный калькулятор'!$G$17="ежегодная",DAY(F88)=31,MONTH(F88)=12),'депозитный калькулятор'!$G$18,IF(AND('депозитный калькулятор'!$G$17="ежемесячная в зависимости от остатка",EOMONTH(F88,0)=F88,P88&gt;0),'депозитный калькулятор'!$G$18,IF(AND('депозитный калькулятор'!$G$17="ежегодная в зависимости от остатка",DAY(F88)=31,MONTH(F88)=12,P88&gt;0),'депозитный калькулятор'!$G$18,0)))))))</f>
        <v xml:space="preserve"> </v>
      </c>
      <c r="K89" s="135" t="str">
        <f>IF($F89=" "," ",IFERROR(VLOOKUP($F89,'депозитный калькулятор'!$B$26:$F$70,2,0),0))</f>
        <v xml:space="preserve"> </v>
      </c>
      <c r="L89" s="135" t="str">
        <f>IF($F89=" "," ",IFERROR(VLOOKUP($F89,'депозитный калькулятор'!$B$26:$F$70,3,0),0))</f>
        <v xml:space="preserve"> </v>
      </c>
      <c r="M89" s="135" t="str">
        <f>IF($F89=" "," ",IFERROR(VLOOKUP($F89,'депозитный калькулятор'!$B$26:$F$70,4,0),0))</f>
        <v xml:space="preserve"> </v>
      </c>
      <c r="N89" s="135" t="str">
        <f>IF($F89=" "," ",IFERROR(VLOOKUP($F89,'депозитный калькулятор'!$B$26:$F$70,5,0),0))</f>
        <v xml:space="preserve"> </v>
      </c>
      <c r="O89" s="146" t="str">
        <f>IF(F89&gt;'депозитный калькулятор'!$D$8," ",IF(F89='депозитный калькулятор'!$D$8,IF(AND($F$24='депозитный калькулятор'!$D$8,'депозитный калькулятор'!$G$13="нет"),-G89-IF(I89=" ",0,I89)-IF(AND(OR('депозитный калькулятор'!$G$7="30/365",'депозитный калькулятор'!$G$7="30/360"),'депозитный калькулятор'!$G$10="в начале срока"),I88,0)-L89+M89-N89,-G89-IF(I89=" ",0,I89)-L89+M89-N89),IF('депозитный калькулятор'!$G$13="есть",M89-N89+IF('депозитный калькулятор'!$G$14="есть",0,-L89),-IF(I89=" ",0,I89)-IF(AND(OR('депозитный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срока"),I88,0)+M89-N89+IF('депозитный калькулятор'!$G$14="есть",0,-L89))))</f>
        <v xml:space="preserve"> </v>
      </c>
      <c r="P89" s="147" t="str">
        <f>IF(F89&gt;'депозитный калькулятор'!$D$8," ",IF(EOMONTH(F88,0)=F88,0,IF(G89&gt;='депозитный калькулятор'!$G$19,P88,P88+1)))</f>
        <v xml:space="preserve"> </v>
      </c>
      <c r="Q89" s="138" t="str">
        <f>IF(F89=" "," ",IF(AND(OR('депозитный калькулятор'!$G$7="30/365",'депозитный калькулятор'!$G$7="30/360"),AND(MONTH(F89)=2,EOMONTH(F89,0)=F89)),IF(DAY(F89)=28,3,2),1)*IF(G89&gt;='депозитный калькулятор'!$G$11,IF(AND('депозитный калькулятор'!$G$7="факт/факт",MOD(YEAR(F89),4)=0),G89*'депозитный калькулятор'!$D$11/366,G89*'депозитный калькулятор'!$G$8),0))</f>
        <v xml:space="preserve"> </v>
      </c>
      <c r="R89" s="148"/>
      <c r="S89" s="62" t="str">
        <f t="shared" ca="1" si="7"/>
        <v xml:space="preserve"> </v>
      </c>
      <c r="T89" s="149" t="str">
        <f ca="1">IF(S89=" "," ",IF('депозитный калькулятор'!$G$7="30/360",DAYS360(U88,IF(DAY(U89)=31,U89-1,U89))+IF(AND(MONTH(U89)=2,U89=EOMONTH(U89,0)),30-DAY(EOMONTH(U89,0)))+T88,VLOOKUP(S89,$C$22:$F$1023,2,0)))</f>
        <v xml:space="preserve"> </v>
      </c>
      <c r="U89" s="64" t="str">
        <f t="shared" ca="1" si="5"/>
        <v xml:space="preserve"> </v>
      </c>
      <c r="V89" s="150" t="str">
        <f t="shared" ca="1" si="8"/>
        <v xml:space="preserve"> </v>
      </c>
      <c r="W89" s="62" t="str">
        <f t="shared" ca="1" si="9"/>
        <v xml:space="preserve"> </v>
      </c>
      <c r="X89" s="141" t="str">
        <f ca="1">IF(S89=" "," ",IFERROR(VLOOKUP(U89,$F$23:$N$1023,7)+VLOOKUP(U89,$F$23:$N$1023,9)+IF(AND('депозитный калькулятор'!$G$13="нет",U89&lt;&gt;'депозитный калькулятор'!$D$8),VLOOKUP(U89,$F$23:$N$1023,4),0),0)+IF(U89='депозитный калькулятор'!$D$8,VLOOKUP(U89,$F$23:$N$1023,2)+VLOOKUP(U89,$F$23:$N$1023,4),0))</f>
        <v xml:space="preserve"> </v>
      </c>
      <c r="Y89" s="142" t="str">
        <f ca="1">IF(S89=" "," ",W89/(1+'депозитный калькулятор'!$K$8)^(T89/IF('депозитный калькулятор'!$G$7="30/360",360,365)))</f>
        <v xml:space="preserve"> </v>
      </c>
      <c r="Z89" s="142" t="str">
        <f ca="1">IF(S89=" "," ",X89/(1+'депозитный калькулятор'!$K$8)^(T89/IF('депозитный калькулятор'!$G$7="30/360",360,365)))</f>
        <v xml:space="preserve"> </v>
      </c>
      <c r="AA89" s="151"/>
      <c r="AB89" s="151"/>
      <c r="AC89" s="155"/>
      <c r="AD89" s="155"/>
      <c r="AF89" s="5"/>
    </row>
    <row r="90" spans="1:32" s="2" customFormat="1" ht="15.5" x14ac:dyDescent="0.35">
      <c r="A90" s="41" t="str">
        <f>IF(F90=" "," ",IF(OR('депозитный калькулятор'!$G$7="30/365",'депозитный калькулятор'!$G$7="30/360"),IF(AND(MONTH(F90)=2,DAY(F90)=DAY(EOMONTH(F90,0))),30-DAY(EOMONTH(F90,0)),IF(DAY(F90)=31,1," "))," "))</f>
        <v xml:space="preserve"> </v>
      </c>
      <c r="B90" s="130" t="str">
        <f t="shared" si="6"/>
        <v xml:space="preserve"> </v>
      </c>
      <c r="C90" s="130" t="str">
        <f>IF(OR(B90=0,B90=" ")," ",SUM($B$23:B90))</f>
        <v xml:space="preserve"> </v>
      </c>
      <c r="D90" s="62" t="str">
        <f>IF(D89=" "," ",IF(OR(F89='депозитный калькулятор'!$D$8,F89=" ")," ",D89+1))</f>
        <v xml:space="preserve"> </v>
      </c>
      <c r="E90" s="130" t="str">
        <f>IF(OR(F89='депозитный калькулятор'!$D$8,F89=" ")," ",IF(EOMONTH(F89,0)=F89,1,E89+1))</f>
        <v xml:space="preserve"> </v>
      </c>
      <c r="F90" s="64" t="str">
        <f>IF(F89=" "," ",IF(F89='депозитный калькулятор'!$D$8," ",F89+1))</f>
        <v xml:space="preserve"> </v>
      </c>
      <c r="G90" s="145" t="str">
        <f xml:space="preserve"> IF(F90&gt;'депозитный калькулятор'!$D$8," ",IF('депозитный калькулятор'!$G$13="есть",IF('депозитный калькулятор'!$G$14="есть",G89+IF(I89=" ",0,I89)-J90-K90+L90+M90-N90,G89+IF(I89=" ",0,I89)-J90-K90+M90-N90),IF('депозитный калькулятор'!$G$14="есть",G89-J90-K90+L90+M90-N90,G89-J90-K90+M90-N90)))</f>
        <v xml:space="preserve"> </v>
      </c>
      <c r="H90" s="133" t="str">
        <f>IF(F90&gt;'депозитный калькулятор'!$D$8," ",IF(AND(OR('депозитный калькулятор'!$G$7="30/365",'депозитный калькулятор'!$G$7="30/360"),AND(MONTH(F90)=2,EOMONTH(F90,0)=F90)),IF(DAY(F90)=28,3*G90*'депозитный калькулятор'!$G$8,2*G90*'депозитный калькулятор'!$G$8),IF(AND(OR('депозитный калькулятор'!$G$7="30/365",'депозитный калькулятор'!$G$7="30/360"),DAY(F90)=31)," ",IF(AND('депозитный калькулятор'!$G$7="факт/факт",MOD(YEAR(F90),4)=0),G90*'депозитный калькулятор'!$D$11/366,G90*'депозитный калькулятор'!$G$8))))</f>
        <v xml:space="preserve"> </v>
      </c>
      <c r="I90" s="134" t="str">
        <f ca="1">IF(F90=" "," ",IF('депозитный калькулятор'!$G$10="ежедневное",H90,IF(AND('депозитный калькулятор'!$G$10="еженедельное",WEEKDAY(F90,2)=7),SUM(OFFSET(H90,-6,0):H90),IF(AND('депозитный калькулятор'!$G$10="еженедельное",F90='депозитный калькулятор'!$D$8),SUM($H$23:H90)-SUM($I$23:I89),IF(AND('депозитный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недели",WEEKDAY(F90,2)=7),MIN(OFFSET(H90,-6,0):H90)*(COUNTIF(OFFSET(H90,-6,0):H90,"&gt;0")+SUMIF(OFFSET(A90,-WEEKDAY(F90,2),0):A90,"=2",OFFSET(A90,-WEEKDAY(F90,2),0):A90)),IF(AND('депозитный калькулятор'!$G$10="еженедельное, на минимальную сумму зафиксированную в течение недели",F90='депозитный калькулятор'!$D$8,WEEKDAY(F90,2)&lt;&gt;7),MIN(OFFSET(H90,-WEEKDAY(F90,2),0):H90)*(COUNTIF(OFFSET(H90,-WEEKDAY(F90,2)+1,0):H90,"&gt;0")+SUM(OFFSET(A90,-WEEKDAY(F90,2),0):A90)),IF(AND('депозитный калькулятор'!$G$10="ежемесячное (в конце месяца)",F90='депозитный калькулятор'!$D$8,EOMONTH(F90,0)&lt;&gt;F90),IF('депозитный калькулятор'!$F$1=1,$H$24,SUM($H$23:H90)-SUM($I$23:I89)),IF(AND('депозитный калькулятор'!$G$10="ежемесячное (в конце месяца)",EOMONTH(F90,0)=F90),SUM($H$23:H90)-SUM($I$23:I89),IF(AND('депозитный калькулятор'!$G$10="ежемесячное (по дням открытия вклада)",F90='депозитный калькулятор'!$D$8,DAY('депозитный калькулятор'!$D$7)&lt;&gt;DAY(F90)),IF('депозитный калькулятор'!$F$1=1,$H$24,SUM($H$23:H90)-SUM($I$23:I89)),IF(AND('депозитный калькулятор'!$G$10="ежемесячное (по дням открытия вклада)",DAY('депозитный калькулятор'!$D$7)=DAY(F90)),SUM($H$23:H90)-SUM($I$23:I89),IF(AND('депозитный калькулятор'!$G$10="ежемесячное, на минимальную сумму зафиксированную в течение месяца",F90='депозитный калькулятор'!$D$8,EOMONTH(F90,0)&lt;&gt;F90),IF('депозитный калькулятор'!$F$1=1,$H$24,IF(AND(OR('депозитный калькулятор'!$G$7="30/365",'депозитный калькулятор'!$G$7="30/360"),DAY(F90)=31),0,MIN(OFFSET(H90,-E90+1,0):H90)*(E90+SUMIF(OFFSET(A90,-E90+1,0):A90,"=2",OFFSET(A90,-E90+1,0):A90)))),IF(AND('депозитный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калькулятор'!$G$7="30/360"),DAY(EOMONTH(F90,0))=31),EOMONTH(F90,0)-1=F90,EOMONTH(F90,0)=F90)),IF(IF(AND(OR('депозитный калькулятор'!$G$7="30/365",'депозитный калькулятор'!$G$7="30/360"),DAY(EOMONTH($F$23,0))=31),F90=EOMONTH($F$23,0)-1,F90=EOMONTH($F$23,0)),MIN(OFFSET(H90,-(DAY(F90)-DAY($F$23)),0):H90)*E90,MIN(OFFSET(H90,-(DAY(F90)-1),0):H90)*IF(AND(OR('депозитный калькулятор'!$G$7="30/365",'депозитный калькулятор'!$G$7="30/360"),DAY(F90)&lt;30),30,DAY(F90))),IF(AND('депозитный калькулятор'!$G$10="ежемесячное, на средний остаток в течение месяца, при условии что остаток больше чем ограничение",F90='депозитный калькулятор'!$D$8,EOMONTH(F90,0)&lt;&gt;F90),IF('депозитный калькулятор'!$F$1=1,$H$24,SUM(OFFSET(Q90,-E90+1,0):Q90)),IF(AND('депозитный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калькулятор'!$G$7="30/360"),DAY(EOMONTH(F90,0))=31),EOMONTH(F90,0)-1=F90,EOMONTH(F90,0)=F90)),IF(IF(AND(OR('депозитный калькулятор'!$G$7="30/365",'депозитный калькулятор'!$G$7="30/360"),DAY(EOMONTH($F$24,0))=31),F90=EOMONTH($F$24,0)-1,F90=EOMONTH($F$24,0)),SUM(OFFSET(Q90,-E90+1,0):Q90),SUM(OFFSET(Q90,-E90+1,0):Q90)),IF('депозитный калькулятор'!$G$10="ежеквартальное",IF(F90&gt;'депозитный калькулятор'!$D$8," ",IF(AND(EOMONTH(F90,0)=F90,OR(MONTH(F90)=3,MONTH(F90)=6,MONTH(F90)=9,MONTH(F90)=12)),IF(EDATE(F90,-3)&lt;'депозитный калькулятор'!$D$7,SUM($H$23:H90),IF(MOD(YEAR(F90),4)=0,IF(AND(EOMONTH(F90,0)=F90,OR(MONTH(F90)=3,MONTH(F90)=6)),SUM(OFFSET(H90,-90,0):H90),IF(AND(EOMONTH(F90,0)=F90,OR(MONTH(F90)=9,MONTH(F90)=12)),SUM(OFFSET(H90,-91,0):H90))),IF(AND(EOMONTH(F90,0)=F90,MONTH(F90)=3),SUM(OFFSET(H90,-89,0):H90),IF(AND(EOMONTH(F90,0)=F90,MONTH(F90)=6),SUM(OFFSET(H90,-90,0):H90),IF(AND(EOMONTH(F90,0)=F90,OR(MONTH(F90)=9,MONTH(F90)=12)),SUM(OFFSET(H90,-91,0):H90)))))),IF(F90='депозитный калькулятор'!$D$8,SUM($H$23:H90)-SUM($I$23:I89),0))),IF('депозитный калькулятор'!$G$10="ежегодное",IF(F90&gt;'депозитный калькулятор'!$D$8," ",IF(F90='депозитный калькулятор'!$D$8,SUM($H$23:H90)-SUM($I$23:I89),IF(AND(EOMONTH(F90,0)=F90,MONTH(F90)=12),IF(MOD(YEAR(F89),4)=0,IF(F90-'депозитный калькулятор'!$D$7&lt;366,SUM($H$23:H90),SUM(OFFSET(H90,-365,0):H90)),IF(F90-'депозитный калькулятор'!$D$7&lt;365,SUM($H$23:H90),SUM(OFFSET(H90,-364,0):H90))),0))),IF(AND('депозитный калькулятор'!$G$10="в конце срока",'депозитный калькулятор'!$D$8=F90),SUM($H$23:H90),0))))))))))))))))))</f>
        <v xml:space="preserve"> </v>
      </c>
      <c r="J90" s="59" t="str">
        <f>IF(F90&gt;'депозитный калькулятор'!$D$8," ",IF('депозитный калькулятор'!$G$16="нет",0,IF(AND('депозитный калькулятор'!$G$17="разовая (в конце срока)",F90='депозитный калькулятор'!$D$8),'депозитный калькулятор'!$G$18,IF(AND('депозитный калькулятор'!$G$17="ежемесячная",EOMONTH(F89,0)=F89),'депозитный калькулятор'!$G$18,IF(AND('депозитный калькулятор'!$G$17="ежегодная",DAY(F89)=31,MONTH(F89)=12),'депозитный калькулятор'!$G$18,IF(AND('депозитный калькулятор'!$G$17="ежемесячная в зависимости от остатка",EOMONTH(F89,0)=F89,P89&gt;0),'депозитный калькулятор'!$G$18,IF(AND('депозитный калькулятор'!$G$17="ежегодная в зависимости от остатка",DAY(F89)=31,MONTH(F89)=12,P89&gt;0),'депозитный калькулятор'!$G$18,0)))))))</f>
        <v xml:space="preserve"> </v>
      </c>
      <c r="K90" s="135" t="str">
        <f>IF($F90=" "," ",IFERROR(VLOOKUP($F90,'депозитный калькулятор'!$B$26:$F$70,2,0),0))</f>
        <v xml:space="preserve"> </v>
      </c>
      <c r="L90" s="135" t="str">
        <f>IF($F90=" "," ",IFERROR(VLOOKUP($F90,'депозитный калькулятор'!$B$26:$F$70,3,0),0))</f>
        <v xml:space="preserve"> </v>
      </c>
      <c r="M90" s="135" t="str">
        <f>IF($F90=" "," ",IFERROR(VLOOKUP($F90,'депозитный калькулятор'!$B$26:$F$70,4,0),0))</f>
        <v xml:space="preserve"> </v>
      </c>
      <c r="N90" s="135" t="str">
        <f>IF($F90=" "," ",IFERROR(VLOOKUP($F90,'депозитный калькулятор'!$B$26:$F$70,5,0),0))</f>
        <v xml:space="preserve"> </v>
      </c>
      <c r="O90" s="146" t="str">
        <f>IF(F90&gt;'депозитный калькулятор'!$D$8," ",IF(F90='депозитный калькулятор'!$D$8,IF(AND($F$24='депозитный калькулятор'!$D$8,'депозитный калькулятор'!$G$13="нет"),-G90-IF(I90=" ",0,I90)-IF(AND(OR('депозитный калькулятор'!$G$7="30/365",'депозитный калькулятор'!$G$7="30/360"),'депозитный калькулятор'!$G$10="в начале срока"),I89,0)-L90+M90-N90,-G90-IF(I90=" ",0,I90)-L90+M90-N90),IF('депозитный калькулятор'!$G$13="есть",M90-N90+IF('депозитный калькулятор'!$G$14="есть",0,-L90),-IF(I90=" ",0,I90)-IF(AND(OR('депозитный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срока"),I89,0)+M90-N90+IF('депозитный калькулятор'!$G$14="есть",0,-L90))))</f>
        <v xml:space="preserve"> </v>
      </c>
      <c r="P90" s="147" t="str">
        <f>IF(F90&gt;'депозитный калькулятор'!$D$8," ",IF(EOMONTH(F89,0)=F89,0,IF(G90&gt;='депозитный калькулятор'!$G$19,P89,P89+1)))</f>
        <v xml:space="preserve"> </v>
      </c>
      <c r="Q90" s="138" t="str">
        <f>IF(F90=" "," ",IF(AND(OR('депозитный калькулятор'!$G$7="30/365",'депозитный калькулятор'!$G$7="30/360"),AND(MONTH(F90)=2,EOMONTH(F90,0)=F90)),IF(DAY(F90)=28,3,2),1)*IF(G90&gt;='депозитный калькулятор'!$G$11,IF(AND('депозитный калькулятор'!$G$7="факт/факт",MOD(YEAR(F90),4)=0),G90*'депозитный калькулятор'!$D$11/366,G90*'депозитный калькулятор'!$G$8),0))</f>
        <v xml:space="preserve"> </v>
      </c>
      <c r="R90" s="148"/>
      <c r="S90" s="62" t="str">
        <f t="shared" ca="1" si="7"/>
        <v xml:space="preserve"> </v>
      </c>
      <c r="T90" s="149" t="str">
        <f ca="1">IF(S90=" "," ",IF('депозитный калькулятор'!$G$7="30/360",DAYS360(U89,IF(DAY(U90)=31,U90-1,U90))+IF(AND(MONTH(U90)=2,U90=EOMONTH(U90,0)),30-DAY(EOMONTH(U90,0)))+T89,VLOOKUP(S90,$C$22:$F$1023,2,0)))</f>
        <v xml:space="preserve"> </v>
      </c>
      <c r="U90" s="64" t="str">
        <f t="shared" ca="1" si="5"/>
        <v xml:space="preserve"> </v>
      </c>
      <c r="V90" s="150" t="str">
        <f t="shared" ca="1" si="8"/>
        <v xml:space="preserve"> </v>
      </c>
      <c r="W90" s="62" t="str">
        <f t="shared" ca="1" si="9"/>
        <v xml:space="preserve"> </v>
      </c>
      <c r="X90" s="141" t="str">
        <f ca="1">IF(S90=" "," ",IFERROR(VLOOKUP(U90,$F$23:$N$1023,7)+VLOOKUP(U90,$F$23:$N$1023,9)+IF(AND('депозитный калькулятор'!$G$13="нет",U90&lt;&gt;'депозитный калькулятор'!$D$8),VLOOKUP(U90,$F$23:$N$1023,4),0),0)+IF(U90='депозитный калькулятор'!$D$8,VLOOKUP(U90,$F$23:$N$1023,2)+VLOOKUP(U90,$F$23:$N$1023,4),0))</f>
        <v xml:space="preserve"> </v>
      </c>
      <c r="Y90" s="142" t="str">
        <f ca="1">IF(S90=" "," ",W90/(1+'депозитный калькулятор'!$K$8)^(T90/IF('депозитный калькулятор'!$G$7="30/360",360,365)))</f>
        <v xml:space="preserve"> </v>
      </c>
      <c r="Z90" s="142" t="str">
        <f ca="1">IF(S90=" "," ",X90/(1+'депозитный калькулятор'!$K$8)^(T90/IF('депозитный калькулятор'!$G$7="30/360",360,365)))</f>
        <v xml:space="preserve"> </v>
      </c>
      <c r="AA90" s="151"/>
      <c r="AB90" s="151"/>
      <c r="AC90" s="155"/>
      <c r="AD90" s="155"/>
      <c r="AF90" s="5"/>
    </row>
    <row r="91" spans="1:32" s="2" customFormat="1" ht="15.5" x14ac:dyDescent="0.35">
      <c r="A91" s="41" t="str">
        <f>IF(F91=" "," ",IF(OR('депозитный калькулятор'!$G$7="30/365",'депозитный калькулятор'!$G$7="30/360"),IF(AND(MONTH(F91)=2,DAY(F91)=DAY(EOMONTH(F91,0))),30-DAY(EOMONTH(F91,0)),IF(DAY(F91)=31,1," "))," "))</f>
        <v xml:space="preserve"> </v>
      </c>
      <c r="B91" s="130" t="str">
        <f t="shared" si="6"/>
        <v xml:space="preserve"> </v>
      </c>
      <c r="C91" s="130" t="str">
        <f>IF(OR(B91=0,B91=" ")," ",SUM($B$23:B91))</f>
        <v xml:space="preserve"> </v>
      </c>
      <c r="D91" s="62" t="str">
        <f>IF(D90=" "," ",IF(OR(F90='депозитный калькулятор'!$D$8,F90=" ")," ",D90+1))</f>
        <v xml:space="preserve"> </v>
      </c>
      <c r="E91" s="130" t="str">
        <f>IF(OR(F90='депозитный калькулятор'!$D$8,F90=" ")," ",IF(EOMONTH(F90,0)=F90,1,E90+1))</f>
        <v xml:space="preserve"> </v>
      </c>
      <c r="F91" s="64" t="str">
        <f>IF(F90=" "," ",IF(F90='депозитный калькулятор'!$D$8," ",F90+1))</f>
        <v xml:space="preserve"> </v>
      </c>
      <c r="G91" s="145" t="str">
        <f xml:space="preserve"> IF(F91&gt;'депозитный калькулятор'!$D$8," ",IF('депозитный калькулятор'!$G$13="есть",IF('депозитный калькулятор'!$G$14="есть",G90+IF(I90=" ",0,I90)-J91-K91+L91+M91-N91,G90+IF(I90=" ",0,I90)-J91-K91+M91-N91),IF('депозитный калькулятор'!$G$14="есть",G90-J91-K91+L91+M91-N91,G90-J91-K91+M91-N91)))</f>
        <v xml:space="preserve"> </v>
      </c>
      <c r="H91" s="133" t="str">
        <f>IF(F91&gt;'депозитный калькулятор'!$D$8," ",IF(AND(OR('депозитный калькулятор'!$G$7="30/365",'депозитный калькулятор'!$G$7="30/360"),AND(MONTH(F91)=2,EOMONTH(F91,0)=F91)),IF(DAY(F91)=28,3*G91*'депозитный калькулятор'!$G$8,2*G91*'депозитный калькулятор'!$G$8),IF(AND(OR('депозитный калькулятор'!$G$7="30/365",'депозитный калькулятор'!$G$7="30/360"),DAY(F91)=31)," ",IF(AND('депозитный калькулятор'!$G$7="факт/факт",MOD(YEAR(F91),4)=0),G91*'депозитный калькулятор'!$D$11/366,G91*'депозитный калькулятор'!$G$8))))</f>
        <v xml:space="preserve"> </v>
      </c>
      <c r="I91" s="134" t="str">
        <f ca="1">IF(F91=" "," ",IF('депозитный калькулятор'!$G$10="ежедневное",H91,IF(AND('депозитный калькулятор'!$G$10="еженедельное",WEEKDAY(F91,2)=7),SUM(OFFSET(H91,-6,0):H91),IF(AND('депозитный калькулятор'!$G$10="еженедельное",F91='депозитный калькулятор'!$D$8),SUM($H$23:H91)-SUM($I$23:I90),IF(AND('депозитный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недели",WEEKDAY(F91,2)=7),MIN(OFFSET(H91,-6,0):H91)*(COUNTIF(OFFSET(H91,-6,0):H91,"&gt;0")+SUMIF(OFFSET(A91,-WEEKDAY(F91,2),0):A91,"=2",OFFSET(A91,-WEEKDAY(F91,2),0):A91)),IF(AND('депозитный калькулятор'!$G$10="еженедельное, на минимальную сумму зафиксированную в течение недели",F91='депозитный калькулятор'!$D$8,WEEKDAY(F91,2)&lt;&gt;7),MIN(OFFSET(H91,-WEEKDAY(F91,2),0):H91)*(COUNTIF(OFFSET(H91,-WEEKDAY(F91,2)+1,0):H91,"&gt;0")+SUM(OFFSET(A91,-WEEKDAY(F91,2),0):A91)),IF(AND('депозитный калькулятор'!$G$10="ежемесячное (в конце месяца)",F91='депозитный калькулятор'!$D$8,EOMONTH(F91,0)&lt;&gt;F91),IF('депозитный калькулятор'!$F$1=1,$H$24,SUM($H$23:H91)-SUM($I$23:I90)),IF(AND('депозитный калькулятор'!$G$10="ежемесячное (в конце месяца)",EOMONTH(F91,0)=F91),SUM($H$23:H91)-SUM($I$23:I90),IF(AND('депозитный калькулятор'!$G$10="ежемесячное (по дням открытия вклада)",F91='депозитный калькулятор'!$D$8,DAY('депозитный калькулятор'!$D$7)&lt;&gt;DAY(F91)),IF('депозитный калькулятор'!$F$1=1,$H$24,SUM($H$23:H91)-SUM($I$23:I90)),IF(AND('депозитный калькулятор'!$G$10="ежемесячное (по дням открытия вклада)",DAY('депозитный калькулятор'!$D$7)=DAY(F91)),SUM($H$23:H91)-SUM($I$23:I90),IF(AND('депозитный калькулятор'!$G$10="ежемесячное, на минимальную сумму зафиксированную в течение месяца",F91='депозитный калькулятор'!$D$8,EOMONTH(F91,0)&lt;&gt;F91),IF('депозитный калькулятор'!$F$1=1,$H$24,IF(AND(OR('депозитный калькулятор'!$G$7="30/365",'депозитный калькулятор'!$G$7="30/360"),DAY(F91)=31),0,MIN(OFFSET(H91,-E91+1,0):H91)*(E91+SUMIF(OFFSET(A91,-E91+1,0):A91,"=2",OFFSET(A91,-E91+1,0):A91)))),IF(AND('депозитный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калькулятор'!$G$7="30/360"),DAY(EOMONTH(F91,0))=31),EOMONTH(F91,0)-1=F91,EOMONTH(F91,0)=F91)),IF(IF(AND(OR('депозитный калькулятор'!$G$7="30/365",'депозитный калькулятор'!$G$7="30/360"),DAY(EOMONTH($F$23,0))=31),F91=EOMONTH($F$23,0)-1,F91=EOMONTH($F$23,0)),MIN(OFFSET(H91,-(DAY(F91)-DAY($F$23)),0):H91)*E91,MIN(OFFSET(H91,-(DAY(F91)-1),0):H91)*IF(AND(OR('депозитный калькулятор'!$G$7="30/365",'депозитный калькулятор'!$G$7="30/360"),DAY(F91)&lt;30),30,DAY(F91))),IF(AND('депозитный калькулятор'!$G$10="ежемесячное, на средний остаток в течение месяца, при условии что остаток больше чем ограничение",F91='депозитный калькулятор'!$D$8,EOMONTH(F91,0)&lt;&gt;F91),IF('депозитный калькулятор'!$F$1=1,$H$24,SUM(OFFSET(Q91,-E91+1,0):Q91)),IF(AND('депозитный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калькулятор'!$G$7="30/360"),DAY(EOMONTH(F91,0))=31),EOMONTH(F91,0)-1=F91,EOMONTH(F91,0)=F91)),IF(IF(AND(OR('депозитный калькулятор'!$G$7="30/365",'депозитный калькулятор'!$G$7="30/360"),DAY(EOMONTH($F$24,0))=31),F91=EOMONTH($F$24,0)-1,F91=EOMONTH($F$24,0)),SUM(OFFSET(Q91,-E91+1,0):Q91),SUM(OFFSET(Q91,-E91+1,0):Q91)),IF('депозитный калькулятор'!$G$10="ежеквартальное",IF(F91&gt;'депозитный калькулятор'!$D$8," ",IF(AND(EOMONTH(F91,0)=F91,OR(MONTH(F91)=3,MONTH(F91)=6,MONTH(F91)=9,MONTH(F91)=12)),IF(EDATE(F91,-3)&lt;'депозитный калькулятор'!$D$7,SUM($H$23:H91),IF(MOD(YEAR(F91),4)=0,IF(AND(EOMONTH(F91,0)=F91,OR(MONTH(F91)=3,MONTH(F91)=6)),SUM(OFFSET(H91,-90,0):H91),IF(AND(EOMONTH(F91,0)=F91,OR(MONTH(F91)=9,MONTH(F91)=12)),SUM(OFFSET(H91,-91,0):H91))),IF(AND(EOMONTH(F91,0)=F91,MONTH(F91)=3),SUM(OFFSET(H91,-89,0):H91),IF(AND(EOMONTH(F91,0)=F91,MONTH(F91)=6),SUM(OFFSET(H91,-90,0):H91),IF(AND(EOMONTH(F91,0)=F91,OR(MONTH(F91)=9,MONTH(F91)=12)),SUM(OFFSET(H91,-91,0):H91)))))),IF(F91='депозитный калькулятор'!$D$8,SUM($H$23:H91)-SUM($I$23:I90),0))),IF('депозитный калькулятор'!$G$10="ежегодное",IF(F91&gt;'депозитный калькулятор'!$D$8," ",IF(F91='депозитный калькулятор'!$D$8,SUM($H$23:H91)-SUM($I$23:I90),IF(AND(EOMONTH(F91,0)=F91,MONTH(F91)=12),IF(MOD(YEAR(F90),4)=0,IF(F91-'депозитный калькулятор'!$D$7&lt;366,SUM($H$23:H91),SUM(OFFSET(H91,-365,0):H91)),IF(F91-'депозитный калькулятор'!$D$7&lt;365,SUM($H$23:H91),SUM(OFFSET(H91,-364,0):H91))),0))),IF(AND('депозитный калькулятор'!$G$10="в конце срока",'депозитный калькулятор'!$D$8=F91),SUM($H$23:H91),0))))))))))))))))))</f>
        <v xml:space="preserve"> </v>
      </c>
      <c r="J91" s="59" t="str">
        <f>IF(F91&gt;'депозитный калькулятор'!$D$8," ",IF('депозитный калькулятор'!$G$16="нет",0,IF(AND('депозитный калькулятор'!$G$17="разовая (в конце срока)",F91='депозитный калькулятор'!$D$8),'депозитный калькулятор'!$G$18,IF(AND('депозитный калькулятор'!$G$17="ежемесячная",EOMONTH(F90,0)=F90),'депозитный калькулятор'!$G$18,IF(AND('депозитный калькулятор'!$G$17="ежегодная",DAY(F90)=31,MONTH(F90)=12),'депозитный калькулятор'!$G$18,IF(AND('депозитный калькулятор'!$G$17="ежемесячная в зависимости от остатка",EOMONTH(F90,0)=F90,P90&gt;0),'депозитный калькулятор'!$G$18,IF(AND('депозитный калькулятор'!$G$17="ежегодная в зависимости от остатка",DAY(F90)=31,MONTH(F90)=12,P90&gt;0),'депозитный калькулятор'!$G$18,0)))))))</f>
        <v xml:space="preserve"> </v>
      </c>
      <c r="K91" s="135" t="str">
        <f>IF($F91=" "," ",IFERROR(VLOOKUP($F91,'депозитный калькулятор'!$B$26:$F$70,2,0),0))</f>
        <v xml:space="preserve"> </v>
      </c>
      <c r="L91" s="135" t="str">
        <f>IF($F91=" "," ",IFERROR(VLOOKUP($F91,'депозитный калькулятор'!$B$26:$F$70,3,0),0))</f>
        <v xml:space="preserve"> </v>
      </c>
      <c r="M91" s="135" t="str">
        <f>IF($F91=" "," ",IFERROR(VLOOKUP($F91,'депозитный калькулятор'!$B$26:$F$70,4,0),0))</f>
        <v xml:space="preserve"> </v>
      </c>
      <c r="N91" s="135" t="str">
        <f>IF($F91=" "," ",IFERROR(VLOOKUP($F91,'депозитный калькулятор'!$B$26:$F$70,5,0),0))</f>
        <v xml:space="preserve"> </v>
      </c>
      <c r="O91" s="146" t="str">
        <f>IF(F91&gt;'депозитный калькулятор'!$D$8," ",IF(F91='депозитный калькулятор'!$D$8,IF(AND($F$24='депозитный калькулятор'!$D$8,'депозитный калькулятор'!$G$13="нет"),-G91-IF(I91=" ",0,I91)-IF(AND(OR('депозитный калькулятор'!$G$7="30/365",'депозитный калькулятор'!$G$7="30/360"),'депозитный калькулятор'!$G$10="в начале срока"),I90,0)-L91+M91-N91,-G91-IF(I91=" ",0,I91)-L91+M91-N91),IF('депозитный калькулятор'!$G$13="есть",M91-N91+IF('депозитный калькулятор'!$G$14="есть",0,-L91),-IF(I91=" ",0,I91)-IF(AND(OR('депозитный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срока"),I90,0)+M91-N91+IF('депозитный калькулятор'!$G$14="есть",0,-L91))))</f>
        <v xml:space="preserve"> </v>
      </c>
      <c r="P91" s="147" t="str">
        <f>IF(F91&gt;'депозитный калькулятор'!$D$8," ",IF(EOMONTH(F90,0)=F90,0,IF(G91&gt;='депозитный калькулятор'!$G$19,P90,P90+1)))</f>
        <v xml:space="preserve"> </v>
      </c>
      <c r="Q91" s="138" t="str">
        <f>IF(F91=" "," ",IF(AND(OR('депозитный калькулятор'!$G$7="30/365",'депозитный калькулятор'!$G$7="30/360"),AND(MONTH(F91)=2,EOMONTH(F91,0)=F91)),IF(DAY(F91)=28,3,2),1)*IF(G91&gt;='депозитный калькулятор'!$G$11,IF(AND('депозитный калькулятор'!$G$7="факт/факт",MOD(YEAR(F91),4)=0),G91*'депозитный калькулятор'!$D$11/366,G91*'депозитный калькулятор'!$G$8),0))</f>
        <v xml:space="preserve"> </v>
      </c>
      <c r="R91" s="148"/>
      <c r="S91" s="62" t="str">
        <f t="shared" ca="1" si="7"/>
        <v xml:space="preserve"> </v>
      </c>
      <c r="T91" s="149" t="str">
        <f ca="1">IF(S91=" "," ",IF('депозитный калькулятор'!$G$7="30/360",DAYS360(U90,IF(DAY(U91)=31,U91-1,U91))+IF(AND(MONTH(U91)=2,U91=EOMONTH(U91,0)),30-DAY(EOMONTH(U91,0)))+T90,VLOOKUP(S91,$C$22:$F$1023,2,0)))</f>
        <v xml:space="preserve"> </v>
      </c>
      <c r="U91" s="64" t="str">
        <f t="shared" ca="1" si="5"/>
        <v xml:space="preserve"> </v>
      </c>
      <c r="V91" s="150" t="str">
        <f t="shared" ca="1" si="8"/>
        <v xml:space="preserve"> </v>
      </c>
      <c r="W91" s="62" t="str">
        <f t="shared" ca="1" si="9"/>
        <v xml:space="preserve"> </v>
      </c>
      <c r="X91" s="141" t="str">
        <f ca="1">IF(S91=" "," ",IFERROR(VLOOKUP(U91,$F$23:$N$1023,7)+VLOOKUP(U91,$F$23:$N$1023,9)+IF(AND('депозитный калькулятор'!$G$13="нет",U91&lt;&gt;'депозитный калькулятор'!$D$8),VLOOKUP(U91,$F$23:$N$1023,4),0),0)+IF(U91='депозитный калькулятор'!$D$8,VLOOKUP(U91,$F$23:$N$1023,2)+VLOOKUP(U91,$F$23:$N$1023,4),0))</f>
        <v xml:space="preserve"> </v>
      </c>
      <c r="Y91" s="142" t="str">
        <f ca="1">IF(S91=" "," ",W91/(1+'депозитный калькулятор'!$K$8)^(T91/IF('депозитный калькулятор'!$G$7="30/360",360,365)))</f>
        <v xml:space="preserve"> </v>
      </c>
      <c r="Z91" s="142" t="str">
        <f ca="1">IF(S91=" "," ",X91/(1+'депозитный калькулятор'!$K$8)^(T91/IF('депозитный калькулятор'!$G$7="30/360",360,365)))</f>
        <v xml:space="preserve"> </v>
      </c>
      <c r="AA91" s="151"/>
      <c r="AB91" s="151"/>
      <c r="AC91" s="155"/>
      <c r="AD91" s="155"/>
      <c r="AF91" s="5"/>
    </row>
    <row r="92" spans="1:32" s="2" customFormat="1" ht="15.5" x14ac:dyDescent="0.35">
      <c r="A92" s="41" t="str">
        <f>IF(F92=" "," ",IF(OR('депозитный калькулятор'!$G$7="30/365",'депозитный калькулятор'!$G$7="30/360"),IF(AND(MONTH(F92)=2,DAY(F92)=DAY(EOMONTH(F92,0))),30-DAY(EOMONTH(F92,0)),IF(DAY(F92)=31,1," "))," "))</f>
        <v xml:space="preserve"> </v>
      </c>
      <c r="B92" s="130" t="str">
        <f t="shared" si="6"/>
        <v xml:space="preserve"> </v>
      </c>
      <c r="C92" s="130" t="str">
        <f>IF(OR(B92=0,B92=" ")," ",SUM($B$23:B92))</f>
        <v xml:space="preserve"> </v>
      </c>
      <c r="D92" s="62" t="str">
        <f>IF(D91=" "," ",IF(OR(F91='депозитный калькулятор'!$D$8,F91=" ")," ",D91+1))</f>
        <v xml:space="preserve"> </v>
      </c>
      <c r="E92" s="130" t="str">
        <f>IF(OR(F91='депозитный калькулятор'!$D$8,F91=" ")," ",IF(EOMONTH(F91,0)=F91,1,E91+1))</f>
        <v xml:space="preserve"> </v>
      </c>
      <c r="F92" s="64" t="str">
        <f>IF(F91=" "," ",IF(F91='депозитный калькулятор'!$D$8," ",F91+1))</f>
        <v xml:space="preserve"> </v>
      </c>
      <c r="G92" s="145" t="str">
        <f xml:space="preserve"> IF(F92&gt;'депозитный калькулятор'!$D$8," ",IF('депозитный калькулятор'!$G$13="есть",IF('депозитный калькулятор'!$G$14="есть",G91+IF(I91=" ",0,I91)-J92-K92+L92+M92-N92,G91+IF(I91=" ",0,I91)-J92-K92+M92-N92),IF('депозитный калькулятор'!$G$14="есть",G91-J92-K92+L92+M92-N92,G91-J92-K92+M92-N92)))</f>
        <v xml:space="preserve"> </v>
      </c>
      <c r="H92" s="133" t="str">
        <f>IF(F92&gt;'депозитный калькулятор'!$D$8," ",IF(AND(OR('депозитный калькулятор'!$G$7="30/365",'депозитный калькулятор'!$G$7="30/360"),AND(MONTH(F92)=2,EOMONTH(F92,0)=F92)),IF(DAY(F92)=28,3*G92*'депозитный калькулятор'!$G$8,2*G92*'депозитный калькулятор'!$G$8),IF(AND(OR('депозитный калькулятор'!$G$7="30/365",'депозитный калькулятор'!$G$7="30/360"),DAY(F92)=31)," ",IF(AND('депозитный калькулятор'!$G$7="факт/факт",MOD(YEAR(F92),4)=0),G92*'депозитный калькулятор'!$D$11/366,G92*'депозитный калькулятор'!$G$8))))</f>
        <v xml:space="preserve"> </v>
      </c>
      <c r="I92" s="134" t="str">
        <f ca="1">IF(F92=" "," ",IF('депозитный калькулятор'!$G$10="ежедневное",H92,IF(AND('депозитный калькулятор'!$G$10="еженедельное",WEEKDAY(F92,2)=7),SUM(OFFSET(H92,-6,0):H92),IF(AND('депозитный калькулятор'!$G$10="еженедельное",F92='депозитный калькулятор'!$D$8),SUM($H$23:H92)-SUM($I$23:I91),IF(AND('депозитный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недели",WEEKDAY(F92,2)=7),MIN(OFFSET(H92,-6,0):H92)*(COUNTIF(OFFSET(H92,-6,0):H92,"&gt;0")+SUMIF(OFFSET(A92,-WEEKDAY(F92,2),0):A92,"=2",OFFSET(A92,-WEEKDAY(F92,2),0):A92)),IF(AND('депозитный калькулятор'!$G$10="еженедельное, на минимальную сумму зафиксированную в течение недели",F92='депозитный калькулятор'!$D$8,WEEKDAY(F92,2)&lt;&gt;7),MIN(OFFSET(H92,-WEEKDAY(F92,2),0):H92)*(COUNTIF(OFFSET(H92,-WEEKDAY(F92,2)+1,0):H92,"&gt;0")+SUM(OFFSET(A92,-WEEKDAY(F92,2),0):A92)),IF(AND('депозитный калькулятор'!$G$10="ежемесячное (в конце месяца)",F92='депозитный калькулятор'!$D$8,EOMONTH(F92,0)&lt;&gt;F92),IF('депозитный калькулятор'!$F$1=1,$H$24,SUM($H$23:H92)-SUM($I$23:I91)),IF(AND('депозитный калькулятор'!$G$10="ежемесячное (в конце месяца)",EOMONTH(F92,0)=F92),SUM($H$23:H92)-SUM($I$23:I91),IF(AND('депозитный калькулятор'!$G$10="ежемесячное (по дням открытия вклада)",F92='депозитный калькулятор'!$D$8,DAY('депозитный калькулятор'!$D$7)&lt;&gt;DAY(F92)),IF('депозитный калькулятор'!$F$1=1,$H$24,SUM($H$23:H92)-SUM($I$23:I91)),IF(AND('депозитный калькулятор'!$G$10="ежемесячное (по дням открытия вклада)",DAY('депозитный калькулятор'!$D$7)=DAY(F92)),SUM($H$23:H92)-SUM($I$23:I91),IF(AND('депозитный калькулятор'!$G$10="ежемесячное, на минимальную сумму зафиксированную в течение месяца",F92='депозитный калькулятор'!$D$8,EOMONTH(F92,0)&lt;&gt;F92),IF('депозитный калькулятор'!$F$1=1,$H$24,IF(AND(OR('депозитный калькулятор'!$G$7="30/365",'депозитный калькулятор'!$G$7="30/360"),DAY(F92)=31),0,MIN(OFFSET(H92,-E92+1,0):H92)*(E92+SUMIF(OFFSET(A92,-E92+1,0):A92,"=2",OFFSET(A92,-E92+1,0):A92)))),IF(AND('депозитный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калькулятор'!$G$7="30/360"),DAY(EOMONTH(F92,0))=31),EOMONTH(F92,0)-1=F92,EOMONTH(F92,0)=F92)),IF(IF(AND(OR('депозитный калькулятор'!$G$7="30/365",'депозитный калькулятор'!$G$7="30/360"),DAY(EOMONTH($F$23,0))=31),F92=EOMONTH($F$23,0)-1,F92=EOMONTH($F$23,0)),MIN(OFFSET(H92,-(DAY(F92)-DAY($F$23)),0):H92)*E92,MIN(OFFSET(H92,-(DAY(F92)-1),0):H92)*IF(AND(OR('депозитный калькулятор'!$G$7="30/365",'депозитный калькулятор'!$G$7="30/360"),DAY(F92)&lt;30),30,DAY(F92))),IF(AND('депозитный калькулятор'!$G$10="ежемесячное, на средний остаток в течение месяца, при условии что остаток больше чем ограничение",F92='депозитный калькулятор'!$D$8,EOMONTH(F92,0)&lt;&gt;F92),IF('депозитный калькулятор'!$F$1=1,$H$24,SUM(OFFSET(Q92,-E92+1,0):Q92)),IF(AND('депозитный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калькулятор'!$G$7="30/360"),DAY(EOMONTH(F92,0))=31),EOMONTH(F92,0)-1=F92,EOMONTH(F92,0)=F92)),IF(IF(AND(OR('депозитный калькулятор'!$G$7="30/365",'депозитный калькулятор'!$G$7="30/360"),DAY(EOMONTH($F$24,0))=31),F92=EOMONTH($F$24,0)-1,F92=EOMONTH($F$24,0)),SUM(OFFSET(Q92,-E92+1,0):Q92),SUM(OFFSET(Q92,-E92+1,0):Q92)),IF('депозитный калькулятор'!$G$10="ежеквартальное",IF(F92&gt;'депозитный калькулятор'!$D$8," ",IF(AND(EOMONTH(F92,0)=F92,OR(MONTH(F92)=3,MONTH(F92)=6,MONTH(F92)=9,MONTH(F92)=12)),IF(EDATE(F92,-3)&lt;'депозитный калькулятор'!$D$7,SUM($H$23:H92),IF(MOD(YEAR(F92),4)=0,IF(AND(EOMONTH(F92,0)=F92,OR(MONTH(F92)=3,MONTH(F92)=6)),SUM(OFFSET(H92,-90,0):H92),IF(AND(EOMONTH(F92,0)=F92,OR(MONTH(F92)=9,MONTH(F92)=12)),SUM(OFFSET(H92,-91,0):H92))),IF(AND(EOMONTH(F92,0)=F92,MONTH(F92)=3),SUM(OFFSET(H92,-89,0):H92),IF(AND(EOMONTH(F92,0)=F92,MONTH(F92)=6),SUM(OFFSET(H92,-90,0):H92),IF(AND(EOMONTH(F92,0)=F92,OR(MONTH(F92)=9,MONTH(F92)=12)),SUM(OFFSET(H92,-91,0):H92)))))),IF(F92='депозитный калькулятор'!$D$8,SUM($H$23:H92)-SUM($I$23:I91),0))),IF('депозитный калькулятор'!$G$10="ежегодное",IF(F92&gt;'депозитный калькулятор'!$D$8," ",IF(F92='депозитный калькулятор'!$D$8,SUM($H$23:H92)-SUM($I$23:I91),IF(AND(EOMONTH(F92,0)=F92,MONTH(F92)=12),IF(MOD(YEAR(F91),4)=0,IF(F92-'депозитный калькулятор'!$D$7&lt;366,SUM($H$23:H92),SUM(OFFSET(H92,-365,0):H92)),IF(F92-'депозитный калькулятор'!$D$7&lt;365,SUM($H$23:H92),SUM(OFFSET(H92,-364,0):H92))),0))),IF(AND('депозитный калькулятор'!$G$10="в конце срока",'депозитный калькулятор'!$D$8=F92),SUM($H$23:H92),0))))))))))))))))))</f>
        <v xml:space="preserve"> </v>
      </c>
      <c r="J92" s="59" t="str">
        <f>IF(F92&gt;'депозитный калькулятор'!$D$8," ",IF('депозитный калькулятор'!$G$16="нет",0,IF(AND('депозитный калькулятор'!$G$17="разовая (в конце срока)",F92='депозитный калькулятор'!$D$8),'депозитный калькулятор'!$G$18,IF(AND('депозитный калькулятор'!$G$17="ежемесячная",EOMONTH(F91,0)=F91),'депозитный калькулятор'!$G$18,IF(AND('депозитный калькулятор'!$G$17="ежегодная",DAY(F91)=31,MONTH(F91)=12),'депозитный калькулятор'!$G$18,IF(AND('депозитный калькулятор'!$G$17="ежемесячная в зависимости от остатка",EOMONTH(F91,0)=F91,P91&gt;0),'депозитный калькулятор'!$G$18,IF(AND('депозитный калькулятор'!$G$17="ежегодная в зависимости от остатка",DAY(F91)=31,MONTH(F91)=12,P91&gt;0),'депозитный калькулятор'!$G$18,0)))))))</f>
        <v xml:space="preserve"> </v>
      </c>
      <c r="K92" s="135" t="str">
        <f>IF($F92=" "," ",IFERROR(VLOOKUP($F92,'депозитный калькулятор'!$B$26:$F$70,2,0),0))</f>
        <v xml:space="preserve"> </v>
      </c>
      <c r="L92" s="135" t="str">
        <f>IF($F92=" "," ",IFERROR(VLOOKUP($F92,'депозитный калькулятор'!$B$26:$F$70,3,0),0))</f>
        <v xml:space="preserve"> </v>
      </c>
      <c r="M92" s="135" t="str">
        <f>IF($F92=" "," ",IFERROR(VLOOKUP($F92,'депозитный калькулятор'!$B$26:$F$70,4,0),0))</f>
        <v xml:space="preserve"> </v>
      </c>
      <c r="N92" s="135" t="str">
        <f>IF($F92=" "," ",IFERROR(VLOOKUP($F92,'депозитный калькулятор'!$B$26:$F$70,5,0),0))</f>
        <v xml:space="preserve"> </v>
      </c>
      <c r="O92" s="146" t="str">
        <f>IF(F92&gt;'депозитный калькулятор'!$D$8," ",IF(F92='депозитный калькулятор'!$D$8,IF(AND($F$24='депозитный калькулятор'!$D$8,'депозитный калькулятор'!$G$13="нет"),-G92-IF(I92=" ",0,I92)-IF(AND(OR('депозитный калькулятор'!$G$7="30/365",'депозитный калькулятор'!$G$7="30/360"),'депозитный калькулятор'!$G$10="в начале срока"),I91,0)-L92+M92-N92,-G92-IF(I92=" ",0,I92)-L92+M92-N92),IF('депозитный калькулятор'!$G$13="есть",M92-N92+IF('депозитный калькулятор'!$G$14="есть",0,-L92),-IF(I92=" ",0,I92)-IF(AND(OR('депозитный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срока"),I91,0)+M92-N92+IF('депозитный калькулятор'!$G$14="есть",0,-L92))))</f>
        <v xml:space="preserve"> </v>
      </c>
      <c r="P92" s="147" t="str">
        <f>IF(F92&gt;'депозитный калькулятор'!$D$8," ",IF(EOMONTH(F91,0)=F91,0,IF(G92&gt;='депозитный калькулятор'!$G$19,P91,P91+1)))</f>
        <v xml:space="preserve"> </v>
      </c>
      <c r="Q92" s="138" t="str">
        <f>IF(F92=" "," ",IF(AND(OR('депозитный калькулятор'!$G$7="30/365",'депозитный калькулятор'!$G$7="30/360"),AND(MONTH(F92)=2,EOMONTH(F92,0)=F92)),IF(DAY(F92)=28,3,2),1)*IF(G92&gt;='депозитный калькулятор'!$G$11,IF(AND('депозитный калькулятор'!$G$7="факт/факт",MOD(YEAR(F92),4)=0),G92*'депозитный калькулятор'!$D$11/366,G92*'депозитный калькулятор'!$G$8),0))</f>
        <v xml:space="preserve"> </v>
      </c>
      <c r="R92" s="148"/>
      <c r="S92" s="62" t="str">
        <f t="shared" ca="1" si="7"/>
        <v xml:space="preserve"> </v>
      </c>
      <c r="T92" s="149" t="str">
        <f ca="1">IF(S92=" "," ",IF('депозитный калькулятор'!$G$7="30/360",DAYS360(U91,IF(DAY(U92)=31,U92-1,U92))+IF(AND(MONTH(U92)=2,U92=EOMONTH(U92,0)),30-DAY(EOMONTH(U92,0)))+T91,VLOOKUP(S92,$C$22:$F$1023,2,0)))</f>
        <v xml:space="preserve"> </v>
      </c>
      <c r="U92" s="64" t="str">
        <f t="shared" ca="1" si="5"/>
        <v xml:space="preserve"> </v>
      </c>
      <c r="V92" s="150" t="str">
        <f t="shared" ca="1" si="8"/>
        <v xml:space="preserve"> </v>
      </c>
      <c r="W92" s="62" t="str">
        <f t="shared" ca="1" si="9"/>
        <v xml:space="preserve"> </v>
      </c>
      <c r="X92" s="141" t="str">
        <f ca="1">IF(S92=" "," ",IFERROR(VLOOKUP(U92,$F$23:$N$1023,7)+VLOOKUP(U92,$F$23:$N$1023,9)+IF(AND('депозитный калькулятор'!$G$13="нет",U92&lt;&gt;'депозитный калькулятор'!$D$8),VLOOKUP(U92,$F$23:$N$1023,4),0),0)+IF(U92='депозитный калькулятор'!$D$8,VLOOKUP(U92,$F$23:$N$1023,2)+VLOOKUP(U92,$F$23:$N$1023,4),0))</f>
        <v xml:space="preserve"> </v>
      </c>
      <c r="Y92" s="142" t="str">
        <f ca="1">IF(S92=" "," ",W92/(1+'депозитный калькулятор'!$K$8)^(T92/IF('депозитный калькулятор'!$G$7="30/360",360,365)))</f>
        <v xml:space="preserve"> </v>
      </c>
      <c r="Z92" s="142" t="str">
        <f ca="1">IF(S92=" "," ",X92/(1+'депозитный калькулятор'!$K$8)^(T92/IF('депозитный калькулятор'!$G$7="30/360",360,365)))</f>
        <v xml:space="preserve"> </v>
      </c>
      <c r="AA92" s="151"/>
      <c r="AB92" s="151"/>
      <c r="AC92" s="155"/>
      <c r="AD92" s="155"/>
      <c r="AF92" s="5"/>
    </row>
    <row r="93" spans="1:32" s="2" customFormat="1" ht="15.5" x14ac:dyDescent="0.35">
      <c r="A93" s="41" t="str">
        <f>IF(F93=" "," ",IF(OR('депозитный калькулятор'!$G$7="30/365",'депозитный калькулятор'!$G$7="30/360"),IF(AND(MONTH(F93)=2,DAY(F93)=DAY(EOMONTH(F93,0))),30-DAY(EOMONTH(F93,0)),IF(DAY(F93)=31,1," "))," "))</f>
        <v xml:space="preserve"> </v>
      </c>
      <c r="B93" s="130" t="str">
        <f t="shared" si="6"/>
        <v xml:space="preserve"> </v>
      </c>
      <c r="C93" s="130" t="str">
        <f>IF(OR(B93=0,B93=" ")," ",SUM($B$23:B93))</f>
        <v xml:space="preserve"> </v>
      </c>
      <c r="D93" s="62" t="str">
        <f>IF(D92=" "," ",IF(OR(F92='депозитный калькулятор'!$D$8,F92=" ")," ",D92+1))</f>
        <v xml:space="preserve"> </v>
      </c>
      <c r="E93" s="130" t="str">
        <f>IF(OR(F92='депозитный калькулятор'!$D$8,F92=" ")," ",IF(EOMONTH(F92,0)=F92,1,E92+1))</f>
        <v xml:space="preserve"> </v>
      </c>
      <c r="F93" s="64" t="str">
        <f>IF(F92=" "," ",IF(F92='депозитный калькулятор'!$D$8," ",F92+1))</f>
        <v xml:space="preserve"> </v>
      </c>
      <c r="G93" s="145" t="str">
        <f xml:space="preserve"> IF(F93&gt;'депозитный калькулятор'!$D$8," ",IF('депозитный калькулятор'!$G$13="есть",IF('депозитный калькулятор'!$G$14="есть",G92+IF(I92=" ",0,I92)-J93-K93+L93+M93-N93,G92+IF(I92=" ",0,I92)-J93-K93+M93-N93),IF('депозитный калькулятор'!$G$14="есть",G92-J93-K93+L93+M93-N93,G92-J93-K93+M93-N93)))</f>
        <v xml:space="preserve"> </v>
      </c>
      <c r="H93" s="133" t="str">
        <f>IF(F93&gt;'депозитный калькулятор'!$D$8," ",IF(AND(OR('депозитный калькулятор'!$G$7="30/365",'депозитный калькулятор'!$G$7="30/360"),AND(MONTH(F93)=2,EOMONTH(F93,0)=F93)),IF(DAY(F93)=28,3*G93*'депозитный калькулятор'!$G$8,2*G93*'депозитный калькулятор'!$G$8),IF(AND(OR('депозитный калькулятор'!$G$7="30/365",'депозитный калькулятор'!$G$7="30/360"),DAY(F93)=31)," ",IF(AND('депозитный калькулятор'!$G$7="факт/факт",MOD(YEAR(F93),4)=0),G93*'депозитный калькулятор'!$D$11/366,G93*'депозитный калькулятор'!$G$8))))</f>
        <v xml:space="preserve"> </v>
      </c>
      <c r="I93" s="134" t="str">
        <f ca="1">IF(F93=" "," ",IF('депозитный калькулятор'!$G$10="ежедневное",H93,IF(AND('депозитный калькулятор'!$G$10="еженедельное",WEEKDAY(F93,2)=7),SUM(OFFSET(H93,-6,0):H93),IF(AND('депозитный калькулятор'!$G$10="еженедельное",F93='депозитный калькулятор'!$D$8),SUM($H$23:H93)-SUM($I$23:I92),IF(AND('депозитный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недели",WEEKDAY(F93,2)=7),MIN(OFFSET(H93,-6,0):H93)*(COUNTIF(OFFSET(H93,-6,0):H93,"&gt;0")+SUMIF(OFFSET(A93,-WEEKDAY(F93,2),0):A93,"=2",OFFSET(A93,-WEEKDAY(F93,2),0):A93)),IF(AND('депозитный калькулятор'!$G$10="еженедельное, на минимальную сумму зафиксированную в течение недели",F93='депозитный калькулятор'!$D$8,WEEKDAY(F93,2)&lt;&gt;7),MIN(OFFSET(H93,-WEEKDAY(F93,2),0):H93)*(COUNTIF(OFFSET(H93,-WEEKDAY(F93,2)+1,0):H93,"&gt;0")+SUM(OFFSET(A93,-WEEKDAY(F93,2),0):A93)),IF(AND('депозитный калькулятор'!$G$10="ежемесячное (в конце месяца)",F93='депозитный калькулятор'!$D$8,EOMONTH(F93,0)&lt;&gt;F93),IF('депозитный калькулятор'!$F$1=1,$H$24,SUM($H$23:H93)-SUM($I$23:I92)),IF(AND('депозитный калькулятор'!$G$10="ежемесячное (в конце месяца)",EOMONTH(F93,0)=F93),SUM($H$23:H93)-SUM($I$23:I92),IF(AND('депозитный калькулятор'!$G$10="ежемесячное (по дням открытия вклада)",F93='депозитный калькулятор'!$D$8,DAY('депозитный калькулятор'!$D$7)&lt;&gt;DAY(F93)),IF('депозитный калькулятор'!$F$1=1,$H$24,SUM($H$23:H93)-SUM($I$23:I92)),IF(AND('депозитный калькулятор'!$G$10="ежемесячное (по дням открытия вклада)",DAY('депозитный калькулятор'!$D$7)=DAY(F93)),SUM($H$23:H93)-SUM($I$23:I92),IF(AND('депозитный калькулятор'!$G$10="ежемесячное, на минимальную сумму зафиксированную в течение месяца",F93='депозитный калькулятор'!$D$8,EOMONTH(F93,0)&lt;&gt;F93),IF('депозитный калькулятор'!$F$1=1,$H$24,IF(AND(OR('депозитный калькулятор'!$G$7="30/365",'депозитный калькулятор'!$G$7="30/360"),DAY(F93)=31),0,MIN(OFFSET(H93,-E93+1,0):H93)*(E93+SUMIF(OFFSET(A93,-E93+1,0):A93,"=2",OFFSET(A93,-E93+1,0):A93)))),IF(AND('депозитный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калькулятор'!$G$7="30/360"),DAY(EOMONTH(F93,0))=31),EOMONTH(F93,0)-1=F93,EOMONTH(F93,0)=F93)),IF(IF(AND(OR('депозитный калькулятор'!$G$7="30/365",'депозитный калькулятор'!$G$7="30/360"),DAY(EOMONTH($F$23,0))=31),F93=EOMONTH($F$23,0)-1,F93=EOMONTH($F$23,0)),MIN(OFFSET(H93,-(DAY(F93)-DAY($F$23)),0):H93)*E93,MIN(OFFSET(H93,-(DAY(F93)-1),0):H93)*IF(AND(OR('депозитный калькулятор'!$G$7="30/365",'депозитный калькулятор'!$G$7="30/360"),DAY(F93)&lt;30),30,DAY(F93))),IF(AND('депозитный калькулятор'!$G$10="ежемесячное, на средний остаток в течение месяца, при условии что остаток больше чем ограничение",F93='депозитный калькулятор'!$D$8,EOMONTH(F93,0)&lt;&gt;F93),IF('депозитный калькулятор'!$F$1=1,$H$24,SUM(OFFSET(Q93,-E93+1,0):Q93)),IF(AND('депозитный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калькулятор'!$G$7="30/360"),DAY(EOMONTH(F93,0))=31),EOMONTH(F93,0)-1=F93,EOMONTH(F93,0)=F93)),IF(IF(AND(OR('депозитный калькулятор'!$G$7="30/365",'депозитный калькулятор'!$G$7="30/360"),DAY(EOMONTH($F$24,0))=31),F93=EOMONTH($F$24,0)-1,F93=EOMONTH($F$24,0)),SUM(OFFSET(Q93,-E93+1,0):Q93),SUM(OFFSET(Q93,-E93+1,0):Q93)),IF('депозитный калькулятор'!$G$10="ежеквартальное",IF(F93&gt;'депозитный калькулятор'!$D$8," ",IF(AND(EOMONTH(F93,0)=F93,OR(MONTH(F93)=3,MONTH(F93)=6,MONTH(F93)=9,MONTH(F93)=12)),IF(EDATE(F93,-3)&lt;'депозитный калькулятор'!$D$7,SUM($H$23:H93),IF(MOD(YEAR(F93),4)=0,IF(AND(EOMONTH(F93,0)=F93,OR(MONTH(F93)=3,MONTH(F93)=6)),SUM(OFFSET(H93,-90,0):H93),IF(AND(EOMONTH(F93,0)=F93,OR(MONTH(F93)=9,MONTH(F93)=12)),SUM(OFFSET(H93,-91,0):H93))),IF(AND(EOMONTH(F93,0)=F93,MONTH(F93)=3),SUM(OFFSET(H93,-89,0):H93),IF(AND(EOMONTH(F93,0)=F93,MONTH(F93)=6),SUM(OFFSET(H93,-90,0):H93),IF(AND(EOMONTH(F93,0)=F93,OR(MONTH(F93)=9,MONTH(F93)=12)),SUM(OFFSET(H93,-91,0):H93)))))),IF(F93='депозитный калькулятор'!$D$8,SUM($H$23:H93)-SUM($I$23:I92),0))),IF('депозитный калькулятор'!$G$10="ежегодное",IF(F93&gt;'депозитный калькулятор'!$D$8," ",IF(F93='депозитный калькулятор'!$D$8,SUM($H$23:H93)-SUM($I$23:I92),IF(AND(EOMONTH(F93,0)=F93,MONTH(F93)=12),IF(MOD(YEAR(F92),4)=0,IF(F93-'депозитный калькулятор'!$D$7&lt;366,SUM($H$23:H93),SUM(OFFSET(H93,-365,0):H93)),IF(F93-'депозитный калькулятор'!$D$7&lt;365,SUM($H$23:H93),SUM(OFFSET(H93,-364,0):H93))),0))),IF(AND('депозитный калькулятор'!$G$10="в конце срока",'депозитный калькулятор'!$D$8=F93),SUM($H$23:H93),0))))))))))))))))))</f>
        <v xml:space="preserve"> </v>
      </c>
      <c r="J93" s="59" t="str">
        <f>IF(F93&gt;'депозитный калькулятор'!$D$8," ",IF('депозитный калькулятор'!$G$16="нет",0,IF(AND('депозитный калькулятор'!$G$17="разовая (в конце срока)",F93='депозитный калькулятор'!$D$8),'депозитный калькулятор'!$G$18,IF(AND('депозитный калькулятор'!$G$17="ежемесячная",EOMONTH(F92,0)=F92),'депозитный калькулятор'!$G$18,IF(AND('депозитный калькулятор'!$G$17="ежегодная",DAY(F92)=31,MONTH(F92)=12),'депозитный калькулятор'!$G$18,IF(AND('депозитный калькулятор'!$G$17="ежемесячная в зависимости от остатка",EOMONTH(F92,0)=F92,P92&gt;0),'депозитный калькулятор'!$G$18,IF(AND('депозитный калькулятор'!$G$17="ежегодная в зависимости от остатка",DAY(F92)=31,MONTH(F92)=12,P92&gt;0),'депозитный калькулятор'!$G$18,0)))))))</f>
        <v xml:space="preserve"> </v>
      </c>
      <c r="K93" s="135" t="str">
        <f>IF($F93=" "," ",IFERROR(VLOOKUP($F93,'депозитный калькулятор'!$B$26:$F$70,2,0),0))</f>
        <v xml:space="preserve"> </v>
      </c>
      <c r="L93" s="135" t="str">
        <f>IF($F93=" "," ",IFERROR(VLOOKUP($F93,'депозитный калькулятор'!$B$26:$F$70,3,0),0))</f>
        <v xml:space="preserve"> </v>
      </c>
      <c r="M93" s="135" t="str">
        <f>IF($F93=" "," ",IFERROR(VLOOKUP($F93,'депозитный калькулятор'!$B$26:$F$70,4,0),0))</f>
        <v xml:space="preserve"> </v>
      </c>
      <c r="N93" s="135" t="str">
        <f>IF($F93=" "," ",IFERROR(VLOOKUP($F93,'депозитный калькулятор'!$B$26:$F$70,5,0),0))</f>
        <v xml:space="preserve"> </v>
      </c>
      <c r="O93" s="146" t="str">
        <f>IF(F93&gt;'депозитный калькулятор'!$D$8," ",IF(F93='депозитный калькулятор'!$D$8,IF(AND($F$24='депозитный калькулятор'!$D$8,'депозитный калькулятор'!$G$13="нет"),-G93-IF(I93=" ",0,I93)-IF(AND(OR('депозитный калькулятор'!$G$7="30/365",'депозитный калькулятор'!$G$7="30/360"),'депозитный калькулятор'!$G$10="в начале срока"),I92,0)-L93+M93-N93,-G93-IF(I93=" ",0,I93)-L93+M93-N93),IF('депозитный калькулятор'!$G$13="есть",M93-N93+IF('депозитный калькулятор'!$G$14="есть",0,-L93),-IF(I93=" ",0,I93)-IF(AND(OR('депозитный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срока"),I92,0)+M93-N93+IF('депозитный калькулятор'!$G$14="есть",0,-L93))))</f>
        <v xml:space="preserve"> </v>
      </c>
      <c r="P93" s="147" t="str">
        <f>IF(F93&gt;'депозитный калькулятор'!$D$8," ",IF(EOMONTH(F92,0)=F92,0,IF(G93&gt;='депозитный калькулятор'!$G$19,P92,P92+1)))</f>
        <v xml:space="preserve"> </v>
      </c>
      <c r="Q93" s="138" t="str">
        <f>IF(F93=" "," ",IF(AND(OR('депозитный калькулятор'!$G$7="30/365",'депозитный калькулятор'!$G$7="30/360"),AND(MONTH(F93)=2,EOMONTH(F93,0)=F93)),IF(DAY(F93)=28,3,2),1)*IF(G93&gt;='депозитный калькулятор'!$G$11,IF(AND('депозитный калькулятор'!$G$7="факт/факт",MOD(YEAR(F93),4)=0),G93*'депозитный калькулятор'!$D$11/366,G93*'депозитный калькулятор'!$G$8),0))</f>
        <v xml:space="preserve"> </v>
      </c>
      <c r="R93" s="148"/>
      <c r="S93" s="62" t="str">
        <f t="shared" ca="1" si="7"/>
        <v xml:space="preserve"> </v>
      </c>
      <c r="T93" s="149" t="str">
        <f ca="1">IF(S93=" "," ",IF('депозитный калькулятор'!$G$7="30/360",DAYS360(U92,IF(DAY(U93)=31,U93-1,U93))+IF(AND(MONTH(U93)=2,U93=EOMONTH(U93,0)),30-DAY(EOMONTH(U93,0)))+T92,VLOOKUP(S93,$C$22:$F$1023,2,0)))</f>
        <v xml:space="preserve"> </v>
      </c>
      <c r="U93" s="64" t="str">
        <f t="shared" ca="1" si="5"/>
        <v xml:space="preserve"> </v>
      </c>
      <c r="V93" s="150" t="str">
        <f t="shared" ca="1" si="8"/>
        <v xml:space="preserve"> </v>
      </c>
      <c r="W93" s="62" t="str">
        <f t="shared" ca="1" si="9"/>
        <v xml:space="preserve"> </v>
      </c>
      <c r="X93" s="141" t="str">
        <f ca="1">IF(S93=" "," ",IFERROR(VLOOKUP(U93,$F$23:$N$1023,7)+VLOOKUP(U93,$F$23:$N$1023,9)+IF(AND('депозитный калькулятор'!$G$13="нет",U93&lt;&gt;'депозитный калькулятор'!$D$8),VLOOKUP(U93,$F$23:$N$1023,4),0),0)+IF(U93='депозитный калькулятор'!$D$8,VLOOKUP(U93,$F$23:$N$1023,2)+VLOOKUP(U93,$F$23:$N$1023,4),0))</f>
        <v xml:space="preserve"> </v>
      </c>
      <c r="Y93" s="142" t="str">
        <f ca="1">IF(S93=" "," ",W93/(1+'депозитный калькулятор'!$K$8)^(T93/IF('депозитный калькулятор'!$G$7="30/360",360,365)))</f>
        <v xml:space="preserve"> </v>
      </c>
      <c r="Z93" s="142" t="str">
        <f ca="1">IF(S93=" "," ",X93/(1+'депозитный калькулятор'!$K$8)^(T93/IF('депозитный калькулятор'!$G$7="30/360",360,365)))</f>
        <v xml:space="preserve"> </v>
      </c>
      <c r="AA93" s="151"/>
      <c r="AB93" s="151"/>
      <c r="AC93" s="155"/>
      <c r="AD93" s="155"/>
      <c r="AF93" s="5"/>
    </row>
    <row r="94" spans="1:32" s="2" customFormat="1" ht="15.5" x14ac:dyDescent="0.35">
      <c r="A94" s="41" t="str">
        <f>IF(F94=" "," ",IF(OR('депозитный калькулятор'!$G$7="30/365",'депозитный калькулятор'!$G$7="30/360"),IF(AND(MONTH(F94)=2,DAY(F94)=DAY(EOMONTH(F94,0))),30-DAY(EOMONTH(F94,0)),IF(DAY(F94)=31,1," "))," "))</f>
        <v xml:space="preserve"> </v>
      </c>
      <c r="B94" s="130" t="str">
        <f t="shared" si="6"/>
        <v xml:space="preserve"> </v>
      </c>
      <c r="C94" s="130" t="str">
        <f>IF(OR(B94=0,B94=" ")," ",SUM($B$23:B94))</f>
        <v xml:space="preserve"> </v>
      </c>
      <c r="D94" s="62" t="str">
        <f>IF(D93=" "," ",IF(OR(F93='депозитный калькулятор'!$D$8,F93=" ")," ",D93+1))</f>
        <v xml:space="preserve"> </v>
      </c>
      <c r="E94" s="130" t="str">
        <f>IF(OR(F93='депозитный калькулятор'!$D$8,F93=" ")," ",IF(EOMONTH(F93,0)=F93,1,E93+1))</f>
        <v xml:space="preserve"> </v>
      </c>
      <c r="F94" s="64" t="str">
        <f>IF(F93=" "," ",IF(F93='депозитный калькулятор'!$D$8," ",F93+1))</f>
        <v xml:space="preserve"> </v>
      </c>
      <c r="G94" s="145" t="str">
        <f xml:space="preserve"> IF(F94&gt;'депозитный калькулятор'!$D$8," ",IF('депозитный калькулятор'!$G$13="есть",IF('депозитный калькулятор'!$G$14="есть",G93+IF(I93=" ",0,I93)-J94-K94+L94+M94-N94,G93+IF(I93=" ",0,I93)-J94-K94+M94-N94),IF('депозитный калькулятор'!$G$14="есть",G93-J94-K94+L94+M94-N94,G93-J94-K94+M94-N94)))</f>
        <v xml:space="preserve"> </v>
      </c>
      <c r="H94" s="133" t="str">
        <f>IF(F94&gt;'депозитный калькулятор'!$D$8," ",IF(AND(OR('депозитный калькулятор'!$G$7="30/365",'депозитный калькулятор'!$G$7="30/360"),AND(MONTH(F94)=2,EOMONTH(F94,0)=F94)),IF(DAY(F94)=28,3*G94*'депозитный калькулятор'!$G$8,2*G94*'депозитный калькулятор'!$G$8),IF(AND(OR('депозитный калькулятор'!$G$7="30/365",'депозитный калькулятор'!$G$7="30/360"),DAY(F94)=31)," ",IF(AND('депозитный калькулятор'!$G$7="факт/факт",MOD(YEAR(F94),4)=0),G94*'депозитный калькулятор'!$D$11/366,G94*'депозитный калькулятор'!$G$8))))</f>
        <v xml:space="preserve"> </v>
      </c>
      <c r="I94" s="134" t="str">
        <f ca="1">IF(F94=" "," ",IF('депозитный калькулятор'!$G$10="ежедневное",H94,IF(AND('депозитный калькулятор'!$G$10="еженедельное",WEEKDAY(F94,2)=7),SUM(OFFSET(H94,-6,0):H94),IF(AND('депозитный калькулятор'!$G$10="еженедельное",F94='депозитный калькулятор'!$D$8),SUM($H$23:H94)-SUM($I$23:I93),IF(AND('депозитный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недели",WEEKDAY(F94,2)=7),MIN(OFFSET(H94,-6,0):H94)*(COUNTIF(OFFSET(H94,-6,0):H94,"&gt;0")+SUMIF(OFFSET(A94,-WEEKDAY(F94,2),0):A94,"=2",OFFSET(A94,-WEEKDAY(F94,2),0):A94)),IF(AND('депозитный калькулятор'!$G$10="еженедельное, на минимальную сумму зафиксированную в течение недели",F94='депозитный калькулятор'!$D$8,WEEKDAY(F94,2)&lt;&gt;7),MIN(OFFSET(H94,-WEEKDAY(F94,2),0):H94)*(COUNTIF(OFFSET(H94,-WEEKDAY(F94,2)+1,0):H94,"&gt;0")+SUM(OFFSET(A94,-WEEKDAY(F94,2),0):A94)),IF(AND('депозитный калькулятор'!$G$10="ежемесячное (в конце месяца)",F94='депозитный калькулятор'!$D$8,EOMONTH(F94,0)&lt;&gt;F94),IF('депозитный калькулятор'!$F$1=1,$H$24,SUM($H$23:H94)-SUM($I$23:I93)),IF(AND('депозитный калькулятор'!$G$10="ежемесячное (в конце месяца)",EOMONTH(F94,0)=F94),SUM($H$23:H94)-SUM($I$23:I93),IF(AND('депозитный калькулятор'!$G$10="ежемесячное (по дням открытия вклада)",F94='депозитный калькулятор'!$D$8,DAY('депозитный калькулятор'!$D$7)&lt;&gt;DAY(F94)),IF('депозитный калькулятор'!$F$1=1,$H$24,SUM($H$23:H94)-SUM($I$23:I93)),IF(AND('депозитный калькулятор'!$G$10="ежемесячное (по дням открытия вклада)",DAY('депозитный калькулятор'!$D$7)=DAY(F94)),SUM($H$23:H94)-SUM($I$23:I93),IF(AND('депозитный калькулятор'!$G$10="ежемесячное, на минимальную сумму зафиксированную в течение месяца",F94='депозитный калькулятор'!$D$8,EOMONTH(F94,0)&lt;&gt;F94),IF('депозитный калькулятор'!$F$1=1,$H$24,IF(AND(OR('депозитный калькулятор'!$G$7="30/365",'депозитный калькулятор'!$G$7="30/360"),DAY(F94)=31),0,MIN(OFFSET(H94,-E94+1,0):H94)*(E94+SUMIF(OFFSET(A94,-E94+1,0):A94,"=2",OFFSET(A94,-E94+1,0):A94)))),IF(AND('депозитный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калькулятор'!$G$7="30/360"),DAY(EOMONTH(F94,0))=31),EOMONTH(F94,0)-1=F94,EOMONTH(F94,0)=F94)),IF(IF(AND(OR('депозитный калькулятор'!$G$7="30/365",'депозитный калькулятор'!$G$7="30/360"),DAY(EOMONTH($F$23,0))=31),F94=EOMONTH($F$23,0)-1,F94=EOMONTH($F$23,0)),MIN(OFFSET(H94,-(DAY(F94)-DAY($F$23)),0):H94)*E94,MIN(OFFSET(H94,-(DAY(F94)-1),0):H94)*IF(AND(OR('депозитный калькулятор'!$G$7="30/365",'депозитный калькулятор'!$G$7="30/360"),DAY(F94)&lt;30),30,DAY(F94))),IF(AND('депозитный калькулятор'!$G$10="ежемесячное, на средний остаток в течение месяца, при условии что остаток больше чем ограничение",F94='депозитный калькулятор'!$D$8,EOMONTH(F94,0)&lt;&gt;F94),IF('депозитный калькулятор'!$F$1=1,$H$24,SUM(OFFSET(Q94,-E94+1,0):Q94)),IF(AND('депозитный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калькулятор'!$G$7="30/360"),DAY(EOMONTH(F94,0))=31),EOMONTH(F94,0)-1=F94,EOMONTH(F94,0)=F94)),IF(IF(AND(OR('депозитный калькулятор'!$G$7="30/365",'депозитный калькулятор'!$G$7="30/360"),DAY(EOMONTH($F$24,0))=31),F94=EOMONTH($F$24,0)-1,F94=EOMONTH($F$24,0)),SUM(OFFSET(Q94,-E94+1,0):Q94),SUM(OFFSET(Q94,-E94+1,0):Q94)),IF('депозитный калькулятор'!$G$10="ежеквартальное",IF(F94&gt;'депозитный калькулятор'!$D$8," ",IF(AND(EOMONTH(F94,0)=F94,OR(MONTH(F94)=3,MONTH(F94)=6,MONTH(F94)=9,MONTH(F94)=12)),IF(EDATE(F94,-3)&lt;'депозитный калькулятор'!$D$7,SUM($H$23:H94),IF(MOD(YEAR(F94),4)=0,IF(AND(EOMONTH(F94,0)=F94,OR(MONTH(F94)=3,MONTH(F94)=6)),SUM(OFFSET(H94,-90,0):H94),IF(AND(EOMONTH(F94,0)=F94,OR(MONTH(F94)=9,MONTH(F94)=12)),SUM(OFFSET(H94,-91,0):H94))),IF(AND(EOMONTH(F94,0)=F94,MONTH(F94)=3),SUM(OFFSET(H94,-89,0):H94),IF(AND(EOMONTH(F94,0)=F94,MONTH(F94)=6),SUM(OFFSET(H94,-90,0):H94),IF(AND(EOMONTH(F94,0)=F94,OR(MONTH(F94)=9,MONTH(F94)=12)),SUM(OFFSET(H94,-91,0):H94)))))),IF(F94='депозитный калькулятор'!$D$8,SUM($H$23:H94)-SUM($I$23:I93),0))),IF('депозитный калькулятор'!$G$10="ежегодное",IF(F94&gt;'депозитный калькулятор'!$D$8," ",IF(F94='депозитный калькулятор'!$D$8,SUM($H$23:H94)-SUM($I$23:I93),IF(AND(EOMONTH(F94,0)=F94,MONTH(F94)=12),IF(MOD(YEAR(F93),4)=0,IF(F94-'депозитный калькулятор'!$D$7&lt;366,SUM($H$23:H94),SUM(OFFSET(H94,-365,0):H94)),IF(F94-'депозитный калькулятор'!$D$7&lt;365,SUM($H$23:H94),SUM(OFFSET(H94,-364,0):H94))),0))),IF(AND('депозитный калькулятор'!$G$10="в конце срока",'депозитный калькулятор'!$D$8=F94),SUM($H$23:H94),0))))))))))))))))))</f>
        <v xml:space="preserve"> </v>
      </c>
      <c r="J94" s="59" t="str">
        <f>IF(F94&gt;'депозитный калькулятор'!$D$8," ",IF('депозитный калькулятор'!$G$16="нет",0,IF(AND('депозитный калькулятор'!$G$17="разовая (в конце срока)",F94='депозитный калькулятор'!$D$8),'депозитный калькулятор'!$G$18,IF(AND('депозитный калькулятор'!$G$17="ежемесячная",EOMONTH(F93,0)=F93),'депозитный калькулятор'!$G$18,IF(AND('депозитный калькулятор'!$G$17="ежегодная",DAY(F93)=31,MONTH(F93)=12),'депозитный калькулятор'!$G$18,IF(AND('депозитный калькулятор'!$G$17="ежемесячная в зависимости от остатка",EOMONTH(F93,0)=F93,P93&gt;0),'депозитный калькулятор'!$G$18,IF(AND('депозитный калькулятор'!$G$17="ежегодная в зависимости от остатка",DAY(F93)=31,MONTH(F93)=12,P93&gt;0),'депозитный калькулятор'!$G$18,0)))))))</f>
        <v xml:space="preserve"> </v>
      </c>
      <c r="K94" s="135" t="str">
        <f>IF($F94=" "," ",IFERROR(VLOOKUP($F94,'депозитный калькулятор'!$B$26:$F$70,2,0),0))</f>
        <v xml:space="preserve"> </v>
      </c>
      <c r="L94" s="135" t="str">
        <f>IF($F94=" "," ",IFERROR(VLOOKUP($F94,'депозитный калькулятор'!$B$26:$F$70,3,0),0))</f>
        <v xml:space="preserve"> </v>
      </c>
      <c r="M94" s="135" t="str">
        <f>IF($F94=" "," ",IFERROR(VLOOKUP($F94,'депозитный калькулятор'!$B$26:$F$70,4,0),0))</f>
        <v xml:space="preserve"> </v>
      </c>
      <c r="N94" s="135" t="str">
        <f>IF($F94=" "," ",IFERROR(VLOOKUP($F94,'депозитный калькулятор'!$B$26:$F$70,5,0),0))</f>
        <v xml:space="preserve"> </v>
      </c>
      <c r="O94" s="146" t="str">
        <f>IF(F94&gt;'депозитный калькулятор'!$D$8," ",IF(F94='депозитный калькулятор'!$D$8,IF(AND($F$24='депозитный калькулятор'!$D$8,'депозитный калькулятор'!$G$13="нет"),-G94-IF(I94=" ",0,I94)-IF(AND(OR('депозитный калькулятор'!$G$7="30/365",'депозитный калькулятор'!$G$7="30/360"),'депозитный калькулятор'!$G$10="в начале срока"),I93,0)-L94+M94-N94,-G94-IF(I94=" ",0,I94)-L94+M94-N94),IF('депозитный калькулятор'!$G$13="есть",M94-N94+IF('депозитный калькулятор'!$G$14="есть",0,-L94),-IF(I94=" ",0,I94)-IF(AND(OR('депозитный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срока"),I93,0)+M94-N94+IF('депозитный калькулятор'!$G$14="есть",0,-L94))))</f>
        <v xml:space="preserve"> </v>
      </c>
      <c r="P94" s="147" t="str">
        <f>IF(F94&gt;'депозитный калькулятор'!$D$8," ",IF(EOMONTH(F93,0)=F93,0,IF(G94&gt;='депозитный калькулятор'!$G$19,P93,P93+1)))</f>
        <v xml:space="preserve"> </v>
      </c>
      <c r="Q94" s="138" t="str">
        <f>IF(F94=" "," ",IF(AND(OR('депозитный калькулятор'!$G$7="30/365",'депозитный калькулятор'!$G$7="30/360"),AND(MONTH(F94)=2,EOMONTH(F94,0)=F94)),IF(DAY(F94)=28,3,2),1)*IF(G94&gt;='депозитный калькулятор'!$G$11,IF(AND('депозитный калькулятор'!$G$7="факт/факт",MOD(YEAR(F94),4)=0),G94*'депозитный калькулятор'!$D$11/366,G94*'депозитный калькулятор'!$G$8),0))</f>
        <v xml:space="preserve"> </v>
      </c>
      <c r="R94" s="148"/>
      <c r="S94" s="62" t="str">
        <f t="shared" ca="1" si="7"/>
        <v xml:space="preserve"> </v>
      </c>
      <c r="T94" s="149" t="str">
        <f ca="1">IF(S94=" "," ",IF('депозитный калькулятор'!$G$7="30/360",DAYS360(U93,IF(DAY(U94)=31,U94-1,U94))+IF(AND(MONTH(U94)=2,U94=EOMONTH(U94,0)),30-DAY(EOMONTH(U94,0)))+T93,VLOOKUP(S94,$C$22:$F$1023,2,0)))</f>
        <v xml:space="preserve"> </v>
      </c>
      <c r="U94" s="64" t="str">
        <f t="shared" ca="1" si="5"/>
        <v xml:space="preserve"> </v>
      </c>
      <c r="V94" s="150" t="str">
        <f t="shared" ca="1" si="8"/>
        <v xml:space="preserve"> </v>
      </c>
      <c r="W94" s="62" t="str">
        <f t="shared" ca="1" si="9"/>
        <v xml:space="preserve"> </v>
      </c>
      <c r="X94" s="141" t="str">
        <f ca="1">IF(S94=" "," ",IFERROR(VLOOKUP(U94,$F$23:$N$1023,7)+VLOOKUP(U94,$F$23:$N$1023,9)+IF(AND('депозитный калькулятор'!$G$13="нет",U94&lt;&gt;'депозитный калькулятор'!$D$8),VLOOKUP(U94,$F$23:$N$1023,4),0),0)+IF(U94='депозитный калькулятор'!$D$8,VLOOKUP(U94,$F$23:$N$1023,2)+VLOOKUP(U94,$F$23:$N$1023,4),0))</f>
        <v xml:space="preserve"> </v>
      </c>
      <c r="Y94" s="142" t="str">
        <f ca="1">IF(S94=" "," ",W94/(1+'депозитный калькулятор'!$K$8)^(T94/IF('депозитный калькулятор'!$G$7="30/360",360,365)))</f>
        <v xml:space="preserve"> </v>
      </c>
      <c r="Z94" s="142" t="str">
        <f ca="1">IF(S94=" "," ",X94/(1+'депозитный калькулятор'!$K$8)^(T94/IF('депозитный калькулятор'!$G$7="30/360",360,365)))</f>
        <v xml:space="preserve"> </v>
      </c>
      <c r="AA94" s="151"/>
      <c r="AB94" s="151"/>
      <c r="AC94" s="155"/>
      <c r="AD94" s="155"/>
      <c r="AF94" s="5"/>
    </row>
    <row r="95" spans="1:32" s="2" customFormat="1" ht="15.5" x14ac:dyDescent="0.35">
      <c r="A95" s="41" t="str">
        <f>IF(F95=" "," ",IF(OR('депозитный калькулятор'!$G$7="30/365",'депозитный калькулятор'!$G$7="30/360"),IF(AND(MONTH(F95)=2,DAY(F95)=DAY(EOMONTH(F95,0))),30-DAY(EOMONTH(F95,0)),IF(DAY(F95)=31,1," "))," "))</f>
        <v xml:space="preserve"> </v>
      </c>
      <c r="B95" s="130" t="str">
        <f t="shared" si="6"/>
        <v xml:space="preserve"> </v>
      </c>
      <c r="C95" s="130" t="str">
        <f>IF(OR(B95=0,B95=" ")," ",SUM($B$23:B95))</f>
        <v xml:space="preserve"> </v>
      </c>
      <c r="D95" s="62" t="str">
        <f>IF(D94=" "," ",IF(OR(F94='депозитный калькулятор'!$D$8,F94=" ")," ",D94+1))</f>
        <v xml:space="preserve"> </v>
      </c>
      <c r="E95" s="130" t="str">
        <f>IF(OR(F94='депозитный калькулятор'!$D$8,F94=" ")," ",IF(EOMONTH(F94,0)=F94,1,E94+1))</f>
        <v xml:space="preserve"> </v>
      </c>
      <c r="F95" s="64" t="str">
        <f>IF(F94=" "," ",IF(F94='депозитный калькулятор'!$D$8," ",F94+1))</f>
        <v xml:space="preserve"> </v>
      </c>
      <c r="G95" s="145" t="str">
        <f xml:space="preserve"> IF(F95&gt;'депозитный калькулятор'!$D$8," ",IF('депозитный калькулятор'!$G$13="есть",IF('депозитный калькулятор'!$G$14="есть",G94+IF(I94=" ",0,I94)-J95-K95+L95+M95-N95,G94+IF(I94=" ",0,I94)-J95-K95+M95-N95),IF('депозитный калькулятор'!$G$14="есть",G94-J95-K95+L95+M95-N95,G94-J95-K95+M95-N95)))</f>
        <v xml:space="preserve"> </v>
      </c>
      <c r="H95" s="133" t="str">
        <f>IF(F95&gt;'депозитный калькулятор'!$D$8," ",IF(AND(OR('депозитный калькулятор'!$G$7="30/365",'депозитный калькулятор'!$G$7="30/360"),AND(MONTH(F95)=2,EOMONTH(F95,0)=F95)),IF(DAY(F95)=28,3*G95*'депозитный калькулятор'!$G$8,2*G95*'депозитный калькулятор'!$G$8),IF(AND(OR('депозитный калькулятор'!$G$7="30/365",'депозитный калькулятор'!$G$7="30/360"),DAY(F95)=31)," ",IF(AND('депозитный калькулятор'!$G$7="факт/факт",MOD(YEAR(F95),4)=0),G95*'депозитный калькулятор'!$D$11/366,G95*'депозитный калькулятор'!$G$8))))</f>
        <v xml:space="preserve"> </v>
      </c>
      <c r="I95" s="134" t="str">
        <f ca="1">IF(F95=" "," ",IF('депозитный калькулятор'!$G$10="ежедневное",H95,IF(AND('депозитный калькулятор'!$G$10="еженедельное",WEEKDAY(F95,2)=7),SUM(OFFSET(H95,-6,0):H95),IF(AND('депозитный калькулятор'!$G$10="еженедельное",F95='депозитный калькулятор'!$D$8),SUM($H$23:H95)-SUM($I$23:I94),IF(AND('депозитный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недели",WEEKDAY(F95,2)=7),MIN(OFFSET(H95,-6,0):H95)*(COUNTIF(OFFSET(H95,-6,0):H95,"&gt;0")+SUMIF(OFFSET(A95,-WEEKDAY(F95,2),0):A95,"=2",OFFSET(A95,-WEEKDAY(F95,2),0):A95)),IF(AND('депозитный калькулятор'!$G$10="еженедельное, на минимальную сумму зафиксированную в течение недели",F95='депозитный калькулятор'!$D$8,WEEKDAY(F95,2)&lt;&gt;7),MIN(OFFSET(H95,-WEEKDAY(F95,2),0):H95)*(COUNTIF(OFFSET(H95,-WEEKDAY(F95,2)+1,0):H95,"&gt;0")+SUM(OFFSET(A95,-WEEKDAY(F95,2),0):A95)),IF(AND('депозитный калькулятор'!$G$10="ежемесячное (в конце месяца)",F95='депозитный калькулятор'!$D$8,EOMONTH(F95,0)&lt;&gt;F95),IF('депозитный калькулятор'!$F$1=1,$H$24,SUM($H$23:H95)-SUM($I$23:I94)),IF(AND('депозитный калькулятор'!$G$10="ежемесячное (в конце месяца)",EOMONTH(F95,0)=F95),SUM($H$23:H95)-SUM($I$23:I94),IF(AND('депозитный калькулятор'!$G$10="ежемесячное (по дням открытия вклада)",F95='депозитный калькулятор'!$D$8,DAY('депозитный калькулятор'!$D$7)&lt;&gt;DAY(F95)),IF('депозитный калькулятор'!$F$1=1,$H$24,SUM($H$23:H95)-SUM($I$23:I94)),IF(AND('депозитный калькулятор'!$G$10="ежемесячное (по дням открытия вклада)",DAY('депозитный калькулятор'!$D$7)=DAY(F95)),SUM($H$23:H95)-SUM($I$23:I94),IF(AND('депозитный калькулятор'!$G$10="ежемесячное, на минимальную сумму зафиксированную в течение месяца",F95='депозитный калькулятор'!$D$8,EOMONTH(F95,0)&lt;&gt;F95),IF('депозитный калькулятор'!$F$1=1,$H$24,IF(AND(OR('депозитный калькулятор'!$G$7="30/365",'депозитный калькулятор'!$G$7="30/360"),DAY(F95)=31),0,MIN(OFFSET(H95,-E95+1,0):H95)*(E95+SUMIF(OFFSET(A95,-E95+1,0):A95,"=2",OFFSET(A95,-E95+1,0):A95)))),IF(AND('депозитный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калькулятор'!$G$7="30/360"),DAY(EOMONTH(F95,0))=31),EOMONTH(F95,0)-1=F95,EOMONTH(F95,0)=F95)),IF(IF(AND(OR('депозитный калькулятор'!$G$7="30/365",'депозитный калькулятор'!$G$7="30/360"),DAY(EOMONTH($F$23,0))=31),F95=EOMONTH($F$23,0)-1,F95=EOMONTH($F$23,0)),MIN(OFFSET(H95,-(DAY(F95)-DAY($F$23)),0):H95)*E95,MIN(OFFSET(H95,-(DAY(F95)-1),0):H95)*IF(AND(OR('депозитный калькулятор'!$G$7="30/365",'депозитный калькулятор'!$G$7="30/360"),DAY(F95)&lt;30),30,DAY(F95))),IF(AND('депозитный калькулятор'!$G$10="ежемесячное, на средний остаток в течение месяца, при условии что остаток больше чем ограничение",F95='депозитный калькулятор'!$D$8,EOMONTH(F95,0)&lt;&gt;F95),IF('депозитный калькулятор'!$F$1=1,$H$24,SUM(OFFSET(Q95,-E95+1,0):Q95)),IF(AND('депозитный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калькулятор'!$G$7="30/360"),DAY(EOMONTH(F95,0))=31),EOMONTH(F95,0)-1=F95,EOMONTH(F95,0)=F95)),IF(IF(AND(OR('депозитный калькулятор'!$G$7="30/365",'депозитный калькулятор'!$G$7="30/360"),DAY(EOMONTH($F$24,0))=31),F95=EOMONTH($F$24,0)-1,F95=EOMONTH($F$24,0)),SUM(OFFSET(Q95,-E95+1,0):Q95),SUM(OFFSET(Q95,-E95+1,0):Q95)),IF('депозитный калькулятор'!$G$10="ежеквартальное",IF(F95&gt;'депозитный калькулятор'!$D$8," ",IF(AND(EOMONTH(F95,0)=F95,OR(MONTH(F95)=3,MONTH(F95)=6,MONTH(F95)=9,MONTH(F95)=12)),IF(EDATE(F95,-3)&lt;'депозитный калькулятор'!$D$7,SUM($H$23:H95),IF(MOD(YEAR(F95),4)=0,IF(AND(EOMONTH(F95,0)=F95,OR(MONTH(F95)=3,MONTH(F95)=6)),SUM(OFFSET(H95,-90,0):H95),IF(AND(EOMONTH(F95,0)=F95,OR(MONTH(F95)=9,MONTH(F95)=12)),SUM(OFFSET(H95,-91,0):H95))),IF(AND(EOMONTH(F95,0)=F95,MONTH(F95)=3),SUM(OFFSET(H95,-89,0):H95),IF(AND(EOMONTH(F95,0)=F95,MONTH(F95)=6),SUM(OFFSET(H95,-90,0):H95),IF(AND(EOMONTH(F95,0)=F95,OR(MONTH(F95)=9,MONTH(F95)=12)),SUM(OFFSET(H95,-91,0):H95)))))),IF(F95='депозитный калькулятор'!$D$8,SUM($H$23:H95)-SUM($I$23:I94),0))),IF('депозитный калькулятор'!$G$10="ежегодное",IF(F95&gt;'депозитный калькулятор'!$D$8," ",IF(F95='депозитный калькулятор'!$D$8,SUM($H$23:H95)-SUM($I$23:I94),IF(AND(EOMONTH(F95,0)=F95,MONTH(F95)=12),IF(MOD(YEAR(F94),4)=0,IF(F95-'депозитный калькулятор'!$D$7&lt;366,SUM($H$23:H95),SUM(OFFSET(H95,-365,0):H95)),IF(F95-'депозитный калькулятор'!$D$7&lt;365,SUM($H$23:H95),SUM(OFFSET(H95,-364,0):H95))),0))),IF(AND('депозитный калькулятор'!$G$10="в конце срока",'депозитный калькулятор'!$D$8=F95),SUM($H$23:H95),0))))))))))))))))))</f>
        <v xml:space="preserve"> </v>
      </c>
      <c r="J95" s="59" t="str">
        <f>IF(F95&gt;'депозитный калькулятор'!$D$8," ",IF('депозитный калькулятор'!$G$16="нет",0,IF(AND('депозитный калькулятор'!$G$17="разовая (в конце срока)",F95='депозитный калькулятор'!$D$8),'депозитный калькулятор'!$G$18,IF(AND('депозитный калькулятор'!$G$17="ежемесячная",EOMONTH(F94,0)=F94),'депозитный калькулятор'!$G$18,IF(AND('депозитный калькулятор'!$G$17="ежегодная",DAY(F94)=31,MONTH(F94)=12),'депозитный калькулятор'!$G$18,IF(AND('депозитный калькулятор'!$G$17="ежемесячная в зависимости от остатка",EOMONTH(F94,0)=F94,P94&gt;0),'депозитный калькулятор'!$G$18,IF(AND('депозитный калькулятор'!$G$17="ежегодная в зависимости от остатка",DAY(F94)=31,MONTH(F94)=12,P94&gt;0),'депозитный калькулятор'!$G$18,0)))))))</f>
        <v xml:space="preserve"> </v>
      </c>
      <c r="K95" s="135" t="str">
        <f>IF($F95=" "," ",IFERROR(VLOOKUP($F95,'депозитный калькулятор'!$B$26:$F$70,2,0),0))</f>
        <v xml:space="preserve"> </v>
      </c>
      <c r="L95" s="135" t="str">
        <f>IF($F95=" "," ",IFERROR(VLOOKUP($F95,'депозитный калькулятор'!$B$26:$F$70,3,0),0))</f>
        <v xml:space="preserve"> </v>
      </c>
      <c r="M95" s="135" t="str">
        <f>IF($F95=" "," ",IFERROR(VLOOKUP($F95,'депозитный калькулятор'!$B$26:$F$70,4,0),0))</f>
        <v xml:space="preserve"> </v>
      </c>
      <c r="N95" s="135" t="str">
        <f>IF($F95=" "," ",IFERROR(VLOOKUP($F95,'депозитный калькулятор'!$B$26:$F$70,5,0),0))</f>
        <v xml:space="preserve"> </v>
      </c>
      <c r="O95" s="146" t="str">
        <f>IF(F95&gt;'депозитный калькулятор'!$D$8," ",IF(F95='депозитный калькулятор'!$D$8,IF(AND($F$24='депозитный калькулятор'!$D$8,'депозитный калькулятор'!$G$13="нет"),-G95-IF(I95=" ",0,I95)-IF(AND(OR('депозитный калькулятор'!$G$7="30/365",'депозитный калькулятор'!$G$7="30/360"),'депозитный калькулятор'!$G$10="в начале срока"),I94,0)-L95+M95-N95,-G95-IF(I95=" ",0,I95)-L95+M95-N95),IF('депозитный калькулятор'!$G$13="есть",M95-N95+IF('депозитный калькулятор'!$G$14="есть",0,-L95),-IF(I95=" ",0,I95)-IF(AND(OR('депозитный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срока"),I94,0)+M95-N95+IF('депозитный калькулятор'!$G$14="есть",0,-L95))))</f>
        <v xml:space="preserve"> </v>
      </c>
      <c r="P95" s="147" t="str">
        <f>IF(F95&gt;'депозитный калькулятор'!$D$8," ",IF(EOMONTH(F94,0)=F94,0,IF(G95&gt;='депозитный калькулятор'!$G$19,P94,P94+1)))</f>
        <v xml:space="preserve"> </v>
      </c>
      <c r="Q95" s="138" t="str">
        <f>IF(F95=" "," ",IF(AND(OR('депозитный калькулятор'!$G$7="30/365",'депозитный калькулятор'!$G$7="30/360"),AND(MONTH(F95)=2,EOMONTH(F95,0)=F95)),IF(DAY(F95)=28,3,2),1)*IF(G95&gt;='депозитный калькулятор'!$G$11,IF(AND('депозитный калькулятор'!$G$7="факт/факт",MOD(YEAR(F95),4)=0),G95*'депозитный калькулятор'!$D$11/366,G95*'депозитный калькулятор'!$G$8),0))</f>
        <v xml:space="preserve"> </v>
      </c>
      <c r="R95" s="148"/>
      <c r="S95" s="62" t="str">
        <f t="shared" ca="1" si="7"/>
        <v xml:space="preserve"> </v>
      </c>
      <c r="T95" s="149" t="str">
        <f ca="1">IF(S95=" "," ",IF('депозитный калькулятор'!$G$7="30/360",DAYS360(U94,IF(DAY(U95)=31,U95-1,U95))+IF(AND(MONTH(U95)=2,U95=EOMONTH(U95,0)),30-DAY(EOMONTH(U95,0)))+T94,VLOOKUP(S95,$C$22:$F$1023,2,0)))</f>
        <v xml:space="preserve"> </v>
      </c>
      <c r="U95" s="64" t="str">
        <f t="shared" ca="1" si="5"/>
        <v xml:space="preserve"> </v>
      </c>
      <c r="V95" s="150" t="str">
        <f t="shared" ca="1" si="8"/>
        <v xml:space="preserve"> </v>
      </c>
      <c r="W95" s="62" t="str">
        <f t="shared" ca="1" si="9"/>
        <v xml:space="preserve"> </v>
      </c>
      <c r="X95" s="141" t="str">
        <f ca="1">IF(S95=" "," ",IFERROR(VLOOKUP(U95,$F$23:$N$1023,7)+VLOOKUP(U95,$F$23:$N$1023,9)+IF(AND('депозитный калькулятор'!$G$13="нет",U95&lt;&gt;'депозитный калькулятор'!$D$8),VLOOKUP(U95,$F$23:$N$1023,4),0),0)+IF(U95='депозитный калькулятор'!$D$8,VLOOKUP(U95,$F$23:$N$1023,2)+VLOOKUP(U95,$F$23:$N$1023,4),0))</f>
        <v xml:space="preserve"> </v>
      </c>
      <c r="Y95" s="142" t="str">
        <f ca="1">IF(S95=" "," ",W95/(1+'депозитный калькулятор'!$K$8)^(T95/IF('депозитный калькулятор'!$G$7="30/360",360,365)))</f>
        <v xml:space="preserve"> </v>
      </c>
      <c r="Z95" s="142" t="str">
        <f ca="1">IF(S95=" "," ",X95/(1+'депозитный калькулятор'!$K$8)^(T95/IF('депозитный калькулятор'!$G$7="30/360",360,365)))</f>
        <v xml:space="preserve"> </v>
      </c>
      <c r="AA95" s="151"/>
      <c r="AB95" s="151"/>
      <c r="AC95" s="155"/>
      <c r="AD95" s="155"/>
      <c r="AF95" s="5"/>
    </row>
    <row r="96" spans="1:32" s="2" customFormat="1" ht="15.5" x14ac:dyDescent="0.35">
      <c r="A96" s="41" t="str">
        <f>IF(F96=" "," ",IF(OR('депозитный калькулятор'!$G$7="30/365",'депозитный калькулятор'!$G$7="30/360"),IF(AND(MONTH(F96)=2,DAY(F96)=DAY(EOMONTH(F96,0))),30-DAY(EOMONTH(F96,0)),IF(DAY(F96)=31,1," "))," "))</f>
        <v xml:space="preserve"> </v>
      </c>
      <c r="B96" s="130" t="str">
        <f t="shared" si="6"/>
        <v xml:space="preserve"> </v>
      </c>
      <c r="C96" s="130" t="str">
        <f>IF(OR(B96=0,B96=" ")," ",SUM($B$23:B96))</f>
        <v xml:space="preserve"> </v>
      </c>
      <c r="D96" s="62" t="str">
        <f>IF(D95=" "," ",IF(OR(F95='депозитный калькулятор'!$D$8,F95=" ")," ",D95+1))</f>
        <v xml:space="preserve"> </v>
      </c>
      <c r="E96" s="130" t="str">
        <f>IF(OR(F95='депозитный калькулятор'!$D$8,F95=" ")," ",IF(EOMONTH(F95,0)=F95,1,E95+1))</f>
        <v xml:space="preserve"> </v>
      </c>
      <c r="F96" s="64" t="str">
        <f>IF(F95=" "," ",IF(F95='депозитный калькулятор'!$D$8," ",F95+1))</f>
        <v xml:space="preserve"> </v>
      </c>
      <c r="G96" s="145" t="str">
        <f xml:space="preserve"> IF(F96&gt;'депозитный калькулятор'!$D$8," ",IF('депозитный калькулятор'!$G$13="есть",IF('депозитный калькулятор'!$G$14="есть",G95+IF(I95=" ",0,I95)-J96-K96+L96+M96-N96,G95+IF(I95=" ",0,I95)-J96-K96+M96-N96),IF('депозитный калькулятор'!$G$14="есть",G95-J96-K96+L96+M96-N96,G95-J96-K96+M96-N96)))</f>
        <v xml:space="preserve"> </v>
      </c>
      <c r="H96" s="133" t="str">
        <f>IF(F96&gt;'депозитный калькулятор'!$D$8," ",IF(AND(OR('депозитный калькулятор'!$G$7="30/365",'депозитный калькулятор'!$G$7="30/360"),AND(MONTH(F96)=2,EOMONTH(F96,0)=F96)),IF(DAY(F96)=28,3*G96*'депозитный калькулятор'!$G$8,2*G96*'депозитный калькулятор'!$G$8),IF(AND(OR('депозитный калькулятор'!$G$7="30/365",'депозитный калькулятор'!$G$7="30/360"),DAY(F96)=31)," ",IF(AND('депозитный калькулятор'!$G$7="факт/факт",MOD(YEAR(F96),4)=0),G96*'депозитный калькулятор'!$D$11/366,G96*'депозитный калькулятор'!$G$8))))</f>
        <v xml:space="preserve"> </v>
      </c>
      <c r="I96" s="134" t="str">
        <f ca="1">IF(F96=" "," ",IF('депозитный калькулятор'!$G$10="ежедневное",H96,IF(AND('депозитный калькулятор'!$G$10="еженедельное",WEEKDAY(F96,2)=7),SUM(OFFSET(H96,-6,0):H96),IF(AND('депозитный калькулятор'!$G$10="еженедельное",F96='депозитный калькулятор'!$D$8),SUM($H$23:H96)-SUM($I$23:I95),IF(AND('депозитный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недели",WEEKDAY(F96,2)=7),MIN(OFFSET(H96,-6,0):H96)*(COUNTIF(OFFSET(H96,-6,0):H96,"&gt;0")+SUMIF(OFFSET(A96,-WEEKDAY(F96,2),0):A96,"=2",OFFSET(A96,-WEEKDAY(F96,2),0):A96)),IF(AND('депозитный калькулятор'!$G$10="еженедельное, на минимальную сумму зафиксированную в течение недели",F96='депозитный калькулятор'!$D$8,WEEKDAY(F96,2)&lt;&gt;7),MIN(OFFSET(H96,-WEEKDAY(F96,2),0):H96)*(COUNTIF(OFFSET(H96,-WEEKDAY(F96,2)+1,0):H96,"&gt;0")+SUM(OFFSET(A96,-WEEKDAY(F96,2),0):A96)),IF(AND('депозитный калькулятор'!$G$10="ежемесячное (в конце месяца)",F96='депозитный калькулятор'!$D$8,EOMONTH(F96,0)&lt;&gt;F96),IF('депозитный калькулятор'!$F$1=1,$H$24,SUM($H$23:H96)-SUM($I$23:I95)),IF(AND('депозитный калькулятор'!$G$10="ежемесячное (в конце месяца)",EOMONTH(F96,0)=F96),SUM($H$23:H96)-SUM($I$23:I95),IF(AND('депозитный калькулятор'!$G$10="ежемесячное (по дням открытия вклада)",F96='депозитный калькулятор'!$D$8,DAY('депозитный калькулятор'!$D$7)&lt;&gt;DAY(F96)),IF('депозитный калькулятор'!$F$1=1,$H$24,SUM($H$23:H96)-SUM($I$23:I95)),IF(AND('депозитный калькулятор'!$G$10="ежемесячное (по дням открытия вклада)",DAY('депозитный калькулятор'!$D$7)=DAY(F96)),SUM($H$23:H96)-SUM($I$23:I95),IF(AND('депозитный калькулятор'!$G$10="ежемесячное, на минимальную сумму зафиксированную в течение месяца",F96='депозитный калькулятор'!$D$8,EOMONTH(F96,0)&lt;&gt;F96),IF('депозитный калькулятор'!$F$1=1,$H$24,IF(AND(OR('депозитный калькулятор'!$G$7="30/365",'депозитный калькулятор'!$G$7="30/360"),DAY(F96)=31),0,MIN(OFFSET(H96,-E96+1,0):H96)*(E96+SUMIF(OFFSET(A96,-E96+1,0):A96,"=2",OFFSET(A96,-E96+1,0):A96)))),IF(AND('депозитный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калькулятор'!$G$7="30/360"),DAY(EOMONTH(F96,0))=31),EOMONTH(F96,0)-1=F96,EOMONTH(F96,0)=F96)),IF(IF(AND(OR('депозитный калькулятор'!$G$7="30/365",'депозитный калькулятор'!$G$7="30/360"),DAY(EOMONTH($F$23,0))=31),F96=EOMONTH($F$23,0)-1,F96=EOMONTH($F$23,0)),MIN(OFFSET(H96,-(DAY(F96)-DAY($F$23)),0):H96)*E96,MIN(OFFSET(H96,-(DAY(F96)-1),0):H96)*IF(AND(OR('депозитный калькулятор'!$G$7="30/365",'депозитный калькулятор'!$G$7="30/360"),DAY(F96)&lt;30),30,DAY(F96))),IF(AND('депозитный калькулятор'!$G$10="ежемесячное, на средний остаток в течение месяца, при условии что остаток больше чем ограничение",F96='депозитный калькулятор'!$D$8,EOMONTH(F96,0)&lt;&gt;F96),IF('депозитный калькулятор'!$F$1=1,$H$24,SUM(OFFSET(Q96,-E96+1,0):Q96)),IF(AND('депозитный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калькулятор'!$G$7="30/360"),DAY(EOMONTH(F96,0))=31),EOMONTH(F96,0)-1=F96,EOMONTH(F96,0)=F96)),IF(IF(AND(OR('депозитный калькулятор'!$G$7="30/365",'депозитный калькулятор'!$G$7="30/360"),DAY(EOMONTH($F$24,0))=31),F96=EOMONTH($F$24,0)-1,F96=EOMONTH($F$24,0)),SUM(OFFSET(Q96,-E96+1,0):Q96),SUM(OFFSET(Q96,-E96+1,0):Q96)),IF('депозитный калькулятор'!$G$10="ежеквартальное",IF(F96&gt;'депозитный калькулятор'!$D$8," ",IF(AND(EOMONTH(F96,0)=F96,OR(MONTH(F96)=3,MONTH(F96)=6,MONTH(F96)=9,MONTH(F96)=12)),IF(EDATE(F96,-3)&lt;'депозитный калькулятор'!$D$7,SUM($H$23:H96),IF(MOD(YEAR(F96),4)=0,IF(AND(EOMONTH(F96,0)=F96,OR(MONTH(F96)=3,MONTH(F96)=6)),SUM(OFFSET(H96,-90,0):H96),IF(AND(EOMONTH(F96,0)=F96,OR(MONTH(F96)=9,MONTH(F96)=12)),SUM(OFFSET(H96,-91,0):H96))),IF(AND(EOMONTH(F96,0)=F96,MONTH(F96)=3),SUM(OFFSET(H96,-89,0):H96),IF(AND(EOMONTH(F96,0)=F96,MONTH(F96)=6),SUM(OFFSET(H96,-90,0):H96),IF(AND(EOMONTH(F96,0)=F96,OR(MONTH(F96)=9,MONTH(F96)=12)),SUM(OFFSET(H96,-91,0):H96)))))),IF(F96='депозитный калькулятор'!$D$8,SUM($H$23:H96)-SUM($I$23:I95),0))),IF('депозитный калькулятор'!$G$10="ежегодное",IF(F96&gt;'депозитный калькулятор'!$D$8," ",IF(F96='депозитный калькулятор'!$D$8,SUM($H$23:H96)-SUM($I$23:I95),IF(AND(EOMONTH(F96,0)=F96,MONTH(F96)=12),IF(MOD(YEAR(F95),4)=0,IF(F96-'депозитный калькулятор'!$D$7&lt;366,SUM($H$23:H96),SUM(OFFSET(H96,-365,0):H96)),IF(F96-'депозитный калькулятор'!$D$7&lt;365,SUM($H$23:H96),SUM(OFFSET(H96,-364,0):H96))),0))),IF(AND('депозитный калькулятор'!$G$10="в конце срока",'депозитный калькулятор'!$D$8=F96),SUM($H$23:H96),0))))))))))))))))))</f>
        <v xml:space="preserve"> </v>
      </c>
      <c r="J96" s="59" t="str">
        <f>IF(F96&gt;'депозитный калькулятор'!$D$8," ",IF('депозитный калькулятор'!$G$16="нет",0,IF(AND('депозитный калькулятор'!$G$17="разовая (в конце срока)",F96='депозитный калькулятор'!$D$8),'депозитный калькулятор'!$G$18,IF(AND('депозитный калькулятор'!$G$17="ежемесячная",EOMONTH(F95,0)=F95),'депозитный калькулятор'!$G$18,IF(AND('депозитный калькулятор'!$G$17="ежегодная",DAY(F95)=31,MONTH(F95)=12),'депозитный калькулятор'!$G$18,IF(AND('депозитный калькулятор'!$G$17="ежемесячная в зависимости от остатка",EOMONTH(F95,0)=F95,P95&gt;0),'депозитный калькулятор'!$G$18,IF(AND('депозитный калькулятор'!$G$17="ежегодная в зависимости от остатка",DAY(F95)=31,MONTH(F95)=12,P95&gt;0),'депозитный калькулятор'!$G$18,0)))))))</f>
        <v xml:space="preserve"> </v>
      </c>
      <c r="K96" s="135" t="str">
        <f>IF($F96=" "," ",IFERROR(VLOOKUP($F96,'депозитный калькулятор'!$B$26:$F$70,2,0),0))</f>
        <v xml:space="preserve"> </v>
      </c>
      <c r="L96" s="135" t="str">
        <f>IF($F96=" "," ",IFERROR(VLOOKUP($F96,'депозитный калькулятор'!$B$26:$F$70,3,0),0))</f>
        <v xml:space="preserve"> </v>
      </c>
      <c r="M96" s="135" t="str">
        <f>IF($F96=" "," ",IFERROR(VLOOKUP($F96,'депозитный калькулятор'!$B$26:$F$70,4,0),0))</f>
        <v xml:space="preserve"> </v>
      </c>
      <c r="N96" s="135" t="str">
        <f>IF($F96=" "," ",IFERROR(VLOOKUP($F96,'депозитный калькулятор'!$B$26:$F$70,5,0),0))</f>
        <v xml:space="preserve"> </v>
      </c>
      <c r="O96" s="146" t="str">
        <f>IF(F96&gt;'депозитный калькулятор'!$D$8," ",IF(F96='депозитный калькулятор'!$D$8,IF(AND($F$24='депозитный калькулятор'!$D$8,'депозитный калькулятор'!$G$13="нет"),-G96-IF(I96=" ",0,I96)-IF(AND(OR('депозитный калькулятор'!$G$7="30/365",'депозитный калькулятор'!$G$7="30/360"),'депозитный калькулятор'!$G$10="в начале срока"),I95,0)-L96+M96-N96,-G96-IF(I96=" ",0,I96)-L96+M96-N96),IF('депозитный калькулятор'!$G$13="есть",M96-N96+IF('депозитный калькулятор'!$G$14="есть",0,-L96),-IF(I96=" ",0,I96)-IF(AND(OR('депозитный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срока"),I95,0)+M96-N96+IF('депозитный калькулятор'!$G$14="есть",0,-L96))))</f>
        <v xml:space="preserve"> </v>
      </c>
      <c r="P96" s="147" t="str">
        <f>IF(F96&gt;'депозитный калькулятор'!$D$8," ",IF(EOMONTH(F95,0)=F95,0,IF(G96&gt;='депозитный калькулятор'!$G$19,P95,P95+1)))</f>
        <v xml:space="preserve"> </v>
      </c>
      <c r="Q96" s="138" t="str">
        <f>IF(F96=" "," ",IF(AND(OR('депозитный калькулятор'!$G$7="30/365",'депозитный калькулятор'!$G$7="30/360"),AND(MONTH(F96)=2,EOMONTH(F96,0)=F96)),IF(DAY(F96)=28,3,2),1)*IF(G96&gt;='депозитный калькулятор'!$G$11,IF(AND('депозитный калькулятор'!$G$7="факт/факт",MOD(YEAR(F96),4)=0),G96*'депозитный калькулятор'!$D$11/366,G96*'депозитный калькулятор'!$G$8),0))</f>
        <v xml:space="preserve"> </v>
      </c>
      <c r="R96" s="148"/>
      <c r="S96" s="62" t="str">
        <f t="shared" ca="1" si="7"/>
        <v xml:space="preserve"> </v>
      </c>
      <c r="T96" s="149" t="str">
        <f ca="1">IF(S96=" "," ",IF('депозитный калькулятор'!$G$7="30/360",DAYS360(U95,IF(DAY(U96)=31,U96-1,U96))+IF(AND(MONTH(U96)=2,U96=EOMONTH(U96,0)),30-DAY(EOMONTH(U96,0)))+T95,VLOOKUP(S96,$C$22:$F$1023,2,0)))</f>
        <v xml:space="preserve"> </v>
      </c>
      <c r="U96" s="64" t="str">
        <f t="shared" ca="1" si="5"/>
        <v xml:space="preserve"> </v>
      </c>
      <c r="V96" s="150" t="str">
        <f t="shared" ca="1" si="8"/>
        <v xml:space="preserve"> </v>
      </c>
      <c r="W96" s="62" t="str">
        <f t="shared" ca="1" si="9"/>
        <v xml:space="preserve"> </v>
      </c>
      <c r="X96" s="141" t="str">
        <f ca="1">IF(S96=" "," ",IFERROR(VLOOKUP(U96,$F$23:$N$1023,7)+VLOOKUP(U96,$F$23:$N$1023,9)+IF(AND('депозитный калькулятор'!$G$13="нет",U96&lt;&gt;'депозитный калькулятор'!$D$8),VLOOKUP(U96,$F$23:$N$1023,4),0),0)+IF(U96='депозитный калькулятор'!$D$8,VLOOKUP(U96,$F$23:$N$1023,2)+VLOOKUP(U96,$F$23:$N$1023,4),0))</f>
        <v xml:space="preserve"> </v>
      </c>
      <c r="Y96" s="142" t="str">
        <f ca="1">IF(S96=" "," ",W96/(1+'депозитный калькулятор'!$K$8)^(T96/IF('депозитный калькулятор'!$G$7="30/360",360,365)))</f>
        <v xml:space="preserve"> </v>
      </c>
      <c r="Z96" s="142" t="str">
        <f ca="1">IF(S96=" "," ",X96/(1+'депозитный калькулятор'!$K$8)^(T96/IF('депозитный калькулятор'!$G$7="30/360",360,365)))</f>
        <v xml:space="preserve"> </v>
      </c>
      <c r="AA96" s="151"/>
      <c r="AB96" s="151"/>
      <c r="AC96" s="155"/>
      <c r="AD96" s="155"/>
      <c r="AF96" s="5"/>
    </row>
    <row r="97" spans="1:30" s="2" customFormat="1" ht="15.5" x14ac:dyDescent="0.35">
      <c r="A97" s="41" t="str">
        <f>IF(F97=" "," ",IF(OR('депозитный калькулятор'!$G$7="30/365",'депозитный калькулятор'!$G$7="30/360"),IF(AND(MONTH(F97)=2,DAY(F97)=DAY(EOMONTH(F97,0))),30-DAY(EOMONTH(F97,0)),IF(DAY(F97)=31,1," "))," "))</f>
        <v xml:space="preserve"> </v>
      </c>
      <c r="B97" s="130" t="str">
        <f t="shared" si="6"/>
        <v xml:space="preserve"> </v>
      </c>
      <c r="C97" s="130" t="str">
        <f>IF(OR(B97=0,B97=" ")," ",SUM($B$23:B97))</f>
        <v xml:space="preserve"> </v>
      </c>
      <c r="D97" s="62" t="str">
        <f>IF(D96=" "," ",IF(OR(F96='депозитный калькулятор'!$D$8,F96=" ")," ",D96+1))</f>
        <v xml:space="preserve"> </v>
      </c>
      <c r="E97" s="130" t="str">
        <f>IF(OR(F96='депозитный калькулятор'!$D$8,F96=" ")," ",IF(EOMONTH(F96,0)=F96,1,E96+1))</f>
        <v xml:space="preserve"> </v>
      </c>
      <c r="F97" s="64" t="str">
        <f>IF(F96=" "," ",IF(F96='депозитный калькулятор'!$D$8," ",F96+1))</f>
        <v xml:space="preserve"> </v>
      </c>
      <c r="G97" s="145" t="str">
        <f xml:space="preserve"> IF(F97&gt;'депозитный калькулятор'!$D$8," ",IF('депозитный калькулятор'!$G$13="есть",IF('депозитный калькулятор'!$G$14="есть",G96+IF(I96=" ",0,I96)-J97-K97+L97+M97-N97,G96+IF(I96=" ",0,I96)-J97-K97+M97-N97),IF('депозитный калькулятор'!$G$14="есть",G96-J97-K97+L97+M97-N97,G96-J97-K97+M97-N97)))</f>
        <v xml:space="preserve"> </v>
      </c>
      <c r="H97" s="133" t="str">
        <f>IF(F97&gt;'депозитный калькулятор'!$D$8," ",IF(AND(OR('депозитный калькулятор'!$G$7="30/365",'депозитный калькулятор'!$G$7="30/360"),AND(MONTH(F97)=2,EOMONTH(F97,0)=F97)),IF(DAY(F97)=28,3*G97*'депозитный калькулятор'!$G$8,2*G97*'депозитный калькулятор'!$G$8),IF(AND(OR('депозитный калькулятор'!$G$7="30/365",'депозитный калькулятор'!$G$7="30/360"),DAY(F97)=31)," ",IF(AND('депозитный калькулятор'!$G$7="факт/факт",MOD(YEAR(F97),4)=0),G97*'депозитный калькулятор'!$D$11/366,G97*'депозитный калькулятор'!$G$8))))</f>
        <v xml:space="preserve"> </v>
      </c>
      <c r="I97" s="134" t="str">
        <f ca="1">IF(F97=" "," ",IF('депозитный калькулятор'!$G$10="ежедневное",H97,IF(AND('депозитный калькулятор'!$G$10="еженедельное",WEEKDAY(F97,2)=7),SUM(OFFSET(H97,-6,0):H97),IF(AND('депозитный калькулятор'!$G$10="еженедельное",F97='депозитный калькулятор'!$D$8),SUM($H$23:H97)-SUM($I$23:I96),IF(AND('депозитный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недели",WEEKDAY(F97,2)=7),MIN(OFFSET(H97,-6,0):H97)*(COUNTIF(OFFSET(H97,-6,0):H97,"&gt;0")+SUMIF(OFFSET(A97,-WEEKDAY(F97,2),0):A97,"=2",OFFSET(A97,-WEEKDAY(F97,2),0):A97)),IF(AND('депозитный калькулятор'!$G$10="еженедельное, на минимальную сумму зафиксированную в течение недели",F97='депозитный калькулятор'!$D$8,WEEKDAY(F97,2)&lt;&gt;7),MIN(OFFSET(H97,-WEEKDAY(F97,2),0):H97)*(COUNTIF(OFFSET(H97,-WEEKDAY(F97,2)+1,0):H97,"&gt;0")+SUM(OFFSET(A97,-WEEKDAY(F97,2),0):A97)),IF(AND('депозитный калькулятор'!$G$10="ежемесячное (в конце месяца)",F97='депозитный калькулятор'!$D$8,EOMONTH(F97,0)&lt;&gt;F97),IF('депозитный калькулятор'!$F$1=1,$H$24,SUM($H$23:H97)-SUM($I$23:I96)),IF(AND('депозитный калькулятор'!$G$10="ежемесячное (в конце месяца)",EOMONTH(F97,0)=F97),SUM($H$23:H97)-SUM($I$23:I96),IF(AND('депозитный калькулятор'!$G$10="ежемесячное (по дням открытия вклада)",F97='депозитный калькулятор'!$D$8,DAY('депозитный калькулятор'!$D$7)&lt;&gt;DAY(F97)),IF('депозитный калькулятор'!$F$1=1,$H$24,SUM($H$23:H97)-SUM($I$23:I96)),IF(AND('депозитный калькулятор'!$G$10="ежемесячное (по дням открытия вклада)",DAY('депозитный калькулятор'!$D$7)=DAY(F97)),SUM($H$23:H97)-SUM($I$23:I96),IF(AND('депозитный калькулятор'!$G$10="ежемесячное, на минимальную сумму зафиксированную в течение месяца",F97='депозитный калькулятор'!$D$8,EOMONTH(F97,0)&lt;&gt;F97),IF('депозитный калькулятор'!$F$1=1,$H$24,IF(AND(OR('депозитный калькулятор'!$G$7="30/365",'депозитный калькулятор'!$G$7="30/360"),DAY(F97)=31),0,MIN(OFFSET(H97,-E97+1,0):H97)*(E97+SUMIF(OFFSET(A97,-E97+1,0):A97,"=2",OFFSET(A97,-E97+1,0):A97)))),IF(AND('депозитный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калькулятор'!$G$7="30/360"),DAY(EOMONTH(F97,0))=31),EOMONTH(F97,0)-1=F97,EOMONTH(F97,0)=F97)),IF(IF(AND(OR('депозитный калькулятор'!$G$7="30/365",'депозитный калькулятор'!$G$7="30/360"),DAY(EOMONTH($F$23,0))=31),F97=EOMONTH($F$23,0)-1,F97=EOMONTH($F$23,0)),MIN(OFFSET(H97,-(DAY(F97)-DAY($F$23)),0):H97)*E97,MIN(OFFSET(H97,-(DAY(F97)-1),0):H97)*IF(AND(OR('депозитный калькулятор'!$G$7="30/365",'депозитный калькулятор'!$G$7="30/360"),DAY(F97)&lt;30),30,DAY(F97))),IF(AND('депозитный калькулятор'!$G$10="ежемесячное, на средний остаток в течение месяца, при условии что остаток больше чем ограничение",F97='депозитный калькулятор'!$D$8,EOMONTH(F97,0)&lt;&gt;F97),IF('депозитный калькулятор'!$F$1=1,$H$24,SUM(OFFSET(Q97,-E97+1,0):Q97)),IF(AND('депозитный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калькулятор'!$G$7="30/360"),DAY(EOMONTH(F97,0))=31),EOMONTH(F97,0)-1=F97,EOMONTH(F97,0)=F97)),IF(IF(AND(OR('депозитный калькулятор'!$G$7="30/365",'депозитный калькулятор'!$G$7="30/360"),DAY(EOMONTH($F$24,0))=31),F97=EOMONTH($F$24,0)-1,F97=EOMONTH($F$24,0)),SUM(OFFSET(Q97,-E97+1,0):Q97),SUM(OFFSET(Q97,-E97+1,0):Q97)),IF('депозитный калькулятор'!$G$10="ежеквартальное",IF(F97&gt;'депозитный калькулятор'!$D$8," ",IF(AND(EOMONTH(F97,0)=F97,OR(MONTH(F97)=3,MONTH(F97)=6,MONTH(F97)=9,MONTH(F97)=12)),IF(EDATE(F97,-3)&lt;'депозитный калькулятор'!$D$7,SUM($H$23:H97),IF(MOD(YEAR(F97),4)=0,IF(AND(EOMONTH(F97,0)=F97,OR(MONTH(F97)=3,MONTH(F97)=6)),SUM(OFFSET(H97,-90,0):H97),IF(AND(EOMONTH(F97,0)=F97,OR(MONTH(F97)=9,MONTH(F97)=12)),SUM(OFFSET(H97,-91,0):H97))),IF(AND(EOMONTH(F97,0)=F97,MONTH(F97)=3),SUM(OFFSET(H97,-89,0):H97),IF(AND(EOMONTH(F97,0)=F97,MONTH(F97)=6),SUM(OFFSET(H97,-90,0):H97),IF(AND(EOMONTH(F97,0)=F97,OR(MONTH(F97)=9,MONTH(F97)=12)),SUM(OFFSET(H97,-91,0):H97)))))),IF(F97='депозитный калькулятор'!$D$8,SUM($H$23:H97)-SUM($I$23:I96),0))),IF('депозитный калькулятор'!$G$10="ежегодное",IF(F97&gt;'депозитный калькулятор'!$D$8," ",IF(F97='депозитный калькулятор'!$D$8,SUM($H$23:H97)-SUM($I$23:I96),IF(AND(EOMONTH(F97,0)=F97,MONTH(F97)=12),IF(MOD(YEAR(F96),4)=0,IF(F97-'депозитный калькулятор'!$D$7&lt;366,SUM($H$23:H97),SUM(OFFSET(H97,-365,0):H97)),IF(F97-'депозитный калькулятор'!$D$7&lt;365,SUM($H$23:H97),SUM(OFFSET(H97,-364,0):H97))),0))),IF(AND('депозитный калькулятор'!$G$10="в конце срока",'депозитный калькулятор'!$D$8=F97),SUM($H$23:H97),0))))))))))))))))))</f>
        <v xml:space="preserve"> </v>
      </c>
      <c r="J97" s="59" t="str">
        <f>IF(F97&gt;'депозитный калькулятор'!$D$8," ",IF('депозитный калькулятор'!$G$16="нет",0,IF(AND('депозитный калькулятор'!$G$17="разовая (в конце срока)",F97='депозитный калькулятор'!$D$8),'депозитный калькулятор'!$G$18,IF(AND('депозитный калькулятор'!$G$17="ежемесячная",EOMONTH(F96,0)=F96),'депозитный калькулятор'!$G$18,IF(AND('депозитный калькулятор'!$G$17="ежегодная",DAY(F96)=31,MONTH(F96)=12),'депозитный калькулятор'!$G$18,IF(AND('депозитный калькулятор'!$G$17="ежемесячная в зависимости от остатка",EOMONTH(F96,0)=F96,P96&gt;0),'депозитный калькулятор'!$G$18,IF(AND('депозитный калькулятор'!$G$17="ежегодная в зависимости от остатка",DAY(F96)=31,MONTH(F96)=12,P96&gt;0),'депозитный калькулятор'!$G$18,0)))))))</f>
        <v xml:space="preserve"> </v>
      </c>
      <c r="K97" s="135" t="str">
        <f>IF($F97=" "," ",IFERROR(VLOOKUP($F97,'депозитный калькулятор'!$B$26:$F$70,2,0),0))</f>
        <v xml:space="preserve"> </v>
      </c>
      <c r="L97" s="135" t="str">
        <f>IF($F97=" "," ",IFERROR(VLOOKUP($F97,'депозитный калькулятор'!$B$26:$F$70,3,0),0))</f>
        <v xml:space="preserve"> </v>
      </c>
      <c r="M97" s="135" t="str">
        <f>IF($F97=" "," ",IFERROR(VLOOKUP($F97,'депозитный калькулятор'!$B$26:$F$70,4,0),0))</f>
        <v xml:space="preserve"> </v>
      </c>
      <c r="N97" s="135" t="str">
        <f>IF($F97=" "," ",IFERROR(VLOOKUP($F97,'депозитный калькулятор'!$B$26:$F$70,5,0),0))</f>
        <v xml:space="preserve"> </v>
      </c>
      <c r="O97" s="146" t="str">
        <f>IF(F97&gt;'депозитный калькулятор'!$D$8," ",IF(F97='депозитный калькулятор'!$D$8,IF(AND($F$24='депозитный калькулятор'!$D$8,'депозитный калькулятор'!$G$13="нет"),-G97-IF(I97=" ",0,I97)-IF(AND(OR('депозитный калькулятор'!$G$7="30/365",'депозитный калькулятор'!$G$7="30/360"),'депозитный калькулятор'!$G$10="в начале срока"),I96,0)-L97+M97-N97,-G97-IF(I97=" ",0,I97)-L97+M97-N97),IF('депозитный калькулятор'!$G$13="есть",M97-N97+IF('депозитный калькулятор'!$G$14="есть",0,-L97),-IF(I97=" ",0,I97)-IF(AND(OR('депозитный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срока"),I96,0)+M97-N97+IF('депозитный калькулятор'!$G$14="есть",0,-L97))))</f>
        <v xml:space="preserve"> </v>
      </c>
      <c r="P97" s="147" t="str">
        <f>IF(F97&gt;'депозитный калькулятор'!$D$8," ",IF(EOMONTH(F96,0)=F96,0,IF(G97&gt;='депозитный калькулятор'!$G$19,P96,P96+1)))</f>
        <v xml:space="preserve"> </v>
      </c>
      <c r="Q97" s="138" t="str">
        <f>IF(F97=" "," ",IF(AND(OR('депозитный калькулятор'!$G$7="30/365",'депозитный калькулятор'!$G$7="30/360"),AND(MONTH(F97)=2,EOMONTH(F97,0)=F97)),IF(DAY(F97)=28,3,2),1)*IF(G97&gt;='депозитный калькулятор'!$G$11,IF(AND('депозитный калькулятор'!$G$7="факт/факт",MOD(YEAR(F97),4)=0),G97*'депозитный калькулятор'!$D$11/366,G97*'депозитный калькулятор'!$G$8),0))</f>
        <v xml:space="preserve"> </v>
      </c>
      <c r="R97" s="148"/>
      <c r="S97" s="62" t="str">
        <f t="shared" ca="1" si="7"/>
        <v xml:space="preserve"> </v>
      </c>
      <c r="T97" s="149" t="str">
        <f ca="1">IF(S97=" "," ",IF('депозитный калькулятор'!$G$7="30/360",DAYS360(U96,IF(DAY(U97)=31,U97-1,U97))+IF(AND(MONTH(U97)=2,U97=EOMONTH(U97,0)),30-DAY(EOMONTH(U97,0)))+T96,VLOOKUP(S97,$C$22:$F$1023,2,0)))</f>
        <v xml:space="preserve"> </v>
      </c>
      <c r="U97" s="64" t="str">
        <f t="shared" ca="1" si="5"/>
        <v xml:space="preserve"> </v>
      </c>
      <c r="V97" s="150" t="str">
        <f t="shared" ca="1" si="8"/>
        <v xml:space="preserve"> </v>
      </c>
      <c r="W97" s="62" t="str">
        <f t="shared" ca="1" si="9"/>
        <v xml:space="preserve"> </v>
      </c>
      <c r="X97" s="141" t="str">
        <f ca="1">IF(S97=" "," ",IFERROR(VLOOKUP(U97,$F$23:$N$1023,7)+VLOOKUP(U97,$F$23:$N$1023,9)+IF(AND('депозитный калькулятор'!$G$13="нет",U97&lt;&gt;'депозитный калькулятор'!$D$8),VLOOKUP(U97,$F$23:$N$1023,4),0),0)+IF(U97='депозитный калькулятор'!$D$8,VLOOKUP(U97,$F$23:$N$1023,2)+VLOOKUP(U97,$F$23:$N$1023,4),0))</f>
        <v xml:space="preserve"> </v>
      </c>
      <c r="Y97" s="142" t="str">
        <f ca="1">IF(S97=" "," ",W97/(1+'депозитный калькулятор'!$K$8)^(T97/IF('депозитный калькулятор'!$G$7="30/360",360,365)))</f>
        <v xml:space="preserve"> </v>
      </c>
      <c r="Z97" s="142" t="str">
        <f ca="1">IF(S97=" "," ",X97/(1+'депозитный калькулятор'!$K$8)^(T97/IF('депозитный калькулятор'!$G$7="30/360",360,365)))</f>
        <v xml:space="preserve"> </v>
      </c>
      <c r="AA97" s="151"/>
      <c r="AB97" s="151"/>
      <c r="AC97" s="155"/>
      <c r="AD97" s="155"/>
    </row>
    <row r="98" spans="1:30" s="2" customFormat="1" ht="15.5" x14ac:dyDescent="0.35">
      <c r="A98" s="41" t="str">
        <f>IF(F98=" "," ",IF(OR('депозитный калькулятор'!$G$7="30/365",'депозитный калькулятор'!$G$7="30/360"),IF(AND(MONTH(F98)=2,DAY(F98)=DAY(EOMONTH(F98,0))),30-DAY(EOMONTH(F98,0)),IF(DAY(F98)=31,1," "))," "))</f>
        <v xml:space="preserve"> </v>
      </c>
      <c r="B98" s="130" t="str">
        <f t="shared" si="6"/>
        <v xml:space="preserve"> </v>
      </c>
      <c r="C98" s="130" t="str">
        <f>IF(OR(B98=0,B98=" ")," ",SUM($B$23:B98))</f>
        <v xml:space="preserve"> </v>
      </c>
      <c r="D98" s="62" t="str">
        <f>IF(D97=" "," ",IF(OR(F97='депозитный калькулятор'!$D$8,F97=" ")," ",D97+1))</f>
        <v xml:space="preserve"> </v>
      </c>
      <c r="E98" s="130" t="str">
        <f>IF(OR(F97='депозитный калькулятор'!$D$8,F97=" ")," ",IF(EOMONTH(F97,0)=F97,1,E97+1))</f>
        <v xml:space="preserve"> </v>
      </c>
      <c r="F98" s="64" t="str">
        <f>IF(F97=" "," ",IF(F97='депозитный калькулятор'!$D$8," ",F97+1))</f>
        <v xml:space="preserve"> </v>
      </c>
      <c r="G98" s="145" t="str">
        <f xml:space="preserve"> IF(F98&gt;'депозитный калькулятор'!$D$8," ",IF('депозитный калькулятор'!$G$13="есть",IF('депозитный калькулятор'!$G$14="есть",G97+IF(I97=" ",0,I97)-J98-K98+L98+M98-N98,G97+IF(I97=" ",0,I97)-J98-K98+M98-N98),IF('депозитный калькулятор'!$G$14="есть",G97-J98-K98+L98+M98-N98,G97-J98-K98+M98-N98)))</f>
        <v xml:space="preserve"> </v>
      </c>
      <c r="H98" s="133" t="str">
        <f>IF(F98&gt;'депозитный калькулятор'!$D$8," ",IF(AND(OR('депозитный калькулятор'!$G$7="30/365",'депозитный калькулятор'!$G$7="30/360"),AND(MONTH(F98)=2,EOMONTH(F98,0)=F98)),IF(DAY(F98)=28,3*G98*'депозитный калькулятор'!$G$8,2*G98*'депозитный калькулятор'!$G$8),IF(AND(OR('депозитный калькулятор'!$G$7="30/365",'депозитный калькулятор'!$G$7="30/360"),DAY(F98)=31)," ",IF(AND('депозитный калькулятор'!$G$7="факт/факт",MOD(YEAR(F98),4)=0),G98*'депозитный калькулятор'!$D$11/366,G98*'депозитный калькулятор'!$G$8))))</f>
        <v xml:space="preserve"> </v>
      </c>
      <c r="I98" s="134" t="str">
        <f ca="1">IF(F98=" "," ",IF('депозитный калькулятор'!$G$10="ежедневное",H98,IF(AND('депозитный калькулятор'!$G$10="еженедельное",WEEKDAY(F98,2)=7),SUM(OFFSET(H98,-6,0):H98),IF(AND('депозитный калькулятор'!$G$10="еженедельное",F98='депозитный калькулятор'!$D$8),SUM($H$23:H98)-SUM($I$23:I97),IF(AND('депозитный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недели",WEEKDAY(F98,2)=7),MIN(OFFSET(H98,-6,0):H98)*(COUNTIF(OFFSET(H98,-6,0):H98,"&gt;0")+SUMIF(OFFSET(A98,-WEEKDAY(F98,2),0):A98,"=2",OFFSET(A98,-WEEKDAY(F98,2),0):A98)),IF(AND('депозитный калькулятор'!$G$10="еженедельное, на минимальную сумму зафиксированную в течение недели",F98='депозитный калькулятор'!$D$8,WEEKDAY(F98,2)&lt;&gt;7),MIN(OFFSET(H98,-WEEKDAY(F98,2),0):H98)*(COUNTIF(OFFSET(H98,-WEEKDAY(F98,2)+1,0):H98,"&gt;0")+SUM(OFFSET(A98,-WEEKDAY(F98,2),0):A98)),IF(AND('депозитный калькулятор'!$G$10="ежемесячное (в конце месяца)",F98='депозитный калькулятор'!$D$8,EOMONTH(F98,0)&lt;&gt;F98),IF('депозитный калькулятор'!$F$1=1,$H$24,SUM($H$23:H98)-SUM($I$23:I97)),IF(AND('депозитный калькулятор'!$G$10="ежемесячное (в конце месяца)",EOMONTH(F98,0)=F98),SUM($H$23:H98)-SUM($I$23:I97),IF(AND('депозитный калькулятор'!$G$10="ежемесячное (по дням открытия вклада)",F98='депозитный калькулятор'!$D$8,DAY('депозитный калькулятор'!$D$7)&lt;&gt;DAY(F98)),IF('депозитный калькулятор'!$F$1=1,$H$24,SUM($H$23:H98)-SUM($I$23:I97)),IF(AND('депозитный калькулятор'!$G$10="ежемесячное (по дням открытия вклада)",DAY('депозитный калькулятор'!$D$7)=DAY(F98)),SUM($H$23:H98)-SUM($I$23:I97),IF(AND('депозитный калькулятор'!$G$10="ежемесячное, на минимальную сумму зафиксированную в течение месяца",F98='депозитный калькулятор'!$D$8,EOMONTH(F98,0)&lt;&gt;F98),IF('депозитный калькулятор'!$F$1=1,$H$24,IF(AND(OR('депозитный калькулятор'!$G$7="30/365",'депозитный калькулятор'!$G$7="30/360"),DAY(F98)=31),0,MIN(OFFSET(H98,-E98+1,0):H98)*(E98+SUMIF(OFFSET(A98,-E98+1,0):A98,"=2",OFFSET(A98,-E98+1,0):A98)))),IF(AND('депозитный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калькулятор'!$G$7="30/360"),DAY(EOMONTH(F98,0))=31),EOMONTH(F98,0)-1=F98,EOMONTH(F98,0)=F98)),IF(IF(AND(OR('депозитный калькулятор'!$G$7="30/365",'депозитный калькулятор'!$G$7="30/360"),DAY(EOMONTH($F$23,0))=31),F98=EOMONTH($F$23,0)-1,F98=EOMONTH($F$23,0)),MIN(OFFSET(H98,-(DAY(F98)-DAY($F$23)),0):H98)*E98,MIN(OFFSET(H98,-(DAY(F98)-1),0):H98)*IF(AND(OR('депозитный калькулятор'!$G$7="30/365",'депозитный калькулятор'!$G$7="30/360"),DAY(F98)&lt;30),30,DAY(F98))),IF(AND('депозитный калькулятор'!$G$10="ежемесячное, на средний остаток в течение месяца, при условии что остаток больше чем ограничение",F98='депозитный калькулятор'!$D$8,EOMONTH(F98,0)&lt;&gt;F98),IF('депозитный калькулятор'!$F$1=1,$H$24,SUM(OFFSET(Q98,-E98+1,0):Q98)),IF(AND('депозитный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калькулятор'!$G$7="30/360"),DAY(EOMONTH(F98,0))=31),EOMONTH(F98,0)-1=F98,EOMONTH(F98,0)=F98)),IF(IF(AND(OR('депозитный калькулятор'!$G$7="30/365",'депозитный калькулятор'!$G$7="30/360"),DAY(EOMONTH($F$24,0))=31),F98=EOMONTH($F$24,0)-1,F98=EOMONTH($F$24,0)),SUM(OFFSET(Q98,-E98+1,0):Q98),SUM(OFFSET(Q98,-E98+1,0):Q98)),IF('депозитный калькулятор'!$G$10="ежеквартальное",IF(F98&gt;'депозитный калькулятор'!$D$8," ",IF(AND(EOMONTH(F98,0)=F98,OR(MONTH(F98)=3,MONTH(F98)=6,MONTH(F98)=9,MONTH(F98)=12)),IF(EDATE(F98,-3)&lt;'депозитный калькулятор'!$D$7,SUM($H$23:H98),IF(MOD(YEAR(F98),4)=0,IF(AND(EOMONTH(F98,0)=F98,OR(MONTH(F98)=3,MONTH(F98)=6)),SUM(OFFSET(H98,-90,0):H98),IF(AND(EOMONTH(F98,0)=F98,OR(MONTH(F98)=9,MONTH(F98)=12)),SUM(OFFSET(H98,-91,0):H98))),IF(AND(EOMONTH(F98,0)=F98,MONTH(F98)=3),SUM(OFFSET(H98,-89,0):H98),IF(AND(EOMONTH(F98,0)=F98,MONTH(F98)=6),SUM(OFFSET(H98,-90,0):H98),IF(AND(EOMONTH(F98,0)=F98,OR(MONTH(F98)=9,MONTH(F98)=12)),SUM(OFFSET(H98,-91,0):H98)))))),IF(F98='депозитный калькулятор'!$D$8,SUM($H$23:H98)-SUM($I$23:I97),0))),IF('депозитный калькулятор'!$G$10="ежегодное",IF(F98&gt;'депозитный калькулятор'!$D$8," ",IF(F98='депозитный калькулятор'!$D$8,SUM($H$23:H98)-SUM($I$23:I97),IF(AND(EOMONTH(F98,0)=F98,MONTH(F98)=12),IF(MOD(YEAR(F97),4)=0,IF(F98-'депозитный калькулятор'!$D$7&lt;366,SUM($H$23:H98),SUM(OFFSET(H98,-365,0):H98)),IF(F98-'депозитный калькулятор'!$D$7&lt;365,SUM($H$23:H98),SUM(OFFSET(H98,-364,0):H98))),0))),IF(AND('депозитный калькулятор'!$G$10="в конце срока",'депозитный калькулятор'!$D$8=F98),SUM($H$23:H98),0))))))))))))))))))</f>
        <v xml:space="preserve"> </v>
      </c>
      <c r="J98" s="59" t="str">
        <f>IF(F98&gt;'депозитный калькулятор'!$D$8," ",IF('депозитный калькулятор'!$G$16="нет",0,IF(AND('депозитный калькулятор'!$G$17="разовая (в конце срока)",F98='депозитный калькулятор'!$D$8),'депозитный калькулятор'!$G$18,IF(AND('депозитный калькулятор'!$G$17="ежемесячная",EOMONTH(F97,0)=F97),'депозитный калькулятор'!$G$18,IF(AND('депозитный калькулятор'!$G$17="ежегодная",DAY(F97)=31,MONTH(F97)=12),'депозитный калькулятор'!$G$18,IF(AND('депозитный калькулятор'!$G$17="ежемесячная в зависимости от остатка",EOMONTH(F97,0)=F97,P97&gt;0),'депозитный калькулятор'!$G$18,IF(AND('депозитный калькулятор'!$G$17="ежегодная в зависимости от остатка",DAY(F97)=31,MONTH(F97)=12,P97&gt;0),'депозитный калькулятор'!$G$18,0)))))))</f>
        <v xml:space="preserve"> </v>
      </c>
      <c r="K98" s="135" t="str">
        <f>IF($F98=" "," ",IFERROR(VLOOKUP($F98,'депозитный калькулятор'!$B$26:$F$70,2,0),0))</f>
        <v xml:space="preserve"> </v>
      </c>
      <c r="L98" s="135" t="str">
        <f>IF($F98=" "," ",IFERROR(VLOOKUP($F98,'депозитный калькулятор'!$B$26:$F$70,3,0),0))</f>
        <v xml:space="preserve"> </v>
      </c>
      <c r="M98" s="135" t="str">
        <f>IF($F98=" "," ",IFERROR(VLOOKUP($F98,'депозитный калькулятор'!$B$26:$F$70,4,0),0))</f>
        <v xml:space="preserve"> </v>
      </c>
      <c r="N98" s="135" t="str">
        <f>IF($F98=" "," ",IFERROR(VLOOKUP($F98,'депозитный калькулятор'!$B$26:$F$70,5,0),0))</f>
        <v xml:space="preserve"> </v>
      </c>
      <c r="O98" s="146" t="str">
        <f>IF(F98&gt;'депозитный калькулятор'!$D$8," ",IF(F98='депозитный калькулятор'!$D$8,IF(AND($F$24='депозитный калькулятор'!$D$8,'депозитный калькулятор'!$G$13="нет"),-G98-IF(I98=" ",0,I98)-IF(AND(OR('депозитный калькулятор'!$G$7="30/365",'депозитный калькулятор'!$G$7="30/360"),'депозитный калькулятор'!$G$10="в начале срока"),I97,0)-L98+M98-N98,-G98-IF(I98=" ",0,I98)-L98+M98-N98),IF('депозитный калькулятор'!$G$13="есть",M98-N98+IF('депозитный калькулятор'!$G$14="есть",0,-L98),-IF(I98=" ",0,I98)-IF(AND(OR('депозитный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срока"),I97,0)+M98-N98+IF('депозитный калькулятор'!$G$14="есть",0,-L98))))</f>
        <v xml:space="preserve"> </v>
      </c>
      <c r="P98" s="147" t="str">
        <f>IF(F98&gt;'депозитный калькулятор'!$D$8," ",IF(EOMONTH(F97,0)=F97,0,IF(G98&gt;='депозитный калькулятор'!$G$19,P97,P97+1)))</f>
        <v xml:space="preserve"> </v>
      </c>
      <c r="Q98" s="138" t="str">
        <f>IF(F98=" "," ",IF(AND(OR('депозитный калькулятор'!$G$7="30/365",'депозитный калькулятор'!$G$7="30/360"),AND(MONTH(F98)=2,EOMONTH(F98,0)=F98)),IF(DAY(F98)=28,3,2),1)*IF(G98&gt;='депозитный калькулятор'!$G$11,IF(AND('депозитный калькулятор'!$G$7="факт/факт",MOD(YEAR(F98),4)=0),G98*'депозитный калькулятор'!$D$11/366,G98*'депозитный калькулятор'!$G$8),0))</f>
        <v xml:space="preserve"> </v>
      </c>
      <c r="R98" s="148"/>
      <c r="S98" s="62" t="str">
        <f t="shared" ca="1" si="7"/>
        <v xml:space="preserve"> </v>
      </c>
      <c r="T98" s="149" t="str">
        <f ca="1">IF(S98=" "," ",IF('депозитный калькулятор'!$G$7="30/360",DAYS360(U97,IF(DAY(U98)=31,U98-1,U98))+IF(AND(MONTH(U98)=2,U98=EOMONTH(U98,0)),30-DAY(EOMONTH(U98,0)))+T97,VLOOKUP(S98,$C$22:$F$1023,2,0)))</f>
        <v xml:space="preserve"> </v>
      </c>
      <c r="U98" s="64" t="str">
        <f t="shared" ca="1" si="5"/>
        <v xml:space="preserve"> </v>
      </c>
      <c r="V98" s="150" t="str">
        <f t="shared" ca="1" si="8"/>
        <v xml:space="preserve"> </v>
      </c>
      <c r="W98" s="62" t="str">
        <f t="shared" ca="1" si="9"/>
        <v xml:space="preserve"> </v>
      </c>
      <c r="X98" s="141" t="str">
        <f ca="1">IF(S98=" "," ",IFERROR(VLOOKUP(U98,$F$23:$N$1023,7)+VLOOKUP(U98,$F$23:$N$1023,9)+IF(AND('депозитный калькулятор'!$G$13="нет",U98&lt;&gt;'депозитный калькулятор'!$D$8),VLOOKUP(U98,$F$23:$N$1023,4),0),0)+IF(U98='депозитный калькулятор'!$D$8,VLOOKUP(U98,$F$23:$N$1023,2)+VLOOKUP(U98,$F$23:$N$1023,4),0))</f>
        <v xml:space="preserve"> </v>
      </c>
      <c r="Y98" s="142" t="str">
        <f ca="1">IF(S98=" "," ",W98/(1+'депозитный калькулятор'!$K$8)^(T98/IF('депозитный калькулятор'!$G$7="30/360",360,365)))</f>
        <v xml:space="preserve"> </v>
      </c>
      <c r="Z98" s="142" t="str">
        <f ca="1">IF(S98=" "," ",X98/(1+'депозитный калькулятор'!$K$8)^(T98/IF('депозитный калькулятор'!$G$7="30/360",360,365)))</f>
        <v xml:space="preserve"> </v>
      </c>
      <c r="AA98" s="151"/>
      <c r="AB98" s="151"/>
      <c r="AC98" s="155"/>
      <c r="AD98" s="155"/>
    </row>
    <row r="99" spans="1:30" s="2" customFormat="1" ht="15.5" x14ac:dyDescent="0.35">
      <c r="A99" s="41" t="str">
        <f>IF(F99=" "," ",IF(OR('депозитный калькулятор'!$G$7="30/365",'депозитный калькулятор'!$G$7="30/360"),IF(AND(MONTH(F99)=2,DAY(F99)=DAY(EOMONTH(F99,0))),30-DAY(EOMONTH(F99,0)),IF(DAY(F99)=31,1," "))," "))</f>
        <v xml:space="preserve"> </v>
      </c>
      <c r="B99" s="130" t="str">
        <f t="shared" si="6"/>
        <v xml:space="preserve"> </v>
      </c>
      <c r="C99" s="130" t="str">
        <f>IF(OR(B99=0,B99=" ")," ",SUM($B$23:B99))</f>
        <v xml:space="preserve"> </v>
      </c>
      <c r="D99" s="62" t="str">
        <f>IF(D98=" "," ",IF(OR(F98='депозитный калькулятор'!$D$8,F98=" ")," ",D98+1))</f>
        <v xml:space="preserve"> </v>
      </c>
      <c r="E99" s="130" t="str">
        <f>IF(OR(F98='депозитный калькулятор'!$D$8,F98=" ")," ",IF(EOMONTH(F98,0)=F98,1,E98+1))</f>
        <v xml:space="preserve"> </v>
      </c>
      <c r="F99" s="64" t="str">
        <f>IF(F98=" "," ",IF(F98='депозитный калькулятор'!$D$8," ",F98+1))</f>
        <v xml:space="preserve"> </v>
      </c>
      <c r="G99" s="145" t="str">
        <f xml:space="preserve"> IF(F99&gt;'депозитный калькулятор'!$D$8," ",IF('депозитный калькулятор'!$G$13="есть",IF('депозитный калькулятор'!$G$14="есть",G98+IF(I98=" ",0,I98)-J99-K99+L99+M99-N99,G98+IF(I98=" ",0,I98)-J99-K99+M99-N99),IF('депозитный калькулятор'!$G$14="есть",G98-J99-K99+L99+M99-N99,G98-J99-K99+M99-N99)))</f>
        <v xml:space="preserve"> </v>
      </c>
      <c r="H99" s="133" t="str">
        <f>IF(F99&gt;'депозитный калькулятор'!$D$8," ",IF(AND(OR('депозитный калькулятор'!$G$7="30/365",'депозитный калькулятор'!$G$7="30/360"),AND(MONTH(F99)=2,EOMONTH(F99,0)=F99)),IF(DAY(F99)=28,3*G99*'депозитный калькулятор'!$G$8,2*G99*'депозитный калькулятор'!$G$8),IF(AND(OR('депозитный калькулятор'!$G$7="30/365",'депозитный калькулятор'!$G$7="30/360"),DAY(F99)=31)," ",IF(AND('депозитный калькулятор'!$G$7="факт/факт",MOD(YEAR(F99),4)=0),G99*'депозитный калькулятор'!$D$11/366,G99*'депозитный калькулятор'!$G$8))))</f>
        <v xml:space="preserve"> </v>
      </c>
      <c r="I99" s="134" t="str">
        <f ca="1">IF(F99=" "," ",IF('депозитный калькулятор'!$G$10="ежедневное",H99,IF(AND('депозитный калькулятор'!$G$10="еженедельное",WEEKDAY(F99,2)=7),SUM(OFFSET(H99,-6,0):H99),IF(AND('депозитный калькулятор'!$G$10="еженедельное",F99='депозитный калькулятор'!$D$8),SUM($H$23:H99)-SUM($I$23:I98),IF(AND('депозитный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недели",WEEKDAY(F99,2)=7),MIN(OFFSET(H99,-6,0):H99)*(COUNTIF(OFFSET(H99,-6,0):H99,"&gt;0")+SUMIF(OFFSET(A99,-WEEKDAY(F99,2),0):A99,"=2",OFFSET(A99,-WEEKDAY(F99,2),0):A99)),IF(AND('депозитный калькулятор'!$G$10="еженедельное, на минимальную сумму зафиксированную в течение недели",F99='депозитный калькулятор'!$D$8,WEEKDAY(F99,2)&lt;&gt;7),MIN(OFFSET(H99,-WEEKDAY(F99,2),0):H99)*(COUNTIF(OFFSET(H99,-WEEKDAY(F99,2)+1,0):H99,"&gt;0")+SUM(OFFSET(A99,-WEEKDAY(F99,2),0):A99)),IF(AND('депозитный калькулятор'!$G$10="ежемесячное (в конце месяца)",F99='депозитный калькулятор'!$D$8,EOMONTH(F99,0)&lt;&gt;F99),IF('депозитный калькулятор'!$F$1=1,$H$24,SUM($H$23:H99)-SUM($I$23:I98)),IF(AND('депозитный калькулятор'!$G$10="ежемесячное (в конце месяца)",EOMONTH(F99,0)=F99),SUM($H$23:H99)-SUM($I$23:I98),IF(AND('депозитный калькулятор'!$G$10="ежемесячное (по дням открытия вклада)",F99='депозитный калькулятор'!$D$8,DAY('депозитный калькулятор'!$D$7)&lt;&gt;DAY(F99)),IF('депозитный калькулятор'!$F$1=1,$H$24,SUM($H$23:H99)-SUM($I$23:I98)),IF(AND('депозитный калькулятор'!$G$10="ежемесячное (по дням открытия вклада)",DAY('депозитный калькулятор'!$D$7)=DAY(F99)),SUM($H$23:H99)-SUM($I$23:I98),IF(AND('депозитный калькулятор'!$G$10="ежемесячное, на минимальную сумму зафиксированную в течение месяца",F99='депозитный калькулятор'!$D$8,EOMONTH(F99,0)&lt;&gt;F99),IF('депозитный калькулятор'!$F$1=1,$H$24,IF(AND(OR('депозитный калькулятор'!$G$7="30/365",'депозитный калькулятор'!$G$7="30/360"),DAY(F99)=31),0,MIN(OFFSET(H99,-E99+1,0):H99)*(E99+SUMIF(OFFSET(A99,-E99+1,0):A99,"=2",OFFSET(A99,-E99+1,0):A99)))),IF(AND('депозитный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калькулятор'!$G$7="30/360"),DAY(EOMONTH(F99,0))=31),EOMONTH(F99,0)-1=F99,EOMONTH(F99,0)=F99)),IF(IF(AND(OR('депозитный калькулятор'!$G$7="30/365",'депозитный калькулятор'!$G$7="30/360"),DAY(EOMONTH($F$23,0))=31),F99=EOMONTH($F$23,0)-1,F99=EOMONTH($F$23,0)),MIN(OFFSET(H99,-(DAY(F99)-DAY($F$23)),0):H99)*E99,MIN(OFFSET(H99,-(DAY(F99)-1),0):H99)*IF(AND(OR('депозитный калькулятор'!$G$7="30/365",'депозитный калькулятор'!$G$7="30/360"),DAY(F99)&lt;30),30,DAY(F99))),IF(AND('депозитный калькулятор'!$G$10="ежемесячное, на средний остаток в течение месяца, при условии что остаток больше чем ограничение",F99='депозитный калькулятор'!$D$8,EOMONTH(F99,0)&lt;&gt;F99),IF('депозитный калькулятор'!$F$1=1,$H$24,SUM(OFFSET(Q99,-E99+1,0):Q99)),IF(AND('депозитный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калькулятор'!$G$7="30/360"),DAY(EOMONTH(F99,0))=31),EOMONTH(F99,0)-1=F99,EOMONTH(F99,0)=F99)),IF(IF(AND(OR('депозитный калькулятор'!$G$7="30/365",'депозитный калькулятор'!$G$7="30/360"),DAY(EOMONTH($F$24,0))=31),F99=EOMONTH($F$24,0)-1,F99=EOMONTH($F$24,0)),SUM(OFFSET(Q99,-E99+1,0):Q99),SUM(OFFSET(Q99,-E99+1,0):Q99)),IF('депозитный калькулятор'!$G$10="ежеквартальное",IF(F99&gt;'депозитный калькулятор'!$D$8," ",IF(AND(EOMONTH(F99,0)=F99,OR(MONTH(F99)=3,MONTH(F99)=6,MONTH(F99)=9,MONTH(F99)=12)),IF(EDATE(F99,-3)&lt;'депозитный калькулятор'!$D$7,SUM($H$23:H99),IF(MOD(YEAR(F99),4)=0,IF(AND(EOMONTH(F99,0)=F99,OR(MONTH(F99)=3,MONTH(F99)=6)),SUM(OFFSET(H99,-90,0):H99),IF(AND(EOMONTH(F99,0)=F99,OR(MONTH(F99)=9,MONTH(F99)=12)),SUM(OFFSET(H99,-91,0):H99))),IF(AND(EOMONTH(F99,0)=F99,MONTH(F99)=3),SUM(OFFSET(H99,-89,0):H99),IF(AND(EOMONTH(F99,0)=F99,MONTH(F99)=6),SUM(OFFSET(H99,-90,0):H99),IF(AND(EOMONTH(F99,0)=F99,OR(MONTH(F99)=9,MONTH(F99)=12)),SUM(OFFSET(H99,-91,0):H99)))))),IF(F99='депозитный калькулятор'!$D$8,SUM($H$23:H99)-SUM($I$23:I98),0))),IF('депозитный калькулятор'!$G$10="ежегодное",IF(F99&gt;'депозитный калькулятор'!$D$8," ",IF(F99='депозитный калькулятор'!$D$8,SUM($H$23:H99)-SUM($I$23:I98),IF(AND(EOMONTH(F99,0)=F99,MONTH(F99)=12),IF(MOD(YEAR(F98),4)=0,IF(F99-'депозитный калькулятор'!$D$7&lt;366,SUM($H$23:H99),SUM(OFFSET(H99,-365,0):H99)),IF(F99-'депозитный калькулятор'!$D$7&lt;365,SUM($H$23:H99),SUM(OFFSET(H99,-364,0):H99))),0))),IF(AND('депозитный калькулятор'!$G$10="в конце срока",'депозитный калькулятор'!$D$8=F99),SUM($H$23:H99),0))))))))))))))))))</f>
        <v xml:space="preserve"> </v>
      </c>
      <c r="J99" s="59" t="str">
        <f>IF(F99&gt;'депозитный калькулятор'!$D$8," ",IF('депозитный калькулятор'!$G$16="нет",0,IF(AND('депозитный калькулятор'!$G$17="разовая (в конце срока)",F99='депозитный калькулятор'!$D$8),'депозитный калькулятор'!$G$18,IF(AND('депозитный калькулятор'!$G$17="ежемесячная",EOMONTH(F98,0)=F98),'депозитный калькулятор'!$G$18,IF(AND('депозитный калькулятор'!$G$17="ежегодная",DAY(F98)=31,MONTH(F98)=12),'депозитный калькулятор'!$G$18,IF(AND('депозитный калькулятор'!$G$17="ежемесячная в зависимости от остатка",EOMONTH(F98,0)=F98,P98&gt;0),'депозитный калькулятор'!$G$18,IF(AND('депозитный калькулятор'!$G$17="ежегодная в зависимости от остатка",DAY(F98)=31,MONTH(F98)=12,P98&gt;0),'депозитный калькулятор'!$G$18,0)))))))</f>
        <v xml:space="preserve"> </v>
      </c>
      <c r="K99" s="135" t="str">
        <f>IF($F99=" "," ",IFERROR(VLOOKUP($F99,'депозитный калькулятор'!$B$26:$F$70,2,0),0))</f>
        <v xml:space="preserve"> </v>
      </c>
      <c r="L99" s="135" t="str">
        <f>IF($F99=" "," ",IFERROR(VLOOKUP($F99,'депозитный калькулятор'!$B$26:$F$70,3,0),0))</f>
        <v xml:space="preserve"> </v>
      </c>
      <c r="M99" s="135" t="str">
        <f>IF($F99=" "," ",IFERROR(VLOOKUP($F99,'депозитный калькулятор'!$B$26:$F$70,4,0),0))</f>
        <v xml:space="preserve"> </v>
      </c>
      <c r="N99" s="135" t="str">
        <f>IF($F99=" "," ",IFERROR(VLOOKUP($F99,'депозитный калькулятор'!$B$26:$F$70,5,0),0))</f>
        <v xml:space="preserve"> </v>
      </c>
      <c r="O99" s="146" t="str">
        <f>IF(F99&gt;'депозитный калькулятор'!$D$8," ",IF(F99='депозитный калькулятор'!$D$8,IF(AND($F$24='депозитный калькулятор'!$D$8,'депозитный калькулятор'!$G$13="нет"),-G99-IF(I99=" ",0,I99)-IF(AND(OR('депозитный калькулятор'!$G$7="30/365",'депозитный калькулятор'!$G$7="30/360"),'депозитный калькулятор'!$G$10="в начале срока"),I98,0)-L99+M99-N99,-G99-IF(I99=" ",0,I99)-L99+M99-N99),IF('депозитный калькулятор'!$G$13="есть",M99-N99+IF('депозитный калькулятор'!$G$14="есть",0,-L99),-IF(I99=" ",0,I99)-IF(AND(OR('депозитный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срока"),I98,0)+M99-N99+IF('депозитный калькулятор'!$G$14="есть",0,-L99))))</f>
        <v xml:space="preserve"> </v>
      </c>
      <c r="P99" s="147" t="str">
        <f>IF(F99&gt;'депозитный калькулятор'!$D$8," ",IF(EOMONTH(F98,0)=F98,0,IF(G99&gt;='депозитный калькулятор'!$G$19,P98,P98+1)))</f>
        <v xml:space="preserve"> </v>
      </c>
      <c r="Q99" s="138" t="str">
        <f>IF(F99=" "," ",IF(AND(OR('депозитный калькулятор'!$G$7="30/365",'депозитный калькулятор'!$G$7="30/360"),AND(MONTH(F99)=2,EOMONTH(F99,0)=F99)),IF(DAY(F99)=28,3,2),1)*IF(G99&gt;='депозитный калькулятор'!$G$11,IF(AND('депозитный калькулятор'!$G$7="факт/факт",MOD(YEAR(F99),4)=0),G99*'депозитный калькулятор'!$D$11/366,G99*'депозитный калькулятор'!$G$8),0))</f>
        <v xml:space="preserve"> </v>
      </c>
      <c r="R99" s="148"/>
      <c r="S99" s="62" t="str">
        <f t="shared" ca="1" si="7"/>
        <v xml:space="preserve"> </v>
      </c>
      <c r="T99" s="149" t="str">
        <f ca="1">IF(S99=" "," ",IF('депозитный калькулятор'!$G$7="30/360",DAYS360(U98,IF(DAY(U99)=31,U99-1,U99))+IF(AND(MONTH(U99)=2,U99=EOMONTH(U99,0)),30-DAY(EOMONTH(U99,0)))+T98,VLOOKUP(S99,$C$22:$F$1023,2,0)))</f>
        <v xml:space="preserve"> </v>
      </c>
      <c r="U99" s="64" t="str">
        <f t="shared" ca="1" si="5"/>
        <v xml:space="preserve"> </v>
      </c>
      <c r="V99" s="150" t="str">
        <f t="shared" ca="1" si="8"/>
        <v xml:space="preserve"> </v>
      </c>
      <c r="W99" s="62" t="str">
        <f t="shared" ca="1" si="9"/>
        <v xml:space="preserve"> </v>
      </c>
      <c r="X99" s="141" t="str">
        <f ca="1">IF(S99=" "," ",IFERROR(VLOOKUP(U99,$F$23:$N$1023,7)+VLOOKUP(U99,$F$23:$N$1023,9)+IF(AND('депозитный калькулятор'!$G$13="нет",U99&lt;&gt;'депозитный калькулятор'!$D$8),VLOOKUP(U99,$F$23:$N$1023,4),0),0)+IF(U99='депозитный калькулятор'!$D$8,VLOOKUP(U99,$F$23:$N$1023,2)+VLOOKUP(U99,$F$23:$N$1023,4),0))</f>
        <v xml:space="preserve"> </v>
      </c>
      <c r="Y99" s="142" t="str">
        <f ca="1">IF(S99=" "," ",W99/(1+'депозитный калькулятор'!$K$8)^(T99/IF('депозитный калькулятор'!$G$7="30/360",360,365)))</f>
        <v xml:space="preserve"> </v>
      </c>
      <c r="Z99" s="142" t="str">
        <f ca="1">IF(S99=" "," ",X99/(1+'депозитный калькулятор'!$K$8)^(T99/IF('депозитный калькулятор'!$G$7="30/360",360,365)))</f>
        <v xml:space="preserve"> </v>
      </c>
      <c r="AA99" s="151"/>
      <c r="AB99" s="151"/>
      <c r="AC99" s="155"/>
      <c r="AD99" s="155"/>
    </row>
    <row r="100" spans="1:30" s="2" customFormat="1" ht="15.5" x14ac:dyDescent="0.35">
      <c r="A100" s="41" t="str">
        <f>IF(F100=" "," ",IF(OR('депозитный калькулятор'!$G$7="30/365",'депозитный калькулятор'!$G$7="30/360"),IF(AND(MONTH(F100)=2,DAY(F100)=DAY(EOMONTH(F100,0))),30-DAY(EOMONTH(F100,0)),IF(DAY(F100)=31,1," "))," "))</f>
        <v xml:space="preserve"> </v>
      </c>
      <c r="B100" s="130" t="str">
        <f t="shared" si="6"/>
        <v xml:space="preserve"> </v>
      </c>
      <c r="C100" s="130" t="str">
        <f>IF(OR(B100=0,B100=" ")," ",SUM($B$23:B100))</f>
        <v xml:space="preserve"> </v>
      </c>
      <c r="D100" s="62" t="str">
        <f>IF(D99=" "," ",IF(OR(F99='депозитный калькулятор'!$D$8,F99=" ")," ",D99+1))</f>
        <v xml:space="preserve"> </v>
      </c>
      <c r="E100" s="130" t="str">
        <f>IF(OR(F99='депозитный калькулятор'!$D$8,F99=" ")," ",IF(EOMONTH(F99,0)=F99,1,E99+1))</f>
        <v xml:space="preserve"> </v>
      </c>
      <c r="F100" s="64" t="str">
        <f>IF(F99=" "," ",IF(F99='депозитный калькулятор'!$D$8," ",F99+1))</f>
        <v xml:space="preserve"> </v>
      </c>
      <c r="G100" s="145" t="str">
        <f xml:space="preserve"> IF(F100&gt;'депозитный калькулятор'!$D$8," ",IF('депозитный калькулятор'!$G$13="есть",IF('депозитный калькулятор'!$G$14="есть",G99+IF(I99=" ",0,I99)-J100-K100+L100+M100-N100,G99+IF(I99=" ",0,I99)-J100-K100+M100-N100),IF('депозитный калькулятор'!$G$14="есть",G99-J100-K100+L100+M100-N100,G99-J100-K100+M100-N100)))</f>
        <v xml:space="preserve"> </v>
      </c>
      <c r="H100" s="133" t="str">
        <f>IF(F100&gt;'депозитный калькулятор'!$D$8," ",IF(AND(OR('депозитный калькулятор'!$G$7="30/365",'депозитный калькулятор'!$G$7="30/360"),AND(MONTH(F100)=2,EOMONTH(F100,0)=F100)),IF(DAY(F100)=28,3*G100*'депозитный калькулятор'!$G$8,2*G100*'депозитный калькулятор'!$G$8),IF(AND(OR('депозитный калькулятор'!$G$7="30/365",'депозитный калькулятор'!$G$7="30/360"),DAY(F100)=31)," ",IF(AND('депозитный калькулятор'!$G$7="факт/факт",MOD(YEAR(F100),4)=0),G100*'депозитный калькулятор'!$D$11/366,G100*'депозитный калькулятор'!$G$8))))</f>
        <v xml:space="preserve"> </v>
      </c>
      <c r="I100" s="134" t="str">
        <f ca="1">IF(F100=" "," ",IF('депозитный калькулятор'!$G$10="ежедневное",H100,IF(AND('депозитный калькулятор'!$G$10="еженедельное",WEEKDAY(F100,2)=7),SUM(OFFSET(H100,-6,0):H100),IF(AND('депозитный калькулятор'!$G$10="еженедельное",F100='депозитный калькулятор'!$D$8),SUM($H$23:H100)-SUM($I$23:I99),IF(AND('депозитный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недели",WEEKDAY(F100,2)=7),MIN(OFFSET(H100,-6,0):H100)*(COUNTIF(OFFSET(H100,-6,0):H100,"&gt;0")+SUMIF(OFFSET(A100,-WEEKDAY(F100,2),0):A100,"=2",OFFSET(A100,-WEEKDAY(F100,2),0):A100)),IF(AND('депозитный калькулятор'!$G$10="еженедельное, на минимальную сумму зафиксированную в течение недели",F100='депозитный калькулятор'!$D$8,WEEKDAY(F100,2)&lt;&gt;7),MIN(OFFSET(H100,-WEEKDAY(F100,2),0):H100)*(COUNTIF(OFFSET(H100,-WEEKDAY(F100,2)+1,0):H100,"&gt;0")+SUM(OFFSET(A100,-WEEKDAY(F100,2),0):A100)),IF(AND('депозитный калькулятор'!$G$10="ежемесячное (в конце месяца)",F100='депозитный калькулятор'!$D$8,EOMONTH(F100,0)&lt;&gt;F100),IF('депозитный калькулятор'!$F$1=1,$H$24,SUM($H$23:H100)-SUM($I$23:I99)),IF(AND('депозитный калькулятор'!$G$10="ежемесячное (в конце месяца)",EOMONTH(F100,0)=F100),SUM($H$23:H100)-SUM($I$23:I99),IF(AND('депозитный калькулятор'!$G$10="ежемесячное (по дням открытия вклада)",F100='депозитный калькулятор'!$D$8,DAY('депозитный калькулятор'!$D$7)&lt;&gt;DAY(F100)),IF('депозитный калькулятор'!$F$1=1,$H$24,SUM($H$23:H100)-SUM($I$23:I99)),IF(AND('депозитный калькулятор'!$G$10="ежемесячное (по дням открытия вклада)",DAY('депозитный калькулятор'!$D$7)=DAY(F100)),SUM($H$23:H100)-SUM($I$23:I99),IF(AND('депозитный калькулятор'!$G$10="ежемесячное, на минимальную сумму зафиксированную в течение месяца",F100='депозитный калькулятор'!$D$8,EOMONTH(F100,0)&lt;&gt;F100),IF('депозитный калькулятор'!$F$1=1,$H$24,IF(AND(OR('депозитный калькулятор'!$G$7="30/365",'депозитный калькулятор'!$G$7="30/360"),DAY(F100)=31),0,MIN(OFFSET(H100,-E100+1,0):H100)*(E100+SUMIF(OFFSET(A100,-E100+1,0):A100,"=2",OFFSET(A100,-E100+1,0):A100)))),IF(AND('депозитный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калькулятор'!$G$7="30/360"),DAY(EOMONTH(F100,0))=31),EOMONTH(F100,0)-1=F100,EOMONTH(F100,0)=F100)),IF(IF(AND(OR('депозитный калькулятор'!$G$7="30/365",'депозитный калькулятор'!$G$7="30/360"),DAY(EOMONTH($F$23,0))=31),F100=EOMONTH($F$23,0)-1,F100=EOMONTH($F$23,0)),MIN(OFFSET(H100,-(DAY(F100)-DAY($F$23)),0):H100)*E100,MIN(OFFSET(H100,-(DAY(F100)-1),0):H100)*IF(AND(OR('депозитный калькулятор'!$G$7="30/365",'депозитный калькулятор'!$G$7="30/360"),DAY(F100)&lt;30),30,DAY(F100))),IF(AND('депозитный калькулятор'!$G$10="ежемесячное, на средний остаток в течение месяца, при условии что остаток больше чем ограничение",F100='депозитный калькулятор'!$D$8,EOMONTH(F100,0)&lt;&gt;F100),IF('депозитный калькулятор'!$F$1=1,$H$24,SUM(OFFSET(Q100,-E100+1,0):Q100)),IF(AND('депозитный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калькулятор'!$G$7="30/360"),DAY(EOMONTH(F100,0))=31),EOMONTH(F100,0)-1=F100,EOMONTH(F100,0)=F100)),IF(IF(AND(OR('депозитный калькулятор'!$G$7="30/365",'депозитный калькулятор'!$G$7="30/360"),DAY(EOMONTH($F$24,0))=31),F100=EOMONTH($F$24,0)-1,F100=EOMONTH($F$24,0)),SUM(OFFSET(Q100,-E100+1,0):Q100),SUM(OFFSET(Q100,-E100+1,0):Q100)),IF('депозитный калькулятор'!$G$10="ежеквартальное",IF(F100&gt;'депозитный калькулятор'!$D$8," ",IF(AND(EOMONTH(F100,0)=F100,OR(MONTH(F100)=3,MONTH(F100)=6,MONTH(F100)=9,MONTH(F100)=12)),IF(EDATE(F100,-3)&lt;'депозитный калькулятор'!$D$7,SUM($H$23:H100),IF(MOD(YEAR(F100),4)=0,IF(AND(EOMONTH(F100,0)=F100,OR(MONTH(F100)=3,MONTH(F100)=6)),SUM(OFFSET(H100,-90,0):H100),IF(AND(EOMONTH(F100,0)=F100,OR(MONTH(F100)=9,MONTH(F100)=12)),SUM(OFFSET(H100,-91,0):H100))),IF(AND(EOMONTH(F100,0)=F100,MONTH(F100)=3),SUM(OFFSET(H100,-89,0):H100),IF(AND(EOMONTH(F100,0)=F100,MONTH(F100)=6),SUM(OFFSET(H100,-90,0):H100),IF(AND(EOMONTH(F100,0)=F100,OR(MONTH(F100)=9,MONTH(F100)=12)),SUM(OFFSET(H100,-91,0):H100)))))),IF(F100='депозитный калькулятор'!$D$8,SUM($H$23:H100)-SUM($I$23:I99),0))),IF('депозитный калькулятор'!$G$10="ежегодное",IF(F100&gt;'депозитный калькулятор'!$D$8," ",IF(F100='депозитный калькулятор'!$D$8,SUM($H$23:H100)-SUM($I$23:I99),IF(AND(EOMONTH(F100,0)=F100,MONTH(F100)=12),IF(MOD(YEAR(F99),4)=0,IF(F100-'депозитный калькулятор'!$D$7&lt;366,SUM($H$23:H100),SUM(OFFSET(H100,-365,0):H100)),IF(F100-'депозитный калькулятор'!$D$7&lt;365,SUM($H$23:H100),SUM(OFFSET(H100,-364,0):H100))),0))),IF(AND('депозитный калькулятор'!$G$10="в конце срока",'депозитный калькулятор'!$D$8=F100),SUM($H$23:H100),0))))))))))))))))))</f>
        <v xml:space="preserve"> </v>
      </c>
      <c r="J100" s="59" t="str">
        <f>IF(F100&gt;'депозитный калькулятор'!$D$8," ",IF('депозитный калькулятор'!$G$16="нет",0,IF(AND('депозитный калькулятор'!$G$17="разовая (в конце срока)",F100='депозитный калькулятор'!$D$8),'депозитный калькулятор'!$G$18,IF(AND('депозитный калькулятор'!$G$17="ежемесячная",EOMONTH(F99,0)=F99),'депозитный калькулятор'!$G$18,IF(AND('депозитный калькулятор'!$G$17="ежегодная",DAY(F99)=31,MONTH(F99)=12),'депозитный калькулятор'!$G$18,IF(AND('депозитный калькулятор'!$G$17="ежемесячная в зависимости от остатка",EOMONTH(F99,0)=F99,P99&gt;0),'депозитный калькулятор'!$G$18,IF(AND('депозитный калькулятор'!$G$17="ежегодная в зависимости от остатка",DAY(F99)=31,MONTH(F99)=12,P99&gt;0),'депозитный калькулятор'!$G$18,0)))))))</f>
        <v xml:space="preserve"> </v>
      </c>
      <c r="K100" s="135" t="str">
        <f>IF($F100=" "," ",IFERROR(VLOOKUP($F100,'депозитный калькулятор'!$B$26:$F$70,2,0),0))</f>
        <v xml:space="preserve"> </v>
      </c>
      <c r="L100" s="135" t="str">
        <f>IF($F100=" "," ",IFERROR(VLOOKUP($F100,'депозитный калькулятор'!$B$26:$F$70,3,0),0))</f>
        <v xml:space="preserve"> </v>
      </c>
      <c r="M100" s="135" t="str">
        <f>IF($F100=" "," ",IFERROR(VLOOKUP($F100,'депозитный калькулятор'!$B$26:$F$70,4,0),0))</f>
        <v xml:space="preserve"> </v>
      </c>
      <c r="N100" s="135" t="str">
        <f>IF($F100=" "," ",IFERROR(VLOOKUP($F100,'депозитный калькулятор'!$B$26:$F$70,5,0),0))</f>
        <v xml:space="preserve"> </v>
      </c>
      <c r="O100" s="146" t="str">
        <f>IF(F100&gt;'депозитный калькулятор'!$D$8," ",IF(F100='депозитный калькулятор'!$D$8,IF(AND($F$24='депозитный калькулятор'!$D$8,'депозитный калькулятор'!$G$13="нет"),-G100-IF(I100=" ",0,I100)-IF(AND(OR('депозитный калькулятор'!$G$7="30/365",'депозитный калькулятор'!$G$7="30/360"),'депозитный калькулятор'!$G$10="в начале срока"),I99,0)-L100+M100-N100,-G100-IF(I100=" ",0,I100)-L100+M100-N100),IF('депозитный калькулятор'!$G$13="есть",M100-N100+IF('депозитный калькулятор'!$G$14="есть",0,-L100),-IF(I100=" ",0,I100)-IF(AND(OR('депозитный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срока"),I99,0)+M100-N100+IF('депозитный калькулятор'!$G$14="есть",0,-L100))))</f>
        <v xml:space="preserve"> </v>
      </c>
      <c r="P100" s="147" t="str">
        <f>IF(F100&gt;'депозитный калькулятор'!$D$8," ",IF(EOMONTH(F99,0)=F99,0,IF(G100&gt;='депозитный калькулятор'!$G$19,P99,P99+1)))</f>
        <v xml:space="preserve"> </v>
      </c>
      <c r="Q100" s="138" t="str">
        <f>IF(F100=" "," ",IF(AND(OR('депозитный калькулятор'!$G$7="30/365",'депозитный калькулятор'!$G$7="30/360"),AND(MONTH(F100)=2,EOMONTH(F100,0)=F100)),IF(DAY(F100)=28,3,2),1)*IF(G100&gt;='депозитный калькулятор'!$G$11,IF(AND('депозитный калькулятор'!$G$7="факт/факт",MOD(YEAR(F100),4)=0),G100*'депозитный калькулятор'!$D$11/366,G100*'депозитный калькулятор'!$G$8),0))</f>
        <v xml:space="preserve"> </v>
      </c>
      <c r="R100" s="148"/>
      <c r="S100" s="62" t="str">
        <f t="shared" ca="1" si="7"/>
        <v xml:space="preserve"> </v>
      </c>
      <c r="T100" s="149" t="str">
        <f ca="1">IF(S100=" "," ",IF('депозитный калькулятор'!$G$7="30/360",DAYS360(U99,IF(DAY(U100)=31,U100-1,U100))+IF(AND(MONTH(U100)=2,U100=EOMONTH(U100,0)),30-DAY(EOMONTH(U100,0)))+T99,VLOOKUP(S100,$C$22:$F$1023,2,0)))</f>
        <v xml:space="preserve"> </v>
      </c>
      <c r="U100" s="64" t="str">
        <f t="shared" ca="1" si="5"/>
        <v xml:space="preserve"> </v>
      </c>
      <c r="V100" s="150" t="str">
        <f t="shared" ca="1" si="8"/>
        <v xml:space="preserve"> </v>
      </c>
      <c r="W100" s="62" t="str">
        <f t="shared" ca="1" si="9"/>
        <v xml:space="preserve"> </v>
      </c>
      <c r="X100" s="141" t="str">
        <f ca="1">IF(S100=" "," ",IFERROR(VLOOKUP(U100,$F$23:$N$1023,7)+VLOOKUP(U100,$F$23:$N$1023,9)+IF(AND('депозитный калькулятор'!$G$13="нет",U100&lt;&gt;'депозитный калькулятор'!$D$8),VLOOKUP(U100,$F$23:$N$1023,4),0),0)+IF(U100='депозитный калькулятор'!$D$8,VLOOKUP(U100,$F$23:$N$1023,2)+VLOOKUP(U100,$F$23:$N$1023,4),0))</f>
        <v xml:space="preserve"> </v>
      </c>
      <c r="Y100" s="142" t="str">
        <f ca="1">IF(S100=" "," ",W100/(1+'депозитный калькулятор'!$K$8)^(T100/IF('депозитный калькулятор'!$G$7="30/360",360,365)))</f>
        <v xml:space="preserve"> </v>
      </c>
      <c r="Z100" s="142" t="str">
        <f ca="1">IF(S100=" "," ",X100/(1+'депозитный калькулятор'!$K$8)^(T100/IF('депозитный калькулятор'!$G$7="30/360",360,365)))</f>
        <v xml:space="preserve"> </v>
      </c>
      <c r="AA100" s="151"/>
      <c r="AB100" s="151"/>
      <c r="AC100" s="155"/>
      <c r="AD100" s="155"/>
    </row>
    <row r="101" spans="1:30" s="2" customFormat="1" ht="15.5" x14ac:dyDescent="0.35">
      <c r="A101" s="41" t="str">
        <f>IF(F101=" "," ",IF(OR('депозитный калькулятор'!$G$7="30/365",'депозитный калькулятор'!$G$7="30/360"),IF(AND(MONTH(F101)=2,DAY(F101)=DAY(EOMONTH(F101,0))),30-DAY(EOMONTH(F101,0)),IF(DAY(F101)=31,1," "))," "))</f>
        <v xml:space="preserve"> </v>
      </c>
      <c r="B101" s="130" t="str">
        <f t="shared" si="6"/>
        <v xml:space="preserve"> </v>
      </c>
      <c r="C101" s="130" t="str">
        <f>IF(OR(B101=0,B101=" ")," ",SUM($B$23:B101))</f>
        <v xml:space="preserve"> </v>
      </c>
      <c r="D101" s="62" t="str">
        <f>IF(D100=" "," ",IF(OR(F100='депозитный калькулятор'!$D$8,F100=" ")," ",D100+1))</f>
        <v xml:space="preserve"> </v>
      </c>
      <c r="E101" s="130" t="str">
        <f>IF(OR(F100='депозитный калькулятор'!$D$8,F100=" ")," ",IF(EOMONTH(F100,0)=F100,1,E100+1))</f>
        <v xml:space="preserve"> </v>
      </c>
      <c r="F101" s="64" t="str">
        <f>IF(F100=" "," ",IF(F100='депозитный калькулятор'!$D$8," ",F100+1))</f>
        <v xml:space="preserve"> </v>
      </c>
      <c r="G101" s="145" t="str">
        <f xml:space="preserve"> IF(F101&gt;'депозитный калькулятор'!$D$8," ",IF('депозитный калькулятор'!$G$13="есть",IF('депозитный калькулятор'!$G$14="есть",G100+IF(I100=" ",0,I100)-J101-K101+L101+M101-N101,G100+IF(I100=" ",0,I100)-J101-K101+M101-N101),IF('депозитный калькулятор'!$G$14="есть",G100-J101-K101+L101+M101-N101,G100-J101-K101+M101-N101)))</f>
        <v xml:space="preserve"> </v>
      </c>
      <c r="H101" s="133" t="str">
        <f>IF(F101&gt;'депозитный калькулятор'!$D$8," ",IF(AND(OR('депозитный калькулятор'!$G$7="30/365",'депозитный калькулятор'!$G$7="30/360"),AND(MONTH(F101)=2,EOMONTH(F101,0)=F101)),IF(DAY(F101)=28,3*G101*'депозитный калькулятор'!$G$8,2*G101*'депозитный калькулятор'!$G$8),IF(AND(OR('депозитный калькулятор'!$G$7="30/365",'депозитный калькулятор'!$G$7="30/360"),DAY(F101)=31)," ",IF(AND('депозитный калькулятор'!$G$7="факт/факт",MOD(YEAR(F101),4)=0),G101*'депозитный калькулятор'!$D$11/366,G101*'депозитный калькулятор'!$G$8))))</f>
        <v xml:space="preserve"> </v>
      </c>
      <c r="I101" s="134" t="str">
        <f ca="1">IF(F101=" "," ",IF('депозитный калькулятор'!$G$10="ежедневное",H101,IF(AND('депозитный калькулятор'!$G$10="еженедельное",WEEKDAY(F101,2)=7),SUM(OFFSET(H101,-6,0):H101),IF(AND('депозитный калькулятор'!$G$10="еженедельное",F101='депозитный калькулятор'!$D$8),SUM($H$23:H101)-SUM($I$23:I100),IF(AND('депозитный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недели",WEEKDAY(F101,2)=7),MIN(OFFSET(H101,-6,0):H101)*(COUNTIF(OFFSET(H101,-6,0):H101,"&gt;0")+SUMIF(OFFSET(A101,-WEEKDAY(F101,2),0):A101,"=2",OFFSET(A101,-WEEKDAY(F101,2),0):A101)),IF(AND('депозитный калькулятор'!$G$10="еженедельное, на минимальную сумму зафиксированную в течение недели",F101='депозитный калькулятор'!$D$8,WEEKDAY(F101,2)&lt;&gt;7),MIN(OFFSET(H101,-WEEKDAY(F101,2),0):H101)*(COUNTIF(OFFSET(H101,-WEEKDAY(F101,2)+1,0):H101,"&gt;0")+SUM(OFFSET(A101,-WEEKDAY(F101,2),0):A101)),IF(AND('депозитный калькулятор'!$G$10="ежемесячное (в конце месяца)",F101='депозитный калькулятор'!$D$8,EOMONTH(F101,0)&lt;&gt;F101),IF('депозитный калькулятор'!$F$1=1,$H$24,SUM($H$23:H101)-SUM($I$23:I100)),IF(AND('депозитный калькулятор'!$G$10="ежемесячное (в конце месяца)",EOMONTH(F101,0)=F101),SUM($H$23:H101)-SUM($I$23:I100),IF(AND('депозитный калькулятор'!$G$10="ежемесячное (по дням открытия вклада)",F101='депозитный калькулятор'!$D$8,DAY('депозитный калькулятор'!$D$7)&lt;&gt;DAY(F101)),IF('депозитный калькулятор'!$F$1=1,$H$24,SUM($H$23:H101)-SUM($I$23:I100)),IF(AND('депозитный калькулятор'!$G$10="ежемесячное (по дням открытия вклада)",DAY('депозитный калькулятор'!$D$7)=DAY(F101)),SUM($H$23:H101)-SUM($I$23:I100),IF(AND('депозитный калькулятор'!$G$10="ежемесячное, на минимальную сумму зафиксированную в течение месяца",F101='депозитный калькулятор'!$D$8,EOMONTH(F101,0)&lt;&gt;F101),IF('депозитный калькулятор'!$F$1=1,$H$24,IF(AND(OR('депозитный калькулятор'!$G$7="30/365",'депозитный калькулятор'!$G$7="30/360"),DAY(F101)=31),0,MIN(OFFSET(H101,-E101+1,0):H101)*(E101+SUMIF(OFFSET(A101,-E101+1,0):A101,"=2",OFFSET(A101,-E101+1,0):A101)))),IF(AND('депозитный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калькулятор'!$G$7="30/360"),DAY(EOMONTH(F101,0))=31),EOMONTH(F101,0)-1=F101,EOMONTH(F101,0)=F101)),IF(IF(AND(OR('депозитный калькулятор'!$G$7="30/365",'депозитный калькулятор'!$G$7="30/360"),DAY(EOMONTH($F$23,0))=31),F101=EOMONTH($F$23,0)-1,F101=EOMONTH($F$23,0)),MIN(OFFSET(H101,-(DAY(F101)-DAY($F$23)),0):H101)*E101,MIN(OFFSET(H101,-(DAY(F101)-1),0):H101)*IF(AND(OR('депозитный калькулятор'!$G$7="30/365",'депозитный калькулятор'!$G$7="30/360"),DAY(F101)&lt;30),30,DAY(F101))),IF(AND('депозитный калькулятор'!$G$10="ежемесячное, на средний остаток в течение месяца, при условии что остаток больше чем ограничение",F101='депозитный калькулятор'!$D$8,EOMONTH(F101,0)&lt;&gt;F101),IF('депозитный калькулятор'!$F$1=1,$H$24,SUM(OFFSET(Q101,-E101+1,0):Q101)),IF(AND('депозитный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калькулятор'!$G$7="30/360"),DAY(EOMONTH(F101,0))=31),EOMONTH(F101,0)-1=F101,EOMONTH(F101,0)=F101)),IF(IF(AND(OR('депозитный калькулятор'!$G$7="30/365",'депозитный калькулятор'!$G$7="30/360"),DAY(EOMONTH($F$24,0))=31),F101=EOMONTH($F$24,0)-1,F101=EOMONTH($F$24,0)),SUM(OFFSET(Q101,-E101+1,0):Q101),SUM(OFFSET(Q101,-E101+1,0):Q101)),IF('депозитный калькулятор'!$G$10="ежеквартальное",IF(F101&gt;'депозитный калькулятор'!$D$8," ",IF(AND(EOMONTH(F101,0)=F101,OR(MONTH(F101)=3,MONTH(F101)=6,MONTH(F101)=9,MONTH(F101)=12)),IF(EDATE(F101,-3)&lt;'депозитный калькулятор'!$D$7,SUM($H$23:H101),IF(MOD(YEAR(F101),4)=0,IF(AND(EOMONTH(F101,0)=F101,OR(MONTH(F101)=3,MONTH(F101)=6)),SUM(OFFSET(H101,-90,0):H101),IF(AND(EOMONTH(F101,0)=F101,OR(MONTH(F101)=9,MONTH(F101)=12)),SUM(OFFSET(H101,-91,0):H101))),IF(AND(EOMONTH(F101,0)=F101,MONTH(F101)=3),SUM(OFFSET(H101,-89,0):H101),IF(AND(EOMONTH(F101,0)=F101,MONTH(F101)=6),SUM(OFFSET(H101,-90,0):H101),IF(AND(EOMONTH(F101,0)=F101,OR(MONTH(F101)=9,MONTH(F101)=12)),SUM(OFFSET(H101,-91,0):H101)))))),IF(F101='депозитный калькулятор'!$D$8,SUM($H$23:H101)-SUM($I$23:I100),0))),IF('депозитный калькулятор'!$G$10="ежегодное",IF(F101&gt;'депозитный калькулятор'!$D$8," ",IF(F101='депозитный калькулятор'!$D$8,SUM($H$23:H101)-SUM($I$23:I100),IF(AND(EOMONTH(F101,0)=F101,MONTH(F101)=12),IF(MOD(YEAR(F100),4)=0,IF(F101-'депозитный калькулятор'!$D$7&lt;366,SUM($H$23:H101),SUM(OFFSET(H101,-365,0):H101)),IF(F101-'депозитный калькулятор'!$D$7&lt;365,SUM($H$23:H101),SUM(OFFSET(H101,-364,0):H101))),0))),IF(AND('депозитный калькулятор'!$G$10="в конце срока",'депозитный калькулятор'!$D$8=F101),SUM($H$23:H101),0))))))))))))))))))</f>
        <v xml:space="preserve"> </v>
      </c>
      <c r="J101" s="59" t="str">
        <f>IF(F101&gt;'депозитный калькулятор'!$D$8," ",IF('депозитный калькулятор'!$G$16="нет",0,IF(AND('депозитный калькулятор'!$G$17="разовая (в конце срока)",F101='депозитный калькулятор'!$D$8),'депозитный калькулятор'!$G$18,IF(AND('депозитный калькулятор'!$G$17="ежемесячная",EOMONTH(F100,0)=F100),'депозитный калькулятор'!$G$18,IF(AND('депозитный калькулятор'!$G$17="ежегодная",DAY(F100)=31,MONTH(F100)=12),'депозитный калькулятор'!$G$18,IF(AND('депозитный калькулятор'!$G$17="ежемесячная в зависимости от остатка",EOMONTH(F100,0)=F100,P100&gt;0),'депозитный калькулятор'!$G$18,IF(AND('депозитный калькулятор'!$G$17="ежегодная в зависимости от остатка",DAY(F100)=31,MONTH(F100)=12,P100&gt;0),'депозитный калькулятор'!$G$18,0)))))))</f>
        <v xml:space="preserve"> </v>
      </c>
      <c r="K101" s="135" t="str">
        <f>IF($F101=" "," ",IFERROR(VLOOKUP($F101,'депозитный калькулятор'!$B$26:$F$70,2,0),0))</f>
        <v xml:space="preserve"> </v>
      </c>
      <c r="L101" s="135" t="str">
        <f>IF($F101=" "," ",IFERROR(VLOOKUP($F101,'депозитный калькулятор'!$B$26:$F$70,3,0),0))</f>
        <v xml:space="preserve"> </v>
      </c>
      <c r="M101" s="135" t="str">
        <f>IF($F101=" "," ",IFERROR(VLOOKUP($F101,'депозитный калькулятор'!$B$26:$F$70,4,0),0))</f>
        <v xml:space="preserve"> </v>
      </c>
      <c r="N101" s="135" t="str">
        <f>IF($F101=" "," ",IFERROR(VLOOKUP($F101,'депозитный калькулятор'!$B$26:$F$70,5,0),0))</f>
        <v xml:space="preserve"> </v>
      </c>
      <c r="O101" s="146" t="str">
        <f>IF(F101&gt;'депозитный калькулятор'!$D$8," ",IF(F101='депозитный калькулятор'!$D$8,IF(AND($F$24='депозитный калькулятор'!$D$8,'депозитный калькулятор'!$G$13="нет"),-G101-IF(I101=" ",0,I101)-IF(AND(OR('депозитный калькулятор'!$G$7="30/365",'депозитный калькулятор'!$G$7="30/360"),'депозитный калькулятор'!$G$10="в начале срока"),I100,0)-L101+M101-N101,-G101-IF(I101=" ",0,I101)-L101+M101-N101),IF('депозитный калькулятор'!$G$13="есть",M101-N101+IF('депозитный калькулятор'!$G$14="есть",0,-L101),-IF(I101=" ",0,I101)-IF(AND(OR('депозитный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срока"),I100,0)+M101-N101+IF('депозитный калькулятор'!$G$14="есть",0,-L101))))</f>
        <v xml:space="preserve"> </v>
      </c>
      <c r="P101" s="147" t="str">
        <f>IF(F101&gt;'депозитный калькулятор'!$D$8," ",IF(EOMONTH(F100,0)=F100,0,IF(G101&gt;='депозитный калькулятор'!$G$19,P100,P100+1)))</f>
        <v xml:space="preserve"> </v>
      </c>
      <c r="Q101" s="138" t="str">
        <f>IF(F101=" "," ",IF(AND(OR('депозитный калькулятор'!$G$7="30/365",'депозитный калькулятор'!$G$7="30/360"),AND(MONTH(F101)=2,EOMONTH(F101,0)=F101)),IF(DAY(F101)=28,3,2),1)*IF(G101&gt;='депозитный калькулятор'!$G$11,IF(AND('депозитный калькулятор'!$G$7="факт/факт",MOD(YEAR(F101),4)=0),G101*'депозитный калькулятор'!$D$11/366,G101*'депозитный калькулятор'!$G$8),0))</f>
        <v xml:space="preserve"> </v>
      </c>
      <c r="R101" s="148"/>
      <c r="S101" s="62" t="str">
        <f t="shared" ca="1" si="7"/>
        <v xml:space="preserve"> </v>
      </c>
      <c r="T101" s="149" t="str">
        <f ca="1">IF(S101=" "," ",IF('депозитный калькулятор'!$G$7="30/360",DAYS360(U100,IF(DAY(U101)=31,U101-1,U101))+IF(AND(MONTH(U101)=2,U101=EOMONTH(U101,0)),30-DAY(EOMONTH(U101,0)))+T100,VLOOKUP(S101,$C$22:$F$1023,2,0)))</f>
        <v xml:space="preserve"> </v>
      </c>
      <c r="U101" s="64" t="str">
        <f t="shared" ca="1" si="5"/>
        <v xml:space="preserve"> </v>
      </c>
      <c r="V101" s="150" t="str">
        <f t="shared" ca="1" si="8"/>
        <v xml:space="preserve"> </v>
      </c>
      <c r="W101" s="62" t="str">
        <f t="shared" ca="1" si="9"/>
        <v xml:space="preserve"> </v>
      </c>
      <c r="X101" s="141" t="str">
        <f ca="1">IF(S101=" "," ",IFERROR(VLOOKUP(U101,$F$23:$N$1023,7)+VLOOKUP(U101,$F$23:$N$1023,9)+IF(AND('депозитный калькулятор'!$G$13="нет",U101&lt;&gt;'депозитный калькулятор'!$D$8),VLOOKUP(U101,$F$23:$N$1023,4),0),0)+IF(U101='депозитный калькулятор'!$D$8,VLOOKUP(U101,$F$23:$N$1023,2)+VLOOKUP(U101,$F$23:$N$1023,4),0))</f>
        <v xml:space="preserve"> </v>
      </c>
      <c r="Y101" s="142" t="str">
        <f ca="1">IF(S101=" "," ",W101/(1+'депозитный калькулятор'!$K$8)^(T101/IF('депозитный калькулятор'!$G$7="30/360",360,365)))</f>
        <v xml:space="preserve"> </v>
      </c>
      <c r="Z101" s="142" t="str">
        <f ca="1">IF(S101=" "," ",X101/(1+'депозитный калькулятор'!$K$8)^(T101/IF('депозитный калькулятор'!$G$7="30/360",360,365)))</f>
        <v xml:space="preserve"> </v>
      </c>
      <c r="AA101" s="151"/>
      <c r="AB101" s="151"/>
      <c r="AC101" s="155"/>
      <c r="AD101" s="155"/>
    </row>
    <row r="102" spans="1:30" s="2" customFormat="1" ht="15.5" x14ac:dyDescent="0.35">
      <c r="A102" s="41" t="str">
        <f>IF(F102=" "," ",IF(OR('депозитный калькулятор'!$G$7="30/365",'депозитный калькулятор'!$G$7="30/360"),IF(AND(MONTH(F102)=2,DAY(F102)=DAY(EOMONTH(F102,0))),30-DAY(EOMONTH(F102,0)),IF(DAY(F102)=31,1," "))," "))</f>
        <v xml:space="preserve"> </v>
      </c>
      <c r="B102" s="130" t="str">
        <f t="shared" si="6"/>
        <v xml:space="preserve"> </v>
      </c>
      <c r="C102" s="130" t="str">
        <f>IF(OR(B102=0,B102=" ")," ",SUM($B$23:B102))</f>
        <v xml:space="preserve"> </v>
      </c>
      <c r="D102" s="62" t="str">
        <f>IF(D101=" "," ",IF(OR(F101='депозитный калькулятор'!$D$8,F101=" ")," ",D101+1))</f>
        <v xml:space="preserve"> </v>
      </c>
      <c r="E102" s="130" t="str">
        <f>IF(OR(F101='депозитный калькулятор'!$D$8,F101=" ")," ",IF(EOMONTH(F101,0)=F101,1,E101+1))</f>
        <v xml:space="preserve"> </v>
      </c>
      <c r="F102" s="64" t="str">
        <f>IF(F101=" "," ",IF(F101='депозитный калькулятор'!$D$8," ",F101+1))</f>
        <v xml:space="preserve"> </v>
      </c>
      <c r="G102" s="145" t="str">
        <f xml:space="preserve"> IF(F102&gt;'депозитный калькулятор'!$D$8," ",IF('депозитный калькулятор'!$G$13="есть",IF('депозитный калькулятор'!$G$14="есть",G101+IF(I101=" ",0,I101)-J102-K102+L102+M102-N102,G101+IF(I101=" ",0,I101)-J102-K102+M102-N102),IF('депозитный калькулятор'!$G$14="есть",G101-J102-K102+L102+M102-N102,G101-J102-K102+M102-N102)))</f>
        <v xml:space="preserve"> </v>
      </c>
      <c r="H102" s="133" t="str">
        <f>IF(F102&gt;'депозитный калькулятор'!$D$8," ",IF(AND(OR('депозитный калькулятор'!$G$7="30/365",'депозитный калькулятор'!$G$7="30/360"),AND(MONTH(F102)=2,EOMONTH(F102,0)=F102)),IF(DAY(F102)=28,3*G102*'депозитный калькулятор'!$G$8,2*G102*'депозитный калькулятор'!$G$8),IF(AND(OR('депозитный калькулятор'!$G$7="30/365",'депозитный калькулятор'!$G$7="30/360"),DAY(F102)=31)," ",IF(AND('депозитный калькулятор'!$G$7="факт/факт",MOD(YEAR(F102),4)=0),G102*'депозитный калькулятор'!$D$11/366,G102*'депозитный калькулятор'!$G$8))))</f>
        <v xml:space="preserve"> </v>
      </c>
      <c r="I102" s="134" t="str">
        <f ca="1">IF(F102=" "," ",IF('депозитный калькулятор'!$G$10="ежедневное",H102,IF(AND('депозитный калькулятор'!$G$10="еженедельное",WEEKDAY(F102,2)=7),SUM(OFFSET(H102,-6,0):H102),IF(AND('депозитный калькулятор'!$G$10="еженедельное",F102='депозитный калькулятор'!$D$8),SUM($H$23:H102)-SUM($I$23:I101),IF(AND('депозитный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недели",WEEKDAY(F102,2)=7),MIN(OFFSET(H102,-6,0):H102)*(COUNTIF(OFFSET(H102,-6,0):H102,"&gt;0")+SUMIF(OFFSET(A102,-WEEKDAY(F102,2),0):A102,"=2",OFFSET(A102,-WEEKDAY(F102,2),0):A102)),IF(AND('депозитный калькулятор'!$G$10="еженедельное, на минимальную сумму зафиксированную в течение недели",F102='депозитный калькулятор'!$D$8,WEEKDAY(F102,2)&lt;&gt;7),MIN(OFFSET(H102,-WEEKDAY(F102,2),0):H102)*(COUNTIF(OFFSET(H102,-WEEKDAY(F102,2)+1,0):H102,"&gt;0")+SUM(OFFSET(A102,-WEEKDAY(F102,2),0):A102)),IF(AND('депозитный калькулятор'!$G$10="ежемесячное (в конце месяца)",F102='депозитный калькулятор'!$D$8,EOMONTH(F102,0)&lt;&gt;F102),IF('депозитный калькулятор'!$F$1=1,$H$24,SUM($H$23:H102)-SUM($I$23:I101)),IF(AND('депозитный калькулятор'!$G$10="ежемесячное (в конце месяца)",EOMONTH(F102,0)=F102),SUM($H$23:H102)-SUM($I$23:I101),IF(AND('депозитный калькулятор'!$G$10="ежемесячное (по дням открытия вклада)",F102='депозитный калькулятор'!$D$8,DAY('депозитный калькулятор'!$D$7)&lt;&gt;DAY(F102)),IF('депозитный калькулятор'!$F$1=1,$H$24,SUM($H$23:H102)-SUM($I$23:I101)),IF(AND('депозитный калькулятор'!$G$10="ежемесячное (по дням открытия вклада)",DAY('депозитный калькулятор'!$D$7)=DAY(F102)),SUM($H$23:H102)-SUM($I$23:I101),IF(AND('депозитный калькулятор'!$G$10="ежемесячное, на минимальную сумму зафиксированную в течение месяца",F102='депозитный калькулятор'!$D$8,EOMONTH(F102,0)&lt;&gt;F102),IF('депозитный калькулятор'!$F$1=1,$H$24,IF(AND(OR('депозитный калькулятор'!$G$7="30/365",'депозитный калькулятор'!$G$7="30/360"),DAY(F102)=31),0,MIN(OFFSET(H102,-E102+1,0):H102)*(E102+SUMIF(OFFSET(A102,-E102+1,0):A102,"=2",OFFSET(A102,-E102+1,0):A102)))),IF(AND('депозитный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калькулятор'!$G$7="30/360"),DAY(EOMONTH(F102,0))=31),EOMONTH(F102,0)-1=F102,EOMONTH(F102,0)=F102)),IF(IF(AND(OR('депозитный калькулятор'!$G$7="30/365",'депозитный калькулятор'!$G$7="30/360"),DAY(EOMONTH($F$23,0))=31),F102=EOMONTH($F$23,0)-1,F102=EOMONTH($F$23,0)),MIN(OFFSET(H102,-(DAY(F102)-DAY($F$23)),0):H102)*E102,MIN(OFFSET(H102,-(DAY(F102)-1),0):H102)*IF(AND(OR('депозитный калькулятор'!$G$7="30/365",'депозитный калькулятор'!$G$7="30/360"),DAY(F102)&lt;30),30,DAY(F102))),IF(AND('депозитный калькулятор'!$G$10="ежемесячное, на средний остаток в течение месяца, при условии что остаток больше чем ограничение",F102='депозитный калькулятор'!$D$8,EOMONTH(F102,0)&lt;&gt;F102),IF('депозитный калькулятор'!$F$1=1,$H$24,SUM(OFFSET(Q102,-E102+1,0):Q102)),IF(AND('депозитный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калькулятор'!$G$7="30/360"),DAY(EOMONTH(F102,0))=31),EOMONTH(F102,0)-1=F102,EOMONTH(F102,0)=F102)),IF(IF(AND(OR('депозитный калькулятор'!$G$7="30/365",'депозитный калькулятор'!$G$7="30/360"),DAY(EOMONTH($F$24,0))=31),F102=EOMONTH($F$24,0)-1,F102=EOMONTH($F$24,0)),SUM(OFFSET(Q102,-E102+1,0):Q102),SUM(OFFSET(Q102,-E102+1,0):Q102)),IF('депозитный калькулятор'!$G$10="ежеквартальное",IF(F102&gt;'депозитный калькулятор'!$D$8," ",IF(AND(EOMONTH(F102,0)=F102,OR(MONTH(F102)=3,MONTH(F102)=6,MONTH(F102)=9,MONTH(F102)=12)),IF(EDATE(F102,-3)&lt;'депозитный калькулятор'!$D$7,SUM($H$23:H102),IF(MOD(YEAR(F102),4)=0,IF(AND(EOMONTH(F102,0)=F102,OR(MONTH(F102)=3,MONTH(F102)=6)),SUM(OFFSET(H102,-90,0):H102),IF(AND(EOMONTH(F102,0)=F102,OR(MONTH(F102)=9,MONTH(F102)=12)),SUM(OFFSET(H102,-91,0):H102))),IF(AND(EOMONTH(F102,0)=F102,MONTH(F102)=3),SUM(OFFSET(H102,-89,0):H102),IF(AND(EOMONTH(F102,0)=F102,MONTH(F102)=6),SUM(OFFSET(H102,-90,0):H102),IF(AND(EOMONTH(F102,0)=F102,OR(MONTH(F102)=9,MONTH(F102)=12)),SUM(OFFSET(H102,-91,0):H102)))))),IF(F102='депозитный калькулятор'!$D$8,SUM($H$23:H102)-SUM($I$23:I101),0))),IF('депозитный калькулятор'!$G$10="ежегодное",IF(F102&gt;'депозитный калькулятор'!$D$8," ",IF(F102='депозитный калькулятор'!$D$8,SUM($H$23:H102)-SUM($I$23:I101),IF(AND(EOMONTH(F102,0)=F102,MONTH(F102)=12),IF(MOD(YEAR(F101),4)=0,IF(F102-'депозитный калькулятор'!$D$7&lt;366,SUM($H$23:H102),SUM(OFFSET(H102,-365,0):H102)),IF(F102-'депозитный калькулятор'!$D$7&lt;365,SUM($H$23:H102),SUM(OFFSET(H102,-364,0):H102))),0))),IF(AND('депозитный калькулятор'!$G$10="в конце срока",'депозитный калькулятор'!$D$8=F102),SUM($H$23:H102),0))))))))))))))))))</f>
        <v xml:space="preserve"> </v>
      </c>
      <c r="J102" s="59" t="str">
        <f>IF(F102&gt;'депозитный калькулятор'!$D$8," ",IF('депозитный калькулятор'!$G$16="нет",0,IF(AND('депозитный калькулятор'!$G$17="разовая (в конце срока)",F102='депозитный калькулятор'!$D$8),'депозитный калькулятор'!$G$18,IF(AND('депозитный калькулятор'!$G$17="ежемесячная",EOMONTH(F101,0)=F101),'депозитный калькулятор'!$G$18,IF(AND('депозитный калькулятор'!$G$17="ежегодная",DAY(F101)=31,MONTH(F101)=12),'депозитный калькулятор'!$G$18,IF(AND('депозитный калькулятор'!$G$17="ежемесячная в зависимости от остатка",EOMONTH(F101,0)=F101,P101&gt;0),'депозитный калькулятор'!$G$18,IF(AND('депозитный калькулятор'!$G$17="ежегодная в зависимости от остатка",DAY(F101)=31,MONTH(F101)=12,P101&gt;0),'депозитный калькулятор'!$G$18,0)))))))</f>
        <v xml:space="preserve"> </v>
      </c>
      <c r="K102" s="135" t="str">
        <f>IF($F102=" "," ",IFERROR(VLOOKUP($F102,'депозитный калькулятор'!$B$26:$F$70,2,0),0))</f>
        <v xml:space="preserve"> </v>
      </c>
      <c r="L102" s="135" t="str">
        <f>IF($F102=" "," ",IFERROR(VLOOKUP($F102,'депозитный калькулятор'!$B$26:$F$70,3,0),0))</f>
        <v xml:space="preserve"> </v>
      </c>
      <c r="M102" s="135" t="str">
        <f>IF($F102=" "," ",IFERROR(VLOOKUP($F102,'депозитный калькулятор'!$B$26:$F$70,4,0),0))</f>
        <v xml:space="preserve"> </v>
      </c>
      <c r="N102" s="135" t="str">
        <f>IF($F102=" "," ",IFERROR(VLOOKUP($F102,'депозитный калькулятор'!$B$26:$F$70,5,0),0))</f>
        <v xml:space="preserve"> </v>
      </c>
      <c r="O102" s="146" t="str">
        <f>IF(F102&gt;'депозитный калькулятор'!$D$8," ",IF(F102='депозитный калькулятор'!$D$8,IF(AND($F$24='депозитный калькулятор'!$D$8,'депозитный калькулятор'!$G$13="нет"),-G102-IF(I102=" ",0,I102)-IF(AND(OR('депозитный калькулятор'!$G$7="30/365",'депозитный калькулятор'!$G$7="30/360"),'депозитный калькулятор'!$G$10="в начале срока"),I101,0)-L102+M102-N102,-G102-IF(I102=" ",0,I102)-L102+M102-N102),IF('депозитный калькулятор'!$G$13="есть",M102-N102+IF('депозитный калькулятор'!$G$14="есть",0,-L102),-IF(I102=" ",0,I102)-IF(AND(OR('депозитный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срока"),I101,0)+M102-N102+IF('депозитный калькулятор'!$G$14="есть",0,-L102))))</f>
        <v xml:space="preserve"> </v>
      </c>
      <c r="P102" s="147" t="str">
        <f>IF(F102&gt;'депозитный калькулятор'!$D$8," ",IF(EOMONTH(F101,0)=F101,0,IF(G102&gt;='депозитный калькулятор'!$G$19,P101,P101+1)))</f>
        <v xml:space="preserve"> </v>
      </c>
      <c r="Q102" s="138" t="str">
        <f>IF(F102=" "," ",IF(AND(OR('депозитный калькулятор'!$G$7="30/365",'депозитный калькулятор'!$G$7="30/360"),AND(MONTH(F102)=2,EOMONTH(F102,0)=F102)),IF(DAY(F102)=28,3,2),1)*IF(G102&gt;='депозитный калькулятор'!$G$11,IF(AND('депозитный калькулятор'!$G$7="факт/факт",MOD(YEAR(F102),4)=0),G102*'депозитный калькулятор'!$D$11/366,G102*'депозитный калькулятор'!$G$8),0))</f>
        <v xml:space="preserve"> </v>
      </c>
      <c r="R102" s="148"/>
      <c r="S102" s="62" t="str">
        <f t="shared" ca="1" si="7"/>
        <v xml:space="preserve"> </v>
      </c>
      <c r="T102" s="149" t="str">
        <f ca="1">IF(S102=" "," ",IF('депозитный калькулятор'!$G$7="30/360",DAYS360(U101,IF(DAY(U102)=31,U102-1,U102))+IF(AND(MONTH(U102)=2,U102=EOMONTH(U102,0)),30-DAY(EOMONTH(U102,0)))+T101,VLOOKUP(S102,$C$22:$F$1023,2,0)))</f>
        <v xml:space="preserve"> </v>
      </c>
      <c r="U102" s="64" t="str">
        <f t="shared" ca="1" si="5"/>
        <v xml:space="preserve"> </v>
      </c>
      <c r="V102" s="150" t="str">
        <f t="shared" ca="1" si="8"/>
        <v xml:space="preserve"> </v>
      </c>
      <c r="W102" s="62" t="str">
        <f t="shared" ca="1" si="9"/>
        <v xml:space="preserve"> </v>
      </c>
      <c r="X102" s="141" t="str">
        <f ca="1">IF(S102=" "," ",IFERROR(VLOOKUP(U102,$F$23:$N$1023,7)+VLOOKUP(U102,$F$23:$N$1023,9)+IF(AND('депозитный калькулятор'!$G$13="нет",U102&lt;&gt;'депозитный калькулятор'!$D$8),VLOOKUP(U102,$F$23:$N$1023,4),0),0)+IF(U102='депозитный калькулятор'!$D$8,VLOOKUP(U102,$F$23:$N$1023,2)+VLOOKUP(U102,$F$23:$N$1023,4),0))</f>
        <v xml:space="preserve"> </v>
      </c>
      <c r="Y102" s="142" t="str">
        <f ca="1">IF(S102=" "," ",W102/(1+'депозитный калькулятор'!$K$8)^(T102/IF('депозитный калькулятор'!$G$7="30/360",360,365)))</f>
        <v xml:space="preserve"> </v>
      </c>
      <c r="Z102" s="142" t="str">
        <f ca="1">IF(S102=" "," ",X102/(1+'депозитный калькулятор'!$K$8)^(T102/IF('депозитный калькулятор'!$G$7="30/360",360,365)))</f>
        <v xml:space="preserve"> </v>
      </c>
      <c r="AA102" s="151"/>
      <c r="AB102" s="151"/>
      <c r="AC102" s="155"/>
      <c r="AD102" s="155"/>
    </row>
    <row r="103" spans="1:30" s="2" customFormat="1" ht="15.5" x14ac:dyDescent="0.35">
      <c r="A103" s="41" t="str">
        <f>IF(F103=" "," ",IF(OR('депозитный калькулятор'!$G$7="30/365",'депозитный калькулятор'!$G$7="30/360"),IF(AND(MONTH(F103)=2,DAY(F103)=DAY(EOMONTH(F103,0))),30-DAY(EOMONTH(F103,0)),IF(DAY(F103)=31,1," "))," "))</f>
        <v xml:space="preserve"> </v>
      </c>
      <c r="B103" s="130" t="str">
        <f t="shared" si="6"/>
        <v xml:space="preserve"> </v>
      </c>
      <c r="C103" s="130" t="str">
        <f>IF(OR(B103=0,B103=" ")," ",SUM($B$23:B103))</f>
        <v xml:space="preserve"> </v>
      </c>
      <c r="D103" s="62" t="str">
        <f>IF(D102=" "," ",IF(OR(F102='депозитный калькулятор'!$D$8,F102=" ")," ",D102+1))</f>
        <v xml:space="preserve"> </v>
      </c>
      <c r="E103" s="130" t="str">
        <f>IF(OR(F102='депозитный калькулятор'!$D$8,F102=" ")," ",IF(EOMONTH(F102,0)=F102,1,E102+1))</f>
        <v xml:space="preserve"> </v>
      </c>
      <c r="F103" s="64" t="str">
        <f>IF(F102=" "," ",IF(F102='депозитный калькулятор'!$D$8," ",F102+1))</f>
        <v xml:space="preserve"> </v>
      </c>
      <c r="G103" s="145" t="str">
        <f xml:space="preserve"> IF(F103&gt;'депозитный калькулятор'!$D$8," ",IF('депозитный калькулятор'!$G$13="есть",IF('депозитный калькулятор'!$G$14="есть",G102+IF(I102=" ",0,I102)-J103-K103+L103+M103-N103,G102+IF(I102=" ",0,I102)-J103-K103+M103-N103),IF('депозитный калькулятор'!$G$14="есть",G102-J103-K103+L103+M103-N103,G102-J103-K103+M103-N103)))</f>
        <v xml:space="preserve"> </v>
      </c>
      <c r="H103" s="133" t="str">
        <f>IF(F103&gt;'депозитный калькулятор'!$D$8," ",IF(AND(OR('депозитный калькулятор'!$G$7="30/365",'депозитный калькулятор'!$G$7="30/360"),AND(MONTH(F103)=2,EOMONTH(F103,0)=F103)),IF(DAY(F103)=28,3*G103*'депозитный калькулятор'!$G$8,2*G103*'депозитный калькулятор'!$G$8),IF(AND(OR('депозитный калькулятор'!$G$7="30/365",'депозитный калькулятор'!$G$7="30/360"),DAY(F103)=31)," ",IF(AND('депозитный калькулятор'!$G$7="факт/факт",MOD(YEAR(F103),4)=0),G103*'депозитный калькулятор'!$D$11/366,G103*'депозитный калькулятор'!$G$8))))</f>
        <v xml:space="preserve"> </v>
      </c>
      <c r="I103" s="134" t="str">
        <f ca="1">IF(F103=" "," ",IF('депозитный калькулятор'!$G$10="ежедневное",H103,IF(AND('депозитный калькулятор'!$G$10="еженедельное",WEEKDAY(F103,2)=7),SUM(OFFSET(H103,-6,0):H103),IF(AND('депозитный калькулятор'!$G$10="еженедельное",F103='депозитный калькулятор'!$D$8),SUM($H$23:H103)-SUM($I$23:I102),IF(AND('депозитный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недели",WEEKDAY(F103,2)=7),MIN(OFFSET(H103,-6,0):H103)*(COUNTIF(OFFSET(H103,-6,0):H103,"&gt;0")+SUMIF(OFFSET(A103,-WEEKDAY(F103,2),0):A103,"=2",OFFSET(A103,-WEEKDAY(F103,2),0):A103)),IF(AND('депозитный калькулятор'!$G$10="еженедельное, на минимальную сумму зафиксированную в течение недели",F103='депозитный калькулятор'!$D$8,WEEKDAY(F103,2)&lt;&gt;7),MIN(OFFSET(H103,-WEEKDAY(F103,2),0):H103)*(COUNTIF(OFFSET(H103,-WEEKDAY(F103,2)+1,0):H103,"&gt;0")+SUM(OFFSET(A103,-WEEKDAY(F103,2),0):A103)),IF(AND('депозитный калькулятор'!$G$10="ежемесячное (в конце месяца)",F103='депозитный калькулятор'!$D$8,EOMONTH(F103,0)&lt;&gt;F103),IF('депозитный калькулятор'!$F$1=1,$H$24,SUM($H$23:H103)-SUM($I$23:I102)),IF(AND('депозитный калькулятор'!$G$10="ежемесячное (в конце месяца)",EOMONTH(F103,0)=F103),SUM($H$23:H103)-SUM($I$23:I102),IF(AND('депозитный калькулятор'!$G$10="ежемесячное (по дням открытия вклада)",F103='депозитный калькулятор'!$D$8,DAY('депозитный калькулятор'!$D$7)&lt;&gt;DAY(F103)),IF('депозитный калькулятор'!$F$1=1,$H$24,SUM($H$23:H103)-SUM($I$23:I102)),IF(AND('депозитный калькулятор'!$G$10="ежемесячное (по дням открытия вклада)",DAY('депозитный калькулятор'!$D$7)=DAY(F103)),SUM($H$23:H103)-SUM($I$23:I102),IF(AND('депозитный калькулятор'!$G$10="ежемесячное, на минимальную сумму зафиксированную в течение месяца",F103='депозитный калькулятор'!$D$8,EOMONTH(F103,0)&lt;&gt;F103),IF('депозитный калькулятор'!$F$1=1,$H$24,IF(AND(OR('депозитный калькулятор'!$G$7="30/365",'депозитный калькулятор'!$G$7="30/360"),DAY(F103)=31),0,MIN(OFFSET(H103,-E103+1,0):H103)*(E103+SUMIF(OFFSET(A103,-E103+1,0):A103,"=2",OFFSET(A103,-E103+1,0):A103)))),IF(AND('депозитный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калькулятор'!$G$7="30/360"),DAY(EOMONTH(F103,0))=31),EOMONTH(F103,0)-1=F103,EOMONTH(F103,0)=F103)),IF(IF(AND(OR('депозитный калькулятор'!$G$7="30/365",'депозитный калькулятор'!$G$7="30/360"),DAY(EOMONTH($F$23,0))=31),F103=EOMONTH($F$23,0)-1,F103=EOMONTH($F$23,0)),MIN(OFFSET(H103,-(DAY(F103)-DAY($F$23)),0):H103)*E103,MIN(OFFSET(H103,-(DAY(F103)-1),0):H103)*IF(AND(OR('депозитный калькулятор'!$G$7="30/365",'депозитный калькулятор'!$G$7="30/360"),DAY(F103)&lt;30),30,DAY(F103))),IF(AND('депозитный калькулятор'!$G$10="ежемесячное, на средний остаток в течение месяца, при условии что остаток больше чем ограничение",F103='депозитный калькулятор'!$D$8,EOMONTH(F103,0)&lt;&gt;F103),IF('депозитный калькулятор'!$F$1=1,$H$24,SUM(OFFSET(Q103,-E103+1,0):Q103)),IF(AND('депозитный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калькулятор'!$G$7="30/360"),DAY(EOMONTH(F103,0))=31),EOMONTH(F103,0)-1=F103,EOMONTH(F103,0)=F103)),IF(IF(AND(OR('депозитный калькулятор'!$G$7="30/365",'депозитный калькулятор'!$G$7="30/360"),DAY(EOMONTH($F$24,0))=31),F103=EOMONTH($F$24,0)-1,F103=EOMONTH($F$24,0)),SUM(OFFSET(Q103,-E103+1,0):Q103),SUM(OFFSET(Q103,-E103+1,0):Q103)),IF('депозитный калькулятор'!$G$10="ежеквартальное",IF(F103&gt;'депозитный калькулятор'!$D$8," ",IF(AND(EOMONTH(F103,0)=F103,OR(MONTH(F103)=3,MONTH(F103)=6,MONTH(F103)=9,MONTH(F103)=12)),IF(EDATE(F103,-3)&lt;'депозитный калькулятор'!$D$7,SUM($H$23:H103),IF(MOD(YEAR(F103),4)=0,IF(AND(EOMONTH(F103,0)=F103,OR(MONTH(F103)=3,MONTH(F103)=6)),SUM(OFFSET(H103,-90,0):H103),IF(AND(EOMONTH(F103,0)=F103,OR(MONTH(F103)=9,MONTH(F103)=12)),SUM(OFFSET(H103,-91,0):H103))),IF(AND(EOMONTH(F103,0)=F103,MONTH(F103)=3),SUM(OFFSET(H103,-89,0):H103),IF(AND(EOMONTH(F103,0)=F103,MONTH(F103)=6),SUM(OFFSET(H103,-90,0):H103),IF(AND(EOMONTH(F103,0)=F103,OR(MONTH(F103)=9,MONTH(F103)=12)),SUM(OFFSET(H103,-91,0):H103)))))),IF(F103='депозитный калькулятор'!$D$8,SUM($H$23:H103)-SUM($I$23:I102),0))),IF('депозитный калькулятор'!$G$10="ежегодное",IF(F103&gt;'депозитный калькулятор'!$D$8," ",IF(F103='депозитный калькулятор'!$D$8,SUM($H$23:H103)-SUM($I$23:I102),IF(AND(EOMONTH(F103,0)=F103,MONTH(F103)=12),IF(MOD(YEAR(F102),4)=0,IF(F103-'депозитный калькулятор'!$D$7&lt;366,SUM($H$23:H103),SUM(OFFSET(H103,-365,0):H103)),IF(F103-'депозитный калькулятор'!$D$7&lt;365,SUM($H$23:H103),SUM(OFFSET(H103,-364,0):H103))),0))),IF(AND('депозитный калькулятор'!$G$10="в конце срока",'депозитный калькулятор'!$D$8=F103),SUM($H$23:H103),0))))))))))))))))))</f>
        <v xml:space="preserve"> </v>
      </c>
      <c r="J103" s="59" t="str">
        <f>IF(F103&gt;'депозитный калькулятор'!$D$8," ",IF('депозитный калькулятор'!$G$16="нет",0,IF(AND('депозитный калькулятор'!$G$17="разовая (в конце срока)",F103='депозитный калькулятор'!$D$8),'депозитный калькулятор'!$G$18,IF(AND('депозитный калькулятор'!$G$17="ежемесячная",EOMONTH(F102,0)=F102),'депозитный калькулятор'!$G$18,IF(AND('депозитный калькулятор'!$G$17="ежегодная",DAY(F102)=31,MONTH(F102)=12),'депозитный калькулятор'!$G$18,IF(AND('депозитный калькулятор'!$G$17="ежемесячная в зависимости от остатка",EOMONTH(F102,0)=F102,P102&gt;0),'депозитный калькулятор'!$G$18,IF(AND('депозитный калькулятор'!$G$17="ежегодная в зависимости от остатка",DAY(F102)=31,MONTH(F102)=12,P102&gt;0),'депозитный калькулятор'!$G$18,0)))))))</f>
        <v xml:space="preserve"> </v>
      </c>
      <c r="K103" s="135" t="str">
        <f>IF($F103=" "," ",IFERROR(VLOOKUP($F103,'депозитный калькулятор'!$B$26:$F$70,2,0),0))</f>
        <v xml:space="preserve"> </v>
      </c>
      <c r="L103" s="135" t="str">
        <f>IF($F103=" "," ",IFERROR(VLOOKUP($F103,'депозитный калькулятор'!$B$26:$F$70,3,0),0))</f>
        <v xml:space="preserve"> </v>
      </c>
      <c r="M103" s="135" t="str">
        <f>IF($F103=" "," ",IFERROR(VLOOKUP($F103,'депозитный калькулятор'!$B$26:$F$70,4,0),0))</f>
        <v xml:space="preserve"> </v>
      </c>
      <c r="N103" s="135" t="str">
        <f>IF($F103=" "," ",IFERROR(VLOOKUP($F103,'депозитный калькулятор'!$B$26:$F$70,5,0),0))</f>
        <v xml:space="preserve"> </v>
      </c>
      <c r="O103" s="146" t="str">
        <f>IF(F103&gt;'депозитный калькулятор'!$D$8," ",IF(F103='депозитный калькулятор'!$D$8,IF(AND($F$24='депозитный калькулятор'!$D$8,'депозитный калькулятор'!$G$13="нет"),-G103-IF(I103=" ",0,I103)-IF(AND(OR('депозитный калькулятор'!$G$7="30/365",'депозитный калькулятор'!$G$7="30/360"),'депозитный калькулятор'!$G$10="в начале срока"),I102,0)-L103+M103-N103,-G103-IF(I103=" ",0,I103)-L103+M103-N103),IF('депозитный калькулятор'!$G$13="есть",M103-N103+IF('депозитный калькулятор'!$G$14="есть",0,-L103),-IF(I103=" ",0,I103)-IF(AND(OR('депозитный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срока"),I102,0)+M103-N103+IF('депозитный калькулятор'!$G$14="есть",0,-L103))))</f>
        <v xml:space="preserve"> </v>
      </c>
      <c r="P103" s="147" t="str">
        <f>IF(F103&gt;'депозитный калькулятор'!$D$8," ",IF(EOMONTH(F102,0)=F102,0,IF(G103&gt;='депозитный калькулятор'!$G$19,P102,P102+1)))</f>
        <v xml:space="preserve"> </v>
      </c>
      <c r="Q103" s="138" t="str">
        <f>IF(F103=" "," ",IF(AND(OR('депозитный калькулятор'!$G$7="30/365",'депозитный калькулятор'!$G$7="30/360"),AND(MONTH(F103)=2,EOMONTH(F103,0)=F103)),IF(DAY(F103)=28,3,2),1)*IF(G103&gt;='депозитный калькулятор'!$G$11,IF(AND('депозитный калькулятор'!$G$7="факт/факт",MOD(YEAR(F103),4)=0),G103*'депозитный калькулятор'!$D$11/366,G103*'депозитный калькулятор'!$G$8),0))</f>
        <v xml:space="preserve"> </v>
      </c>
      <c r="R103" s="148"/>
      <c r="S103" s="62" t="str">
        <f t="shared" ca="1" si="7"/>
        <v xml:space="preserve"> </v>
      </c>
      <c r="T103" s="149" t="str">
        <f ca="1">IF(S103=" "," ",IF('депозитный калькулятор'!$G$7="30/360",DAYS360(U102,IF(DAY(U103)=31,U103-1,U103))+IF(AND(MONTH(U103)=2,U103=EOMONTH(U103,0)),30-DAY(EOMONTH(U103,0)))+T102,VLOOKUP(S103,$C$22:$F$1023,2,0)))</f>
        <v xml:space="preserve"> </v>
      </c>
      <c r="U103" s="64" t="str">
        <f t="shared" ca="1" si="5"/>
        <v xml:space="preserve"> </v>
      </c>
      <c r="V103" s="150" t="str">
        <f t="shared" ca="1" si="8"/>
        <v xml:space="preserve"> </v>
      </c>
      <c r="W103" s="62" t="str">
        <f t="shared" ca="1" si="9"/>
        <v xml:space="preserve"> </v>
      </c>
      <c r="X103" s="141" t="str">
        <f ca="1">IF(S103=" "," ",IFERROR(VLOOKUP(U103,$F$23:$N$1023,7)+VLOOKUP(U103,$F$23:$N$1023,9)+IF(AND('депозитный калькулятор'!$G$13="нет",U103&lt;&gt;'депозитный калькулятор'!$D$8),VLOOKUP(U103,$F$23:$N$1023,4),0),0)+IF(U103='депозитный калькулятор'!$D$8,VLOOKUP(U103,$F$23:$N$1023,2)+VLOOKUP(U103,$F$23:$N$1023,4),0))</f>
        <v xml:space="preserve"> </v>
      </c>
      <c r="Y103" s="142" t="str">
        <f ca="1">IF(S103=" "," ",W103/(1+'депозитный калькулятор'!$K$8)^(T103/IF('депозитный калькулятор'!$G$7="30/360",360,365)))</f>
        <v xml:space="preserve"> </v>
      </c>
      <c r="Z103" s="142" t="str">
        <f ca="1">IF(S103=" "," ",X103/(1+'депозитный калькулятор'!$K$8)^(T103/IF('депозитный калькулятор'!$G$7="30/360",360,365)))</f>
        <v xml:space="preserve"> </v>
      </c>
      <c r="AA103" s="151"/>
      <c r="AB103" s="151"/>
      <c r="AC103" s="155"/>
      <c r="AD103" s="155"/>
    </row>
    <row r="104" spans="1:30" s="2" customFormat="1" ht="15.5" x14ac:dyDescent="0.35">
      <c r="A104" s="41" t="str">
        <f>IF(F104=" "," ",IF(OR('депозитный калькулятор'!$G$7="30/365",'депозитный калькулятор'!$G$7="30/360"),IF(AND(MONTH(F104)=2,DAY(F104)=DAY(EOMONTH(F104,0))),30-DAY(EOMONTH(F104,0)),IF(DAY(F104)=31,1," "))," "))</f>
        <v xml:space="preserve"> </v>
      </c>
      <c r="B104" s="130" t="str">
        <f t="shared" si="6"/>
        <v xml:space="preserve"> </v>
      </c>
      <c r="C104" s="130" t="str">
        <f>IF(OR(B104=0,B104=" ")," ",SUM($B$23:B104))</f>
        <v xml:space="preserve"> </v>
      </c>
      <c r="D104" s="62" t="str">
        <f>IF(D103=" "," ",IF(OR(F103='депозитный калькулятор'!$D$8,F103=" ")," ",D103+1))</f>
        <v xml:space="preserve"> </v>
      </c>
      <c r="E104" s="130" t="str">
        <f>IF(OR(F103='депозитный калькулятор'!$D$8,F103=" ")," ",IF(EOMONTH(F103,0)=F103,1,E103+1))</f>
        <v xml:space="preserve"> </v>
      </c>
      <c r="F104" s="64" t="str">
        <f>IF(F103=" "," ",IF(F103='депозитный калькулятор'!$D$8," ",F103+1))</f>
        <v xml:space="preserve"> </v>
      </c>
      <c r="G104" s="145" t="str">
        <f xml:space="preserve"> IF(F104&gt;'депозитный калькулятор'!$D$8," ",IF('депозитный калькулятор'!$G$13="есть",IF('депозитный калькулятор'!$G$14="есть",G103+IF(I103=" ",0,I103)-J104-K104+L104+M104-N104,G103+IF(I103=" ",0,I103)-J104-K104+M104-N104),IF('депозитный калькулятор'!$G$14="есть",G103-J104-K104+L104+M104-N104,G103-J104-K104+M104-N104)))</f>
        <v xml:space="preserve"> </v>
      </c>
      <c r="H104" s="133" t="str">
        <f>IF(F104&gt;'депозитный калькулятор'!$D$8," ",IF(AND(OR('депозитный калькулятор'!$G$7="30/365",'депозитный калькулятор'!$G$7="30/360"),AND(MONTH(F104)=2,EOMONTH(F104,0)=F104)),IF(DAY(F104)=28,3*G104*'депозитный калькулятор'!$G$8,2*G104*'депозитный калькулятор'!$G$8),IF(AND(OR('депозитный калькулятор'!$G$7="30/365",'депозитный калькулятор'!$G$7="30/360"),DAY(F104)=31)," ",IF(AND('депозитный калькулятор'!$G$7="факт/факт",MOD(YEAR(F104),4)=0),G104*'депозитный калькулятор'!$D$11/366,G104*'депозитный калькулятор'!$G$8))))</f>
        <v xml:space="preserve"> </v>
      </c>
      <c r="I104" s="134" t="str">
        <f ca="1">IF(F104=" "," ",IF('депозитный калькулятор'!$G$10="ежедневное",H104,IF(AND('депозитный калькулятор'!$G$10="еженедельное",WEEKDAY(F104,2)=7),SUM(OFFSET(H104,-6,0):H104),IF(AND('депозитный калькулятор'!$G$10="еженедельное",F104='депозитный калькулятор'!$D$8),SUM($H$23:H104)-SUM($I$23:I103),IF(AND('депозитный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недели",WEEKDAY(F104,2)=7),MIN(OFFSET(H104,-6,0):H104)*(COUNTIF(OFFSET(H104,-6,0):H104,"&gt;0")+SUMIF(OFFSET(A104,-WEEKDAY(F104,2),0):A104,"=2",OFFSET(A104,-WEEKDAY(F104,2),0):A104)),IF(AND('депозитный калькулятор'!$G$10="еженедельное, на минимальную сумму зафиксированную в течение недели",F104='депозитный калькулятор'!$D$8,WEEKDAY(F104,2)&lt;&gt;7),MIN(OFFSET(H104,-WEEKDAY(F104,2),0):H104)*(COUNTIF(OFFSET(H104,-WEEKDAY(F104,2)+1,0):H104,"&gt;0")+SUM(OFFSET(A104,-WEEKDAY(F104,2),0):A104)),IF(AND('депозитный калькулятор'!$G$10="ежемесячное (в конце месяца)",F104='депозитный калькулятор'!$D$8,EOMONTH(F104,0)&lt;&gt;F104),IF('депозитный калькулятор'!$F$1=1,$H$24,SUM($H$23:H104)-SUM($I$23:I103)),IF(AND('депозитный калькулятор'!$G$10="ежемесячное (в конце месяца)",EOMONTH(F104,0)=F104),SUM($H$23:H104)-SUM($I$23:I103),IF(AND('депозитный калькулятор'!$G$10="ежемесячное (по дням открытия вклада)",F104='депозитный калькулятор'!$D$8,DAY('депозитный калькулятор'!$D$7)&lt;&gt;DAY(F104)),IF('депозитный калькулятор'!$F$1=1,$H$24,SUM($H$23:H104)-SUM($I$23:I103)),IF(AND('депозитный калькулятор'!$G$10="ежемесячное (по дням открытия вклада)",DAY('депозитный калькулятор'!$D$7)=DAY(F104)),SUM($H$23:H104)-SUM($I$23:I103),IF(AND('депозитный калькулятор'!$G$10="ежемесячное, на минимальную сумму зафиксированную в течение месяца",F104='депозитный калькулятор'!$D$8,EOMONTH(F104,0)&lt;&gt;F104),IF('депозитный калькулятор'!$F$1=1,$H$24,IF(AND(OR('депозитный калькулятор'!$G$7="30/365",'депозитный калькулятор'!$G$7="30/360"),DAY(F104)=31),0,MIN(OFFSET(H104,-E104+1,0):H104)*(E104+SUMIF(OFFSET(A104,-E104+1,0):A104,"=2",OFFSET(A104,-E104+1,0):A104)))),IF(AND('депозитный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калькулятор'!$G$7="30/360"),DAY(EOMONTH(F104,0))=31),EOMONTH(F104,0)-1=F104,EOMONTH(F104,0)=F104)),IF(IF(AND(OR('депозитный калькулятор'!$G$7="30/365",'депозитный калькулятор'!$G$7="30/360"),DAY(EOMONTH($F$23,0))=31),F104=EOMONTH($F$23,0)-1,F104=EOMONTH($F$23,0)),MIN(OFFSET(H104,-(DAY(F104)-DAY($F$23)),0):H104)*E104,MIN(OFFSET(H104,-(DAY(F104)-1),0):H104)*IF(AND(OR('депозитный калькулятор'!$G$7="30/365",'депозитный калькулятор'!$G$7="30/360"),DAY(F104)&lt;30),30,DAY(F104))),IF(AND('депозитный калькулятор'!$G$10="ежемесячное, на средний остаток в течение месяца, при условии что остаток больше чем ограничение",F104='депозитный калькулятор'!$D$8,EOMONTH(F104,0)&lt;&gt;F104),IF('депозитный калькулятор'!$F$1=1,$H$24,SUM(OFFSET(Q104,-E104+1,0):Q104)),IF(AND('депозитный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калькулятор'!$G$7="30/360"),DAY(EOMONTH(F104,0))=31),EOMONTH(F104,0)-1=F104,EOMONTH(F104,0)=F104)),IF(IF(AND(OR('депозитный калькулятор'!$G$7="30/365",'депозитный калькулятор'!$G$7="30/360"),DAY(EOMONTH($F$24,0))=31),F104=EOMONTH($F$24,0)-1,F104=EOMONTH($F$24,0)),SUM(OFFSET(Q104,-E104+1,0):Q104),SUM(OFFSET(Q104,-E104+1,0):Q104)),IF('депозитный калькулятор'!$G$10="ежеквартальное",IF(F104&gt;'депозитный калькулятор'!$D$8," ",IF(AND(EOMONTH(F104,0)=F104,OR(MONTH(F104)=3,MONTH(F104)=6,MONTH(F104)=9,MONTH(F104)=12)),IF(EDATE(F104,-3)&lt;'депозитный калькулятор'!$D$7,SUM($H$23:H104),IF(MOD(YEAR(F104),4)=0,IF(AND(EOMONTH(F104,0)=F104,OR(MONTH(F104)=3,MONTH(F104)=6)),SUM(OFFSET(H104,-90,0):H104),IF(AND(EOMONTH(F104,0)=F104,OR(MONTH(F104)=9,MONTH(F104)=12)),SUM(OFFSET(H104,-91,0):H104))),IF(AND(EOMONTH(F104,0)=F104,MONTH(F104)=3),SUM(OFFSET(H104,-89,0):H104),IF(AND(EOMONTH(F104,0)=F104,MONTH(F104)=6),SUM(OFFSET(H104,-90,0):H104),IF(AND(EOMONTH(F104,0)=F104,OR(MONTH(F104)=9,MONTH(F104)=12)),SUM(OFFSET(H104,-91,0):H104)))))),IF(F104='депозитный калькулятор'!$D$8,SUM($H$23:H104)-SUM($I$23:I103),0))),IF('депозитный калькулятор'!$G$10="ежегодное",IF(F104&gt;'депозитный калькулятор'!$D$8," ",IF(F104='депозитный калькулятор'!$D$8,SUM($H$23:H104)-SUM($I$23:I103),IF(AND(EOMONTH(F104,0)=F104,MONTH(F104)=12),IF(MOD(YEAR(F103),4)=0,IF(F104-'депозитный калькулятор'!$D$7&lt;366,SUM($H$23:H104),SUM(OFFSET(H104,-365,0):H104)),IF(F104-'депозитный калькулятор'!$D$7&lt;365,SUM($H$23:H104),SUM(OFFSET(H104,-364,0):H104))),0))),IF(AND('депозитный калькулятор'!$G$10="в конце срока",'депозитный калькулятор'!$D$8=F104),SUM($H$23:H104),0))))))))))))))))))</f>
        <v xml:space="preserve"> </v>
      </c>
      <c r="J104" s="59" t="str">
        <f>IF(F104&gt;'депозитный калькулятор'!$D$8," ",IF('депозитный калькулятор'!$G$16="нет",0,IF(AND('депозитный калькулятор'!$G$17="разовая (в конце срока)",F104='депозитный калькулятор'!$D$8),'депозитный калькулятор'!$G$18,IF(AND('депозитный калькулятор'!$G$17="ежемесячная",EOMONTH(F103,0)=F103),'депозитный калькулятор'!$G$18,IF(AND('депозитный калькулятор'!$G$17="ежегодная",DAY(F103)=31,MONTH(F103)=12),'депозитный калькулятор'!$G$18,IF(AND('депозитный калькулятор'!$G$17="ежемесячная в зависимости от остатка",EOMONTH(F103,0)=F103,P103&gt;0),'депозитный калькулятор'!$G$18,IF(AND('депозитный калькулятор'!$G$17="ежегодная в зависимости от остатка",DAY(F103)=31,MONTH(F103)=12,P103&gt;0),'депозитный калькулятор'!$G$18,0)))))))</f>
        <v xml:space="preserve"> </v>
      </c>
      <c r="K104" s="135" t="str">
        <f>IF($F104=" "," ",IFERROR(VLOOKUP($F104,'депозитный калькулятор'!$B$26:$F$70,2,0),0))</f>
        <v xml:space="preserve"> </v>
      </c>
      <c r="L104" s="135" t="str">
        <f>IF($F104=" "," ",IFERROR(VLOOKUP($F104,'депозитный калькулятор'!$B$26:$F$70,3,0),0))</f>
        <v xml:space="preserve"> </v>
      </c>
      <c r="M104" s="135" t="str">
        <f>IF($F104=" "," ",IFERROR(VLOOKUP($F104,'депозитный калькулятор'!$B$26:$F$70,4,0),0))</f>
        <v xml:space="preserve"> </v>
      </c>
      <c r="N104" s="135" t="str">
        <f>IF($F104=" "," ",IFERROR(VLOOKUP($F104,'депозитный калькулятор'!$B$26:$F$70,5,0),0))</f>
        <v xml:space="preserve"> </v>
      </c>
      <c r="O104" s="146" t="str">
        <f>IF(F104&gt;'депозитный калькулятор'!$D$8," ",IF(F104='депозитный калькулятор'!$D$8,IF(AND($F$24='депозитный калькулятор'!$D$8,'депозитный калькулятор'!$G$13="нет"),-G104-IF(I104=" ",0,I104)-IF(AND(OR('депозитный калькулятор'!$G$7="30/365",'депозитный калькулятор'!$G$7="30/360"),'депозитный калькулятор'!$G$10="в начале срока"),I103,0)-L104+M104-N104,-G104-IF(I104=" ",0,I104)-L104+M104-N104),IF('депозитный калькулятор'!$G$13="есть",M104-N104+IF('депозитный калькулятор'!$G$14="есть",0,-L104),-IF(I104=" ",0,I104)-IF(AND(OR('депозитный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срока"),I103,0)+M104-N104+IF('депозитный калькулятор'!$G$14="есть",0,-L104))))</f>
        <v xml:space="preserve"> </v>
      </c>
      <c r="P104" s="147" t="str">
        <f>IF(F104&gt;'депозитный калькулятор'!$D$8," ",IF(EOMONTH(F103,0)=F103,0,IF(G104&gt;='депозитный калькулятор'!$G$19,P103,P103+1)))</f>
        <v xml:space="preserve"> </v>
      </c>
      <c r="Q104" s="138" t="str">
        <f>IF(F104=" "," ",IF(AND(OR('депозитный калькулятор'!$G$7="30/365",'депозитный калькулятор'!$G$7="30/360"),AND(MONTH(F104)=2,EOMONTH(F104,0)=F104)),IF(DAY(F104)=28,3,2),1)*IF(G104&gt;='депозитный калькулятор'!$G$11,IF(AND('депозитный калькулятор'!$G$7="факт/факт",MOD(YEAR(F104),4)=0),G104*'депозитный калькулятор'!$D$11/366,G104*'депозитный калькулятор'!$G$8),0))</f>
        <v xml:space="preserve"> </v>
      </c>
      <c r="R104" s="148"/>
      <c r="S104" s="62" t="str">
        <f t="shared" ca="1" si="7"/>
        <v xml:space="preserve"> </v>
      </c>
      <c r="T104" s="149" t="str">
        <f ca="1">IF(S104=" "," ",IF('депозитный калькулятор'!$G$7="30/360",DAYS360(U103,IF(DAY(U104)=31,U104-1,U104))+IF(AND(MONTH(U104)=2,U104=EOMONTH(U104,0)),30-DAY(EOMONTH(U104,0)))+T103,VLOOKUP(S104,$C$22:$F$1023,2,0)))</f>
        <v xml:space="preserve"> </v>
      </c>
      <c r="U104" s="64" t="str">
        <f t="shared" ca="1" si="5"/>
        <v xml:space="preserve"> </v>
      </c>
      <c r="V104" s="150" t="str">
        <f t="shared" ca="1" si="8"/>
        <v xml:space="preserve"> </v>
      </c>
      <c r="W104" s="62" t="str">
        <f t="shared" ca="1" si="9"/>
        <v xml:space="preserve"> </v>
      </c>
      <c r="X104" s="141" t="str">
        <f ca="1">IF(S104=" "," ",IFERROR(VLOOKUP(U104,$F$23:$N$1023,7)+VLOOKUP(U104,$F$23:$N$1023,9)+IF(AND('депозитный калькулятор'!$G$13="нет",U104&lt;&gt;'депозитный калькулятор'!$D$8),VLOOKUP(U104,$F$23:$N$1023,4),0),0)+IF(U104='депозитный калькулятор'!$D$8,VLOOKUP(U104,$F$23:$N$1023,2)+VLOOKUP(U104,$F$23:$N$1023,4),0))</f>
        <v xml:space="preserve"> </v>
      </c>
      <c r="Y104" s="142" t="str">
        <f ca="1">IF(S104=" "," ",W104/(1+'депозитный калькулятор'!$K$8)^(T104/IF('депозитный калькулятор'!$G$7="30/360",360,365)))</f>
        <v xml:space="preserve"> </v>
      </c>
      <c r="Z104" s="142" t="str">
        <f ca="1">IF(S104=" "," ",X104/(1+'депозитный калькулятор'!$K$8)^(T104/IF('депозитный калькулятор'!$G$7="30/360",360,365)))</f>
        <v xml:space="preserve"> </v>
      </c>
      <c r="AA104" s="151"/>
      <c r="AB104" s="151"/>
      <c r="AC104" s="155"/>
      <c r="AD104" s="155"/>
    </row>
    <row r="105" spans="1:30" s="2" customFormat="1" ht="15.5" x14ac:dyDescent="0.35">
      <c r="A105" s="41" t="str">
        <f>IF(F105=" "," ",IF(OR('депозитный калькулятор'!$G$7="30/365",'депозитный калькулятор'!$G$7="30/360"),IF(AND(MONTH(F105)=2,DAY(F105)=DAY(EOMONTH(F105,0))),30-DAY(EOMONTH(F105,0)),IF(DAY(F105)=31,1," "))," "))</f>
        <v xml:space="preserve"> </v>
      </c>
      <c r="B105" s="130" t="str">
        <f t="shared" si="6"/>
        <v xml:space="preserve"> </v>
      </c>
      <c r="C105" s="130" t="str">
        <f>IF(OR(B105=0,B105=" ")," ",SUM($B$23:B105))</f>
        <v xml:space="preserve"> </v>
      </c>
      <c r="D105" s="62" t="str">
        <f>IF(D104=" "," ",IF(OR(F104='депозитный калькулятор'!$D$8,F104=" ")," ",D104+1))</f>
        <v xml:space="preserve"> </v>
      </c>
      <c r="E105" s="130" t="str">
        <f>IF(OR(F104='депозитный калькулятор'!$D$8,F104=" ")," ",IF(EOMONTH(F104,0)=F104,1,E104+1))</f>
        <v xml:space="preserve"> </v>
      </c>
      <c r="F105" s="64" t="str">
        <f>IF(F104=" "," ",IF(F104='депозитный калькулятор'!$D$8," ",F104+1))</f>
        <v xml:space="preserve"> </v>
      </c>
      <c r="G105" s="145" t="str">
        <f xml:space="preserve"> IF(F105&gt;'депозитный калькулятор'!$D$8," ",IF('депозитный калькулятор'!$G$13="есть",IF('депозитный калькулятор'!$G$14="есть",G104+IF(I104=" ",0,I104)-J105-K105+L105+M105-N105,G104+IF(I104=" ",0,I104)-J105-K105+M105-N105),IF('депозитный калькулятор'!$G$14="есть",G104-J105-K105+L105+M105-N105,G104-J105-K105+M105-N105)))</f>
        <v xml:space="preserve"> </v>
      </c>
      <c r="H105" s="133" t="str">
        <f>IF(F105&gt;'депозитный калькулятор'!$D$8," ",IF(AND(OR('депозитный калькулятор'!$G$7="30/365",'депозитный калькулятор'!$G$7="30/360"),AND(MONTH(F105)=2,EOMONTH(F105,0)=F105)),IF(DAY(F105)=28,3*G105*'депозитный калькулятор'!$G$8,2*G105*'депозитный калькулятор'!$G$8),IF(AND(OR('депозитный калькулятор'!$G$7="30/365",'депозитный калькулятор'!$G$7="30/360"),DAY(F105)=31)," ",IF(AND('депозитный калькулятор'!$G$7="факт/факт",MOD(YEAR(F105),4)=0),G105*'депозитный калькулятор'!$D$11/366,G105*'депозитный калькулятор'!$G$8))))</f>
        <v xml:space="preserve"> </v>
      </c>
      <c r="I105" s="134" t="str">
        <f ca="1">IF(F105=" "," ",IF('депозитный калькулятор'!$G$10="ежедневное",H105,IF(AND('депозитный калькулятор'!$G$10="еженедельное",WEEKDAY(F105,2)=7),SUM(OFFSET(H105,-6,0):H105),IF(AND('депозитный калькулятор'!$G$10="еженедельное",F105='депозитный калькулятор'!$D$8),SUM($H$23:H105)-SUM($I$23:I104),IF(AND('депозитный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недели",WEEKDAY(F105,2)=7),MIN(OFFSET(H105,-6,0):H105)*(COUNTIF(OFFSET(H105,-6,0):H105,"&gt;0")+SUMIF(OFFSET(A105,-WEEKDAY(F105,2),0):A105,"=2",OFFSET(A105,-WEEKDAY(F105,2),0):A105)),IF(AND('депозитный калькулятор'!$G$10="еженедельное, на минимальную сумму зафиксированную в течение недели",F105='депозитный калькулятор'!$D$8,WEEKDAY(F105,2)&lt;&gt;7),MIN(OFFSET(H105,-WEEKDAY(F105,2),0):H105)*(COUNTIF(OFFSET(H105,-WEEKDAY(F105,2)+1,0):H105,"&gt;0")+SUM(OFFSET(A105,-WEEKDAY(F105,2),0):A105)),IF(AND('депозитный калькулятор'!$G$10="ежемесячное (в конце месяца)",F105='депозитный калькулятор'!$D$8,EOMONTH(F105,0)&lt;&gt;F105),IF('депозитный калькулятор'!$F$1=1,$H$24,SUM($H$23:H105)-SUM($I$23:I104)),IF(AND('депозитный калькулятор'!$G$10="ежемесячное (в конце месяца)",EOMONTH(F105,0)=F105),SUM($H$23:H105)-SUM($I$23:I104),IF(AND('депозитный калькулятор'!$G$10="ежемесячное (по дням открытия вклада)",F105='депозитный калькулятор'!$D$8,DAY('депозитный калькулятор'!$D$7)&lt;&gt;DAY(F105)),IF('депозитный калькулятор'!$F$1=1,$H$24,SUM($H$23:H105)-SUM($I$23:I104)),IF(AND('депозитный калькулятор'!$G$10="ежемесячное (по дням открытия вклада)",DAY('депозитный калькулятор'!$D$7)=DAY(F105)),SUM($H$23:H105)-SUM($I$23:I104),IF(AND('депозитный калькулятор'!$G$10="ежемесячное, на минимальную сумму зафиксированную в течение месяца",F105='депозитный калькулятор'!$D$8,EOMONTH(F105,0)&lt;&gt;F105),IF('депозитный калькулятор'!$F$1=1,$H$24,IF(AND(OR('депозитный калькулятор'!$G$7="30/365",'депозитный калькулятор'!$G$7="30/360"),DAY(F105)=31),0,MIN(OFFSET(H105,-E105+1,0):H105)*(E105+SUMIF(OFFSET(A105,-E105+1,0):A105,"=2",OFFSET(A105,-E105+1,0):A105)))),IF(AND('депозитный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калькулятор'!$G$7="30/360"),DAY(EOMONTH(F105,0))=31),EOMONTH(F105,0)-1=F105,EOMONTH(F105,0)=F105)),IF(IF(AND(OR('депозитный калькулятор'!$G$7="30/365",'депозитный калькулятор'!$G$7="30/360"),DAY(EOMONTH($F$23,0))=31),F105=EOMONTH($F$23,0)-1,F105=EOMONTH($F$23,0)),MIN(OFFSET(H105,-(DAY(F105)-DAY($F$23)),0):H105)*E105,MIN(OFFSET(H105,-(DAY(F105)-1),0):H105)*IF(AND(OR('депозитный калькулятор'!$G$7="30/365",'депозитный калькулятор'!$G$7="30/360"),DAY(F105)&lt;30),30,DAY(F105))),IF(AND('депозитный калькулятор'!$G$10="ежемесячное, на средний остаток в течение месяца, при условии что остаток больше чем ограничение",F105='депозитный калькулятор'!$D$8,EOMONTH(F105,0)&lt;&gt;F105),IF('депозитный калькулятор'!$F$1=1,$H$24,SUM(OFFSET(Q105,-E105+1,0):Q105)),IF(AND('депозитный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калькулятор'!$G$7="30/360"),DAY(EOMONTH(F105,0))=31),EOMONTH(F105,0)-1=F105,EOMONTH(F105,0)=F105)),IF(IF(AND(OR('депозитный калькулятор'!$G$7="30/365",'депозитный калькулятор'!$G$7="30/360"),DAY(EOMONTH($F$24,0))=31),F105=EOMONTH($F$24,0)-1,F105=EOMONTH($F$24,0)),SUM(OFFSET(Q105,-E105+1,0):Q105),SUM(OFFSET(Q105,-E105+1,0):Q105)),IF('депозитный калькулятор'!$G$10="ежеквартальное",IF(F105&gt;'депозитный калькулятор'!$D$8," ",IF(AND(EOMONTH(F105,0)=F105,OR(MONTH(F105)=3,MONTH(F105)=6,MONTH(F105)=9,MONTH(F105)=12)),IF(EDATE(F105,-3)&lt;'депозитный калькулятор'!$D$7,SUM($H$23:H105),IF(MOD(YEAR(F105),4)=0,IF(AND(EOMONTH(F105,0)=F105,OR(MONTH(F105)=3,MONTH(F105)=6)),SUM(OFFSET(H105,-90,0):H105),IF(AND(EOMONTH(F105,0)=F105,OR(MONTH(F105)=9,MONTH(F105)=12)),SUM(OFFSET(H105,-91,0):H105))),IF(AND(EOMONTH(F105,0)=F105,MONTH(F105)=3),SUM(OFFSET(H105,-89,0):H105),IF(AND(EOMONTH(F105,0)=F105,MONTH(F105)=6),SUM(OFFSET(H105,-90,0):H105),IF(AND(EOMONTH(F105,0)=F105,OR(MONTH(F105)=9,MONTH(F105)=12)),SUM(OFFSET(H105,-91,0):H105)))))),IF(F105='депозитный калькулятор'!$D$8,SUM($H$23:H105)-SUM($I$23:I104),0))),IF('депозитный калькулятор'!$G$10="ежегодное",IF(F105&gt;'депозитный калькулятор'!$D$8," ",IF(F105='депозитный калькулятор'!$D$8,SUM($H$23:H105)-SUM($I$23:I104),IF(AND(EOMONTH(F105,0)=F105,MONTH(F105)=12),IF(MOD(YEAR(F104),4)=0,IF(F105-'депозитный калькулятор'!$D$7&lt;366,SUM($H$23:H105),SUM(OFFSET(H105,-365,0):H105)),IF(F105-'депозитный калькулятор'!$D$7&lt;365,SUM($H$23:H105),SUM(OFFSET(H105,-364,0):H105))),0))),IF(AND('депозитный калькулятор'!$G$10="в конце срока",'депозитный калькулятор'!$D$8=F105),SUM($H$23:H105),0))))))))))))))))))</f>
        <v xml:space="preserve"> </v>
      </c>
      <c r="J105" s="59" t="str">
        <f>IF(F105&gt;'депозитный калькулятор'!$D$8," ",IF('депозитный калькулятор'!$G$16="нет",0,IF(AND('депозитный калькулятор'!$G$17="разовая (в конце срока)",F105='депозитный калькулятор'!$D$8),'депозитный калькулятор'!$G$18,IF(AND('депозитный калькулятор'!$G$17="ежемесячная",EOMONTH(F104,0)=F104),'депозитный калькулятор'!$G$18,IF(AND('депозитный калькулятор'!$G$17="ежегодная",DAY(F104)=31,MONTH(F104)=12),'депозитный калькулятор'!$G$18,IF(AND('депозитный калькулятор'!$G$17="ежемесячная в зависимости от остатка",EOMONTH(F104,0)=F104,P104&gt;0),'депозитный калькулятор'!$G$18,IF(AND('депозитный калькулятор'!$G$17="ежегодная в зависимости от остатка",DAY(F104)=31,MONTH(F104)=12,P104&gt;0),'депозитный калькулятор'!$G$18,0)))))))</f>
        <v xml:space="preserve"> </v>
      </c>
      <c r="K105" s="135" t="str">
        <f>IF($F105=" "," ",IFERROR(VLOOKUP($F105,'депозитный калькулятор'!$B$26:$F$70,2,0),0))</f>
        <v xml:space="preserve"> </v>
      </c>
      <c r="L105" s="135" t="str">
        <f>IF($F105=" "," ",IFERROR(VLOOKUP($F105,'депозитный калькулятор'!$B$26:$F$70,3,0),0))</f>
        <v xml:space="preserve"> </v>
      </c>
      <c r="M105" s="135" t="str">
        <f>IF($F105=" "," ",IFERROR(VLOOKUP($F105,'депозитный калькулятор'!$B$26:$F$70,4,0),0))</f>
        <v xml:space="preserve"> </v>
      </c>
      <c r="N105" s="135" t="str">
        <f>IF($F105=" "," ",IFERROR(VLOOKUP($F105,'депозитный калькулятор'!$B$26:$F$70,5,0),0))</f>
        <v xml:space="preserve"> </v>
      </c>
      <c r="O105" s="146" t="str">
        <f>IF(F105&gt;'депозитный калькулятор'!$D$8," ",IF(F105='депозитный калькулятор'!$D$8,IF(AND($F$24='депозитный калькулятор'!$D$8,'депозитный калькулятор'!$G$13="нет"),-G105-IF(I105=" ",0,I105)-IF(AND(OR('депозитный калькулятор'!$G$7="30/365",'депозитный калькулятор'!$G$7="30/360"),'депозитный калькулятор'!$G$10="в начале срока"),I104,0)-L105+M105-N105,-G105-IF(I105=" ",0,I105)-L105+M105-N105),IF('депозитный калькулятор'!$G$13="есть",M105-N105+IF('депозитный калькулятор'!$G$14="есть",0,-L105),-IF(I105=" ",0,I105)-IF(AND(OR('депозитный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срока"),I104,0)+M105-N105+IF('депозитный калькулятор'!$G$14="есть",0,-L105))))</f>
        <v xml:space="preserve"> </v>
      </c>
      <c r="P105" s="147" t="str">
        <f>IF(F105&gt;'депозитный калькулятор'!$D$8," ",IF(EOMONTH(F104,0)=F104,0,IF(G105&gt;='депозитный калькулятор'!$G$19,P104,P104+1)))</f>
        <v xml:space="preserve"> </v>
      </c>
      <c r="Q105" s="138" t="str">
        <f>IF(F105=" "," ",IF(AND(OR('депозитный калькулятор'!$G$7="30/365",'депозитный калькулятор'!$G$7="30/360"),AND(MONTH(F105)=2,EOMONTH(F105,0)=F105)),IF(DAY(F105)=28,3,2),1)*IF(G105&gt;='депозитный калькулятор'!$G$11,IF(AND('депозитный калькулятор'!$G$7="факт/факт",MOD(YEAR(F105),4)=0),G105*'депозитный калькулятор'!$D$11/366,G105*'депозитный калькулятор'!$G$8),0))</f>
        <v xml:space="preserve"> </v>
      </c>
      <c r="R105" s="148"/>
      <c r="S105" s="62" t="str">
        <f t="shared" ca="1" si="7"/>
        <v xml:space="preserve"> </v>
      </c>
      <c r="T105" s="149" t="str">
        <f ca="1">IF(S105=" "," ",IF('депозитный калькулятор'!$G$7="30/360",DAYS360(U104,IF(DAY(U105)=31,U105-1,U105))+IF(AND(MONTH(U105)=2,U105=EOMONTH(U105,0)),30-DAY(EOMONTH(U105,0)))+T104,VLOOKUP(S105,$C$22:$F$1023,2,0)))</f>
        <v xml:space="preserve"> </v>
      </c>
      <c r="U105" s="64" t="str">
        <f t="shared" ca="1" si="5"/>
        <v xml:space="preserve"> </v>
      </c>
      <c r="V105" s="150" t="str">
        <f t="shared" ca="1" si="8"/>
        <v xml:space="preserve"> </v>
      </c>
      <c r="W105" s="62" t="str">
        <f t="shared" ca="1" si="9"/>
        <v xml:space="preserve"> </v>
      </c>
      <c r="X105" s="141" t="str">
        <f ca="1">IF(S105=" "," ",IFERROR(VLOOKUP(U105,$F$23:$N$1023,7)+VLOOKUP(U105,$F$23:$N$1023,9)+IF(AND('депозитный калькулятор'!$G$13="нет",U105&lt;&gt;'депозитный калькулятор'!$D$8),VLOOKUP(U105,$F$23:$N$1023,4),0),0)+IF(U105='депозитный калькулятор'!$D$8,VLOOKUP(U105,$F$23:$N$1023,2)+VLOOKUP(U105,$F$23:$N$1023,4),0))</f>
        <v xml:space="preserve"> </v>
      </c>
      <c r="Y105" s="142" t="str">
        <f ca="1">IF(S105=" "," ",W105/(1+'депозитный калькулятор'!$K$8)^(T105/IF('депозитный калькулятор'!$G$7="30/360",360,365)))</f>
        <v xml:space="preserve"> </v>
      </c>
      <c r="Z105" s="142" t="str">
        <f ca="1">IF(S105=" "," ",X105/(1+'депозитный калькулятор'!$K$8)^(T105/IF('депозитный калькулятор'!$G$7="30/360",360,365)))</f>
        <v xml:space="preserve"> </v>
      </c>
      <c r="AA105" s="151"/>
      <c r="AB105" s="151"/>
      <c r="AC105" s="155"/>
      <c r="AD105" s="155"/>
    </row>
    <row r="106" spans="1:30" s="2" customFormat="1" ht="15.5" x14ac:dyDescent="0.35">
      <c r="A106" s="41" t="str">
        <f>IF(F106=" "," ",IF(OR('депозитный калькулятор'!$G$7="30/365",'депозитный калькулятор'!$G$7="30/360"),IF(AND(MONTH(F106)=2,DAY(F106)=DAY(EOMONTH(F106,0))),30-DAY(EOMONTH(F106,0)),IF(DAY(F106)=31,1," "))," "))</f>
        <v xml:space="preserve"> </v>
      </c>
      <c r="B106" s="130" t="str">
        <f t="shared" si="6"/>
        <v xml:space="preserve"> </v>
      </c>
      <c r="C106" s="130" t="str">
        <f>IF(OR(B106=0,B106=" ")," ",SUM($B$23:B106))</f>
        <v xml:space="preserve"> </v>
      </c>
      <c r="D106" s="62" t="str">
        <f>IF(D105=" "," ",IF(OR(F105='депозитный калькулятор'!$D$8,F105=" ")," ",D105+1))</f>
        <v xml:space="preserve"> </v>
      </c>
      <c r="E106" s="130" t="str">
        <f>IF(OR(F105='депозитный калькулятор'!$D$8,F105=" ")," ",IF(EOMONTH(F105,0)=F105,1,E105+1))</f>
        <v xml:space="preserve"> </v>
      </c>
      <c r="F106" s="64" t="str">
        <f>IF(F105=" "," ",IF(F105='депозитный калькулятор'!$D$8," ",F105+1))</f>
        <v xml:space="preserve"> </v>
      </c>
      <c r="G106" s="145" t="str">
        <f xml:space="preserve"> IF(F106&gt;'депозитный калькулятор'!$D$8," ",IF('депозитный калькулятор'!$G$13="есть",IF('депозитный калькулятор'!$G$14="есть",G105+IF(I105=" ",0,I105)-J106-K106+L106+M106-N106,G105+IF(I105=" ",0,I105)-J106-K106+M106-N106),IF('депозитный калькулятор'!$G$14="есть",G105-J106-K106+L106+M106-N106,G105-J106-K106+M106-N106)))</f>
        <v xml:space="preserve"> </v>
      </c>
      <c r="H106" s="133" t="str">
        <f>IF(F106&gt;'депозитный калькулятор'!$D$8," ",IF(AND(OR('депозитный калькулятор'!$G$7="30/365",'депозитный калькулятор'!$G$7="30/360"),AND(MONTH(F106)=2,EOMONTH(F106,0)=F106)),IF(DAY(F106)=28,3*G106*'депозитный калькулятор'!$G$8,2*G106*'депозитный калькулятор'!$G$8),IF(AND(OR('депозитный калькулятор'!$G$7="30/365",'депозитный калькулятор'!$G$7="30/360"),DAY(F106)=31)," ",IF(AND('депозитный калькулятор'!$G$7="факт/факт",MOD(YEAR(F106),4)=0),G106*'депозитный калькулятор'!$D$11/366,G106*'депозитный калькулятор'!$G$8))))</f>
        <v xml:space="preserve"> </v>
      </c>
      <c r="I106" s="134" t="str">
        <f ca="1">IF(F106=" "," ",IF('депозитный калькулятор'!$G$10="ежедневное",H106,IF(AND('депозитный калькулятор'!$G$10="еженедельное",WEEKDAY(F106,2)=7),SUM(OFFSET(H106,-6,0):H106),IF(AND('депозитный калькулятор'!$G$10="еженедельное",F106='депозитный калькулятор'!$D$8),SUM($H$23:H106)-SUM($I$23:I105),IF(AND('депозитный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недели",WEEKDAY(F106,2)=7),MIN(OFFSET(H106,-6,0):H106)*(COUNTIF(OFFSET(H106,-6,0):H106,"&gt;0")+SUMIF(OFFSET(A106,-WEEKDAY(F106,2),0):A106,"=2",OFFSET(A106,-WEEKDAY(F106,2),0):A106)),IF(AND('депозитный калькулятор'!$G$10="еженедельное, на минимальную сумму зафиксированную в течение недели",F106='депозитный калькулятор'!$D$8,WEEKDAY(F106,2)&lt;&gt;7),MIN(OFFSET(H106,-WEEKDAY(F106,2),0):H106)*(COUNTIF(OFFSET(H106,-WEEKDAY(F106,2)+1,0):H106,"&gt;0")+SUM(OFFSET(A106,-WEEKDAY(F106,2),0):A106)),IF(AND('депозитный калькулятор'!$G$10="ежемесячное (в конце месяца)",F106='депозитный калькулятор'!$D$8,EOMONTH(F106,0)&lt;&gt;F106),IF('депозитный калькулятор'!$F$1=1,$H$24,SUM($H$23:H106)-SUM($I$23:I105)),IF(AND('депозитный калькулятор'!$G$10="ежемесячное (в конце месяца)",EOMONTH(F106,0)=F106),SUM($H$23:H106)-SUM($I$23:I105),IF(AND('депозитный калькулятор'!$G$10="ежемесячное (по дням открытия вклада)",F106='депозитный калькулятор'!$D$8,DAY('депозитный калькулятор'!$D$7)&lt;&gt;DAY(F106)),IF('депозитный калькулятор'!$F$1=1,$H$24,SUM($H$23:H106)-SUM($I$23:I105)),IF(AND('депозитный калькулятор'!$G$10="ежемесячное (по дням открытия вклада)",DAY('депозитный калькулятор'!$D$7)=DAY(F106)),SUM($H$23:H106)-SUM($I$23:I105),IF(AND('депозитный калькулятор'!$G$10="ежемесячное, на минимальную сумму зафиксированную в течение месяца",F106='депозитный калькулятор'!$D$8,EOMONTH(F106,0)&lt;&gt;F106),IF('депозитный калькулятор'!$F$1=1,$H$24,IF(AND(OR('депозитный калькулятор'!$G$7="30/365",'депозитный калькулятор'!$G$7="30/360"),DAY(F106)=31),0,MIN(OFFSET(H106,-E106+1,0):H106)*(E106+SUMIF(OFFSET(A106,-E106+1,0):A106,"=2",OFFSET(A106,-E106+1,0):A106)))),IF(AND('депозитный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калькулятор'!$G$7="30/360"),DAY(EOMONTH(F106,0))=31),EOMONTH(F106,0)-1=F106,EOMONTH(F106,0)=F106)),IF(IF(AND(OR('депозитный калькулятор'!$G$7="30/365",'депозитный калькулятор'!$G$7="30/360"),DAY(EOMONTH($F$23,0))=31),F106=EOMONTH($F$23,0)-1,F106=EOMONTH($F$23,0)),MIN(OFFSET(H106,-(DAY(F106)-DAY($F$23)),0):H106)*E106,MIN(OFFSET(H106,-(DAY(F106)-1),0):H106)*IF(AND(OR('депозитный калькулятор'!$G$7="30/365",'депозитный калькулятор'!$G$7="30/360"),DAY(F106)&lt;30),30,DAY(F106))),IF(AND('депозитный калькулятор'!$G$10="ежемесячное, на средний остаток в течение месяца, при условии что остаток больше чем ограничение",F106='депозитный калькулятор'!$D$8,EOMONTH(F106,0)&lt;&gt;F106),IF('депозитный калькулятор'!$F$1=1,$H$24,SUM(OFFSET(Q106,-E106+1,0):Q106)),IF(AND('депозитный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калькулятор'!$G$7="30/360"),DAY(EOMONTH(F106,0))=31),EOMONTH(F106,0)-1=F106,EOMONTH(F106,0)=F106)),IF(IF(AND(OR('депозитный калькулятор'!$G$7="30/365",'депозитный калькулятор'!$G$7="30/360"),DAY(EOMONTH($F$24,0))=31),F106=EOMONTH($F$24,0)-1,F106=EOMONTH($F$24,0)),SUM(OFFSET(Q106,-E106+1,0):Q106),SUM(OFFSET(Q106,-E106+1,0):Q106)),IF('депозитный калькулятор'!$G$10="ежеквартальное",IF(F106&gt;'депозитный калькулятор'!$D$8," ",IF(AND(EOMONTH(F106,0)=F106,OR(MONTH(F106)=3,MONTH(F106)=6,MONTH(F106)=9,MONTH(F106)=12)),IF(EDATE(F106,-3)&lt;'депозитный калькулятор'!$D$7,SUM($H$23:H106),IF(MOD(YEAR(F106),4)=0,IF(AND(EOMONTH(F106,0)=F106,OR(MONTH(F106)=3,MONTH(F106)=6)),SUM(OFFSET(H106,-90,0):H106),IF(AND(EOMONTH(F106,0)=F106,OR(MONTH(F106)=9,MONTH(F106)=12)),SUM(OFFSET(H106,-91,0):H106))),IF(AND(EOMONTH(F106,0)=F106,MONTH(F106)=3),SUM(OFFSET(H106,-89,0):H106),IF(AND(EOMONTH(F106,0)=F106,MONTH(F106)=6),SUM(OFFSET(H106,-90,0):H106),IF(AND(EOMONTH(F106,0)=F106,OR(MONTH(F106)=9,MONTH(F106)=12)),SUM(OFFSET(H106,-91,0):H106)))))),IF(F106='депозитный калькулятор'!$D$8,SUM($H$23:H106)-SUM($I$23:I105),0))),IF('депозитный калькулятор'!$G$10="ежегодное",IF(F106&gt;'депозитный калькулятор'!$D$8," ",IF(F106='депозитный калькулятор'!$D$8,SUM($H$23:H106)-SUM($I$23:I105),IF(AND(EOMONTH(F106,0)=F106,MONTH(F106)=12),IF(MOD(YEAR(F105),4)=0,IF(F106-'депозитный калькулятор'!$D$7&lt;366,SUM($H$23:H106),SUM(OFFSET(H106,-365,0):H106)),IF(F106-'депозитный калькулятор'!$D$7&lt;365,SUM($H$23:H106),SUM(OFFSET(H106,-364,0):H106))),0))),IF(AND('депозитный калькулятор'!$G$10="в конце срока",'депозитный калькулятор'!$D$8=F106),SUM($H$23:H106),0))))))))))))))))))</f>
        <v xml:space="preserve"> </v>
      </c>
      <c r="J106" s="59" t="str">
        <f>IF(F106&gt;'депозитный калькулятор'!$D$8," ",IF('депозитный калькулятор'!$G$16="нет",0,IF(AND('депозитный калькулятор'!$G$17="разовая (в конце срока)",F106='депозитный калькулятор'!$D$8),'депозитный калькулятор'!$G$18,IF(AND('депозитный калькулятор'!$G$17="ежемесячная",EOMONTH(F105,0)=F105),'депозитный калькулятор'!$G$18,IF(AND('депозитный калькулятор'!$G$17="ежегодная",DAY(F105)=31,MONTH(F105)=12),'депозитный калькулятор'!$G$18,IF(AND('депозитный калькулятор'!$G$17="ежемесячная в зависимости от остатка",EOMONTH(F105,0)=F105,P105&gt;0),'депозитный калькулятор'!$G$18,IF(AND('депозитный калькулятор'!$G$17="ежегодная в зависимости от остатка",DAY(F105)=31,MONTH(F105)=12,P105&gt;0),'депозитный калькулятор'!$G$18,0)))))))</f>
        <v xml:space="preserve"> </v>
      </c>
      <c r="K106" s="135" t="str">
        <f>IF($F106=" "," ",IFERROR(VLOOKUP($F106,'депозитный калькулятор'!$B$26:$F$70,2,0),0))</f>
        <v xml:space="preserve"> </v>
      </c>
      <c r="L106" s="135" t="str">
        <f>IF($F106=" "," ",IFERROR(VLOOKUP($F106,'депозитный калькулятор'!$B$26:$F$70,3,0),0))</f>
        <v xml:space="preserve"> </v>
      </c>
      <c r="M106" s="135" t="str">
        <f>IF($F106=" "," ",IFERROR(VLOOKUP($F106,'депозитный калькулятор'!$B$26:$F$70,4,0),0))</f>
        <v xml:space="preserve"> </v>
      </c>
      <c r="N106" s="135" t="str">
        <f>IF($F106=" "," ",IFERROR(VLOOKUP($F106,'депозитный калькулятор'!$B$26:$F$70,5,0),0))</f>
        <v xml:space="preserve"> </v>
      </c>
      <c r="O106" s="146" t="str">
        <f>IF(F106&gt;'депозитный калькулятор'!$D$8," ",IF(F106='депозитный калькулятор'!$D$8,IF(AND($F$24='депозитный калькулятор'!$D$8,'депозитный калькулятор'!$G$13="нет"),-G106-IF(I106=" ",0,I106)-IF(AND(OR('депозитный калькулятор'!$G$7="30/365",'депозитный калькулятор'!$G$7="30/360"),'депозитный калькулятор'!$G$10="в начале срока"),I105,0)-L106+M106-N106,-G106-IF(I106=" ",0,I106)-L106+M106-N106),IF('депозитный калькулятор'!$G$13="есть",M106-N106+IF('депозитный калькулятор'!$G$14="есть",0,-L106),-IF(I106=" ",0,I106)-IF(AND(OR('депозитный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срока"),I105,0)+M106-N106+IF('депозитный калькулятор'!$G$14="есть",0,-L106))))</f>
        <v xml:space="preserve"> </v>
      </c>
      <c r="P106" s="147" t="str">
        <f>IF(F106&gt;'депозитный калькулятор'!$D$8," ",IF(EOMONTH(F105,0)=F105,0,IF(G106&gt;='депозитный калькулятор'!$G$19,P105,P105+1)))</f>
        <v xml:space="preserve"> </v>
      </c>
      <c r="Q106" s="138" t="str">
        <f>IF(F106=" "," ",IF(AND(OR('депозитный калькулятор'!$G$7="30/365",'депозитный калькулятор'!$G$7="30/360"),AND(MONTH(F106)=2,EOMONTH(F106,0)=F106)),IF(DAY(F106)=28,3,2),1)*IF(G106&gt;='депозитный калькулятор'!$G$11,IF(AND('депозитный калькулятор'!$G$7="факт/факт",MOD(YEAR(F106),4)=0),G106*'депозитный калькулятор'!$D$11/366,G106*'депозитный калькулятор'!$G$8),0))</f>
        <v xml:space="preserve"> </v>
      </c>
      <c r="R106" s="148"/>
      <c r="S106" s="62" t="str">
        <f t="shared" ca="1" si="7"/>
        <v xml:space="preserve"> </v>
      </c>
      <c r="T106" s="149" t="str">
        <f ca="1">IF(S106=" "," ",IF('депозитный калькулятор'!$G$7="30/360",DAYS360(U105,IF(DAY(U106)=31,U106-1,U106))+IF(AND(MONTH(U106)=2,U106=EOMONTH(U106,0)),30-DAY(EOMONTH(U106,0)))+T105,VLOOKUP(S106,$C$22:$F$1023,2,0)))</f>
        <v xml:space="preserve"> </v>
      </c>
      <c r="U106" s="64" t="str">
        <f t="shared" ca="1" si="5"/>
        <v xml:space="preserve"> </v>
      </c>
      <c r="V106" s="150" t="str">
        <f t="shared" ca="1" si="8"/>
        <v xml:space="preserve"> </v>
      </c>
      <c r="W106" s="62" t="str">
        <f t="shared" ca="1" si="9"/>
        <v xml:space="preserve"> </v>
      </c>
      <c r="X106" s="141" t="str">
        <f ca="1">IF(S106=" "," ",IFERROR(VLOOKUP(U106,$F$23:$N$1023,7)+VLOOKUP(U106,$F$23:$N$1023,9)+IF(AND('депозитный калькулятор'!$G$13="нет",U106&lt;&gt;'депозитный калькулятор'!$D$8),VLOOKUP(U106,$F$23:$N$1023,4),0),0)+IF(U106='депозитный калькулятор'!$D$8,VLOOKUP(U106,$F$23:$N$1023,2)+VLOOKUP(U106,$F$23:$N$1023,4),0))</f>
        <v xml:space="preserve"> </v>
      </c>
      <c r="Y106" s="142" t="str">
        <f ca="1">IF(S106=" "," ",W106/(1+'депозитный калькулятор'!$K$8)^(T106/IF('депозитный калькулятор'!$G$7="30/360",360,365)))</f>
        <v xml:space="preserve"> </v>
      </c>
      <c r="Z106" s="142" t="str">
        <f ca="1">IF(S106=" "," ",X106/(1+'депозитный калькулятор'!$K$8)^(T106/IF('депозитный калькулятор'!$G$7="30/360",360,365)))</f>
        <v xml:space="preserve"> </v>
      </c>
      <c r="AA106" s="151"/>
      <c r="AB106" s="151"/>
      <c r="AC106" s="155"/>
      <c r="AD106" s="155"/>
    </row>
    <row r="107" spans="1:30" s="2" customFormat="1" ht="15.5" x14ac:dyDescent="0.35">
      <c r="A107" s="41" t="str">
        <f>IF(F107=" "," ",IF(OR('депозитный калькулятор'!$G$7="30/365",'депозитный калькулятор'!$G$7="30/360"),IF(AND(MONTH(F107)=2,DAY(F107)=DAY(EOMONTH(F107,0))),30-DAY(EOMONTH(F107,0)),IF(DAY(F107)=31,1," "))," "))</f>
        <v xml:space="preserve"> </v>
      </c>
      <c r="B107" s="130" t="str">
        <f t="shared" si="6"/>
        <v xml:space="preserve"> </v>
      </c>
      <c r="C107" s="130" t="str">
        <f>IF(OR(B107=0,B107=" ")," ",SUM($B$23:B107))</f>
        <v xml:space="preserve"> </v>
      </c>
      <c r="D107" s="62" t="str">
        <f>IF(D106=" "," ",IF(OR(F106='депозитный калькулятор'!$D$8,F106=" ")," ",D106+1))</f>
        <v xml:space="preserve"> </v>
      </c>
      <c r="E107" s="130" t="str">
        <f>IF(OR(F106='депозитный калькулятор'!$D$8,F106=" ")," ",IF(EOMONTH(F106,0)=F106,1,E106+1))</f>
        <v xml:space="preserve"> </v>
      </c>
      <c r="F107" s="64" t="str">
        <f>IF(F106=" "," ",IF(F106='депозитный калькулятор'!$D$8," ",F106+1))</f>
        <v xml:space="preserve"> </v>
      </c>
      <c r="G107" s="145" t="str">
        <f xml:space="preserve"> IF(F107&gt;'депозитный калькулятор'!$D$8," ",IF('депозитный калькулятор'!$G$13="есть",IF('депозитный калькулятор'!$G$14="есть",G106+IF(I106=" ",0,I106)-J107-K107+L107+M107-N107,G106+IF(I106=" ",0,I106)-J107-K107+M107-N107),IF('депозитный калькулятор'!$G$14="есть",G106-J107-K107+L107+M107-N107,G106-J107-K107+M107-N107)))</f>
        <v xml:space="preserve"> </v>
      </c>
      <c r="H107" s="133" t="str">
        <f>IF(F107&gt;'депозитный калькулятор'!$D$8," ",IF(AND(OR('депозитный калькулятор'!$G$7="30/365",'депозитный калькулятор'!$G$7="30/360"),AND(MONTH(F107)=2,EOMONTH(F107,0)=F107)),IF(DAY(F107)=28,3*G107*'депозитный калькулятор'!$G$8,2*G107*'депозитный калькулятор'!$G$8),IF(AND(OR('депозитный калькулятор'!$G$7="30/365",'депозитный калькулятор'!$G$7="30/360"),DAY(F107)=31)," ",IF(AND('депозитный калькулятор'!$G$7="факт/факт",MOD(YEAR(F107),4)=0),G107*'депозитный калькулятор'!$D$11/366,G107*'депозитный калькулятор'!$G$8))))</f>
        <v xml:space="preserve"> </v>
      </c>
      <c r="I107" s="134" t="str">
        <f ca="1">IF(F107=" "," ",IF('депозитный калькулятор'!$G$10="ежедневное",H107,IF(AND('депозитный калькулятор'!$G$10="еженедельное",WEEKDAY(F107,2)=7),SUM(OFFSET(H107,-6,0):H107),IF(AND('депозитный калькулятор'!$G$10="еженедельное",F107='депозитный калькулятор'!$D$8),SUM($H$23:H107)-SUM($I$23:I106),IF(AND('депозитный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недели",WEEKDAY(F107,2)=7),MIN(OFFSET(H107,-6,0):H107)*(COUNTIF(OFFSET(H107,-6,0):H107,"&gt;0")+SUMIF(OFFSET(A107,-WEEKDAY(F107,2),0):A107,"=2",OFFSET(A107,-WEEKDAY(F107,2),0):A107)),IF(AND('депозитный калькулятор'!$G$10="еженедельное, на минимальную сумму зафиксированную в течение недели",F107='депозитный калькулятор'!$D$8,WEEKDAY(F107,2)&lt;&gt;7),MIN(OFFSET(H107,-WEEKDAY(F107,2),0):H107)*(COUNTIF(OFFSET(H107,-WEEKDAY(F107,2)+1,0):H107,"&gt;0")+SUM(OFFSET(A107,-WEEKDAY(F107,2),0):A107)),IF(AND('депозитный калькулятор'!$G$10="ежемесячное (в конце месяца)",F107='депозитный калькулятор'!$D$8,EOMONTH(F107,0)&lt;&gt;F107),IF('депозитный калькулятор'!$F$1=1,$H$24,SUM($H$23:H107)-SUM($I$23:I106)),IF(AND('депозитный калькулятор'!$G$10="ежемесячное (в конце месяца)",EOMONTH(F107,0)=F107),SUM($H$23:H107)-SUM($I$23:I106),IF(AND('депозитный калькулятор'!$G$10="ежемесячное (по дням открытия вклада)",F107='депозитный калькулятор'!$D$8,DAY('депозитный калькулятор'!$D$7)&lt;&gt;DAY(F107)),IF('депозитный калькулятор'!$F$1=1,$H$24,SUM($H$23:H107)-SUM($I$23:I106)),IF(AND('депозитный калькулятор'!$G$10="ежемесячное (по дням открытия вклада)",DAY('депозитный калькулятор'!$D$7)=DAY(F107)),SUM($H$23:H107)-SUM($I$23:I106),IF(AND('депозитный калькулятор'!$G$10="ежемесячное, на минимальную сумму зафиксированную в течение месяца",F107='депозитный калькулятор'!$D$8,EOMONTH(F107,0)&lt;&gt;F107),IF('депозитный калькулятор'!$F$1=1,$H$24,IF(AND(OR('депозитный калькулятор'!$G$7="30/365",'депозитный калькулятор'!$G$7="30/360"),DAY(F107)=31),0,MIN(OFFSET(H107,-E107+1,0):H107)*(E107+SUMIF(OFFSET(A107,-E107+1,0):A107,"=2",OFFSET(A107,-E107+1,0):A107)))),IF(AND('депозитный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калькулятор'!$G$7="30/360"),DAY(EOMONTH(F107,0))=31),EOMONTH(F107,0)-1=F107,EOMONTH(F107,0)=F107)),IF(IF(AND(OR('депозитный калькулятор'!$G$7="30/365",'депозитный калькулятор'!$G$7="30/360"),DAY(EOMONTH($F$23,0))=31),F107=EOMONTH($F$23,0)-1,F107=EOMONTH($F$23,0)),MIN(OFFSET(H107,-(DAY(F107)-DAY($F$23)),0):H107)*E107,MIN(OFFSET(H107,-(DAY(F107)-1),0):H107)*IF(AND(OR('депозитный калькулятор'!$G$7="30/365",'депозитный калькулятор'!$G$7="30/360"),DAY(F107)&lt;30),30,DAY(F107))),IF(AND('депозитный калькулятор'!$G$10="ежемесячное, на средний остаток в течение месяца, при условии что остаток больше чем ограничение",F107='депозитный калькулятор'!$D$8,EOMONTH(F107,0)&lt;&gt;F107),IF('депозитный калькулятор'!$F$1=1,$H$24,SUM(OFFSET(Q107,-E107+1,0):Q107)),IF(AND('депозитный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калькулятор'!$G$7="30/360"),DAY(EOMONTH(F107,0))=31),EOMONTH(F107,0)-1=F107,EOMONTH(F107,0)=F107)),IF(IF(AND(OR('депозитный калькулятор'!$G$7="30/365",'депозитный калькулятор'!$G$7="30/360"),DAY(EOMONTH($F$24,0))=31),F107=EOMONTH($F$24,0)-1,F107=EOMONTH($F$24,0)),SUM(OFFSET(Q107,-E107+1,0):Q107),SUM(OFFSET(Q107,-E107+1,0):Q107)),IF('депозитный калькулятор'!$G$10="ежеквартальное",IF(F107&gt;'депозитный калькулятор'!$D$8," ",IF(AND(EOMONTH(F107,0)=F107,OR(MONTH(F107)=3,MONTH(F107)=6,MONTH(F107)=9,MONTH(F107)=12)),IF(EDATE(F107,-3)&lt;'депозитный калькулятор'!$D$7,SUM($H$23:H107),IF(MOD(YEAR(F107),4)=0,IF(AND(EOMONTH(F107,0)=F107,OR(MONTH(F107)=3,MONTH(F107)=6)),SUM(OFFSET(H107,-90,0):H107),IF(AND(EOMONTH(F107,0)=F107,OR(MONTH(F107)=9,MONTH(F107)=12)),SUM(OFFSET(H107,-91,0):H107))),IF(AND(EOMONTH(F107,0)=F107,MONTH(F107)=3),SUM(OFFSET(H107,-89,0):H107),IF(AND(EOMONTH(F107,0)=F107,MONTH(F107)=6),SUM(OFFSET(H107,-90,0):H107),IF(AND(EOMONTH(F107,0)=F107,OR(MONTH(F107)=9,MONTH(F107)=12)),SUM(OFFSET(H107,-91,0):H107)))))),IF(F107='депозитный калькулятор'!$D$8,SUM($H$23:H107)-SUM($I$23:I106),0))),IF('депозитный калькулятор'!$G$10="ежегодное",IF(F107&gt;'депозитный калькулятор'!$D$8," ",IF(F107='депозитный калькулятор'!$D$8,SUM($H$23:H107)-SUM($I$23:I106),IF(AND(EOMONTH(F107,0)=F107,MONTH(F107)=12),IF(MOD(YEAR(F106),4)=0,IF(F107-'депозитный калькулятор'!$D$7&lt;366,SUM($H$23:H107),SUM(OFFSET(H107,-365,0):H107)),IF(F107-'депозитный калькулятор'!$D$7&lt;365,SUM($H$23:H107),SUM(OFFSET(H107,-364,0):H107))),0))),IF(AND('депозитный калькулятор'!$G$10="в конце срока",'депозитный калькулятор'!$D$8=F107),SUM($H$23:H107),0))))))))))))))))))</f>
        <v xml:space="preserve"> </v>
      </c>
      <c r="J107" s="59" t="str">
        <f>IF(F107&gt;'депозитный калькулятор'!$D$8," ",IF('депозитный калькулятор'!$G$16="нет",0,IF(AND('депозитный калькулятор'!$G$17="разовая (в конце срока)",F107='депозитный калькулятор'!$D$8),'депозитный калькулятор'!$G$18,IF(AND('депозитный калькулятор'!$G$17="ежемесячная",EOMONTH(F106,0)=F106),'депозитный калькулятор'!$G$18,IF(AND('депозитный калькулятор'!$G$17="ежегодная",DAY(F106)=31,MONTH(F106)=12),'депозитный калькулятор'!$G$18,IF(AND('депозитный калькулятор'!$G$17="ежемесячная в зависимости от остатка",EOMONTH(F106,0)=F106,P106&gt;0),'депозитный калькулятор'!$G$18,IF(AND('депозитный калькулятор'!$G$17="ежегодная в зависимости от остатка",DAY(F106)=31,MONTH(F106)=12,P106&gt;0),'депозитный калькулятор'!$G$18,0)))))))</f>
        <v xml:space="preserve"> </v>
      </c>
      <c r="K107" s="135" t="str">
        <f>IF($F107=" "," ",IFERROR(VLOOKUP($F107,'депозитный калькулятор'!$B$26:$F$70,2,0),0))</f>
        <v xml:space="preserve"> </v>
      </c>
      <c r="L107" s="135" t="str">
        <f>IF($F107=" "," ",IFERROR(VLOOKUP($F107,'депозитный калькулятор'!$B$26:$F$70,3,0),0))</f>
        <v xml:space="preserve"> </v>
      </c>
      <c r="M107" s="135" t="str">
        <f>IF($F107=" "," ",IFERROR(VLOOKUP($F107,'депозитный калькулятор'!$B$26:$F$70,4,0),0))</f>
        <v xml:space="preserve"> </v>
      </c>
      <c r="N107" s="135" t="str">
        <f>IF($F107=" "," ",IFERROR(VLOOKUP($F107,'депозитный калькулятор'!$B$26:$F$70,5,0),0))</f>
        <v xml:space="preserve"> </v>
      </c>
      <c r="O107" s="146" t="str">
        <f>IF(F107&gt;'депозитный калькулятор'!$D$8," ",IF(F107='депозитный калькулятор'!$D$8,IF(AND($F$24='депозитный калькулятор'!$D$8,'депозитный калькулятор'!$G$13="нет"),-G107-IF(I107=" ",0,I107)-IF(AND(OR('депозитный калькулятор'!$G$7="30/365",'депозитный калькулятор'!$G$7="30/360"),'депозитный калькулятор'!$G$10="в начале срока"),I106,0)-L107+M107-N107,-G107-IF(I107=" ",0,I107)-L107+M107-N107),IF('депозитный калькулятор'!$G$13="есть",M107-N107+IF('депозитный калькулятор'!$G$14="есть",0,-L107),-IF(I107=" ",0,I107)-IF(AND(OR('депозитный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срока"),I106,0)+M107-N107+IF('депозитный калькулятор'!$G$14="есть",0,-L107))))</f>
        <v xml:space="preserve"> </v>
      </c>
      <c r="P107" s="147" t="str">
        <f>IF(F107&gt;'депозитный калькулятор'!$D$8," ",IF(EOMONTH(F106,0)=F106,0,IF(G107&gt;='депозитный калькулятор'!$G$19,P106,P106+1)))</f>
        <v xml:space="preserve"> </v>
      </c>
      <c r="Q107" s="138" t="str">
        <f>IF(F107=" "," ",IF(AND(OR('депозитный калькулятор'!$G$7="30/365",'депозитный калькулятор'!$G$7="30/360"),AND(MONTH(F107)=2,EOMONTH(F107,0)=F107)),IF(DAY(F107)=28,3,2),1)*IF(G107&gt;='депозитный калькулятор'!$G$11,IF(AND('депозитный калькулятор'!$G$7="факт/факт",MOD(YEAR(F107),4)=0),G107*'депозитный калькулятор'!$D$11/366,G107*'депозитный калькулятор'!$G$8),0))</f>
        <v xml:space="preserve"> </v>
      </c>
      <c r="R107" s="148"/>
      <c r="S107" s="62" t="str">
        <f t="shared" ca="1" si="7"/>
        <v xml:space="preserve"> </v>
      </c>
      <c r="T107" s="149" t="str">
        <f ca="1">IF(S107=" "," ",IF('депозитный калькулятор'!$G$7="30/360",DAYS360(U106,IF(DAY(U107)=31,U107-1,U107))+IF(AND(MONTH(U107)=2,U107=EOMONTH(U107,0)),30-DAY(EOMONTH(U107,0)))+T106,VLOOKUP(S107,$C$22:$F$1023,2,0)))</f>
        <v xml:space="preserve"> </v>
      </c>
      <c r="U107" s="64" t="str">
        <f t="shared" ca="1" si="5"/>
        <v xml:space="preserve"> </v>
      </c>
      <c r="V107" s="150" t="str">
        <f t="shared" ca="1" si="8"/>
        <v xml:space="preserve"> </v>
      </c>
      <c r="W107" s="62" t="str">
        <f t="shared" ca="1" si="9"/>
        <v xml:space="preserve"> </v>
      </c>
      <c r="X107" s="141" t="str">
        <f ca="1">IF(S107=" "," ",IFERROR(VLOOKUP(U107,$F$23:$N$1023,7)+VLOOKUP(U107,$F$23:$N$1023,9)+IF(AND('депозитный калькулятор'!$G$13="нет",U107&lt;&gt;'депозитный калькулятор'!$D$8),VLOOKUP(U107,$F$23:$N$1023,4),0),0)+IF(U107='депозитный калькулятор'!$D$8,VLOOKUP(U107,$F$23:$N$1023,2)+VLOOKUP(U107,$F$23:$N$1023,4),0))</f>
        <v xml:space="preserve"> </v>
      </c>
      <c r="Y107" s="142" t="str">
        <f ca="1">IF(S107=" "," ",W107/(1+'депозитный калькулятор'!$K$8)^(T107/IF('депозитный калькулятор'!$G$7="30/360",360,365)))</f>
        <v xml:space="preserve"> </v>
      </c>
      <c r="Z107" s="142" t="str">
        <f ca="1">IF(S107=" "," ",X107/(1+'депозитный калькулятор'!$K$8)^(T107/IF('депозитный калькулятор'!$G$7="30/360",360,365)))</f>
        <v xml:space="preserve"> </v>
      </c>
      <c r="AA107" s="151"/>
      <c r="AB107" s="151"/>
      <c r="AC107" s="155"/>
      <c r="AD107" s="155"/>
    </row>
    <row r="108" spans="1:30" s="2" customFormat="1" ht="15.5" x14ac:dyDescent="0.35">
      <c r="A108" s="41" t="str">
        <f>IF(F108=" "," ",IF(OR('депозитный калькулятор'!$G$7="30/365",'депозитный калькулятор'!$G$7="30/360"),IF(AND(MONTH(F108)=2,DAY(F108)=DAY(EOMONTH(F108,0))),30-DAY(EOMONTH(F108,0)),IF(DAY(F108)=31,1," "))," "))</f>
        <v xml:space="preserve"> </v>
      </c>
      <c r="B108" s="130" t="str">
        <f t="shared" si="6"/>
        <v xml:space="preserve"> </v>
      </c>
      <c r="C108" s="130" t="str">
        <f>IF(OR(B108=0,B108=" ")," ",SUM($B$23:B108))</f>
        <v xml:space="preserve"> </v>
      </c>
      <c r="D108" s="62" t="str">
        <f>IF(D107=" "," ",IF(OR(F107='депозитный калькулятор'!$D$8,F107=" ")," ",D107+1))</f>
        <v xml:space="preserve"> </v>
      </c>
      <c r="E108" s="130" t="str">
        <f>IF(OR(F107='депозитный калькулятор'!$D$8,F107=" ")," ",IF(EOMONTH(F107,0)=F107,1,E107+1))</f>
        <v xml:space="preserve"> </v>
      </c>
      <c r="F108" s="64" t="str">
        <f>IF(F107=" "," ",IF(F107='депозитный калькулятор'!$D$8," ",F107+1))</f>
        <v xml:space="preserve"> </v>
      </c>
      <c r="G108" s="145" t="str">
        <f xml:space="preserve"> IF(F108&gt;'депозитный калькулятор'!$D$8," ",IF('депозитный калькулятор'!$G$13="есть",IF('депозитный калькулятор'!$G$14="есть",G107+IF(I107=" ",0,I107)-J108-K108+L108+M108-N108,G107+IF(I107=" ",0,I107)-J108-K108+M108-N108),IF('депозитный калькулятор'!$G$14="есть",G107-J108-K108+L108+M108-N108,G107-J108-K108+M108-N108)))</f>
        <v xml:space="preserve"> </v>
      </c>
      <c r="H108" s="133" t="str">
        <f>IF(F108&gt;'депозитный калькулятор'!$D$8," ",IF(AND(OR('депозитный калькулятор'!$G$7="30/365",'депозитный калькулятор'!$G$7="30/360"),AND(MONTH(F108)=2,EOMONTH(F108,0)=F108)),IF(DAY(F108)=28,3*G108*'депозитный калькулятор'!$G$8,2*G108*'депозитный калькулятор'!$G$8),IF(AND(OR('депозитный калькулятор'!$G$7="30/365",'депозитный калькулятор'!$G$7="30/360"),DAY(F108)=31)," ",IF(AND('депозитный калькулятор'!$G$7="факт/факт",MOD(YEAR(F108),4)=0),G108*'депозитный калькулятор'!$D$11/366,G108*'депозитный калькулятор'!$G$8))))</f>
        <v xml:space="preserve"> </v>
      </c>
      <c r="I108" s="134" t="str">
        <f ca="1">IF(F108=" "," ",IF('депозитный калькулятор'!$G$10="ежедневное",H108,IF(AND('депозитный калькулятор'!$G$10="еженедельное",WEEKDAY(F108,2)=7),SUM(OFFSET(H108,-6,0):H108),IF(AND('депозитный калькулятор'!$G$10="еженедельное",F108='депозитный калькулятор'!$D$8),SUM($H$23:H108)-SUM($I$23:I107),IF(AND('депозитный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недели",WEEKDAY(F108,2)=7),MIN(OFFSET(H108,-6,0):H108)*(COUNTIF(OFFSET(H108,-6,0):H108,"&gt;0")+SUMIF(OFFSET(A108,-WEEKDAY(F108,2),0):A108,"=2",OFFSET(A108,-WEEKDAY(F108,2),0):A108)),IF(AND('депозитный калькулятор'!$G$10="еженедельное, на минимальную сумму зафиксированную в течение недели",F108='депозитный калькулятор'!$D$8,WEEKDAY(F108,2)&lt;&gt;7),MIN(OFFSET(H108,-WEEKDAY(F108,2),0):H108)*(COUNTIF(OFFSET(H108,-WEEKDAY(F108,2)+1,0):H108,"&gt;0")+SUM(OFFSET(A108,-WEEKDAY(F108,2),0):A108)),IF(AND('депозитный калькулятор'!$G$10="ежемесячное (в конце месяца)",F108='депозитный калькулятор'!$D$8,EOMONTH(F108,0)&lt;&gt;F108),IF('депозитный калькулятор'!$F$1=1,$H$24,SUM($H$23:H108)-SUM($I$23:I107)),IF(AND('депозитный калькулятор'!$G$10="ежемесячное (в конце месяца)",EOMONTH(F108,0)=F108),SUM($H$23:H108)-SUM($I$23:I107),IF(AND('депозитный калькулятор'!$G$10="ежемесячное (по дням открытия вклада)",F108='депозитный калькулятор'!$D$8,DAY('депозитный калькулятор'!$D$7)&lt;&gt;DAY(F108)),IF('депозитный калькулятор'!$F$1=1,$H$24,SUM($H$23:H108)-SUM($I$23:I107)),IF(AND('депозитный калькулятор'!$G$10="ежемесячное (по дням открытия вклада)",DAY('депозитный калькулятор'!$D$7)=DAY(F108)),SUM($H$23:H108)-SUM($I$23:I107),IF(AND('депозитный калькулятор'!$G$10="ежемесячное, на минимальную сумму зафиксированную в течение месяца",F108='депозитный калькулятор'!$D$8,EOMONTH(F108,0)&lt;&gt;F108),IF('депозитный калькулятор'!$F$1=1,$H$24,IF(AND(OR('депозитный калькулятор'!$G$7="30/365",'депозитный калькулятор'!$G$7="30/360"),DAY(F108)=31),0,MIN(OFFSET(H108,-E108+1,0):H108)*(E108+SUMIF(OFFSET(A108,-E108+1,0):A108,"=2",OFFSET(A108,-E108+1,0):A108)))),IF(AND('депозитный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калькулятор'!$G$7="30/360"),DAY(EOMONTH(F108,0))=31),EOMONTH(F108,0)-1=F108,EOMONTH(F108,0)=F108)),IF(IF(AND(OR('депозитный калькулятор'!$G$7="30/365",'депозитный калькулятор'!$G$7="30/360"),DAY(EOMONTH($F$23,0))=31),F108=EOMONTH($F$23,0)-1,F108=EOMONTH($F$23,0)),MIN(OFFSET(H108,-(DAY(F108)-DAY($F$23)),0):H108)*E108,MIN(OFFSET(H108,-(DAY(F108)-1),0):H108)*IF(AND(OR('депозитный калькулятор'!$G$7="30/365",'депозитный калькулятор'!$G$7="30/360"),DAY(F108)&lt;30),30,DAY(F108))),IF(AND('депозитный калькулятор'!$G$10="ежемесячное, на средний остаток в течение месяца, при условии что остаток больше чем ограничение",F108='депозитный калькулятор'!$D$8,EOMONTH(F108,0)&lt;&gt;F108),IF('депозитный калькулятор'!$F$1=1,$H$24,SUM(OFFSET(Q108,-E108+1,0):Q108)),IF(AND('депозитный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калькулятор'!$G$7="30/360"),DAY(EOMONTH(F108,0))=31),EOMONTH(F108,0)-1=F108,EOMONTH(F108,0)=F108)),IF(IF(AND(OR('депозитный калькулятор'!$G$7="30/365",'депозитный калькулятор'!$G$7="30/360"),DAY(EOMONTH($F$24,0))=31),F108=EOMONTH($F$24,0)-1,F108=EOMONTH($F$24,0)),SUM(OFFSET(Q108,-E108+1,0):Q108),SUM(OFFSET(Q108,-E108+1,0):Q108)),IF('депозитный калькулятор'!$G$10="ежеквартальное",IF(F108&gt;'депозитный калькулятор'!$D$8," ",IF(AND(EOMONTH(F108,0)=F108,OR(MONTH(F108)=3,MONTH(F108)=6,MONTH(F108)=9,MONTH(F108)=12)),IF(EDATE(F108,-3)&lt;'депозитный калькулятор'!$D$7,SUM($H$23:H108),IF(MOD(YEAR(F108),4)=0,IF(AND(EOMONTH(F108,0)=F108,OR(MONTH(F108)=3,MONTH(F108)=6)),SUM(OFFSET(H108,-90,0):H108),IF(AND(EOMONTH(F108,0)=F108,OR(MONTH(F108)=9,MONTH(F108)=12)),SUM(OFFSET(H108,-91,0):H108))),IF(AND(EOMONTH(F108,0)=F108,MONTH(F108)=3),SUM(OFFSET(H108,-89,0):H108),IF(AND(EOMONTH(F108,0)=F108,MONTH(F108)=6),SUM(OFFSET(H108,-90,0):H108),IF(AND(EOMONTH(F108,0)=F108,OR(MONTH(F108)=9,MONTH(F108)=12)),SUM(OFFSET(H108,-91,0):H108)))))),IF(F108='депозитный калькулятор'!$D$8,SUM($H$23:H108)-SUM($I$23:I107),0))),IF('депозитный калькулятор'!$G$10="ежегодное",IF(F108&gt;'депозитный калькулятор'!$D$8," ",IF(F108='депозитный калькулятор'!$D$8,SUM($H$23:H108)-SUM($I$23:I107),IF(AND(EOMONTH(F108,0)=F108,MONTH(F108)=12),IF(MOD(YEAR(F107),4)=0,IF(F108-'депозитный калькулятор'!$D$7&lt;366,SUM($H$23:H108),SUM(OFFSET(H108,-365,0):H108)),IF(F108-'депозитный калькулятор'!$D$7&lt;365,SUM($H$23:H108),SUM(OFFSET(H108,-364,0):H108))),0))),IF(AND('депозитный калькулятор'!$G$10="в конце срока",'депозитный калькулятор'!$D$8=F108),SUM($H$23:H108),0))))))))))))))))))</f>
        <v xml:space="preserve"> </v>
      </c>
      <c r="J108" s="59" t="str">
        <f>IF(F108&gt;'депозитный калькулятор'!$D$8," ",IF('депозитный калькулятор'!$G$16="нет",0,IF(AND('депозитный калькулятор'!$G$17="разовая (в конце срока)",F108='депозитный калькулятор'!$D$8),'депозитный калькулятор'!$G$18,IF(AND('депозитный калькулятор'!$G$17="ежемесячная",EOMONTH(F107,0)=F107),'депозитный калькулятор'!$G$18,IF(AND('депозитный калькулятор'!$G$17="ежегодная",DAY(F107)=31,MONTH(F107)=12),'депозитный калькулятор'!$G$18,IF(AND('депозитный калькулятор'!$G$17="ежемесячная в зависимости от остатка",EOMONTH(F107,0)=F107,P107&gt;0),'депозитный калькулятор'!$G$18,IF(AND('депозитный калькулятор'!$G$17="ежегодная в зависимости от остатка",DAY(F107)=31,MONTH(F107)=12,P107&gt;0),'депозитный калькулятор'!$G$18,0)))))))</f>
        <v xml:space="preserve"> </v>
      </c>
      <c r="K108" s="135" t="str">
        <f>IF($F108=" "," ",IFERROR(VLOOKUP($F108,'депозитный калькулятор'!$B$26:$F$70,2,0),0))</f>
        <v xml:space="preserve"> </v>
      </c>
      <c r="L108" s="135" t="str">
        <f>IF($F108=" "," ",IFERROR(VLOOKUP($F108,'депозитный калькулятор'!$B$26:$F$70,3,0),0))</f>
        <v xml:space="preserve"> </v>
      </c>
      <c r="M108" s="135" t="str">
        <f>IF($F108=" "," ",IFERROR(VLOOKUP($F108,'депозитный калькулятор'!$B$26:$F$70,4,0),0))</f>
        <v xml:space="preserve"> </v>
      </c>
      <c r="N108" s="135" t="str">
        <f>IF($F108=" "," ",IFERROR(VLOOKUP($F108,'депозитный калькулятор'!$B$26:$F$70,5,0),0))</f>
        <v xml:space="preserve"> </v>
      </c>
      <c r="O108" s="146" t="str">
        <f>IF(F108&gt;'депозитный калькулятор'!$D$8," ",IF(F108='депозитный калькулятор'!$D$8,IF(AND($F$24='депозитный калькулятор'!$D$8,'депозитный калькулятор'!$G$13="нет"),-G108-IF(I108=" ",0,I108)-IF(AND(OR('депозитный калькулятор'!$G$7="30/365",'депозитный калькулятор'!$G$7="30/360"),'депозитный калькулятор'!$G$10="в начале срока"),I107,0)-L108+M108-N108,-G108-IF(I108=" ",0,I108)-L108+M108-N108),IF('депозитный калькулятор'!$G$13="есть",M108-N108+IF('депозитный калькулятор'!$G$14="есть",0,-L108),-IF(I108=" ",0,I108)-IF(AND(OR('депозитный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срока"),I107,0)+M108-N108+IF('депозитный калькулятор'!$G$14="есть",0,-L108))))</f>
        <v xml:space="preserve"> </v>
      </c>
      <c r="P108" s="147" t="str">
        <f>IF(F108&gt;'депозитный калькулятор'!$D$8," ",IF(EOMONTH(F107,0)=F107,0,IF(G108&gt;='депозитный калькулятор'!$G$19,P107,P107+1)))</f>
        <v xml:space="preserve"> </v>
      </c>
      <c r="Q108" s="138" t="str">
        <f>IF(F108=" "," ",IF(AND(OR('депозитный калькулятор'!$G$7="30/365",'депозитный калькулятор'!$G$7="30/360"),AND(MONTH(F108)=2,EOMONTH(F108,0)=F108)),IF(DAY(F108)=28,3,2),1)*IF(G108&gt;='депозитный калькулятор'!$G$11,IF(AND('депозитный калькулятор'!$G$7="факт/факт",MOD(YEAR(F108),4)=0),G108*'депозитный калькулятор'!$D$11/366,G108*'депозитный калькулятор'!$G$8),0))</f>
        <v xml:space="preserve"> </v>
      </c>
      <c r="R108" s="148"/>
      <c r="S108" s="62" t="str">
        <f t="shared" ca="1" si="7"/>
        <v xml:space="preserve"> </v>
      </c>
      <c r="T108" s="149" t="str">
        <f ca="1">IF(S108=" "," ",IF('депозитный калькулятор'!$G$7="30/360",DAYS360(U107,IF(DAY(U108)=31,U108-1,U108))+IF(AND(MONTH(U108)=2,U108=EOMONTH(U108,0)),30-DAY(EOMONTH(U108,0)))+T107,VLOOKUP(S108,$C$22:$F$1023,2,0)))</f>
        <v xml:space="preserve"> </v>
      </c>
      <c r="U108" s="64" t="str">
        <f t="shared" ca="1" si="5"/>
        <v xml:space="preserve"> </v>
      </c>
      <c r="V108" s="150" t="str">
        <f t="shared" ca="1" si="8"/>
        <v xml:space="preserve"> </v>
      </c>
      <c r="W108" s="62" t="str">
        <f t="shared" ca="1" si="9"/>
        <v xml:space="preserve"> </v>
      </c>
      <c r="X108" s="141" t="str">
        <f ca="1">IF(S108=" "," ",IFERROR(VLOOKUP(U108,$F$23:$N$1023,7)+VLOOKUP(U108,$F$23:$N$1023,9)+IF(AND('депозитный калькулятор'!$G$13="нет",U108&lt;&gt;'депозитный калькулятор'!$D$8),VLOOKUP(U108,$F$23:$N$1023,4),0),0)+IF(U108='депозитный калькулятор'!$D$8,VLOOKUP(U108,$F$23:$N$1023,2)+VLOOKUP(U108,$F$23:$N$1023,4),0))</f>
        <v xml:space="preserve"> </v>
      </c>
      <c r="Y108" s="142" t="str">
        <f ca="1">IF(S108=" "," ",W108/(1+'депозитный калькулятор'!$K$8)^(T108/IF('депозитный калькулятор'!$G$7="30/360",360,365)))</f>
        <v xml:space="preserve"> </v>
      </c>
      <c r="Z108" s="142" t="str">
        <f ca="1">IF(S108=" "," ",X108/(1+'депозитный калькулятор'!$K$8)^(T108/IF('депозитный калькулятор'!$G$7="30/360",360,365)))</f>
        <v xml:space="preserve"> </v>
      </c>
      <c r="AA108" s="151"/>
      <c r="AB108" s="151"/>
      <c r="AC108" s="155"/>
      <c r="AD108" s="155"/>
    </row>
    <row r="109" spans="1:30" s="2" customFormat="1" ht="15.5" x14ac:dyDescent="0.35">
      <c r="A109" s="41" t="str">
        <f>IF(F109=" "," ",IF(OR('депозитный калькулятор'!$G$7="30/365",'депозитный калькулятор'!$G$7="30/360"),IF(AND(MONTH(F109)=2,DAY(F109)=DAY(EOMONTH(F109,0))),30-DAY(EOMONTH(F109,0)),IF(DAY(F109)=31,1," "))," "))</f>
        <v xml:space="preserve"> </v>
      </c>
      <c r="B109" s="130" t="str">
        <f t="shared" si="6"/>
        <v xml:space="preserve"> </v>
      </c>
      <c r="C109" s="130" t="str">
        <f>IF(OR(B109=0,B109=" ")," ",SUM($B$23:B109))</f>
        <v xml:space="preserve"> </v>
      </c>
      <c r="D109" s="62" t="str">
        <f>IF(D108=" "," ",IF(OR(F108='депозитный калькулятор'!$D$8,F108=" ")," ",D108+1))</f>
        <v xml:space="preserve"> </v>
      </c>
      <c r="E109" s="130" t="str">
        <f>IF(OR(F108='депозитный калькулятор'!$D$8,F108=" ")," ",IF(EOMONTH(F108,0)=F108,1,E108+1))</f>
        <v xml:space="preserve"> </v>
      </c>
      <c r="F109" s="64" t="str">
        <f>IF(F108=" "," ",IF(F108='депозитный калькулятор'!$D$8," ",F108+1))</f>
        <v xml:space="preserve"> </v>
      </c>
      <c r="G109" s="145" t="str">
        <f xml:space="preserve"> IF(F109&gt;'депозитный калькулятор'!$D$8," ",IF('депозитный калькулятор'!$G$13="есть",IF('депозитный калькулятор'!$G$14="есть",G108+IF(I108=" ",0,I108)-J109-K109+L109+M109-N109,G108+IF(I108=" ",0,I108)-J109-K109+M109-N109),IF('депозитный калькулятор'!$G$14="есть",G108-J109-K109+L109+M109-N109,G108-J109-K109+M109-N109)))</f>
        <v xml:space="preserve"> </v>
      </c>
      <c r="H109" s="133" t="str">
        <f>IF(F109&gt;'депозитный калькулятор'!$D$8," ",IF(AND(OR('депозитный калькулятор'!$G$7="30/365",'депозитный калькулятор'!$G$7="30/360"),AND(MONTH(F109)=2,EOMONTH(F109,0)=F109)),IF(DAY(F109)=28,3*G109*'депозитный калькулятор'!$G$8,2*G109*'депозитный калькулятор'!$G$8),IF(AND(OR('депозитный калькулятор'!$G$7="30/365",'депозитный калькулятор'!$G$7="30/360"),DAY(F109)=31)," ",IF(AND('депозитный калькулятор'!$G$7="факт/факт",MOD(YEAR(F109),4)=0),G109*'депозитный калькулятор'!$D$11/366,G109*'депозитный калькулятор'!$G$8))))</f>
        <v xml:space="preserve"> </v>
      </c>
      <c r="I109" s="134" t="str">
        <f ca="1">IF(F109=" "," ",IF('депозитный калькулятор'!$G$10="ежедневное",H109,IF(AND('депозитный калькулятор'!$G$10="еженедельное",WEEKDAY(F109,2)=7),SUM(OFFSET(H109,-6,0):H109),IF(AND('депозитный калькулятор'!$G$10="еженедельное",F109='депозитный калькулятор'!$D$8),SUM($H$23:H109)-SUM($I$23:I108),IF(AND('депозитный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недели",WEEKDAY(F109,2)=7),MIN(OFFSET(H109,-6,0):H109)*(COUNTIF(OFFSET(H109,-6,0):H109,"&gt;0")+SUMIF(OFFSET(A109,-WEEKDAY(F109,2),0):A109,"=2",OFFSET(A109,-WEEKDAY(F109,2),0):A109)),IF(AND('депозитный калькулятор'!$G$10="еженедельное, на минимальную сумму зафиксированную в течение недели",F109='депозитный калькулятор'!$D$8,WEEKDAY(F109,2)&lt;&gt;7),MIN(OFFSET(H109,-WEEKDAY(F109,2),0):H109)*(COUNTIF(OFFSET(H109,-WEEKDAY(F109,2)+1,0):H109,"&gt;0")+SUM(OFFSET(A109,-WEEKDAY(F109,2),0):A109)),IF(AND('депозитный калькулятор'!$G$10="ежемесячное (в конце месяца)",F109='депозитный калькулятор'!$D$8,EOMONTH(F109,0)&lt;&gt;F109),IF('депозитный калькулятор'!$F$1=1,$H$24,SUM($H$23:H109)-SUM($I$23:I108)),IF(AND('депозитный калькулятор'!$G$10="ежемесячное (в конце месяца)",EOMONTH(F109,0)=F109),SUM($H$23:H109)-SUM($I$23:I108),IF(AND('депозитный калькулятор'!$G$10="ежемесячное (по дням открытия вклада)",F109='депозитный калькулятор'!$D$8,DAY('депозитный калькулятор'!$D$7)&lt;&gt;DAY(F109)),IF('депозитный калькулятор'!$F$1=1,$H$24,SUM($H$23:H109)-SUM($I$23:I108)),IF(AND('депозитный калькулятор'!$G$10="ежемесячное (по дням открытия вклада)",DAY('депозитный калькулятор'!$D$7)=DAY(F109)),SUM($H$23:H109)-SUM($I$23:I108),IF(AND('депозитный калькулятор'!$G$10="ежемесячное, на минимальную сумму зафиксированную в течение месяца",F109='депозитный калькулятор'!$D$8,EOMONTH(F109,0)&lt;&gt;F109),IF('депозитный калькулятор'!$F$1=1,$H$24,IF(AND(OR('депозитный калькулятор'!$G$7="30/365",'депозитный калькулятор'!$G$7="30/360"),DAY(F109)=31),0,MIN(OFFSET(H109,-E109+1,0):H109)*(E109+SUMIF(OFFSET(A109,-E109+1,0):A109,"=2",OFFSET(A109,-E109+1,0):A109)))),IF(AND('депозитный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калькулятор'!$G$7="30/360"),DAY(EOMONTH(F109,0))=31),EOMONTH(F109,0)-1=F109,EOMONTH(F109,0)=F109)),IF(IF(AND(OR('депозитный калькулятор'!$G$7="30/365",'депозитный калькулятор'!$G$7="30/360"),DAY(EOMONTH($F$23,0))=31),F109=EOMONTH($F$23,0)-1,F109=EOMONTH($F$23,0)),MIN(OFFSET(H109,-(DAY(F109)-DAY($F$23)),0):H109)*E109,MIN(OFFSET(H109,-(DAY(F109)-1),0):H109)*IF(AND(OR('депозитный калькулятор'!$G$7="30/365",'депозитный калькулятор'!$G$7="30/360"),DAY(F109)&lt;30),30,DAY(F109))),IF(AND('депозитный калькулятор'!$G$10="ежемесячное, на средний остаток в течение месяца, при условии что остаток больше чем ограничение",F109='депозитный калькулятор'!$D$8,EOMONTH(F109,0)&lt;&gt;F109),IF('депозитный калькулятор'!$F$1=1,$H$24,SUM(OFFSET(Q109,-E109+1,0):Q109)),IF(AND('депозитный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калькулятор'!$G$7="30/360"),DAY(EOMONTH(F109,0))=31),EOMONTH(F109,0)-1=F109,EOMONTH(F109,0)=F109)),IF(IF(AND(OR('депозитный калькулятор'!$G$7="30/365",'депозитный калькулятор'!$G$7="30/360"),DAY(EOMONTH($F$24,0))=31),F109=EOMONTH($F$24,0)-1,F109=EOMONTH($F$24,0)),SUM(OFFSET(Q109,-E109+1,0):Q109),SUM(OFFSET(Q109,-E109+1,0):Q109)),IF('депозитный калькулятор'!$G$10="ежеквартальное",IF(F109&gt;'депозитный калькулятор'!$D$8," ",IF(AND(EOMONTH(F109,0)=F109,OR(MONTH(F109)=3,MONTH(F109)=6,MONTH(F109)=9,MONTH(F109)=12)),IF(EDATE(F109,-3)&lt;'депозитный калькулятор'!$D$7,SUM($H$23:H109),IF(MOD(YEAR(F109),4)=0,IF(AND(EOMONTH(F109,0)=F109,OR(MONTH(F109)=3,MONTH(F109)=6)),SUM(OFFSET(H109,-90,0):H109),IF(AND(EOMONTH(F109,0)=F109,OR(MONTH(F109)=9,MONTH(F109)=12)),SUM(OFFSET(H109,-91,0):H109))),IF(AND(EOMONTH(F109,0)=F109,MONTH(F109)=3),SUM(OFFSET(H109,-89,0):H109),IF(AND(EOMONTH(F109,0)=F109,MONTH(F109)=6),SUM(OFFSET(H109,-90,0):H109),IF(AND(EOMONTH(F109,0)=F109,OR(MONTH(F109)=9,MONTH(F109)=12)),SUM(OFFSET(H109,-91,0):H109)))))),IF(F109='депозитный калькулятор'!$D$8,SUM($H$23:H109)-SUM($I$23:I108),0))),IF('депозитный калькулятор'!$G$10="ежегодное",IF(F109&gt;'депозитный калькулятор'!$D$8," ",IF(F109='депозитный калькулятор'!$D$8,SUM($H$23:H109)-SUM($I$23:I108),IF(AND(EOMONTH(F109,0)=F109,MONTH(F109)=12),IF(MOD(YEAR(F108),4)=0,IF(F109-'депозитный калькулятор'!$D$7&lt;366,SUM($H$23:H109),SUM(OFFSET(H109,-365,0):H109)),IF(F109-'депозитный калькулятор'!$D$7&lt;365,SUM($H$23:H109),SUM(OFFSET(H109,-364,0):H109))),0))),IF(AND('депозитный калькулятор'!$G$10="в конце срока",'депозитный калькулятор'!$D$8=F109),SUM($H$23:H109),0))))))))))))))))))</f>
        <v xml:space="preserve"> </v>
      </c>
      <c r="J109" s="59" t="str">
        <f>IF(F109&gt;'депозитный калькулятор'!$D$8," ",IF('депозитный калькулятор'!$G$16="нет",0,IF(AND('депозитный калькулятор'!$G$17="разовая (в конце срока)",F109='депозитный калькулятор'!$D$8),'депозитный калькулятор'!$G$18,IF(AND('депозитный калькулятор'!$G$17="ежемесячная",EOMONTH(F108,0)=F108),'депозитный калькулятор'!$G$18,IF(AND('депозитный калькулятор'!$G$17="ежегодная",DAY(F108)=31,MONTH(F108)=12),'депозитный калькулятор'!$G$18,IF(AND('депозитный калькулятор'!$G$17="ежемесячная в зависимости от остатка",EOMONTH(F108,0)=F108,P108&gt;0),'депозитный калькулятор'!$G$18,IF(AND('депозитный калькулятор'!$G$17="ежегодная в зависимости от остатка",DAY(F108)=31,MONTH(F108)=12,P108&gt;0),'депозитный калькулятор'!$G$18,0)))))))</f>
        <v xml:space="preserve"> </v>
      </c>
      <c r="K109" s="135" t="str">
        <f>IF($F109=" "," ",IFERROR(VLOOKUP($F109,'депозитный калькулятор'!$B$26:$F$70,2,0),0))</f>
        <v xml:space="preserve"> </v>
      </c>
      <c r="L109" s="135" t="str">
        <f>IF($F109=" "," ",IFERROR(VLOOKUP($F109,'депозитный калькулятор'!$B$26:$F$70,3,0),0))</f>
        <v xml:space="preserve"> </v>
      </c>
      <c r="M109" s="135" t="str">
        <f>IF($F109=" "," ",IFERROR(VLOOKUP($F109,'депозитный калькулятор'!$B$26:$F$70,4,0),0))</f>
        <v xml:space="preserve"> </v>
      </c>
      <c r="N109" s="135" t="str">
        <f>IF($F109=" "," ",IFERROR(VLOOKUP($F109,'депозитный калькулятор'!$B$26:$F$70,5,0),0))</f>
        <v xml:space="preserve"> </v>
      </c>
      <c r="O109" s="146" t="str">
        <f>IF(F109&gt;'депозитный калькулятор'!$D$8," ",IF(F109='депозитный калькулятор'!$D$8,IF(AND($F$24='депозитный калькулятор'!$D$8,'депозитный калькулятор'!$G$13="нет"),-G109-IF(I109=" ",0,I109)-IF(AND(OR('депозитный калькулятор'!$G$7="30/365",'депозитный калькулятор'!$G$7="30/360"),'депозитный калькулятор'!$G$10="в начале срока"),I108,0)-L109+M109-N109,-G109-IF(I109=" ",0,I109)-L109+M109-N109),IF('депозитный калькулятор'!$G$13="есть",M109-N109+IF('депозитный калькулятор'!$G$14="есть",0,-L109),-IF(I109=" ",0,I109)-IF(AND(OR('депозитный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срока"),I108,0)+M109-N109+IF('депозитный калькулятор'!$G$14="есть",0,-L109))))</f>
        <v xml:space="preserve"> </v>
      </c>
      <c r="P109" s="147" t="str">
        <f>IF(F109&gt;'депозитный калькулятор'!$D$8," ",IF(EOMONTH(F108,0)=F108,0,IF(G109&gt;='депозитный калькулятор'!$G$19,P108,P108+1)))</f>
        <v xml:space="preserve"> </v>
      </c>
      <c r="Q109" s="138" t="str">
        <f>IF(F109=" "," ",IF(AND(OR('депозитный калькулятор'!$G$7="30/365",'депозитный калькулятор'!$G$7="30/360"),AND(MONTH(F109)=2,EOMONTH(F109,0)=F109)),IF(DAY(F109)=28,3,2),1)*IF(G109&gt;='депозитный калькулятор'!$G$11,IF(AND('депозитный калькулятор'!$G$7="факт/факт",MOD(YEAR(F109),4)=0),G109*'депозитный калькулятор'!$D$11/366,G109*'депозитный калькулятор'!$G$8),0))</f>
        <v xml:space="preserve"> </v>
      </c>
      <c r="R109" s="148"/>
      <c r="S109" s="62" t="str">
        <f t="shared" ca="1" si="7"/>
        <v xml:space="preserve"> </v>
      </c>
      <c r="T109" s="149" t="str">
        <f ca="1">IF(S109=" "," ",IF('депозитный калькулятор'!$G$7="30/360",DAYS360(U108,IF(DAY(U109)=31,U109-1,U109))+IF(AND(MONTH(U109)=2,U109=EOMONTH(U109,0)),30-DAY(EOMONTH(U109,0)))+T108,VLOOKUP(S109,$C$22:$F$1023,2,0)))</f>
        <v xml:space="preserve"> </v>
      </c>
      <c r="U109" s="64" t="str">
        <f t="shared" ca="1" si="5"/>
        <v xml:space="preserve"> </v>
      </c>
      <c r="V109" s="150" t="str">
        <f t="shared" ca="1" si="8"/>
        <v xml:space="preserve"> </v>
      </c>
      <c r="W109" s="62" t="str">
        <f t="shared" ca="1" si="9"/>
        <v xml:space="preserve"> </v>
      </c>
      <c r="X109" s="141" t="str">
        <f ca="1">IF(S109=" "," ",IFERROR(VLOOKUP(U109,$F$23:$N$1023,7)+VLOOKUP(U109,$F$23:$N$1023,9)+IF(AND('депозитный калькулятор'!$G$13="нет",U109&lt;&gt;'депозитный калькулятор'!$D$8),VLOOKUP(U109,$F$23:$N$1023,4),0),0)+IF(U109='депозитный калькулятор'!$D$8,VLOOKUP(U109,$F$23:$N$1023,2)+VLOOKUP(U109,$F$23:$N$1023,4),0))</f>
        <v xml:space="preserve"> </v>
      </c>
      <c r="Y109" s="142" t="str">
        <f ca="1">IF(S109=" "," ",W109/(1+'депозитный калькулятор'!$K$8)^(T109/IF('депозитный калькулятор'!$G$7="30/360",360,365)))</f>
        <v xml:space="preserve"> </v>
      </c>
      <c r="Z109" s="142" t="str">
        <f ca="1">IF(S109=" "," ",X109/(1+'депозитный калькулятор'!$K$8)^(T109/IF('депозитный калькулятор'!$G$7="30/360",360,365)))</f>
        <v xml:space="preserve"> </v>
      </c>
      <c r="AA109" s="151"/>
      <c r="AB109" s="151"/>
      <c r="AC109" s="155"/>
      <c r="AD109" s="155"/>
    </row>
    <row r="110" spans="1:30" s="2" customFormat="1" ht="15.5" x14ac:dyDescent="0.35">
      <c r="A110" s="41" t="str">
        <f>IF(F110=" "," ",IF(OR('депозитный калькулятор'!$G$7="30/365",'депозитный калькулятор'!$G$7="30/360"),IF(AND(MONTH(F110)=2,DAY(F110)=DAY(EOMONTH(F110,0))),30-DAY(EOMONTH(F110,0)),IF(DAY(F110)=31,1," "))," "))</f>
        <v xml:space="preserve"> </v>
      </c>
      <c r="B110" s="130" t="str">
        <f t="shared" si="6"/>
        <v xml:space="preserve"> </v>
      </c>
      <c r="C110" s="130" t="str">
        <f>IF(OR(B110=0,B110=" ")," ",SUM($B$23:B110))</f>
        <v xml:space="preserve"> </v>
      </c>
      <c r="D110" s="62" t="str">
        <f>IF(D109=" "," ",IF(OR(F109='депозитный калькулятор'!$D$8,F109=" ")," ",D109+1))</f>
        <v xml:space="preserve"> </v>
      </c>
      <c r="E110" s="130" t="str">
        <f>IF(OR(F109='депозитный калькулятор'!$D$8,F109=" ")," ",IF(EOMONTH(F109,0)=F109,1,E109+1))</f>
        <v xml:space="preserve"> </v>
      </c>
      <c r="F110" s="64" t="str">
        <f>IF(F109=" "," ",IF(F109='депозитный калькулятор'!$D$8," ",F109+1))</f>
        <v xml:space="preserve"> </v>
      </c>
      <c r="G110" s="145" t="str">
        <f xml:space="preserve"> IF(F110&gt;'депозитный калькулятор'!$D$8," ",IF('депозитный калькулятор'!$G$13="есть",IF('депозитный калькулятор'!$G$14="есть",G109+IF(I109=" ",0,I109)-J110-K110+L110+M110-N110,G109+IF(I109=" ",0,I109)-J110-K110+M110-N110),IF('депозитный калькулятор'!$G$14="есть",G109-J110-K110+L110+M110-N110,G109-J110-K110+M110-N110)))</f>
        <v xml:space="preserve"> </v>
      </c>
      <c r="H110" s="133" t="str">
        <f>IF(F110&gt;'депозитный калькулятор'!$D$8," ",IF(AND(OR('депозитный калькулятор'!$G$7="30/365",'депозитный калькулятор'!$G$7="30/360"),AND(MONTH(F110)=2,EOMONTH(F110,0)=F110)),IF(DAY(F110)=28,3*G110*'депозитный калькулятор'!$G$8,2*G110*'депозитный калькулятор'!$G$8),IF(AND(OR('депозитный калькулятор'!$G$7="30/365",'депозитный калькулятор'!$G$7="30/360"),DAY(F110)=31)," ",IF(AND('депозитный калькулятор'!$G$7="факт/факт",MOD(YEAR(F110),4)=0),G110*'депозитный калькулятор'!$D$11/366,G110*'депозитный калькулятор'!$G$8))))</f>
        <v xml:space="preserve"> </v>
      </c>
      <c r="I110" s="134" t="str">
        <f ca="1">IF(F110=" "," ",IF('депозитный калькулятор'!$G$10="ежедневное",H110,IF(AND('депозитный калькулятор'!$G$10="еженедельное",WEEKDAY(F110,2)=7),SUM(OFFSET(H110,-6,0):H110),IF(AND('депозитный калькулятор'!$G$10="еженедельное",F110='депозитный калькулятор'!$D$8),SUM($H$23:H110)-SUM($I$23:I109),IF(AND('депозитный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недели",WEEKDAY(F110,2)=7),MIN(OFFSET(H110,-6,0):H110)*(COUNTIF(OFFSET(H110,-6,0):H110,"&gt;0")+SUMIF(OFFSET(A110,-WEEKDAY(F110,2),0):A110,"=2",OFFSET(A110,-WEEKDAY(F110,2),0):A110)),IF(AND('депозитный калькулятор'!$G$10="еженедельное, на минимальную сумму зафиксированную в течение недели",F110='депозитный калькулятор'!$D$8,WEEKDAY(F110,2)&lt;&gt;7),MIN(OFFSET(H110,-WEEKDAY(F110,2),0):H110)*(COUNTIF(OFFSET(H110,-WEEKDAY(F110,2)+1,0):H110,"&gt;0")+SUM(OFFSET(A110,-WEEKDAY(F110,2),0):A110)),IF(AND('депозитный калькулятор'!$G$10="ежемесячное (в конце месяца)",F110='депозитный калькулятор'!$D$8,EOMONTH(F110,0)&lt;&gt;F110),IF('депозитный калькулятор'!$F$1=1,$H$24,SUM($H$23:H110)-SUM($I$23:I109)),IF(AND('депозитный калькулятор'!$G$10="ежемесячное (в конце месяца)",EOMONTH(F110,0)=F110),SUM($H$23:H110)-SUM($I$23:I109),IF(AND('депозитный калькулятор'!$G$10="ежемесячное (по дням открытия вклада)",F110='депозитный калькулятор'!$D$8,DAY('депозитный калькулятор'!$D$7)&lt;&gt;DAY(F110)),IF('депозитный калькулятор'!$F$1=1,$H$24,SUM($H$23:H110)-SUM($I$23:I109)),IF(AND('депозитный калькулятор'!$G$10="ежемесячное (по дням открытия вклада)",DAY('депозитный калькулятор'!$D$7)=DAY(F110)),SUM($H$23:H110)-SUM($I$23:I109),IF(AND('депозитный калькулятор'!$G$10="ежемесячное, на минимальную сумму зафиксированную в течение месяца",F110='депозитный калькулятор'!$D$8,EOMONTH(F110,0)&lt;&gt;F110),IF('депозитный калькулятор'!$F$1=1,$H$24,IF(AND(OR('депозитный калькулятор'!$G$7="30/365",'депозитный калькулятор'!$G$7="30/360"),DAY(F110)=31),0,MIN(OFFSET(H110,-E110+1,0):H110)*(E110+SUMIF(OFFSET(A110,-E110+1,0):A110,"=2",OFFSET(A110,-E110+1,0):A110)))),IF(AND('депозитный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калькулятор'!$G$7="30/360"),DAY(EOMONTH(F110,0))=31),EOMONTH(F110,0)-1=F110,EOMONTH(F110,0)=F110)),IF(IF(AND(OR('депозитный калькулятор'!$G$7="30/365",'депозитный калькулятор'!$G$7="30/360"),DAY(EOMONTH($F$23,0))=31),F110=EOMONTH($F$23,0)-1,F110=EOMONTH($F$23,0)),MIN(OFFSET(H110,-(DAY(F110)-DAY($F$23)),0):H110)*E110,MIN(OFFSET(H110,-(DAY(F110)-1),0):H110)*IF(AND(OR('депозитный калькулятор'!$G$7="30/365",'депозитный калькулятор'!$G$7="30/360"),DAY(F110)&lt;30),30,DAY(F110))),IF(AND('депозитный калькулятор'!$G$10="ежемесячное, на средний остаток в течение месяца, при условии что остаток больше чем ограничение",F110='депозитный калькулятор'!$D$8,EOMONTH(F110,0)&lt;&gt;F110),IF('депозитный калькулятор'!$F$1=1,$H$24,SUM(OFFSET(Q110,-E110+1,0):Q110)),IF(AND('депозитный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калькулятор'!$G$7="30/360"),DAY(EOMONTH(F110,0))=31),EOMONTH(F110,0)-1=F110,EOMONTH(F110,0)=F110)),IF(IF(AND(OR('депозитный калькулятор'!$G$7="30/365",'депозитный калькулятор'!$G$7="30/360"),DAY(EOMONTH($F$24,0))=31),F110=EOMONTH($F$24,0)-1,F110=EOMONTH($F$24,0)),SUM(OFFSET(Q110,-E110+1,0):Q110),SUM(OFFSET(Q110,-E110+1,0):Q110)),IF('депозитный калькулятор'!$G$10="ежеквартальное",IF(F110&gt;'депозитный калькулятор'!$D$8," ",IF(AND(EOMONTH(F110,0)=F110,OR(MONTH(F110)=3,MONTH(F110)=6,MONTH(F110)=9,MONTH(F110)=12)),IF(EDATE(F110,-3)&lt;'депозитный калькулятор'!$D$7,SUM($H$23:H110),IF(MOD(YEAR(F110),4)=0,IF(AND(EOMONTH(F110,0)=F110,OR(MONTH(F110)=3,MONTH(F110)=6)),SUM(OFFSET(H110,-90,0):H110),IF(AND(EOMONTH(F110,0)=F110,OR(MONTH(F110)=9,MONTH(F110)=12)),SUM(OFFSET(H110,-91,0):H110))),IF(AND(EOMONTH(F110,0)=F110,MONTH(F110)=3),SUM(OFFSET(H110,-89,0):H110),IF(AND(EOMONTH(F110,0)=F110,MONTH(F110)=6),SUM(OFFSET(H110,-90,0):H110),IF(AND(EOMONTH(F110,0)=F110,OR(MONTH(F110)=9,MONTH(F110)=12)),SUM(OFFSET(H110,-91,0):H110)))))),IF(F110='депозитный калькулятор'!$D$8,SUM($H$23:H110)-SUM($I$23:I109),0))),IF('депозитный калькулятор'!$G$10="ежегодное",IF(F110&gt;'депозитный калькулятор'!$D$8," ",IF(F110='депозитный калькулятор'!$D$8,SUM($H$23:H110)-SUM($I$23:I109),IF(AND(EOMONTH(F110,0)=F110,MONTH(F110)=12),IF(MOD(YEAR(F109),4)=0,IF(F110-'депозитный калькулятор'!$D$7&lt;366,SUM($H$23:H110),SUM(OFFSET(H110,-365,0):H110)),IF(F110-'депозитный калькулятор'!$D$7&lt;365,SUM($H$23:H110),SUM(OFFSET(H110,-364,0):H110))),0))),IF(AND('депозитный калькулятор'!$G$10="в конце срока",'депозитный калькулятор'!$D$8=F110),SUM($H$23:H110),0))))))))))))))))))</f>
        <v xml:space="preserve"> </v>
      </c>
      <c r="J110" s="59" t="str">
        <f>IF(F110&gt;'депозитный калькулятор'!$D$8," ",IF('депозитный калькулятор'!$G$16="нет",0,IF(AND('депозитный калькулятор'!$G$17="разовая (в конце срока)",F110='депозитный калькулятор'!$D$8),'депозитный калькулятор'!$G$18,IF(AND('депозитный калькулятор'!$G$17="ежемесячная",EOMONTH(F109,0)=F109),'депозитный калькулятор'!$G$18,IF(AND('депозитный калькулятор'!$G$17="ежегодная",DAY(F109)=31,MONTH(F109)=12),'депозитный калькулятор'!$G$18,IF(AND('депозитный калькулятор'!$G$17="ежемесячная в зависимости от остатка",EOMONTH(F109,0)=F109,P109&gt;0),'депозитный калькулятор'!$G$18,IF(AND('депозитный калькулятор'!$G$17="ежегодная в зависимости от остатка",DAY(F109)=31,MONTH(F109)=12,P109&gt;0),'депозитный калькулятор'!$G$18,0)))))))</f>
        <v xml:space="preserve"> </v>
      </c>
      <c r="K110" s="135" t="str">
        <f>IF($F110=" "," ",IFERROR(VLOOKUP($F110,'депозитный калькулятор'!$B$26:$F$70,2,0),0))</f>
        <v xml:space="preserve"> </v>
      </c>
      <c r="L110" s="135" t="str">
        <f>IF($F110=" "," ",IFERROR(VLOOKUP($F110,'депозитный калькулятор'!$B$26:$F$70,3,0),0))</f>
        <v xml:space="preserve"> </v>
      </c>
      <c r="M110" s="135" t="str">
        <f>IF($F110=" "," ",IFERROR(VLOOKUP($F110,'депозитный калькулятор'!$B$26:$F$70,4,0),0))</f>
        <v xml:space="preserve"> </v>
      </c>
      <c r="N110" s="135" t="str">
        <f>IF($F110=" "," ",IFERROR(VLOOKUP($F110,'депозитный калькулятор'!$B$26:$F$70,5,0),0))</f>
        <v xml:space="preserve"> </v>
      </c>
      <c r="O110" s="146" t="str">
        <f>IF(F110&gt;'депозитный калькулятор'!$D$8," ",IF(F110='депозитный калькулятор'!$D$8,IF(AND($F$24='депозитный калькулятор'!$D$8,'депозитный калькулятор'!$G$13="нет"),-G110-IF(I110=" ",0,I110)-IF(AND(OR('депозитный калькулятор'!$G$7="30/365",'депозитный калькулятор'!$G$7="30/360"),'депозитный калькулятор'!$G$10="в начале срока"),I109,0)-L110+M110-N110,-G110-IF(I110=" ",0,I110)-L110+M110-N110),IF('депозитный калькулятор'!$G$13="есть",M110-N110+IF('депозитный калькулятор'!$G$14="есть",0,-L110),-IF(I110=" ",0,I110)-IF(AND(OR('депозитный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срока"),I109,0)+M110-N110+IF('депозитный калькулятор'!$G$14="есть",0,-L110))))</f>
        <v xml:space="preserve"> </v>
      </c>
      <c r="P110" s="147" t="str">
        <f>IF(F110&gt;'депозитный калькулятор'!$D$8," ",IF(EOMONTH(F109,0)=F109,0,IF(G110&gt;='депозитный калькулятор'!$G$19,P109,P109+1)))</f>
        <v xml:space="preserve"> </v>
      </c>
      <c r="Q110" s="138" t="str">
        <f>IF(F110=" "," ",IF(AND(OR('депозитный калькулятор'!$G$7="30/365",'депозитный калькулятор'!$G$7="30/360"),AND(MONTH(F110)=2,EOMONTH(F110,0)=F110)),IF(DAY(F110)=28,3,2),1)*IF(G110&gt;='депозитный калькулятор'!$G$11,IF(AND('депозитный калькулятор'!$G$7="факт/факт",MOD(YEAR(F110),4)=0),G110*'депозитный калькулятор'!$D$11/366,G110*'депозитный калькулятор'!$G$8),0))</f>
        <v xml:space="preserve"> </v>
      </c>
      <c r="R110" s="148"/>
      <c r="S110" s="62" t="str">
        <f t="shared" ca="1" si="7"/>
        <v xml:space="preserve"> </v>
      </c>
      <c r="T110" s="149" t="str">
        <f ca="1">IF(S110=" "," ",IF('депозитный калькулятор'!$G$7="30/360",DAYS360(U109,IF(DAY(U110)=31,U110-1,U110))+IF(AND(MONTH(U110)=2,U110=EOMONTH(U110,0)),30-DAY(EOMONTH(U110,0)))+T109,VLOOKUP(S110,$C$22:$F$1023,2,0)))</f>
        <v xml:space="preserve"> </v>
      </c>
      <c r="U110" s="64" t="str">
        <f t="shared" ca="1" si="5"/>
        <v xml:space="preserve"> </v>
      </c>
      <c r="V110" s="150" t="str">
        <f t="shared" ca="1" si="8"/>
        <v xml:space="preserve"> </v>
      </c>
      <c r="W110" s="62" t="str">
        <f t="shared" ca="1" si="9"/>
        <v xml:space="preserve"> </v>
      </c>
      <c r="X110" s="141" t="str">
        <f ca="1">IF(S110=" "," ",IFERROR(VLOOKUP(U110,$F$23:$N$1023,7)+VLOOKUP(U110,$F$23:$N$1023,9)+IF(AND('депозитный калькулятор'!$G$13="нет",U110&lt;&gt;'депозитный калькулятор'!$D$8),VLOOKUP(U110,$F$23:$N$1023,4),0),0)+IF(U110='депозитный калькулятор'!$D$8,VLOOKUP(U110,$F$23:$N$1023,2)+VLOOKUP(U110,$F$23:$N$1023,4),0))</f>
        <v xml:space="preserve"> </v>
      </c>
      <c r="Y110" s="142" t="str">
        <f ca="1">IF(S110=" "," ",W110/(1+'депозитный калькулятор'!$K$8)^(T110/IF('депозитный калькулятор'!$G$7="30/360",360,365)))</f>
        <v xml:space="preserve"> </v>
      </c>
      <c r="Z110" s="142" t="str">
        <f ca="1">IF(S110=" "," ",X110/(1+'депозитный калькулятор'!$K$8)^(T110/IF('депозитный калькулятор'!$G$7="30/360",360,365)))</f>
        <v xml:space="preserve"> </v>
      </c>
      <c r="AA110" s="151"/>
      <c r="AB110" s="151"/>
      <c r="AC110" s="155"/>
      <c r="AD110" s="155"/>
    </row>
    <row r="111" spans="1:30" s="2" customFormat="1" ht="15.5" x14ac:dyDescent="0.35">
      <c r="A111" s="41" t="str">
        <f>IF(F111=" "," ",IF(OR('депозитный калькулятор'!$G$7="30/365",'депозитный калькулятор'!$G$7="30/360"),IF(AND(MONTH(F111)=2,DAY(F111)=DAY(EOMONTH(F111,0))),30-DAY(EOMONTH(F111,0)),IF(DAY(F111)=31,1," "))," "))</f>
        <v xml:space="preserve"> </v>
      </c>
      <c r="B111" s="130" t="str">
        <f t="shared" si="6"/>
        <v xml:space="preserve"> </v>
      </c>
      <c r="C111" s="130" t="str">
        <f>IF(OR(B111=0,B111=" ")," ",SUM($B$23:B111))</f>
        <v xml:space="preserve"> </v>
      </c>
      <c r="D111" s="62" t="str">
        <f>IF(D110=" "," ",IF(OR(F110='депозитный калькулятор'!$D$8,F110=" ")," ",D110+1))</f>
        <v xml:space="preserve"> </v>
      </c>
      <c r="E111" s="130" t="str">
        <f>IF(OR(F110='депозитный калькулятор'!$D$8,F110=" ")," ",IF(EOMONTH(F110,0)=F110,1,E110+1))</f>
        <v xml:space="preserve"> </v>
      </c>
      <c r="F111" s="64" t="str">
        <f>IF(F110=" "," ",IF(F110='депозитный калькулятор'!$D$8," ",F110+1))</f>
        <v xml:space="preserve"> </v>
      </c>
      <c r="G111" s="145" t="str">
        <f xml:space="preserve"> IF(F111&gt;'депозитный калькулятор'!$D$8," ",IF('депозитный калькулятор'!$G$13="есть",IF('депозитный калькулятор'!$G$14="есть",G110+IF(I110=" ",0,I110)-J111-K111+L111+M111-N111,G110+IF(I110=" ",0,I110)-J111-K111+M111-N111),IF('депозитный калькулятор'!$G$14="есть",G110-J111-K111+L111+M111-N111,G110-J111-K111+M111-N111)))</f>
        <v xml:space="preserve"> </v>
      </c>
      <c r="H111" s="133" t="str">
        <f>IF(F111&gt;'депозитный калькулятор'!$D$8," ",IF(AND(OR('депозитный калькулятор'!$G$7="30/365",'депозитный калькулятор'!$G$7="30/360"),AND(MONTH(F111)=2,EOMONTH(F111,0)=F111)),IF(DAY(F111)=28,3*G111*'депозитный калькулятор'!$G$8,2*G111*'депозитный калькулятор'!$G$8),IF(AND(OR('депозитный калькулятор'!$G$7="30/365",'депозитный калькулятор'!$G$7="30/360"),DAY(F111)=31)," ",IF(AND('депозитный калькулятор'!$G$7="факт/факт",MOD(YEAR(F111),4)=0),G111*'депозитный калькулятор'!$D$11/366,G111*'депозитный калькулятор'!$G$8))))</f>
        <v xml:space="preserve"> </v>
      </c>
      <c r="I111" s="134" t="str">
        <f ca="1">IF(F111=" "," ",IF('депозитный калькулятор'!$G$10="ежедневное",H111,IF(AND('депозитный калькулятор'!$G$10="еженедельное",WEEKDAY(F111,2)=7),SUM(OFFSET(H111,-6,0):H111),IF(AND('депозитный калькулятор'!$G$10="еженедельное",F111='депозитный калькулятор'!$D$8),SUM($H$23:H111)-SUM($I$23:I110),IF(AND('депозитный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недели",WEEKDAY(F111,2)=7),MIN(OFFSET(H111,-6,0):H111)*(COUNTIF(OFFSET(H111,-6,0):H111,"&gt;0")+SUMIF(OFFSET(A111,-WEEKDAY(F111,2),0):A111,"=2",OFFSET(A111,-WEEKDAY(F111,2),0):A111)),IF(AND('депозитный калькулятор'!$G$10="еженедельное, на минимальную сумму зафиксированную в течение недели",F111='депозитный калькулятор'!$D$8,WEEKDAY(F111,2)&lt;&gt;7),MIN(OFFSET(H111,-WEEKDAY(F111,2),0):H111)*(COUNTIF(OFFSET(H111,-WEEKDAY(F111,2)+1,0):H111,"&gt;0")+SUM(OFFSET(A111,-WEEKDAY(F111,2),0):A111)),IF(AND('депозитный калькулятор'!$G$10="ежемесячное (в конце месяца)",F111='депозитный калькулятор'!$D$8,EOMONTH(F111,0)&lt;&gt;F111),IF('депозитный калькулятор'!$F$1=1,$H$24,SUM($H$23:H111)-SUM($I$23:I110)),IF(AND('депозитный калькулятор'!$G$10="ежемесячное (в конце месяца)",EOMONTH(F111,0)=F111),SUM($H$23:H111)-SUM($I$23:I110),IF(AND('депозитный калькулятор'!$G$10="ежемесячное (по дням открытия вклада)",F111='депозитный калькулятор'!$D$8,DAY('депозитный калькулятор'!$D$7)&lt;&gt;DAY(F111)),IF('депозитный калькулятор'!$F$1=1,$H$24,SUM($H$23:H111)-SUM($I$23:I110)),IF(AND('депозитный калькулятор'!$G$10="ежемесячное (по дням открытия вклада)",DAY('депозитный калькулятор'!$D$7)=DAY(F111)),SUM($H$23:H111)-SUM($I$23:I110),IF(AND('депозитный калькулятор'!$G$10="ежемесячное, на минимальную сумму зафиксированную в течение месяца",F111='депозитный калькулятор'!$D$8,EOMONTH(F111,0)&lt;&gt;F111),IF('депозитный калькулятор'!$F$1=1,$H$24,IF(AND(OR('депозитный калькулятор'!$G$7="30/365",'депозитный калькулятор'!$G$7="30/360"),DAY(F111)=31),0,MIN(OFFSET(H111,-E111+1,0):H111)*(E111+SUMIF(OFFSET(A111,-E111+1,0):A111,"=2",OFFSET(A111,-E111+1,0):A111)))),IF(AND('депозитный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калькулятор'!$G$7="30/360"),DAY(EOMONTH(F111,0))=31),EOMONTH(F111,0)-1=F111,EOMONTH(F111,0)=F111)),IF(IF(AND(OR('депозитный калькулятор'!$G$7="30/365",'депозитный калькулятор'!$G$7="30/360"),DAY(EOMONTH($F$23,0))=31),F111=EOMONTH($F$23,0)-1,F111=EOMONTH($F$23,0)),MIN(OFFSET(H111,-(DAY(F111)-DAY($F$23)),0):H111)*E111,MIN(OFFSET(H111,-(DAY(F111)-1),0):H111)*IF(AND(OR('депозитный калькулятор'!$G$7="30/365",'депозитный калькулятор'!$G$7="30/360"),DAY(F111)&lt;30),30,DAY(F111))),IF(AND('депозитный калькулятор'!$G$10="ежемесячное, на средний остаток в течение месяца, при условии что остаток больше чем ограничение",F111='депозитный калькулятор'!$D$8,EOMONTH(F111,0)&lt;&gt;F111),IF('депозитный калькулятор'!$F$1=1,$H$24,SUM(OFFSET(Q111,-E111+1,0):Q111)),IF(AND('депозитный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калькулятор'!$G$7="30/360"),DAY(EOMONTH(F111,0))=31),EOMONTH(F111,0)-1=F111,EOMONTH(F111,0)=F111)),IF(IF(AND(OR('депозитный калькулятор'!$G$7="30/365",'депозитный калькулятор'!$G$7="30/360"),DAY(EOMONTH($F$24,0))=31),F111=EOMONTH($F$24,0)-1,F111=EOMONTH($F$24,0)),SUM(OFFSET(Q111,-E111+1,0):Q111),SUM(OFFSET(Q111,-E111+1,0):Q111)),IF('депозитный калькулятор'!$G$10="ежеквартальное",IF(F111&gt;'депозитный калькулятор'!$D$8," ",IF(AND(EOMONTH(F111,0)=F111,OR(MONTH(F111)=3,MONTH(F111)=6,MONTH(F111)=9,MONTH(F111)=12)),IF(EDATE(F111,-3)&lt;'депозитный калькулятор'!$D$7,SUM($H$23:H111),IF(MOD(YEAR(F111),4)=0,IF(AND(EOMONTH(F111,0)=F111,OR(MONTH(F111)=3,MONTH(F111)=6)),SUM(OFFSET(H111,-90,0):H111),IF(AND(EOMONTH(F111,0)=F111,OR(MONTH(F111)=9,MONTH(F111)=12)),SUM(OFFSET(H111,-91,0):H111))),IF(AND(EOMONTH(F111,0)=F111,MONTH(F111)=3),SUM(OFFSET(H111,-89,0):H111),IF(AND(EOMONTH(F111,0)=F111,MONTH(F111)=6),SUM(OFFSET(H111,-90,0):H111),IF(AND(EOMONTH(F111,0)=F111,OR(MONTH(F111)=9,MONTH(F111)=12)),SUM(OFFSET(H111,-91,0):H111)))))),IF(F111='депозитный калькулятор'!$D$8,SUM($H$23:H111)-SUM($I$23:I110),0))),IF('депозитный калькулятор'!$G$10="ежегодное",IF(F111&gt;'депозитный калькулятор'!$D$8," ",IF(F111='депозитный калькулятор'!$D$8,SUM($H$23:H111)-SUM($I$23:I110),IF(AND(EOMONTH(F111,0)=F111,MONTH(F111)=12),IF(MOD(YEAR(F110),4)=0,IF(F111-'депозитный калькулятор'!$D$7&lt;366,SUM($H$23:H111),SUM(OFFSET(H111,-365,0):H111)),IF(F111-'депозитный калькулятор'!$D$7&lt;365,SUM($H$23:H111),SUM(OFFSET(H111,-364,0):H111))),0))),IF(AND('депозитный калькулятор'!$G$10="в конце срока",'депозитный калькулятор'!$D$8=F111),SUM($H$23:H111),0))))))))))))))))))</f>
        <v xml:space="preserve"> </v>
      </c>
      <c r="J111" s="59" t="str">
        <f>IF(F111&gt;'депозитный калькулятор'!$D$8," ",IF('депозитный калькулятор'!$G$16="нет",0,IF(AND('депозитный калькулятор'!$G$17="разовая (в конце срока)",F111='депозитный калькулятор'!$D$8),'депозитный калькулятор'!$G$18,IF(AND('депозитный калькулятор'!$G$17="ежемесячная",EOMONTH(F110,0)=F110),'депозитный калькулятор'!$G$18,IF(AND('депозитный калькулятор'!$G$17="ежегодная",DAY(F110)=31,MONTH(F110)=12),'депозитный калькулятор'!$G$18,IF(AND('депозитный калькулятор'!$G$17="ежемесячная в зависимости от остатка",EOMONTH(F110,0)=F110,P110&gt;0),'депозитный калькулятор'!$G$18,IF(AND('депозитный калькулятор'!$G$17="ежегодная в зависимости от остатка",DAY(F110)=31,MONTH(F110)=12,P110&gt;0),'депозитный калькулятор'!$G$18,0)))))))</f>
        <v xml:space="preserve"> </v>
      </c>
      <c r="K111" s="135" t="str">
        <f>IF($F111=" "," ",IFERROR(VLOOKUP($F111,'депозитный калькулятор'!$B$26:$F$70,2,0),0))</f>
        <v xml:space="preserve"> </v>
      </c>
      <c r="L111" s="135" t="str">
        <f>IF($F111=" "," ",IFERROR(VLOOKUP($F111,'депозитный калькулятор'!$B$26:$F$70,3,0),0))</f>
        <v xml:space="preserve"> </v>
      </c>
      <c r="M111" s="135" t="str">
        <f>IF($F111=" "," ",IFERROR(VLOOKUP($F111,'депозитный калькулятор'!$B$26:$F$70,4,0),0))</f>
        <v xml:space="preserve"> </v>
      </c>
      <c r="N111" s="135" t="str">
        <f>IF($F111=" "," ",IFERROR(VLOOKUP($F111,'депозитный калькулятор'!$B$26:$F$70,5,0),0))</f>
        <v xml:space="preserve"> </v>
      </c>
      <c r="O111" s="146" t="str">
        <f>IF(F111&gt;'депозитный калькулятор'!$D$8," ",IF(F111='депозитный калькулятор'!$D$8,IF(AND($F$24='депозитный калькулятор'!$D$8,'депозитный калькулятор'!$G$13="нет"),-G111-IF(I111=" ",0,I111)-IF(AND(OR('депозитный калькулятор'!$G$7="30/365",'депозитный калькулятор'!$G$7="30/360"),'депозитный калькулятор'!$G$10="в начале срока"),I110,0)-L111+M111-N111,-G111-IF(I111=" ",0,I111)-L111+M111-N111),IF('депозитный калькулятор'!$G$13="есть",M111-N111+IF('депозитный калькулятор'!$G$14="есть",0,-L111),-IF(I111=" ",0,I111)-IF(AND(OR('депозитный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срока"),I110,0)+M111-N111+IF('депозитный калькулятор'!$G$14="есть",0,-L111))))</f>
        <v xml:space="preserve"> </v>
      </c>
      <c r="P111" s="147" t="str">
        <f>IF(F111&gt;'депозитный калькулятор'!$D$8," ",IF(EOMONTH(F110,0)=F110,0,IF(G111&gt;='депозитный калькулятор'!$G$19,P110,P110+1)))</f>
        <v xml:space="preserve"> </v>
      </c>
      <c r="Q111" s="138" t="str">
        <f>IF(F111=" "," ",IF(AND(OR('депозитный калькулятор'!$G$7="30/365",'депозитный калькулятор'!$G$7="30/360"),AND(MONTH(F111)=2,EOMONTH(F111,0)=F111)),IF(DAY(F111)=28,3,2),1)*IF(G111&gt;='депозитный калькулятор'!$G$11,IF(AND('депозитный калькулятор'!$G$7="факт/факт",MOD(YEAR(F111),4)=0),G111*'депозитный калькулятор'!$D$11/366,G111*'депозитный калькулятор'!$G$8),0))</f>
        <v xml:space="preserve"> </v>
      </c>
      <c r="R111" s="148"/>
      <c r="S111" s="62" t="str">
        <f t="shared" ca="1" si="7"/>
        <v xml:space="preserve"> </v>
      </c>
      <c r="T111" s="149" t="str">
        <f ca="1">IF(S111=" "," ",IF('депозитный калькулятор'!$G$7="30/360",DAYS360(U110,IF(DAY(U111)=31,U111-1,U111))+IF(AND(MONTH(U111)=2,U111=EOMONTH(U111,0)),30-DAY(EOMONTH(U111,0)))+T110,VLOOKUP(S111,$C$22:$F$1023,2,0)))</f>
        <v xml:space="preserve"> </v>
      </c>
      <c r="U111" s="64" t="str">
        <f t="shared" ca="1" si="5"/>
        <v xml:space="preserve"> </v>
      </c>
      <c r="V111" s="150" t="str">
        <f t="shared" ca="1" si="8"/>
        <v xml:space="preserve"> </v>
      </c>
      <c r="W111" s="62" t="str">
        <f t="shared" ca="1" si="9"/>
        <v xml:space="preserve"> </v>
      </c>
      <c r="X111" s="141" t="str">
        <f ca="1">IF(S111=" "," ",IFERROR(VLOOKUP(U111,$F$23:$N$1023,7)+VLOOKUP(U111,$F$23:$N$1023,9)+IF(AND('депозитный калькулятор'!$G$13="нет",U111&lt;&gt;'депозитный калькулятор'!$D$8),VLOOKUP(U111,$F$23:$N$1023,4),0),0)+IF(U111='депозитный калькулятор'!$D$8,VLOOKUP(U111,$F$23:$N$1023,2)+VLOOKUP(U111,$F$23:$N$1023,4),0))</f>
        <v xml:space="preserve"> </v>
      </c>
      <c r="Y111" s="142" t="str">
        <f ca="1">IF(S111=" "," ",W111/(1+'депозитный калькулятор'!$K$8)^(T111/IF('депозитный калькулятор'!$G$7="30/360",360,365)))</f>
        <v xml:space="preserve"> </v>
      </c>
      <c r="Z111" s="142" t="str">
        <f ca="1">IF(S111=" "," ",X111/(1+'депозитный калькулятор'!$K$8)^(T111/IF('депозитный калькулятор'!$G$7="30/360",360,365)))</f>
        <v xml:space="preserve"> </v>
      </c>
      <c r="AA111" s="151"/>
      <c r="AB111" s="151"/>
      <c r="AC111" s="155"/>
      <c r="AD111" s="155"/>
    </row>
    <row r="112" spans="1:30" s="2" customFormat="1" ht="15.5" x14ac:dyDescent="0.35">
      <c r="A112" s="41" t="str">
        <f>IF(F112=" "," ",IF(OR('депозитный калькулятор'!$G$7="30/365",'депозитный калькулятор'!$G$7="30/360"),IF(AND(MONTH(F112)=2,DAY(F112)=DAY(EOMONTH(F112,0))),30-DAY(EOMONTH(F112,0)),IF(DAY(F112)=31,1," "))," "))</f>
        <v xml:space="preserve"> </v>
      </c>
      <c r="B112" s="130" t="str">
        <f t="shared" si="6"/>
        <v xml:space="preserve"> </v>
      </c>
      <c r="C112" s="130" t="str">
        <f>IF(OR(B112=0,B112=" ")," ",SUM($B$23:B112))</f>
        <v xml:space="preserve"> </v>
      </c>
      <c r="D112" s="62" t="str">
        <f>IF(D111=" "," ",IF(OR(F111='депозитный калькулятор'!$D$8,F111=" ")," ",D111+1))</f>
        <v xml:space="preserve"> </v>
      </c>
      <c r="E112" s="130" t="str">
        <f>IF(OR(F111='депозитный калькулятор'!$D$8,F111=" ")," ",IF(EOMONTH(F111,0)=F111,1,E111+1))</f>
        <v xml:space="preserve"> </v>
      </c>
      <c r="F112" s="64" t="str">
        <f>IF(F111=" "," ",IF(F111='депозитный калькулятор'!$D$8," ",F111+1))</f>
        <v xml:space="preserve"> </v>
      </c>
      <c r="G112" s="145" t="str">
        <f xml:space="preserve"> IF(F112&gt;'депозитный калькулятор'!$D$8," ",IF('депозитный калькулятор'!$G$13="есть",IF('депозитный калькулятор'!$G$14="есть",G111+IF(I111=" ",0,I111)-J112-K112+L112+M112-N112,G111+IF(I111=" ",0,I111)-J112-K112+M112-N112),IF('депозитный калькулятор'!$G$14="есть",G111-J112-K112+L112+M112-N112,G111-J112-K112+M112-N112)))</f>
        <v xml:space="preserve"> </v>
      </c>
      <c r="H112" s="133" t="str">
        <f>IF(F112&gt;'депозитный калькулятор'!$D$8," ",IF(AND(OR('депозитный калькулятор'!$G$7="30/365",'депозитный калькулятор'!$G$7="30/360"),AND(MONTH(F112)=2,EOMONTH(F112,0)=F112)),IF(DAY(F112)=28,3*G112*'депозитный калькулятор'!$G$8,2*G112*'депозитный калькулятор'!$G$8),IF(AND(OR('депозитный калькулятор'!$G$7="30/365",'депозитный калькулятор'!$G$7="30/360"),DAY(F112)=31)," ",IF(AND('депозитный калькулятор'!$G$7="факт/факт",MOD(YEAR(F112),4)=0),G112*'депозитный калькулятор'!$D$11/366,G112*'депозитный калькулятор'!$G$8))))</f>
        <v xml:space="preserve"> </v>
      </c>
      <c r="I112" s="134" t="str">
        <f ca="1">IF(F112=" "," ",IF('депозитный калькулятор'!$G$10="ежедневное",H112,IF(AND('депозитный калькулятор'!$G$10="еженедельное",WEEKDAY(F112,2)=7),SUM(OFFSET(H112,-6,0):H112),IF(AND('депозитный калькулятор'!$G$10="еженедельное",F112='депозитный калькулятор'!$D$8),SUM($H$23:H112)-SUM($I$23:I111),IF(AND('депозитный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недели",WEEKDAY(F112,2)=7),MIN(OFFSET(H112,-6,0):H112)*(COUNTIF(OFFSET(H112,-6,0):H112,"&gt;0")+SUMIF(OFFSET(A112,-WEEKDAY(F112,2),0):A112,"=2",OFFSET(A112,-WEEKDAY(F112,2),0):A112)),IF(AND('депозитный калькулятор'!$G$10="еженедельное, на минимальную сумму зафиксированную в течение недели",F112='депозитный калькулятор'!$D$8,WEEKDAY(F112,2)&lt;&gt;7),MIN(OFFSET(H112,-WEEKDAY(F112,2),0):H112)*(COUNTIF(OFFSET(H112,-WEEKDAY(F112,2)+1,0):H112,"&gt;0")+SUM(OFFSET(A112,-WEEKDAY(F112,2),0):A112)),IF(AND('депозитный калькулятор'!$G$10="ежемесячное (в конце месяца)",F112='депозитный калькулятор'!$D$8,EOMONTH(F112,0)&lt;&gt;F112),IF('депозитный калькулятор'!$F$1=1,$H$24,SUM($H$23:H112)-SUM($I$23:I111)),IF(AND('депозитный калькулятор'!$G$10="ежемесячное (в конце месяца)",EOMONTH(F112,0)=F112),SUM($H$23:H112)-SUM($I$23:I111),IF(AND('депозитный калькулятор'!$G$10="ежемесячное (по дням открытия вклада)",F112='депозитный калькулятор'!$D$8,DAY('депозитный калькулятор'!$D$7)&lt;&gt;DAY(F112)),IF('депозитный калькулятор'!$F$1=1,$H$24,SUM($H$23:H112)-SUM($I$23:I111)),IF(AND('депозитный калькулятор'!$G$10="ежемесячное (по дням открытия вклада)",DAY('депозитный калькулятор'!$D$7)=DAY(F112)),SUM($H$23:H112)-SUM($I$23:I111),IF(AND('депозитный калькулятор'!$G$10="ежемесячное, на минимальную сумму зафиксированную в течение месяца",F112='депозитный калькулятор'!$D$8,EOMONTH(F112,0)&lt;&gt;F112),IF('депозитный калькулятор'!$F$1=1,$H$24,IF(AND(OR('депозитный калькулятор'!$G$7="30/365",'депозитный калькулятор'!$G$7="30/360"),DAY(F112)=31),0,MIN(OFFSET(H112,-E112+1,0):H112)*(E112+SUMIF(OFFSET(A112,-E112+1,0):A112,"=2",OFFSET(A112,-E112+1,0):A112)))),IF(AND('депозитный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калькулятор'!$G$7="30/360"),DAY(EOMONTH(F112,0))=31),EOMONTH(F112,0)-1=F112,EOMONTH(F112,0)=F112)),IF(IF(AND(OR('депозитный калькулятор'!$G$7="30/365",'депозитный калькулятор'!$G$7="30/360"),DAY(EOMONTH($F$23,0))=31),F112=EOMONTH($F$23,0)-1,F112=EOMONTH($F$23,0)),MIN(OFFSET(H112,-(DAY(F112)-DAY($F$23)),0):H112)*E112,MIN(OFFSET(H112,-(DAY(F112)-1),0):H112)*IF(AND(OR('депозитный калькулятор'!$G$7="30/365",'депозитный калькулятор'!$G$7="30/360"),DAY(F112)&lt;30),30,DAY(F112))),IF(AND('депозитный калькулятор'!$G$10="ежемесячное, на средний остаток в течение месяца, при условии что остаток больше чем ограничение",F112='депозитный калькулятор'!$D$8,EOMONTH(F112,0)&lt;&gt;F112),IF('депозитный калькулятор'!$F$1=1,$H$24,SUM(OFFSET(Q112,-E112+1,0):Q112)),IF(AND('депозитный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калькулятор'!$G$7="30/360"),DAY(EOMONTH(F112,0))=31),EOMONTH(F112,0)-1=F112,EOMONTH(F112,0)=F112)),IF(IF(AND(OR('депозитный калькулятор'!$G$7="30/365",'депозитный калькулятор'!$G$7="30/360"),DAY(EOMONTH($F$24,0))=31),F112=EOMONTH($F$24,0)-1,F112=EOMONTH($F$24,0)),SUM(OFFSET(Q112,-E112+1,0):Q112),SUM(OFFSET(Q112,-E112+1,0):Q112)),IF('депозитный калькулятор'!$G$10="ежеквартальное",IF(F112&gt;'депозитный калькулятор'!$D$8," ",IF(AND(EOMONTH(F112,0)=F112,OR(MONTH(F112)=3,MONTH(F112)=6,MONTH(F112)=9,MONTH(F112)=12)),IF(EDATE(F112,-3)&lt;'депозитный калькулятор'!$D$7,SUM($H$23:H112),IF(MOD(YEAR(F112),4)=0,IF(AND(EOMONTH(F112,0)=F112,OR(MONTH(F112)=3,MONTH(F112)=6)),SUM(OFFSET(H112,-90,0):H112),IF(AND(EOMONTH(F112,0)=F112,OR(MONTH(F112)=9,MONTH(F112)=12)),SUM(OFFSET(H112,-91,0):H112))),IF(AND(EOMONTH(F112,0)=F112,MONTH(F112)=3),SUM(OFFSET(H112,-89,0):H112),IF(AND(EOMONTH(F112,0)=F112,MONTH(F112)=6),SUM(OFFSET(H112,-90,0):H112),IF(AND(EOMONTH(F112,0)=F112,OR(MONTH(F112)=9,MONTH(F112)=12)),SUM(OFFSET(H112,-91,0):H112)))))),IF(F112='депозитный калькулятор'!$D$8,SUM($H$23:H112)-SUM($I$23:I111),0))),IF('депозитный калькулятор'!$G$10="ежегодное",IF(F112&gt;'депозитный калькулятор'!$D$8," ",IF(F112='депозитный калькулятор'!$D$8,SUM($H$23:H112)-SUM($I$23:I111),IF(AND(EOMONTH(F112,0)=F112,MONTH(F112)=12),IF(MOD(YEAR(F111),4)=0,IF(F112-'депозитный калькулятор'!$D$7&lt;366,SUM($H$23:H112),SUM(OFFSET(H112,-365,0):H112)),IF(F112-'депозитный калькулятор'!$D$7&lt;365,SUM($H$23:H112),SUM(OFFSET(H112,-364,0):H112))),0))),IF(AND('депозитный калькулятор'!$G$10="в конце срока",'депозитный калькулятор'!$D$8=F112),SUM($H$23:H112),0))))))))))))))))))</f>
        <v xml:space="preserve"> </v>
      </c>
      <c r="J112" s="59" t="str">
        <f>IF(F112&gt;'депозитный калькулятор'!$D$8," ",IF('депозитный калькулятор'!$G$16="нет",0,IF(AND('депозитный калькулятор'!$G$17="разовая (в конце срока)",F112='депозитный калькулятор'!$D$8),'депозитный калькулятор'!$G$18,IF(AND('депозитный калькулятор'!$G$17="ежемесячная",EOMONTH(F111,0)=F111),'депозитный калькулятор'!$G$18,IF(AND('депозитный калькулятор'!$G$17="ежегодная",DAY(F111)=31,MONTH(F111)=12),'депозитный калькулятор'!$G$18,IF(AND('депозитный калькулятор'!$G$17="ежемесячная в зависимости от остатка",EOMONTH(F111,0)=F111,P111&gt;0),'депозитный калькулятор'!$G$18,IF(AND('депозитный калькулятор'!$G$17="ежегодная в зависимости от остатка",DAY(F111)=31,MONTH(F111)=12,P111&gt;0),'депозитный калькулятор'!$G$18,0)))))))</f>
        <v xml:space="preserve"> </v>
      </c>
      <c r="K112" s="135" t="str">
        <f>IF($F112=" "," ",IFERROR(VLOOKUP($F112,'депозитный калькулятор'!$B$26:$F$70,2,0),0))</f>
        <v xml:space="preserve"> </v>
      </c>
      <c r="L112" s="135" t="str">
        <f>IF($F112=" "," ",IFERROR(VLOOKUP($F112,'депозитный калькулятор'!$B$26:$F$70,3,0),0))</f>
        <v xml:space="preserve"> </v>
      </c>
      <c r="M112" s="135" t="str">
        <f>IF($F112=" "," ",IFERROR(VLOOKUP($F112,'депозитный калькулятор'!$B$26:$F$70,4,0),0))</f>
        <v xml:space="preserve"> </v>
      </c>
      <c r="N112" s="135" t="str">
        <f>IF($F112=" "," ",IFERROR(VLOOKUP($F112,'депозитный калькулятор'!$B$26:$F$70,5,0),0))</f>
        <v xml:space="preserve"> </v>
      </c>
      <c r="O112" s="146" t="str">
        <f>IF(F112&gt;'депозитный калькулятор'!$D$8," ",IF(F112='депозитный калькулятор'!$D$8,IF(AND($F$24='депозитный калькулятор'!$D$8,'депозитный калькулятор'!$G$13="нет"),-G112-IF(I112=" ",0,I112)-IF(AND(OR('депозитный калькулятор'!$G$7="30/365",'депозитный калькулятор'!$G$7="30/360"),'депозитный калькулятор'!$G$10="в начале срока"),I111,0)-L112+M112-N112,-G112-IF(I112=" ",0,I112)-L112+M112-N112),IF('депозитный калькулятор'!$G$13="есть",M112-N112+IF('депозитный калькулятор'!$G$14="есть",0,-L112),-IF(I112=" ",0,I112)-IF(AND(OR('депозитный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срока"),I111,0)+M112-N112+IF('депозитный калькулятор'!$G$14="есть",0,-L112))))</f>
        <v xml:space="preserve"> </v>
      </c>
      <c r="P112" s="147" t="str">
        <f>IF(F112&gt;'депозитный калькулятор'!$D$8," ",IF(EOMONTH(F111,0)=F111,0,IF(G112&gt;='депозитный калькулятор'!$G$19,P111,P111+1)))</f>
        <v xml:space="preserve"> </v>
      </c>
      <c r="Q112" s="138" t="str">
        <f>IF(F112=" "," ",IF(AND(OR('депозитный калькулятор'!$G$7="30/365",'депозитный калькулятор'!$G$7="30/360"),AND(MONTH(F112)=2,EOMONTH(F112,0)=F112)),IF(DAY(F112)=28,3,2),1)*IF(G112&gt;='депозитный калькулятор'!$G$11,IF(AND('депозитный калькулятор'!$G$7="факт/факт",MOD(YEAR(F112),4)=0),G112*'депозитный калькулятор'!$D$11/366,G112*'депозитный калькулятор'!$G$8),0))</f>
        <v xml:space="preserve"> </v>
      </c>
      <c r="R112" s="148"/>
      <c r="S112" s="62" t="str">
        <f t="shared" ca="1" si="7"/>
        <v xml:space="preserve"> </v>
      </c>
      <c r="T112" s="149" t="str">
        <f ca="1">IF(S112=" "," ",IF('депозитный калькулятор'!$G$7="30/360",DAYS360(U111,IF(DAY(U112)=31,U112-1,U112))+IF(AND(MONTH(U112)=2,U112=EOMONTH(U112,0)),30-DAY(EOMONTH(U112,0)))+T111,VLOOKUP(S112,$C$22:$F$1023,2,0)))</f>
        <v xml:space="preserve"> </v>
      </c>
      <c r="U112" s="64" t="str">
        <f t="shared" ca="1" si="5"/>
        <v xml:space="preserve"> </v>
      </c>
      <c r="V112" s="150" t="str">
        <f t="shared" ca="1" si="8"/>
        <v xml:space="preserve"> </v>
      </c>
      <c r="W112" s="62" t="str">
        <f t="shared" ca="1" si="9"/>
        <v xml:space="preserve"> </v>
      </c>
      <c r="X112" s="141" t="str">
        <f ca="1">IF(S112=" "," ",IFERROR(VLOOKUP(U112,$F$23:$N$1023,7)+VLOOKUP(U112,$F$23:$N$1023,9)+IF(AND('депозитный калькулятор'!$G$13="нет",U112&lt;&gt;'депозитный калькулятор'!$D$8),VLOOKUP(U112,$F$23:$N$1023,4),0),0)+IF(U112='депозитный калькулятор'!$D$8,VLOOKUP(U112,$F$23:$N$1023,2)+VLOOKUP(U112,$F$23:$N$1023,4),0))</f>
        <v xml:space="preserve"> </v>
      </c>
      <c r="Y112" s="142" t="str">
        <f ca="1">IF(S112=" "," ",W112/(1+'депозитный калькулятор'!$K$8)^(T112/IF('депозитный калькулятор'!$G$7="30/360",360,365)))</f>
        <v xml:space="preserve"> </v>
      </c>
      <c r="Z112" s="142" t="str">
        <f ca="1">IF(S112=" "," ",X112/(1+'депозитный калькулятор'!$K$8)^(T112/IF('депозитный калькулятор'!$G$7="30/360",360,365)))</f>
        <v xml:space="preserve"> </v>
      </c>
      <c r="AA112" s="151"/>
      <c r="AB112" s="151"/>
      <c r="AC112" s="155"/>
      <c r="AD112" s="155"/>
    </row>
    <row r="113" spans="1:30" s="2" customFormat="1" ht="15.5" x14ac:dyDescent="0.35">
      <c r="A113" s="41" t="str">
        <f>IF(F113=" "," ",IF(OR('депозитный калькулятор'!$G$7="30/365",'депозитный калькулятор'!$G$7="30/360"),IF(AND(MONTH(F113)=2,DAY(F113)=DAY(EOMONTH(F113,0))),30-DAY(EOMONTH(F113,0)),IF(DAY(F113)=31,1," "))," "))</f>
        <v xml:space="preserve"> </v>
      </c>
      <c r="B113" s="130" t="str">
        <f t="shared" si="6"/>
        <v xml:space="preserve"> </v>
      </c>
      <c r="C113" s="130" t="str">
        <f>IF(OR(B113=0,B113=" ")," ",SUM($B$23:B113))</f>
        <v xml:space="preserve"> </v>
      </c>
      <c r="D113" s="62" t="str">
        <f>IF(D112=" "," ",IF(OR(F112='депозитный калькулятор'!$D$8,F112=" ")," ",D112+1))</f>
        <v xml:space="preserve"> </v>
      </c>
      <c r="E113" s="130" t="str">
        <f>IF(OR(F112='депозитный калькулятор'!$D$8,F112=" ")," ",IF(EOMONTH(F112,0)=F112,1,E112+1))</f>
        <v xml:space="preserve"> </v>
      </c>
      <c r="F113" s="64" t="str">
        <f>IF(F112=" "," ",IF(F112='депозитный калькулятор'!$D$8," ",F112+1))</f>
        <v xml:space="preserve"> </v>
      </c>
      <c r="G113" s="145" t="str">
        <f xml:space="preserve"> IF(F113&gt;'депозитный калькулятор'!$D$8," ",IF('депозитный калькулятор'!$G$13="есть",IF('депозитный калькулятор'!$G$14="есть",G112+IF(I112=" ",0,I112)-J113-K113+L113+M113-N113,G112+IF(I112=" ",0,I112)-J113-K113+M113-N113),IF('депозитный калькулятор'!$G$14="есть",G112-J113-K113+L113+M113-N113,G112-J113-K113+M113-N113)))</f>
        <v xml:space="preserve"> </v>
      </c>
      <c r="H113" s="133" t="str">
        <f>IF(F113&gt;'депозитный калькулятор'!$D$8," ",IF(AND(OR('депозитный калькулятор'!$G$7="30/365",'депозитный калькулятор'!$G$7="30/360"),AND(MONTH(F113)=2,EOMONTH(F113,0)=F113)),IF(DAY(F113)=28,3*G113*'депозитный калькулятор'!$G$8,2*G113*'депозитный калькулятор'!$G$8),IF(AND(OR('депозитный калькулятор'!$G$7="30/365",'депозитный калькулятор'!$G$7="30/360"),DAY(F113)=31)," ",IF(AND('депозитный калькулятор'!$G$7="факт/факт",MOD(YEAR(F113),4)=0),G113*'депозитный калькулятор'!$D$11/366,G113*'депозитный калькулятор'!$G$8))))</f>
        <v xml:space="preserve"> </v>
      </c>
      <c r="I113" s="134" t="str">
        <f ca="1">IF(F113=" "," ",IF('депозитный калькулятор'!$G$10="ежедневное",H113,IF(AND('депозитный калькулятор'!$G$10="еженедельное",WEEKDAY(F113,2)=7),SUM(OFFSET(H113,-6,0):H113),IF(AND('депозитный калькулятор'!$G$10="еженедельное",F113='депозитный калькулятор'!$D$8),SUM($H$23:H113)-SUM($I$23:I112),IF(AND('депозитный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недели",WEEKDAY(F113,2)=7),MIN(OFFSET(H113,-6,0):H113)*(COUNTIF(OFFSET(H113,-6,0):H113,"&gt;0")+SUMIF(OFFSET(A113,-WEEKDAY(F113,2),0):A113,"=2",OFFSET(A113,-WEEKDAY(F113,2),0):A113)),IF(AND('депозитный калькулятор'!$G$10="еженедельное, на минимальную сумму зафиксированную в течение недели",F113='депозитный калькулятор'!$D$8,WEEKDAY(F113,2)&lt;&gt;7),MIN(OFFSET(H113,-WEEKDAY(F113,2),0):H113)*(COUNTIF(OFFSET(H113,-WEEKDAY(F113,2)+1,0):H113,"&gt;0")+SUM(OFFSET(A113,-WEEKDAY(F113,2),0):A113)),IF(AND('депозитный калькулятор'!$G$10="ежемесячное (в конце месяца)",F113='депозитный калькулятор'!$D$8,EOMONTH(F113,0)&lt;&gt;F113),IF('депозитный калькулятор'!$F$1=1,$H$24,SUM($H$23:H113)-SUM($I$23:I112)),IF(AND('депозитный калькулятор'!$G$10="ежемесячное (в конце месяца)",EOMONTH(F113,0)=F113),SUM($H$23:H113)-SUM($I$23:I112),IF(AND('депозитный калькулятор'!$G$10="ежемесячное (по дням открытия вклада)",F113='депозитный калькулятор'!$D$8,DAY('депозитный калькулятор'!$D$7)&lt;&gt;DAY(F113)),IF('депозитный калькулятор'!$F$1=1,$H$24,SUM($H$23:H113)-SUM($I$23:I112)),IF(AND('депозитный калькулятор'!$G$10="ежемесячное (по дням открытия вклада)",DAY('депозитный калькулятор'!$D$7)=DAY(F113)),SUM($H$23:H113)-SUM($I$23:I112),IF(AND('депозитный калькулятор'!$G$10="ежемесячное, на минимальную сумму зафиксированную в течение месяца",F113='депозитный калькулятор'!$D$8,EOMONTH(F113,0)&lt;&gt;F113),IF('депозитный калькулятор'!$F$1=1,$H$24,IF(AND(OR('депозитный калькулятор'!$G$7="30/365",'депозитный калькулятор'!$G$7="30/360"),DAY(F113)=31),0,MIN(OFFSET(H113,-E113+1,0):H113)*(E113+SUMIF(OFFSET(A113,-E113+1,0):A113,"=2",OFFSET(A113,-E113+1,0):A113)))),IF(AND('депозитный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калькулятор'!$G$7="30/360"),DAY(EOMONTH(F113,0))=31),EOMONTH(F113,0)-1=F113,EOMONTH(F113,0)=F113)),IF(IF(AND(OR('депозитный калькулятор'!$G$7="30/365",'депозитный калькулятор'!$G$7="30/360"),DAY(EOMONTH($F$23,0))=31),F113=EOMONTH($F$23,0)-1,F113=EOMONTH($F$23,0)),MIN(OFFSET(H113,-(DAY(F113)-DAY($F$23)),0):H113)*E113,MIN(OFFSET(H113,-(DAY(F113)-1),0):H113)*IF(AND(OR('депозитный калькулятор'!$G$7="30/365",'депозитный калькулятор'!$G$7="30/360"),DAY(F113)&lt;30),30,DAY(F113))),IF(AND('депозитный калькулятор'!$G$10="ежемесячное, на средний остаток в течение месяца, при условии что остаток больше чем ограничение",F113='депозитный калькулятор'!$D$8,EOMONTH(F113,0)&lt;&gt;F113),IF('депозитный калькулятор'!$F$1=1,$H$24,SUM(OFFSET(Q113,-E113+1,0):Q113)),IF(AND('депозитный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калькулятор'!$G$7="30/360"),DAY(EOMONTH(F113,0))=31),EOMONTH(F113,0)-1=F113,EOMONTH(F113,0)=F113)),IF(IF(AND(OR('депозитный калькулятор'!$G$7="30/365",'депозитный калькулятор'!$G$7="30/360"),DAY(EOMONTH($F$24,0))=31),F113=EOMONTH($F$24,0)-1,F113=EOMONTH($F$24,0)),SUM(OFFSET(Q113,-E113+1,0):Q113),SUM(OFFSET(Q113,-E113+1,0):Q113)),IF('депозитный калькулятор'!$G$10="ежеквартальное",IF(F113&gt;'депозитный калькулятор'!$D$8," ",IF(AND(EOMONTH(F113,0)=F113,OR(MONTH(F113)=3,MONTH(F113)=6,MONTH(F113)=9,MONTH(F113)=12)),IF(EDATE(F113,-3)&lt;'депозитный калькулятор'!$D$7,SUM($H$23:H113),IF(MOD(YEAR(F113),4)=0,IF(AND(EOMONTH(F113,0)=F113,OR(MONTH(F113)=3,MONTH(F113)=6)),SUM(OFFSET(H113,-90,0):H113),IF(AND(EOMONTH(F113,0)=F113,OR(MONTH(F113)=9,MONTH(F113)=12)),SUM(OFFSET(H113,-91,0):H113))),IF(AND(EOMONTH(F113,0)=F113,MONTH(F113)=3),SUM(OFFSET(H113,-89,0):H113),IF(AND(EOMONTH(F113,0)=F113,MONTH(F113)=6),SUM(OFFSET(H113,-90,0):H113),IF(AND(EOMONTH(F113,0)=F113,OR(MONTH(F113)=9,MONTH(F113)=12)),SUM(OFFSET(H113,-91,0):H113)))))),IF(F113='депозитный калькулятор'!$D$8,SUM($H$23:H113)-SUM($I$23:I112),0))),IF('депозитный калькулятор'!$G$10="ежегодное",IF(F113&gt;'депозитный калькулятор'!$D$8," ",IF(F113='депозитный калькулятор'!$D$8,SUM($H$23:H113)-SUM($I$23:I112),IF(AND(EOMONTH(F113,0)=F113,MONTH(F113)=12),IF(MOD(YEAR(F112),4)=0,IF(F113-'депозитный калькулятор'!$D$7&lt;366,SUM($H$23:H113),SUM(OFFSET(H113,-365,0):H113)),IF(F113-'депозитный калькулятор'!$D$7&lt;365,SUM($H$23:H113),SUM(OFFSET(H113,-364,0):H113))),0))),IF(AND('депозитный калькулятор'!$G$10="в конце срока",'депозитный калькулятор'!$D$8=F113),SUM($H$23:H113),0))))))))))))))))))</f>
        <v xml:space="preserve"> </v>
      </c>
      <c r="J113" s="59" t="str">
        <f>IF(F113&gt;'депозитный калькулятор'!$D$8," ",IF('депозитный калькулятор'!$G$16="нет",0,IF(AND('депозитный калькулятор'!$G$17="разовая (в конце срока)",F113='депозитный калькулятор'!$D$8),'депозитный калькулятор'!$G$18,IF(AND('депозитный калькулятор'!$G$17="ежемесячная",EOMONTH(F112,0)=F112),'депозитный калькулятор'!$G$18,IF(AND('депозитный калькулятор'!$G$17="ежегодная",DAY(F112)=31,MONTH(F112)=12),'депозитный калькулятор'!$G$18,IF(AND('депозитный калькулятор'!$G$17="ежемесячная в зависимости от остатка",EOMONTH(F112,0)=F112,P112&gt;0),'депозитный калькулятор'!$G$18,IF(AND('депозитный калькулятор'!$G$17="ежегодная в зависимости от остатка",DAY(F112)=31,MONTH(F112)=12,P112&gt;0),'депозитный калькулятор'!$G$18,0)))))))</f>
        <v xml:space="preserve"> </v>
      </c>
      <c r="K113" s="135" t="str">
        <f>IF($F113=" "," ",IFERROR(VLOOKUP($F113,'депозитный калькулятор'!$B$26:$F$70,2,0),0))</f>
        <v xml:space="preserve"> </v>
      </c>
      <c r="L113" s="135" t="str">
        <f>IF($F113=" "," ",IFERROR(VLOOKUP($F113,'депозитный калькулятор'!$B$26:$F$70,3,0),0))</f>
        <v xml:space="preserve"> </v>
      </c>
      <c r="M113" s="135" t="str">
        <f>IF($F113=" "," ",IFERROR(VLOOKUP($F113,'депозитный калькулятор'!$B$26:$F$70,4,0),0))</f>
        <v xml:space="preserve"> </v>
      </c>
      <c r="N113" s="135" t="str">
        <f>IF($F113=" "," ",IFERROR(VLOOKUP($F113,'депозитный калькулятор'!$B$26:$F$70,5,0),0))</f>
        <v xml:space="preserve"> </v>
      </c>
      <c r="O113" s="146" t="str">
        <f>IF(F113&gt;'депозитный калькулятор'!$D$8," ",IF(F113='депозитный калькулятор'!$D$8,IF(AND($F$24='депозитный калькулятор'!$D$8,'депозитный калькулятор'!$G$13="нет"),-G113-IF(I113=" ",0,I113)-IF(AND(OR('депозитный калькулятор'!$G$7="30/365",'депозитный калькулятор'!$G$7="30/360"),'депозитный калькулятор'!$G$10="в начале срока"),I112,0)-L113+M113-N113,-G113-IF(I113=" ",0,I113)-L113+M113-N113),IF('депозитный калькулятор'!$G$13="есть",M113-N113+IF('депозитный калькулятор'!$G$14="есть",0,-L113),-IF(I113=" ",0,I113)-IF(AND(OR('депозитный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срока"),I112,0)+M113-N113+IF('депозитный калькулятор'!$G$14="есть",0,-L113))))</f>
        <v xml:space="preserve"> </v>
      </c>
      <c r="P113" s="147" t="str">
        <f>IF(F113&gt;'депозитный калькулятор'!$D$8," ",IF(EOMONTH(F112,0)=F112,0,IF(G113&gt;='депозитный калькулятор'!$G$19,P112,P112+1)))</f>
        <v xml:space="preserve"> </v>
      </c>
      <c r="Q113" s="138" t="str">
        <f>IF(F113=" "," ",IF(AND(OR('депозитный калькулятор'!$G$7="30/365",'депозитный калькулятор'!$G$7="30/360"),AND(MONTH(F113)=2,EOMONTH(F113,0)=F113)),IF(DAY(F113)=28,3,2),1)*IF(G113&gt;='депозитный калькулятор'!$G$11,IF(AND('депозитный калькулятор'!$G$7="факт/факт",MOD(YEAR(F113),4)=0),G113*'депозитный калькулятор'!$D$11/366,G113*'депозитный калькулятор'!$G$8),0))</f>
        <v xml:space="preserve"> </v>
      </c>
      <c r="R113" s="148"/>
      <c r="S113" s="62" t="str">
        <f t="shared" ca="1" si="7"/>
        <v xml:space="preserve"> </v>
      </c>
      <c r="T113" s="149" t="str">
        <f ca="1">IF(S113=" "," ",IF('депозитный калькулятор'!$G$7="30/360",DAYS360(U112,IF(DAY(U113)=31,U113-1,U113))+IF(AND(MONTH(U113)=2,U113=EOMONTH(U113,0)),30-DAY(EOMONTH(U113,0)))+T112,VLOOKUP(S113,$C$22:$F$1023,2,0)))</f>
        <v xml:space="preserve"> </v>
      </c>
      <c r="U113" s="64" t="str">
        <f t="shared" ca="1" si="5"/>
        <v xml:space="preserve"> </v>
      </c>
      <c r="V113" s="150" t="str">
        <f t="shared" ca="1" si="8"/>
        <v xml:space="preserve"> </v>
      </c>
      <c r="W113" s="62" t="str">
        <f t="shared" ca="1" si="9"/>
        <v xml:space="preserve"> </v>
      </c>
      <c r="X113" s="141" t="str">
        <f ca="1">IF(S113=" "," ",IFERROR(VLOOKUP(U113,$F$23:$N$1023,7)+VLOOKUP(U113,$F$23:$N$1023,9)+IF(AND('депозитный калькулятор'!$G$13="нет",U113&lt;&gt;'депозитный калькулятор'!$D$8),VLOOKUP(U113,$F$23:$N$1023,4),0),0)+IF(U113='депозитный калькулятор'!$D$8,VLOOKUP(U113,$F$23:$N$1023,2)+VLOOKUP(U113,$F$23:$N$1023,4),0))</f>
        <v xml:space="preserve"> </v>
      </c>
      <c r="Y113" s="142" t="str">
        <f ca="1">IF(S113=" "," ",W113/(1+'депозитный калькулятор'!$K$8)^(T113/IF('депозитный калькулятор'!$G$7="30/360",360,365)))</f>
        <v xml:space="preserve"> </v>
      </c>
      <c r="Z113" s="142" t="str">
        <f ca="1">IF(S113=" "," ",X113/(1+'депозитный калькулятор'!$K$8)^(T113/IF('депозитный калькулятор'!$G$7="30/360",360,365)))</f>
        <v xml:space="preserve"> </v>
      </c>
      <c r="AA113" s="151"/>
      <c r="AB113" s="151"/>
      <c r="AC113" s="155"/>
      <c r="AD113" s="155"/>
    </row>
    <row r="114" spans="1:30" s="2" customFormat="1" ht="15.5" x14ac:dyDescent="0.35">
      <c r="A114" s="41" t="str">
        <f>IF(F114=" "," ",IF(OR('депозитный калькулятор'!$G$7="30/365",'депозитный калькулятор'!$G$7="30/360"),IF(AND(MONTH(F114)=2,DAY(F114)=DAY(EOMONTH(F114,0))),30-DAY(EOMONTH(F114,0)),IF(DAY(F114)=31,1," "))," "))</f>
        <v xml:space="preserve"> </v>
      </c>
      <c r="B114" s="130" t="str">
        <f t="shared" si="6"/>
        <v xml:space="preserve"> </v>
      </c>
      <c r="C114" s="130" t="str">
        <f>IF(OR(B114=0,B114=" ")," ",SUM($B$23:B114))</f>
        <v xml:space="preserve"> </v>
      </c>
      <c r="D114" s="62" t="str">
        <f>IF(D113=" "," ",IF(OR(F113='депозитный калькулятор'!$D$8,F113=" ")," ",D113+1))</f>
        <v xml:space="preserve"> </v>
      </c>
      <c r="E114" s="130" t="str">
        <f>IF(OR(F113='депозитный калькулятор'!$D$8,F113=" ")," ",IF(EOMONTH(F113,0)=F113,1,E113+1))</f>
        <v xml:space="preserve"> </v>
      </c>
      <c r="F114" s="64" t="str">
        <f>IF(F113=" "," ",IF(F113='депозитный калькулятор'!$D$8," ",F113+1))</f>
        <v xml:space="preserve"> </v>
      </c>
      <c r="G114" s="145" t="str">
        <f xml:space="preserve"> IF(F114&gt;'депозитный калькулятор'!$D$8," ",IF('депозитный калькулятор'!$G$13="есть",IF('депозитный калькулятор'!$G$14="есть",G113+IF(I113=" ",0,I113)-J114-K114+L114+M114-N114,G113+IF(I113=" ",0,I113)-J114-K114+M114-N114),IF('депозитный калькулятор'!$G$14="есть",G113-J114-K114+L114+M114-N114,G113-J114-K114+M114-N114)))</f>
        <v xml:space="preserve"> </v>
      </c>
      <c r="H114" s="133" t="str">
        <f>IF(F114&gt;'депозитный калькулятор'!$D$8," ",IF(AND(OR('депозитный калькулятор'!$G$7="30/365",'депозитный калькулятор'!$G$7="30/360"),AND(MONTH(F114)=2,EOMONTH(F114,0)=F114)),IF(DAY(F114)=28,3*G114*'депозитный калькулятор'!$G$8,2*G114*'депозитный калькулятор'!$G$8),IF(AND(OR('депозитный калькулятор'!$G$7="30/365",'депозитный калькулятор'!$G$7="30/360"),DAY(F114)=31)," ",IF(AND('депозитный калькулятор'!$G$7="факт/факт",MOD(YEAR(F114),4)=0),G114*'депозитный калькулятор'!$D$11/366,G114*'депозитный калькулятор'!$G$8))))</f>
        <v xml:space="preserve"> </v>
      </c>
      <c r="I114" s="134" t="str">
        <f ca="1">IF(F114=" "," ",IF('депозитный калькулятор'!$G$10="ежедневное",H114,IF(AND('депозитный калькулятор'!$G$10="еженедельное",WEEKDAY(F114,2)=7),SUM(OFFSET(H114,-6,0):H114),IF(AND('депозитный калькулятор'!$G$10="еженедельное",F114='депозитный калькулятор'!$D$8),SUM($H$23:H114)-SUM($I$23:I113),IF(AND('депозитный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недели",WEEKDAY(F114,2)=7),MIN(OFFSET(H114,-6,0):H114)*(COUNTIF(OFFSET(H114,-6,0):H114,"&gt;0")+SUMIF(OFFSET(A114,-WEEKDAY(F114,2),0):A114,"=2",OFFSET(A114,-WEEKDAY(F114,2),0):A114)),IF(AND('депозитный калькулятор'!$G$10="еженедельное, на минимальную сумму зафиксированную в течение недели",F114='депозитный калькулятор'!$D$8,WEEKDAY(F114,2)&lt;&gt;7),MIN(OFFSET(H114,-WEEKDAY(F114,2),0):H114)*(COUNTIF(OFFSET(H114,-WEEKDAY(F114,2)+1,0):H114,"&gt;0")+SUM(OFFSET(A114,-WEEKDAY(F114,2),0):A114)),IF(AND('депозитный калькулятор'!$G$10="ежемесячное (в конце месяца)",F114='депозитный калькулятор'!$D$8,EOMONTH(F114,0)&lt;&gt;F114),IF('депозитный калькулятор'!$F$1=1,$H$24,SUM($H$23:H114)-SUM($I$23:I113)),IF(AND('депозитный калькулятор'!$G$10="ежемесячное (в конце месяца)",EOMONTH(F114,0)=F114),SUM($H$23:H114)-SUM($I$23:I113),IF(AND('депозитный калькулятор'!$G$10="ежемесячное (по дням открытия вклада)",F114='депозитный калькулятор'!$D$8,DAY('депозитный калькулятор'!$D$7)&lt;&gt;DAY(F114)),IF('депозитный калькулятор'!$F$1=1,$H$24,SUM($H$23:H114)-SUM($I$23:I113)),IF(AND('депозитный калькулятор'!$G$10="ежемесячное (по дням открытия вклада)",DAY('депозитный калькулятор'!$D$7)=DAY(F114)),SUM($H$23:H114)-SUM($I$23:I113),IF(AND('депозитный калькулятор'!$G$10="ежемесячное, на минимальную сумму зафиксированную в течение месяца",F114='депозитный калькулятор'!$D$8,EOMONTH(F114,0)&lt;&gt;F114),IF('депозитный калькулятор'!$F$1=1,$H$24,IF(AND(OR('депозитный калькулятор'!$G$7="30/365",'депозитный калькулятор'!$G$7="30/360"),DAY(F114)=31),0,MIN(OFFSET(H114,-E114+1,0):H114)*(E114+SUMIF(OFFSET(A114,-E114+1,0):A114,"=2",OFFSET(A114,-E114+1,0):A114)))),IF(AND('депозитный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калькулятор'!$G$7="30/360"),DAY(EOMONTH(F114,0))=31),EOMONTH(F114,0)-1=F114,EOMONTH(F114,0)=F114)),IF(IF(AND(OR('депозитный калькулятор'!$G$7="30/365",'депозитный калькулятор'!$G$7="30/360"),DAY(EOMONTH($F$23,0))=31),F114=EOMONTH($F$23,0)-1,F114=EOMONTH($F$23,0)),MIN(OFFSET(H114,-(DAY(F114)-DAY($F$23)),0):H114)*E114,MIN(OFFSET(H114,-(DAY(F114)-1),0):H114)*IF(AND(OR('депозитный калькулятор'!$G$7="30/365",'депозитный калькулятор'!$G$7="30/360"),DAY(F114)&lt;30),30,DAY(F114))),IF(AND('депозитный калькулятор'!$G$10="ежемесячное, на средний остаток в течение месяца, при условии что остаток больше чем ограничение",F114='депозитный калькулятор'!$D$8,EOMONTH(F114,0)&lt;&gt;F114),IF('депозитный калькулятор'!$F$1=1,$H$24,SUM(OFFSET(Q114,-E114+1,0):Q114)),IF(AND('депозитный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калькулятор'!$G$7="30/360"),DAY(EOMONTH(F114,0))=31),EOMONTH(F114,0)-1=F114,EOMONTH(F114,0)=F114)),IF(IF(AND(OR('депозитный калькулятор'!$G$7="30/365",'депозитный калькулятор'!$G$7="30/360"),DAY(EOMONTH($F$24,0))=31),F114=EOMONTH($F$24,0)-1,F114=EOMONTH($F$24,0)),SUM(OFFSET(Q114,-E114+1,0):Q114),SUM(OFFSET(Q114,-E114+1,0):Q114)),IF('депозитный калькулятор'!$G$10="ежеквартальное",IF(F114&gt;'депозитный калькулятор'!$D$8," ",IF(AND(EOMONTH(F114,0)=F114,OR(MONTH(F114)=3,MONTH(F114)=6,MONTH(F114)=9,MONTH(F114)=12)),IF(EDATE(F114,-3)&lt;'депозитный калькулятор'!$D$7,SUM($H$23:H114),IF(MOD(YEAR(F114),4)=0,IF(AND(EOMONTH(F114,0)=F114,OR(MONTH(F114)=3,MONTH(F114)=6)),SUM(OFFSET(H114,-90,0):H114),IF(AND(EOMONTH(F114,0)=F114,OR(MONTH(F114)=9,MONTH(F114)=12)),SUM(OFFSET(H114,-91,0):H114))),IF(AND(EOMONTH(F114,0)=F114,MONTH(F114)=3),SUM(OFFSET(H114,-89,0):H114),IF(AND(EOMONTH(F114,0)=F114,MONTH(F114)=6),SUM(OFFSET(H114,-90,0):H114),IF(AND(EOMONTH(F114,0)=F114,OR(MONTH(F114)=9,MONTH(F114)=12)),SUM(OFFSET(H114,-91,0):H114)))))),IF(F114='депозитный калькулятор'!$D$8,SUM($H$23:H114)-SUM($I$23:I113),0))),IF('депозитный калькулятор'!$G$10="ежегодное",IF(F114&gt;'депозитный калькулятор'!$D$8," ",IF(F114='депозитный калькулятор'!$D$8,SUM($H$23:H114)-SUM($I$23:I113),IF(AND(EOMONTH(F114,0)=F114,MONTH(F114)=12),IF(MOD(YEAR(F113),4)=0,IF(F114-'депозитный калькулятор'!$D$7&lt;366,SUM($H$23:H114),SUM(OFFSET(H114,-365,0):H114)),IF(F114-'депозитный калькулятор'!$D$7&lt;365,SUM($H$23:H114),SUM(OFFSET(H114,-364,0):H114))),0))),IF(AND('депозитный калькулятор'!$G$10="в конце срока",'депозитный калькулятор'!$D$8=F114),SUM($H$23:H114),0))))))))))))))))))</f>
        <v xml:space="preserve"> </v>
      </c>
      <c r="J114" s="59" t="str">
        <f>IF(F114&gt;'депозитный калькулятор'!$D$8," ",IF('депозитный калькулятор'!$G$16="нет",0,IF(AND('депозитный калькулятор'!$G$17="разовая (в конце срока)",F114='депозитный калькулятор'!$D$8),'депозитный калькулятор'!$G$18,IF(AND('депозитный калькулятор'!$G$17="ежемесячная",EOMONTH(F113,0)=F113),'депозитный калькулятор'!$G$18,IF(AND('депозитный калькулятор'!$G$17="ежегодная",DAY(F113)=31,MONTH(F113)=12),'депозитный калькулятор'!$G$18,IF(AND('депозитный калькулятор'!$G$17="ежемесячная в зависимости от остатка",EOMONTH(F113,0)=F113,P113&gt;0),'депозитный калькулятор'!$G$18,IF(AND('депозитный калькулятор'!$G$17="ежегодная в зависимости от остатка",DAY(F113)=31,MONTH(F113)=12,P113&gt;0),'депозитный калькулятор'!$G$18,0)))))))</f>
        <v xml:space="preserve"> </v>
      </c>
      <c r="K114" s="135" t="str">
        <f>IF($F114=" "," ",IFERROR(VLOOKUP($F114,'депозитный калькулятор'!$B$26:$F$70,2,0),0))</f>
        <v xml:space="preserve"> </v>
      </c>
      <c r="L114" s="135" t="str">
        <f>IF($F114=" "," ",IFERROR(VLOOKUP($F114,'депозитный калькулятор'!$B$26:$F$70,3,0),0))</f>
        <v xml:space="preserve"> </v>
      </c>
      <c r="M114" s="135" t="str">
        <f>IF($F114=" "," ",IFERROR(VLOOKUP($F114,'депозитный калькулятор'!$B$26:$F$70,4,0),0))</f>
        <v xml:space="preserve"> </v>
      </c>
      <c r="N114" s="135" t="str">
        <f>IF($F114=" "," ",IFERROR(VLOOKUP($F114,'депозитный калькулятор'!$B$26:$F$70,5,0),0))</f>
        <v xml:space="preserve"> </v>
      </c>
      <c r="O114" s="146" t="str">
        <f>IF(F114&gt;'депозитный калькулятор'!$D$8," ",IF(F114='депозитный калькулятор'!$D$8,IF(AND($F$24='депозитный калькулятор'!$D$8,'депозитный калькулятор'!$G$13="нет"),-G114-IF(I114=" ",0,I114)-IF(AND(OR('депозитный калькулятор'!$G$7="30/365",'депозитный калькулятор'!$G$7="30/360"),'депозитный калькулятор'!$G$10="в начале срока"),I113,0)-L114+M114-N114,-G114-IF(I114=" ",0,I114)-L114+M114-N114),IF('депозитный калькулятор'!$G$13="есть",M114-N114+IF('депозитный калькулятор'!$G$14="есть",0,-L114),-IF(I114=" ",0,I114)-IF(AND(OR('депозитный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срока"),I113,0)+M114-N114+IF('депозитный калькулятор'!$G$14="есть",0,-L114))))</f>
        <v xml:space="preserve"> </v>
      </c>
      <c r="P114" s="147" t="str">
        <f>IF(F114&gt;'депозитный калькулятор'!$D$8," ",IF(EOMONTH(F113,0)=F113,0,IF(G114&gt;='депозитный калькулятор'!$G$19,P113,P113+1)))</f>
        <v xml:space="preserve"> </v>
      </c>
      <c r="Q114" s="138" t="str">
        <f>IF(F114=" "," ",IF(AND(OR('депозитный калькулятор'!$G$7="30/365",'депозитный калькулятор'!$G$7="30/360"),AND(MONTH(F114)=2,EOMONTH(F114,0)=F114)),IF(DAY(F114)=28,3,2),1)*IF(G114&gt;='депозитный калькулятор'!$G$11,IF(AND('депозитный калькулятор'!$G$7="факт/факт",MOD(YEAR(F114),4)=0),G114*'депозитный калькулятор'!$D$11/366,G114*'депозитный калькулятор'!$G$8),0))</f>
        <v xml:space="preserve"> </v>
      </c>
      <c r="R114" s="148"/>
      <c r="S114" s="62" t="str">
        <f t="shared" ca="1" si="7"/>
        <v xml:space="preserve"> </v>
      </c>
      <c r="T114" s="149" t="str">
        <f ca="1">IF(S114=" "," ",IF('депозитный калькулятор'!$G$7="30/360",DAYS360(U113,IF(DAY(U114)=31,U114-1,U114))+IF(AND(MONTH(U114)=2,U114=EOMONTH(U114,0)),30-DAY(EOMONTH(U114,0)))+T113,VLOOKUP(S114,$C$22:$F$1023,2,0)))</f>
        <v xml:space="preserve"> </v>
      </c>
      <c r="U114" s="64" t="str">
        <f t="shared" ca="1" si="5"/>
        <v xml:space="preserve"> </v>
      </c>
      <c r="V114" s="150" t="str">
        <f t="shared" ca="1" si="8"/>
        <v xml:space="preserve"> </v>
      </c>
      <c r="W114" s="62" t="str">
        <f t="shared" ca="1" si="9"/>
        <v xml:space="preserve"> </v>
      </c>
      <c r="X114" s="141" t="str">
        <f ca="1">IF(S114=" "," ",IFERROR(VLOOKUP(U114,$F$23:$N$1023,7)+VLOOKUP(U114,$F$23:$N$1023,9)+IF(AND('депозитный калькулятор'!$G$13="нет",U114&lt;&gt;'депозитный калькулятор'!$D$8),VLOOKUP(U114,$F$23:$N$1023,4),0),0)+IF(U114='депозитный калькулятор'!$D$8,VLOOKUP(U114,$F$23:$N$1023,2)+VLOOKUP(U114,$F$23:$N$1023,4),0))</f>
        <v xml:space="preserve"> </v>
      </c>
      <c r="Y114" s="142" t="str">
        <f ca="1">IF(S114=" "," ",W114/(1+'депозитный калькулятор'!$K$8)^(T114/IF('депозитный калькулятор'!$G$7="30/360",360,365)))</f>
        <v xml:space="preserve"> </v>
      </c>
      <c r="Z114" s="142" t="str">
        <f ca="1">IF(S114=" "," ",X114/(1+'депозитный калькулятор'!$K$8)^(T114/IF('депозитный калькулятор'!$G$7="30/360",360,365)))</f>
        <v xml:space="preserve"> </v>
      </c>
      <c r="AA114" s="151"/>
      <c r="AB114" s="151"/>
      <c r="AC114" s="155"/>
      <c r="AD114" s="155"/>
    </row>
    <row r="115" spans="1:30" s="2" customFormat="1" ht="15.5" x14ac:dyDescent="0.35">
      <c r="A115" s="41" t="str">
        <f>IF(F115=" "," ",IF(OR('депозитный калькулятор'!$G$7="30/365",'депозитный калькулятор'!$G$7="30/360"),IF(AND(MONTH(F115)=2,DAY(F115)=DAY(EOMONTH(F115,0))),30-DAY(EOMONTH(F115,0)),IF(DAY(F115)=31,1," "))," "))</f>
        <v xml:space="preserve"> </v>
      </c>
      <c r="B115" s="130" t="str">
        <f t="shared" si="6"/>
        <v xml:space="preserve"> </v>
      </c>
      <c r="C115" s="130" t="str">
        <f>IF(OR(B115=0,B115=" ")," ",SUM($B$23:B115))</f>
        <v xml:space="preserve"> </v>
      </c>
      <c r="D115" s="62" t="str">
        <f>IF(D114=" "," ",IF(OR(F114='депозитный калькулятор'!$D$8,F114=" ")," ",D114+1))</f>
        <v xml:space="preserve"> </v>
      </c>
      <c r="E115" s="130" t="str">
        <f>IF(OR(F114='депозитный калькулятор'!$D$8,F114=" ")," ",IF(EOMONTH(F114,0)=F114,1,E114+1))</f>
        <v xml:space="preserve"> </v>
      </c>
      <c r="F115" s="64" t="str">
        <f>IF(F114=" "," ",IF(F114='депозитный калькулятор'!$D$8," ",F114+1))</f>
        <v xml:space="preserve"> </v>
      </c>
      <c r="G115" s="145" t="str">
        <f xml:space="preserve"> IF(F115&gt;'депозитный калькулятор'!$D$8," ",IF('депозитный калькулятор'!$G$13="есть",IF('депозитный калькулятор'!$G$14="есть",G114+IF(I114=" ",0,I114)-J115-K115+L115+M115-N115,G114+IF(I114=" ",0,I114)-J115-K115+M115-N115),IF('депозитный калькулятор'!$G$14="есть",G114-J115-K115+L115+M115-N115,G114-J115-K115+M115-N115)))</f>
        <v xml:space="preserve"> </v>
      </c>
      <c r="H115" s="133" t="str">
        <f>IF(F115&gt;'депозитный калькулятор'!$D$8," ",IF(AND(OR('депозитный калькулятор'!$G$7="30/365",'депозитный калькулятор'!$G$7="30/360"),AND(MONTH(F115)=2,EOMONTH(F115,0)=F115)),IF(DAY(F115)=28,3*G115*'депозитный калькулятор'!$G$8,2*G115*'депозитный калькулятор'!$G$8),IF(AND(OR('депозитный калькулятор'!$G$7="30/365",'депозитный калькулятор'!$G$7="30/360"),DAY(F115)=31)," ",IF(AND('депозитный калькулятор'!$G$7="факт/факт",MOD(YEAR(F115),4)=0),G115*'депозитный калькулятор'!$D$11/366,G115*'депозитный калькулятор'!$G$8))))</f>
        <v xml:space="preserve"> </v>
      </c>
      <c r="I115" s="134" t="str">
        <f ca="1">IF(F115=" "," ",IF('депозитный калькулятор'!$G$10="ежедневное",H115,IF(AND('депозитный калькулятор'!$G$10="еженедельное",WEEKDAY(F115,2)=7),SUM(OFFSET(H115,-6,0):H115),IF(AND('депозитный калькулятор'!$G$10="еженедельное",F115='депозитный калькулятор'!$D$8),SUM($H$23:H115)-SUM($I$23:I114),IF(AND('депозитный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недели",WEEKDAY(F115,2)=7),MIN(OFFSET(H115,-6,0):H115)*(COUNTIF(OFFSET(H115,-6,0):H115,"&gt;0")+SUMIF(OFFSET(A115,-WEEKDAY(F115,2),0):A115,"=2",OFFSET(A115,-WEEKDAY(F115,2),0):A115)),IF(AND('депозитный калькулятор'!$G$10="еженедельное, на минимальную сумму зафиксированную в течение недели",F115='депозитный калькулятор'!$D$8,WEEKDAY(F115,2)&lt;&gt;7),MIN(OFFSET(H115,-WEEKDAY(F115,2),0):H115)*(COUNTIF(OFFSET(H115,-WEEKDAY(F115,2)+1,0):H115,"&gt;0")+SUM(OFFSET(A115,-WEEKDAY(F115,2),0):A115)),IF(AND('депозитный калькулятор'!$G$10="ежемесячное (в конце месяца)",F115='депозитный калькулятор'!$D$8,EOMONTH(F115,0)&lt;&gt;F115),IF('депозитный калькулятор'!$F$1=1,$H$24,SUM($H$23:H115)-SUM($I$23:I114)),IF(AND('депозитный калькулятор'!$G$10="ежемесячное (в конце месяца)",EOMONTH(F115,0)=F115),SUM($H$23:H115)-SUM($I$23:I114),IF(AND('депозитный калькулятор'!$G$10="ежемесячное (по дням открытия вклада)",F115='депозитный калькулятор'!$D$8,DAY('депозитный калькулятор'!$D$7)&lt;&gt;DAY(F115)),IF('депозитный калькулятор'!$F$1=1,$H$24,SUM($H$23:H115)-SUM($I$23:I114)),IF(AND('депозитный калькулятор'!$G$10="ежемесячное (по дням открытия вклада)",DAY('депозитный калькулятор'!$D$7)=DAY(F115)),SUM($H$23:H115)-SUM($I$23:I114),IF(AND('депозитный калькулятор'!$G$10="ежемесячное, на минимальную сумму зафиксированную в течение месяца",F115='депозитный калькулятор'!$D$8,EOMONTH(F115,0)&lt;&gt;F115),IF('депозитный калькулятор'!$F$1=1,$H$24,IF(AND(OR('депозитный калькулятор'!$G$7="30/365",'депозитный калькулятор'!$G$7="30/360"),DAY(F115)=31),0,MIN(OFFSET(H115,-E115+1,0):H115)*(E115+SUMIF(OFFSET(A115,-E115+1,0):A115,"=2",OFFSET(A115,-E115+1,0):A115)))),IF(AND('депозитный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калькулятор'!$G$7="30/360"),DAY(EOMONTH(F115,0))=31),EOMONTH(F115,0)-1=F115,EOMONTH(F115,0)=F115)),IF(IF(AND(OR('депозитный калькулятор'!$G$7="30/365",'депозитный калькулятор'!$G$7="30/360"),DAY(EOMONTH($F$23,0))=31),F115=EOMONTH($F$23,0)-1,F115=EOMONTH($F$23,0)),MIN(OFFSET(H115,-(DAY(F115)-DAY($F$23)),0):H115)*E115,MIN(OFFSET(H115,-(DAY(F115)-1),0):H115)*IF(AND(OR('депозитный калькулятор'!$G$7="30/365",'депозитный калькулятор'!$G$7="30/360"),DAY(F115)&lt;30),30,DAY(F115))),IF(AND('депозитный калькулятор'!$G$10="ежемесячное, на средний остаток в течение месяца, при условии что остаток больше чем ограничение",F115='депозитный калькулятор'!$D$8,EOMONTH(F115,0)&lt;&gt;F115),IF('депозитный калькулятор'!$F$1=1,$H$24,SUM(OFFSET(Q115,-E115+1,0):Q115)),IF(AND('депозитный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калькулятор'!$G$7="30/360"),DAY(EOMONTH(F115,0))=31),EOMONTH(F115,0)-1=F115,EOMONTH(F115,0)=F115)),IF(IF(AND(OR('депозитный калькулятор'!$G$7="30/365",'депозитный калькулятор'!$G$7="30/360"),DAY(EOMONTH($F$24,0))=31),F115=EOMONTH($F$24,0)-1,F115=EOMONTH($F$24,0)),SUM(OFFSET(Q115,-E115+1,0):Q115),SUM(OFFSET(Q115,-E115+1,0):Q115)),IF('депозитный калькулятор'!$G$10="ежеквартальное",IF(F115&gt;'депозитный калькулятор'!$D$8," ",IF(AND(EOMONTH(F115,0)=F115,OR(MONTH(F115)=3,MONTH(F115)=6,MONTH(F115)=9,MONTH(F115)=12)),IF(EDATE(F115,-3)&lt;'депозитный калькулятор'!$D$7,SUM($H$23:H115),IF(MOD(YEAR(F115),4)=0,IF(AND(EOMONTH(F115,0)=F115,OR(MONTH(F115)=3,MONTH(F115)=6)),SUM(OFFSET(H115,-90,0):H115),IF(AND(EOMONTH(F115,0)=F115,OR(MONTH(F115)=9,MONTH(F115)=12)),SUM(OFFSET(H115,-91,0):H115))),IF(AND(EOMONTH(F115,0)=F115,MONTH(F115)=3),SUM(OFFSET(H115,-89,0):H115),IF(AND(EOMONTH(F115,0)=F115,MONTH(F115)=6),SUM(OFFSET(H115,-90,0):H115),IF(AND(EOMONTH(F115,0)=F115,OR(MONTH(F115)=9,MONTH(F115)=12)),SUM(OFFSET(H115,-91,0):H115)))))),IF(F115='депозитный калькулятор'!$D$8,SUM($H$23:H115)-SUM($I$23:I114),0))),IF('депозитный калькулятор'!$G$10="ежегодное",IF(F115&gt;'депозитный калькулятор'!$D$8," ",IF(F115='депозитный калькулятор'!$D$8,SUM($H$23:H115)-SUM($I$23:I114),IF(AND(EOMONTH(F115,0)=F115,MONTH(F115)=12),IF(MOD(YEAR(F114),4)=0,IF(F115-'депозитный калькулятор'!$D$7&lt;366,SUM($H$23:H115),SUM(OFFSET(H115,-365,0):H115)),IF(F115-'депозитный калькулятор'!$D$7&lt;365,SUM($H$23:H115),SUM(OFFSET(H115,-364,0):H115))),0))),IF(AND('депозитный калькулятор'!$G$10="в конце срока",'депозитный калькулятор'!$D$8=F115),SUM($H$23:H115),0))))))))))))))))))</f>
        <v xml:space="preserve"> </v>
      </c>
      <c r="J115" s="59" t="str">
        <f>IF(F115&gt;'депозитный калькулятор'!$D$8," ",IF('депозитный калькулятор'!$G$16="нет",0,IF(AND('депозитный калькулятор'!$G$17="разовая (в конце срока)",F115='депозитный калькулятор'!$D$8),'депозитный калькулятор'!$G$18,IF(AND('депозитный калькулятор'!$G$17="ежемесячная",EOMONTH(F114,0)=F114),'депозитный калькулятор'!$G$18,IF(AND('депозитный калькулятор'!$G$17="ежегодная",DAY(F114)=31,MONTH(F114)=12),'депозитный калькулятор'!$G$18,IF(AND('депозитный калькулятор'!$G$17="ежемесячная в зависимости от остатка",EOMONTH(F114,0)=F114,P114&gt;0),'депозитный калькулятор'!$G$18,IF(AND('депозитный калькулятор'!$G$17="ежегодная в зависимости от остатка",DAY(F114)=31,MONTH(F114)=12,P114&gt;0),'депозитный калькулятор'!$G$18,0)))))))</f>
        <v xml:space="preserve"> </v>
      </c>
      <c r="K115" s="135" t="str">
        <f>IF($F115=" "," ",IFERROR(VLOOKUP($F115,'депозитный калькулятор'!$B$26:$F$70,2,0),0))</f>
        <v xml:space="preserve"> </v>
      </c>
      <c r="L115" s="135" t="str">
        <f>IF($F115=" "," ",IFERROR(VLOOKUP($F115,'депозитный калькулятор'!$B$26:$F$70,3,0),0))</f>
        <v xml:space="preserve"> </v>
      </c>
      <c r="M115" s="135" t="str">
        <f>IF($F115=" "," ",IFERROR(VLOOKUP($F115,'депозитный калькулятор'!$B$26:$F$70,4,0),0))</f>
        <v xml:space="preserve"> </v>
      </c>
      <c r="N115" s="135" t="str">
        <f>IF($F115=" "," ",IFERROR(VLOOKUP($F115,'депозитный калькулятор'!$B$26:$F$70,5,0),0))</f>
        <v xml:space="preserve"> </v>
      </c>
      <c r="O115" s="146" t="str">
        <f>IF(F115&gt;'депозитный калькулятор'!$D$8," ",IF(F115='депозитный калькулятор'!$D$8,IF(AND($F$24='депозитный калькулятор'!$D$8,'депозитный калькулятор'!$G$13="нет"),-G115-IF(I115=" ",0,I115)-IF(AND(OR('депозитный калькулятор'!$G$7="30/365",'депозитный калькулятор'!$G$7="30/360"),'депозитный калькулятор'!$G$10="в начале срока"),I114,0)-L115+M115-N115,-G115-IF(I115=" ",0,I115)-L115+M115-N115),IF('депозитный калькулятор'!$G$13="есть",M115-N115+IF('депозитный калькулятор'!$G$14="есть",0,-L115),-IF(I115=" ",0,I115)-IF(AND(OR('депозитный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срока"),I114,0)+M115-N115+IF('депозитный калькулятор'!$G$14="есть",0,-L115))))</f>
        <v xml:space="preserve"> </v>
      </c>
      <c r="P115" s="147" t="str">
        <f>IF(F115&gt;'депозитный калькулятор'!$D$8," ",IF(EOMONTH(F114,0)=F114,0,IF(G115&gt;='депозитный калькулятор'!$G$19,P114,P114+1)))</f>
        <v xml:space="preserve"> </v>
      </c>
      <c r="Q115" s="138" t="str">
        <f>IF(F115=" "," ",IF(AND(OR('депозитный калькулятор'!$G$7="30/365",'депозитный калькулятор'!$G$7="30/360"),AND(MONTH(F115)=2,EOMONTH(F115,0)=F115)),IF(DAY(F115)=28,3,2),1)*IF(G115&gt;='депозитный калькулятор'!$G$11,IF(AND('депозитный калькулятор'!$G$7="факт/факт",MOD(YEAR(F115),4)=0),G115*'депозитный калькулятор'!$D$11/366,G115*'депозитный калькулятор'!$G$8),0))</f>
        <v xml:space="preserve"> </v>
      </c>
      <c r="R115" s="148"/>
      <c r="S115" s="62" t="str">
        <f t="shared" ca="1" si="7"/>
        <v xml:space="preserve"> </v>
      </c>
      <c r="T115" s="149" t="str">
        <f ca="1">IF(S115=" "," ",IF('депозитный калькулятор'!$G$7="30/360",DAYS360(U114,IF(DAY(U115)=31,U115-1,U115))+IF(AND(MONTH(U115)=2,U115=EOMONTH(U115,0)),30-DAY(EOMONTH(U115,0)))+T114,VLOOKUP(S115,$C$22:$F$1023,2,0)))</f>
        <v xml:space="preserve"> </v>
      </c>
      <c r="U115" s="64" t="str">
        <f t="shared" ca="1" si="5"/>
        <v xml:space="preserve"> </v>
      </c>
      <c r="V115" s="150" t="str">
        <f t="shared" ca="1" si="8"/>
        <v xml:space="preserve"> </v>
      </c>
      <c r="W115" s="62" t="str">
        <f t="shared" ca="1" si="9"/>
        <v xml:space="preserve"> </v>
      </c>
      <c r="X115" s="141" t="str">
        <f ca="1">IF(S115=" "," ",IFERROR(VLOOKUP(U115,$F$23:$N$1023,7)+VLOOKUP(U115,$F$23:$N$1023,9)+IF(AND('депозитный калькулятор'!$G$13="нет",U115&lt;&gt;'депозитный калькулятор'!$D$8),VLOOKUP(U115,$F$23:$N$1023,4),0),0)+IF(U115='депозитный калькулятор'!$D$8,VLOOKUP(U115,$F$23:$N$1023,2)+VLOOKUP(U115,$F$23:$N$1023,4),0))</f>
        <v xml:space="preserve"> </v>
      </c>
      <c r="Y115" s="142" t="str">
        <f ca="1">IF(S115=" "," ",W115/(1+'депозитный калькулятор'!$K$8)^(T115/IF('депозитный калькулятор'!$G$7="30/360",360,365)))</f>
        <v xml:space="preserve"> </v>
      </c>
      <c r="Z115" s="142" t="str">
        <f ca="1">IF(S115=" "," ",X115/(1+'депозитный калькулятор'!$K$8)^(T115/IF('депозитный калькулятор'!$G$7="30/360",360,365)))</f>
        <v xml:space="preserve"> </v>
      </c>
      <c r="AA115" s="151"/>
      <c r="AB115" s="151"/>
      <c r="AC115" s="155"/>
      <c r="AD115" s="155"/>
    </row>
    <row r="116" spans="1:30" s="2" customFormat="1" ht="15.5" x14ac:dyDescent="0.35">
      <c r="A116" s="41" t="str">
        <f>IF(F116=" "," ",IF(OR('депозитный калькулятор'!$G$7="30/365",'депозитный калькулятор'!$G$7="30/360"),IF(AND(MONTH(F116)=2,DAY(F116)=DAY(EOMONTH(F116,0))),30-DAY(EOMONTH(F116,0)),IF(DAY(F116)=31,1," "))," "))</f>
        <v xml:space="preserve"> </v>
      </c>
      <c r="B116" s="130" t="str">
        <f t="shared" si="6"/>
        <v xml:space="preserve"> </v>
      </c>
      <c r="C116" s="130" t="str">
        <f>IF(OR(B116=0,B116=" ")," ",SUM($B$23:B116))</f>
        <v xml:space="preserve"> </v>
      </c>
      <c r="D116" s="62" t="str">
        <f>IF(D115=" "," ",IF(OR(F115='депозитный калькулятор'!$D$8,F115=" ")," ",D115+1))</f>
        <v xml:space="preserve"> </v>
      </c>
      <c r="E116" s="130" t="str">
        <f>IF(OR(F115='депозитный калькулятор'!$D$8,F115=" ")," ",IF(EOMONTH(F115,0)=F115,1,E115+1))</f>
        <v xml:space="preserve"> </v>
      </c>
      <c r="F116" s="64" t="str">
        <f>IF(F115=" "," ",IF(F115='депозитный калькулятор'!$D$8," ",F115+1))</f>
        <v xml:space="preserve"> </v>
      </c>
      <c r="G116" s="145" t="str">
        <f xml:space="preserve"> IF(F116&gt;'депозитный калькулятор'!$D$8," ",IF('депозитный калькулятор'!$G$13="есть",IF('депозитный калькулятор'!$G$14="есть",G115+IF(I115=" ",0,I115)-J116-K116+L116+M116-N116,G115+IF(I115=" ",0,I115)-J116-K116+M116-N116),IF('депозитный калькулятор'!$G$14="есть",G115-J116-K116+L116+M116-N116,G115-J116-K116+M116-N116)))</f>
        <v xml:space="preserve"> </v>
      </c>
      <c r="H116" s="133" t="str">
        <f>IF(F116&gt;'депозитный калькулятор'!$D$8," ",IF(AND(OR('депозитный калькулятор'!$G$7="30/365",'депозитный калькулятор'!$G$7="30/360"),AND(MONTH(F116)=2,EOMONTH(F116,0)=F116)),IF(DAY(F116)=28,3*G116*'депозитный калькулятор'!$G$8,2*G116*'депозитный калькулятор'!$G$8),IF(AND(OR('депозитный калькулятор'!$G$7="30/365",'депозитный калькулятор'!$G$7="30/360"),DAY(F116)=31)," ",IF(AND('депозитный калькулятор'!$G$7="факт/факт",MOD(YEAR(F116),4)=0),G116*'депозитный калькулятор'!$D$11/366,G116*'депозитный калькулятор'!$G$8))))</f>
        <v xml:space="preserve"> </v>
      </c>
      <c r="I116" s="134" t="str">
        <f ca="1">IF(F116=" "," ",IF('депозитный калькулятор'!$G$10="ежедневное",H116,IF(AND('депозитный калькулятор'!$G$10="еженедельное",WEEKDAY(F116,2)=7),SUM(OFFSET(H116,-6,0):H116),IF(AND('депозитный калькулятор'!$G$10="еженедельное",F116='депозитный калькулятор'!$D$8),SUM($H$23:H116)-SUM($I$23:I115),IF(AND('депозитный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недели",WEEKDAY(F116,2)=7),MIN(OFFSET(H116,-6,0):H116)*(COUNTIF(OFFSET(H116,-6,0):H116,"&gt;0")+SUMIF(OFFSET(A116,-WEEKDAY(F116,2),0):A116,"=2",OFFSET(A116,-WEEKDAY(F116,2),0):A116)),IF(AND('депозитный калькулятор'!$G$10="еженедельное, на минимальную сумму зафиксированную в течение недели",F116='депозитный калькулятор'!$D$8,WEEKDAY(F116,2)&lt;&gt;7),MIN(OFFSET(H116,-WEEKDAY(F116,2),0):H116)*(COUNTIF(OFFSET(H116,-WEEKDAY(F116,2)+1,0):H116,"&gt;0")+SUM(OFFSET(A116,-WEEKDAY(F116,2),0):A116)),IF(AND('депозитный калькулятор'!$G$10="ежемесячное (в конце месяца)",F116='депозитный калькулятор'!$D$8,EOMONTH(F116,0)&lt;&gt;F116),IF('депозитный калькулятор'!$F$1=1,$H$24,SUM($H$23:H116)-SUM($I$23:I115)),IF(AND('депозитный калькулятор'!$G$10="ежемесячное (в конце месяца)",EOMONTH(F116,0)=F116),SUM($H$23:H116)-SUM($I$23:I115),IF(AND('депозитный калькулятор'!$G$10="ежемесячное (по дням открытия вклада)",F116='депозитный калькулятор'!$D$8,DAY('депозитный калькулятор'!$D$7)&lt;&gt;DAY(F116)),IF('депозитный калькулятор'!$F$1=1,$H$24,SUM($H$23:H116)-SUM($I$23:I115)),IF(AND('депозитный калькулятор'!$G$10="ежемесячное (по дням открытия вклада)",DAY('депозитный калькулятор'!$D$7)=DAY(F116)),SUM($H$23:H116)-SUM($I$23:I115),IF(AND('депозитный калькулятор'!$G$10="ежемесячное, на минимальную сумму зафиксированную в течение месяца",F116='депозитный калькулятор'!$D$8,EOMONTH(F116,0)&lt;&gt;F116),IF('депозитный калькулятор'!$F$1=1,$H$24,IF(AND(OR('депозитный калькулятор'!$G$7="30/365",'депозитный калькулятор'!$G$7="30/360"),DAY(F116)=31),0,MIN(OFFSET(H116,-E116+1,0):H116)*(E116+SUMIF(OFFSET(A116,-E116+1,0):A116,"=2",OFFSET(A116,-E116+1,0):A116)))),IF(AND('депозитный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калькулятор'!$G$7="30/360"),DAY(EOMONTH(F116,0))=31),EOMONTH(F116,0)-1=F116,EOMONTH(F116,0)=F116)),IF(IF(AND(OR('депозитный калькулятор'!$G$7="30/365",'депозитный калькулятор'!$G$7="30/360"),DAY(EOMONTH($F$23,0))=31),F116=EOMONTH($F$23,0)-1,F116=EOMONTH($F$23,0)),MIN(OFFSET(H116,-(DAY(F116)-DAY($F$23)),0):H116)*E116,MIN(OFFSET(H116,-(DAY(F116)-1),0):H116)*IF(AND(OR('депозитный калькулятор'!$G$7="30/365",'депозитный калькулятор'!$G$7="30/360"),DAY(F116)&lt;30),30,DAY(F116))),IF(AND('депозитный калькулятор'!$G$10="ежемесячное, на средний остаток в течение месяца, при условии что остаток больше чем ограничение",F116='депозитный калькулятор'!$D$8,EOMONTH(F116,0)&lt;&gt;F116),IF('депозитный калькулятор'!$F$1=1,$H$24,SUM(OFFSET(Q116,-E116+1,0):Q116)),IF(AND('депозитный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калькулятор'!$G$7="30/360"),DAY(EOMONTH(F116,0))=31),EOMONTH(F116,0)-1=F116,EOMONTH(F116,0)=F116)),IF(IF(AND(OR('депозитный калькулятор'!$G$7="30/365",'депозитный калькулятор'!$G$7="30/360"),DAY(EOMONTH($F$24,0))=31),F116=EOMONTH($F$24,0)-1,F116=EOMONTH($F$24,0)),SUM(OFFSET(Q116,-E116+1,0):Q116),SUM(OFFSET(Q116,-E116+1,0):Q116)),IF('депозитный калькулятор'!$G$10="ежеквартальное",IF(F116&gt;'депозитный калькулятор'!$D$8," ",IF(AND(EOMONTH(F116,0)=F116,OR(MONTH(F116)=3,MONTH(F116)=6,MONTH(F116)=9,MONTH(F116)=12)),IF(EDATE(F116,-3)&lt;'депозитный калькулятор'!$D$7,SUM($H$23:H116),IF(MOD(YEAR(F116),4)=0,IF(AND(EOMONTH(F116,0)=F116,OR(MONTH(F116)=3,MONTH(F116)=6)),SUM(OFFSET(H116,-90,0):H116),IF(AND(EOMONTH(F116,0)=F116,OR(MONTH(F116)=9,MONTH(F116)=12)),SUM(OFFSET(H116,-91,0):H116))),IF(AND(EOMONTH(F116,0)=F116,MONTH(F116)=3),SUM(OFFSET(H116,-89,0):H116),IF(AND(EOMONTH(F116,0)=F116,MONTH(F116)=6),SUM(OFFSET(H116,-90,0):H116),IF(AND(EOMONTH(F116,0)=F116,OR(MONTH(F116)=9,MONTH(F116)=12)),SUM(OFFSET(H116,-91,0):H116)))))),IF(F116='депозитный калькулятор'!$D$8,SUM($H$23:H116)-SUM($I$23:I115),0))),IF('депозитный калькулятор'!$G$10="ежегодное",IF(F116&gt;'депозитный калькулятор'!$D$8," ",IF(F116='депозитный калькулятор'!$D$8,SUM($H$23:H116)-SUM($I$23:I115),IF(AND(EOMONTH(F116,0)=F116,MONTH(F116)=12),IF(MOD(YEAR(F115),4)=0,IF(F116-'депозитный калькулятор'!$D$7&lt;366,SUM($H$23:H116),SUM(OFFSET(H116,-365,0):H116)),IF(F116-'депозитный калькулятор'!$D$7&lt;365,SUM($H$23:H116),SUM(OFFSET(H116,-364,0):H116))),0))),IF(AND('депозитный калькулятор'!$G$10="в конце срока",'депозитный калькулятор'!$D$8=F116),SUM($H$23:H116),0))))))))))))))))))</f>
        <v xml:space="preserve"> </v>
      </c>
      <c r="J116" s="59" t="str">
        <f>IF(F116&gt;'депозитный калькулятор'!$D$8," ",IF('депозитный калькулятор'!$G$16="нет",0,IF(AND('депозитный калькулятор'!$G$17="разовая (в конце срока)",F116='депозитный калькулятор'!$D$8),'депозитный калькулятор'!$G$18,IF(AND('депозитный калькулятор'!$G$17="ежемесячная",EOMONTH(F115,0)=F115),'депозитный калькулятор'!$G$18,IF(AND('депозитный калькулятор'!$G$17="ежегодная",DAY(F115)=31,MONTH(F115)=12),'депозитный калькулятор'!$G$18,IF(AND('депозитный калькулятор'!$G$17="ежемесячная в зависимости от остатка",EOMONTH(F115,0)=F115,P115&gt;0),'депозитный калькулятор'!$G$18,IF(AND('депозитный калькулятор'!$G$17="ежегодная в зависимости от остатка",DAY(F115)=31,MONTH(F115)=12,P115&gt;0),'депозитный калькулятор'!$G$18,0)))))))</f>
        <v xml:space="preserve"> </v>
      </c>
      <c r="K116" s="135" t="str">
        <f>IF($F116=" "," ",IFERROR(VLOOKUP($F116,'депозитный калькулятор'!$B$26:$F$70,2,0),0))</f>
        <v xml:space="preserve"> </v>
      </c>
      <c r="L116" s="135" t="str">
        <f>IF($F116=" "," ",IFERROR(VLOOKUP($F116,'депозитный калькулятор'!$B$26:$F$70,3,0),0))</f>
        <v xml:space="preserve"> </v>
      </c>
      <c r="M116" s="135" t="str">
        <f>IF($F116=" "," ",IFERROR(VLOOKUP($F116,'депозитный калькулятор'!$B$26:$F$70,4,0),0))</f>
        <v xml:space="preserve"> </v>
      </c>
      <c r="N116" s="135" t="str">
        <f>IF($F116=" "," ",IFERROR(VLOOKUP($F116,'депозитный калькулятор'!$B$26:$F$70,5,0),0))</f>
        <v xml:space="preserve"> </v>
      </c>
      <c r="O116" s="146" t="str">
        <f>IF(F116&gt;'депозитный калькулятор'!$D$8," ",IF(F116='депозитный калькулятор'!$D$8,IF(AND($F$24='депозитный калькулятор'!$D$8,'депозитный калькулятор'!$G$13="нет"),-G116-IF(I116=" ",0,I116)-IF(AND(OR('депозитный калькулятор'!$G$7="30/365",'депозитный калькулятор'!$G$7="30/360"),'депозитный калькулятор'!$G$10="в начале срока"),I115,0)-L116+M116-N116,-G116-IF(I116=" ",0,I116)-L116+M116-N116),IF('депозитный калькулятор'!$G$13="есть",M116-N116+IF('депозитный калькулятор'!$G$14="есть",0,-L116),-IF(I116=" ",0,I116)-IF(AND(OR('депозитный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срока"),I115,0)+M116-N116+IF('депозитный калькулятор'!$G$14="есть",0,-L116))))</f>
        <v xml:space="preserve"> </v>
      </c>
      <c r="P116" s="147" t="str">
        <f>IF(F116&gt;'депозитный калькулятор'!$D$8," ",IF(EOMONTH(F115,0)=F115,0,IF(G116&gt;='депозитный калькулятор'!$G$19,P115,P115+1)))</f>
        <v xml:space="preserve"> </v>
      </c>
      <c r="Q116" s="138" t="str">
        <f>IF(F116=" "," ",IF(AND(OR('депозитный калькулятор'!$G$7="30/365",'депозитный калькулятор'!$G$7="30/360"),AND(MONTH(F116)=2,EOMONTH(F116,0)=F116)),IF(DAY(F116)=28,3,2),1)*IF(G116&gt;='депозитный калькулятор'!$G$11,IF(AND('депозитный калькулятор'!$G$7="факт/факт",MOD(YEAR(F116),4)=0),G116*'депозитный калькулятор'!$D$11/366,G116*'депозитный калькулятор'!$G$8),0))</f>
        <v xml:space="preserve"> </v>
      </c>
      <c r="R116" s="148"/>
      <c r="S116" s="62" t="str">
        <f t="shared" ca="1" si="7"/>
        <v xml:space="preserve"> </v>
      </c>
      <c r="T116" s="149" t="str">
        <f ca="1">IF(S116=" "," ",IF('депозитный калькулятор'!$G$7="30/360",DAYS360(U115,IF(DAY(U116)=31,U116-1,U116))+IF(AND(MONTH(U116)=2,U116=EOMONTH(U116,0)),30-DAY(EOMONTH(U116,0)))+T115,VLOOKUP(S116,$C$22:$F$1023,2,0)))</f>
        <v xml:space="preserve"> </v>
      </c>
      <c r="U116" s="64" t="str">
        <f t="shared" ca="1" si="5"/>
        <v xml:space="preserve"> </v>
      </c>
      <c r="V116" s="150" t="str">
        <f t="shared" ca="1" si="8"/>
        <v xml:space="preserve"> </v>
      </c>
      <c r="W116" s="62" t="str">
        <f t="shared" ca="1" si="9"/>
        <v xml:space="preserve"> </v>
      </c>
      <c r="X116" s="141" t="str">
        <f ca="1">IF(S116=" "," ",IFERROR(VLOOKUP(U116,$F$23:$N$1023,7)+VLOOKUP(U116,$F$23:$N$1023,9)+IF(AND('депозитный калькулятор'!$G$13="нет",U116&lt;&gt;'депозитный калькулятор'!$D$8),VLOOKUP(U116,$F$23:$N$1023,4),0),0)+IF(U116='депозитный калькулятор'!$D$8,VLOOKUP(U116,$F$23:$N$1023,2)+VLOOKUP(U116,$F$23:$N$1023,4),0))</f>
        <v xml:space="preserve"> </v>
      </c>
      <c r="Y116" s="142" t="str">
        <f ca="1">IF(S116=" "," ",W116/(1+'депозитный калькулятор'!$K$8)^(T116/IF('депозитный калькулятор'!$G$7="30/360",360,365)))</f>
        <v xml:space="preserve"> </v>
      </c>
      <c r="Z116" s="142" t="str">
        <f ca="1">IF(S116=" "," ",X116/(1+'депозитный калькулятор'!$K$8)^(T116/IF('депозитный калькулятор'!$G$7="30/360",360,365)))</f>
        <v xml:space="preserve"> </v>
      </c>
      <c r="AA116" s="151"/>
      <c r="AB116" s="151"/>
      <c r="AC116" s="155"/>
      <c r="AD116" s="155"/>
    </row>
    <row r="117" spans="1:30" s="2" customFormat="1" ht="15.5" x14ac:dyDescent="0.35">
      <c r="A117" s="41" t="str">
        <f>IF(F117=" "," ",IF(OR('депозитный калькулятор'!$G$7="30/365",'депозитный калькулятор'!$G$7="30/360"),IF(AND(MONTH(F117)=2,DAY(F117)=DAY(EOMONTH(F117,0))),30-DAY(EOMONTH(F117,0)),IF(DAY(F117)=31,1," "))," "))</f>
        <v xml:space="preserve"> </v>
      </c>
      <c r="B117" s="130" t="str">
        <f t="shared" si="6"/>
        <v xml:space="preserve"> </v>
      </c>
      <c r="C117" s="130" t="str">
        <f>IF(OR(B117=0,B117=" ")," ",SUM($B$23:B117))</f>
        <v xml:space="preserve"> </v>
      </c>
      <c r="D117" s="62" t="str">
        <f>IF(D116=" "," ",IF(OR(F116='депозитный калькулятор'!$D$8,F116=" ")," ",D116+1))</f>
        <v xml:space="preserve"> </v>
      </c>
      <c r="E117" s="130" t="str">
        <f>IF(OR(F116='депозитный калькулятор'!$D$8,F116=" ")," ",IF(EOMONTH(F116,0)=F116,1,E116+1))</f>
        <v xml:space="preserve"> </v>
      </c>
      <c r="F117" s="64" t="str">
        <f>IF(F116=" "," ",IF(F116='депозитный калькулятор'!$D$8," ",F116+1))</f>
        <v xml:space="preserve"> </v>
      </c>
      <c r="G117" s="145" t="str">
        <f xml:space="preserve"> IF(F117&gt;'депозитный калькулятор'!$D$8," ",IF('депозитный калькулятор'!$G$13="есть",IF('депозитный калькулятор'!$G$14="есть",G116+IF(I116=" ",0,I116)-J117-K117+L117+M117-N117,G116+IF(I116=" ",0,I116)-J117-K117+M117-N117),IF('депозитный калькулятор'!$G$14="есть",G116-J117-K117+L117+M117-N117,G116-J117-K117+M117-N117)))</f>
        <v xml:space="preserve"> </v>
      </c>
      <c r="H117" s="133" t="str">
        <f>IF(F117&gt;'депозитный калькулятор'!$D$8," ",IF(AND(OR('депозитный калькулятор'!$G$7="30/365",'депозитный калькулятор'!$G$7="30/360"),AND(MONTH(F117)=2,EOMONTH(F117,0)=F117)),IF(DAY(F117)=28,3*G117*'депозитный калькулятор'!$G$8,2*G117*'депозитный калькулятор'!$G$8),IF(AND(OR('депозитный калькулятор'!$G$7="30/365",'депозитный калькулятор'!$G$7="30/360"),DAY(F117)=31)," ",IF(AND('депозитный калькулятор'!$G$7="факт/факт",MOD(YEAR(F117),4)=0),G117*'депозитный калькулятор'!$D$11/366,G117*'депозитный калькулятор'!$G$8))))</f>
        <v xml:space="preserve"> </v>
      </c>
      <c r="I117" s="134" t="str">
        <f ca="1">IF(F117=" "," ",IF('депозитный калькулятор'!$G$10="ежедневное",H117,IF(AND('депозитный калькулятор'!$G$10="еженедельное",WEEKDAY(F117,2)=7),SUM(OFFSET(H117,-6,0):H117),IF(AND('депозитный калькулятор'!$G$10="еженедельное",F117='депозитный калькулятор'!$D$8),SUM($H$23:H117)-SUM($I$23:I116),IF(AND('депозитный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недели",WEEKDAY(F117,2)=7),MIN(OFFSET(H117,-6,0):H117)*(COUNTIF(OFFSET(H117,-6,0):H117,"&gt;0")+SUMIF(OFFSET(A117,-WEEKDAY(F117,2),0):A117,"=2",OFFSET(A117,-WEEKDAY(F117,2),0):A117)),IF(AND('депозитный калькулятор'!$G$10="еженедельное, на минимальную сумму зафиксированную в течение недели",F117='депозитный калькулятор'!$D$8,WEEKDAY(F117,2)&lt;&gt;7),MIN(OFFSET(H117,-WEEKDAY(F117,2),0):H117)*(COUNTIF(OFFSET(H117,-WEEKDAY(F117,2)+1,0):H117,"&gt;0")+SUM(OFFSET(A117,-WEEKDAY(F117,2),0):A117)),IF(AND('депозитный калькулятор'!$G$10="ежемесячное (в конце месяца)",F117='депозитный калькулятор'!$D$8,EOMONTH(F117,0)&lt;&gt;F117),IF('депозитный калькулятор'!$F$1=1,$H$24,SUM($H$23:H117)-SUM($I$23:I116)),IF(AND('депозитный калькулятор'!$G$10="ежемесячное (в конце месяца)",EOMONTH(F117,0)=F117),SUM($H$23:H117)-SUM($I$23:I116),IF(AND('депозитный калькулятор'!$G$10="ежемесячное (по дням открытия вклада)",F117='депозитный калькулятор'!$D$8,DAY('депозитный калькулятор'!$D$7)&lt;&gt;DAY(F117)),IF('депозитный калькулятор'!$F$1=1,$H$24,SUM($H$23:H117)-SUM($I$23:I116)),IF(AND('депозитный калькулятор'!$G$10="ежемесячное (по дням открытия вклада)",DAY('депозитный калькулятор'!$D$7)=DAY(F117)),SUM($H$23:H117)-SUM($I$23:I116),IF(AND('депозитный калькулятор'!$G$10="ежемесячное, на минимальную сумму зафиксированную в течение месяца",F117='депозитный калькулятор'!$D$8,EOMONTH(F117,0)&lt;&gt;F117),IF('депозитный калькулятор'!$F$1=1,$H$24,IF(AND(OR('депозитный калькулятор'!$G$7="30/365",'депозитный калькулятор'!$G$7="30/360"),DAY(F117)=31),0,MIN(OFFSET(H117,-E117+1,0):H117)*(E117+SUMIF(OFFSET(A117,-E117+1,0):A117,"=2",OFFSET(A117,-E117+1,0):A117)))),IF(AND('депозитный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калькулятор'!$G$7="30/360"),DAY(EOMONTH(F117,0))=31),EOMONTH(F117,0)-1=F117,EOMONTH(F117,0)=F117)),IF(IF(AND(OR('депозитный калькулятор'!$G$7="30/365",'депозитный калькулятор'!$G$7="30/360"),DAY(EOMONTH($F$23,0))=31),F117=EOMONTH($F$23,0)-1,F117=EOMONTH($F$23,0)),MIN(OFFSET(H117,-(DAY(F117)-DAY($F$23)),0):H117)*E117,MIN(OFFSET(H117,-(DAY(F117)-1),0):H117)*IF(AND(OR('депозитный калькулятор'!$G$7="30/365",'депозитный калькулятор'!$G$7="30/360"),DAY(F117)&lt;30),30,DAY(F117))),IF(AND('депозитный калькулятор'!$G$10="ежемесячное, на средний остаток в течение месяца, при условии что остаток больше чем ограничение",F117='депозитный калькулятор'!$D$8,EOMONTH(F117,0)&lt;&gt;F117),IF('депозитный калькулятор'!$F$1=1,$H$24,SUM(OFFSET(Q117,-E117+1,0):Q117)),IF(AND('депозитный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калькулятор'!$G$7="30/360"),DAY(EOMONTH(F117,0))=31),EOMONTH(F117,0)-1=F117,EOMONTH(F117,0)=F117)),IF(IF(AND(OR('депозитный калькулятор'!$G$7="30/365",'депозитный калькулятор'!$G$7="30/360"),DAY(EOMONTH($F$24,0))=31),F117=EOMONTH($F$24,0)-1,F117=EOMONTH($F$24,0)),SUM(OFFSET(Q117,-E117+1,0):Q117),SUM(OFFSET(Q117,-E117+1,0):Q117)),IF('депозитный калькулятор'!$G$10="ежеквартальное",IF(F117&gt;'депозитный калькулятор'!$D$8," ",IF(AND(EOMONTH(F117,0)=F117,OR(MONTH(F117)=3,MONTH(F117)=6,MONTH(F117)=9,MONTH(F117)=12)),IF(EDATE(F117,-3)&lt;'депозитный калькулятор'!$D$7,SUM($H$23:H117),IF(MOD(YEAR(F117),4)=0,IF(AND(EOMONTH(F117,0)=F117,OR(MONTH(F117)=3,MONTH(F117)=6)),SUM(OFFSET(H117,-90,0):H117),IF(AND(EOMONTH(F117,0)=F117,OR(MONTH(F117)=9,MONTH(F117)=12)),SUM(OFFSET(H117,-91,0):H117))),IF(AND(EOMONTH(F117,0)=F117,MONTH(F117)=3),SUM(OFFSET(H117,-89,0):H117),IF(AND(EOMONTH(F117,0)=F117,MONTH(F117)=6),SUM(OFFSET(H117,-90,0):H117),IF(AND(EOMONTH(F117,0)=F117,OR(MONTH(F117)=9,MONTH(F117)=12)),SUM(OFFSET(H117,-91,0):H117)))))),IF(F117='депозитный калькулятор'!$D$8,SUM($H$23:H117)-SUM($I$23:I116),0))),IF('депозитный калькулятор'!$G$10="ежегодное",IF(F117&gt;'депозитный калькулятор'!$D$8," ",IF(F117='депозитный калькулятор'!$D$8,SUM($H$23:H117)-SUM($I$23:I116),IF(AND(EOMONTH(F117,0)=F117,MONTH(F117)=12),IF(MOD(YEAR(F116),4)=0,IF(F117-'депозитный калькулятор'!$D$7&lt;366,SUM($H$23:H117),SUM(OFFSET(H117,-365,0):H117)),IF(F117-'депозитный калькулятор'!$D$7&lt;365,SUM($H$23:H117),SUM(OFFSET(H117,-364,0):H117))),0))),IF(AND('депозитный калькулятор'!$G$10="в конце срока",'депозитный калькулятор'!$D$8=F117),SUM($H$23:H117),0))))))))))))))))))</f>
        <v xml:space="preserve"> </v>
      </c>
      <c r="J117" s="59" t="str">
        <f>IF(F117&gt;'депозитный калькулятор'!$D$8," ",IF('депозитный калькулятор'!$G$16="нет",0,IF(AND('депозитный калькулятор'!$G$17="разовая (в конце срока)",F117='депозитный калькулятор'!$D$8),'депозитный калькулятор'!$G$18,IF(AND('депозитный калькулятор'!$G$17="ежемесячная",EOMONTH(F116,0)=F116),'депозитный калькулятор'!$G$18,IF(AND('депозитный калькулятор'!$G$17="ежегодная",DAY(F116)=31,MONTH(F116)=12),'депозитный калькулятор'!$G$18,IF(AND('депозитный калькулятор'!$G$17="ежемесячная в зависимости от остатка",EOMONTH(F116,0)=F116,P116&gt;0),'депозитный калькулятор'!$G$18,IF(AND('депозитный калькулятор'!$G$17="ежегодная в зависимости от остатка",DAY(F116)=31,MONTH(F116)=12,P116&gt;0),'депозитный калькулятор'!$G$18,0)))))))</f>
        <v xml:space="preserve"> </v>
      </c>
      <c r="K117" s="135" t="str">
        <f>IF($F117=" "," ",IFERROR(VLOOKUP($F117,'депозитный калькулятор'!$B$26:$F$70,2,0),0))</f>
        <v xml:space="preserve"> </v>
      </c>
      <c r="L117" s="135" t="str">
        <f>IF($F117=" "," ",IFERROR(VLOOKUP($F117,'депозитный калькулятор'!$B$26:$F$70,3,0),0))</f>
        <v xml:space="preserve"> </v>
      </c>
      <c r="M117" s="135" t="str">
        <f>IF($F117=" "," ",IFERROR(VLOOKUP($F117,'депозитный калькулятор'!$B$26:$F$70,4,0),0))</f>
        <v xml:space="preserve"> </v>
      </c>
      <c r="N117" s="135" t="str">
        <f>IF($F117=" "," ",IFERROR(VLOOKUP($F117,'депозитный калькулятор'!$B$26:$F$70,5,0),0))</f>
        <v xml:space="preserve"> </v>
      </c>
      <c r="O117" s="146" t="str">
        <f>IF(F117&gt;'депозитный калькулятор'!$D$8," ",IF(F117='депозитный калькулятор'!$D$8,IF(AND($F$24='депозитный калькулятор'!$D$8,'депозитный калькулятор'!$G$13="нет"),-G117-IF(I117=" ",0,I117)-IF(AND(OR('депозитный калькулятор'!$G$7="30/365",'депозитный калькулятор'!$G$7="30/360"),'депозитный калькулятор'!$G$10="в начале срока"),I116,0)-L117+M117-N117,-G117-IF(I117=" ",0,I117)-L117+M117-N117),IF('депозитный калькулятор'!$G$13="есть",M117-N117+IF('депозитный калькулятор'!$G$14="есть",0,-L117),-IF(I117=" ",0,I117)-IF(AND(OR('депозитный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срока"),I116,0)+M117-N117+IF('депозитный калькулятор'!$G$14="есть",0,-L117))))</f>
        <v xml:space="preserve"> </v>
      </c>
      <c r="P117" s="147" t="str">
        <f>IF(F117&gt;'депозитный калькулятор'!$D$8," ",IF(EOMONTH(F116,0)=F116,0,IF(G117&gt;='депозитный калькулятор'!$G$19,P116,P116+1)))</f>
        <v xml:space="preserve"> </v>
      </c>
      <c r="Q117" s="138" t="str">
        <f>IF(F117=" "," ",IF(AND(OR('депозитный калькулятор'!$G$7="30/365",'депозитный калькулятор'!$G$7="30/360"),AND(MONTH(F117)=2,EOMONTH(F117,0)=F117)),IF(DAY(F117)=28,3,2),1)*IF(G117&gt;='депозитный калькулятор'!$G$11,IF(AND('депозитный калькулятор'!$G$7="факт/факт",MOD(YEAR(F117),4)=0),G117*'депозитный калькулятор'!$D$11/366,G117*'депозитный калькулятор'!$G$8),0))</f>
        <v xml:space="preserve"> </v>
      </c>
      <c r="R117" s="148"/>
      <c r="S117" s="62" t="str">
        <f t="shared" ca="1" si="7"/>
        <v xml:space="preserve"> </v>
      </c>
      <c r="T117" s="149" t="str">
        <f ca="1">IF(S117=" "," ",IF('депозитный калькулятор'!$G$7="30/360",DAYS360(U116,IF(DAY(U117)=31,U117-1,U117))+IF(AND(MONTH(U117)=2,U117=EOMONTH(U117,0)),30-DAY(EOMONTH(U117,0)))+T116,VLOOKUP(S117,$C$22:$F$1023,2,0)))</f>
        <v xml:space="preserve"> </v>
      </c>
      <c r="U117" s="64" t="str">
        <f t="shared" ca="1" si="5"/>
        <v xml:space="preserve"> </v>
      </c>
      <c r="V117" s="150" t="str">
        <f t="shared" ca="1" si="8"/>
        <v xml:space="preserve"> </v>
      </c>
      <c r="W117" s="62" t="str">
        <f t="shared" ca="1" si="9"/>
        <v xml:space="preserve"> </v>
      </c>
      <c r="X117" s="141" t="str">
        <f ca="1">IF(S117=" "," ",IFERROR(VLOOKUP(U117,$F$23:$N$1023,7)+VLOOKUP(U117,$F$23:$N$1023,9)+IF(AND('депозитный калькулятор'!$G$13="нет",U117&lt;&gt;'депозитный калькулятор'!$D$8),VLOOKUP(U117,$F$23:$N$1023,4),0),0)+IF(U117='депозитный калькулятор'!$D$8,VLOOKUP(U117,$F$23:$N$1023,2)+VLOOKUP(U117,$F$23:$N$1023,4),0))</f>
        <v xml:space="preserve"> </v>
      </c>
      <c r="Y117" s="142" t="str">
        <f ca="1">IF(S117=" "," ",W117/(1+'депозитный калькулятор'!$K$8)^(T117/IF('депозитный калькулятор'!$G$7="30/360",360,365)))</f>
        <v xml:space="preserve"> </v>
      </c>
      <c r="Z117" s="142" t="str">
        <f ca="1">IF(S117=" "," ",X117/(1+'депозитный калькулятор'!$K$8)^(T117/IF('депозитный калькулятор'!$G$7="30/360",360,365)))</f>
        <v xml:space="preserve"> </v>
      </c>
      <c r="AA117" s="151"/>
      <c r="AB117" s="151"/>
      <c r="AC117" s="155"/>
      <c r="AD117" s="155"/>
    </row>
    <row r="118" spans="1:30" s="2" customFormat="1" ht="15.5" x14ac:dyDescent="0.35">
      <c r="A118" s="41" t="str">
        <f>IF(F118=" "," ",IF(OR('депозитный калькулятор'!$G$7="30/365",'депозитный калькулятор'!$G$7="30/360"),IF(AND(MONTH(F118)=2,DAY(F118)=DAY(EOMONTH(F118,0))),30-DAY(EOMONTH(F118,0)),IF(DAY(F118)=31,1," "))," "))</f>
        <v xml:space="preserve"> </v>
      </c>
      <c r="B118" s="130" t="str">
        <f t="shared" si="6"/>
        <v xml:space="preserve"> </v>
      </c>
      <c r="C118" s="130" t="str">
        <f>IF(OR(B118=0,B118=" ")," ",SUM($B$23:B118))</f>
        <v xml:space="preserve"> </v>
      </c>
      <c r="D118" s="62" t="str">
        <f>IF(D117=" "," ",IF(OR(F117='депозитный калькулятор'!$D$8,F117=" ")," ",D117+1))</f>
        <v xml:space="preserve"> </v>
      </c>
      <c r="E118" s="130" t="str">
        <f>IF(OR(F117='депозитный калькулятор'!$D$8,F117=" ")," ",IF(EOMONTH(F117,0)=F117,1,E117+1))</f>
        <v xml:space="preserve"> </v>
      </c>
      <c r="F118" s="64" t="str">
        <f>IF(F117=" "," ",IF(F117='депозитный калькулятор'!$D$8," ",F117+1))</f>
        <v xml:space="preserve"> </v>
      </c>
      <c r="G118" s="145" t="str">
        <f xml:space="preserve"> IF(F118&gt;'депозитный калькулятор'!$D$8," ",IF('депозитный калькулятор'!$G$13="есть",IF('депозитный калькулятор'!$G$14="есть",G117+IF(I117=" ",0,I117)-J118-K118+L118+M118-N118,G117+IF(I117=" ",0,I117)-J118-K118+M118-N118),IF('депозитный калькулятор'!$G$14="есть",G117-J118-K118+L118+M118-N118,G117-J118-K118+M118-N118)))</f>
        <v xml:space="preserve"> </v>
      </c>
      <c r="H118" s="133" t="str">
        <f>IF(F118&gt;'депозитный калькулятор'!$D$8," ",IF(AND(OR('депозитный калькулятор'!$G$7="30/365",'депозитный калькулятор'!$G$7="30/360"),AND(MONTH(F118)=2,EOMONTH(F118,0)=F118)),IF(DAY(F118)=28,3*G118*'депозитный калькулятор'!$G$8,2*G118*'депозитный калькулятор'!$G$8),IF(AND(OR('депозитный калькулятор'!$G$7="30/365",'депозитный калькулятор'!$G$7="30/360"),DAY(F118)=31)," ",IF(AND('депозитный калькулятор'!$G$7="факт/факт",MOD(YEAR(F118),4)=0),G118*'депозитный калькулятор'!$D$11/366,G118*'депозитный калькулятор'!$G$8))))</f>
        <v xml:space="preserve"> </v>
      </c>
      <c r="I118" s="134" t="str">
        <f ca="1">IF(F118=" "," ",IF('депозитный калькулятор'!$G$10="ежедневное",H118,IF(AND('депозитный калькулятор'!$G$10="еженедельное",WEEKDAY(F118,2)=7),SUM(OFFSET(H118,-6,0):H118),IF(AND('депозитный калькулятор'!$G$10="еженедельное",F118='депозитный калькулятор'!$D$8),SUM($H$23:H118)-SUM($I$23:I117),IF(AND('депозитный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недели",WEEKDAY(F118,2)=7),MIN(OFFSET(H118,-6,0):H118)*(COUNTIF(OFFSET(H118,-6,0):H118,"&gt;0")+SUMIF(OFFSET(A118,-WEEKDAY(F118,2),0):A118,"=2",OFFSET(A118,-WEEKDAY(F118,2),0):A118)),IF(AND('депозитный калькулятор'!$G$10="еженедельное, на минимальную сумму зафиксированную в течение недели",F118='депозитный калькулятор'!$D$8,WEEKDAY(F118,2)&lt;&gt;7),MIN(OFFSET(H118,-WEEKDAY(F118,2),0):H118)*(COUNTIF(OFFSET(H118,-WEEKDAY(F118,2)+1,0):H118,"&gt;0")+SUM(OFFSET(A118,-WEEKDAY(F118,2),0):A118)),IF(AND('депозитный калькулятор'!$G$10="ежемесячное (в конце месяца)",F118='депозитный калькулятор'!$D$8,EOMONTH(F118,0)&lt;&gt;F118),IF('депозитный калькулятор'!$F$1=1,$H$24,SUM($H$23:H118)-SUM($I$23:I117)),IF(AND('депозитный калькулятор'!$G$10="ежемесячное (в конце месяца)",EOMONTH(F118,0)=F118),SUM($H$23:H118)-SUM($I$23:I117),IF(AND('депозитный калькулятор'!$G$10="ежемесячное (по дням открытия вклада)",F118='депозитный калькулятор'!$D$8,DAY('депозитный калькулятор'!$D$7)&lt;&gt;DAY(F118)),IF('депозитный калькулятор'!$F$1=1,$H$24,SUM($H$23:H118)-SUM($I$23:I117)),IF(AND('депозитный калькулятор'!$G$10="ежемесячное (по дням открытия вклада)",DAY('депозитный калькулятор'!$D$7)=DAY(F118)),SUM($H$23:H118)-SUM($I$23:I117),IF(AND('депозитный калькулятор'!$G$10="ежемесячное, на минимальную сумму зафиксированную в течение месяца",F118='депозитный калькулятор'!$D$8,EOMONTH(F118,0)&lt;&gt;F118),IF('депозитный калькулятор'!$F$1=1,$H$24,IF(AND(OR('депозитный калькулятор'!$G$7="30/365",'депозитный калькулятор'!$G$7="30/360"),DAY(F118)=31),0,MIN(OFFSET(H118,-E118+1,0):H118)*(E118+SUMIF(OFFSET(A118,-E118+1,0):A118,"=2",OFFSET(A118,-E118+1,0):A118)))),IF(AND('депозитный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калькулятор'!$G$7="30/360"),DAY(EOMONTH(F118,0))=31),EOMONTH(F118,0)-1=F118,EOMONTH(F118,0)=F118)),IF(IF(AND(OR('депозитный калькулятор'!$G$7="30/365",'депозитный калькулятор'!$G$7="30/360"),DAY(EOMONTH($F$23,0))=31),F118=EOMONTH($F$23,0)-1,F118=EOMONTH($F$23,0)),MIN(OFFSET(H118,-(DAY(F118)-DAY($F$23)),0):H118)*E118,MIN(OFFSET(H118,-(DAY(F118)-1),0):H118)*IF(AND(OR('депозитный калькулятор'!$G$7="30/365",'депозитный калькулятор'!$G$7="30/360"),DAY(F118)&lt;30),30,DAY(F118))),IF(AND('депозитный калькулятор'!$G$10="ежемесячное, на средний остаток в течение месяца, при условии что остаток больше чем ограничение",F118='депозитный калькулятор'!$D$8,EOMONTH(F118,0)&lt;&gt;F118),IF('депозитный калькулятор'!$F$1=1,$H$24,SUM(OFFSET(Q118,-E118+1,0):Q118)),IF(AND('депозитный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калькулятор'!$G$7="30/360"),DAY(EOMONTH(F118,0))=31),EOMONTH(F118,0)-1=F118,EOMONTH(F118,0)=F118)),IF(IF(AND(OR('депозитный калькулятор'!$G$7="30/365",'депозитный калькулятор'!$G$7="30/360"),DAY(EOMONTH($F$24,0))=31),F118=EOMONTH($F$24,0)-1,F118=EOMONTH($F$24,0)),SUM(OFFSET(Q118,-E118+1,0):Q118),SUM(OFFSET(Q118,-E118+1,0):Q118)),IF('депозитный калькулятор'!$G$10="ежеквартальное",IF(F118&gt;'депозитный калькулятор'!$D$8," ",IF(AND(EOMONTH(F118,0)=F118,OR(MONTH(F118)=3,MONTH(F118)=6,MONTH(F118)=9,MONTH(F118)=12)),IF(EDATE(F118,-3)&lt;'депозитный калькулятор'!$D$7,SUM($H$23:H118),IF(MOD(YEAR(F118),4)=0,IF(AND(EOMONTH(F118,0)=F118,OR(MONTH(F118)=3,MONTH(F118)=6)),SUM(OFFSET(H118,-90,0):H118),IF(AND(EOMONTH(F118,0)=F118,OR(MONTH(F118)=9,MONTH(F118)=12)),SUM(OFFSET(H118,-91,0):H118))),IF(AND(EOMONTH(F118,0)=F118,MONTH(F118)=3),SUM(OFFSET(H118,-89,0):H118),IF(AND(EOMONTH(F118,0)=F118,MONTH(F118)=6),SUM(OFFSET(H118,-90,0):H118),IF(AND(EOMONTH(F118,0)=F118,OR(MONTH(F118)=9,MONTH(F118)=12)),SUM(OFFSET(H118,-91,0):H118)))))),IF(F118='депозитный калькулятор'!$D$8,SUM($H$23:H118)-SUM($I$23:I117),0))),IF('депозитный калькулятор'!$G$10="ежегодное",IF(F118&gt;'депозитный калькулятор'!$D$8," ",IF(F118='депозитный калькулятор'!$D$8,SUM($H$23:H118)-SUM($I$23:I117),IF(AND(EOMONTH(F118,0)=F118,MONTH(F118)=12),IF(MOD(YEAR(F117),4)=0,IF(F118-'депозитный калькулятор'!$D$7&lt;366,SUM($H$23:H118),SUM(OFFSET(H118,-365,0):H118)),IF(F118-'депозитный калькулятор'!$D$7&lt;365,SUM($H$23:H118),SUM(OFFSET(H118,-364,0):H118))),0))),IF(AND('депозитный калькулятор'!$G$10="в конце срока",'депозитный калькулятор'!$D$8=F118),SUM($H$23:H118),0))))))))))))))))))</f>
        <v xml:space="preserve"> </v>
      </c>
      <c r="J118" s="59" t="str">
        <f>IF(F118&gt;'депозитный калькулятор'!$D$8," ",IF('депозитный калькулятор'!$G$16="нет",0,IF(AND('депозитный калькулятор'!$G$17="разовая (в конце срока)",F118='депозитный калькулятор'!$D$8),'депозитный калькулятор'!$G$18,IF(AND('депозитный калькулятор'!$G$17="ежемесячная",EOMONTH(F117,0)=F117),'депозитный калькулятор'!$G$18,IF(AND('депозитный калькулятор'!$G$17="ежегодная",DAY(F117)=31,MONTH(F117)=12),'депозитный калькулятор'!$G$18,IF(AND('депозитный калькулятор'!$G$17="ежемесячная в зависимости от остатка",EOMONTH(F117,0)=F117,P117&gt;0),'депозитный калькулятор'!$G$18,IF(AND('депозитный калькулятор'!$G$17="ежегодная в зависимости от остатка",DAY(F117)=31,MONTH(F117)=12,P117&gt;0),'депозитный калькулятор'!$G$18,0)))))))</f>
        <v xml:space="preserve"> </v>
      </c>
      <c r="K118" s="135" t="str">
        <f>IF($F118=" "," ",IFERROR(VLOOKUP($F118,'депозитный калькулятор'!$B$26:$F$70,2,0),0))</f>
        <v xml:space="preserve"> </v>
      </c>
      <c r="L118" s="135" t="str">
        <f>IF($F118=" "," ",IFERROR(VLOOKUP($F118,'депозитный калькулятор'!$B$26:$F$70,3,0),0))</f>
        <v xml:space="preserve"> </v>
      </c>
      <c r="M118" s="135" t="str">
        <f>IF($F118=" "," ",IFERROR(VLOOKUP($F118,'депозитный калькулятор'!$B$26:$F$70,4,0),0))</f>
        <v xml:space="preserve"> </v>
      </c>
      <c r="N118" s="135" t="str">
        <f>IF($F118=" "," ",IFERROR(VLOOKUP($F118,'депозитный калькулятор'!$B$26:$F$70,5,0),0))</f>
        <v xml:space="preserve"> </v>
      </c>
      <c r="O118" s="146" t="str">
        <f>IF(F118&gt;'депозитный калькулятор'!$D$8," ",IF(F118='депозитный калькулятор'!$D$8,IF(AND($F$24='депозитный калькулятор'!$D$8,'депозитный калькулятор'!$G$13="нет"),-G118-IF(I118=" ",0,I118)-IF(AND(OR('депозитный калькулятор'!$G$7="30/365",'депозитный калькулятор'!$G$7="30/360"),'депозитный калькулятор'!$G$10="в начале срока"),I117,0)-L118+M118-N118,-G118-IF(I118=" ",0,I118)-L118+M118-N118),IF('депозитный калькулятор'!$G$13="есть",M118-N118+IF('депозитный калькулятор'!$G$14="есть",0,-L118),-IF(I118=" ",0,I118)-IF(AND(OR('депозитный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срока"),I117,0)+M118-N118+IF('депозитный калькулятор'!$G$14="есть",0,-L118))))</f>
        <v xml:space="preserve"> </v>
      </c>
      <c r="P118" s="147" t="str">
        <f>IF(F118&gt;'депозитный калькулятор'!$D$8," ",IF(EOMONTH(F117,0)=F117,0,IF(G118&gt;='депозитный калькулятор'!$G$19,P117,P117+1)))</f>
        <v xml:space="preserve"> </v>
      </c>
      <c r="Q118" s="138" t="str">
        <f>IF(F118=" "," ",IF(AND(OR('депозитный калькулятор'!$G$7="30/365",'депозитный калькулятор'!$G$7="30/360"),AND(MONTH(F118)=2,EOMONTH(F118,0)=F118)),IF(DAY(F118)=28,3,2),1)*IF(G118&gt;='депозитный калькулятор'!$G$11,IF(AND('депозитный калькулятор'!$G$7="факт/факт",MOD(YEAR(F118),4)=0),G118*'депозитный калькулятор'!$D$11/366,G118*'депозитный калькулятор'!$G$8),0))</f>
        <v xml:space="preserve"> </v>
      </c>
      <c r="R118" s="148"/>
      <c r="S118" s="62" t="str">
        <f t="shared" ca="1" si="7"/>
        <v xml:space="preserve"> </v>
      </c>
      <c r="T118" s="149" t="str">
        <f ca="1">IF(S118=" "," ",IF('депозитный калькулятор'!$G$7="30/360",DAYS360(U117,IF(DAY(U118)=31,U118-1,U118))+IF(AND(MONTH(U118)=2,U118=EOMONTH(U118,0)),30-DAY(EOMONTH(U118,0)))+T117,VLOOKUP(S118,$C$22:$F$1023,2,0)))</f>
        <v xml:space="preserve"> </v>
      </c>
      <c r="U118" s="64" t="str">
        <f t="shared" ca="1" si="5"/>
        <v xml:space="preserve"> </v>
      </c>
      <c r="V118" s="150" t="str">
        <f t="shared" ca="1" si="8"/>
        <v xml:space="preserve"> </v>
      </c>
      <c r="W118" s="62" t="str">
        <f t="shared" ca="1" si="9"/>
        <v xml:space="preserve"> </v>
      </c>
      <c r="X118" s="141" t="str">
        <f ca="1">IF(S118=" "," ",IFERROR(VLOOKUP(U118,$F$23:$N$1023,7)+VLOOKUP(U118,$F$23:$N$1023,9)+IF(AND('депозитный калькулятор'!$G$13="нет",U118&lt;&gt;'депозитный калькулятор'!$D$8),VLOOKUP(U118,$F$23:$N$1023,4),0),0)+IF(U118='депозитный калькулятор'!$D$8,VLOOKUP(U118,$F$23:$N$1023,2)+VLOOKUP(U118,$F$23:$N$1023,4),0))</f>
        <v xml:space="preserve"> </v>
      </c>
      <c r="Y118" s="142" t="str">
        <f ca="1">IF(S118=" "," ",W118/(1+'депозитный калькулятор'!$K$8)^(T118/IF('депозитный калькулятор'!$G$7="30/360",360,365)))</f>
        <v xml:space="preserve"> </v>
      </c>
      <c r="Z118" s="142" t="str">
        <f ca="1">IF(S118=" "," ",X118/(1+'депозитный калькулятор'!$K$8)^(T118/IF('депозитный калькулятор'!$G$7="30/360",360,365)))</f>
        <v xml:space="preserve"> </v>
      </c>
      <c r="AA118" s="151"/>
      <c r="AB118" s="151"/>
      <c r="AC118" s="155"/>
      <c r="AD118" s="155"/>
    </row>
    <row r="119" spans="1:30" s="2" customFormat="1" ht="15.5" x14ac:dyDescent="0.35">
      <c r="A119" s="41" t="str">
        <f>IF(F119=" "," ",IF(OR('депозитный калькулятор'!$G$7="30/365",'депозитный калькулятор'!$G$7="30/360"),IF(AND(MONTH(F119)=2,DAY(F119)=DAY(EOMONTH(F119,0))),30-DAY(EOMONTH(F119,0)),IF(DAY(F119)=31,1," "))," "))</f>
        <v xml:space="preserve"> </v>
      </c>
      <c r="B119" s="130" t="str">
        <f t="shared" si="6"/>
        <v xml:space="preserve"> </v>
      </c>
      <c r="C119" s="130" t="str">
        <f>IF(OR(B119=0,B119=" ")," ",SUM($B$23:B119))</f>
        <v xml:space="preserve"> </v>
      </c>
      <c r="D119" s="62" t="str">
        <f>IF(D118=" "," ",IF(OR(F118='депозитный калькулятор'!$D$8,F118=" ")," ",D118+1))</f>
        <v xml:space="preserve"> </v>
      </c>
      <c r="E119" s="130" t="str">
        <f>IF(OR(F118='депозитный калькулятор'!$D$8,F118=" ")," ",IF(EOMONTH(F118,0)=F118,1,E118+1))</f>
        <v xml:space="preserve"> </v>
      </c>
      <c r="F119" s="64" t="str">
        <f>IF(F118=" "," ",IF(F118='депозитный калькулятор'!$D$8," ",F118+1))</f>
        <v xml:space="preserve"> </v>
      </c>
      <c r="G119" s="145" t="str">
        <f xml:space="preserve"> IF(F119&gt;'депозитный калькулятор'!$D$8," ",IF('депозитный калькулятор'!$G$13="есть",IF('депозитный калькулятор'!$G$14="есть",G118+IF(I118=" ",0,I118)-J119-K119+L119+M119-N119,G118+IF(I118=" ",0,I118)-J119-K119+M119-N119),IF('депозитный калькулятор'!$G$14="есть",G118-J119-K119+L119+M119-N119,G118-J119-K119+M119-N119)))</f>
        <v xml:space="preserve"> </v>
      </c>
      <c r="H119" s="133" t="str">
        <f>IF(F119&gt;'депозитный калькулятор'!$D$8," ",IF(AND(OR('депозитный калькулятор'!$G$7="30/365",'депозитный калькулятор'!$G$7="30/360"),AND(MONTH(F119)=2,EOMONTH(F119,0)=F119)),IF(DAY(F119)=28,3*G119*'депозитный калькулятор'!$G$8,2*G119*'депозитный калькулятор'!$G$8),IF(AND(OR('депозитный калькулятор'!$G$7="30/365",'депозитный калькулятор'!$G$7="30/360"),DAY(F119)=31)," ",IF(AND('депозитный калькулятор'!$G$7="факт/факт",MOD(YEAR(F119),4)=0),G119*'депозитный калькулятор'!$D$11/366,G119*'депозитный калькулятор'!$G$8))))</f>
        <v xml:space="preserve"> </v>
      </c>
      <c r="I119" s="134" t="str">
        <f ca="1">IF(F119=" "," ",IF('депозитный калькулятор'!$G$10="ежедневное",H119,IF(AND('депозитный калькулятор'!$G$10="еженедельное",WEEKDAY(F119,2)=7),SUM(OFFSET(H119,-6,0):H119),IF(AND('депозитный калькулятор'!$G$10="еженедельное",F119='депозитный калькулятор'!$D$8),SUM($H$23:H119)-SUM($I$23:I118),IF(AND('депозитный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недели",WEEKDAY(F119,2)=7),MIN(OFFSET(H119,-6,0):H119)*(COUNTIF(OFFSET(H119,-6,0):H119,"&gt;0")+SUMIF(OFFSET(A119,-WEEKDAY(F119,2),0):A119,"=2",OFFSET(A119,-WEEKDAY(F119,2),0):A119)),IF(AND('депозитный калькулятор'!$G$10="еженедельное, на минимальную сумму зафиксированную в течение недели",F119='депозитный калькулятор'!$D$8,WEEKDAY(F119,2)&lt;&gt;7),MIN(OFFSET(H119,-WEEKDAY(F119,2),0):H119)*(COUNTIF(OFFSET(H119,-WEEKDAY(F119,2)+1,0):H119,"&gt;0")+SUM(OFFSET(A119,-WEEKDAY(F119,2),0):A119)),IF(AND('депозитный калькулятор'!$G$10="ежемесячное (в конце месяца)",F119='депозитный калькулятор'!$D$8,EOMONTH(F119,0)&lt;&gt;F119),IF('депозитный калькулятор'!$F$1=1,$H$24,SUM($H$23:H119)-SUM($I$23:I118)),IF(AND('депозитный калькулятор'!$G$10="ежемесячное (в конце месяца)",EOMONTH(F119,0)=F119),SUM($H$23:H119)-SUM($I$23:I118),IF(AND('депозитный калькулятор'!$G$10="ежемесячное (по дням открытия вклада)",F119='депозитный калькулятор'!$D$8,DAY('депозитный калькулятор'!$D$7)&lt;&gt;DAY(F119)),IF('депозитный калькулятор'!$F$1=1,$H$24,SUM($H$23:H119)-SUM($I$23:I118)),IF(AND('депозитный калькулятор'!$G$10="ежемесячное (по дням открытия вклада)",DAY('депозитный калькулятор'!$D$7)=DAY(F119)),SUM($H$23:H119)-SUM($I$23:I118),IF(AND('депозитный калькулятор'!$G$10="ежемесячное, на минимальную сумму зафиксированную в течение месяца",F119='депозитный калькулятор'!$D$8,EOMONTH(F119,0)&lt;&gt;F119),IF('депозитный калькулятор'!$F$1=1,$H$24,IF(AND(OR('депозитный калькулятор'!$G$7="30/365",'депозитный калькулятор'!$G$7="30/360"),DAY(F119)=31),0,MIN(OFFSET(H119,-E119+1,0):H119)*(E119+SUMIF(OFFSET(A119,-E119+1,0):A119,"=2",OFFSET(A119,-E119+1,0):A119)))),IF(AND('депозитный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калькулятор'!$G$7="30/360"),DAY(EOMONTH(F119,0))=31),EOMONTH(F119,0)-1=F119,EOMONTH(F119,0)=F119)),IF(IF(AND(OR('депозитный калькулятор'!$G$7="30/365",'депозитный калькулятор'!$G$7="30/360"),DAY(EOMONTH($F$23,0))=31),F119=EOMONTH($F$23,0)-1,F119=EOMONTH($F$23,0)),MIN(OFFSET(H119,-(DAY(F119)-DAY($F$23)),0):H119)*E119,MIN(OFFSET(H119,-(DAY(F119)-1),0):H119)*IF(AND(OR('депозитный калькулятор'!$G$7="30/365",'депозитный калькулятор'!$G$7="30/360"),DAY(F119)&lt;30),30,DAY(F119))),IF(AND('депозитный калькулятор'!$G$10="ежемесячное, на средний остаток в течение месяца, при условии что остаток больше чем ограничение",F119='депозитный калькулятор'!$D$8,EOMONTH(F119,0)&lt;&gt;F119),IF('депозитный калькулятор'!$F$1=1,$H$24,SUM(OFFSET(Q119,-E119+1,0):Q119)),IF(AND('депозитный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калькулятор'!$G$7="30/360"),DAY(EOMONTH(F119,0))=31),EOMONTH(F119,0)-1=F119,EOMONTH(F119,0)=F119)),IF(IF(AND(OR('депозитный калькулятор'!$G$7="30/365",'депозитный калькулятор'!$G$7="30/360"),DAY(EOMONTH($F$24,0))=31),F119=EOMONTH($F$24,0)-1,F119=EOMONTH($F$24,0)),SUM(OFFSET(Q119,-E119+1,0):Q119),SUM(OFFSET(Q119,-E119+1,0):Q119)),IF('депозитный калькулятор'!$G$10="ежеквартальное",IF(F119&gt;'депозитный калькулятор'!$D$8," ",IF(AND(EOMONTH(F119,0)=F119,OR(MONTH(F119)=3,MONTH(F119)=6,MONTH(F119)=9,MONTH(F119)=12)),IF(EDATE(F119,-3)&lt;'депозитный калькулятор'!$D$7,SUM($H$23:H119),IF(MOD(YEAR(F119),4)=0,IF(AND(EOMONTH(F119,0)=F119,OR(MONTH(F119)=3,MONTH(F119)=6)),SUM(OFFSET(H119,-90,0):H119),IF(AND(EOMONTH(F119,0)=F119,OR(MONTH(F119)=9,MONTH(F119)=12)),SUM(OFFSET(H119,-91,0):H119))),IF(AND(EOMONTH(F119,0)=F119,MONTH(F119)=3),SUM(OFFSET(H119,-89,0):H119),IF(AND(EOMONTH(F119,0)=F119,MONTH(F119)=6),SUM(OFFSET(H119,-90,0):H119),IF(AND(EOMONTH(F119,0)=F119,OR(MONTH(F119)=9,MONTH(F119)=12)),SUM(OFFSET(H119,-91,0):H119)))))),IF(F119='депозитный калькулятор'!$D$8,SUM($H$23:H119)-SUM($I$23:I118),0))),IF('депозитный калькулятор'!$G$10="ежегодное",IF(F119&gt;'депозитный калькулятор'!$D$8," ",IF(F119='депозитный калькулятор'!$D$8,SUM($H$23:H119)-SUM($I$23:I118),IF(AND(EOMONTH(F119,0)=F119,MONTH(F119)=12),IF(MOD(YEAR(F118),4)=0,IF(F119-'депозитный калькулятор'!$D$7&lt;366,SUM($H$23:H119),SUM(OFFSET(H119,-365,0):H119)),IF(F119-'депозитный калькулятор'!$D$7&lt;365,SUM($H$23:H119),SUM(OFFSET(H119,-364,0):H119))),0))),IF(AND('депозитный калькулятор'!$G$10="в конце срока",'депозитный калькулятор'!$D$8=F119),SUM($H$23:H119),0))))))))))))))))))</f>
        <v xml:space="preserve"> </v>
      </c>
      <c r="J119" s="59" t="str">
        <f>IF(F119&gt;'депозитный калькулятор'!$D$8," ",IF('депозитный калькулятор'!$G$16="нет",0,IF(AND('депозитный калькулятор'!$G$17="разовая (в конце срока)",F119='депозитный калькулятор'!$D$8),'депозитный калькулятор'!$G$18,IF(AND('депозитный калькулятор'!$G$17="ежемесячная",EOMONTH(F118,0)=F118),'депозитный калькулятор'!$G$18,IF(AND('депозитный калькулятор'!$G$17="ежегодная",DAY(F118)=31,MONTH(F118)=12),'депозитный калькулятор'!$G$18,IF(AND('депозитный калькулятор'!$G$17="ежемесячная в зависимости от остатка",EOMONTH(F118,0)=F118,P118&gt;0),'депозитный калькулятор'!$G$18,IF(AND('депозитный калькулятор'!$G$17="ежегодная в зависимости от остатка",DAY(F118)=31,MONTH(F118)=12,P118&gt;0),'депозитный калькулятор'!$G$18,0)))))))</f>
        <v xml:space="preserve"> </v>
      </c>
      <c r="K119" s="135" t="str">
        <f>IF($F119=" "," ",IFERROR(VLOOKUP($F119,'депозитный калькулятор'!$B$26:$F$70,2,0),0))</f>
        <v xml:space="preserve"> </v>
      </c>
      <c r="L119" s="135" t="str">
        <f>IF($F119=" "," ",IFERROR(VLOOKUP($F119,'депозитный калькулятор'!$B$26:$F$70,3,0),0))</f>
        <v xml:space="preserve"> </v>
      </c>
      <c r="M119" s="135" t="str">
        <f>IF($F119=" "," ",IFERROR(VLOOKUP($F119,'депозитный калькулятор'!$B$26:$F$70,4,0),0))</f>
        <v xml:space="preserve"> </v>
      </c>
      <c r="N119" s="135" t="str">
        <f>IF($F119=" "," ",IFERROR(VLOOKUP($F119,'депозитный калькулятор'!$B$26:$F$70,5,0),0))</f>
        <v xml:space="preserve"> </v>
      </c>
      <c r="O119" s="146" t="str">
        <f>IF(F119&gt;'депозитный калькулятор'!$D$8," ",IF(F119='депозитный калькулятор'!$D$8,IF(AND($F$24='депозитный калькулятор'!$D$8,'депозитный калькулятор'!$G$13="нет"),-G119-IF(I119=" ",0,I119)-IF(AND(OR('депозитный калькулятор'!$G$7="30/365",'депозитный калькулятор'!$G$7="30/360"),'депозитный калькулятор'!$G$10="в начале срока"),I118,0)-L119+M119-N119,-G119-IF(I119=" ",0,I119)-L119+M119-N119),IF('депозитный калькулятор'!$G$13="есть",M119-N119+IF('депозитный калькулятор'!$G$14="есть",0,-L119),-IF(I119=" ",0,I119)-IF(AND(OR('депозитный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срока"),I118,0)+M119-N119+IF('депозитный калькулятор'!$G$14="есть",0,-L119))))</f>
        <v xml:space="preserve"> </v>
      </c>
      <c r="P119" s="147" t="str">
        <f>IF(F119&gt;'депозитный калькулятор'!$D$8," ",IF(EOMONTH(F118,0)=F118,0,IF(G119&gt;='депозитный калькулятор'!$G$19,P118,P118+1)))</f>
        <v xml:space="preserve"> </v>
      </c>
      <c r="Q119" s="138" t="str">
        <f>IF(F119=" "," ",IF(AND(OR('депозитный калькулятор'!$G$7="30/365",'депозитный калькулятор'!$G$7="30/360"),AND(MONTH(F119)=2,EOMONTH(F119,0)=F119)),IF(DAY(F119)=28,3,2),1)*IF(G119&gt;='депозитный калькулятор'!$G$11,IF(AND('депозитный калькулятор'!$G$7="факт/факт",MOD(YEAR(F119),4)=0),G119*'депозитный калькулятор'!$D$11/366,G119*'депозитный калькулятор'!$G$8),0))</f>
        <v xml:space="preserve"> </v>
      </c>
      <c r="R119" s="148"/>
      <c r="S119" s="62" t="str">
        <f t="shared" ca="1" si="7"/>
        <v xml:space="preserve"> </v>
      </c>
      <c r="T119" s="149" t="str">
        <f ca="1">IF(S119=" "," ",IF('депозитный калькулятор'!$G$7="30/360",DAYS360(U118,IF(DAY(U119)=31,U119-1,U119))+IF(AND(MONTH(U119)=2,U119=EOMONTH(U119,0)),30-DAY(EOMONTH(U119,0)))+T118,VLOOKUP(S119,$C$22:$F$1023,2,0)))</f>
        <v xml:space="preserve"> </v>
      </c>
      <c r="U119" s="64" t="str">
        <f t="shared" ca="1" si="5"/>
        <v xml:space="preserve"> </v>
      </c>
      <c r="V119" s="150" t="str">
        <f t="shared" ca="1" si="8"/>
        <v xml:space="preserve"> </v>
      </c>
      <c r="W119" s="62" t="str">
        <f t="shared" ca="1" si="9"/>
        <v xml:space="preserve"> </v>
      </c>
      <c r="X119" s="141" t="str">
        <f ca="1">IF(S119=" "," ",IFERROR(VLOOKUP(U119,$F$23:$N$1023,7)+VLOOKUP(U119,$F$23:$N$1023,9)+IF(AND('депозитный калькулятор'!$G$13="нет",U119&lt;&gt;'депозитный калькулятор'!$D$8),VLOOKUP(U119,$F$23:$N$1023,4),0),0)+IF(U119='депозитный калькулятор'!$D$8,VLOOKUP(U119,$F$23:$N$1023,2)+VLOOKUP(U119,$F$23:$N$1023,4),0))</f>
        <v xml:space="preserve"> </v>
      </c>
      <c r="Y119" s="142" t="str">
        <f ca="1">IF(S119=" "," ",W119/(1+'депозитный калькулятор'!$K$8)^(T119/IF('депозитный калькулятор'!$G$7="30/360",360,365)))</f>
        <v xml:space="preserve"> </v>
      </c>
      <c r="Z119" s="142" t="str">
        <f ca="1">IF(S119=" "," ",X119/(1+'депозитный калькулятор'!$K$8)^(T119/IF('депозитный калькулятор'!$G$7="30/360",360,365)))</f>
        <v xml:space="preserve"> </v>
      </c>
      <c r="AA119" s="151"/>
      <c r="AB119" s="151"/>
      <c r="AC119" s="155"/>
      <c r="AD119" s="155"/>
    </row>
    <row r="120" spans="1:30" s="2" customFormat="1" ht="15.5" x14ac:dyDescent="0.35">
      <c r="A120" s="41" t="str">
        <f>IF(F120=" "," ",IF(OR('депозитный калькулятор'!$G$7="30/365",'депозитный калькулятор'!$G$7="30/360"),IF(AND(MONTH(F120)=2,DAY(F120)=DAY(EOMONTH(F120,0))),30-DAY(EOMONTH(F120,0)),IF(DAY(F120)=31,1," "))," "))</f>
        <v xml:space="preserve"> </v>
      </c>
      <c r="B120" s="130" t="str">
        <f t="shared" si="6"/>
        <v xml:space="preserve"> </v>
      </c>
      <c r="C120" s="130" t="str">
        <f>IF(OR(B120=0,B120=" ")," ",SUM($B$23:B120))</f>
        <v xml:space="preserve"> </v>
      </c>
      <c r="D120" s="62" t="str">
        <f>IF(D119=" "," ",IF(OR(F119='депозитный калькулятор'!$D$8,F119=" ")," ",D119+1))</f>
        <v xml:space="preserve"> </v>
      </c>
      <c r="E120" s="130" t="str">
        <f>IF(OR(F119='депозитный калькулятор'!$D$8,F119=" ")," ",IF(EOMONTH(F119,0)=F119,1,E119+1))</f>
        <v xml:space="preserve"> </v>
      </c>
      <c r="F120" s="64" t="str">
        <f>IF(F119=" "," ",IF(F119='депозитный калькулятор'!$D$8," ",F119+1))</f>
        <v xml:space="preserve"> </v>
      </c>
      <c r="G120" s="145" t="str">
        <f xml:space="preserve"> IF(F120&gt;'депозитный калькулятор'!$D$8," ",IF('депозитный калькулятор'!$G$13="есть",IF('депозитный калькулятор'!$G$14="есть",G119+IF(I119=" ",0,I119)-J120-K120+L120+M120-N120,G119+IF(I119=" ",0,I119)-J120-K120+M120-N120),IF('депозитный калькулятор'!$G$14="есть",G119-J120-K120+L120+M120-N120,G119-J120-K120+M120-N120)))</f>
        <v xml:space="preserve"> </v>
      </c>
      <c r="H120" s="133" t="str">
        <f>IF(F120&gt;'депозитный калькулятор'!$D$8," ",IF(AND(OR('депозитный калькулятор'!$G$7="30/365",'депозитный калькулятор'!$G$7="30/360"),AND(MONTH(F120)=2,EOMONTH(F120,0)=F120)),IF(DAY(F120)=28,3*G120*'депозитный калькулятор'!$G$8,2*G120*'депозитный калькулятор'!$G$8),IF(AND(OR('депозитный калькулятор'!$G$7="30/365",'депозитный калькулятор'!$G$7="30/360"),DAY(F120)=31)," ",IF(AND('депозитный калькулятор'!$G$7="факт/факт",MOD(YEAR(F120),4)=0),G120*'депозитный калькулятор'!$D$11/366,G120*'депозитный калькулятор'!$G$8))))</f>
        <v xml:space="preserve"> </v>
      </c>
      <c r="I120" s="134" t="str">
        <f ca="1">IF(F120=" "," ",IF('депозитный калькулятор'!$G$10="ежедневное",H120,IF(AND('депозитный калькулятор'!$G$10="еженедельное",WEEKDAY(F120,2)=7),SUM(OFFSET(H120,-6,0):H120),IF(AND('депозитный калькулятор'!$G$10="еженедельное",F120='депозитный калькулятор'!$D$8),SUM($H$23:H120)-SUM($I$23:I119),IF(AND('депозитный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недели",WEEKDAY(F120,2)=7),MIN(OFFSET(H120,-6,0):H120)*(COUNTIF(OFFSET(H120,-6,0):H120,"&gt;0")+SUMIF(OFFSET(A120,-WEEKDAY(F120,2),0):A120,"=2",OFFSET(A120,-WEEKDAY(F120,2),0):A120)),IF(AND('депозитный калькулятор'!$G$10="еженедельное, на минимальную сумму зафиксированную в течение недели",F120='депозитный калькулятор'!$D$8,WEEKDAY(F120,2)&lt;&gt;7),MIN(OFFSET(H120,-WEEKDAY(F120,2),0):H120)*(COUNTIF(OFFSET(H120,-WEEKDAY(F120,2)+1,0):H120,"&gt;0")+SUM(OFFSET(A120,-WEEKDAY(F120,2),0):A120)),IF(AND('депозитный калькулятор'!$G$10="ежемесячное (в конце месяца)",F120='депозитный калькулятор'!$D$8,EOMONTH(F120,0)&lt;&gt;F120),IF('депозитный калькулятор'!$F$1=1,$H$24,SUM($H$23:H120)-SUM($I$23:I119)),IF(AND('депозитный калькулятор'!$G$10="ежемесячное (в конце месяца)",EOMONTH(F120,0)=F120),SUM($H$23:H120)-SUM($I$23:I119),IF(AND('депозитный калькулятор'!$G$10="ежемесячное (по дням открытия вклада)",F120='депозитный калькулятор'!$D$8,DAY('депозитный калькулятор'!$D$7)&lt;&gt;DAY(F120)),IF('депозитный калькулятор'!$F$1=1,$H$24,SUM($H$23:H120)-SUM($I$23:I119)),IF(AND('депозитный калькулятор'!$G$10="ежемесячное (по дням открытия вклада)",DAY('депозитный калькулятор'!$D$7)=DAY(F120)),SUM($H$23:H120)-SUM($I$23:I119),IF(AND('депозитный калькулятор'!$G$10="ежемесячное, на минимальную сумму зафиксированную в течение месяца",F120='депозитный калькулятор'!$D$8,EOMONTH(F120,0)&lt;&gt;F120),IF('депозитный калькулятор'!$F$1=1,$H$24,IF(AND(OR('депозитный калькулятор'!$G$7="30/365",'депозитный калькулятор'!$G$7="30/360"),DAY(F120)=31),0,MIN(OFFSET(H120,-E120+1,0):H120)*(E120+SUMIF(OFFSET(A120,-E120+1,0):A120,"=2",OFFSET(A120,-E120+1,0):A120)))),IF(AND('депозитный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калькулятор'!$G$7="30/360"),DAY(EOMONTH(F120,0))=31),EOMONTH(F120,0)-1=F120,EOMONTH(F120,0)=F120)),IF(IF(AND(OR('депозитный калькулятор'!$G$7="30/365",'депозитный калькулятор'!$G$7="30/360"),DAY(EOMONTH($F$23,0))=31),F120=EOMONTH($F$23,0)-1,F120=EOMONTH($F$23,0)),MIN(OFFSET(H120,-(DAY(F120)-DAY($F$23)),0):H120)*E120,MIN(OFFSET(H120,-(DAY(F120)-1),0):H120)*IF(AND(OR('депозитный калькулятор'!$G$7="30/365",'депозитный калькулятор'!$G$7="30/360"),DAY(F120)&lt;30),30,DAY(F120))),IF(AND('депозитный калькулятор'!$G$10="ежемесячное, на средний остаток в течение месяца, при условии что остаток больше чем ограничение",F120='депозитный калькулятор'!$D$8,EOMONTH(F120,0)&lt;&gt;F120),IF('депозитный калькулятор'!$F$1=1,$H$24,SUM(OFFSET(Q120,-E120+1,0):Q120)),IF(AND('депозитный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калькулятор'!$G$7="30/360"),DAY(EOMONTH(F120,0))=31),EOMONTH(F120,0)-1=F120,EOMONTH(F120,0)=F120)),IF(IF(AND(OR('депозитный калькулятор'!$G$7="30/365",'депозитный калькулятор'!$G$7="30/360"),DAY(EOMONTH($F$24,0))=31),F120=EOMONTH($F$24,0)-1,F120=EOMONTH($F$24,0)),SUM(OFFSET(Q120,-E120+1,0):Q120),SUM(OFFSET(Q120,-E120+1,0):Q120)),IF('депозитный калькулятор'!$G$10="ежеквартальное",IF(F120&gt;'депозитный калькулятор'!$D$8," ",IF(AND(EOMONTH(F120,0)=F120,OR(MONTH(F120)=3,MONTH(F120)=6,MONTH(F120)=9,MONTH(F120)=12)),IF(EDATE(F120,-3)&lt;'депозитный калькулятор'!$D$7,SUM($H$23:H120),IF(MOD(YEAR(F120),4)=0,IF(AND(EOMONTH(F120,0)=F120,OR(MONTH(F120)=3,MONTH(F120)=6)),SUM(OFFSET(H120,-90,0):H120),IF(AND(EOMONTH(F120,0)=F120,OR(MONTH(F120)=9,MONTH(F120)=12)),SUM(OFFSET(H120,-91,0):H120))),IF(AND(EOMONTH(F120,0)=F120,MONTH(F120)=3),SUM(OFFSET(H120,-89,0):H120),IF(AND(EOMONTH(F120,0)=F120,MONTH(F120)=6),SUM(OFFSET(H120,-90,0):H120),IF(AND(EOMONTH(F120,0)=F120,OR(MONTH(F120)=9,MONTH(F120)=12)),SUM(OFFSET(H120,-91,0):H120)))))),IF(F120='депозитный калькулятор'!$D$8,SUM($H$23:H120)-SUM($I$23:I119),0))),IF('депозитный калькулятор'!$G$10="ежегодное",IF(F120&gt;'депозитный калькулятор'!$D$8," ",IF(F120='депозитный калькулятор'!$D$8,SUM($H$23:H120)-SUM($I$23:I119),IF(AND(EOMONTH(F120,0)=F120,MONTH(F120)=12),IF(MOD(YEAR(F119),4)=0,IF(F120-'депозитный калькулятор'!$D$7&lt;366,SUM($H$23:H120),SUM(OFFSET(H120,-365,0):H120)),IF(F120-'депозитный калькулятор'!$D$7&lt;365,SUM($H$23:H120),SUM(OFFSET(H120,-364,0):H120))),0))),IF(AND('депозитный калькулятор'!$G$10="в конце срока",'депозитный калькулятор'!$D$8=F120),SUM($H$23:H120),0))))))))))))))))))</f>
        <v xml:space="preserve"> </v>
      </c>
      <c r="J120" s="59" t="str">
        <f>IF(F120&gt;'депозитный калькулятор'!$D$8," ",IF('депозитный калькулятор'!$G$16="нет",0,IF(AND('депозитный калькулятор'!$G$17="разовая (в конце срока)",F120='депозитный калькулятор'!$D$8),'депозитный калькулятор'!$G$18,IF(AND('депозитный калькулятор'!$G$17="ежемесячная",EOMONTH(F119,0)=F119),'депозитный калькулятор'!$G$18,IF(AND('депозитный калькулятор'!$G$17="ежегодная",DAY(F119)=31,MONTH(F119)=12),'депозитный калькулятор'!$G$18,IF(AND('депозитный калькулятор'!$G$17="ежемесячная в зависимости от остатка",EOMONTH(F119,0)=F119,P119&gt;0),'депозитный калькулятор'!$G$18,IF(AND('депозитный калькулятор'!$G$17="ежегодная в зависимости от остатка",DAY(F119)=31,MONTH(F119)=12,P119&gt;0),'депозитный калькулятор'!$G$18,0)))))))</f>
        <v xml:space="preserve"> </v>
      </c>
      <c r="K120" s="135" t="str">
        <f>IF($F120=" "," ",IFERROR(VLOOKUP($F120,'депозитный калькулятор'!$B$26:$F$70,2,0),0))</f>
        <v xml:space="preserve"> </v>
      </c>
      <c r="L120" s="135" t="str">
        <f>IF($F120=" "," ",IFERROR(VLOOKUP($F120,'депозитный калькулятор'!$B$26:$F$70,3,0),0))</f>
        <v xml:space="preserve"> </v>
      </c>
      <c r="M120" s="135" t="str">
        <f>IF($F120=" "," ",IFERROR(VLOOKUP($F120,'депозитный калькулятор'!$B$26:$F$70,4,0),0))</f>
        <v xml:space="preserve"> </v>
      </c>
      <c r="N120" s="135" t="str">
        <f>IF($F120=" "," ",IFERROR(VLOOKUP($F120,'депозитный калькулятор'!$B$26:$F$70,5,0),0))</f>
        <v xml:space="preserve"> </v>
      </c>
      <c r="O120" s="146" t="str">
        <f>IF(F120&gt;'депозитный калькулятор'!$D$8," ",IF(F120='депозитный калькулятор'!$D$8,IF(AND($F$24='депозитный калькулятор'!$D$8,'депозитный калькулятор'!$G$13="нет"),-G120-IF(I120=" ",0,I120)-IF(AND(OR('депозитный калькулятор'!$G$7="30/365",'депозитный калькулятор'!$G$7="30/360"),'депозитный калькулятор'!$G$10="в начале срока"),I119,0)-L120+M120-N120,-G120-IF(I120=" ",0,I120)-L120+M120-N120),IF('депозитный калькулятор'!$G$13="есть",M120-N120+IF('депозитный калькулятор'!$G$14="есть",0,-L120),-IF(I120=" ",0,I120)-IF(AND(OR('депозитный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срока"),I119,0)+M120-N120+IF('депозитный калькулятор'!$G$14="есть",0,-L120))))</f>
        <v xml:space="preserve"> </v>
      </c>
      <c r="P120" s="147" t="str">
        <f>IF(F120&gt;'депозитный калькулятор'!$D$8," ",IF(EOMONTH(F119,0)=F119,0,IF(G120&gt;='депозитный калькулятор'!$G$19,P119,P119+1)))</f>
        <v xml:space="preserve"> </v>
      </c>
      <c r="Q120" s="138" t="str">
        <f>IF(F120=" "," ",IF(AND(OR('депозитный калькулятор'!$G$7="30/365",'депозитный калькулятор'!$G$7="30/360"),AND(MONTH(F120)=2,EOMONTH(F120,0)=F120)),IF(DAY(F120)=28,3,2),1)*IF(G120&gt;='депозитный калькулятор'!$G$11,IF(AND('депозитный калькулятор'!$G$7="факт/факт",MOD(YEAR(F120),4)=0),G120*'депозитный калькулятор'!$D$11/366,G120*'депозитный калькулятор'!$G$8),0))</f>
        <v xml:space="preserve"> </v>
      </c>
      <c r="R120" s="148"/>
      <c r="S120" s="62" t="str">
        <f t="shared" ca="1" si="7"/>
        <v xml:space="preserve"> </v>
      </c>
      <c r="T120" s="149" t="str">
        <f ca="1">IF(S120=" "," ",IF('депозитный калькулятор'!$G$7="30/360",DAYS360(U119,IF(DAY(U120)=31,U120-1,U120))+IF(AND(MONTH(U120)=2,U120=EOMONTH(U120,0)),30-DAY(EOMONTH(U120,0)))+T119,VLOOKUP(S120,$C$22:$F$1023,2,0)))</f>
        <v xml:space="preserve"> </v>
      </c>
      <c r="U120" s="64" t="str">
        <f t="shared" ca="1" si="5"/>
        <v xml:space="preserve"> </v>
      </c>
      <c r="V120" s="150" t="str">
        <f t="shared" ca="1" si="8"/>
        <v xml:space="preserve"> </v>
      </c>
      <c r="W120" s="62" t="str">
        <f t="shared" ca="1" si="9"/>
        <v xml:space="preserve"> </v>
      </c>
      <c r="X120" s="141" t="str">
        <f ca="1">IF(S120=" "," ",IFERROR(VLOOKUP(U120,$F$23:$N$1023,7)+VLOOKUP(U120,$F$23:$N$1023,9)+IF(AND('депозитный калькулятор'!$G$13="нет",U120&lt;&gt;'депозитный калькулятор'!$D$8),VLOOKUP(U120,$F$23:$N$1023,4),0),0)+IF(U120='депозитный калькулятор'!$D$8,VLOOKUP(U120,$F$23:$N$1023,2)+VLOOKUP(U120,$F$23:$N$1023,4),0))</f>
        <v xml:space="preserve"> </v>
      </c>
      <c r="Y120" s="142" t="str">
        <f ca="1">IF(S120=" "," ",W120/(1+'депозитный калькулятор'!$K$8)^(T120/IF('депозитный калькулятор'!$G$7="30/360",360,365)))</f>
        <v xml:space="preserve"> </v>
      </c>
      <c r="Z120" s="142" t="str">
        <f ca="1">IF(S120=" "," ",X120/(1+'депозитный калькулятор'!$K$8)^(T120/IF('депозитный калькулятор'!$G$7="30/360",360,365)))</f>
        <v xml:space="preserve"> </v>
      </c>
      <c r="AA120" s="151"/>
      <c r="AB120" s="151"/>
      <c r="AC120" s="155"/>
      <c r="AD120" s="155"/>
    </row>
    <row r="121" spans="1:30" s="2" customFormat="1" ht="15.5" x14ac:dyDescent="0.35">
      <c r="A121" s="41" t="str">
        <f>IF(F121=" "," ",IF(OR('депозитный калькулятор'!$G$7="30/365",'депозитный калькулятор'!$G$7="30/360"),IF(AND(MONTH(F121)=2,DAY(F121)=DAY(EOMONTH(F121,0))),30-DAY(EOMONTH(F121,0)),IF(DAY(F121)=31,1," "))," "))</f>
        <v xml:space="preserve"> </v>
      </c>
      <c r="B121" s="130" t="str">
        <f t="shared" si="6"/>
        <v xml:space="preserve"> </v>
      </c>
      <c r="C121" s="130" t="str">
        <f>IF(OR(B121=0,B121=" ")," ",SUM($B$23:B121))</f>
        <v xml:space="preserve"> </v>
      </c>
      <c r="D121" s="62" t="str">
        <f>IF(D120=" "," ",IF(OR(F120='депозитный калькулятор'!$D$8,F120=" ")," ",D120+1))</f>
        <v xml:space="preserve"> </v>
      </c>
      <c r="E121" s="130" t="str">
        <f>IF(OR(F120='депозитный калькулятор'!$D$8,F120=" ")," ",IF(EOMONTH(F120,0)=F120,1,E120+1))</f>
        <v xml:space="preserve"> </v>
      </c>
      <c r="F121" s="64" t="str">
        <f>IF(F120=" "," ",IF(F120='депозитный калькулятор'!$D$8," ",F120+1))</f>
        <v xml:space="preserve"> </v>
      </c>
      <c r="G121" s="145" t="str">
        <f xml:space="preserve"> IF(F121&gt;'депозитный калькулятор'!$D$8," ",IF('депозитный калькулятор'!$G$13="есть",IF('депозитный калькулятор'!$G$14="есть",G120+IF(I120=" ",0,I120)-J121-K121+L121+M121-N121,G120+IF(I120=" ",0,I120)-J121-K121+M121-N121),IF('депозитный калькулятор'!$G$14="есть",G120-J121-K121+L121+M121-N121,G120-J121-K121+M121-N121)))</f>
        <v xml:space="preserve"> </v>
      </c>
      <c r="H121" s="133" t="str">
        <f>IF(F121&gt;'депозитный калькулятор'!$D$8," ",IF(AND(OR('депозитный калькулятор'!$G$7="30/365",'депозитный калькулятор'!$G$7="30/360"),AND(MONTH(F121)=2,EOMONTH(F121,0)=F121)),IF(DAY(F121)=28,3*G121*'депозитный калькулятор'!$G$8,2*G121*'депозитный калькулятор'!$G$8),IF(AND(OR('депозитный калькулятор'!$G$7="30/365",'депозитный калькулятор'!$G$7="30/360"),DAY(F121)=31)," ",IF(AND('депозитный калькулятор'!$G$7="факт/факт",MOD(YEAR(F121),4)=0),G121*'депозитный калькулятор'!$D$11/366,G121*'депозитный калькулятор'!$G$8))))</f>
        <v xml:space="preserve"> </v>
      </c>
      <c r="I121" s="134" t="str">
        <f ca="1">IF(F121=" "," ",IF('депозитный калькулятор'!$G$10="ежедневное",H121,IF(AND('депозитный калькулятор'!$G$10="еженедельное",WEEKDAY(F121,2)=7),SUM(OFFSET(H121,-6,0):H121),IF(AND('депозитный калькулятор'!$G$10="еженедельное",F121='депозитный калькулятор'!$D$8),SUM($H$23:H121)-SUM($I$23:I120),IF(AND('депозитный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недели",WEEKDAY(F121,2)=7),MIN(OFFSET(H121,-6,0):H121)*(COUNTIF(OFFSET(H121,-6,0):H121,"&gt;0")+SUMIF(OFFSET(A121,-WEEKDAY(F121,2),0):A121,"=2",OFFSET(A121,-WEEKDAY(F121,2),0):A121)),IF(AND('депозитный калькулятор'!$G$10="еженедельное, на минимальную сумму зафиксированную в течение недели",F121='депозитный калькулятор'!$D$8,WEEKDAY(F121,2)&lt;&gt;7),MIN(OFFSET(H121,-WEEKDAY(F121,2),0):H121)*(COUNTIF(OFFSET(H121,-WEEKDAY(F121,2)+1,0):H121,"&gt;0")+SUM(OFFSET(A121,-WEEKDAY(F121,2),0):A121)),IF(AND('депозитный калькулятор'!$G$10="ежемесячное (в конце месяца)",F121='депозитный калькулятор'!$D$8,EOMONTH(F121,0)&lt;&gt;F121),IF('депозитный калькулятор'!$F$1=1,$H$24,SUM($H$23:H121)-SUM($I$23:I120)),IF(AND('депозитный калькулятор'!$G$10="ежемесячное (в конце месяца)",EOMONTH(F121,0)=F121),SUM($H$23:H121)-SUM($I$23:I120),IF(AND('депозитный калькулятор'!$G$10="ежемесячное (по дням открытия вклада)",F121='депозитный калькулятор'!$D$8,DAY('депозитный калькулятор'!$D$7)&lt;&gt;DAY(F121)),IF('депозитный калькулятор'!$F$1=1,$H$24,SUM($H$23:H121)-SUM($I$23:I120)),IF(AND('депозитный калькулятор'!$G$10="ежемесячное (по дням открытия вклада)",DAY('депозитный калькулятор'!$D$7)=DAY(F121)),SUM($H$23:H121)-SUM($I$23:I120),IF(AND('депозитный калькулятор'!$G$10="ежемесячное, на минимальную сумму зафиксированную в течение месяца",F121='депозитный калькулятор'!$D$8,EOMONTH(F121,0)&lt;&gt;F121),IF('депозитный калькулятор'!$F$1=1,$H$24,IF(AND(OR('депозитный калькулятор'!$G$7="30/365",'депозитный калькулятор'!$G$7="30/360"),DAY(F121)=31),0,MIN(OFFSET(H121,-E121+1,0):H121)*(E121+SUMIF(OFFSET(A121,-E121+1,0):A121,"=2",OFFSET(A121,-E121+1,0):A121)))),IF(AND('депозитный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калькулятор'!$G$7="30/360"),DAY(EOMONTH(F121,0))=31),EOMONTH(F121,0)-1=F121,EOMONTH(F121,0)=F121)),IF(IF(AND(OR('депозитный калькулятор'!$G$7="30/365",'депозитный калькулятор'!$G$7="30/360"),DAY(EOMONTH($F$23,0))=31),F121=EOMONTH($F$23,0)-1,F121=EOMONTH($F$23,0)),MIN(OFFSET(H121,-(DAY(F121)-DAY($F$23)),0):H121)*E121,MIN(OFFSET(H121,-(DAY(F121)-1),0):H121)*IF(AND(OR('депозитный калькулятор'!$G$7="30/365",'депозитный калькулятор'!$G$7="30/360"),DAY(F121)&lt;30),30,DAY(F121))),IF(AND('депозитный калькулятор'!$G$10="ежемесячное, на средний остаток в течение месяца, при условии что остаток больше чем ограничение",F121='депозитный калькулятор'!$D$8,EOMONTH(F121,0)&lt;&gt;F121),IF('депозитный калькулятор'!$F$1=1,$H$24,SUM(OFFSET(Q121,-E121+1,0):Q121)),IF(AND('депозитный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калькулятор'!$G$7="30/360"),DAY(EOMONTH(F121,0))=31),EOMONTH(F121,0)-1=F121,EOMONTH(F121,0)=F121)),IF(IF(AND(OR('депозитный калькулятор'!$G$7="30/365",'депозитный калькулятор'!$G$7="30/360"),DAY(EOMONTH($F$24,0))=31),F121=EOMONTH($F$24,0)-1,F121=EOMONTH($F$24,0)),SUM(OFFSET(Q121,-E121+1,0):Q121),SUM(OFFSET(Q121,-E121+1,0):Q121)),IF('депозитный калькулятор'!$G$10="ежеквартальное",IF(F121&gt;'депозитный калькулятор'!$D$8," ",IF(AND(EOMONTH(F121,0)=F121,OR(MONTH(F121)=3,MONTH(F121)=6,MONTH(F121)=9,MONTH(F121)=12)),IF(EDATE(F121,-3)&lt;'депозитный калькулятор'!$D$7,SUM($H$23:H121),IF(MOD(YEAR(F121),4)=0,IF(AND(EOMONTH(F121,0)=F121,OR(MONTH(F121)=3,MONTH(F121)=6)),SUM(OFFSET(H121,-90,0):H121),IF(AND(EOMONTH(F121,0)=F121,OR(MONTH(F121)=9,MONTH(F121)=12)),SUM(OFFSET(H121,-91,0):H121))),IF(AND(EOMONTH(F121,0)=F121,MONTH(F121)=3),SUM(OFFSET(H121,-89,0):H121),IF(AND(EOMONTH(F121,0)=F121,MONTH(F121)=6),SUM(OFFSET(H121,-90,0):H121),IF(AND(EOMONTH(F121,0)=F121,OR(MONTH(F121)=9,MONTH(F121)=12)),SUM(OFFSET(H121,-91,0):H121)))))),IF(F121='депозитный калькулятор'!$D$8,SUM($H$23:H121)-SUM($I$23:I120),0))),IF('депозитный калькулятор'!$G$10="ежегодное",IF(F121&gt;'депозитный калькулятор'!$D$8," ",IF(F121='депозитный калькулятор'!$D$8,SUM($H$23:H121)-SUM($I$23:I120),IF(AND(EOMONTH(F121,0)=F121,MONTH(F121)=12),IF(MOD(YEAR(F120),4)=0,IF(F121-'депозитный калькулятор'!$D$7&lt;366,SUM($H$23:H121),SUM(OFFSET(H121,-365,0):H121)),IF(F121-'депозитный калькулятор'!$D$7&lt;365,SUM($H$23:H121),SUM(OFFSET(H121,-364,0):H121))),0))),IF(AND('депозитный калькулятор'!$G$10="в конце срока",'депозитный калькулятор'!$D$8=F121),SUM($H$23:H121),0))))))))))))))))))</f>
        <v xml:space="preserve"> </v>
      </c>
      <c r="J121" s="59" t="str">
        <f>IF(F121&gt;'депозитный калькулятор'!$D$8," ",IF('депозитный калькулятор'!$G$16="нет",0,IF(AND('депозитный калькулятор'!$G$17="разовая (в конце срока)",F121='депозитный калькулятор'!$D$8),'депозитный калькулятор'!$G$18,IF(AND('депозитный калькулятор'!$G$17="ежемесячная",EOMONTH(F120,0)=F120),'депозитный калькулятор'!$G$18,IF(AND('депозитный калькулятор'!$G$17="ежегодная",DAY(F120)=31,MONTH(F120)=12),'депозитный калькулятор'!$G$18,IF(AND('депозитный калькулятор'!$G$17="ежемесячная в зависимости от остатка",EOMONTH(F120,0)=F120,P120&gt;0),'депозитный калькулятор'!$G$18,IF(AND('депозитный калькулятор'!$G$17="ежегодная в зависимости от остатка",DAY(F120)=31,MONTH(F120)=12,P120&gt;0),'депозитный калькулятор'!$G$18,0)))))))</f>
        <v xml:space="preserve"> </v>
      </c>
      <c r="K121" s="135" t="str">
        <f>IF($F121=" "," ",IFERROR(VLOOKUP($F121,'депозитный калькулятор'!$B$26:$F$70,2,0),0))</f>
        <v xml:space="preserve"> </v>
      </c>
      <c r="L121" s="135" t="str">
        <f>IF($F121=" "," ",IFERROR(VLOOKUP($F121,'депозитный калькулятор'!$B$26:$F$70,3,0),0))</f>
        <v xml:space="preserve"> </v>
      </c>
      <c r="M121" s="135" t="str">
        <f>IF($F121=" "," ",IFERROR(VLOOKUP($F121,'депозитный калькулятор'!$B$26:$F$70,4,0),0))</f>
        <v xml:space="preserve"> </v>
      </c>
      <c r="N121" s="135" t="str">
        <f>IF($F121=" "," ",IFERROR(VLOOKUP($F121,'депозитный калькулятор'!$B$26:$F$70,5,0),0))</f>
        <v xml:space="preserve"> </v>
      </c>
      <c r="O121" s="146" t="str">
        <f>IF(F121&gt;'депозитный калькулятор'!$D$8," ",IF(F121='депозитный калькулятор'!$D$8,IF(AND($F$24='депозитный калькулятор'!$D$8,'депозитный калькулятор'!$G$13="нет"),-G121-IF(I121=" ",0,I121)-IF(AND(OR('депозитный калькулятор'!$G$7="30/365",'депозитный калькулятор'!$G$7="30/360"),'депозитный калькулятор'!$G$10="в начале срока"),I120,0)-L121+M121-N121,-G121-IF(I121=" ",0,I121)-L121+M121-N121),IF('депозитный калькулятор'!$G$13="есть",M121-N121+IF('депозитный калькулятор'!$G$14="есть",0,-L121),-IF(I121=" ",0,I121)-IF(AND(OR('депозитный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срока"),I120,0)+M121-N121+IF('депозитный калькулятор'!$G$14="есть",0,-L121))))</f>
        <v xml:space="preserve"> </v>
      </c>
      <c r="P121" s="147" t="str">
        <f>IF(F121&gt;'депозитный калькулятор'!$D$8," ",IF(EOMONTH(F120,0)=F120,0,IF(G121&gt;='депозитный калькулятор'!$G$19,P120,P120+1)))</f>
        <v xml:space="preserve"> </v>
      </c>
      <c r="Q121" s="138" t="str">
        <f>IF(F121=" "," ",IF(AND(OR('депозитный калькулятор'!$G$7="30/365",'депозитный калькулятор'!$G$7="30/360"),AND(MONTH(F121)=2,EOMONTH(F121,0)=F121)),IF(DAY(F121)=28,3,2),1)*IF(G121&gt;='депозитный калькулятор'!$G$11,IF(AND('депозитный калькулятор'!$G$7="факт/факт",MOD(YEAR(F121),4)=0),G121*'депозитный калькулятор'!$D$11/366,G121*'депозитный калькулятор'!$G$8),0))</f>
        <v xml:space="preserve"> </v>
      </c>
      <c r="R121" s="148"/>
      <c r="S121" s="62" t="str">
        <f t="shared" ca="1" si="7"/>
        <v xml:space="preserve"> </v>
      </c>
      <c r="T121" s="149" t="str">
        <f ca="1">IF(S121=" "," ",IF('депозитный калькулятор'!$G$7="30/360",DAYS360(U120,IF(DAY(U121)=31,U121-1,U121))+IF(AND(MONTH(U121)=2,U121=EOMONTH(U121,0)),30-DAY(EOMONTH(U121,0)))+T120,VLOOKUP(S121,$C$22:$F$1023,2,0)))</f>
        <v xml:space="preserve"> </v>
      </c>
      <c r="U121" s="64" t="str">
        <f t="shared" ca="1" si="5"/>
        <v xml:space="preserve"> </v>
      </c>
      <c r="V121" s="150" t="str">
        <f t="shared" ca="1" si="8"/>
        <v xml:space="preserve"> </v>
      </c>
      <c r="W121" s="62" t="str">
        <f t="shared" ca="1" si="9"/>
        <v xml:space="preserve"> </v>
      </c>
      <c r="X121" s="141" t="str">
        <f ca="1">IF(S121=" "," ",IFERROR(VLOOKUP(U121,$F$23:$N$1023,7)+VLOOKUP(U121,$F$23:$N$1023,9)+IF(AND('депозитный калькулятор'!$G$13="нет",U121&lt;&gt;'депозитный калькулятор'!$D$8),VLOOKUP(U121,$F$23:$N$1023,4),0),0)+IF(U121='депозитный калькулятор'!$D$8,VLOOKUP(U121,$F$23:$N$1023,2)+VLOOKUP(U121,$F$23:$N$1023,4),0))</f>
        <v xml:space="preserve"> </v>
      </c>
      <c r="Y121" s="142" t="str">
        <f ca="1">IF(S121=" "," ",W121/(1+'депозитный калькулятор'!$K$8)^(T121/IF('депозитный калькулятор'!$G$7="30/360",360,365)))</f>
        <v xml:space="preserve"> </v>
      </c>
      <c r="Z121" s="142" t="str">
        <f ca="1">IF(S121=" "," ",X121/(1+'депозитный калькулятор'!$K$8)^(T121/IF('депозитный калькулятор'!$G$7="30/360",360,365)))</f>
        <v xml:space="preserve"> </v>
      </c>
      <c r="AA121" s="151"/>
      <c r="AB121" s="151"/>
      <c r="AC121" s="155"/>
      <c r="AD121" s="155"/>
    </row>
    <row r="122" spans="1:30" s="2" customFormat="1" ht="15.5" x14ac:dyDescent="0.35">
      <c r="A122" s="41" t="str">
        <f>IF(F122=" "," ",IF(OR('депозитный калькулятор'!$G$7="30/365",'депозитный калькулятор'!$G$7="30/360"),IF(AND(MONTH(F122)=2,DAY(F122)=DAY(EOMONTH(F122,0))),30-DAY(EOMONTH(F122,0)),IF(DAY(F122)=31,1," "))," "))</f>
        <v xml:space="preserve"> </v>
      </c>
      <c r="B122" s="130" t="str">
        <f t="shared" si="6"/>
        <v xml:space="preserve"> </v>
      </c>
      <c r="C122" s="130" t="str">
        <f>IF(OR(B122=0,B122=" ")," ",SUM($B$23:B122))</f>
        <v xml:space="preserve"> </v>
      </c>
      <c r="D122" s="62" t="str">
        <f>IF(D121=" "," ",IF(OR(F121='депозитный калькулятор'!$D$8,F121=" ")," ",D121+1))</f>
        <v xml:space="preserve"> </v>
      </c>
      <c r="E122" s="130" t="str">
        <f>IF(OR(F121='депозитный калькулятор'!$D$8,F121=" ")," ",IF(EOMONTH(F121,0)=F121,1,E121+1))</f>
        <v xml:space="preserve"> </v>
      </c>
      <c r="F122" s="64" t="str">
        <f>IF(F121=" "," ",IF(F121='депозитный калькулятор'!$D$8," ",F121+1))</f>
        <v xml:space="preserve"> </v>
      </c>
      <c r="G122" s="145" t="str">
        <f xml:space="preserve"> IF(F122&gt;'депозитный калькулятор'!$D$8," ",IF('депозитный калькулятор'!$G$13="есть",IF('депозитный калькулятор'!$G$14="есть",G121+IF(I121=" ",0,I121)-J122-K122+L122+M122-N122,G121+IF(I121=" ",0,I121)-J122-K122+M122-N122),IF('депозитный калькулятор'!$G$14="есть",G121-J122-K122+L122+M122-N122,G121-J122-K122+M122-N122)))</f>
        <v xml:space="preserve"> </v>
      </c>
      <c r="H122" s="133" t="str">
        <f>IF(F122&gt;'депозитный калькулятор'!$D$8," ",IF(AND(OR('депозитный калькулятор'!$G$7="30/365",'депозитный калькулятор'!$G$7="30/360"),AND(MONTH(F122)=2,EOMONTH(F122,0)=F122)),IF(DAY(F122)=28,3*G122*'депозитный калькулятор'!$G$8,2*G122*'депозитный калькулятор'!$G$8),IF(AND(OR('депозитный калькулятор'!$G$7="30/365",'депозитный калькулятор'!$G$7="30/360"),DAY(F122)=31)," ",IF(AND('депозитный калькулятор'!$G$7="факт/факт",MOD(YEAR(F122),4)=0),G122*'депозитный калькулятор'!$D$11/366,G122*'депозитный калькулятор'!$G$8))))</f>
        <v xml:space="preserve"> </v>
      </c>
      <c r="I122" s="134" t="str">
        <f ca="1">IF(F122=" "," ",IF('депозитный калькулятор'!$G$10="ежедневное",H122,IF(AND('депозитный калькулятор'!$G$10="еженедельное",WEEKDAY(F122,2)=7),SUM(OFFSET(H122,-6,0):H122),IF(AND('депозитный калькулятор'!$G$10="еженедельное",F122='депозитный калькулятор'!$D$8),SUM($H$23:H122)-SUM($I$23:I121),IF(AND('депозитный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недели",WEEKDAY(F122,2)=7),MIN(OFFSET(H122,-6,0):H122)*(COUNTIF(OFFSET(H122,-6,0):H122,"&gt;0")+SUMIF(OFFSET(A122,-WEEKDAY(F122,2),0):A122,"=2",OFFSET(A122,-WEEKDAY(F122,2),0):A122)),IF(AND('депозитный калькулятор'!$G$10="еженедельное, на минимальную сумму зафиксированную в течение недели",F122='депозитный калькулятор'!$D$8,WEEKDAY(F122,2)&lt;&gt;7),MIN(OFFSET(H122,-WEEKDAY(F122,2),0):H122)*(COUNTIF(OFFSET(H122,-WEEKDAY(F122,2)+1,0):H122,"&gt;0")+SUM(OFFSET(A122,-WEEKDAY(F122,2),0):A122)),IF(AND('депозитный калькулятор'!$G$10="ежемесячное (в конце месяца)",F122='депозитный калькулятор'!$D$8,EOMONTH(F122,0)&lt;&gt;F122),IF('депозитный калькулятор'!$F$1=1,$H$24,SUM($H$23:H122)-SUM($I$23:I121)),IF(AND('депозитный калькулятор'!$G$10="ежемесячное (в конце месяца)",EOMONTH(F122,0)=F122),SUM($H$23:H122)-SUM($I$23:I121),IF(AND('депозитный калькулятор'!$G$10="ежемесячное (по дням открытия вклада)",F122='депозитный калькулятор'!$D$8,DAY('депозитный калькулятор'!$D$7)&lt;&gt;DAY(F122)),IF('депозитный калькулятор'!$F$1=1,$H$24,SUM($H$23:H122)-SUM($I$23:I121)),IF(AND('депозитный калькулятор'!$G$10="ежемесячное (по дням открытия вклада)",DAY('депозитный калькулятор'!$D$7)=DAY(F122)),SUM($H$23:H122)-SUM($I$23:I121),IF(AND('депозитный калькулятор'!$G$10="ежемесячное, на минимальную сумму зафиксированную в течение месяца",F122='депозитный калькулятор'!$D$8,EOMONTH(F122,0)&lt;&gt;F122),IF('депозитный калькулятор'!$F$1=1,$H$24,IF(AND(OR('депозитный калькулятор'!$G$7="30/365",'депозитный калькулятор'!$G$7="30/360"),DAY(F122)=31),0,MIN(OFFSET(H122,-E122+1,0):H122)*(E122+SUMIF(OFFSET(A122,-E122+1,0):A122,"=2",OFFSET(A122,-E122+1,0):A122)))),IF(AND('депозитный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калькулятор'!$G$7="30/360"),DAY(EOMONTH(F122,0))=31),EOMONTH(F122,0)-1=F122,EOMONTH(F122,0)=F122)),IF(IF(AND(OR('депозитный калькулятор'!$G$7="30/365",'депозитный калькулятор'!$G$7="30/360"),DAY(EOMONTH($F$23,0))=31),F122=EOMONTH($F$23,0)-1,F122=EOMONTH($F$23,0)),MIN(OFFSET(H122,-(DAY(F122)-DAY($F$23)),0):H122)*E122,MIN(OFFSET(H122,-(DAY(F122)-1),0):H122)*IF(AND(OR('депозитный калькулятор'!$G$7="30/365",'депозитный калькулятор'!$G$7="30/360"),DAY(F122)&lt;30),30,DAY(F122))),IF(AND('депозитный калькулятор'!$G$10="ежемесячное, на средний остаток в течение месяца, при условии что остаток больше чем ограничение",F122='депозитный калькулятор'!$D$8,EOMONTH(F122,0)&lt;&gt;F122),IF('депозитный калькулятор'!$F$1=1,$H$24,SUM(OFFSET(Q122,-E122+1,0):Q122)),IF(AND('депозитный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калькулятор'!$G$7="30/360"),DAY(EOMONTH(F122,0))=31),EOMONTH(F122,0)-1=F122,EOMONTH(F122,0)=F122)),IF(IF(AND(OR('депозитный калькулятор'!$G$7="30/365",'депозитный калькулятор'!$G$7="30/360"),DAY(EOMONTH($F$24,0))=31),F122=EOMONTH($F$24,0)-1,F122=EOMONTH($F$24,0)),SUM(OFFSET(Q122,-E122+1,0):Q122),SUM(OFFSET(Q122,-E122+1,0):Q122)),IF('депозитный калькулятор'!$G$10="ежеквартальное",IF(F122&gt;'депозитный калькулятор'!$D$8," ",IF(AND(EOMONTH(F122,0)=F122,OR(MONTH(F122)=3,MONTH(F122)=6,MONTH(F122)=9,MONTH(F122)=12)),IF(EDATE(F122,-3)&lt;'депозитный калькулятор'!$D$7,SUM($H$23:H122),IF(MOD(YEAR(F122),4)=0,IF(AND(EOMONTH(F122,0)=F122,OR(MONTH(F122)=3,MONTH(F122)=6)),SUM(OFFSET(H122,-90,0):H122),IF(AND(EOMONTH(F122,0)=F122,OR(MONTH(F122)=9,MONTH(F122)=12)),SUM(OFFSET(H122,-91,0):H122))),IF(AND(EOMONTH(F122,0)=F122,MONTH(F122)=3),SUM(OFFSET(H122,-89,0):H122),IF(AND(EOMONTH(F122,0)=F122,MONTH(F122)=6),SUM(OFFSET(H122,-90,0):H122),IF(AND(EOMONTH(F122,0)=F122,OR(MONTH(F122)=9,MONTH(F122)=12)),SUM(OFFSET(H122,-91,0):H122)))))),IF(F122='депозитный калькулятор'!$D$8,SUM($H$23:H122)-SUM($I$23:I121),0))),IF('депозитный калькулятор'!$G$10="ежегодное",IF(F122&gt;'депозитный калькулятор'!$D$8," ",IF(F122='депозитный калькулятор'!$D$8,SUM($H$23:H122)-SUM($I$23:I121),IF(AND(EOMONTH(F122,0)=F122,MONTH(F122)=12),IF(MOD(YEAR(F121),4)=0,IF(F122-'депозитный калькулятор'!$D$7&lt;366,SUM($H$23:H122),SUM(OFFSET(H122,-365,0):H122)),IF(F122-'депозитный калькулятор'!$D$7&lt;365,SUM($H$23:H122),SUM(OFFSET(H122,-364,0):H122))),0))),IF(AND('депозитный калькулятор'!$G$10="в конце срока",'депозитный калькулятор'!$D$8=F122),SUM($H$23:H122),0))))))))))))))))))</f>
        <v xml:space="preserve"> </v>
      </c>
      <c r="J122" s="59" t="str">
        <f>IF(F122&gt;'депозитный калькулятор'!$D$8," ",IF('депозитный калькулятор'!$G$16="нет",0,IF(AND('депозитный калькулятор'!$G$17="разовая (в конце срока)",F122='депозитный калькулятор'!$D$8),'депозитный калькулятор'!$G$18,IF(AND('депозитный калькулятор'!$G$17="ежемесячная",EOMONTH(F121,0)=F121),'депозитный калькулятор'!$G$18,IF(AND('депозитный калькулятор'!$G$17="ежегодная",DAY(F121)=31,MONTH(F121)=12),'депозитный калькулятор'!$G$18,IF(AND('депозитный калькулятор'!$G$17="ежемесячная в зависимости от остатка",EOMONTH(F121,0)=F121,P121&gt;0),'депозитный калькулятор'!$G$18,IF(AND('депозитный калькулятор'!$G$17="ежегодная в зависимости от остатка",DAY(F121)=31,MONTH(F121)=12,P121&gt;0),'депозитный калькулятор'!$G$18,0)))))))</f>
        <v xml:space="preserve"> </v>
      </c>
      <c r="K122" s="135" t="str">
        <f>IF($F122=" "," ",IFERROR(VLOOKUP($F122,'депозитный калькулятор'!$B$26:$F$70,2,0),0))</f>
        <v xml:space="preserve"> </v>
      </c>
      <c r="L122" s="135" t="str">
        <f>IF($F122=" "," ",IFERROR(VLOOKUP($F122,'депозитный калькулятор'!$B$26:$F$70,3,0),0))</f>
        <v xml:space="preserve"> </v>
      </c>
      <c r="M122" s="135" t="str">
        <f>IF($F122=" "," ",IFERROR(VLOOKUP($F122,'депозитный калькулятор'!$B$26:$F$70,4,0),0))</f>
        <v xml:space="preserve"> </v>
      </c>
      <c r="N122" s="135" t="str">
        <f>IF($F122=" "," ",IFERROR(VLOOKUP($F122,'депозитный калькулятор'!$B$26:$F$70,5,0),0))</f>
        <v xml:space="preserve"> </v>
      </c>
      <c r="O122" s="146" t="str">
        <f>IF(F122&gt;'депозитный калькулятор'!$D$8," ",IF(F122='депозитный калькулятор'!$D$8,IF(AND($F$24='депозитный калькулятор'!$D$8,'депозитный калькулятор'!$G$13="нет"),-G122-IF(I122=" ",0,I122)-IF(AND(OR('депозитный калькулятор'!$G$7="30/365",'депозитный калькулятор'!$G$7="30/360"),'депозитный калькулятор'!$G$10="в начале срока"),I121,0)-L122+M122-N122,-G122-IF(I122=" ",0,I122)-L122+M122-N122),IF('депозитный калькулятор'!$G$13="есть",M122-N122+IF('депозитный калькулятор'!$G$14="есть",0,-L122),-IF(I122=" ",0,I122)-IF(AND(OR('депозитный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срока"),I121,0)+M122-N122+IF('депозитный калькулятор'!$G$14="есть",0,-L122))))</f>
        <v xml:space="preserve"> </v>
      </c>
      <c r="P122" s="147" t="str">
        <f>IF(F122&gt;'депозитный калькулятор'!$D$8," ",IF(EOMONTH(F121,0)=F121,0,IF(G122&gt;='депозитный калькулятор'!$G$19,P121,P121+1)))</f>
        <v xml:space="preserve"> </v>
      </c>
      <c r="Q122" s="138" t="str">
        <f>IF(F122=" "," ",IF(AND(OR('депозитный калькулятор'!$G$7="30/365",'депозитный калькулятор'!$G$7="30/360"),AND(MONTH(F122)=2,EOMONTH(F122,0)=F122)),IF(DAY(F122)=28,3,2),1)*IF(G122&gt;='депозитный калькулятор'!$G$11,IF(AND('депозитный калькулятор'!$G$7="факт/факт",MOD(YEAR(F122),4)=0),G122*'депозитный калькулятор'!$D$11/366,G122*'депозитный калькулятор'!$G$8),0))</f>
        <v xml:space="preserve"> </v>
      </c>
      <c r="R122" s="148"/>
      <c r="S122" s="62" t="str">
        <f t="shared" ca="1" si="7"/>
        <v xml:space="preserve"> </v>
      </c>
      <c r="T122" s="149" t="str">
        <f ca="1">IF(S122=" "," ",IF('депозитный калькулятор'!$G$7="30/360",DAYS360(U121,IF(DAY(U122)=31,U122-1,U122))+IF(AND(MONTH(U122)=2,U122=EOMONTH(U122,0)),30-DAY(EOMONTH(U122,0)))+T121,VLOOKUP(S122,$C$22:$F$1023,2,0)))</f>
        <v xml:space="preserve"> </v>
      </c>
      <c r="U122" s="64" t="str">
        <f t="shared" ca="1" si="5"/>
        <v xml:space="preserve"> </v>
      </c>
      <c r="V122" s="150" t="str">
        <f t="shared" ca="1" si="8"/>
        <v xml:space="preserve"> </v>
      </c>
      <c r="W122" s="62" t="str">
        <f t="shared" ca="1" si="9"/>
        <v xml:space="preserve"> </v>
      </c>
      <c r="X122" s="141" t="str">
        <f ca="1">IF(S122=" "," ",IFERROR(VLOOKUP(U122,$F$23:$N$1023,7)+VLOOKUP(U122,$F$23:$N$1023,9)+IF(AND('депозитный калькулятор'!$G$13="нет",U122&lt;&gt;'депозитный калькулятор'!$D$8),VLOOKUP(U122,$F$23:$N$1023,4),0),0)+IF(U122='депозитный калькулятор'!$D$8,VLOOKUP(U122,$F$23:$N$1023,2)+VLOOKUP(U122,$F$23:$N$1023,4),0))</f>
        <v xml:space="preserve"> </v>
      </c>
      <c r="Y122" s="142" t="str">
        <f ca="1">IF(S122=" "," ",W122/(1+'депозитный калькулятор'!$K$8)^(T122/IF('депозитный калькулятор'!$G$7="30/360",360,365)))</f>
        <v xml:space="preserve"> </v>
      </c>
      <c r="Z122" s="142" t="str">
        <f ca="1">IF(S122=" "," ",X122/(1+'депозитный калькулятор'!$K$8)^(T122/IF('депозитный калькулятор'!$G$7="30/360",360,365)))</f>
        <v xml:space="preserve"> </v>
      </c>
      <c r="AA122" s="151"/>
      <c r="AB122" s="151"/>
      <c r="AC122" s="155"/>
      <c r="AD122" s="155"/>
    </row>
    <row r="123" spans="1:30" s="2" customFormat="1" ht="15.5" x14ac:dyDescent="0.35">
      <c r="A123" s="41" t="str">
        <f>IF(F123=" "," ",IF(OR('депозитный калькулятор'!$G$7="30/365",'депозитный калькулятор'!$G$7="30/360"),IF(AND(MONTH(F123)=2,DAY(F123)=DAY(EOMONTH(F123,0))),30-DAY(EOMONTH(F123,0)),IF(DAY(F123)=31,1," "))," "))</f>
        <v xml:space="preserve"> </v>
      </c>
      <c r="B123" s="130" t="str">
        <f t="shared" si="6"/>
        <v xml:space="preserve"> </v>
      </c>
      <c r="C123" s="130" t="str">
        <f>IF(OR(B123=0,B123=" ")," ",SUM($B$23:B123))</f>
        <v xml:space="preserve"> </v>
      </c>
      <c r="D123" s="62" t="str">
        <f>IF(D122=" "," ",IF(OR(F122='депозитный калькулятор'!$D$8,F122=" ")," ",D122+1))</f>
        <v xml:space="preserve"> </v>
      </c>
      <c r="E123" s="130" t="str">
        <f>IF(OR(F122='депозитный калькулятор'!$D$8,F122=" ")," ",IF(EOMONTH(F122,0)=F122,1,E122+1))</f>
        <v xml:space="preserve"> </v>
      </c>
      <c r="F123" s="64" t="str">
        <f>IF(F122=" "," ",IF(F122='депозитный калькулятор'!$D$8," ",F122+1))</f>
        <v xml:space="preserve"> </v>
      </c>
      <c r="G123" s="145" t="str">
        <f xml:space="preserve"> IF(F123&gt;'депозитный калькулятор'!$D$8," ",IF('депозитный калькулятор'!$G$13="есть",IF('депозитный калькулятор'!$G$14="есть",G122+IF(I122=" ",0,I122)-J123-K123+L123+M123-N123,G122+IF(I122=" ",0,I122)-J123-K123+M123-N123),IF('депозитный калькулятор'!$G$14="есть",G122-J123-K123+L123+M123-N123,G122-J123-K123+M123-N123)))</f>
        <v xml:space="preserve"> </v>
      </c>
      <c r="H123" s="133" t="str">
        <f>IF(F123&gt;'депозитный калькулятор'!$D$8," ",IF(AND(OR('депозитный калькулятор'!$G$7="30/365",'депозитный калькулятор'!$G$7="30/360"),AND(MONTH(F123)=2,EOMONTH(F123,0)=F123)),IF(DAY(F123)=28,3*G123*'депозитный калькулятор'!$G$8,2*G123*'депозитный калькулятор'!$G$8),IF(AND(OR('депозитный калькулятор'!$G$7="30/365",'депозитный калькулятор'!$G$7="30/360"),DAY(F123)=31)," ",IF(AND('депозитный калькулятор'!$G$7="факт/факт",MOD(YEAR(F123),4)=0),G123*'депозитный калькулятор'!$D$11/366,G123*'депозитный калькулятор'!$G$8))))</f>
        <v xml:space="preserve"> </v>
      </c>
      <c r="I123" s="134" t="str">
        <f ca="1">IF(F123=" "," ",IF('депозитный калькулятор'!$G$10="ежедневное",H123,IF(AND('депозитный калькулятор'!$G$10="еженедельное",WEEKDAY(F123,2)=7),SUM(OFFSET(H123,-6,0):H123),IF(AND('депозитный калькулятор'!$G$10="еженедельное",F123='депозитный калькулятор'!$D$8),SUM($H$23:H123)-SUM($I$23:I122),IF(AND('депозитный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недели",WEEKDAY(F123,2)=7),MIN(OFFSET(H123,-6,0):H123)*(COUNTIF(OFFSET(H123,-6,0):H123,"&gt;0")+SUMIF(OFFSET(A123,-WEEKDAY(F123,2),0):A123,"=2",OFFSET(A123,-WEEKDAY(F123,2),0):A123)),IF(AND('депозитный калькулятор'!$G$10="еженедельное, на минимальную сумму зафиксированную в течение недели",F123='депозитный калькулятор'!$D$8,WEEKDAY(F123,2)&lt;&gt;7),MIN(OFFSET(H123,-WEEKDAY(F123,2),0):H123)*(COUNTIF(OFFSET(H123,-WEEKDAY(F123,2)+1,0):H123,"&gt;0")+SUM(OFFSET(A123,-WEEKDAY(F123,2),0):A123)),IF(AND('депозитный калькулятор'!$G$10="ежемесячное (в конце месяца)",F123='депозитный калькулятор'!$D$8,EOMONTH(F123,0)&lt;&gt;F123),IF('депозитный калькулятор'!$F$1=1,$H$24,SUM($H$23:H123)-SUM($I$23:I122)),IF(AND('депозитный калькулятор'!$G$10="ежемесячное (в конце месяца)",EOMONTH(F123,0)=F123),SUM($H$23:H123)-SUM($I$23:I122),IF(AND('депозитный калькулятор'!$G$10="ежемесячное (по дням открытия вклада)",F123='депозитный калькулятор'!$D$8,DAY('депозитный калькулятор'!$D$7)&lt;&gt;DAY(F123)),IF('депозитный калькулятор'!$F$1=1,$H$24,SUM($H$23:H123)-SUM($I$23:I122)),IF(AND('депозитный калькулятор'!$G$10="ежемесячное (по дням открытия вклада)",DAY('депозитный калькулятор'!$D$7)=DAY(F123)),SUM($H$23:H123)-SUM($I$23:I122),IF(AND('депозитный калькулятор'!$G$10="ежемесячное, на минимальную сумму зафиксированную в течение месяца",F123='депозитный калькулятор'!$D$8,EOMONTH(F123,0)&lt;&gt;F123),IF('депозитный калькулятор'!$F$1=1,$H$24,IF(AND(OR('депозитный калькулятор'!$G$7="30/365",'депозитный калькулятор'!$G$7="30/360"),DAY(F123)=31),0,MIN(OFFSET(H123,-E123+1,0):H123)*(E123+SUMIF(OFFSET(A123,-E123+1,0):A123,"=2",OFFSET(A123,-E123+1,0):A123)))),IF(AND('депозитный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калькулятор'!$G$7="30/360"),DAY(EOMONTH(F123,0))=31),EOMONTH(F123,0)-1=F123,EOMONTH(F123,0)=F123)),IF(IF(AND(OR('депозитный калькулятор'!$G$7="30/365",'депозитный калькулятор'!$G$7="30/360"),DAY(EOMONTH($F$23,0))=31),F123=EOMONTH($F$23,0)-1,F123=EOMONTH($F$23,0)),MIN(OFFSET(H123,-(DAY(F123)-DAY($F$23)),0):H123)*E123,MIN(OFFSET(H123,-(DAY(F123)-1),0):H123)*IF(AND(OR('депозитный калькулятор'!$G$7="30/365",'депозитный калькулятор'!$G$7="30/360"),DAY(F123)&lt;30),30,DAY(F123))),IF(AND('депозитный калькулятор'!$G$10="ежемесячное, на средний остаток в течение месяца, при условии что остаток больше чем ограничение",F123='депозитный калькулятор'!$D$8,EOMONTH(F123,0)&lt;&gt;F123),IF('депозитный калькулятор'!$F$1=1,$H$24,SUM(OFFSET(Q123,-E123+1,0):Q123)),IF(AND('депозитный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калькулятор'!$G$7="30/360"),DAY(EOMONTH(F123,0))=31),EOMONTH(F123,0)-1=F123,EOMONTH(F123,0)=F123)),IF(IF(AND(OR('депозитный калькулятор'!$G$7="30/365",'депозитный калькулятор'!$G$7="30/360"),DAY(EOMONTH($F$24,0))=31),F123=EOMONTH($F$24,0)-1,F123=EOMONTH($F$24,0)),SUM(OFFSET(Q123,-E123+1,0):Q123),SUM(OFFSET(Q123,-E123+1,0):Q123)),IF('депозитный калькулятор'!$G$10="ежеквартальное",IF(F123&gt;'депозитный калькулятор'!$D$8," ",IF(AND(EOMONTH(F123,0)=F123,OR(MONTH(F123)=3,MONTH(F123)=6,MONTH(F123)=9,MONTH(F123)=12)),IF(EDATE(F123,-3)&lt;'депозитный калькулятор'!$D$7,SUM($H$23:H123),IF(MOD(YEAR(F123),4)=0,IF(AND(EOMONTH(F123,0)=F123,OR(MONTH(F123)=3,MONTH(F123)=6)),SUM(OFFSET(H123,-90,0):H123),IF(AND(EOMONTH(F123,0)=F123,OR(MONTH(F123)=9,MONTH(F123)=12)),SUM(OFFSET(H123,-91,0):H123))),IF(AND(EOMONTH(F123,0)=F123,MONTH(F123)=3),SUM(OFFSET(H123,-89,0):H123),IF(AND(EOMONTH(F123,0)=F123,MONTH(F123)=6),SUM(OFFSET(H123,-90,0):H123),IF(AND(EOMONTH(F123,0)=F123,OR(MONTH(F123)=9,MONTH(F123)=12)),SUM(OFFSET(H123,-91,0):H123)))))),IF(F123='депозитный калькулятор'!$D$8,SUM($H$23:H123)-SUM($I$23:I122),0))),IF('депозитный калькулятор'!$G$10="ежегодное",IF(F123&gt;'депозитный калькулятор'!$D$8," ",IF(F123='депозитный калькулятор'!$D$8,SUM($H$23:H123)-SUM($I$23:I122),IF(AND(EOMONTH(F123,0)=F123,MONTH(F123)=12),IF(MOD(YEAR(F122),4)=0,IF(F123-'депозитный калькулятор'!$D$7&lt;366,SUM($H$23:H123),SUM(OFFSET(H123,-365,0):H123)),IF(F123-'депозитный калькулятор'!$D$7&lt;365,SUM($H$23:H123),SUM(OFFSET(H123,-364,0):H123))),0))),IF(AND('депозитный калькулятор'!$G$10="в конце срока",'депозитный калькулятор'!$D$8=F123),SUM($H$23:H123),0))))))))))))))))))</f>
        <v xml:space="preserve"> </v>
      </c>
      <c r="J123" s="59" t="str">
        <f>IF(F123&gt;'депозитный калькулятор'!$D$8," ",IF('депозитный калькулятор'!$G$16="нет",0,IF(AND('депозитный калькулятор'!$G$17="разовая (в конце срока)",F123='депозитный калькулятор'!$D$8),'депозитный калькулятор'!$G$18,IF(AND('депозитный калькулятор'!$G$17="ежемесячная",EOMONTH(F122,0)=F122),'депозитный калькулятор'!$G$18,IF(AND('депозитный калькулятор'!$G$17="ежегодная",DAY(F122)=31,MONTH(F122)=12),'депозитный калькулятор'!$G$18,IF(AND('депозитный калькулятор'!$G$17="ежемесячная в зависимости от остатка",EOMONTH(F122,0)=F122,P122&gt;0),'депозитный калькулятор'!$G$18,IF(AND('депозитный калькулятор'!$G$17="ежегодная в зависимости от остатка",DAY(F122)=31,MONTH(F122)=12,P122&gt;0),'депозитный калькулятор'!$G$18,0)))))))</f>
        <v xml:space="preserve"> </v>
      </c>
      <c r="K123" s="135" t="str">
        <f>IF($F123=" "," ",IFERROR(VLOOKUP($F123,'депозитный калькулятор'!$B$26:$F$70,2,0),0))</f>
        <v xml:space="preserve"> </v>
      </c>
      <c r="L123" s="135" t="str">
        <f>IF($F123=" "," ",IFERROR(VLOOKUP($F123,'депозитный калькулятор'!$B$26:$F$70,3,0),0))</f>
        <v xml:space="preserve"> </v>
      </c>
      <c r="M123" s="135" t="str">
        <f>IF($F123=" "," ",IFERROR(VLOOKUP($F123,'депозитный калькулятор'!$B$26:$F$70,4,0),0))</f>
        <v xml:space="preserve"> </v>
      </c>
      <c r="N123" s="135" t="str">
        <f>IF($F123=" "," ",IFERROR(VLOOKUP($F123,'депозитный калькулятор'!$B$26:$F$70,5,0),0))</f>
        <v xml:space="preserve"> </v>
      </c>
      <c r="O123" s="146" t="str">
        <f>IF(F123&gt;'депозитный калькулятор'!$D$8," ",IF(F123='депозитный калькулятор'!$D$8,IF(AND($F$24='депозитный калькулятор'!$D$8,'депозитный калькулятор'!$G$13="нет"),-G123-IF(I123=" ",0,I123)-IF(AND(OR('депозитный калькулятор'!$G$7="30/365",'депозитный калькулятор'!$G$7="30/360"),'депозитный калькулятор'!$G$10="в начале срока"),I122,0)-L123+M123-N123,-G123-IF(I123=" ",0,I123)-L123+M123-N123),IF('депозитный калькулятор'!$G$13="есть",M123-N123+IF('депозитный калькулятор'!$G$14="есть",0,-L123),-IF(I123=" ",0,I123)-IF(AND(OR('депозитный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срока"),I122,0)+M123-N123+IF('депозитный калькулятор'!$G$14="есть",0,-L123))))</f>
        <v xml:space="preserve"> </v>
      </c>
      <c r="P123" s="147" t="str">
        <f>IF(F123&gt;'депозитный калькулятор'!$D$8," ",IF(EOMONTH(F122,0)=F122,0,IF(G123&gt;='депозитный калькулятор'!$G$19,P122,P122+1)))</f>
        <v xml:space="preserve"> </v>
      </c>
      <c r="Q123" s="138" t="str">
        <f>IF(F123=" "," ",IF(AND(OR('депозитный калькулятор'!$G$7="30/365",'депозитный калькулятор'!$G$7="30/360"),AND(MONTH(F123)=2,EOMONTH(F123,0)=F123)),IF(DAY(F123)=28,3,2),1)*IF(G123&gt;='депозитный калькулятор'!$G$11,IF(AND('депозитный калькулятор'!$G$7="факт/факт",MOD(YEAR(F123),4)=0),G123*'депозитный калькулятор'!$D$11/366,G123*'депозитный калькулятор'!$G$8),0))</f>
        <v xml:space="preserve"> </v>
      </c>
      <c r="R123" s="148"/>
      <c r="S123" s="62" t="str">
        <f t="shared" ca="1" si="7"/>
        <v xml:space="preserve"> </v>
      </c>
      <c r="T123" s="149" t="str">
        <f ca="1">IF(S123=" "," ",IF('депозитный калькулятор'!$G$7="30/360",DAYS360(U122,IF(DAY(U123)=31,U123-1,U123))+IF(AND(MONTH(U123)=2,U123=EOMONTH(U123,0)),30-DAY(EOMONTH(U123,0)))+T122,VLOOKUP(S123,$C$22:$F$1023,2,0)))</f>
        <v xml:space="preserve"> </v>
      </c>
      <c r="U123" s="64" t="str">
        <f t="shared" ca="1" si="5"/>
        <v xml:space="preserve"> </v>
      </c>
      <c r="V123" s="150" t="str">
        <f t="shared" ca="1" si="8"/>
        <v xml:space="preserve"> </v>
      </c>
      <c r="W123" s="62" t="str">
        <f t="shared" ca="1" si="9"/>
        <v xml:space="preserve"> </v>
      </c>
      <c r="X123" s="141" t="str">
        <f ca="1">IF(S123=" "," ",IFERROR(VLOOKUP(U123,$F$23:$N$1023,7)+VLOOKUP(U123,$F$23:$N$1023,9)+IF(AND('депозитный калькулятор'!$G$13="нет",U123&lt;&gt;'депозитный калькулятор'!$D$8),VLOOKUP(U123,$F$23:$N$1023,4),0),0)+IF(U123='депозитный калькулятор'!$D$8,VLOOKUP(U123,$F$23:$N$1023,2)+VLOOKUP(U123,$F$23:$N$1023,4),0))</f>
        <v xml:space="preserve"> </v>
      </c>
      <c r="Y123" s="142" t="str">
        <f ca="1">IF(S123=" "," ",W123/(1+'депозитный калькулятор'!$K$8)^(T123/IF('депозитный калькулятор'!$G$7="30/360",360,365)))</f>
        <v xml:space="preserve"> </v>
      </c>
      <c r="Z123" s="142" t="str">
        <f ca="1">IF(S123=" "," ",X123/(1+'депозитный калькулятор'!$K$8)^(T123/IF('депозитный калькулятор'!$G$7="30/360",360,365)))</f>
        <v xml:space="preserve"> </v>
      </c>
      <c r="AA123" s="151"/>
      <c r="AB123" s="151"/>
      <c r="AC123" s="155"/>
      <c r="AD123" s="155"/>
    </row>
    <row r="124" spans="1:30" s="2" customFormat="1" ht="15.5" x14ac:dyDescent="0.35">
      <c r="A124" s="41" t="str">
        <f>IF(F124=" "," ",IF(OR('депозитный калькулятор'!$G$7="30/365",'депозитный калькулятор'!$G$7="30/360"),IF(AND(MONTH(F124)=2,DAY(F124)=DAY(EOMONTH(F124,0))),30-DAY(EOMONTH(F124,0)),IF(DAY(F124)=31,1," "))," "))</f>
        <v xml:space="preserve"> </v>
      </c>
      <c r="B124" s="130" t="str">
        <f t="shared" si="6"/>
        <v xml:space="preserve"> </v>
      </c>
      <c r="C124" s="130" t="str">
        <f>IF(OR(B124=0,B124=" ")," ",SUM($B$23:B124))</f>
        <v xml:space="preserve"> </v>
      </c>
      <c r="D124" s="62" t="str">
        <f>IF(D123=" "," ",IF(OR(F123='депозитный калькулятор'!$D$8,F123=" ")," ",D123+1))</f>
        <v xml:space="preserve"> </v>
      </c>
      <c r="E124" s="130" t="str">
        <f>IF(OR(F123='депозитный калькулятор'!$D$8,F123=" ")," ",IF(EOMONTH(F123,0)=F123,1,E123+1))</f>
        <v xml:space="preserve"> </v>
      </c>
      <c r="F124" s="64" t="str">
        <f>IF(F123=" "," ",IF(F123='депозитный калькулятор'!$D$8," ",F123+1))</f>
        <v xml:space="preserve"> </v>
      </c>
      <c r="G124" s="145" t="str">
        <f xml:space="preserve"> IF(F124&gt;'депозитный калькулятор'!$D$8," ",IF('депозитный калькулятор'!$G$13="есть",IF('депозитный калькулятор'!$G$14="есть",G123+IF(I123=" ",0,I123)-J124-K124+L124+M124-N124,G123+IF(I123=" ",0,I123)-J124-K124+M124-N124),IF('депозитный калькулятор'!$G$14="есть",G123-J124-K124+L124+M124-N124,G123-J124-K124+M124-N124)))</f>
        <v xml:space="preserve"> </v>
      </c>
      <c r="H124" s="133" t="str">
        <f>IF(F124&gt;'депозитный калькулятор'!$D$8," ",IF(AND(OR('депозитный калькулятор'!$G$7="30/365",'депозитный калькулятор'!$G$7="30/360"),AND(MONTH(F124)=2,EOMONTH(F124,0)=F124)),IF(DAY(F124)=28,3*G124*'депозитный калькулятор'!$G$8,2*G124*'депозитный калькулятор'!$G$8),IF(AND(OR('депозитный калькулятор'!$G$7="30/365",'депозитный калькулятор'!$G$7="30/360"),DAY(F124)=31)," ",IF(AND('депозитный калькулятор'!$G$7="факт/факт",MOD(YEAR(F124),4)=0),G124*'депозитный калькулятор'!$D$11/366,G124*'депозитный калькулятор'!$G$8))))</f>
        <v xml:space="preserve"> </v>
      </c>
      <c r="I124" s="134" t="str">
        <f ca="1">IF(F124=" "," ",IF('депозитный калькулятор'!$G$10="ежедневное",H124,IF(AND('депозитный калькулятор'!$G$10="еженедельное",WEEKDAY(F124,2)=7),SUM(OFFSET(H124,-6,0):H124),IF(AND('депозитный калькулятор'!$G$10="еженедельное",F124='депозитный калькулятор'!$D$8),SUM($H$23:H124)-SUM($I$23:I123),IF(AND('депозитный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недели",WEEKDAY(F124,2)=7),MIN(OFFSET(H124,-6,0):H124)*(COUNTIF(OFFSET(H124,-6,0):H124,"&gt;0")+SUMIF(OFFSET(A124,-WEEKDAY(F124,2),0):A124,"=2",OFFSET(A124,-WEEKDAY(F124,2),0):A124)),IF(AND('депозитный калькулятор'!$G$10="еженедельное, на минимальную сумму зафиксированную в течение недели",F124='депозитный калькулятор'!$D$8,WEEKDAY(F124,2)&lt;&gt;7),MIN(OFFSET(H124,-WEEKDAY(F124,2),0):H124)*(COUNTIF(OFFSET(H124,-WEEKDAY(F124,2)+1,0):H124,"&gt;0")+SUM(OFFSET(A124,-WEEKDAY(F124,2),0):A124)),IF(AND('депозитный калькулятор'!$G$10="ежемесячное (в конце месяца)",F124='депозитный калькулятор'!$D$8,EOMONTH(F124,0)&lt;&gt;F124),IF('депозитный калькулятор'!$F$1=1,$H$24,SUM($H$23:H124)-SUM($I$23:I123)),IF(AND('депозитный калькулятор'!$G$10="ежемесячное (в конце месяца)",EOMONTH(F124,0)=F124),SUM($H$23:H124)-SUM($I$23:I123),IF(AND('депозитный калькулятор'!$G$10="ежемесячное (по дням открытия вклада)",F124='депозитный калькулятор'!$D$8,DAY('депозитный калькулятор'!$D$7)&lt;&gt;DAY(F124)),IF('депозитный калькулятор'!$F$1=1,$H$24,SUM($H$23:H124)-SUM($I$23:I123)),IF(AND('депозитный калькулятор'!$G$10="ежемесячное (по дням открытия вклада)",DAY('депозитный калькулятор'!$D$7)=DAY(F124)),SUM($H$23:H124)-SUM($I$23:I123),IF(AND('депозитный калькулятор'!$G$10="ежемесячное, на минимальную сумму зафиксированную в течение месяца",F124='депозитный калькулятор'!$D$8,EOMONTH(F124,0)&lt;&gt;F124),IF('депозитный калькулятор'!$F$1=1,$H$24,IF(AND(OR('депозитный калькулятор'!$G$7="30/365",'депозитный калькулятор'!$G$7="30/360"),DAY(F124)=31),0,MIN(OFFSET(H124,-E124+1,0):H124)*(E124+SUMIF(OFFSET(A124,-E124+1,0):A124,"=2",OFFSET(A124,-E124+1,0):A124)))),IF(AND('депозитный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калькулятор'!$G$7="30/360"),DAY(EOMONTH(F124,0))=31),EOMONTH(F124,0)-1=F124,EOMONTH(F124,0)=F124)),IF(IF(AND(OR('депозитный калькулятор'!$G$7="30/365",'депозитный калькулятор'!$G$7="30/360"),DAY(EOMONTH($F$23,0))=31),F124=EOMONTH($F$23,0)-1,F124=EOMONTH($F$23,0)),MIN(OFFSET(H124,-(DAY(F124)-DAY($F$23)),0):H124)*E124,MIN(OFFSET(H124,-(DAY(F124)-1),0):H124)*IF(AND(OR('депозитный калькулятор'!$G$7="30/365",'депозитный калькулятор'!$G$7="30/360"),DAY(F124)&lt;30),30,DAY(F124))),IF(AND('депозитный калькулятор'!$G$10="ежемесячное, на средний остаток в течение месяца, при условии что остаток больше чем ограничение",F124='депозитный калькулятор'!$D$8,EOMONTH(F124,0)&lt;&gt;F124),IF('депозитный калькулятор'!$F$1=1,$H$24,SUM(OFFSET(Q124,-E124+1,0):Q124)),IF(AND('депозитный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калькулятор'!$G$7="30/360"),DAY(EOMONTH(F124,0))=31),EOMONTH(F124,0)-1=F124,EOMONTH(F124,0)=F124)),IF(IF(AND(OR('депозитный калькулятор'!$G$7="30/365",'депозитный калькулятор'!$G$7="30/360"),DAY(EOMONTH($F$24,0))=31),F124=EOMONTH($F$24,0)-1,F124=EOMONTH($F$24,0)),SUM(OFFSET(Q124,-E124+1,0):Q124),SUM(OFFSET(Q124,-E124+1,0):Q124)),IF('депозитный калькулятор'!$G$10="ежеквартальное",IF(F124&gt;'депозитный калькулятор'!$D$8," ",IF(AND(EOMONTH(F124,0)=F124,OR(MONTH(F124)=3,MONTH(F124)=6,MONTH(F124)=9,MONTH(F124)=12)),IF(EDATE(F124,-3)&lt;'депозитный калькулятор'!$D$7,SUM($H$23:H124),IF(MOD(YEAR(F124),4)=0,IF(AND(EOMONTH(F124,0)=F124,OR(MONTH(F124)=3,MONTH(F124)=6)),SUM(OFFSET(H124,-90,0):H124),IF(AND(EOMONTH(F124,0)=F124,OR(MONTH(F124)=9,MONTH(F124)=12)),SUM(OFFSET(H124,-91,0):H124))),IF(AND(EOMONTH(F124,0)=F124,MONTH(F124)=3),SUM(OFFSET(H124,-89,0):H124),IF(AND(EOMONTH(F124,0)=F124,MONTH(F124)=6),SUM(OFFSET(H124,-90,0):H124),IF(AND(EOMONTH(F124,0)=F124,OR(MONTH(F124)=9,MONTH(F124)=12)),SUM(OFFSET(H124,-91,0):H124)))))),IF(F124='депозитный калькулятор'!$D$8,SUM($H$23:H124)-SUM($I$23:I123),0))),IF('депозитный калькулятор'!$G$10="ежегодное",IF(F124&gt;'депозитный калькулятор'!$D$8," ",IF(F124='депозитный калькулятор'!$D$8,SUM($H$23:H124)-SUM($I$23:I123),IF(AND(EOMONTH(F124,0)=F124,MONTH(F124)=12),IF(MOD(YEAR(F123),4)=0,IF(F124-'депозитный калькулятор'!$D$7&lt;366,SUM($H$23:H124),SUM(OFFSET(H124,-365,0):H124)),IF(F124-'депозитный калькулятор'!$D$7&lt;365,SUM($H$23:H124),SUM(OFFSET(H124,-364,0):H124))),0))),IF(AND('депозитный калькулятор'!$G$10="в конце срока",'депозитный калькулятор'!$D$8=F124),SUM($H$23:H124),0))))))))))))))))))</f>
        <v xml:space="preserve"> </v>
      </c>
      <c r="J124" s="59" t="str">
        <f>IF(F124&gt;'депозитный калькулятор'!$D$8," ",IF('депозитный калькулятор'!$G$16="нет",0,IF(AND('депозитный калькулятор'!$G$17="разовая (в конце срока)",F124='депозитный калькулятор'!$D$8),'депозитный калькулятор'!$G$18,IF(AND('депозитный калькулятор'!$G$17="ежемесячная",EOMONTH(F123,0)=F123),'депозитный калькулятор'!$G$18,IF(AND('депозитный калькулятор'!$G$17="ежегодная",DAY(F123)=31,MONTH(F123)=12),'депозитный калькулятор'!$G$18,IF(AND('депозитный калькулятор'!$G$17="ежемесячная в зависимости от остатка",EOMONTH(F123,0)=F123,P123&gt;0),'депозитный калькулятор'!$G$18,IF(AND('депозитный калькулятор'!$G$17="ежегодная в зависимости от остатка",DAY(F123)=31,MONTH(F123)=12,P123&gt;0),'депозитный калькулятор'!$G$18,0)))))))</f>
        <v xml:space="preserve"> </v>
      </c>
      <c r="K124" s="135" t="str">
        <f>IF($F124=" "," ",IFERROR(VLOOKUP($F124,'депозитный калькулятор'!$B$26:$F$70,2,0),0))</f>
        <v xml:space="preserve"> </v>
      </c>
      <c r="L124" s="135" t="str">
        <f>IF($F124=" "," ",IFERROR(VLOOKUP($F124,'депозитный калькулятор'!$B$26:$F$70,3,0),0))</f>
        <v xml:space="preserve"> </v>
      </c>
      <c r="M124" s="135" t="str">
        <f>IF($F124=" "," ",IFERROR(VLOOKUP($F124,'депозитный калькулятор'!$B$26:$F$70,4,0),0))</f>
        <v xml:space="preserve"> </v>
      </c>
      <c r="N124" s="135" t="str">
        <f>IF($F124=" "," ",IFERROR(VLOOKUP($F124,'депозитный калькулятор'!$B$26:$F$70,5,0),0))</f>
        <v xml:space="preserve"> </v>
      </c>
      <c r="O124" s="146" t="str">
        <f>IF(F124&gt;'депозитный калькулятор'!$D$8," ",IF(F124='депозитный калькулятор'!$D$8,IF(AND($F$24='депозитный калькулятор'!$D$8,'депозитный калькулятор'!$G$13="нет"),-G124-IF(I124=" ",0,I124)-IF(AND(OR('депозитный калькулятор'!$G$7="30/365",'депозитный калькулятор'!$G$7="30/360"),'депозитный калькулятор'!$G$10="в начале срока"),I123,0)-L124+M124-N124,-G124-IF(I124=" ",0,I124)-L124+M124-N124),IF('депозитный калькулятор'!$G$13="есть",M124-N124+IF('депозитный калькулятор'!$G$14="есть",0,-L124),-IF(I124=" ",0,I124)-IF(AND(OR('депозитный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срока"),I123,0)+M124-N124+IF('депозитный калькулятор'!$G$14="есть",0,-L124))))</f>
        <v xml:space="preserve"> </v>
      </c>
      <c r="P124" s="147" t="str">
        <f>IF(F124&gt;'депозитный калькулятор'!$D$8," ",IF(EOMONTH(F123,0)=F123,0,IF(G124&gt;='депозитный калькулятор'!$G$19,P123,P123+1)))</f>
        <v xml:space="preserve"> </v>
      </c>
      <c r="Q124" s="138" t="str">
        <f>IF(F124=" "," ",IF(AND(OR('депозитный калькулятор'!$G$7="30/365",'депозитный калькулятор'!$G$7="30/360"),AND(MONTH(F124)=2,EOMONTH(F124,0)=F124)),IF(DAY(F124)=28,3,2),1)*IF(G124&gt;='депозитный калькулятор'!$G$11,IF(AND('депозитный калькулятор'!$G$7="факт/факт",MOD(YEAR(F124),4)=0),G124*'депозитный калькулятор'!$D$11/366,G124*'депозитный калькулятор'!$G$8),0))</f>
        <v xml:space="preserve"> </v>
      </c>
      <c r="R124" s="148"/>
      <c r="S124" s="62" t="str">
        <f t="shared" ca="1" si="7"/>
        <v xml:space="preserve"> </v>
      </c>
      <c r="T124" s="149" t="str">
        <f ca="1">IF(S124=" "," ",IF('депозитный калькулятор'!$G$7="30/360",DAYS360(U123,IF(DAY(U124)=31,U124-1,U124))+IF(AND(MONTH(U124)=2,U124=EOMONTH(U124,0)),30-DAY(EOMONTH(U124,0)))+T123,VLOOKUP(S124,$C$22:$F$1023,2,0)))</f>
        <v xml:space="preserve"> </v>
      </c>
      <c r="U124" s="64" t="str">
        <f t="shared" ca="1" si="5"/>
        <v xml:space="preserve"> </v>
      </c>
      <c r="V124" s="150" t="str">
        <f t="shared" ca="1" si="8"/>
        <v xml:space="preserve"> </v>
      </c>
      <c r="W124" s="62" t="str">
        <f t="shared" ca="1" si="9"/>
        <v xml:space="preserve"> </v>
      </c>
      <c r="X124" s="141" t="str">
        <f ca="1">IF(S124=" "," ",IFERROR(VLOOKUP(U124,$F$23:$N$1023,7)+VLOOKUP(U124,$F$23:$N$1023,9)+IF(AND('депозитный калькулятор'!$G$13="нет",U124&lt;&gt;'депозитный калькулятор'!$D$8),VLOOKUP(U124,$F$23:$N$1023,4),0),0)+IF(U124='депозитный калькулятор'!$D$8,VLOOKUP(U124,$F$23:$N$1023,2)+VLOOKUP(U124,$F$23:$N$1023,4),0))</f>
        <v xml:space="preserve"> </v>
      </c>
      <c r="Y124" s="142" t="str">
        <f ca="1">IF(S124=" "," ",W124/(1+'депозитный калькулятор'!$K$8)^(T124/IF('депозитный калькулятор'!$G$7="30/360",360,365)))</f>
        <v xml:space="preserve"> </v>
      </c>
      <c r="Z124" s="142" t="str">
        <f ca="1">IF(S124=" "," ",X124/(1+'депозитный калькулятор'!$K$8)^(T124/IF('депозитный калькулятор'!$G$7="30/360",360,365)))</f>
        <v xml:space="preserve"> </v>
      </c>
      <c r="AA124" s="151"/>
      <c r="AB124" s="151"/>
      <c r="AC124" s="155"/>
      <c r="AD124" s="155"/>
    </row>
    <row r="125" spans="1:30" s="2" customFormat="1" ht="15.5" x14ac:dyDescent="0.35">
      <c r="A125" s="41" t="str">
        <f>IF(F125=" "," ",IF(OR('депозитный калькулятор'!$G$7="30/365",'депозитный калькулятор'!$G$7="30/360"),IF(AND(MONTH(F125)=2,DAY(F125)=DAY(EOMONTH(F125,0))),30-DAY(EOMONTH(F125,0)),IF(DAY(F125)=31,1," "))," "))</f>
        <v xml:space="preserve"> </v>
      </c>
      <c r="B125" s="130" t="str">
        <f t="shared" si="6"/>
        <v xml:space="preserve"> </v>
      </c>
      <c r="C125" s="130" t="str">
        <f>IF(OR(B125=0,B125=" ")," ",SUM($B$23:B125))</f>
        <v xml:space="preserve"> </v>
      </c>
      <c r="D125" s="62" t="str">
        <f>IF(D124=" "," ",IF(OR(F124='депозитный калькулятор'!$D$8,F124=" ")," ",D124+1))</f>
        <v xml:space="preserve"> </v>
      </c>
      <c r="E125" s="130" t="str">
        <f>IF(OR(F124='депозитный калькулятор'!$D$8,F124=" ")," ",IF(EOMONTH(F124,0)=F124,1,E124+1))</f>
        <v xml:space="preserve"> </v>
      </c>
      <c r="F125" s="64" t="str">
        <f>IF(F124=" "," ",IF(F124='депозитный калькулятор'!$D$8," ",F124+1))</f>
        <v xml:space="preserve"> </v>
      </c>
      <c r="G125" s="145" t="str">
        <f xml:space="preserve"> IF(F125&gt;'депозитный калькулятор'!$D$8," ",IF('депозитный калькулятор'!$G$13="есть",IF('депозитный калькулятор'!$G$14="есть",G124+IF(I124=" ",0,I124)-J125-K125+L125+M125-N125,G124+IF(I124=" ",0,I124)-J125-K125+M125-N125),IF('депозитный калькулятор'!$G$14="есть",G124-J125-K125+L125+M125-N125,G124-J125-K125+M125-N125)))</f>
        <v xml:space="preserve"> </v>
      </c>
      <c r="H125" s="133" t="str">
        <f>IF(F125&gt;'депозитный калькулятор'!$D$8," ",IF(AND(OR('депозитный калькулятор'!$G$7="30/365",'депозитный калькулятор'!$G$7="30/360"),AND(MONTH(F125)=2,EOMONTH(F125,0)=F125)),IF(DAY(F125)=28,3*G125*'депозитный калькулятор'!$G$8,2*G125*'депозитный калькулятор'!$G$8),IF(AND(OR('депозитный калькулятор'!$G$7="30/365",'депозитный калькулятор'!$G$7="30/360"),DAY(F125)=31)," ",IF(AND('депозитный калькулятор'!$G$7="факт/факт",MOD(YEAR(F125),4)=0),G125*'депозитный калькулятор'!$D$11/366,G125*'депозитный калькулятор'!$G$8))))</f>
        <v xml:space="preserve"> </v>
      </c>
      <c r="I125" s="134" t="str">
        <f ca="1">IF(F125=" "," ",IF('депозитный калькулятор'!$G$10="ежедневное",H125,IF(AND('депозитный калькулятор'!$G$10="еженедельное",WEEKDAY(F125,2)=7),SUM(OFFSET(H125,-6,0):H125),IF(AND('депозитный калькулятор'!$G$10="еженедельное",F125='депозитный калькулятор'!$D$8),SUM($H$23:H125)-SUM($I$23:I124),IF(AND('депозитный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недели",WEEKDAY(F125,2)=7),MIN(OFFSET(H125,-6,0):H125)*(COUNTIF(OFFSET(H125,-6,0):H125,"&gt;0")+SUMIF(OFFSET(A125,-WEEKDAY(F125,2),0):A125,"=2",OFFSET(A125,-WEEKDAY(F125,2),0):A125)),IF(AND('депозитный калькулятор'!$G$10="еженедельное, на минимальную сумму зафиксированную в течение недели",F125='депозитный калькулятор'!$D$8,WEEKDAY(F125,2)&lt;&gt;7),MIN(OFFSET(H125,-WEEKDAY(F125,2),0):H125)*(COUNTIF(OFFSET(H125,-WEEKDAY(F125,2)+1,0):H125,"&gt;0")+SUM(OFFSET(A125,-WEEKDAY(F125,2),0):A125)),IF(AND('депозитный калькулятор'!$G$10="ежемесячное (в конце месяца)",F125='депозитный калькулятор'!$D$8,EOMONTH(F125,0)&lt;&gt;F125),IF('депозитный калькулятор'!$F$1=1,$H$24,SUM($H$23:H125)-SUM($I$23:I124)),IF(AND('депозитный калькулятор'!$G$10="ежемесячное (в конце месяца)",EOMONTH(F125,0)=F125),SUM($H$23:H125)-SUM($I$23:I124),IF(AND('депозитный калькулятор'!$G$10="ежемесячное (по дням открытия вклада)",F125='депозитный калькулятор'!$D$8,DAY('депозитный калькулятор'!$D$7)&lt;&gt;DAY(F125)),IF('депозитный калькулятор'!$F$1=1,$H$24,SUM($H$23:H125)-SUM($I$23:I124)),IF(AND('депозитный калькулятор'!$G$10="ежемесячное (по дням открытия вклада)",DAY('депозитный калькулятор'!$D$7)=DAY(F125)),SUM($H$23:H125)-SUM($I$23:I124),IF(AND('депозитный калькулятор'!$G$10="ежемесячное, на минимальную сумму зафиксированную в течение месяца",F125='депозитный калькулятор'!$D$8,EOMONTH(F125,0)&lt;&gt;F125),IF('депозитный калькулятор'!$F$1=1,$H$24,IF(AND(OR('депозитный калькулятор'!$G$7="30/365",'депозитный калькулятор'!$G$7="30/360"),DAY(F125)=31),0,MIN(OFFSET(H125,-E125+1,0):H125)*(E125+SUMIF(OFFSET(A125,-E125+1,0):A125,"=2",OFFSET(A125,-E125+1,0):A125)))),IF(AND('депозитный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калькулятор'!$G$7="30/360"),DAY(EOMONTH(F125,0))=31),EOMONTH(F125,0)-1=F125,EOMONTH(F125,0)=F125)),IF(IF(AND(OR('депозитный калькулятор'!$G$7="30/365",'депозитный калькулятор'!$G$7="30/360"),DAY(EOMONTH($F$23,0))=31),F125=EOMONTH($F$23,0)-1,F125=EOMONTH($F$23,0)),MIN(OFFSET(H125,-(DAY(F125)-DAY($F$23)),0):H125)*E125,MIN(OFFSET(H125,-(DAY(F125)-1),0):H125)*IF(AND(OR('депозитный калькулятор'!$G$7="30/365",'депозитный калькулятор'!$G$7="30/360"),DAY(F125)&lt;30),30,DAY(F125))),IF(AND('депозитный калькулятор'!$G$10="ежемесячное, на средний остаток в течение месяца, при условии что остаток больше чем ограничение",F125='депозитный калькулятор'!$D$8,EOMONTH(F125,0)&lt;&gt;F125),IF('депозитный калькулятор'!$F$1=1,$H$24,SUM(OFFSET(Q125,-E125+1,0):Q125)),IF(AND('депозитный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калькулятор'!$G$7="30/360"),DAY(EOMONTH(F125,0))=31),EOMONTH(F125,0)-1=F125,EOMONTH(F125,0)=F125)),IF(IF(AND(OR('депозитный калькулятор'!$G$7="30/365",'депозитный калькулятор'!$G$7="30/360"),DAY(EOMONTH($F$24,0))=31),F125=EOMONTH($F$24,0)-1,F125=EOMONTH($F$24,0)),SUM(OFFSET(Q125,-E125+1,0):Q125),SUM(OFFSET(Q125,-E125+1,0):Q125)),IF('депозитный калькулятор'!$G$10="ежеквартальное",IF(F125&gt;'депозитный калькулятор'!$D$8," ",IF(AND(EOMONTH(F125,0)=F125,OR(MONTH(F125)=3,MONTH(F125)=6,MONTH(F125)=9,MONTH(F125)=12)),IF(EDATE(F125,-3)&lt;'депозитный калькулятор'!$D$7,SUM($H$23:H125),IF(MOD(YEAR(F125),4)=0,IF(AND(EOMONTH(F125,0)=F125,OR(MONTH(F125)=3,MONTH(F125)=6)),SUM(OFFSET(H125,-90,0):H125),IF(AND(EOMONTH(F125,0)=F125,OR(MONTH(F125)=9,MONTH(F125)=12)),SUM(OFFSET(H125,-91,0):H125))),IF(AND(EOMONTH(F125,0)=F125,MONTH(F125)=3),SUM(OFFSET(H125,-89,0):H125),IF(AND(EOMONTH(F125,0)=F125,MONTH(F125)=6),SUM(OFFSET(H125,-90,0):H125),IF(AND(EOMONTH(F125,0)=F125,OR(MONTH(F125)=9,MONTH(F125)=12)),SUM(OFFSET(H125,-91,0):H125)))))),IF(F125='депозитный калькулятор'!$D$8,SUM($H$23:H125)-SUM($I$23:I124),0))),IF('депозитный калькулятор'!$G$10="ежегодное",IF(F125&gt;'депозитный калькулятор'!$D$8," ",IF(F125='депозитный калькулятор'!$D$8,SUM($H$23:H125)-SUM($I$23:I124),IF(AND(EOMONTH(F125,0)=F125,MONTH(F125)=12),IF(MOD(YEAR(F124),4)=0,IF(F125-'депозитный калькулятор'!$D$7&lt;366,SUM($H$23:H125),SUM(OFFSET(H125,-365,0):H125)),IF(F125-'депозитный калькулятор'!$D$7&lt;365,SUM($H$23:H125),SUM(OFFSET(H125,-364,0):H125))),0))),IF(AND('депозитный калькулятор'!$G$10="в конце срока",'депозитный калькулятор'!$D$8=F125),SUM($H$23:H125),0))))))))))))))))))</f>
        <v xml:space="preserve"> </v>
      </c>
      <c r="J125" s="59" t="str">
        <f>IF(F125&gt;'депозитный калькулятор'!$D$8," ",IF('депозитный калькулятор'!$G$16="нет",0,IF(AND('депозитный калькулятор'!$G$17="разовая (в конце срока)",F125='депозитный калькулятор'!$D$8),'депозитный калькулятор'!$G$18,IF(AND('депозитный калькулятор'!$G$17="ежемесячная",EOMONTH(F124,0)=F124),'депозитный калькулятор'!$G$18,IF(AND('депозитный калькулятор'!$G$17="ежегодная",DAY(F124)=31,MONTH(F124)=12),'депозитный калькулятор'!$G$18,IF(AND('депозитный калькулятор'!$G$17="ежемесячная в зависимости от остатка",EOMONTH(F124,0)=F124,P124&gt;0),'депозитный калькулятор'!$G$18,IF(AND('депозитный калькулятор'!$G$17="ежегодная в зависимости от остатка",DAY(F124)=31,MONTH(F124)=12,P124&gt;0),'депозитный калькулятор'!$G$18,0)))))))</f>
        <v xml:space="preserve"> </v>
      </c>
      <c r="K125" s="135" t="str">
        <f>IF($F125=" "," ",IFERROR(VLOOKUP($F125,'депозитный калькулятор'!$B$26:$F$70,2,0),0))</f>
        <v xml:space="preserve"> </v>
      </c>
      <c r="L125" s="135" t="str">
        <f>IF($F125=" "," ",IFERROR(VLOOKUP($F125,'депозитный калькулятор'!$B$26:$F$70,3,0),0))</f>
        <v xml:space="preserve"> </v>
      </c>
      <c r="M125" s="135" t="str">
        <f>IF($F125=" "," ",IFERROR(VLOOKUP($F125,'депозитный калькулятор'!$B$26:$F$70,4,0),0))</f>
        <v xml:space="preserve"> </v>
      </c>
      <c r="N125" s="135" t="str">
        <f>IF($F125=" "," ",IFERROR(VLOOKUP($F125,'депозитный калькулятор'!$B$26:$F$70,5,0),0))</f>
        <v xml:space="preserve"> </v>
      </c>
      <c r="O125" s="146" t="str">
        <f>IF(F125&gt;'депозитный калькулятор'!$D$8," ",IF(F125='депозитный калькулятор'!$D$8,IF(AND($F$24='депозитный калькулятор'!$D$8,'депозитный калькулятор'!$G$13="нет"),-G125-IF(I125=" ",0,I125)-IF(AND(OR('депозитный калькулятор'!$G$7="30/365",'депозитный калькулятор'!$G$7="30/360"),'депозитный калькулятор'!$G$10="в начале срока"),I124,0)-L125+M125-N125,-G125-IF(I125=" ",0,I125)-L125+M125-N125),IF('депозитный калькулятор'!$G$13="есть",M125-N125+IF('депозитный калькулятор'!$G$14="есть",0,-L125),-IF(I125=" ",0,I125)-IF(AND(OR('депозитный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срока"),I124,0)+M125-N125+IF('депозитный калькулятор'!$G$14="есть",0,-L125))))</f>
        <v xml:space="preserve"> </v>
      </c>
      <c r="P125" s="147" t="str">
        <f>IF(F125&gt;'депозитный калькулятор'!$D$8," ",IF(EOMONTH(F124,0)=F124,0,IF(G125&gt;='депозитный калькулятор'!$G$19,P124,P124+1)))</f>
        <v xml:space="preserve"> </v>
      </c>
      <c r="Q125" s="138" t="str">
        <f>IF(F125=" "," ",IF(AND(OR('депозитный калькулятор'!$G$7="30/365",'депозитный калькулятор'!$G$7="30/360"),AND(MONTH(F125)=2,EOMONTH(F125,0)=F125)),IF(DAY(F125)=28,3,2),1)*IF(G125&gt;='депозитный калькулятор'!$G$11,IF(AND('депозитный калькулятор'!$G$7="факт/факт",MOD(YEAR(F125),4)=0),G125*'депозитный калькулятор'!$D$11/366,G125*'депозитный калькулятор'!$G$8),0))</f>
        <v xml:space="preserve"> </v>
      </c>
      <c r="R125" s="148"/>
      <c r="S125" s="62" t="str">
        <f t="shared" ca="1" si="7"/>
        <v xml:space="preserve"> </v>
      </c>
      <c r="T125" s="149" t="str">
        <f ca="1">IF(S125=" "," ",IF('депозитный калькулятор'!$G$7="30/360",DAYS360(U124,IF(DAY(U125)=31,U125-1,U125))+IF(AND(MONTH(U125)=2,U125=EOMONTH(U125,0)),30-DAY(EOMONTH(U125,0)))+T124,VLOOKUP(S125,$C$22:$F$1023,2,0)))</f>
        <v xml:space="preserve"> </v>
      </c>
      <c r="U125" s="64" t="str">
        <f t="shared" ca="1" si="5"/>
        <v xml:space="preserve"> </v>
      </c>
      <c r="V125" s="150" t="str">
        <f t="shared" ca="1" si="8"/>
        <v xml:space="preserve"> </v>
      </c>
      <c r="W125" s="62" t="str">
        <f t="shared" ca="1" si="9"/>
        <v xml:space="preserve"> </v>
      </c>
      <c r="X125" s="141" t="str">
        <f ca="1">IF(S125=" "," ",IFERROR(VLOOKUP(U125,$F$23:$N$1023,7)+VLOOKUP(U125,$F$23:$N$1023,9)+IF(AND('депозитный калькулятор'!$G$13="нет",U125&lt;&gt;'депозитный калькулятор'!$D$8),VLOOKUP(U125,$F$23:$N$1023,4),0),0)+IF(U125='депозитный калькулятор'!$D$8,VLOOKUP(U125,$F$23:$N$1023,2)+VLOOKUP(U125,$F$23:$N$1023,4),0))</f>
        <v xml:space="preserve"> </v>
      </c>
      <c r="Y125" s="142" t="str">
        <f ca="1">IF(S125=" "," ",W125/(1+'депозитный калькулятор'!$K$8)^(T125/IF('депозитный калькулятор'!$G$7="30/360",360,365)))</f>
        <v xml:space="preserve"> </v>
      </c>
      <c r="Z125" s="142" t="str">
        <f ca="1">IF(S125=" "," ",X125/(1+'депозитный калькулятор'!$K$8)^(T125/IF('депозитный калькулятор'!$G$7="30/360",360,365)))</f>
        <v xml:space="preserve"> </v>
      </c>
      <c r="AA125" s="151"/>
      <c r="AB125" s="151"/>
      <c r="AC125" s="155"/>
      <c r="AD125" s="155"/>
    </row>
    <row r="126" spans="1:30" s="2" customFormat="1" ht="15.5" x14ac:dyDescent="0.35">
      <c r="A126" s="41" t="str">
        <f>IF(F126=" "," ",IF(OR('депозитный калькулятор'!$G$7="30/365",'депозитный калькулятор'!$G$7="30/360"),IF(AND(MONTH(F126)=2,DAY(F126)=DAY(EOMONTH(F126,0))),30-DAY(EOMONTH(F126,0)),IF(DAY(F126)=31,1," "))," "))</f>
        <v xml:space="preserve"> </v>
      </c>
      <c r="B126" s="130" t="str">
        <f t="shared" si="6"/>
        <v xml:space="preserve"> </v>
      </c>
      <c r="C126" s="130" t="str">
        <f>IF(OR(B126=0,B126=" ")," ",SUM($B$23:B126))</f>
        <v xml:space="preserve"> </v>
      </c>
      <c r="D126" s="62" t="str">
        <f>IF(D125=" "," ",IF(OR(F125='депозитный калькулятор'!$D$8,F125=" ")," ",D125+1))</f>
        <v xml:space="preserve"> </v>
      </c>
      <c r="E126" s="130" t="str">
        <f>IF(OR(F125='депозитный калькулятор'!$D$8,F125=" ")," ",IF(EOMONTH(F125,0)=F125,1,E125+1))</f>
        <v xml:space="preserve"> </v>
      </c>
      <c r="F126" s="64" t="str">
        <f>IF(F125=" "," ",IF(F125='депозитный калькулятор'!$D$8," ",F125+1))</f>
        <v xml:space="preserve"> </v>
      </c>
      <c r="G126" s="145" t="str">
        <f xml:space="preserve"> IF(F126&gt;'депозитный калькулятор'!$D$8," ",IF('депозитный калькулятор'!$G$13="есть",IF('депозитный калькулятор'!$G$14="есть",G125+IF(I125=" ",0,I125)-J126-K126+L126+M126-N126,G125+IF(I125=" ",0,I125)-J126-K126+M126-N126),IF('депозитный калькулятор'!$G$14="есть",G125-J126-K126+L126+M126-N126,G125-J126-K126+M126-N126)))</f>
        <v xml:space="preserve"> </v>
      </c>
      <c r="H126" s="133" t="str">
        <f>IF(F126&gt;'депозитный калькулятор'!$D$8," ",IF(AND(OR('депозитный калькулятор'!$G$7="30/365",'депозитный калькулятор'!$G$7="30/360"),AND(MONTH(F126)=2,EOMONTH(F126,0)=F126)),IF(DAY(F126)=28,3*G126*'депозитный калькулятор'!$G$8,2*G126*'депозитный калькулятор'!$G$8),IF(AND(OR('депозитный калькулятор'!$G$7="30/365",'депозитный калькулятор'!$G$7="30/360"),DAY(F126)=31)," ",IF(AND('депозитный калькулятор'!$G$7="факт/факт",MOD(YEAR(F126),4)=0),G126*'депозитный калькулятор'!$D$11/366,G126*'депозитный калькулятор'!$G$8))))</f>
        <v xml:space="preserve"> </v>
      </c>
      <c r="I126" s="134" t="str">
        <f ca="1">IF(F126=" "," ",IF('депозитный калькулятор'!$G$10="ежедневное",H126,IF(AND('депозитный калькулятор'!$G$10="еженедельное",WEEKDAY(F126,2)=7),SUM(OFFSET(H126,-6,0):H126),IF(AND('депозитный калькулятор'!$G$10="еженедельное",F126='депозитный калькулятор'!$D$8),SUM($H$23:H126)-SUM($I$23:I125),IF(AND('депозитный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недели",WEEKDAY(F126,2)=7),MIN(OFFSET(H126,-6,0):H126)*(COUNTIF(OFFSET(H126,-6,0):H126,"&gt;0")+SUMIF(OFFSET(A126,-WEEKDAY(F126,2),0):A126,"=2",OFFSET(A126,-WEEKDAY(F126,2),0):A126)),IF(AND('депозитный калькулятор'!$G$10="еженедельное, на минимальную сумму зафиксированную в течение недели",F126='депозитный калькулятор'!$D$8,WEEKDAY(F126,2)&lt;&gt;7),MIN(OFFSET(H126,-WEEKDAY(F126,2),0):H126)*(COUNTIF(OFFSET(H126,-WEEKDAY(F126,2)+1,0):H126,"&gt;0")+SUM(OFFSET(A126,-WEEKDAY(F126,2),0):A126)),IF(AND('депозитный калькулятор'!$G$10="ежемесячное (в конце месяца)",F126='депозитный калькулятор'!$D$8,EOMONTH(F126,0)&lt;&gt;F126),IF('депозитный калькулятор'!$F$1=1,$H$24,SUM($H$23:H126)-SUM($I$23:I125)),IF(AND('депозитный калькулятор'!$G$10="ежемесячное (в конце месяца)",EOMONTH(F126,0)=F126),SUM($H$23:H126)-SUM($I$23:I125),IF(AND('депозитный калькулятор'!$G$10="ежемесячное (по дням открытия вклада)",F126='депозитный калькулятор'!$D$8,DAY('депозитный калькулятор'!$D$7)&lt;&gt;DAY(F126)),IF('депозитный калькулятор'!$F$1=1,$H$24,SUM($H$23:H126)-SUM($I$23:I125)),IF(AND('депозитный калькулятор'!$G$10="ежемесячное (по дням открытия вклада)",DAY('депозитный калькулятор'!$D$7)=DAY(F126)),SUM($H$23:H126)-SUM($I$23:I125),IF(AND('депозитный калькулятор'!$G$10="ежемесячное, на минимальную сумму зафиксированную в течение месяца",F126='депозитный калькулятор'!$D$8,EOMONTH(F126,0)&lt;&gt;F126),IF('депозитный калькулятор'!$F$1=1,$H$24,IF(AND(OR('депозитный калькулятор'!$G$7="30/365",'депозитный калькулятор'!$G$7="30/360"),DAY(F126)=31),0,MIN(OFFSET(H126,-E126+1,0):H126)*(E126+SUMIF(OFFSET(A126,-E126+1,0):A126,"=2",OFFSET(A126,-E126+1,0):A126)))),IF(AND('депозитный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калькулятор'!$G$7="30/360"),DAY(EOMONTH(F126,0))=31),EOMONTH(F126,0)-1=F126,EOMONTH(F126,0)=F126)),IF(IF(AND(OR('депозитный калькулятор'!$G$7="30/365",'депозитный калькулятор'!$G$7="30/360"),DAY(EOMONTH($F$23,0))=31),F126=EOMONTH($F$23,0)-1,F126=EOMONTH($F$23,0)),MIN(OFFSET(H126,-(DAY(F126)-DAY($F$23)),0):H126)*E126,MIN(OFFSET(H126,-(DAY(F126)-1),0):H126)*IF(AND(OR('депозитный калькулятор'!$G$7="30/365",'депозитный калькулятор'!$G$7="30/360"),DAY(F126)&lt;30),30,DAY(F126))),IF(AND('депозитный калькулятор'!$G$10="ежемесячное, на средний остаток в течение месяца, при условии что остаток больше чем ограничение",F126='депозитный калькулятор'!$D$8,EOMONTH(F126,0)&lt;&gt;F126),IF('депозитный калькулятор'!$F$1=1,$H$24,SUM(OFFSET(Q126,-E126+1,0):Q126)),IF(AND('депозитный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калькулятор'!$G$7="30/360"),DAY(EOMONTH(F126,0))=31),EOMONTH(F126,0)-1=F126,EOMONTH(F126,0)=F126)),IF(IF(AND(OR('депозитный калькулятор'!$G$7="30/365",'депозитный калькулятор'!$G$7="30/360"),DAY(EOMONTH($F$24,0))=31),F126=EOMONTH($F$24,0)-1,F126=EOMONTH($F$24,0)),SUM(OFFSET(Q126,-E126+1,0):Q126),SUM(OFFSET(Q126,-E126+1,0):Q126)),IF('депозитный калькулятор'!$G$10="ежеквартальное",IF(F126&gt;'депозитный калькулятор'!$D$8," ",IF(AND(EOMONTH(F126,0)=F126,OR(MONTH(F126)=3,MONTH(F126)=6,MONTH(F126)=9,MONTH(F126)=12)),IF(EDATE(F126,-3)&lt;'депозитный калькулятор'!$D$7,SUM($H$23:H126),IF(MOD(YEAR(F126),4)=0,IF(AND(EOMONTH(F126,0)=F126,OR(MONTH(F126)=3,MONTH(F126)=6)),SUM(OFFSET(H126,-90,0):H126),IF(AND(EOMONTH(F126,0)=F126,OR(MONTH(F126)=9,MONTH(F126)=12)),SUM(OFFSET(H126,-91,0):H126))),IF(AND(EOMONTH(F126,0)=F126,MONTH(F126)=3),SUM(OFFSET(H126,-89,0):H126),IF(AND(EOMONTH(F126,0)=F126,MONTH(F126)=6),SUM(OFFSET(H126,-90,0):H126),IF(AND(EOMONTH(F126,0)=F126,OR(MONTH(F126)=9,MONTH(F126)=12)),SUM(OFFSET(H126,-91,0):H126)))))),IF(F126='депозитный калькулятор'!$D$8,SUM($H$23:H126)-SUM($I$23:I125),0))),IF('депозитный калькулятор'!$G$10="ежегодное",IF(F126&gt;'депозитный калькулятор'!$D$8," ",IF(F126='депозитный калькулятор'!$D$8,SUM($H$23:H126)-SUM($I$23:I125),IF(AND(EOMONTH(F126,0)=F126,MONTH(F126)=12),IF(MOD(YEAR(F125),4)=0,IF(F126-'депозитный калькулятор'!$D$7&lt;366,SUM($H$23:H126),SUM(OFFSET(H126,-365,0):H126)),IF(F126-'депозитный калькулятор'!$D$7&lt;365,SUM($H$23:H126),SUM(OFFSET(H126,-364,0):H126))),0))),IF(AND('депозитный калькулятор'!$G$10="в конце срока",'депозитный калькулятор'!$D$8=F126),SUM($H$23:H126),0))))))))))))))))))</f>
        <v xml:space="preserve"> </v>
      </c>
      <c r="J126" s="59" t="str">
        <f>IF(F126&gt;'депозитный калькулятор'!$D$8," ",IF('депозитный калькулятор'!$G$16="нет",0,IF(AND('депозитный калькулятор'!$G$17="разовая (в конце срока)",F126='депозитный калькулятор'!$D$8),'депозитный калькулятор'!$G$18,IF(AND('депозитный калькулятор'!$G$17="ежемесячная",EOMONTH(F125,0)=F125),'депозитный калькулятор'!$G$18,IF(AND('депозитный калькулятор'!$G$17="ежегодная",DAY(F125)=31,MONTH(F125)=12),'депозитный калькулятор'!$G$18,IF(AND('депозитный калькулятор'!$G$17="ежемесячная в зависимости от остатка",EOMONTH(F125,0)=F125,P125&gt;0),'депозитный калькулятор'!$G$18,IF(AND('депозитный калькулятор'!$G$17="ежегодная в зависимости от остатка",DAY(F125)=31,MONTH(F125)=12,P125&gt;0),'депозитный калькулятор'!$G$18,0)))))))</f>
        <v xml:space="preserve"> </v>
      </c>
      <c r="K126" s="135" t="str">
        <f>IF($F126=" "," ",IFERROR(VLOOKUP($F126,'депозитный калькулятор'!$B$26:$F$70,2,0),0))</f>
        <v xml:space="preserve"> </v>
      </c>
      <c r="L126" s="135" t="str">
        <f>IF($F126=" "," ",IFERROR(VLOOKUP($F126,'депозитный калькулятор'!$B$26:$F$70,3,0),0))</f>
        <v xml:space="preserve"> </v>
      </c>
      <c r="M126" s="135" t="str">
        <f>IF($F126=" "," ",IFERROR(VLOOKUP($F126,'депозитный калькулятор'!$B$26:$F$70,4,0),0))</f>
        <v xml:space="preserve"> </v>
      </c>
      <c r="N126" s="135" t="str">
        <f>IF($F126=" "," ",IFERROR(VLOOKUP($F126,'депозитный калькулятор'!$B$26:$F$70,5,0),0))</f>
        <v xml:space="preserve"> </v>
      </c>
      <c r="O126" s="146" t="str">
        <f>IF(F126&gt;'депозитный калькулятор'!$D$8," ",IF(F126='депозитный калькулятор'!$D$8,IF(AND($F$24='депозитный калькулятор'!$D$8,'депозитный калькулятор'!$G$13="нет"),-G126-IF(I126=" ",0,I126)-IF(AND(OR('депозитный калькулятор'!$G$7="30/365",'депозитный калькулятор'!$G$7="30/360"),'депозитный калькулятор'!$G$10="в начале срока"),I125,0)-L126+M126-N126,-G126-IF(I126=" ",0,I126)-L126+M126-N126),IF('депозитный калькулятор'!$G$13="есть",M126-N126+IF('депозитный калькулятор'!$G$14="есть",0,-L126),-IF(I126=" ",0,I126)-IF(AND(OR('депозитный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срока"),I125,0)+M126-N126+IF('депозитный калькулятор'!$G$14="есть",0,-L126))))</f>
        <v xml:space="preserve"> </v>
      </c>
      <c r="P126" s="147" t="str">
        <f>IF(F126&gt;'депозитный калькулятор'!$D$8," ",IF(EOMONTH(F125,0)=F125,0,IF(G126&gt;='депозитный калькулятор'!$G$19,P125,P125+1)))</f>
        <v xml:space="preserve"> </v>
      </c>
      <c r="Q126" s="138" t="str">
        <f>IF(F126=" "," ",IF(AND(OR('депозитный калькулятор'!$G$7="30/365",'депозитный калькулятор'!$G$7="30/360"),AND(MONTH(F126)=2,EOMONTH(F126,0)=F126)),IF(DAY(F126)=28,3,2),1)*IF(G126&gt;='депозитный калькулятор'!$G$11,IF(AND('депозитный калькулятор'!$G$7="факт/факт",MOD(YEAR(F126),4)=0),G126*'депозитный калькулятор'!$D$11/366,G126*'депозитный калькулятор'!$G$8),0))</f>
        <v xml:space="preserve"> </v>
      </c>
      <c r="R126" s="148"/>
      <c r="S126" s="62" t="str">
        <f t="shared" ca="1" si="7"/>
        <v xml:space="preserve"> </v>
      </c>
      <c r="T126" s="149" t="str">
        <f ca="1">IF(S126=" "," ",IF('депозитный калькулятор'!$G$7="30/360",DAYS360(U125,IF(DAY(U126)=31,U126-1,U126))+IF(AND(MONTH(U126)=2,U126=EOMONTH(U126,0)),30-DAY(EOMONTH(U126,0)))+T125,VLOOKUP(S126,$C$22:$F$1023,2,0)))</f>
        <v xml:space="preserve"> </v>
      </c>
      <c r="U126" s="64" t="str">
        <f t="shared" ca="1" si="5"/>
        <v xml:space="preserve"> </v>
      </c>
      <c r="V126" s="150" t="str">
        <f t="shared" ca="1" si="8"/>
        <v xml:space="preserve"> </v>
      </c>
      <c r="W126" s="62" t="str">
        <f t="shared" ca="1" si="9"/>
        <v xml:space="preserve"> </v>
      </c>
      <c r="X126" s="141" t="str">
        <f ca="1">IF(S126=" "," ",IFERROR(VLOOKUP(U126,$F$23:$N$1023,7)+VLOOKUP(U126,$F$23:$N$1023,9)+IF(AND('депозитный калькулятор'!$G$13="нет",U126&lt;&gt;'депозитный калькулятор'!$D$8),VLOOKUP(U126,$F$23:$N$1023,4),0),0)+IF(U126='депозитный калькулятор'!$D$8,VLOOKUP(U126,$F$23:$N$1023,2)+VLOOKUP(U126,$F$23:$N$1023,4),0))</f>
        <v xml:space="preserve"> </v>
      </c>
      <c r="Y126" s="142" t="str">
        <f ca="1">IF(S126=" "," ",W126/(1+'депозитный калькулятор'!$K$8)^(T126/IF('депозитный калькулятор'!$G$7="30/360",360,365)))</f>
        <v xml:space="preserve"> </v>
      </c>
      <c r="Z126" s="142" t="str">
        <f ca="1">IF(S126=" "," ",X126/(1+'депозитный калькулятор'!$K$8)^(T126/IF('депозитный калькулятор'!$G$7="30/360",360,365)))</f>
        <v xml:space="preserve"> </v>
      </c>
      <c r="AA126" s="151"/>
      <c r="AB126" s="151"/>
      <c r="AC126" s="155"/>
      <c r="AD126" s="155"/>
    </row>
    <row r="127" spans="1:30" s="2" customFormat="1" ht="15.5" x14ac:dyDescent="0.35">
      <c r="A127" s="41" t="str">
        <f>IF(F127=" "," ",IF(OR('депозитный калькулятор'!$G$7="30/365",'депозитный калькулятор'!$G$7="30/360"),IF(AND(MONTH(F127)=2,DAY(F127)=DAY(EOMONTH(F127,0))),30-DAY(EOMONTH(F127,0)),IF(DAY(F127)=31,1," "))," "))</f>
        <v xml:space="preserve"> </v>
      </c>
      <c r="B127" s="130" t="str">
        <f t="shared" si="6"/>
        <v xml:space="preserve"> </v>
      </c>
      <c r="C127" s="130" t="str">
        <f>IF(OR(B127=0,B127=" ")," ",SUM($B$23:B127))</f>
        <v xml:space="preserve"> </v>
      </c>
      <c r="D127" s="62" t="str">
        <f>IF(D126=" "," ",IF(OR(F126='депозитный калькулятор'!$D$8,F126=" ")," ",D126+1))</f>
        <v xml:space="preserve"> </v>
      </c>
      <c r="E127" s="130" t="str">
        <f>IF(OR(F126='депозитный калькулятор'!$D$8,F126=" ")," ",IF(EOMONTH(F126,0)=F126,1,E126+1))</f>
        <v xml:space="preserve"> </v>
      </c>
      <c r="F127" s="64" t="str">
        <f>IF(F126=" "," ",IF(F126='депозитный калькулятор'!$D$8," ",F126+1))</f>
        <v xml:space="preserve"> </v>
      </c>
      <c r="G127" s="145" t="str">
        <f xml:space="preserve"> IF(F127&gt;'депозитный калькулятор'!$D$8," ",IF('депозитный калькулятор'!$G$13="есть",IF('депозитный калькулятор'!$G$14="есть",G126+IF(I126=" ",0,I126)-J127-K127+L127+M127-N127,G126+IF(I126=" ",0,I126)-J127-K127+M127-N127),IF('депозитный калькулятор'!$G$14="есть",G126-J127-K127+L127+M127-N127,G126-J127-K127+M127-N127)))</f>
        <v xml:space="preserve"> </v>
      </c>
      <c r="H127" s="133" t="str">
        <f>IF(F127&gt;'депозитный калькулятор'!$D$8," ",IF(AND(OR('депозитный калькулятор'!$G$7="30/365",'депозитный калькулятор'!$G$7="30/360"),AND(MONTH(F127)=2,EOMONTH(F127,0)=F127)),IF(DAY(F127)=28,3*G127*'депозитный калькулятор'!$G$8,2*G127*'депозитный калькулятор'!$G$8),IF(AND(OR('депозитный калькулятор'!$G$7="30/365",'депозитный калькулятор'!$G$7="30/360"),DAY(F127)=31)," ",IF(AND('депозитный калькулятор'!$G$7="факт/факт",MOD(YEAR(F127),4)=0),G127*'депозитный калькулятор'!$D$11/366,G127*'депозитный калькулятор'!$G$8))))</f>
        <v xml:space="preserve"> </v>
      </c>
      <c r="I127" s="134" t="str">
        <f ca="1">IF(F127=" "," ",IF('депозитный калькулятор'!$G$10="ежедневное",H127,IF(AND('депозитный калькулятор'!$G$10="еженедельное",WEEKDAY(F127,2)=7),SUM(OFFSET(H127,-6,0):H127),IF(AND('депозитный калькулятор'!$G$10="еженедельное",F127='депозитный калькулятор'!$D$8),SUM($H$23:H127)-SUM($I$23:I126),IF(AND('депозитный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недели",WEEKDAY(F127,2)=7),MIN(OFFSET(H127,-6,0):H127)*(COUNTIF(OFFSET(H127,-6,0):H127,"&gt;0")+SUMIF(OFFSET(A127,-WEEKDAY(F127,2),0):A127,"=2",OFFSET(A127,-WEEKDAY(F127,2),0):A127)),IF(AND('депозитный калькулятор'!$G$10="еженедельное, на минимальную сумму зафиксированную в течение недели",F127='депозитный калькулятор'!$D$8,WEEKDAY(F127,2)&lt;&gt;7),MIN(OFFSET(H127,-WEEKDAY(F127,2),0):H127)*(COUNTIF(OFFSET(H127,-WEEKDAY(F127,2)+1,0):H127,"&gt;0")+SUM(OFFSET(A127,-WEEKDAY(F127,2),0):A127)),IF(AND('депозитный калькулятор'!$G$10="ежемесячное (в конце месяца)",F127='депозитный калькулятор'!$D$8,EOMONTH(F127,0)&lt;&gt;F127),IF('депозитный калькулятор'!$F$1=1,$H$24,SUM($H$23:H127)-SUM($I$23:I126)),IF(AND('депозитный калькулятор'!$G$10="ежемесячное (в конце месяца)",EOMONTH(F127,0)=F127),SUM($H$23:H127)-SUM($I$23:I126),IF(AND('депозитный калькулятор'!$G$10="ежемесячное (по дням открытия вклада)",F127='депозитный калькулятор'!$D$8,DAY('депозитный калькулятор'!$D$7)&lt;&gt;DAY(F127)),IF('депозитный калькулятор'!$F$1=1,$H$24,SUM($H$23:H127)-SUM($I$23:I126)),IF(AND('депозитный калькулятор'!$G$10="ежемесячное (по дням открытия вклада)",DAY('депозитный калькулятор'!$D$7)=DAY(F127)),SUM($H$23:H127)-SUM($I$23:I126),IF(AND('депозитный калькулятор'!$G$10="ежемесячное, на минимальную сумму зафиксированную в течение месяца",F127='депозитный калькулятор'!$D$8,EOMONTH(F127,0)&lt;&gt;F127),IF('депозитный калькулятор'!$F$1=1,$H$24,IF(AND(OR('депозитный калькулятор'!$G$7="30/365",'депозитный калькулятор'!$G$7="30/360"),DAY(F127)=31),0,MIN(OFFSET(H127,-E127+1,0):H127)*(E127+SUMIF(OFFSET(A127,-E127+1,0):A127,"=2",OFFSET(A127,-E127+1,0):A127)))),IF(AND('депозитный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калькулятор'!$G$7="30/360"),DAY(EOMONTH(F127,0))=31),EOMONTH(F127,0)-1=F127,EOMONTH(F127,0)=F127)),IF(IF(AND(OR('депозитный калькулятор'!$G$7="30/365",'депозитный калькулятор'!$G$7="30/360"),DAY(EOMONTH($F$23,0))=31),F127=EOMONTH($F$23,0)-1,F127=EOMONTH($F$23,0)),MIN(OFFSET(H127,-(DAY(F127)-DAY($F$23)),0):H127)*E127,MIN(OFFSET(H127,-(DAY(F127)-1),0):H127)*IF(AND(OR('депозитный калькулятор'!$G$7="30/365",'депозитный калькулятор'!$G$7="30/360"),DAY(F127)&lt;30),30,DAY(F127))),IF(AND('депозитный калькулятор'!$G$10="ежемесячное, на средний остаток в течение месяца, при условии что остаток больше чем ограничение",F127='депозитный калькулятор'!$D$8,EOMONTH(F127,0)&lt;&gt;F127),IF('депозитный калькулятор'!$F$1=1,$H$24,SUM(OFFSET(Q127,-E127+1,0):Q127)),IF(AND('депозитный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калькулятор'!$G$7="30/360"),DAY(EOMONTH(F127,0))=31),EOMONTH(F127,0)-1=F127,EOMONTH(F127,0)=F127)),IF(IF(AND(OR('депозитный калькулятор'!$G$7="30/365",'депозитный калькулятор'!$G$7="30/360"),DAY(EOMONTH($F$24,0))=31),F127=EOMONTH($F$24,0)-1,F127=EOMONTH($F$24,0)),SUM(OFFSET(Q127,-E127+1,0):Q127),SUM(OFFSET(Q127,-E127+1,0):Q127)),IF('депозитный калькулятор'!$G$10="ежеквартальное",IF(F127&gt;'депозитный калькулятор'!$D$8," ",IF(AND(EOMONTH(F127,0)=F127,OR(MONTH(F127)=3,MONTH(F127)=6,MONTH(F127)=9,MONTH(F127)=12)),IF(EDATE(F127,-3)&lt;'депозитный калькулятор'!$D$7,SUM($H$23:H127),IF(MOD(YEAR(F127),4)=0,IF(AND(EOMONTH(F127,0)=F127,OR(MONTH(F127)=3,MONTH(F127)=6)),SUM(OFFSET(H127,-90,0):H127),IF(AND(EOMONTH(F127,0)=F127,OR(MONTH(F127)=9,MONTH(F127)=12)),SUM(OFFSET(H127,-91,0):H127))),IF(AND(EOMONTH(F127,0)=F127,MONTH(F127)=3),SUM(OFFSET(H127,-89,0):H127),IF(AND(EOMONTH(F127,0)=F127,MONTH(F127)=6),SUM(OFFSET(H127,-90,0):H127),IF(AND(EOMONTH(F127,0)=F127,OR(MONTH(F127)=9,MONTH(F127)=12)),SUM(OFFSET(H127,-91,0):H127)))))),IF(F127='депозитный калькулятор'!$D$8,SUM($H$23:H127)-SUM($I$23:I126),0))),IF('депозитный калькулятор'!$G$10="ежегодное",IF(F127&gt;'депозитный калькулятор'!$D$8," ",IF(F127='депозитный калькулятор'!$D$8,SUM($H$23:H127)-SUM($I$23:I126),IF(AND(EOMONTH(F127,0)=F127,MONTH(F127)=12),IF(MOD(YEAR(F126),4)=0,IF(F127-'депозитный калькулятор'!$D$7&lt;366,SUM($H$23:H127),SUM(OFFSET(H127,-365,0):H127)),IF(F127-'депозитный калькулятор'!$D$7&lt;365,SUM($H$23:H127),SUM(OFFSET(H127,-364,0):H127))),0))),IF(AND('депозитный калькулятор'!$G$10="в конце срока",'депозитный калькулятор'!$D$8=F127),SUM($H$23:H127),0))))))))))))))))))</f>
        <v xml:space="preserve"> </v>
      </c>
      <c r="J127" s="59" t="str">
        <f>IF(F127&gt;'депозитный калькулятор'!$D$8," ",IF('депозитный калькулятор'!$G$16="нет",0,IF(AND('депозитный калькулятор'!$G$17="разовая (в конце срока)",F127='депозитный калькулятор'!$D$8),'депозитный калькулятор'!$G$18,IF(AND('депозитный калькулятор'!$G$17="ежемесячная",EOMONTH(F126,0)=F126),'депозитный калькулятор'!$G$18,IF(AND('депозитный калькулятор'!$G$17="ежегодная",DAY(F126)=31,MONTH(F126)=12),'депозитный калькулятор'!$G$18,IF(AND('депозитный калькулятор'!$G$17="ежемесячная в зависимости от остатка",EOMONTH(F126,0)=F126,P126&gt;0),'депозитный калькулятор'!$G$18,IF(AND('депозитный калькулятор'!$G$17="ежегодная в зависимости от остатка",DAY(F126)=31,MONTH(F126)=12,P126&gt;0),'депозитный калькулятор'!$G$18,0)))))))</f>
        <v xml:space="preserve"> </v>
      </c>
      <c r="K127" s="135" t="str">
        <f>IF($F127=" "," ",IFERROR(VLOOKUP($F127,'депозитный калькулятор'!$B$26:$F$70,2,0),0))</f>
        <v xml:space="preserve"> </v>
      </c>
      <c r="L127" s="135" t="str">
        <f>IF($F127=" "," ",IFERROR(VLOOKUP($F127,'депозитный калькулятор'!$B$26:$F$70,3,0),0))</f>
        <v xml:space="preserve"> </v>
      </c>
      <c r="M127" s="135" t="str">
        <f>IF($F127=" "," ",IFERROR(VLOOKUP($F127,'депозитный калькулятор'!$B$26:$F$70,4,0),0))</f>
        <v xml:space="preserve"> </v>
      </c>
      <c r="N127" s="135" t="str">
        <f>IF($F127=" "," ",IFERROR(VLOOKUP($F127,'депозитный калькулятор'!$B$26:$F$70,5,0),0))</f>
        <v xml:space="preserve"> </v>
      </c>
      <c r="O127" s="146" t="str">
        <f>IF(F127&gt;'депозитный калькулятор'!$D$8," ",IF(F127='депозитный калькулятор'!$D$8,IF(AND($F$24='депозитный калькулятор'!$D$8,'депозитный калькулятор'!$G$13="нет"),-G127-IF(I127=" ",0,I127)-IF(AND(OR('депозитный калькулятор'!$G$7="30/365",'депозитный калькулятор'!$G$7="30/360"),'депозитный калькулятор'!$G$10="в начале срока"),I126,0)-L127+M127-N127,-G127-IF(I127=" ",0,I127)-L127+M127-N127),IF('депозитный калькулятор'!$G$13="есть",M127-N127+IF('депозитный калькулятор'!$G$14="есть",0,-L127),-IF(I127=" ",0,I127)-IF(AND(OR('депозитный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срока"),I126,0)+M127-N127+IF('депозитный калькулятор'!$G$14="есть",0,-L127))))</f>
        <v xml:space="preserve"> </v>
      </c>
      <c r="P127" s="147" t="str">
        <f>IF(F127&gt;'депозитный калькулятор'!$D$8," ",IF(EOMONTH(F126,0)=F126,0,IF(G127&gt;='депозитный калькулятор'!$G$19,P126,P126+1)))</f>
        <v xml:space="preserve"> </v>
      </c>
      <c r="Q127" s="138" t="str">
        <f>IF(F127=" "," ",IF(AND(OR('депозитный калькулятор'!$G$7="30/365",'депозитный калькулятор'!$G$7="30/360"),AND(MONTH(F127)=2,EOMONTH(F127,0)=F127)),IF(DAY(F127)=28,3,2),1)*IF(G127&gt;='депозитный калькулятор'!$G$11,IF(AND('депозитный калькулятор'!$G$7="факт/факт",MOD(YEAR(F127),4)=0),G127*'депозитный калькулятор'!$D$11/366,G127*'депозитный калькулятор'!$G$8),0))</f>
        <v xml:space="preserve"> </v>
      </c>
      <c r="R127" s="148"/>
      <c r="S127" s="62" t="str">
        <f t="shared" ca="1" si="7"/>
        <v xml:space="preserve"> </v>
      </c>
      <c r="T127" s="149" t="str">
        <f ca="1">IF(S127=" "," ",IF('депозитный калькулятор'!$G$7="30/360",DAYS360(U126,IF(DAY(U127)=31,U127-1,U127))+IF(AND(MONTH(U127)=2,U127=EOMONTH(U127,0)),30-DAY(EOMONTH(U127,0)))+T126,VLOOKUP(S127,$C$22:$F$1023,2,0)))</f>
        <v xml:space="preserve"> </v>
      </c>
      <c r="U127" s="64" t="str">
        <f t="shared" ca="1" si="5"/>
        <v xml:space="preserve"> </v>
      </c>
      <c r="V127" s="150" t="str">
        <f t="shared" ca="1" si="8"/>
        <v xml:space="preserve"> </v>
      </c>
      <c r="W127" s="62" t="str">
        <f t="shared" ca="1" si="9"/>
        <v xml:space="preserve"> </v>
      </c>
      <c r="X127" s="141" t="str">
        <f ca="1">IF(S127=" "," ",IFERROR(VLOOKUP(U127,$F$23:$N$1023,7)+VLOOKUP(U127,$F$23:$N$1023,9)+IF(AND('депозитный калькулятор'!$G$13="нет",U127&lt;&gt;'депозитный калькулятор'!$D$8),VLOOKUP(U127,$F$23:$N$1023,4),0),0)+IF(U127='депозитный калькулятор'!$D$8,VLOOKUP(U127,$F$23:$N$1023,2)+VLOOKUP(U127,$F$23:$N$1023,4),0))</f>
        <v xml:space="preserve"> </v>
      </c>
      <c r="Y127" s="142" t="str">
        <f ca="1">IF(S127=" "," ",W127/(1+'депозитный калькулятор'!$K$8)^(T127/IF('депозитный калькулятор'!$G$7="30/360",360,365)))</f>
        <v xml:space="preserve"> </v>
      </c>
      <c r="Z127" s="142" t="str">
        <f ca="1">IF(S127=" "," ",X127/(1+'депозитный калькулятор'!$K$8)^(T127/IF('депозитный калькулятор'!$G$7="30/360",360,365)))</f>
        <v xml:space="preserve"> </v>
      </c>
      <c r="AA127" s="151"/>
      <c r="AB127" s="151"/>
      <c r="AC127" s="155"/>
      <c r="AD127" s="155"/>
    </row>
    <row r="128" spans="1:30" s="2" customFormat="1" ht="15.5" x14ac:dyDescent="0.35">
      <c r="A128" s="41" t="str">
        <f>IF(F128=" "," ",IF(OR('депозитный калькулятор'!$G$7="30/365",'депозитный калькулятор'!$G$7="30/360"),IF(AND(MONTH(F128)=2,DAY(F128)=DAY(EOMONTH(F128,0))),30-DAY(EOMONTH(F128,0)),IF(DAY(F128)=31,1," "))," "))</f>
        <v xml:space="preserve"> </v>
      </c>
      <c r="B128" s="130" t="str">
        <f t="shared" si="6"/>
        <v xml:space="preserve"> </v>
      </c>
      <c r="C128" s="130" t="str">
        <f>IF(OR(B128=0,B128=" ")," ",SUM($B$23:B128))</f>
        <v xml:space="preserve"> </v>
      </c>
      <c r="D128" s="62" t="str">
        <f>IF(D127=" "," ",IF(OR(F127='депозитный калькулятор'!$D$8,F127=" ")," ",D127+1))</f>
        <v xml:space="preserve"> </v>
      </c>
      <c r="E128" s="130" t="str">
        <f>IF(OR(F127='депозитный калькулятор'!$D$8,F127=" ")," ",IF(EOMONTH(F127,0)=F127,1,E127+1))</f>
        <v xml:space="preserve"> </v>
      </c>
      <c r="F128" s="64" t="str">
        <f>IF(F127=" "," ",IF(F127='депозитный калькулятор'!$D$8," ",F127+1))</f>
        <v xml:space="preserve"> </v>
      </c>
      <c r="G128" s="145" t="str">
        <f xml:space="preserve"> IF(F128&gt;'депозитный калькулятор'!$D$8," ",IF('депозитный калькулятор'!$G$13="есть",IF('депозитный калькулятор'!$G$14="есть",G127+IF(I127=" ",0,I127)-J128-K128+L128+M128-N128,G127+IF(I127=" ",0,I127)-J128-K128+M128-N128),IF('депозитный калькулятор'!$G$14="есть",G127-J128-K128+L128+M128-N128,G127-J128-K128+M128-N128)))</f>
        <v xml:space="preserve"> </v>
      </c>
      <c r="H128" s="133" t="str">
        <f>IF(F128&gt;'депозитный калькулятор'!$D$8," ",IF(AND(OR('депозитный калькулятор'!$G$7="30/365",'депозитный калькулятор'!$G$7="30/360"),AND(MONTH(F128)=2,EOMONTH(F128,0)=F128)),IF(DAY(F128)=28,3*G128*'депозитный калькулятор'!$G$8,2*G128*'депозитный калькулятор'!$G$8),IF(AND(OR('депозитный калькулятор'!$G$7="30/365",'депозитный калькулятор'!$G$7="30/360"),DAY(F128)=31)," ",IF(AND('депозитный калькулятор'!$G$7="факт/факт",MOD(YEAR(F128),4)=0),G128*'депозитный калькулятор'!$D$11/366,G128*'депозитный калькулятор'!$G$8))))</f>
        <v xml:space="preserve"> </v>
      </c>
      <c r="I128" s="134" t="str">
        <f ca="1">IF(F128=" "," ",IF('депозитный калькулятор'!$G$10="ежедневное",H128,IF(AND('депозитный калькулятор'!$G$10="еженедельное",WEEKDAY(F128,2)=7),SUM(OFFSET(H128,-6,0):H128),IF(AND('депозитный калькулятор'!$G$10="еженедельное",F128='депозитный калькулятор'!$D$8),SUM($H$23:H128)-SUM($I$23:I127),IF(AND('депозитный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недели",WEEKDAY(F128,2)=7),MIN(OFFSET(H128,-6,0):H128)*(COUNTIF(OFFSET(H128,-6,0):H128,"&gt;0")+SUMIF(OFFSET(A128,-WEEKDAY(F128,2),0):A128,"=2",OFFSET(A128,-WEEKDAY(F128,2),0):A128)),IF(AND('депозитный калькулятор'!$G$10="еженедельное, на минимальную сумму зафиксированную в течение недели",F128='депозитный калькулятор'!$D$8,WEEKDAY(F128,2)&lt;&gt;7),MIN(OFFSET(H128,-WEEKDAY(F128,2),0):H128)*(COUNTIF(OFFSET(H128,-WEEKDAY(F128,2)+1,0):H128,"&gt;0")+SUM(OFFSET(A128,-WEEKDAY(F128,2),0):A128)),IF(AND('депозитный калькулятор'!$G$10="ежемесячное (в конце месяца)",F128='депозитный калькулятор'!$D$8,EOMONTH(F128,0)&lt;&gt;F128),IF('депозитный калькулятор'!$F$1=1,$H$24,SUM($H$23:H128)-SUM($I$23:I127)),IF(AND('депозитный калькулятор'!$G$10="ежемесячное (в конце месяца)",EOMONTH(F128,0)=F128),SUM($H$23:H128)-SUM($I$23:I127),IF(AND('депозитный калькулятор'!$G$10="ежемесячное (по дням открытия вклада)",F128='депозитный калькулятор'!$D$8,DAY('депозитный калькулятор'!$D$7)&lt;&gt;DAY(F128)),IF('депозитный калькулятор'!$F$1=1,$H$24,SUM($H$23:H128)-SUM($I$23:I127)),IF(AND('депозитный калькулятор'!$G$10="ежемесячное (по дням открытия вклада)",DAY('депозитный калькулятор'!$D$7)=DAY(F128)),SUM($H$23:H128)-SUM($I$23:I127),IF(AND('депозитный калькулятор'!$G$10="ежемесячное, на минимальную сумму зафиксированную в течение месяца",F128='депозитный калькулятор'!$D$8,EOMONTH(F128,0)&lt;&gt;F128),IF('депозитный калькулятор'!$F$1=1,$H$24,IF(AND(OR('депозитный калькулятор'!$G$7="30/365",'депозитный калькулятор'!$G$7="30/360"),DAY(F128)=31),0,MIN(OFFSET(H128,-E128+1,0):H128)*(E128+SUMIF(OFFSET(A128,-E128+1,0):A128,"=2",OFFSET(A128,-E128+1,0):A128)))),IF(AND('депозитный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калькулятор'!$G$7="30/360"),DAY(EOMONTH(F128,0))=31),EOMONTH(F128,0)-1=F128,EOMONTH(F128,0)=F128)),IF(IF(AND(OR('депозитный калькулятор'!$G$7="30/365",'депозитный калькулятор'!$G$7="30/360"),DAY(EOMONTH($F$23,0))=31),F128=EOMONTH($F$23,0)-1,F128=EOMONTH($F$23,0)),MIN(OFFSET(H128,-(DAY(F128)-DAY($F$23)),0):H128)*E128,MIN(OFFSET(H128,-(DAY(F128)-1),0):H128)*IF(AND(OR('депозитный калькулятор'!$G$7="30/365",'депозитный калькулятор'!$G$7="30/360"),DAY(F128)&lt;30),30,DAY(F128))),IF(AND('депозитный калькулятор'!$G$10="ежемесячное, на средний остаток в течение месяца, при условии что остаток больше чем ограничение",F128='депозитный калькулятор'!$D$8,EOMONTH(F128,0)&lt;&gt;F128),IF('депозитный калькулятор'!$F$1=1,$H$24,SUM(OFFSET(Q128,-E128+1,0):Q128)),IF(AND('депозитный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калькулятор'!$G$7="30/360"),DAY(EOMONTH(F128,0))=31),EOMONTH(F128,0)-1=F128,EOMONTH(F128,0)=F128)),IF(IF(AND(OR('депозитный калькулятор'!$G$7="30/365",'депозитный калькулятор'!$G$7="30/360"),DAY(EOMONTH($F$24,0))=31),F128=EOMONTH($F$24,0)-1,F128=EOMONTH($F$24,0)),SUM(OFFSET(Q128,-E128+1,0):Q128),SUM(OFFSET(Q128,-E128+1,0):Q128)),IF('депозитный калькулятор'!$G$10="ежеквартальное",IF(F128&gt;'депозитный калькулятор'!$D$8," ",IF(AND(EOMONTH(F128,0)=F128,OR(MONTH(F128)=3,MONTH(F128)=6,MONTH(F128)=9,MONTH(F128)=12)),IF(EDATE(F128,-3)&lt;'депозитный калькулятор'!$D$7,SUM($H$23:H128),IF(MOD(YEAR(F128),4)=0,IF(AND(EOMONTH(F128,0)=F128,OR(MONTH(F128)=3,MONTH(F128)=6)),SUM(OFFSET(H128,-90,0):H128),IF(AND(EOMONTH(F128,0)=F128,OR(MONTH(F128)=9,MONTH(F128)=12)),SUM(OFFSET(H128,-91,0):H128))),IF(AND(EOMONTH(F128,0)=F128,MONTH(F128)=3),SUM(OFFSET(H128,-89,0):H128),IF(AND(EOMONTH(F128,0)=F128,MONTH(F128)=6),SUM(OFFSET(H128,-90,0):H128),IF(AND(EOMONTH(F128,0)=F128,OR(MONTH(F128)=9,MONTH(F128)=12)),SUM(OFFSET(H128,-91,0):H128)))))),IF(F128='депозитный калькулятор'!$D$8,SUM($H$23:H128)-SUM($I$23:I127),0))),IF('депозитный калькулятор'!$G$10="ежегодное",IF(F128&gt;'депозитный калькулятор'!$D$8," ",IF(F128='депозитный калькулятор'!$D$8,SUM($H$23:H128)-SUM($I$23:I127),IF(AND(EOMONTH(F128,0)=F128,MONTH(F128)=12),IF(MOD(YEAR(F127),4)=0,IF(F128-'депозитный калькулятор'!$D$7&lt;366,SUM($H$23:H128),SUM(OFFSET(H128,-365,0):H128)),IF(F128-'депозитный калькулятор'!$D$7&lt;365,SUM($H$23:H128),SUM(OFFSET(H128,-364,0):H128))),0))),IF(AND('депозитный калькулятор'!$G$10="в конце срока",'депозитный калькулятор'!$D$8=F128),SUM($H$23:H128),0))))))))))))))))))</f>
        <v xml:space="preserve"> </v>
      </c>
      <c r="J128" s="59" t="str">
        <f>IF(F128&gt;'депозитный калькулятор'!$D$8," ",IF('депозитный калькулятор'!$G$16="нет",0,IF(AND('депозитный калькулятор'!$G$17="разовая (в конце срока)",F128='депозитный калькулятор'!$D$8),'депозитный калькулятор'!$G$18,IF(AND('депозитный калькулятор'!$G$17="ежемесячная",EOMONTH(F127,0)=F127),'депозитный калькулятор'!$G$18,IF(AND('депозитный калькулятор'!$G$17="ежегодная",DAY(F127)=31,MONTH(F127)=12),'депозитный калькулятор'!$G$18,IF(AND('депозитный калькулятор'!$G$17="ежемесячная в зависимости от остатка",EOMONTH(F127,0)=F127,P127&gt;0),'депозитный калькулятор'!$G$18,IF(AND('депозитный калькулятор'!$G$17="ежегодная в зависимости от остатка",DAY(F127)=31,MONTH(F127)=12,P127&gt;0),'депозитный калькулятор'!$G$18,0)))))))</f>
        <v xml:space="preserve"> </v>
      </c>
      <c r="K128" s="135" t="str">
        <f>IF($F128=" "," ",IFERROR(VLOOKUP($F128,'депозитный калькулятор'!$B$26:$F$70,2,0),0))</f>
        <v xml:space="preserve"> </v>
      </c>
      <c r="L128" s="135" t="str">
        <f>IF($F128=" "," ",IFERROR(VLOOKUP($F128,'депозитный калькулятор'!$B$26:$F$70,3,0),0))</f>
        <v xml:space="preserve"> </v>
      </c>
      <c r="M128" s="135" t="str">
        <f>IF($F128=" "," ",IFERROR(VLOOKUP($F128,'депозитный калькулятор'!$B$26:$F$70,4,0),0))</f>
        <v xml:space="preserve"> </v>
      </c>
      <c r="N128" s="135" t="str">
        <f>IF($F128=" "," ",IFERROR(VLOOKUP($F128,'депозитный калькулятор'!$B$26:$F$70,5,0),0))</f>
        <v xml:space="preserve"> </v>
      </c>
      <c r="O128" s="146" t="str">
        <f>IF(F128&gt;'депозитный калькулятор'!$D$8," ",IF(F128='депозитный калькулятор'!$D$8,IF(AND($F$24='депозитный калькулятор'!$D$8,'депозитный калькулятор'!$G$13="нет"),-G128-IF(I128=" ",0,I128)-IF(AND(OR('депозитный калькулятор'!$G$7="30/365",'депозитный калькулятор'!$G$7="30/360"),'депозитный калькулятор'!$G$10="в начале срока"),I127,0)-L128+M128-N128,-G128-IF(I128=" ",0,I128)-L128+M128-N128),IF('депозитный калькулятор'!$G$13="есть",M128-N128+IF('депозитный калькулятор'!$G$14="есть",0,-L128),-IF(I128=" ",0,I128)-IF(AND(OR('депозитный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срока"),I127,0)+M128-N128+IF('депозитный калькулятор'!$G$14="есть",0,-L128))))</f>
        <v xml:space="preserve"> </v>
      </c>
      <c r="P128" s="147" t="str">
        <f>IF(F128&gt;'депозитный калькулятор'!$D$8," ",IF(EOMONTH(F127,0)=F127,0,IF(G128&gt;='депозитный калькулятор'!$G$19,P127,P127+1)))</f>
        <v xml:space="preserve"> </v>
      </c>
      <c r="Q128" s="138" t="str">
        <f>IF(F128=" "," ",IF(AND(OR('депозитный калькулятор'!$G$7="30/365",'депозитный калькулятор'!$G$7="30/360"),AND(MONTH(F128)=2,EOMONTH(F128,0)=F128)),IF(DAY(F128)=28,3,2),1)*IF(G128&gt;='депозитный калькулятор'!$G$11,IF(AND('депозитный калькулятор'!$G$7="факт/факт",MOD(YEAR(F128),4)=0),G128*'депозитный калькулятор'!$D$11/366,G128*'депозитный калькулятор'!$G$8),0))</f>
        <v xml:space="preserve"> </v>
      </c>
      <c r="R128" s="148"/>
      <c r="S128" s="62" t="str">
        <f t="shared" ca="1" si="7"/>
        <v xml:space="preserve"> </v>
      </c>
      <c r="T128" s="149" t="str">
        <f ca="1">IF(S128=" "," ",IF('депозитный калькулятор'!$G$7="30/360",DAYS360(U127,IF(DAY(U128)=31,U128-1,U128))+IF(AND(MONTH(U128)=2,U128=EOMONTH(U128,0)),30-DAY(EOMONTH(U128,0)))+T127,VLOOKUP(S128,$C$22:$F$1023,2,0)))</f>
        <v xml:space="preserve"> </v>
      </c>
      <c r="U128" s="64" t="str">
        <f t="shared" ca="1" si="5"/>
        <v xml:space="preserve"> </v>
      </c>
      <c r="V128" s="150" t="str">
        <f t="shared" ca="1" si="8"/>
        <v xml:space="preserve"> </v>
      </c>
      <c r="W128" s="62" t="str">
        <f t="shared" ca="1" si="9"/>
        <v xml:space="preserve"> </v>
      </c>
      <c r="X128" s="141" t="str">
        <f ca="1">IF(S128=" "," ",IFERROR(VLOOKUP(U128,$F$23:$N$1023,7)+VLOOKUP(U128,$F$23:$N$1023,9)+IF(AND('депозитный калькулятор'!$G$13="нет",U128&lt;&gt;'депозитный калькулятор'!$D$8),VLOOKUP(U128,$F$23:$N$1023,4),0),0)+IF(U128='депозитный калькулятор'!$D$8,VLOOKUP(U128,$F$23:$N$1023,2)+VLOOKUP(U128,$F$23:$N$1023,4),0))</f>
        <v xml:space="preserve"> </v>
      </c>
      <c r="Y128" s="142" t="str">
        <f ca="1">IF(S128=" "," ",W128/(1+'депозитный калькулятор'!$K$8)^(T128/IF('депозитный калькулятор'!$G$7="30/360",360,365)))</f>
        <v xml:space="preserve"> </v>
      </c>
      <c r="Z128" s="142" t="str">
        <f ca="1">IF(S128=" "," ",X128/(1+'депозитный калькулятор'!$K$8)^(T128/IF('депозитный калькулятор'!$G$7="30/360",360,365)))</f>
        <v xml:space="preserve"> </v>
      </c>
      <c r="AA128" s="151"/>
      <c r="AB128" s="151"/>
      <c r="AC128" s="155"/>
      <c r="AD128" s="155"/>
    </row>
    <row r="129" spans="1:30" s="2" customFormat="1" ht="15.5" x14ac:dyDescent="0.35">
      <c r="A129" s="41" t="str">
        <f>IF(F129=" "," ",IF(OR('депозитный калькулятор'!$G$7="30/365",'депозитный калькулятор'!$G$7="30/360"),IF(AND(MONTH(F129)=2,DAY(F129)=DAY(EOMONTH(F129,0))),30-DAY(EOMONTH(F129,0)),IF(DAY(F129)=31,1," "))," "))</f>
        <v xml:space="preserve"> </v>
      </c>
      <c r="B129" s="130" t="str">
        <f t="shared" si="6"/>
        <v xml:space="preserve"> </v>
      </c>
      <c r="C129" s="130" t="str">
        <f>IF(OR(B129=0,B129=" ")," ",SUM($B$23:B129))</f>
        <v xml:space="preserve"> </v>
      </c>
      <c r="D129" s="62" t="str">
        <f>IF(D128=" "," ",IF(OR(F128='депозитный калькулятор'!$D$8,F128=" ")," ",D128+1))</f>
        <v xml:space="preserve"> </v>
      </c>
      <c r="E129" s="130" t="str">
        <f>IF(OR(F128='депозитный калькулятор'!$D$8,F128=" ")," ",IF(EOMONTH(F128,0)=F128,1,E128+1))</f>
        <v xml:space="preserve"> </v>
      </c>
      <c r="F129" s="64" t="str">
        <f>IF(F128=" "," ",IF(F128='депозитный калькулятор'!$D$8," ",F128+1))</f>
        <v xml:space="preserve"> </v>
      </c>
      <c r="G129" s="145" t="str">
        <f xml:space="preserve"> IF(F129&gt;'депозитный калькулятор'!$D$8," ",IF('депозитный калькулятор'!$G$13="есть",IF('депозитный калькулятор'!$G$14="есть",G128+IF(I128=" ",0,I128)-J129-K129+L129+M129-N129,G128+IF(I128=" ",0,I128)-J129-K129+M129-N129),IF('депозитный калькулятор'!$G$14="есть",G128-J129-K129+L129+M129-N129,G128-J129-K129+M129-N129)))</f>
        <v xml:space="preserve"> </v>
      </c>
      <c r="H129" s="133" t="str">
        <f>IF(F129&gt;'депозитный калькулятор'!$D$8," ",IF(AND(OR('депозитный калькулятор'!$G$7="30/365",'депозитный калькулятор'!$G$7="30/360"),AND(MONTH(F129)=2,EOMONTH(F129,0)=F129)),IF(DAY(F129)=28,3*G129*'депозитный калькулятор'!$G$8,2*G129*'депозитный калькулятор'!$G$8),IF(AND(OR('депозитный калькулятор'!$G$7="30/365",'депозитный калькулятор'!$G$7="30/360"),DAY(F129)=31)," ",IF(AND('депозитный калькулятор'!$G$7="факт/факт",MOD(YEAR(F129),4)=0),G129*'депозитный калькулятор'!$D$11/366,G129*'депозитный калькулятор'!$G$8))))</f>
        <v xml:space="preserve"> </v>
      </c>
      <c r="I129" s="134" t="str">
        <f ca="1">IF(F129=" "," ",IF('депозитный калькулятор'!$G$10="ежедневное",H129,IF(AND('депозитный калькулятор'!$G$10="еженедельное",WEEKDAY(F129,2)=7),SUM(OFFSET(H129,-6,0):H129),IF(AND('депозитный калькулятор'!$G$10="еженедельное",F129='депозитный калькулятор'!$D$8),SUM($H$23:H129)-SUM($I$23:I128),IF(AND('депозитный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недели",WEEKDAY(F129,2)=7),MIN(OFFSET(H129,-6,0):H129)*(COUNTIF(OFFSET(H129,-6,0):H129,"&gt;0")+SUMIF(OFFSET(A129,-WEEKDAY(F129,2),0):A129,"=2",OFFSET(A129,-WEEKDAY(F129,2),0):A129)),IF(AND('депозитный калькулятор'!$G$10="еженедельное, на минимальную сумму зафиксированную в течение недели",F129='депозитный калькулятор'!$D$8,WEEKDAY(F129,2)&lt;&gt;7),MIN(OFFSET(H129,-WEEKDAY(F129,2),0):H129)*(COUNTIF(OFFSET(H129,-WEEKDAY(F129,2)+1,0):H129,"&gt;0")+SUM(OFFSET(A129,-WEEKDAY(F129,2),0):A129)),IF(AND('депозитный калькулятор'!$G$10="ежемесячное (в конце месяца)",F129='депозитный калькулятор'!$D$8,EOMONTH(F129,0)&lt;&gt;F129),IF('депозитный калькулятор'!$F$1=1,$H$24,SUM($H$23:H129)-SUM($I$23:I128)),IF(AND('депозитный калькулятор'!$G$10="ежемесячное (в конце месяца)",EOMONTH(F129,0)=F129),SUM($H$23:H129)-SUM($I$23:I128),IF(AND('депозитный калькулятор'!$G$10="ежемесячное (по дням открытия вклада)",F129='депозитный калькулятор'!$D$8,DAY('депозитный калькулятор'!$D$7)&lt;&gt;DAY(F129)),IF('депозитный калькулятор'!$F$1=1,$H$24,SUM($H$23:H129)-SUM($I$23:I128)),IF(AND('депозитный калькулятор'!$G$10="ежемесячное (по дням открытия вклада)",DAY('депозитный калькулятор'!$D$7)=DAY(F129)),SUM($H$23:H129)-SUM($I$23:I128),IF(AND('депозитный калькулятор'!$G$10="ежемесячное, на минимальную сумму зафиксированную в течение месяца",F129='депозитный калькулятор'!$D$8,EOMONTH(F129,0)&lt;&gt;F129),IF('депозитный калькулятор'!$F$1=1,$H$24,IF(AND(OR('депозитный калькулятор'!$G$7="30/365",'депозитный калькулятор'!$G$7="30/360"),DAY(F129)=31),0,MIN(OFFSET(H129,-E129+1,0):H129)*(E129+SUMIF(OFFSET(A129,-E129+1,0):A129,"=2",OFFSET(A129,-E129+1,0):A129)))),IF(AND('депозитный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калькулятор'!$G$7="30/360"),DAY(EOMONTH(F129,0))=31),EOMONTH(F129,0)-1=F129,EOMONTH(F129,0)=F129)),IF(IF(AND(OR('депозитный калькулятор'!$G$7="30/365",'депозитный калькулятор'!$G$7="30/360"),DAY(EOMONTH($F$23,0))=31),F129=EOMONTH($F$23,0)-1,F129=EOMONTH($F$23,0)),MIN(OFFSET(H129,-(DAY(F129)-DAY($F$23)),0):H129)*E129,MIN(OFFSET(H129,-(DAY(F129)-1),0):H129)*IF(AND(OR('депозитный калькулятор'!$G$7="30/365",'депозитный калькулятор'!$G$7="30/360"),DAY(F129)&lt;30),30,DAY(F129))),IF(AND('депозитный калькулятор'!$G$10="ежемесячное, на средний остаток в течение месяца, при условии что остаток больше чем ограничение",F129='депозитный калькулятор'!$D$8,EOMONTH(F129,0)&lt;&gt;F129),IF('депозитный калькулятор'!$F$1=1,$H$24,SUM(OFFSET(Q129,-E129+1,0):Q129)),IF(AND('депозитный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калькулятор'!$G$7="30/360"),DAY(EOMONTH(F129,0))=31),EOMONTH(F129,0)-1=F129,EOMONTH(F129,0)=F129)),IF(IF(AND(OR('депозитный калькулятор'!$G$7="30/365",'депозитный калькулятор'!$G$7="30/360"),DAY(EOMONTH($F$24,0))=31),F129=EOMONTH($F$24,0)-1,F129=EOMONTH($F$24,0)),SUM(OFFSET(Q129,-E129+1,0):Q129),SUM(OFFSET(Q129,-E129+1,0):Q129)),IF('депозитный калькулятор'!$G$10="ежеквартальное",IF(F129&gt;'депозитный калькулятор'!$D$8," ",IF(AND(EOMONTH(F129,0)=F129,OR(MONTH(F129)=3,MONTH(F129)=6,MONTH(F129)=9,MONTH(F129)=12)),IF(EDATE(F129,-3)&lt;'депозитный калькулятор'!$D$7,SUM($H$23:H129),IF(MOD(YEAR(F129),4)=0,IF(AND(EOMONTH(F129,0)=F129,OR(MONTH(F129)=3,MONTH(F129)=6)),SUM(OFFSET(H129,-90,0):H129),IF(AND(EOMONTH(F129,0)=F129,OR(MONTH(F129)=9,MONTH(F129)=12)),SUM(OFFSET(H129,-91,0):H129))),IF(AND(EOMONTH(F129,0)=F129,MONTH(F129)=3),SUM(OFFSET(H129,-89,0):H129),IF(AND(EOMONTH(F129,0)=F129,MONTH(F129)=6),SUM(OFFSET(H129,-90,0):H129),IF(AND(EOMONTH(F129,0)=F129,OR(MONTH(F129)=9,MONTH(F129)=12)),SUM(OFFSET(H129,-91,0):H129)))))),IF(F129='депозитный калькулятор'!$D$8,SUM($H$23:H129)-SUM($I$23:I128),0))),IF('депозитный калькулятор'!$G$10="ежегодное",IF(F129&gt;'депозитный калькулятор'!$D$8," ",IF(F129='депозитный калькулятор'!$D$8,SUM($H$23:H129)-SUM($I$23:I128),IF(AND(EOMONTH(F129,0)=F129,MONTH(F129)=12),IF(MOD(YEAR(F128),4)=0,IF(F129-'депозитный калькулятор'!$D$7&lt;366,SUM($H$23:H129),SUM(OFFSET(H129,-365,0):H129)),IF(F129-'депозитный калькулятор'!$D$7&lt;365,SUM($H$23:H129),SUM(OFFSET(H129,-364,0):H129))),0))),IF(AND('депозитный калькулятор'!$G$10="в конце срока",'депозитный калькулятор'!$D$8=F129),SUM($H$23:H129),0))))))))))))))))))</f>
        <v xml:space="preserve"> </v>
      </c>
      <c r="J129" s="59" t="str">
        <f>IF(F129&gt;'депозитный калькулятор'!$D$8," ",IF('депозитный калькулятор'!$G$16="нет",0,IF(AND('депозитный калькулятор'!$G$17="разовая (в конце срока)",F129='депозитный калькулятор'!$D$8),'депозитный калькулятор'!$G$18,IF(AND('депозитный калькулятор'!$G$17="ежемесячная",EOMONTH(F128,0)=F128),'депозитный калькулятор'!$G$18,IF(AND('депозитный калькулятор'!$G$17="ежегодная",DAY(F128)=31,MONTH(F128)=12),'депозитный калькулятор'!$G$18,IF(AND('депозитный калькулятор'!$G$17="ежемесячная в зависимости от остатка",EOMONTH(F128,0)=F128,P128&gt;0),'депозитный калькулятор'!$G$18,IF(AND('депозитный калькулятор'!$G$17="ежегодная в зависимости от остатка",DAY(F128)=31,MONTH(F128)=12,P128&gt;0),'депозитный калькулятор'!$G$18,0)))))))</f>
        <v xml:space="preserve"> </v>
      </c>
      <c r="K129" s="135" t="str">
        <f>IF($F129=" "," ",IFERROR(VLOOKUP($F129,'депозитный калькулятор'!$B$26:$F$70,2,0),0))</f>
        <v xml:space="preserve"> </v>
      </c>
      <c r="L129" s="135" t="str">
        <f>IF($F129=" "," ",IFERROR(VLOOKUP($F129,'депозитный калькулятор'!$B$26:$F$70,3,0),0))</f>
        <v xml:space="preserve"> </v>
      </c>
      <c r="M129" s="135" t="str">
        <f>IF($F129=" "," ",IFERROR(VLOOKUP($F129,'депозитный калькулятор'!$B$26:$F$70,4,0),0))</f>
        <v xml:space="preserve"> </v>
      </c>
      <c r="N129" s="135" t="str">
        <f>IF($F129=" "," ",IFERROR(VLOOKUP($F129,'депозитный калькулятор'!$B$26:$F$70,5,0),0))</f>
        <v xml:space="preserve"> </v>
      </c>
      <c r="O129" s="146" t="str">
        <f>IF(F129&gt;'депозитный калькулятор'!$D$8," ",IF(F129='депозитный калькулятор'!$D$8,IF(AND($F$24='депозитный калькулятор'!$D$8,'депозитный калькулятор'!$G$13="нет"),-G129-IF(I129=" ",0,I129)-IF(AND(OR('депозитный калькулятор'!$G$7="30/365",'депозитный калькулятор'!$G$7="30/360"),'депозитный калькулятор'!$G$10="в начале срока"),I128,0)-L129+M129-N129,-G129-IF(I129=" ",0,I129)-L129+M129-N129),IF('депозитный калькулятор'!$G$13="есть",M129-N129+IF('депозитный калькулятор'!$G$14="есть",0,-L129),-IF(I129=" ",0,I129)-IF(AND(OR('депозитный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срока"),I128,0)+M129-N129+IF('депозитный калькулятор'!$G$14="есть",0,-L129))))</f>
        <v xml:space="preserve"> </v>
      </c>
      <c r="P129" s="147" t="str">
        <f>IF(F129&gt;'депозитный калькулятор'!$D$8," ",IF(EOMONTH(F128,0)=F128,0,IF(G129&gt;='депозитный калькулятор'!$G$19,P128,P128+1)))</f>
        <v xml:space="preserve"> </v>
      </c>
      <c r="Q129" s="138" t="str">
        <f>IF(F129=" "," ",IF(AND(OR('депозитный калькулятор'!$G$7="30/365",'депозитный калькулятор'!$G$7="30/360"),AND(MONTH(F129)=2,EOMONTH(F129,0)=F129)),IF(DAY(F129)=28,3,2),1)*IF(G129&gt;='депозитный калькулятор'!$G$11,IF(AND('депозитный калькулятор'!$G$7="факт/факт",MOD(YEAR(F129),4)=0),G129*'депозитный калькулятор'!$D$11/366,G129*'депозитный калькулятор'!$G$8),0))</f>
        <v xml:space="preserve"> </v>
      </c>
      <c r="R129" s="148"/>
      <c r="S129" s="62" t="str">
        <f t="shared" ca="1" si="7"/>
        <v xml:space="preserve"> </v>
      </c>
      <c r="T129" s="149" t="str">
        <f ca="1">IF(S129=" "," ",IF('депозитный калькулятор'!$G$7="30/360",DAYS360(U128,IF(DAY(U129)=31,U129-1,U129))+IF(AND(MONTH(U129)=2,U129=EOMONTH(U129,0)),30-DAY(EOMONTH(U129,0)))+T128,VLOOKUP(S129,$C$22:$F$1023,2,0)))</f>
        <v xml:space="preserve"> </v>
      </c>
      <c r="U129" s="64" t="str">
        <f t="shared" ca="1" si="5"/>
        <v xml:space="preserve"> </v>
      </c>
      <c r="V129" s="150" t="str">
        <f t="shared" ca="1" si="8"/>
        <v xml:space="preserve"> </v>
      </c>
      <c r="W129" s="62" t="str">
        <f t="shared" ca="1" si="9"/>
        <v xml:space="preserve"> </v>
      </c>
      <c r="X129" s="141" t="str">
        <f ca="1">IF(S129=" "," ",IFERROR(VLOOKUP(U129,$F$23:$N$1023,7)+VLOOKUP(U129,$F$23:$N$1023,9)+IF(AND('депозитный калькулятор'!$G$13="нет",U129&lt;&gt;'депозитный калькулятор'!$D$8),VLOOKUP(U129,$F$23:$N$1023,4),0),0)+IF(U129='депозитный калькулятор'!$D$8,VLOOKUP(U129,$F$23:$N$1023,2)+VLOOKUP(U129,$F$23:$N$1023,4),0))</f>
        <v xml:space="preserve"> </v>
      </c>
      <c r="Y129" s="142" t="str">
        <f ca="1">IF(S129=" "," ",W129/(1+'депозитный калькулятор'!$K$8)^(T129/IF('депозитный калькулятор'!$G$7="30/360",360,365)))</f>
        <v xml:space="preserve"> </v>
      </c>
      <c r="Z129" s="142" t="str">
        <f ca="1">IF(S129=" "," ",X129/(1+'депозитный калькулятор'!$K$8)^(T129/IF('депозитный калькулятор'!$G$7="30/360",360,365)))</f>
        <v xml:space="preserve"> </v>
      </c>
      <c r="AA129" s="151"/>
      <c r="AB129" s="151"/>
      <c r="AC129" s="155"/>
      <c r="AD129" s="155"/>
    </row>
    <row r="130" spans="1:30" s="2" customFormat="1" ht="15.5" x14ac:dyDescent="0.35">
      <c r="A130" s="41" t="str">
        <f>IF(F130=" "," ",IF(OR('депозитный калькулятор'!$G$7="30/365",'депозитный калькулятор'!$G$7="30/360"),IF(AND(MONTH(F130)=2,DAY(F130)=DAY(EOMONTH(F130,0))),30-DAY(EOMONTH(F130,0)),IF(DAY(F130)=31,1," "))," "))</f>
        <v xml:space="preserve"> </v>
      </c>
      <c r="B130" s="130" t="str">
        <f t="shared" si="6"/>
        <v xml:space="preserve"> </v>
      </c>
      <c r="C130" s="130" t="str">
        <f>IF(OR(B130=0,B130=" ")," ",SUM($B$23:B130))</f>
        <v xml:space="preserve"> </v>
      </c>
      <c r="D130" s="62" t="str">
        <f>IF(D129=" "," ",IF(OR(F129='депозитный калькулятор'!$D$8,F129=" ")," ",D129+1))</f>
        <v xml:space="preserve"> </v>
      </c>
      <c r="E130" s="130" t="str">
        <f>IF(OR(F129='депозитный калькулятор'!$D$8,F129=" ")," ",IF(EOMONTH(F129,0)=F129,1,E129+1))</f>
        <v xml:space="preserve"> </v>
      </c>
      <c r="F130" s="64" t="str">
        <f>IF(F129=" "," ",IF(F129='депозитный калькулятор'!$D$8," ",F129+1))</f>
        <v xml:space="preserve"> </v>
      </c>
      <c r="G130" s="145" t="str">
        <f xml:space="preserve"> IF(F130&gt;'депозитный калькулятор'!$D$8," ",IF('депозитный калькулятор'!$G$13="есть",IF('депозитный калькулятор'!$G$14="есть",G129+IF(I129=" ",0,I129)-J130-K130+L130+M130-N130,G129+IF(I129=" ",0,I129)-J130-K130+M130-N130),IF('депозитный калькулятор'!$G$14="есть",G129-J130-K130+L130+M130-N130,G129-J130-K130+M130-N130)))</f>
        <v xml:space="preserve"> </v>
      </c>
      <c r="H130" s="133" t="str">
        <f>IF(F130&gt;'депозитный калькулятор'!$D$8," ",IF(AND(OR('депозитный калькулятор'!$G$7="30/365",'депозитный калькулятор'!$G$7="30/360"),AND(MONTH(F130)=2,EOMONTH(F130,0)=F130)),IF(DAY(F130)=28,3*G130*'депозитный калькулятор'!$G$8,2*G130*'депозитный калькулятор'!$G$8),IF(AND(OR('депозитный калькулятор'!$G$7="30/365",'депозитный калькулятор'!$G$7="30/360"),DAY(F130)=31)," ",IF(AND('депозитный калькулятор'!$G$7="факт/факт",MOD(YEAR(F130),4)=0),G130*'депозитный калькулятор'!$D$11/366,G130*'депозитный калькулятор'!$G$8))))</f>
        <v xml:space="preserve"> </v>
      </c>
      <c r="I130" s="134" t="str">
        <f ca="1">IF(F130=" "," ",IF('депозитный калькулятор'!$G$10="ежедневное",H130,IF(AND('депозитный калькулятор'!$G$10="еженедельное",WEEKDAY(F130,2)=7),SUM(OFFSET(H130,-6,0):H130),IF(AND('депозитный калькулятор'!$G$10="еженедельное",F130='депозитный калькулятор'!$D$8),SUM($H$23:H130)-SUM($I$23:I129),IF(AND('депозитный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недели",WEEKDAY(F130,2)=7),MIN(OFFSET(H130,-6,0):H130)*(COUNTIF(OFFSET(H130,-6,0):H130,"&gt;0")+SUMIF(OFFSET(A130,-WEEKDAY(F130,2),0):A130,"=2",OFFSET(A130,-WEEKDAY(F130,2),0):A130)),IF(AND('депозитный калькулятор'!$G$10="еженедельное, на минимальную сумму зафиксированную в течение недели",F130='депозитный калькулятор'!$D$8,WEEKDAY(F130,2)&lt;&gt;7),MIN(OFFSET(H130,-WEEKDAY(F130,2),0):H130)*(COUNTIF(OFFSET(H130,-WEEKDAY(F130,2)+1,0):H130,"&gt;0")+SUM(OFFSET(A130,-WEEKDAY(F130,2),0):A130)),IF(AND('депозитный калькулятор'!$G$10="ежемесячное (в конце месяца)",F130='депозитный калькулятор'!$D$8,EOMONTH(F130,0)&lt;&gt;F130),IF('депозитный калькулятор'!$F$1=1,$H$24,SUM($H$23:H130)-SUM($I$23:I129)),IF(AND('депозитный калькулятор'!$G$10="ежемесячное (в конце месяца)",EOMONTH(F130,0)=F130),SUM($H$23:H130)-SUM($I$23:I129),IF(AND('депозитный калькулятор'!$G$10="ежемесячное (по дням открытия вклада)",F130='депозитный калькулятор'!$D$8,DAY('депозитный калькулятор'!$D$7)&lt;&gt;DAY(F130)),IF('депозитный калькулятор'!$F$1=1,$H$24,SUM($H$23:H130)-SUM($I$23:I129)),IF(AND('депозитный калькулятор'!$G$10="ежемесячное (по дням открытия вклада)",DAY('депозитный калькулятор'!$D$7)=DAY(F130)),SUM($H$23:H130)-SUM($I$23:I129),IF(AND('депозитный калькулятор'!$G$10="ежемесячное, на минимальную сумму зафиксированную в течение месяца",F130='депозитный калькулятор'!$D$8,EOMONTH(F130,0)&lt;&gt;F130),IF('депозитный калькулятор'!$F$1=1,$H$24,IF(AND(OR('депозитный калькулятор'!$G$7="30/365",'депозитный калькулятор'!$G$7="30/360"),DAY(F130)=31),0,MIN(OFFSET(H130,-E130+1,0):H130)*(E130+SUMIF(OFFSET(A130,-E130+1,0):A130,"=2",OFFSET(A130,-E130+1,0):A130)))),IF(AND('депозитный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калькулятор'!$G$7="30/360"),DAY(EOMONTH(F130,0))=31),EOMONTH(F130,0)-1=F130,EOMONTH(F130,0)=F130)),IF(IF(AND(OR('депозитный калькулятор'!$G$7="30/365",'депозитный калькулятор'!$G$7="30/360"),DAY(EOMONTH($F$23,0))=31),F130=EOMONTH($F$23,0)-1,F130=EOMONTH($F$23,0)),MIN(OFFSET(H130,-(DAY(F130)-DAY($F$23)),0):H130)*E130,MIN(OFFSET(H130,-(DAY(F130)-1),0):H130)*IF(AND(OR('депозитный калькулятор'!$G$7="30/365",'депозитный калькулятор'!$G$7="30/360"),DAY(F130)&lt;30),30,DAY(F130))),IF(AND('депозитный калькулятор'!$G$10="ежемесячное, на средний остаток в течение месяца, при условии что остаток больше чем ограничение",F130='депозитный калькулятор'!$D$8,EOMONTH(F130,0)&lt;&gt;F130),IF('депозитный калькулятор'!$F$1=1,$H$24,SUM(OFFSET(Q130,-E130+1,0):Q130)),IF(AND('депозитный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калькулятор'!$G$7="30/360"),DAY(EOMONTH(F130,0))=31),EOMONTH(F130,0)-1=F130,EOMONTH(F130,0)=F130)),IF(IF(AND(OR('депозитный калькулятор'!$G$7="30/365",'депозитный калькулятор'!$G$7="30/360"),DAY(EOMONTH($F$24,0))=31),F130=EOMONTH($F$24,0)-1,F130=EOMONTH($F$24,0)),SUM(OFFSET(Q130,-E130+1,0):Q130),SUM(OFFSET(Q130,-E130+1,0):Q130)),IF('депозитный калькулятор'!$G$10="ежеквартальное",IF(F130&gt;'депозитный калькулятор'!$D$8," ",IF(AND(EOMONTH(F130,0)=F130,OR(MONTH(F130)=3,MONTH(F130)=6,MONTH(F130)=9,MONTH(F130)=12)),IF(EDATE(F130,-3)&lt;'депозитный калькулятор'!$D$7,SUM($H$23:H130),IF(MOD(YEAR(F130),4)=0,IF(AND(EOMONTH(F130,0)=F130,OR(MONTH(F130)=3,MONTH(F130)=6)),SUM(OFFSET(H130,-90,0):H130),IF(AND(EOMONTH(F130,0)=F130,OR(MONTH(F130)=9,MONTH(F130)=12)),SUM(OFFSET(H130,-91,0):H130))),IF(AND(EOMONTH(F130,0)=F130,MONTH(F130)=3),SUM(OFFSET(H130,-89,0):H130),IF(AND(EOMONTH(F130,0)=F130,MONTH(F130)=6),SUM(OFFSET(H130,-90,0):H130),IF(AND(EOMONTH(F130,0)=F130,OR(MONTH(F130)=9,MONTH(F130)=12)),SUM(OFFSET(H130,-91,0):H130)))))),IF(F130='депозитный калькулятор'!$D$8,SUM($H$23:H130)-SUM($I$23:I129),0))),IF('депозитный калькулятор'!$G$10="ежегодное",IF(F130&gt;'депозитный калькулятор'!$D$8," ",IF(F130='депозитный калькулятор'!$D$8,SUM($H$23:H130)-SUM($I$23:I129),IF(AND(EOMONTH(F130,0)=F130,MONTH(F130)=12),IF(MOD(YEAR(F129),4)=0,IF(F130-'депозитный калькулятор'!$D$7&lt;366,SUM($H$23:H130),SUM(OFFSET(H130,-365,0):H130)),IF(F130-'депозитный калькулятор'!$D$7&lt;365,SUM($H$23:H130),SUM(OFFSET(H130,-364,0):H130))),0))),IF(AND('депозитный калькулятор'!$G$10="в конце срока",'депозитный калькулятор'!$D$8=F130),SUM($H$23:H130),0))))))))))))))))))</f>
        <v xml:space="preserve"> </v>
      </c>
      <c r="J130" s="59" t="str">
        <f>IF(F130&gt;'депозитный калькулятор'!$D$8," ",IF('депозитный калькулятор'!$G$16="нет",0,IF(AND('депозитный калькулятор'!$G$17="разовая (в конце срока)",F130='депозитный калькулятор'!$D$8),'депозитный калькулятор'!$G$18,IF(AND('депозитный калькулятор'!$G$17="ежемесячная",EOMONTH(F129,0)=F129),'депозитный калькулятор'!$G$18,IF(AND('депозитный калькулятор'!$G$17="ежегодная",DAY(F129)=31,MONTH(F129)=12),'депозитный калькулятор'!$G$18,IF(AND('депозитный калькулятор'!$G$17="ежемесячная в зависимости от остатка",EOMONTH(F129,0)=F129,P129&gt;0),'депозитный калькулятор'!$G$18,IF(AND('депозитный калькулятор'!$G$17="ежегодная в зависимости от остатка",DAY(F129)=31,MONTH(F129)=12,P129&gt;0),'депозитный калькулятор'!$G$18,0)))))))</f>
        <v xml:space="preserve"> </v>
      </c>
      <c r="K130" s="135" t="str">
        <f>IF($F130=" "," ",IFERROR(VLOOKUP($F130,'депозитный калькулятор'!$B$26:$F$70,2,0),0))</f>
        <v xml:space="preserve"> </v>
      </c>
      <c r="L130" s="135" t="str">
        <f>IF($F130=" "," ",IFERROR(VLOOKUP($F130,'депозитный калькулятор'!$B$26:$F$70,3,0),0))</f>
        <v xml:space="preserve"> </v>
      </c>
      <c r="M130" s="135" t="str">
        <f>IF($F130=" "," ",IFERROR(VLOOKUP($F130,'депозитный калькулятор'!$B$26:$F$70,4,0),0))</f>
        <v xml:space="preserve"> </v>
      </c>
      <c r="N130" s="135" t="str">
        <f>IF($F130=" "," ",IFERROR(VLOOKUP($F130,'депозитный калькулятор'!$B$26:$F$70,5,0),0))</f>
        <v xml:space="preserve"> </v>
      </c>
      <c r="O130" s="146" t="str">
        <f>IF(F130&gt;'депозитный калькулятор'!$D$8," ",IF(F130='депозитный калькулятор'!$D$8,IF(AND($F$24='депозитный калькулятор'!$D$8,'депозитный калькулятор'!$G$13="нет"),-G130-IF(I130=" ",0,I130)-IF(AND(OR('депозитный калькулятор'!$G$7="30/365",'депозитный калькулятор'!$G$7="30/360"),'депозитный калькулятор'!$G$10="в начале срока"),I129,0)-L130+M130-N130,-G130-IF(I130=" ",0,I130)-L130+M130-N130),IF('депозитный калькулятор'!$G$13="есть",M130-N130+IF('депозитный калькулятор'!$G$14="есть",0,-L130),-IF(I130=" ",0,I130)-IF(AND(OR('депозитный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срока"),I129,0)+M130-N130+IF('депозитный калькулятор'!$G$14="есть",0,-L130))))</f>
        <v xml:space="preserve"> </v>
      </c>
      <c r="P130" s="147" t="str">
        <f>IF(F130&gt;'депозитный калькулятор'!$D$8," ",IF(EOMONTH(F129,0)=F129,0,IF(G130&gt;='депозитный калькулятор'!$G$19,P129,P129+1)))</f>
        <v xml:space="preserve"> </v>
      </c>
      <c r="Q130" s="138" t="str">
        <f>IF(F130=" "," ",IF(AND(OR('депозитный калькулятор'!$G$7="30/365",'депозитный калькулятор'!$G$7="30/360"),AND(MONTH(F130)=2,EOMONTH(F130,0)=F130)),IF(DAY(F130)=28,3,2),1)*IF(G130&gt;='депозитный калькулятор'!$G$11,IF(AND('депозитный калькулятор'!$G$7="факт/факт",MOD(YEAR(F130),4)=0),G130*'депозитный калькулятор'!$D$11/366,G130*'депозитный калькулятор'!$G$8),0))</f>
        <v xml:space="preserve"> </v>
      </c>
      <c r="R130" s="148"/>
      <c r="S130" s="62" t="str">
        <f t="shared" ca="1" si="7"/>
        <v xml:space="preserve"> </v>
      </c>
      <c r="T130" s="149" t="str">
        <f ca="1">IF(S130=" "," ",IF('депозитный калькулятор'!$G$7="30/360",DAYS360(U129,IF(DAY(U130)=31,U130-1,U130))+IF(AND(MONTH(U130)=2,U130=EOMONTH(U130,0)),30-DAY(EOMONTH(U130,0)))+T129,VLOOKUP(S130,$C$22:$F$1023,2,0)))</f>
        <v xml:space="preserve"> </v>
      </c>
      <c r="U130" s="64" t="str">
        <f t="shared" ca="1" si="5"/>
        <v xml:space="preserve"> </v>
      </c>
      <c r="V130" s="150" t="str">
        <f t="shared" ca="1" si="8"/>
        <v xml:space="preserve"> </v>
      </c>
      <c r="W130" s="62" t="str">
        <f t="shared" ca="1" si="9"/>
        <v xml:space="preserve"> </v>
      </c>
      <c r="X130" s="141" t="str">
        <f ca="1">IF(S130=" "," ",IFERROR(VLOOKUP(U130,$F$23:$N$1023,7)+VLOOKUP(U130,$F$23:$N$1023,9)+IF(AND('депозитный калькулятор'!$G$13="нет",U130&lt;&gt;'депозитный калькулятор'!$D$8),VLOOKUP(U130,$F$23:$N$1023,4),0),0)+IF(U130='депозитный калькулятор'!$D$8,VLOOKUP(U130,$F$23:$N$1023,2)+VLOOKUP(U130,$F$23:$N$1023,4),0))</f>
        <v xml:space="preserve"> </v>
      </c>
      <c r="Y130" s="142" t="str">
        <f ca="1">IF(S130=" "," ",W130/(1+'депозитный калькулятор'!$K$8)^(T130/IF('депозитный калькулятор'!$G$7="30/360",360,365)))</f>
        <v xml:space="preserve"> </v>
      </c>
      <c r="Z130" s="142" t="str">
        <f ca="1">IF(S130=" "," ",X130/(1+'депозитный калькулятор'!$K$8)^(T130/IF('депозитный калькулятор'!$G$7="30/360",360,365)))</f>
        <v xml:space="preserve"> </v>
      </c>
      <c r="AA130" s="151"/>
      <c r="AB130" s="151"/>
      <c r="AC130" s="155"/>
      <c r="AD130" s="155"/>
    </row>
    <row r="131" spans="1:30" s="2" customFormat="1" ht="15.5" x14ac:dyDescent="0.35">
      <c r="A131" s="41" t="str">
        <f>IF(F131=" "," ",IF(OR('депозитный калькулятор'!$G$7="30/365",'депозитный калькулятор'!$G$7="30/360"),IF(AND(MONTH(F131)=2,DAY(F131)=DAY(EOMONTH(F131,0))),30-DAY(EOMONTH(F131,0)),IF(DAY(F131)=31,1," "))," "))</f>
        <v xml:space="preserve"> </v>
      </c>
      <c r="B131" s="130" t="str">
        <f t="shared" si="6"/>
        <v xml:space="preserve"> </v>
      </c>
      <c r="C131" s="130" t="str">
        <f>IF(OR(B131=0,B131=" ")," ",SUM($B$23:B131))</f>
        <v xml:space="preserve"> </v>
      </c>
      <c r="D131" s="62" t="str">
        <f>IF(D130=" "," ",IF(OR(F130='депозитный калькулятор'!$D$8,F130=" ")," ",D130+1))</f>
        <v xml:space="preserve"> </v>
      </c>
      <c r="E131" s="130" t="str">
        <f>IF(OR(F130='депозитный калькулятор'!$D$8,F130=" ")," ",IF(EOMONTH(F130,0)=F130,1,E130+1))</f>
        <v xml:space="preserve"> </v>
      </c>
      <c r="F131" s="64" t="str">
        <f>IF(F130=" "," ",IF(F130='депозитный калькулятор'!$D$8," ",F130+1))</f>
        <v xml:space="preserve"> </v>
      </c>
      <c r="G131" s="145" t="str">
        <f xml:space="preserve"> IF(F131&gt;'депозитный калькулятор'!$D$8," ",IF('депозитный калькулятор'!$G$13="есть",IF('депозитный калькулятор'!$G$14="есть",G130+IF(I130=" ",0,I130)-J131-K131+L131+M131-N131,G130+IF(I130=" ",0,I130)-J131-K131+M131-N131),IF('депозитный калькулятор'!$G$14="есть",G130-J131-K131+L131+M131-N131,G130-J131-K131+M131-N131)))</f>
        <v xml:space="preserve"> </v>
      </c>
      <c r="H131" s="133" t="str">
        <f>IF(F131&gt;'депозитный калькулятор'!$D$8," ",IF(AND(OR('депозитный калькулятор'!$G$7="30/365",'депозитный калькулятор'!$G$7="30/360"),AND(MONTH(F131)=2,EOMONTH(F131,0)=F131)),IF(DAY(F131)=28,3*G131*'депозитный калькулятор'!$G$8,2*G131*'депозитный калькулятор'!$G$8),IF(AND(OR('депозитный калькулятор'!$G$7="30/365",'депозитный калькулятор'!$G$7="30/360"),DAY(F131)=31)," ",IF(AND('депозитный калькулятор'!$G$7="факт/факт",MOD(YEAR(F131),4)=0),G131*'депозитный калькулятор'!$D$11/366,G131*'депозитный калькулятор'!$G$8))))</f>
        <v xml:space="preserve"> </v>
      </c>
      <c r="I131" s="134" t="str">
        <f ca="1">IF(F131=" "," ",IF('депозитный калькулятор'!$G$10="ежедневное",H131,IF(AND('депозитный калькулятор'!$G$10="еженедельное",WEEKDAY(F131,2)=7),SUM(OFFSET(H131,-6,0):H131),IF(AND('депозитный калькулятор'!$G$10="еженедельное",F131='депозитный калькулятор'!$D$8),SUM($H$23:H131)-SUM($I$23:I130),IF(AND('депозитный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недели",WEEKDAY(F131,2)=7),MIN(OFFSET(H131,-6,0):H131)*(COUNTIF(OFFSET(H131,-6,0):H131,"&gt;0")+SUMIF(OFFSET(A131,-WEEKDAY(F131,2),0):A131,"=2",OFFSET(A131,-WEEKDAY(F131,2),0):A131)),IF(AND('депозитный калькулятор'!$G$10="еженедельное, на минимальную сумму зафиксированную в течение недели",F131='депозитный калькулятор'!$D$8,WEEKDAY(F131,2)&lt;&gt;7),MIN(OFFSET(H131,-WEEKDAY(F131,2),0):H131)*(COUNTIF(OFFSET(H131,-WEEKDAY(F131,2)+1,0):H131,"&gt;0")+SUM(OFFSET(A131,-WEEKDAY(F131,2),0):A131)),IF(AND('депозитный калькулятор'!$G$10="ежемесячное (в конце месяца)",F131='депозитный калькулятор'!$D$8,EOMONTH(F131,0)&lt;&gt;F131),IF('депозитный калькулятор'!$F$1=1,$H$24,SUM($H$23:H131)-SUM($I$23:I130)),IF(AND('депозитный калькулятор'!$G$10="ежемесячное (в конце месяца)",EOMONTH(F131,0)=F131),SUM($H$23:H131)-SUM($I$23:I130),IF(AND('депозитный калькулятор'!$G$10="ежемесячное (по дням открытия вклада)",F131='депозитный калькулятор'!$D$8,DAY('депозитный калькулятор'!$D$7)&lt;&gt;DAY(F131)),IF('депозитный калькулятор'!$F$1=1,$H$24,SUM($H$23:H131)-SUM($I$23:I130)),IF(AND('депозитный калькулятор'!$G$10="ежемесячное (по дням открытия вклада)",DAY('депозитный калькулятор'!$D$7)=DAY(F131)),SUM($H$23:H131)-SUM($I$23:I130),IF(AND('депозитный калькулятор'!$G$10="ежемесячное, на минимальную сумму зафиксированную в течение месяца",F131='депозитный калькулятор'!$D$8,EOMONTH(F131,0)&lt;&gt;F131),IF('депозитный калькулятор'!$F$1=1,$H$24,IF(AND(OR('депозитный калькулятор'!$G$7="30/365",'депозитный калькулятор'!$G$7="30/360"),DAY(F131)=31),0,MIN(OFFSET(H131,-E131+1,0):H131)*(E131+SUMIF(OFFSET(A131,-E131+1,0):A131,"=2",OFFSET(A131,-E131+1,0):A131)))),IF(AND('депозитный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калькулятор'!$G$7="30/360"),DAY(EOMONTH(F131,0))=31),EOMONTH(F131,0)-1=F131,EOMONTH(F131,0)=F131)),IF(IF(AND(OR('депозитный калькулятор'!$G$7="30/365",'депозитный калькулятор'!$G$7="30/360"),DAY(EOMONTH($F$23,0))=31),F131=EOMONTH($F$23,0)-1,F131=EOMONTH($F$23,0)),MIN(OFFSET(H131,-(DAY(F131)-DAY($F$23)),0):H131)*E131,MIN(OFFSET(H131,-(DAY(F131)-1),0):H131)*IF(AND(OR('депозитный калькулятор'!$G$7="30/365",'депозитный калькулятор'!$G$7="30/360"),DAY(F131)&lt;30),30,DAY(F131))),IF(AND('депозитный калькулятор'!$G$10="ежемесячное, на средний остаток в течение месяца, при условии что остаток больше чем ограничение",F131='депозитный калькулятор'!$D$8,EOMONTH(F131,0)&lt;&gt;F131),IF('депозитный калькулятор'!$F$1=1,$H$24,SUM(OFFSET(Q131,-E131+1,0):Q131)),IF(AND('депозитный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калькулятор'!$G$7="30/360"),DAY(EOMONTH(F131,0))=31),EOMONTH(F131,0)-1=F131,EOMONTH(F131,0)=F131)),IF(IF(AND(OR('депозитный калькулятор'!$G$7="30/365",'депозитный калькулятор'!$G$7="30/360"),DAY(EOMONTH($F$24,0))=31),F131=EOMONTH($F$24,0)-1,F131=EOMONTH($F$24,0)),SUM(OFFSET(Q131,-E131+1,0):Q131),SUM(OFFSET(Q131,-E131+1,0):Q131)),IF('депозитный калькулятор'!$G$10="ежеквартальное",IF(F131&gt;'депозитный калькулятор'!$D$8," ",IF(AND(EOMONTH(F131,0)=F131,OR(MONTH(F131)=3,MONTH(F131)=6,MONTH(F131)=9,MONTH(F131)=12)),IF(EDATE(F131,-3)&lt;'депозитный калькулятор'!$D$7,SUM($H$23:H131),IF(MOD(YEAR(F131),4)=0,IF(AND(EOMONTH(F131,0)=F131,OR(MONTH(F131)=3,MONTH(F131)=6)),SUM(OFFSET(H131,-90,0):H131),IF(AND(EOMONTH(F131,0)=F131,OR(MONTH(F131)=9,MONTH(F131)=12)),SUM(OFFSET(H131,-91,0):H131))),IF(AND(EOMONTH(F131,0)=F131,MONTH(F131)=3),SUM(OFFSET(H131,-89,0):H131),IF(AND(EOMONTH(F131,0)=F131,MONTH(F131)=6),SUM(OFFSET(H131,-90,0):H131),IF(AND(EOMONTH(F131,0)=F131,OR(MONTH(F131)=9,MONTH(F131)=12)),SUM(OFFSET(H131,-91,0):H131)))))),IF(F131='депозитный калькулятор'!$D$8,SUM($H$23:H131)-SUM($I$23:I130),0))),IF('депозитный калькулятор'!$G$10="ежегодное",IF(F131&gt;'депозитный калькулятор'!$D$8," ",IF(F131='депозитный калькулятор'!$D$8,SUM($H$23:H131)-SUM($I$23:I130),IF(AND(EOMONTH(F131,0)=F131,MONTH(F131)=12),IF(MOD(YEAR(F130),4)=0,IF(F131-'депозитный калькулятор'!$D$7&lt;366,SUM($H$23:H131),SUM(OFFSET(H131,-365,0):H131)),IF(F131-'депозитный калькулятор'!$D$7&lt;365,SUM($H$23:H131),SUM(OFFSET(H131,-364,0):H131))),0))),IF(AND('депозитный калькулятор'!$G$10="в конце срока",'депозитный калькулятор'!$D$8=F131),SUM($H$23:H131),0))))))))))))))))))</f>
        <v xml:space="preserve"> </v>
      </c>
      <c r="J131" s="59" t="str">
        <f>IF(F131&gt;'депозитный калькулятор'!$D$8," ",IF('депозитный калькулятор'!$G$16="нет",0,IF(AND('депозитный калькулятор'!$G$17="разовая (в конце срока)",F131='депозитный калькулятор'!$D$8),'депозитный калькулятор'!$G$18,IF(AND('депозитный калькулятор'!$G$17="ежемесячная",EOMONTH(F130,0)=F130),'депозитный калькулятор'!$G$18,IF(AND('депозитный калькулятор'!$G$17="ежегодная",DAY(F130)=31,MONTH(F130)=12),'депозитный калькулятор'!$G$18,IF(AND('депозитный калькулятор'!$G$17="ежемесячная в зависимости от остатка",EOMONTH(F130,0)=F130,P130&gt;0),'депозитный калькулятор'!$G$18,IF(AND('депозитный калькулятор'!$G$17="ежегодная в зависимости от остатка",DAY(F130)=31,MONTH(F130)=12,P130&gt;0),'депозитный калькулятор'!$G$18,0)))))))</f>
        <v xml:space="preserve"> </v>
      </c>
      <c r="K131" s="135" t="str">
        <f>IF($F131=" "," ",IFERROR(VLOOKUP($F131,'депозитный калькулятор'!$B$26:$F$70,2,0),0))</f>
        <v xml:space="preserve"> </v>
      </c>
      <c r="L131" s="135" t="str">
        <f>IF($F131=" "," ",IFERROR(VLOOKUP($F131,'депозитный калькулятор'!$B$26:$F$70,3,0),0))</f>
        <v xml:space="preserve"> </v>
      </c>
      <c r="M131" s="135" t="str">
        <f>IF($F131=" "," ",IFERROR(VLOOKUP($F131,'депозитный калькулятор'!$B$26:$F$70,4,0),0))</f>
        <v xml:space="preserve"> </v>
      </c>
      <c r="N131" s="135" t="str">
        <f>IF($F131=" "," ",IFERROR(VLOOKUP($F131,'депозитный калькулятор'!$B$26:$F$70,5,0),0))</f>
        <v xml:space="preserve"> </v>
      </c>
      <c r="O131" s="146" t="str">
        <f>IF(F131&gt;'депозитный калькулятор'!$D$8," ",IF(F131='депозитный калькулятор'!$D$8,IF(AND($F$24='депозитный калькулятор'!$D$8,'депозитный калькулятор'!$G$13="нет"),-G131-IF(I131=" ",0,I131)-IF(AND(OR('депозитный калькулятор'!$G$7="30/365",'депозитный калькулятор'!$G$7="30/360"),'депозитный калькулятор'!$G$10="в начале срока"),I130,0)-L131+M131-N131,-G131-IF(I131=" ",0,I131)-L131+M131-N131),IF('депозитный калькулятор'!$G$13="есть",M131-N131+IF('депозитный калькулятор'!$G$14="есть",0,-L131),-IF(I131=" ",0,I131)-IF(AND(OR('депозитный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срока"),I130,0)+M131-N131+IF('депозитный калькулятор'!$G$14="есть",0,-L131))))</f>
        <v xml:space="preserve"> </v>
      </c>
      <c r="P131" s="147" t="str">
        <f>IF(F131&gt;'депозитный калькулятор'!$D$8," ",IF(EOMONTH(F130,0)=F130,0,IF(G131&gt;='депозитный калькулятор'!$G$19,P130,P130+1)))</f>
        <v xml:space="preserve"> </v>
      </c>
      <c r="Q131" s="138" t="str">
        <f>IF(F131=" "," ",IF(AND(OR('депозитный калькулятор'!$G$7="30/365",'депозитный калькулятор'!$G$7="30/360"),AND(MONTH(F131)=2,EOMONTH(F131,0)=F131)),IF(DAY(F131)=28,3,2),1)*IF(G131&gt;='депозитный калькулятор'!$G$11,IF(AND('депозитный калькулятор'!$G$7="факт/факт",MOD(YEAR(F131),4)=0),G131*'депозитный калькулятор'!$D$11/366,G131*'депозитный калькулятор'!$G$8),0))</f>
        <v xml:space="preserve"> </v>
      </c>
      <c r="R131" s="148"/>
      <c r="S131" s="62" t="str">
        <f t="shared" ca="1" si="7"/>
        <v xml:space="preserve"> </v>
      </c>
      <c r="T131" s="149" t="str">
        <f ca="1">IF(S131=" "," ",IF('депозитный калькулятор'!$G$7="30/360",DAYS360(U130,IF(DAY(U131)=31,U131-1,U131))+IF(AND(MONTH(U131)=2,U131=EOMONTH(U131,0)),30-DAY(EOMONTH(U131,0)))+T130,VLOOKUP(S131,$C$22:$F$1023,2,0)))</f>
        <v xml:space="preserve"> </v>
      </c>
      <c r="U131" s="64" t="str">
        <f t="shared" ca="1" si="5"/>
        <v xml:space="preserve"> </v>
      </c>
      <c r="V131" s="150" t="str">
        <f t="shared" ca="1" si="8"/>
        <v xml:space="preserve"> </v>
      </c>
      <c r="W131" s="62" t="str">
        <f t="shared" ca="1" si="9"/>
        <v xml:space="preserve"> </v>
      </c>
      <c r="X131" s="141" t="str">
        <f ca="1">IF(S131=" "," ",IFERROR(VLOOKUP(U131,$F$23:$N$1023,7)+VLOOKUP(U131,$F$23:$N$1023,9)+IF(AND('депозитный калькулятор'!$G$13="нет",U131&lt;&gt;'депозитный калькулятор'!$D$8),VLOOKUP(U131,$F$23:$N$1023,4),0),0)+IF(U131='депозитный калькулятор'!$D$8,VLOOKUP(U131,$F$23:$N$1023,2)+VLOOKUP(U131,$F$23:$N$1023,4),0))</f>
        <v xml:space="preserve"> </v>
      </c>
      <c r="Y131" s="142" t="str">
        <f ca="1">IF(S131=" "," ",W131/(1+'депозитный калькулятор'!$K$8)^(T131/IF('депозитный калькулятор'!$G$7="30/360",360,365)))</f>
        <v xml:space="preserve"> </v>
      </c>
      <c r="Z131" s="142" t="str">
        <f ca="1">IF(S131=" "," ",X131/(1+'депозитный калькулятор'!$K$8)^(T131/IF('депозитный калькулятор'!$G$7="30/360",360,365)))</f>
        <v xml:space="preserve"> </v>
      </c>
      <c r="AA131" s="151"/>
      <c r="AB131" s="151"/>
      <c r="AC131" s="155"/>
      <c r="AD131" s="155"/>
    </row>
    <row r="132" spans="1:30" s="2" customFormat="1" ht="15.5" x14ac:dyDescent="0.35">
      <c r="A132" s="41" t="str">
        <f>IF(F132=" "," ",IF(OR('депозитный калькулятор'!$G$7="30/365",'депозитный калькулятор'!$G$7="30/360"),IF(AND(MONTH(F132)=2,DAY(F132)=DAY(EOMONTH(F132,0))),30-DAY(EOMONTH(F132,0)),IF(DAY(F132)=31,1," "))," "))</f>
        <v xml:space="preserve"> </v>
      </c>
      <c r="B132" s="130" t="str">
        <f t="shared" si="6"/>
        <v xml:space="preserve"> </v>
      </c>
      <c r="C132" s="130" t="str">
        <f>IF(OR(B132=0,B132=" ")," ",SUM($B$23:B132))</f>
        <v xml:space="preserve"> </v>
      </c>
      <c r="D132" s="62" t="str">
        <f>IF(D131=" "," ",IF(OR(F131='депозитный калькулятор'!$D$8,F131=" ")," ",D131+1))</f>
        <v xml:space="preserve"> </v>
      </c>
      <c r="E132" s="130" t="str">
        <f>IF(OR(F131='депозитный калькулятор'!$D$8,F131=" ")," ",IF(EOMONTH(F131,0)=F131,1,E131+1))</f>
        <v xml:space="preserve"> </v>
      </c>
      <c r="F132" s="64" t="str">
        <f>IF(F131=" "," ",IF(F131='депозитный калькулятор'!$D$8," ",F131+1))</f>
        <v xml:space="preserve"> </v>
      </c>
      <c r="G132" s="145" t="str">
        <f xml:space="preserve"> IF(F132&gt;'депозитный калькулятор'!$D$8," ",IF('депозитный калькулятор'!$G$13="есть",IF('депозитный калькулятор'!$G$14="есть",G131+IF(I131=" ",0,I131)-J132-K132+L132+M132-N132,G131+IF(I131=" ",0,I131)-J132-K132+M132-N132),IF('депозитный калькулятор'!$G$14="есть",G131-J132-K132+L132+M132-N132,G131-J132-K132+M132-N132)))</f>
        <v xml:space="preserve"> </v>
      </c>
      <c r="H132" s="133" t="str">
        <f>IF(F132&gt;'депозитный калькулятор'!$D$8," ",IF(AND(OR('депозитный калькулятор'!$G$7="30/365",'депозитный калькулятор'!$G$7="30/360"),AND(MONTH(F132)=2,EOMONTH(F132,0)=F132)),IF(DAY(F132)=28,3*G132*'депозитный калькулятор'!$G$8,2*G132*'депозитный калькулятор'!$G$8),IF(AND(OR('депозитный калькулятор'!$G$7="30/365",'депозитный калькулятор'!$G$7="30/360"),DAY(F132)=31)," ",IF(AND('депозитный калькулятор'!$G$7="факт/факт",MOD(YEAR(F132),4)=0),G132*'депозитный калькулятор'!$D$11/366,G132*'депозитный калькулятор'!$G$8))))</f>
        <v xml:space="preserve"> </v>
      </c>
      <c r="I132" s="134" t="str">
        <f ca="1">IF(F132=" "," ",IF('депозитный калькулятор'!$G$10="ежедневное",H132,IF(AND('депозитный калькулятор'!$G$10="еженедельное",WEEKDAY(F132,2)=7),SUM(OFFSET(H132,-6,0):H132),IF(AND('депозитный калькулятор'!$G$10="еженедельное",F132='депозитный калькулятор'!$D$8),SUM($H$23:H132)-SUM($I$23:I131),IF(AND('депозитный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недели",WEEKDAY(F132,2)=7),MIN(OFFSET(H132,-6,0):H132)*(COUNTIF(OFFSET(H132,-6,0):H132,"&gt;0")+SUMIF(OFFSET(A132,-WEEKDAY(F132,2),0):A132,"=2",OFFSET(A132,-WEEKDAY(F132,2),0):A132)),IF(AND('депозитный калькулятор'!$G$10="еженедельное, на минимальную сумму зафиксированную в течение недели",F132='депозитный калькулятор'!$D$8,WEEKDAY(F132,2)&lt;&gt;7),MIN(OFFSET(H132,-WEEKDAY(F132,2),0):H132)*(COUNTIF(OFFSET(H132,-WEEKDAY(F132,2)+1,0):H132,"&gt;0")+SUM(OFFSET(A132,-WEEKDAY(F132,2),0):A132)),IF(AND('депозитный калькулятор'!$G$10="ежемесячное (в конце месяца)",F132='депозитный калькулятор'!$D$8,EOMONTH(F132,0)&lt;&gt;F132),IF('депозитный калькулятор'!$F$1=1,$H$24,SUM($H$23:H132)-SUM($I$23:I131)),IF(AND('депозитный калькулятор'!$G$10="ежемесячное (в конце месяца)",EOMONTH(F132,0)=F132),SUM($H$23:H132)-SUM($I$23:I131),IF(AND('депозитный калькулятор'!$G$10="ежемесячное (по дням открытия вклада)",F132='депозитный калькулятор'!$D$8,DAY('депозитный калькулятор'!$D$7)&lt;&gt;DAY(F132)),IF('депозитный калькулятор'!$F$1=1,$H$24,SUM($H$23:H132)-SUM($I$23:I131)),IF(AND('депозитный калькулятор'!$G$10="ежемесячное (по дням открытия вклада)",DAY('депозитный калькулятор'!$D$7)=DAY(F132)),SUM($H$23:H132)-SUM($I$23:I131),IF(AND('депозитный калькулятор'!$G$10="ежемесячное, на минимальную сумму зафиксированную в течение месяца",F132='депозитный калькулятор'!$D$8,EOMONTH(F132,0)&lt;&gt;F132),IF('депозитный калькулятор'!$F$1=1,$H$24,IF(AND(OR('депозитный калькулятор'!$G$7="30/365",'депозитный калькулятор'!$G$7="30/360"),DAY(F132)=31),0,MIN(OFFSET(H132,-E132+1,0):H132)*(E132+SUMIF(OFFSET(A132,-E132+1,0):A132,"=2",OFFSET(A132,-E132+1,0):A132)))),IF(AND('депозитный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калькулятор'!$G$7="30/360"),DAY(EOMONTH(F132,0))=31),EOMONTH(F132,0)-1=F132,EOMONTH(F132,0)=F132)),IF(IF(AND(OR('депозитный калькулятор'!$G$7="30/365",'депозитный калькулятор'!$G$7="30/360"),DAY(EOMONTH($F$23,0))=31),F132=EOMONTH($F$23,0)-1,F132=EOMONTH($F$23,0)),MIN(OFFSET(H132,-(DAY(F132)-DAY($F$23)),0):H132)*E132,MIN(OFFSET(H132,-(DAY(F132)-1),0):H132)*IF(AND(OR('депозитный калькулятор'!$G$7="30/365",'депозитный калькулятор'!$G$7="30/360"),DAY(F132)&lt;30),30,DAY(F132))),IF(AND('депозитный калькулятор'!$G$10="ежемесячное, на средний остаток в течение месяца, при условии что остаток больше чем ограничение",F132='депозитный калькулятор'!$D$8,EOMONTH(F132,0)&lt;&gt;F132),IF('депозитный калькулятор'!$F$1=1,$H$24,SUM(OFFSET(Q132,-E132+1,0):Q132)),IF(AND('депозитный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калькулятор'!$G$7="30/360"),DAY(EOMONTH(F132,0))=31),EOMONTH(F132,0)-1=F132,EOMONTH(F132,0)=F132)),IF(IF(AND(OR('депозитный калькулятор'!$G$7="30/365",'депозитный калькулятор'!$G$7="30/360"),DAY(EOMONTH($F$24,0))=31),F132=EOMONTH($F$24,0)-1,F132=EOMONTH($F$24,0)),SUM(OFFSET(Q132,-E132+1,0):Q132),SUM(OFFSET(Q132,-E132+1,0):Q132)),IF('депозитный калькулятор'!$G$10="ежеквартальное",IF(F132&gt;'депозитный калькулятор'!$D$8," ",IF(AND(EOMONTH(F132,0)=F132,OR(MONTH(F132)=3,MONTH(F132)=6,MONTH(F132)=9,MONTH(F132)=12)),IF(EDATE(F132,-3)&lt;'депозитный калькулятор'!$D$7,SUM($H$23:H132),IF(MOD(YEAR(F132),4)=0,IF(AND(EOMONTH(F132,0)=F132,OR(MONTH(F132)=3,MONTH(F132)=6)),SUM(OFFSET(H132,-90,0):H132),IF(AND(EOMONTH(F132,0)=F132,OR(MONTH(F132)=9,MONTH(F132)=12)),SUM(OFFSET(H132,-91,0):H132))),IF(AND(EOMONTH(F132,0)=F132,MONTH(F132)=3),SUM(OFFSET(H132,-89,0):H132),IF(AND(EOMONTH(F132,0)=F132,MONTH(F132)=6),SUM(OFFSET(H132,-90,0):H132),IF(AND(EOMONTH(F132,0)=F132,OR(MONTH(F132)=9,MONTH(F132)=12)),SUM(OFFSET(H132,-91,0):H132)))))),IF(F132='депозитный калькулятор'!$D$8,SUM($H$23:H132)-SUM($I$23:I131),0))),IF('депозитный калькулятор'!$G$10="ежегодное",IF(F132&gt;'депозитный калькулятор'!$D$8," ",IF(F132='депозитный калькулятор'!$D$8,SUM($H$23:H132)-SUM($I$23:I131),IF(AND(EOMONTH(F132,0)=F132,MONTH(F132)=12),IF(MOD(YEAR(F131),4)=0,IF(F132-'депозитный калькулятор'!$D$7&lt;366,SUM($H$23:H132),SUM(OFFSET(H132,-365,0):H132)),IF(F132-'депозитный калькулятор'!$D$7&lt;365,SUM($H$23:H132),SUM(OFFSET(H132,-364,0):H132))),0))),IF(AND('депозитный калькулятор'!$G$10="в конце срока",'депозитный калькулятор'!$D$8=F132),SUM($H$23:H132),0))))))))))))))))))</f>
        <v xml:space="preserve"> </v>
      </c>
      <c r="J132" s="59" t="str">
        <f>IF(F132&gt;'депозитный калькулятор'!$D$8," ",IF('депозитный калькулятор'!$G$16="нет",0,IF(AND('депозитный калькулятор'!$G$17="разовая (в конце срока)",F132='депозитный калькулятор'!$D$8),'депозитный калькулятор'!$G$18,IF(AND('депозитный калькулятор'!$G$17="ежемесячная",EOMONTH(F131,0)=F131),'депозитный калькулятор'!$G$18,IF(AND('депозитный калькулятор'!$G$17="ежегодная",DAY(F131)=31,MONTH(F131)=12),'депозитный калькулятор'!$G$18,IF(AND('депозитный калькулятор'!$G$17="ежемесячная в зависимости от остатка",EOMONTH(F131,0)=F131,P131&gt;0),'депозитный калькулятор'!$G$18,IF(AND('депозитный калькулятор'!$G$17="ежегодная в зависимости от остатка",DAY(F131)=31,MONTH(F131)=12,P131&gt;0),'депозитный калькулятор'!$G$18,0)))))))</f>
        <v xml:space="preserve"> </v>
      </c>
      <c r="K132" s="135" t="str">
        <f>IF($F132=" "," ",IFERROR(VLOOKUP($F132,'депозитный калькулятор'!$B$26:$F$70,2,0),0))</f>
        <v xml:space="preserve"> </v>
      </c>
      <c r="L132" s="135" t="str">
        <f>IF($F132=" "," ",IFERROR(VLOOKUP($F132,'депозитный калькулятор'!$B$26:$F$70,3,0),0))</f>
        <v xml:space="preserve"> </v>
      </c>
      <c r="M132" s="135" t="str">
        <f>IF($F132=" "," ",IFERROR(VLOOKUP($F132,'депозитный калькулятор'!$B$26:$F$70,4,0),0))</f>
        <v xml:space="preserve"> </v>
      </c>
      <c r="N132" s="135" t="str">
        <f>IF($F132=" "," ",IFERROR(VLOOKUP($F132,'депозитный калькулятор'!$B$26:$F$70,5,0),0))</f>
        <v xml:space="preserve"> </v>
      </c>
      <c r="O132" s="146" t="str">
        <f>IF(F132&gt;'депозитный калькулятор'!$D$8," ",IF(F132='депозитный калькулятор'!$D$8,IF(AND($F$24='депозитный калькулятор'!$D$8,'депозитный калькулятор'!$G$13="нет"),-G132-IF(I132=" ",0,I132)-IF(AND(OR('депозитный калькулятор'!$G$7="30/365",'депозитный калькулятор'!$G$7="30/360"),'депозитный калькулятор'!$G$10="в начале срока"),I131,0)-L132+M132-N132,-G132-IF(I132=" ",0,I132)-L132+M132-N132),IF('депозитный калькулятор'!$G$13="есть",M132-N132+IF('депозитный калькулятор'!$G$14="есть",0,-L132),-IF(I132=" ",0,I132)-IF(AND(OR('депозитный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срока"),I131,0)+M132-N132+IF('депозитный калькулятор'!$G$14="есть",0,-L132))))</f>
        <v xml:space="preserve"> </v>
      </c>
      <c r="P132" s="147" t="str">
        <f>IF(F132&gt;'депозитный калькулятор'!$D$8," ",IF(EOMONTH(F131,0)=F131,0,IF(G132&gt;='депозитный калькулятор'!$G$19,P131,P131+1)))</f>
        <v xml:space="preserve"> </v>
      </c>
      <c r="Q132" s="138" t="str">
        <f>IF(F132=" "," ",IF(AND(OR('депозитный калькулятор'!$G$7="30/365",'депозитный калькулятор'!$G$7="30/360"),AND(MONTH(F132)=2,EOMONTH(F132,0)=F132)),IF(DAY(F132)=28,3,2),1)*IF(G132&gt;='депозитный калькулятор'!$G$11,IF(AND('депозитный калькулятор'!$G$7="факт/факт",MOD(YEAR(F132),4)=0),G132*'депозитный калькулятор'!$D$11/366,G132*'депозитный калькулятор'!$G$8),0))</f>
        <v xml:space="preserve"> </v>
      </c>
      <c r="R132" s="148"/>
      <c r="S132" s="62" t="str">
        <f t="shared" ca="1" si="7"/>
        <v xml:space="preserve"> </v>
      </c>
      <c r="T132" s="149" t="str">
        <f ca="1">IF(S132=" "," ",IF('депозитный калькулятор'!$G$7="30/360",DAYS360(U131,IF(DAY(U132)=31,U132-1,U132))+IF(AND(MONTH(U132)=2,U132=EOMONTH(U132,0)),30-DAY(EOMONTH(U132,0)))+T131,VLOOKUP(S132,$C$22:$F$1023,2,0)))</f>
        <v xml:space="preserve"> </v>
      </c>
      <c r="U132" s="64" t="str">
        <f t="shared" ca="1" si="5"/>
        <v xml:space="preserve"> </v>
      </c>
      <c r="V132" s="150" t="str">
        <f t="shared" ca="1" si="8"/>
        <v xml:space="preserve"> </v>
      </c>
      <c r="W132" s="62" t="str">
        <f t="shared" ca="1" si="9"/>
        <v xml:space="preserve"> </v>
      </c>
      <c r="X132" s="141" t="str">
        <f ca="1">IF(S132=" "," ",IFERROR(VLOOKUP(U132,$F$23:$N$1023,7)+VLOOKUP(U132,$F$23:$N$1023,9)+IF(AND('депозитный калькулятор'!$G$13="нет",U132&lt;&gt;'депозитный калькулятор'!$D$8),VLOOKUP(U132,$F$23:$N$1023,4),0),0)+IF(U132='депозитный калькулятор'!$D$8,VLOOKUP(U132,$F$23:$N$1023,2)+VLOOKUP(U132,$F$23:$N$1023,4),0))</f>
        <v xml:space="preserve"> </v>
      </c>
      <c r="Y132" s="142" t="str">
        <f ca="1">IF(S132=" "," ",W132/(1+'депозитный калькулятор'!$K$8)^(T132/IF('депозитный калькулятор'!$G$7="30/360",360,365)))</f>
        <v xml:space="preserve"> </v>
      </c>
      <c r="Z132" s="142" t="str">
        <f ca="1">IF(S132=" "," ",X132/(1+'депозитный калькулятор'!$K$8)^(T132/IF('депозитный калькулятор'!$G$7="30/360",360,365)))</f>
        <v xml:space="preserve"> </v>
      </c>
      <c r="AA132" s="151"/>
      <c r="AB132" s="151"/>
      <c r="AC132" s="155"/>
      <c r="AD132" s="155"/>
    </row>
    <row r="133" spans="1:30" s="2" customFormat="1" ht="15.5" x14ac:dyDescent="0.35">
      <c r="A133" s="41" t="str">
        <f>IF(F133=" "," ",IF(OR('депозитный калькулятор'!$G$7="30/365",'депозитный калькулятор'!$G$7="30/360"),IF(AND(MONTH(F133)=2,DAY(F133)=DAY(EOMONTH(F133,0))),30-DAY(EOMONTH(F133,0)),IF(DAY(F133)=31,1," "))," "))</f>
        <v xml:space="preserve"> </v>
      </c>
      <c r="B133" s="130" t="str">
        <f t="shared" si="6"/>
        <v xml:space="preserve"> </v>
      </c>
      <c r="C133" s="130" t="str">
        <f>IF(OR(B133=0,B133=" ")," ",SUM($B$23:B133))</f>
        <v xml:space="preserve"> </v>
      </c>
      <c r="D133" s="62" t="str">
        <f>IF(D132=" "," ",IF(OR(F132='депозитный калькулятор'!$D$8,F132=" ")," ",D132+1))</f>
        <v xml:space="preserve"> </v>
      </c>
      <c r="E133" s="130" t="str">
        <f>IF(OR(F132='депозитный калькулятор'!$D$8,F132=" ")," ",IF(EOMONTH(F132,0)=F132,1,E132+1))</f>
        <v xml:space="preserve"> </v>
      </c>
      <c r="F133" s="64" t="str">
        <f>IF(F132=" "," ",IF(F132='депозитный калькулятор'!$D$8," ",F132+1))</f>
        <v xml:space="preserve"> </v>
      </c>
      <c r="G133" s="145" t="str">
        <f xml:space="preserve"> IF(F133&gt;'депозитный калькулятор'!$D$8," ",IF('депозитный калькулятор'!$G$13="есть",IF('депозитный калькулятор'!$G$14="есть",G132+IF(I132=" ",0,I132)-J133-K133+L133+M133-N133,G132+IF(I132=" ",0,I132)-J133-K133+M133-N133),IF('депозитный калькулятор'!$G$14="есть",G132-J133-K133+L133+M133-N133,G132-J133-K133+M133-N133)))</f>
        <v xml:space="preserve"> </v>
      </c>
      <c r="H133" s="133" t="str">
        <f>IF(F133&gt;'депозитный калькулятор'!$D$8," ",IF(AND(OR('депозитный калькулятор'!$G$7="30/365",'депозитный калькулятор'!$G$7="30/360"),AND(MONTH(F133)=2,EOMONTH(F133,0)=F133)),IF(DAY(F133)=28,3*G133*'депозитный калькулятор'!$G$8,2*G133*'депозитный калькулятор'!$G$8),IF(AND(OR('депозитный калькулятор'!$G$7="30/365",'депозитный калькулятор'!$G$7="30/360"),DAY(F133)=31)," ",IF(AND('депозитный калькулятор'!$G$7="факт/факт",MOD(YEAR(F133),4)=0),G133*'депозитный калькулятор'!$D$11/366,G133*'депозитный калькулятор'!$G$8))))</f>
        <v xml:space="preserve"> </v>
      </c>
      <c r="I133" s="134" t="str">
        <f ca="1">IF(F133=" "," ",IF('депозитный калькулятор'!$G$10="ежедневное",H133,IF(AND('депозитный калькулятор'!$G$10="еженедельное",WEEKDAY(F133,2)=7),SUM(OFFSET(H133,-6,0):H133),IF(AND('депозитный калькулятор'!$G$10="еженедельное",F133='депозитный калькулятор'!$D$8),SUM($H$23:H133)-SUM($I$23:I132),IF(AND('депозитный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недели",WEEKDAY(F133,2)=7),MIN(OFFSET(H133,-6,0):H133)*(COUNTIF(OFFSET(H133,-6,0):H133,"&gt;0")+SUMIF(OFFSET(A133,-WEEKDAY(F133,2),0):A133,"=2",OFFSET(A133,-WEEKDAY(F133,2),0):A133)),IF(AND('депозитный калькулятор'!$G$10="еженедельное, на минимальную сумму зафиксированную в течение недели",F133='депозитный калькулятор'!$D$8,WEEKDAY(F133,2)&lt;&gt;7),MIN(OFFSET(H133,-WEEKDAY(F133,2),0):H133)*(COUNTIF(OFFSET(H133,-WEEKDAY(F133,2)+1,0):H133,"&gt;0")+SUM(OFFSET(A133,-WEEKDAY(F133,2),0):A133)),IF(AND('депозитный калькулятор'!$G$10="ежемесячное (в конце месяца)",F133='депозитный калькулятор'!$D$8,EOMONTH(F133,0)&lt;&gt;F133),IF('депозитный калькулятор'!$F$1=1,$H$24,SUM($H$23:H133)-SUM($I$23:I132)),IF(AND('депозитный калькулятор'!$G$10="ежемесячное (в конце месяца)",EOMONTH(F133,0)=F133),SUM($H$23:H133)-SUM($I$23:I132),IF(AND('депозитный калькулятор'!$G$10="ежемесячное (по дням открытия вклада)",F133='депозитный калькулятор'!$D$8,DAY('депозитный калькулятор'!$D$7)&lt;&gt;DAY(F133)),IF('депозитный калькулятор'!$F$1=1,$H$24,SUM($H$23:H133)-SUM($I$23:I132)),IF(AND('депозитный калькулятор'!$G$10="ежемесячное (по дням открытия вклада)",DAY('депозитный калькулятор'!$D$7)=DAY(F133)),SUM($H$23:H133)-SUM($I$23:I132),IF(AND('депозитный калькулятор'!$G$10="ежемесячное, на минимальную сумму зафиксированную в течение месяца",F133='депозитный калькулятор'!$D$8,EOMONTH(F133,0)&lt;&gt;F133),IF('депозитный калькулятор'!$F$1=1,$H$24,IF(AND(OR('депозитный калькулятор'!$G$7="30/365",'депозитный калькулятор'!$G$7="30/360"),DAY(F133)=31),0,MIN(OFFSET(H133,-E133+1,0):H133)*(E133+SUMIF(OFFSET(A133,-E133+1,0):A133,"=2",OFFSET(A133,-E133+1,0):A133)))),IF(AND('депозитный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калькулятор'!$G$7="30/360"),DAY(EOMONTH(F133,0))=31),EOMONTH(F133,0)-1=F133,EOMONTH(F133,0)=F133)),IF(IF(AND(OR('депозитный калькулятор'!$G$7="30/365",'депозитный калькулятор'!$G$7="30/360"),DAY(EOMONTH($F$23,0))=31),F133=EOMONTH($F$23,0)-1,F133=EOMONTH($F$23,0)),MIN(OFFSET(H133,-(DAY(F133)-DAY($F$23)),0):H133)*E133,MIN(OFFSET(H133,-(DAY(F133)-1),0):H133)*IF(AND(OR('депозитный калькулятор'!$G$7="30/365",'депозитный калькулятор'!$G$7="30/360"),DAY(F133)&lt;30),30,DAY(F133))),IF(AND('депозитный калькулятор'!$G$10="ежемесячное, на средний остаток в течение месяца, при условии что остаток больше чем ограничение",F133='депозитный калькулятор'!$D$8,EOMONTH(F133,0)&lt;&gt;F133),IF('депозитный калькулятор'!$F$1=1,$H$24,SUM(OFFSET(Q133,-E133+1,0):Q133)),IF(AND('депозитный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калькулятор'!$G$7="30/360"),DAY(EOMONTH(F133,0))=31),EOMONTH(F133,0)-1=F133,EOMONTH(F133,0)=F133)),IF(IF(AND(OR('депозитный калькулятор'!$G$7="30/365",'депозитный калькулятор'!$G$7="30/360"),DAY(EOMONTH($F$24,0))=31),F133=EOMONTH($F$24,0)-1,F133=EOMONTH($F$24,0)),SUM(OFFSET(Q133,-E133+1,0):Q133),SUM(OFFSET(Q133,-E133+1,0):Q133)),IF('депозитный калькулятор'!$G$10="ежеквартальное",IF(F133&gt;'депозитный калькулятор'!$D$8," ",IF(AND(EOMONTH(F133,0)=F133,OR(MONTH(F133)=3,MONTH(F133)=6,MONTH(F133)=9,MONTH(F133)=12)),IF(EDATE(F133,-3)&lt;'депозитный калькулятор'!$D$7,SUM($H$23:H133),IF(MOD(YEAR(F133),4)=0,IF(AND(EOMONTH(F133,0)=F133,OR(MONTH(F133)=3,MONTH(F133)=6)),SUM(OFFSET(H133,-90,0):H133),IF(AND(EOMONTH(F133,0)=F133,OR(MONTH(F133)=9,MONTH(F133)=12)),SUM(OFFSET(H133,-91,0):H133))),IF(AND(EOMONTH(F133,0)=F133,MONTH(F133)=3),SUM(OFFSET(H133,-89,0):H133),IF(AND(EOMONTH(F133,0)=F133,MONTH(F133)=6),SUM(OFFSET(H133,-90,0):H133),IF(AND(EOMONTH(F133,0)=F133,OR(MONTH(F133)=9,MONTH(F133)=12)),SUM(OFFSET(H133,-91,0):H133)))))),IF(F133='депозитный калькулятор'!$D$8,SUM($H$23:H133)-SUM($I$23:I132),0))),IF('депозитный калькулятор'!$G$10="ежегодное",IF(F133&gt;'депозитный калькулятор'!$D$8," ",IF(F133='депозитный калькулятор'!$D$8,SUM($H$23:H133)-SUM($I$23:I132),IF(AND(EOMONTH(F133,0)=F133,MONTH(F133)=12),IF(MOD(YEAR(F132),4)=0,IF(F133-'депозитный калькулятор'!$D$7&lt;366,SUM($H$23:H133),SUM(OFFSET(H133,-365,0):H133)),IF(F133-'депозитный калькулятор'!$D$7&lt;365,SUM($H$23:H133),SUM(OFFSET(H133,-364,0):H133))),0))),IF(AND('депозитный калькулятор'!$G$10="в конце срока",'депозитный калькулятор'!$D$8=F133),SUM($H$23:H133),0))))))))))))))))))</f>
        <v xml:space="preserve"> </v>
      </c>
      <c r="J133" s="59" t="str">
        <f>IF(F133&gt;'депозитный калькулятор'!$D$8," ",IF('депозитный калькулятор'!$G$16="нет",0,IF(AND('депозитный калькулятор'!$G$17="разовая (в конце срока)",F133='депозитный калькулятор'!$D$8),'депозитный калькулятор'!$G$18,IF(AND('депозитный калькулятор'!$G$17="ежемесячная",EOMONTH(F132,0)=F132),'депозитный калькулятор'!$G$18,IF(AND('депозитный калькулятор'!$G$17="ежегодная",DAY(F132)=31,MONTH(F132)=12),'депозитный калькулятор'!$G$18,IF(AND('депозитный калькулятор'!$G$17="ежемесячная в зависимости от остатка",EOMONTH(F132,0)=F132,P132&gt;0),'депозитный калькулятор'!$G$18,IF(AND('депозитный калькулятор'!$G$17="ежегодная в зависимости от остатка",DAY(F132)=31,MONTH(F132)=12,P132&gt;0),'депозитный калькулятор'!$G$18,0)))))))</f>
        <v xml:space="preserve"> </v>
      </c>
      <c r="K133" s="135" t="str">
        <f>IF($F133=" "," ",IFERROR(VLOOKUP($F133,'депозитный калькулятор'!$B$26:$F$70,2,0),0))</f>
        <v xml:space="preserve"> </v>
      </c>
      <c r="L133" s="135" t="str">
        <f>IF($F133=" "," ",IFERROR(VLOOKUP($F133,'депозитный калькулятор'!$B$26:$F$70,3,0),0))</f>
        <v xml:space="preserve"> </v>
      </c>
      <c r="M133" s="135" t="str">
        <f>IF($F133=" "," ",IFERROR(VLOOKUP($F133,'депозитный калькулятор'!$B$26:$F$70,4,0),0))</f>
        <v xml:space="preserve"> </v>
      </c>
      <c r="N133" s="135" t="str">
        <f>IF($F133=" "," ",IFERROR(VLOOKUP($F133,'депозитный калькулятор'!$B$26:$F$70,5,0),0))</f>
        <v xml:space="preserve"> </v>
      </c>
      <c r="O133" s="146" t="str">
        <f>IF(F133&gt;'депозитный калькулятор'!$D$8," ",IF(F133='депозитный калькулятор'!$D$8,IF(AND($F$24='депозитный калькулятор'!$D$8,'депозитный калькулятор'!$G$13="нет"),-G133-IF(I133=" ",0,I133)-IF(AND(OR('депозитный калькулятор'!$G$7="30/365",'депозитный калькулятор'!$G$7="30/360"),'депозитный калькулятор'!$G$10="в начале срока"),I132,0)-L133+M133-N133,-G133-IF(I133=" ",0,I133)-L133+M133-N133),IF('депозитный калькулятор'!$G$13="есть",M133-N133+IF('депозитный калькулятор'!$G$14="есть",0,-L133),-IF(I133=" ",0,I133)-IF(AND(OR('депозитный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срока"),I132,0)+M133-N133+IF('депозитный калькулятор'!$G$14="есть",0,-L133))))</f>
        <v xml:space="preserve"> </v>
      </c>
      <c r="P133" s="147" t="str">
        <f>IF(F133&gt;'депозитный калькулятор'!$D$8," ",IF(EOMONTH(F132,0)=F132,0,IF(G133&gt;='депозитный калькулятор'!$G$19,P132,P132+1)))</f>
        <v xml:space="preserve"> </v>
      </c>
      <c r="Q133" s="138" t="str">
        <f>IF(F133=" "," ",IF(AND(OR('депозитный калькулятор'!$G$7="30/365",'депозитный калькулятор'!$G$7="30/360"),AND(MONTH(F133)=2,EOMONTH(F133,0)=F133)),IF(DAY(F133)=28,3,2),1)*IF(G133&gt;='депозитный калькулятор'!$G$11,IF(AND('депозитный калькулятор'!$G$7="факт/факт",MOD(YEAR(F133),4)=0),G133*'депозитный калькулятор'!$D$11/366,G133*'депозитный калькулятор'!$G$8),0))</f>
        <v xml:space="preserve"> </v>
      </c>
      <c r="R133" s="148"/>
      <c r="S133" s="62" t="str">
        <f t="shared" ca="1" si="7"/>
        <v xml:space="preserve"> </v>
      </c>
      <c r="T133" s="149" t="str">
        <f ca="1">IF(S133=" "," ",IF('депозитный калькулятор'!$G$7="30/360",DAYS360(U132,IF(DAY(U133)=31,U133-1,U133))+IF(AND(MONTH(U133)=2,U133=EOMONTH(U133,0)),30-DAY(EOMONTH(U133,0)))+T132,VLOOKUP(S133,$C$22:$F$1023,2,0)))</f>
        <v xml:space="preserve"> </v>
      </c>
      <c r="U133" s="64" t="str">
        <f t="shared" ca="1" si="5"/>
        <v xml:space="preserve"> </v>
      </c>
      <c r="V133" s="150" t="str">
        <f t="shared" ca="1" si="8"/>
        <v xml:space="preserve"> </v>
      </c>
      <c r="W133" s="62" t="str">
        <f t="shared" ca="1" si="9"/>
        <v xml:space="preserve"> </v>
      </c>
      <c r="X133" s="141" t="str">
        <f ca="1">IF(S133=" "," ",IFERROR(VLOOKUP(U133,$F$23:$N$1023,7)+VLOOKUP(U133,$F$23:$N$1023,9)+IF(AND('депозитный калькулятор'!$G$13="нет",U133&lt;&gt;'депозитный калькулятор'!$D$8),VLOOKUP(U133,$F$23:$N$1023,4),0),0)+IF(U133='депозитный калькулятор'!$D$8,VLOOKUP(U133,$F$23:$N$1023,2)+VLOOKUP(U133,$F$23:$N$1023,4),0))</f>
        <v xml:space="preserve"> </v>
      </c>
      <c r="Y133" s="142" t="str">
        <f ca="1">IF(S133=" "," ",W133/(1+'депозитный калькулятор'!$K$8)^(T133/IF('депозитный калькулятор'!$G$7="30/360",360,365)))</f>
        <v xml:space="preserve"> </v>
      </c>
      <c r="Z133" s="142" t="str">
        <f ca="1">IF(S133=" "," ",X133/(1+'депозитный калькулятор'!$K$8)^(T133/IF('депозитный калькулятор'!$G$7="30/360",360,365)))</f>
        <v xml:space="preserve"> </v>
      </c>
      <c r="AA133" s="151"/>
      <c r="AB133" s="151"/>
      <c r="AC133" s="155"/>
      <c r="AD133" s="155"/>
    </row>
    <row r="134" spans="1:30" s="2" customFormat="1" ht="15.5" x14ac:dyDescent="0.35">
      <c r="A134" s="41" t="str">
        <f>IF(F134=" "," ",IF(OR('депозитный калькулятор'!$G$7="30/365",'депозитный калькулятор'!$G$7="30/360"),IF(AND(MONTH(F134)=2,DAY(F134)=DAY(EOMONTH(F134,0))),30-DAY(EOMONTH(F134,0)),IF(DAY(F134)=31,1," "))," "))</f>
        <v xml:space="preserve"> </v>
      </c>
      <c r="B134" s="130" t="str">
        <f t="shared" si="6"/>
        <v xml:space="preserve"> </v>
      </c>
      <c r="C134" s="130" t="str">
        <f>IF(OR(B134=0,B134=" ")," ",SUM($B$23:B134))</f>
        <v xml:space="preserve"> </v>
      </c>
      <c r="D134" s="62" t="str">
        <f>IF(D133=" "," ",IF(OR(F133='депозитный калькулятор'!$D$8,F133=" ")," ",D133+1))</f>
        <v xml:space="preserve"> </v>
      </c>
      <c r="E134" s="130" t="str">
        <f>IF(OR(F133='депозитный калькулятор'!$D$8,F133=" ")," ",IF(EOMONTH(F133,0)=F133,1,E133+1))</f>
        <v xml:space="preserve"> </v>
      </c>
      <c r="F134" s="64" t="str">
        <f>IF(F133=" "," ",IF(F133='депозитный калькулятор'!$D$8," ",F133+1))</f>
        <v xml:space="preserve"> </v>
      </c>
      <c r="G134" s="145" t="str">
        <f xml:space="preserve"> IF(F134&gt;'депозитный калькулятор'!$D$8," ",IF('депозитный калькулятор'!$G$13="есть",IF('депозитный калькулятор'!$G$14="есть",G133+IF(I133=" ",0,I133)-J134-K134+L134+M134-N134,G133+IF(I133=" ",0,I133)-J134-K134+M134-N134),IF('депозитный калькулятор'!$G$14="есть",G133-J134-K134+L134+M134-N134,G133-J134-K134+M134-N134)))</f>
        <v xml:space="preserve"> </v>
      </c>
      <c r="H134" s="133" t="str">
        <f>IF(F134&gt;'депозитный калькулятор'!$D$8," ",IF(AND(OR('депозитный калькулятор'!$G$7="30/365",'депозитный калькулятор'!$G$7="30/360"),AND(MONTH(F134)=2,EOMONTH(F134,0)=F134)),IF(DAY(F134)=28,3*G134*'депозитный калькулятор'!$G$8,2*G134*'депозитный калькулятор'!$G$8),IF(AND(OR('депозитный калькулятор'!$G$7="30/365",'депозитный калькулятор'!$G$7="30/360"),DAY(F134)=31)," ",IF(AND('депозитный калькулятор'!$G$7="факт/факт",MOD(YEAR(F134),4)=0),G134*'депозитный калькулятор'!$D$11/366,G134*'депозитный калькулятор'!$G$8))))</f>
        <v xml:space="preserve"> </v>
      </c>
      <c r="I134" s="134" t="str">
        <f ca="1">IF(F134=" "," ",IF('депозитный калькулятор'!$G$10="ежедневное",H134,IF(AND('депозитный калькулятор'!$G$10="еженедельное",WEEKDAY(F134,2)=7),SUM(OFFSET(H134,-6,0):H134),IF(AND('депозитный калькулятор'!$G$10="еженедельное",F134='депозитный калькулятор'!$D$8),SUM($H$23:H134)-SUM($I$23:I133),IF(AND('депозитный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недели",WEEKDAY(F134,2)=7),MIN(OFFSET(H134,-6,0):H134)*(COUNTIF(OFFSET(H134,-6,0):H134,"&gt;0")+SUMIF(OFFSET(A134,-WEEKDAY(F134,2),0):A134,"=2",OFFSET(A134,-WEEKDAY(F134,2),0):A134)),IF(AND('депозитный калькулятор'!$G$10="еженедельное, на минимальную сумму зафиксированную в течение недели",F134='депозитный калькулятор'!$D$8,WEEKDAY(F134,2)&lt;&gt;7),MIN(OFFSET(H134,-WEEKDAY(F134,2),0):H134)*(COUNTIF(OFFSET(H134,-WEEKDAY(F134,2)+1,0):H134,"&gt;0")+SUM(OFFSET(A134,-WEEKDAY(F134,2),0):A134)),IF(AND('депозитный калькулятор'!$G$10="ежемесячное (в конце месяца)",F134='депозитный калькулятор'!$D$8,EOMONTH(F134,0)&lt;&gt;F134),IF('депозитный калькулятор'!$F$1=1,$H$24,SUM($H$23:H134)-SUM($I$23:I133)),IF(AND('депозитный калькулятор'!$G$10="ежемесячное (в конце месяца)",EOMONTH(F134,0)=F134),SUM($H$23:H134)-SUM($I$23:I133),IF(AND('депозитный калькулятор'!$G$10="ежемесячное (по дням открытия вклада)",F134='депозитный калькулятор'!$D$8,DAY('депозитный калькулятор'!$D$7)&lt;&gt;DAY(F134)),IF('депозитный калькулятор'!$F$1=1,$H$24,SUM($H$23:H134)-SUM($I$23:I133)),IF(AND('депозитный калькулятор'!$G$10="ежемесячное (по дням открытия вклада)",DAY('депозитный калькулятор'!$D$7)=DAY(F134)),SUM($H$23:H134)-SUM($I$23:I133),IF(AND('депозитный калькулятор'!$G$10="ежемесячное, на минимальную сумму зафиксированную в течение месяца",F134='депозитный калькулятор'!$D$8,EOMONTH(F134,0)&lt;&gt;F134),IF('депозитный калькулятор'!$F$1=1,$H$24,IF(AND(OR('депозитный калькулятор'!$G$7="30/365",'депозитный калькулятор'!$G$7="30/360"),DAY(F134)=31),0,MIN(OFFSET(H134,-E134+1,0):H134)*(E134+SUMIF(OFFSET(A134,-E134+1,0):A134,"=2",OFFSET(A134,-E134+1,0):A134)))),IF(AND('депозитный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калькулятор'!$G$7="30/360"),DAY(EOMONTH(F134,0))=31),EOMONTH(F134,0)-1=F134,EOMONTH(F134,0)=F134)),IF(IF(AND(OR('депозитный калькулятор'!$G$7="30/365",'депозитный калькулятор'!$G$7="30/360"),DAY(EOMONTH($F$23,0))=31),F134=EOMONTH($F$23,0)-1,F134=EOMONTH($F$23,0)),MIN(OFFSET(H134,-(DAY(F134)-DAY($F$23)),0):H134)*E134,MIN(OFFSET(H134,-(DAY(F134)-1),0):H134)*IF(AND(OR('депозитный калькулятор'!$G$7="30/365",'депозитный калькулятор'!$G$7="30/360"),DAY(F134)&lt;30),30,DAY(F134))),IF(AND('депозитный калькулятор'!$G$10="ежемесячное, на средний остаток в течение месяца, при условии что остаток больше чем ограничение",F134='депозитный калькулятор'!$D$8,EOMONTH(F134,0)&lt;&gt;F134),IF('депозитный калькулятор'!$F$1=1,$H$24,SUM(OFFSET(Q134,-E134+1,0):Q134)),IF(AND('депозитный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калькулятор'!$G$7="30/360"),DAY(EOMONTH(F134,0))=31),EOMONTH(F134,0)-1=F134,EOMONTH(F134,0)=F134)),IF(IF(AND(OR('депозитный калькулятор'!$G$7="30/365",'депозитный калькулятор'!$G$7="30/360"),DAY(EOMONTH($F$24,0))=31),F134=EOMONTH($F$24,0)-1,F134=EOMONTH($F$24,0)),SUM(OFFSET(Q134,-E134+1,0):Q134),SUM(OFFSET(Q134,-E134+1,0):Q134)),IF('депозитный калькулятор'!$G$10="ежеквартальное",IF(F134&gt;'депозитный калькулятор'!$D$8," ",IF(AND(EOMONTH(F134,0)=F134,OR(MONTH(F134)=3,MONTH(F134)=6,MONTH(F134)=9,MONTH(F134)=12)),IF(EDATE(F134,-3)&lt;'депозитный калькулятор'!$D$7,SUM($H$23:H134),IF(MOD(YEAR(F134),4)=0,IF(AND(EOMONTH(F134,0)=F134,OR(MONTH(F134)=3,MONTH(F134)=6)),SUM(OFFSET(H134,-90,0):H134),IF(AND(EOMONTH(F134,0)=F134,OR(MONTH(F134)=9,MONTH(F134)=12)),SUM(OFFSET(H134,-91,0):H134))),IF(AND(EOMONTH(F134,0)=F134,MONTH(F134)=3),SUM(OFFSET(H134,-89,0):H134),IF(AND(EOMONTH(F134,0)=F134,MONTH(F134)=6),SUM(OFFSET(H134,-90,0):H134),IF(AND(EOMONTH(F134,0)=F134,OR(MONTH(F134)=9,MONTH(F134)=12)),SUM(OFFSET(H134,-91,0):H134)))))),IF(F134='депозитный калькулятор'!$D$8,SUM($H$23:H134)-SUM($I$23:I133),0))),IF('депозитный калькулятор'!$G$10="ежегодное",IF(F134&gt;'депозитный калькулятор'!$D$8," ",IF(F134='депозитный калькулятор'!$D$8,SUM($H$23:H134)-SUM($I$23:I133),IF(AND(EOMONTH(F134,0)=F134,MONTH(F134)=12),IF(MOD(YEAR(F133),4)=0,IF(F134-'депозитный калькулятор'!$D$7&lt;366,SUM($H$23:H134),SUM(OFFSET(H134,-365,0):H134)),IF(F134-'депозитный калькулятор'!$D$7&lt;365,SUM($H$23:H134),SUM(OFFSET(H134,-364,0):H134))),0))),IF(AND('депозитный калькулятор'!$G$10="в конце срока",'депозитный калькулятор'!$D$8=F134),SUM($H$23:H134),0))))))))))))))))))</f>
        <v xml:space="preserve"> </v>
      </c>
      <c r="J134" s="59" t="str">
        <f>IF(F134&gt;'депозитный калькулятор'!$D$8," ",IF('депозитный калькулятор'!$G$16="нет",0,IF(AND('депозитный калькулятор'!$G$17="разовая (в конце срока)",F134='депозитный калькулятор'!$D$8),'депозитный калькулятор'!$G$18,IF(AND('депозитный калькулятор'!$G$17="ежемесячная",EOMONTH(F133,0)=F133),'депозитный калькулятор'!$G$18,IF(AND('депозитный калькулятор'!$G$17="ежегодная",DAY(F133)=31,MONTH(F133)=12),'депозитный калькулятор'!$G$18,IF(AND('депозитный калькулятор'!$G$17="ежемесячная в зависимости от остатка",EOMONTH(F133,0)=F133,P133&gt;0),'депозитный калькулятор'!$G$18,IF(AND('депозитный калькулятор'!$G$17="ежегодная в зависимости от остатка",DAY(F133)=31,MONTH(F133)=12,P133&gt;0),'депозитный калькулятор'!$G$18,0)))))))</f>
        <v xml:space="preserve"> </v>
      </c>
      <c r="K134" s="135" t="str">
        <f>IF($F134=" "," ",IFERROR(VLOOKUP($F134,'депозитный калькулятор'!$B$26:$F$70,2,0),0))</f>
        <v xml:space="preserve"> </v>
      </c>
      <c r="L134" s="135" t="str">
        <f>IF($F134=" "," ",IFERROR(VLOOKUP($F134,'депозитный калькулятор'!$B$26:$F$70,3,0),0))</f>
        <v xml:space="preserve"> </v>
      </c>
      <c r="M134" s="135" t="str">
        <f>IF($F134=" "," ",IFERROR(VLOOKUP($F134,'депозитный калькулятор'!$B$26:$F$70,4,0),0))</f>
        <v xml:space="preserve"> </v>
      </c>
      <c r="N134" s="135" t="str">
        <f>IF($F134=" "," ",IFERROR(VLOOKUP($F134,'депозитный калькулятор'!$B$26:$F$70,5,0),0))</f>
        <v xml:space="preserve"> </v>
      </c>
      <c r="O134" s="146" t="str">
        <f>IF(F134&gt;'депозитный калькулятор'!$D$8," ",IF(F134='депозитный калькулятор'!$D$8,IF(AND($F$24='депозитный калькулятор'!$D$8,'депозитный калькулятор'!$G$13="нет"),-G134-IF(I134=" ",0,I134)-IF(AND(OR('депозитный калькулятор'!$G$7="30/365",'депозитный калькулятор'!$G$7="30/360"),'депозитный калькулятор'!$G$10="в начале срока"),I133,0)-L134+M134-N134,-G134-IF(I134=" ",0,I134)-L134+M134-N134),IF('депозитный калькулятор'!$G$13="есть",M134-N134+IF('депозитный калькулятор'!$G$14="есть",0,-L134),-IF(I134=" ",0,I134)-IF(AND(OR('депозитный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срока"),I133,0)+M134-N134+IF('депозитный калькулятор'!$G$14="есть",0,-L134))))</f>
        <v xml:space="preserve"> </v>
      </c>
      <c r="P134" s="147" t="str">
        <f>IF(F134&gt;'депозитный калькулятор'!$D$8," ",IF(EOMONTH(F133,0)=F133,0,IF(G134&gt;='депозитный калькулятор'!$G$19,P133,P133+1)))</f>
        <v xml:space="preserve"> </v>
      </c>
      <c r="Q134" s="138" t="str">
        <f>IF(F134=" "," ",IF(AND(OR('депозитный калькулятор'!$G$7="30/365",'депозитный калькулятор'!$G$7="30/360"),AND(MONTH(F134)=2,EOMONTH(F134,0)=F134)),IF(DAY(F134)=28,3,2),1)*IF(G134&gt;='депозитный калькулятор'!$G$11,IF(AND('депозитный калькулятор'!$G$7="факт/факт",MOD(YEAR(F134),4)=0),G134*'депозитный калькулятор'!$D$11/366,G134*'депозитный калькулятор'!$G$8),0))</f>
        <v xml:space="preserve"> </v>
      </c>
      <c r="R134" s="148"/>
      <c r="S134" s="62" t="str">
        <f t="shared" ca="1" si="7"/>
        <v xml:space="preserve"> </v>
      </c>
      <c r="T134" s="149" t="str">
        <f ca="1">IF(S134=" "," ",IF('депозитный калькулятор'!$G$7="30/360",DAYS360(U133,IF(DAY(U134)=31,U134-1,U134))+IF(AND(MONTH(U134)=2,U134=EOMONTH(U134,0)),30-DAY(EOMONTH(U134,0)))+T133,VLOOKUP(S134,$C$22:$F$1023,2,0)))</f>
        <v xml:space="preserve"> </v>
      </c>
      <c r="U134" s="64" t="str">
        <f t="shared" ca="1" si="5"/>
        <v xml:space="preserve"> </v>
      </c>
      <c r="V134" s="150" t="str">
        <f t="shared" ca="1" si="8"/>
        <v xml:space="preserve"> </v>
      </c>
      <c r="W134" s="62" t="str">
        <f t="shared" ca="1" si="9"/>
        <v xml:space="preserve"> </v>
      </c>
      <c r="X134" s="141" t="str">
        <f ca="1">IF(S134=" "," ",IFERROR(VLOOKUP(U134,$F$23:$N$1023,7)+VLOOKUP(U134,$F$23:$N$1023,9)+IF(AND('депозитный калькулятор'!$G$13="нет",U134&lt;&gt;'депозитный калькулятор'!$D$8),VLOOKUP(U134,$F$23:$N$1023,4),0),0)+IF(U134='депозитный калькулятор'!$D$8,VLOOKUP(U134,$F$23:$N$1023,2)+VLOOKUP(U134,$F$23:$N$1023,4),0))</f>
        <v xml:space="preserve"> </v>
      </c>
      <c r="Y134" s="142" t="str">
        <f ca="1">IF(S134=" "," ",W134/(1+'депозитный калькулятор'!$K$8)^(T134/IF('депозитный калькулятор'!$G$7="30/360",360,365)))</f>
        <v xml:space="preserve"> </v>
      </c>
      <c r="Z134" s="142" t="str">
        <f ca="1">IF(S134=" "," ",X134/(1+'депозитный калькулятор'!$K$8)^(T134/IF('депозитный калькулятор'!$G$7="30/360",360,365)))</f>
        <v xml:space="preserve"> </v>
      </c>
      <c r="AA134" s="151"/>
      <c r="AB134" s="151"/>
      <c r="AC134" s="155"/>
      <c r="AD134" s="155"/>
    </row>
    <row r="135" spans="1:30" s="2" customFormat="1" ht="15.5" x14ac:dyDescent="0.35">
      <c r="A135" s="41" t="str">
        <f>IF(F135=" "," ",IF(OR('депозитный калькулятор'!$G$7="30/365",'депозитный калькулятор'!$G$7="30/360"),IF(AND(MONTH(F135)=2,DAY(F135)=DAY(EOMONTH(F135,0))),30-DAY(EOMONTH(F135,0)),IF(DAY(F135)=31,1," "))," "))</f>
        <v xml:space="preserve"> </v>
      </c>
      <c r="B135" s="130" t="str">
        <f t="shared" si="6"/>
        <v xml:space="preserve"> </v>
      </c>
      <c r="C135" s="130" t="str">
        <f>IF(OR(B135=0,B135=" ")," ",SUM($B$23:B135))</f>
        <v xml:space="preserve"> </v>
      </c>
      <c r="D135" s="62" t="str">
        <f>IF(D134=" "," ",IF(OR(F134='депозитный калькулятор'!$D$8,F134=" ")," ",D134+1))</f>
        <v xml:space="preserve"> </v>
      </c>
      <c r="E135" s="130" t="str">
        <f>IF(OR(F134='депозитный калькулятор'!$D$8,F134=" ")," ",IF(EOMONTH(F134,0)=F134,1,E134+1))</f>
        <v xml:space="preserve"> </v>
      </c>
      <c r="F135" s="64" t="str">
        <f>IF(F134=" "," ",IF(F134='депозитный калькулятор'!$D$8," ",F134+1))</f>
        <v xml:space="preserve"> </v>
      </c>
      <c r="G135" s="145" t="str">
        <f xml:space="preserve"> IF(F135&gt;'депозитный калькулятор'!$D$8," ",IF('депозитный калькулятор'!$G$13="есть",IF('депозитный калькулятор'!$G$14="есть",G134+IF(I134=" ",0,I134)-J135-K135+L135+M135-N135,G134+IF(I134=" ",0,I134)-J135-K135+M135-N135),IF('депозитный калькулятор'!$G$14="есть",G134-J135-K135+L135+M135-N135,G134-J135-K135+M135-N135)))</f>
        <v xml:space="preserve"> </v>
      </c>
      <c r="H135" s="133" t="str">
        <f>IF(F135&gt;'депозитный калькулятор'!$D$8," ",IF(AND(OR('депозитный калькулятор'!$G$7="30/365",'депозитный калькулятор'!$G$7="30/360"),AND(MONTH(F135)=2,EOMONTH(F135,0)=F135)),IF(DAY(F135)=28,3*G135*'депозитный калькулятор'!$G$8,2*G135*'депозитный калькулятор'!$G$8),IF(AND(OR('депозитный калькулятор'!$G$7="30/365",'депозитный калькулятор'!$G$7="30/360"),DAY(F135)=31)," ",IF(AND('депозитный калькулятор'!$G$7="факт/факт",MOD(YEAR(F135),4)=0),G135*'депозитный калькулятор'!$D$11/366,G135*'депозитный калькулятор'!$G$8))))</f>
        <v xml:space="preserve"> </v>
      </c>
      <c r="I135" s="134" t="str">
        <f ca="1">IF(F135=" "," ",IF('депозитный калькулятор'!$G$10="ежедневное",H135,IF(AND('депозитный калькулятор'!$G$10="еженедельное",WEEKDAY(F135,2)=7),SUM(OFFSET(H135,-6,0):H135),IF(AND('депозитный калькулятор'!$G$10="еженедельное",F135='депозитный калькулятор'!$D$8),SUM($H$23:H135)-SUM($I$23:I134),IF(AND('депозитный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недели",WEEKDAY(F135,2)=7),MIN(OFFSET(H135,-6,0):H135)*(COUNTIF(OFFSET(H135,-6,0):H135,"&gt;0")+SUMIF(OFFSET(A135,-WEEKDAY(F135,2),0):A135,"=2",OFFSET(A135,-WEEKDAY(F135,2),0):A135)),IF(AND('депозитный калькулятор'!$G$10="еженедельное, на минимальную сумму зафиксированную в течение недели",F135='депозитный калькулятор'!$D$8,WEEKDAY(F135,2)&lt;&gt;7),MIN(OFFSET(H135,-WEEKDAY(F135,2),0):H135)*(COUNTIF(OFFSET(H135,-WEEKDAY(F135,2)+1,0):H135,"&gt;0")+SUM(OFFSET(A135,-WEEKDAY(F135,2),0):A135)),IF(AND('депозитный калькулятор'!$G$10="ежемесячное (в конце месяца)",F135='депозитный калькулятор'!$D$8,EOMONTH(F135,0)&lt;&gt;F135),IF('депозитный калькулятор'!$F$1=1,$H$24,SUM($H$23:H135)-SUM($I$23:I134)),IF(AND('депозитный калькулятор'!$G$10="ежемесячное (в конце месяца)",EOMONTH(F135,0)=F135),SUM($H$23:H135)-SUM($I$23:I134),IF(AND('депозитный калькулятор'!$G$10="ежемесячное (по дням открытия вклада)",F135='депозитный калькулятор'!$D$8,DAY('депозитный калькулятор'!$D$7)&lt;&gt;DAY(F135)),IF('депозитный калькулятор'!$F$1=1,$H$24,SUM($H$23:H135)-SUM($I$23:I134)),IF(AND('депозитный калькулятор'!$G$10="ежемесячное (по дням открытия вклада)",DAY('депозитный калькулятор'!$D$7)=DAY(F135)),SUM($H$23:H135)-SUM($I$23:I134),IF(AND('депозитный калькулятор'!$G$10="ежемесячное, на минимальную сумму зафиксированную в течение месяца",F135='депозитный калькулятор'!$D$8,EOMONTH(F135,0)&lt;&gt;F135),IF('депозитный калькулятор'!$F$1=1,$H$24,IF(AND(OR('депозитный калькулятор'!$G$7="30/365",'депозитный калькулятор'!$G$7="30/360"),DAY(F135)=31),0,MIN(OFFSET(H135,-E135+1,0):H135)*(E135+SUMIF(OFFSET(A135,-E135+1,0):A135,"=2",OFFSET(A135,-E135+1,0):A135)))),IF(AND('депозитный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калькулятор'!$G$7="30/360"),DAY(EOMONTH(F135,0))=31),EOMONTH(F135,0)-1=F135,EOMONTH(F135,0)=F135)),IF(IF(AND(OR('депозитный калькулятор'!$G$7="30/365",'депозитный калькулятор'!$G$7="30/360"),DAY(EOMONTH($F$23,0))=31),F135=EOMONTH($F$23,0)-1,F135=EOMONTH($F$23,0)),MIN(OFFSET(H135,-(DAY(F135)-DAY($F$23)),0):H135)*E135,MIN(OFFSET(H135,-(DAY(F135)-1),0):H135)*IF(AND(OR('депозитный калькулятор'!$G$7="30/365",'депозитный калькулятор'!$G$7="30/360"),DAY(F135)&lt;30),30,DAY(F135))),IF(AND('депозитный калькулятор'!$G$10="ежемесячное, на средний остаток в течение месяца, при условии что остаток больше чем ограничение",F135='депозитный калькулятор'!$D$8,EOMONTH(F135,0)&lt;&gt;F135),IF('депозитный калькулятор'!$F$1=1,$H$24,SUM(OFFSET(Q135,-E135+1,0):Q135)),IF(AND('депозитный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калькулятор'!$G$7="30/360"),DAY(EOMONTH(F135,0))=31),EOMONTH(F135,0)-1=F135,EOMONTH(F135,0)=F135)),IF(IF(AND(OR('депозитный калькулятор'!$G$7="30/365",'депозитный калькулятор'!$G$7="30/360"),DAY(EOMONTH($F$24,0))=31),F135=EOMONTH($F$24,0)-1,F135=EOMONTH($F$24,0)),SUM(OFFSET(Q135,-E135+1,0):Q135),SUM(OFFSET(Q135,-E135+1,0):Q135)),IF('депозитный калькулятор'!$G$10="ежеквартальное",IF(F135&gt;'депозитный калькулятор'!$D$8," ",IF(AND(EOMONTH(F135,0)=F135,OR(MONTH(F135)=3,MONTH(F135)=6,MONTH(F135)=9,MONTH(F135)=12)),IF(EDATE(F135,-3)&lt;'депозитный калькулятор'!$D$7,SUM($H$23:H135),IF(MOD(YEAR(F135),4)=0,IF(AND(EOMONTH(F135,0)=F135,OR(MONTH(F135)=3,MONTH(F135)=6)),SUM(OFFSET(H135,-90,0):H135),IF(AND(EOMONTH(F135,0)=F135,OR(MONTH(F135)=9,MONTH(F135)=12)),SUM(OFFSET(H135,-91,0):H135))),IF(AND(EOMONTH(F135,0)=F135,MONTH(F135)=3),SUM(OFFSET(H135,-89,0):H135),IF(AND(EOMONTH(F135,0)=F135,MONTH(F135)=6),SUM(OFFSET(H135,-90,0):H135),IF(AND(EOMONTH(F135,0)=F135,OR(MONTH(F135)=9,MONTH(F135)=12)),SUM(OFFSET(H135,-91,0):H135)))))),IF(F135='депозитный калькулятор'!$D$8,SUM($H$23:H135)-SUM($I$23:I134),0))),IF('депозитный калькулятор'!$G$10="ежегодное",IF(F135&gt;'депозитный калькулятор'!$D$8," ",IF(F135='депозитный калькулятор'!$D$8,SUM($H$23:H135)-SUM($I$23:I134),IF(AND(EOMONTH(F135,0)=F135,MONTH(F135)=12),IF(MOD(YEAR(F134),4)=0,IF(F135-'депозитный калькулятор'!$D$7&lt;366,SUM($H$23:H135),SUM(OFFSET(H135,-365,0):H135)),IF(F135-'депозитный калькулятор'!$D$7&lt;365,SUM($H$23:H135),SUM(OFFSET(H135,-364,0):H135))),0))),IF(AND('депозитный калькулятор'!$G$10="в конце срока",'депозитный калькулятор'!$D$8=F135),SUM($H$23:H135),0))))))))))))))))))</f>
        <v xml:space="preserve"> </v>
      </c>
      <c r="J135" s="59" t="str">
        <f>IF(F135&gt;'депозитный калькулятор'!$D$8," ",IF('депозитный калькулятор'!$G$16="нет",0,IF(AND('депозитный калькулятор'!$G$17="разовая (в конце срока)",F135='депозитный калькулятор'!$D$8),'депозитный калькулятор'!$G$18,IF(AND('депозитный калькулятор'!$G$17="ежемесячная",EOMONTH(F134,0)=F134),'депозитный калькулятор'!$G$18,IF(AND('депозитный калькулятор'!$G$17="ежегодная",DAY(F134)=31,MONTH(F134)=12),'депозитный калькулятор'!$G$18,IF(AND('депозитный калькулятор'!$G$17="ежемесячная в зависимости от остатка",EOMONTH(F134,0)=F134,P134&gt;0),'депозитный калькулятор'!$G$18,IF(AND('депозитный калькулятор'!$G$17="ежегодная в зависимости от остатка",DAY(F134)=31,MONTH(F134)=12,P134&gt;0),'депозитный калькулятор'!$G$18,0)))))))</f>
        <v xml:space="preserve"> </v>
      </c>
      <c r="K135" s="135" t="str">
        <f>IF($F135=" "," ",IFERROR(VLOOKUP($F135,'депозитный калькулятор'!$B$26:$F$70,2,0),0))</f>
        <v xml:space="preserve"> </v>
      </c>
      <c r="L135" s="135" t="str">
        <f>IF($F135=" "," ",IFERROR(VLOOKUP($F135,'депозитный калькулятор'!$B$26:$F$70,3,0),0))</f>
        <v xml:space="preserve"> </v>
      </c>
      <c r="M135" s="135" t="str">
        <f>IF($F135=" "," ",IFERROR(VLOOKUP($F135,'депозитный калькулятор'!$B$26:$F$70,4,0),0))</f>
        <v xml:space="preserve"> </v>
      </c>
      <c r="N135" s="135" t="str">
        <f>IF($F135=" "," ",IFERROR(VLOOKUP($F135,'депозитный калькулятор'!$B$26:$F$70,5,0),0))</f>
        <v xml:space="preserve"> </v>
      </c>
      <c r="O135" s="146" t="str">
        <f>IF(F135&gt;'депозитный калькулятор'!$D$8," ",IF(F135='депозитный калькулятор'!$D$8,IF(AND($F$24='депозитный калькулятор'!$D$8,'депозитный калькулятор'!$G$13="нет"),-G135-IF(I135=" ",0,I135)-IF(AND(OR('депозитный калькулятор'!$G$7="30/365",'депозитный калькулятор'!$G$7="30/360"),'депозитный калькулятор'!$G$10="в начале срока"),I134,0)-L135+M135-N135,-G135-IF(I135=" ",0,I135)-L135+M135-N135),IF('депозитный калькулятор'!$G$13="есть",M135-N135+IF('депозитный калькулятор'!$G$14="есть",0,-L135),-IF(I135=" ",0,I135)-IF(AND(OR('депозитный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срока"),I134,0)+M135-N135+IF('депозитный калькулятор'!$G$14="есть",0,-L135))))</f>
        <v xml:space="preserve"> </v>
      </c>
      <c r="P135" s="147" t="str">
        <f>IF(F135&gt;'депозитный калькулятор'!$D$8," ",IF(EOMONTH(F134,0)=F134,0,IF(G135&gt;='депозитный калькулятор'!$G$19,P134,P134+1)))</f>
        <v xml:space="preserve"> </v>
      </c>
      <c r="Q135" s="138" t="str">
        <f>IF(F135=" "," ",IF(AND(OR('депозитный калькулятор'!$G$7="30/365",'депозитный калькулятор'!$G$7="30/360"),AND(MONTH(F135)=2,EOMONTH(F135,0)=F135)),IF(DAY(F135)=28,3,2),1)*IF(G135&gt;='депозитный калькулятор'!$G$11,IF(AND('депозитный калькулятор'!$G$7="факт/факт",MOD(YEAR(F135),4)=0),G135*'депозитный калькулятор'!$D$11/366,G135*'депозитный калькулятор'!$G$8),0))</f>
        <v xml:space="preserve"> </v>
      </c>
      <c r="R135" s="148"/>
      <c r="S135" s="62" t="str">
        <f t="shared" ca="1" si="7"/>
        <v xml:space="preserve"> </v>
      </c>
      <c r="T135" s="149" t="str">
        <f ca="1">IF(S135=" "," ",IF('депозитный калькулятор'!$G$7="30/360",DAYS360(U134,IF(DAY(U135)=31,U135-1,U135))+IF(AND(MONTH(U135)=2,U135=EOMONTH(U135,0)),30-DAY(EOMONTH(U135,0)))+T134,VLOOKUP(S135,$C$22:$F$1023,2,0)))</f>
        <v xml:space="preserve"> </v>
      </c>
      <c r="U135" s="64" t="str">
        <f t="shared" ca="1" si="5"/>
        <v xml:space="preserve"> </v>
      </c>
      <c r="V135" s="150" t="str">
        <f t="shared" ca="1" si="8"/>
        <v xml:space="preserve"> </v>
      </c>
      <c r="W135" s="62" t="str">
        <f t="shared" ca="1" si="9"/>
        <v xml:space="preserve"> </v>
      </c>
      <c r="X135" s="141" t="str">
        <f ca="1">IF(S135=" "," ",IFERROR(VLOOKUP(U135,$F$23:$N$1023,7)+VLOOKUP(U135,$F$23:$N$1023,9)+IF(AND('депозитный калькулятор'!$G$13="нет",U135&lt;&gt;'депозитный калькулятор'!$D$8),VLOOKUP(U135,$F$23:$N$1023,4),0),0)+IF(U135='депозитный калькулятор'!$D$8,VLOOKUP(U135,$F$23:$N$1023,2)+VLOOKUP(U135,$F$23:$N$1023,4),0))</f>
        <v xml:space="preserve"> </v>
      </c>
      <c r="Y135" s="142" t="str">
        <f ca="1">IF(S135=" "," ",W135/(1+'депозитный калькулятор'!$K$8)^(T135/IF('депозитный калькулятор'!$G$7="30/360",360,365)))</f>
        <v xml:space="preserve"> </v>
      </c>
      <c r="Z135" s="142" t="str">
        <f ca="1">IF(S135=" "," ",X135/(1+'депозитный калькулятор'!$K$8)^(T135/IF('депозитный калькулятор'!$G$7="30/360",360,365)))</f>
        <v xml:space="preserve"> </v>
      </c>
      <c r="AA135" s="151"/>
      <c r="AB135" s="151"/>
      <c r="AC135" s="155"/>
      <c r="AD135" s="155"/>
    </row>
    <row r="136" spans="1:30" s="2" customFormat="1" ht="15.5" x14ac:dyDescent="0.35">
      <c r="A136" s="41" t="str">
        <f>IF(F136=" "," ",IF(OR('депозитный калькулятор'!$G$7="30/365",'депозитный калькулятор'!$G$7="30/360"),IF(AND(MONTH(F136)=2,DAY(F136)=DAY(EOMONTH(F136,0))),30-DAY(EOMONTH(F136,0)),IF(DAY(F136)=31,1," "))," "))</f>
        <v xml:space="preserve"> </v>
      </c>
      <c r="B136" s="130" t="str">
        <f t="shared" si="6"/>
        <v xml:space="preserve"> </v>
      </c>
      <c r="C136" s="130" t="str">
        <f>IF(OR(B136=0,B136=" ")," ",SUM($B$23:B136))</f>
        <v xml:space="preserve"> </v>
      </c>
      <c r="D136" s="62" t="str">
        <f>IF(D135=" "," ",IF(OR(F135='депозитный калькулятор'!$D$8,F135=" ")," ",D135+1))</f>
        <v xml:space="preserve"> </v>
      </c>
      <c r="E136" s="130" t="str">
        <f>IF(OR(F135='депозитный калькулятор'!$D$8,F135=" ")," ",IF(EOMONTH(F135,0)=F135,1,E135+1))</f>
        <v xml:space="preserve"> </v>
      </c>
      <c r="F136" s="64" t="str">
        <f>IF(F135=" "," ",IF(F135='депозитный калькулятор'!$D$8," ",F135+1))</f>
        <v xml:space="preserve"> </v>
      </c>
      <c r="G136" s="145" t="str">
        <f xml:space="preserve"> IF(F136&gt;'депозитный калькулятор'!$D$8," ",IF('депозитный калькулятор'!$G$13="есть",IF('депозитный калькулятор'!$G$14="есть",G135+IF(I135=" ",0,I135)-J136-K136+L136+M136-N136,G135+IF(I135=" ",0,I135)-J136-K136+M136-N136),IF('депозитный калькулятор'!$G$14="есть",G135-J136-K136+L136+M136-N136,G135-J136-K136+M136-N136)))</f>
        <v xml:space="preserve"> </v>
      </c>
      <c r="H136" s="133" t="str">
        <f>IF(F136&gt;'депозитный калькулятор'!$D$8," ",IF(AND(OR('депозитный калькулятор'!$G$7="30/365",'депозитный калькулятор'!$G$7="30/360"),AND(MONTH(F136)=2,EOMONTH(F136,0)=F136)),IF(DAY(F136)=28,3*G136*'депозитный калькулятор'!$G$8,2*G136*'депозитный калькулятор'!$G$8),IF(AND(OR('депозитный калькулятор'!$G$7="30/365",'депозитный калькулятор'!$G$7="30/360"),DAY(F136)=31)," ",IF(AND('депозитный калькулятор'!$G$7="факт/факт",MOD(YEAR(F136),4)=0),G136*'депозитный калькулятор'!$D$11/366,G136*'депозитный калькулятор'!$G$8))))</f>
        <v xml:space="preserve"> </v>
      </c>
      <c r="I136" s="134" t="str">
        <f ca="1">IF(F136=" "," ",IF('депозитный калькулятор'!$G$10="ежедневное",H136,IF(AND('депозитный калькулятор'!$G$10="еженедельное",WEEKDAY(F136,2)=7),SUM(OFFSET(H136,-6,0):H136),IF(AND('депозитный калькулятор'!$G$10="еженедельное",F136='депозитный калькулятор'!$D$8),SUM($H$23:H136)-SUM($I$23:I135),IF(AND('депозитный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недели",WEEKDAY(F136,2)=7),MIN(OFFSET(H136,-6,0):H136)*(COUNTIF(OFFSET(H136,-6,0):H136,"&gt;0")+SUMIF(OFFSET(A136,-WEEKDAY(F136,2),0):A136,"=2",OFFSET(A136,-WEEKDAY(F136,2),0):A136)),IF(AND('депозитный калькулятор'!$G$10="еженедельное, на минимальную сумму зафиксированную в течение недели",F136='депозитный калькулятор'!$D$8,WEEKDAY(F136,2)&lt;&gt;7),MIN(OFFSET(H136,-WEEKDAY(F136,2),0):H136)*(COUNTIF(OFFSET(H136,-WEEKDAY(F136,2)+1,0):H136,"&gt;0")+SUM(OFFSET(A136,-WEEKDAY(F136,2),0):A136)),IF(AND('депозитный калькулятор'!$G$10="ежемесячное (в конце месяца)",F136='депозитный калькулятор'!$D$8,EOMONTH(F136,0)&lt;&gt;F136),IF('депозитный калькулятор'!$F$1=1,$H$24,SUM($H$23:H136)-SUM($I$23:I135)),IF(AND('депозитный калькулятор'!$G$10="ежемесячное (в конце месяца)",EOMONTH(F136,0)=F136),SUM($H$23:H136)-SUM($I$23:I135),IF(AND('депозитный калькулятор'!$G$10="ежемесячное (по дням открытия вклада)",F136='депозитный калькулятор'!$D$8,DAY('депозитный калькулятор'!$D$7)&lt;&gt;DAY(F136)),IF('депозитный калькулятор'!$F$1=1,$H$24,SUM($H$23:H136)-SUM($I$23:I135)),IF(AND('депозитный калькулятор'!$G$10="ежемесячное (по дням открытия вклада)",DAY('депозитный калькулятор'!$D$7)=DAY(F136)),SUM($H$23:H136)-SUM($I$23:I135),IF(AND('депозитный калькулятор'!$G$10="ежемесячное, на минимальную сумму зафиксированную в течение месяца",F136='депозитный калькулятор'!$D$8,EOMONTH(F136,0)&lt;&gt;F136),IF('депозитный калькулятор'!$F$1=1,$H$24,IF(AND(OR('депозитный калькулятор'!$G$7="30/365",'депозитный калькулятор'!$G$7="30/360"),DAY(F136)=31),0,MIN(OFFSET(H136,-E136+1,0):H136)*(E136+SUMIF(OFFSET(A136,-E136+1,0):A136,"=2",OFFSET(A136,-E136+1,0):A136)))),IF(AND('депозитный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калькулятор'!$G$7="30/360"),DAY(EOMONTH(F136,0))=31),EOMONTH(F136,0)-1=F136,EOMONTH(F136,0)=F136)),IF(IF(AND(OR('депозитный калькулятор'!$G$7="30/365",'депозитный калькулятор'!$G$7="30/360"),DAY(EOMONTH($F$23,0))=31),F136=EOMONTH($F$23,0)-1,F136=EOMONTH($F$23,0)),MIN(OFFSET(H136,-(DAY(F136)-DAY($F$23)),0):H136)*E136,MIN(OFFSET(H136,-(DAY(F136)-1),0):H136)*IF(AND(OR('депозитный калькулятор'!$G$7="30/365",'депозитный калькулятор'!$G$7="30/360"),DAY(F136)&lt;30),30,DAY(F136))),IF(AND('депозитный калькулятор'!$G$10="ежемесячное, на средний остаток в течение месяца, при условии что остаток больше чем ограничение",F136='депозитный калькулятор'!$D$8,EOMONTH(F136,0)&lt;&gt;F136),IF('депозитный калькулятор'!$F$1=1,$H$24,SUM(OFFSET(Q136,-E136+1,0):Q136)),IF(AND('депозитный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калькулятор'!$G$7="30/360"),DAY(EOMONTH(F136,0))=31),EOMONTH(F136,0)-1=F136,EOMONTH(F136,0)=F136)),IF(IF(AND(OR('депозитный калькулятор'!$G$7="30/365",'депозитный калькулятор'!$G$7="30/360"),DAY(EOMONTH($F$24,0))=31),F136=EOMONTH($F$24,0)-1,F136=EOMONTH($F$24,0)),SUM(OFFSET(Q136,-E136+1,0):Q136),SUM(OFFSET(Q136,-E136+1,0):Q136)),IF('депозитный калькулятор'!$G$10="ежеквартальное",IF(F136&gt;'депозитный калькулятор'!$D$8," ",IF(AND(EOMONTH(F136,0)=F136,OR(MONTH(F136)=3,MONTH(F136)=6,MONTH(F136)=9,MONTH(F136)=12)),IF(EDATE(F136,-3)&lt;'депозитный калькулятор'!$D$7,SUM($H$23:H136),IF(MOD(YEAR(F136),4)=0,IF(AND(EOMONTH(F136,0)=F136,OR(MONTH(F136)=3,MONTH(F136)=6)),SUM(OFFSET(H136,-90,0):H136),IF(AND(EOMONTH(F136,0)=F136,OR(MONTH(F136)=9,MONTH(F136)=12)),SUM(OFFSET(H136,-91,0):H136))),IF(AND(EOMONTH(F136,0)=F136,MONTH(F136)=3),SUM(OFFSET(H136,-89,0):H136),IF(AND(EOMONTH(F136,0)=F136,MONTH(F136)=6),SUM(OFFSET(H136,-90,0):H136),IF(AND(EOMONTH(F136,0)=F136,OR(MONTH(F136)=9,MONTH(F136)=12)),SUM(OFFSET(H136,-91,0):H136)))))),IF(F136='депозитный калькулятор'!$D$8,SUM($H$23:H136)-SUM($I$23:I135),0))),IF('депозитный калькулятор'!$G$10="ежегодное",IF(F136&gt;'депозитный калькулятор'!$D$8," ",IF(F136='депозитный калькулятор'!$D$8,SUM($H$23:H136)-SUM($I$23:I135),IF(AND(EOMONTH(F136,0)=F136,MONTH(F136)=12),IF(MOD(YEAR(F135),4)=0,IF(F136-'депозитный калькулятор'!$D$7&lt;366,SUM($H$23:H136),SUM(OFFSET(H136,-365,0):H136)),IF(F136-'депозитный калькулятор'!$D$7&lt;365,SUM($H$23:H136),SUM(OFFSET(H136,-364,0):H136))),0))),IF(AND('депозитный калькулятор'!$G$10="в конце срока",'депозитный калькулятор'!$D$8=F136),SUM($H$23:H136),0))))))))))))))))))</f>
        <v xml:space="preserve"> </v>
      </c>
      <c r="J136" s="59" t="str">
        <f>IF(F136&gt;'депозитный калькулятор'!$D$8," ",IF('депозитный калькулятор'!$G$16="нет",0,IF(AND('депозитный калькулятор'!$G$17="разовая (в конце срока)",F136='депозитный калькулятор'!$D$8),'депозитный калькулятор'!$G$18,IF(AND('депозитный калькулятор'!$G$17="ежемесячная",EOMONTH(F135,0)=F135),'депозитный калькулятор'!$G$18,IF(AND('депозитный калькулятор'!$G$17="ежегодная",DAY(F135)=31,MONTH(F135)=12),'депозитный калькулятор'!$G$18,IF(AND('депозитный калькулятор'!$G$17="ежемесячная в зависимости от остатка",EOMONTH(F135,0)=F135,P135&gt;0),'депозитный калькулятор'!$G$18,IF(AND('депозитный калькулятор'!$G$17="ежегодная в зависимости от остатка",DAY(F135)=31,MONTH(F135)=12,P135&gt;0),'депозитный калькулятор'!$G$18,0)))))))</f>
        <v xml:space="preserve"> </v>
      </c>
      <c r="K136" s="135" t="str">
        <f>IF($F136=" "," ",IFERROR(VLOOKUP($F136,'депозитный калькулятор'!$B$26:$F$70,2,0),0))</f>
        <v xml:space="preserve"> </v>
      </c>
      <c r="L136" s="135" t="str">
        <f>IF($F136=" "," ",IFERROR(VLOOKUP($F136,'депозитный калькулятор'!$B$26:$F$70,3,0),0))</f>
        <v xml:space="preserve"> </v>
      </c>
      <c r="M136" s="135" t="str">
        <f>IF($F136=" "," ",IFERROR(VLOOKUP($F136,'депозитный калькулятор'!$B$26:$F$70,4,0),0))</f>
        <v xml:space="preserve"> </v>
      </c>
      <c r="N136" s="135" t="str">
        <f>IF($F136=" "," ",IFERROR(VLOOKUP($F136,'депозитный калькулятор'!$B$26:$F$70,5,0),0))</f>
        <v xml:space="preserve"> </v>
      </c>
      <c r="O136" s="146" t="str">
        <f>IF(F136&gt;'депозитный калькулятор'!$D$8," ",IF(F136='депозитный калькулятор'!$D$8,IF(AND($F$24='депозитный калькулятор'!$D$8,'депозитный калькулятор'!$G$13="нет"),-G136-IF(I136=" ",0,I136)-IF(AND(OR('депозитный калькулятор'!$G$7="30/365",'депозитный калькулятор'!$G$7="30/360"),'депозитный калькулятор'!$G$10="в начале срока"),I135,0)-L136+M136-N136,-G136-IF(I136=" ",0,I136)-L136+M136-N136),IF('депозитный калькулятор'!$G$13="есть",M136-N136+IF('депозитный калькулятор'!$G$14="есть",0,-L136),-IF(I136=" ",0,I136)-IF(AND(OR('депозитный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срока"),I135,0)+M136-N136+IF('депозитный калькулятор'!$G$14="есть",0,-L136))))</f>
        <v xml:space="preserve"> </v>
      </c>
      <c r="P136" s="147" t="str">
        <f>IF(F136&gt;'депозитный калькулятор'!$D$8," ",IF(EOMONTH(F135,0)=F135,0,IF(G136&gt;='депозитный калькулятор'!$G$19,P135,P135+1)))</f>
        <v xml:space="preserve"> </v>
      </c>
      <c r="Q136" s="138" t="str">
        <f>IF(F136=" "," ",IF(AND(OR('депозитный калькулятор'!$G$7="30/365",'депозитный калькулятор'!$G$7="30/360"),AND(MONTH(F136)=2,EOMONTH(F136,0)=F136)),IF(DAY(F136)=28,3,2),1)*IF(G136&gt;='депозитный калькулятор'!$G$11,IF(AND('депозитный калькулятор'!$G$7="факт/факт",MOD(YEAR(F136),4)=0),G136*'депозитный калькулятор'!$D$11/366,G136*'депозитный калькулятор'!$G$8),0))</f>
        <v xml:space="preserve"> </v>
      </c>
      <c r="R136" s="148"/>
      <c r="S136" s="62" t="str">
        <f t="shared" ca="1" si="7"/>
        <v xml:space="preserve"> </v>
      </c>
      <c r="T136" s="149" t="str">
        <f ca="1">IF(S136=" "," ",IF('депозитный калькулятор'!$G$7="30/360",DAYS360(U135,IF(DAY(U136)=31,U136-1,U136))+IF(AND(MONTH(U136)=2,U136=EOMONTH(U136,0)),30-DAY(EOMONTH(U136,0)))+T135,VLOOKUP(S136,$C$22:$F$1023,2,0)))</f>
        <v xml:space="preserve"> </v>
      </c>
      <c r="U136" s="64" t="str">
        <f t="shared" ca="1" si="5"/>
        <v xml:space="preserve"> </v>
      </c>
      <c r="V136" s="150" t="str">
        <f t="shared" ca="1" si="8"/>
        <v xml:space="preserve"> </v>
      </c>
      <c r="W136" s="62" t="str">
        <f t="shared" ca="1" si="9"/>
        <v xml:space="preserve"> </v>
      </c>
      <c r="X136" s="141" t="str">
        <f ca="1">IF(S136=" "," ",IFERROR(VLOOKUP(U136,$F$23:$N$1023,7)+VLOOKUP(U136,$F$23:$N$1023,9)+IF(AND('депозитный калькулятор'!$G$13="нет",U136&lt;&gt;'депозитный калькулятор'!$D$8),VLOOKUP(U136,$F$23:$N$1023,4),0),0)+IF(U136='депозитный калькулятор'!$D$8,VLOOKUP(U136,$F$23:$N$1023,2)+VLOOKUP(U136,$F$23:$N$1023,4),0))</f>
        <v xml:space="preserve"> </v>
      </c>
      <c r="Y136" s="142" t="str">
        <f ca="1">IF(S136=" "," ",W136/(1+'депозитный калькулятор'!$K$8)^(T136/IF('депозитный калькулятор'!$G$7="30/360",360,365)))</f>
        <v xml:space="preserve"> </v>
      </c>
      <c r="Z136" s="142" t="str">
        <f ca="1">IF(S136=" "," ",X136/(1+'депозитный калькулятор'!$K$8)^(T136/IF('депозитный калькулятор'!$G$7="30/360",360,365)))</f>
        <v xml:space="preserve"> </v>
      </c>
      <c r="AA136" s="151"/>
      <c r="AB136" s="151"/>
      <c r="AC136" s="155"/>
      <c r="AD136" s="155"/>
    </row>
    <row r="137" spans="1:30" s="2" customFormat="1" ht="15.5" x14ac:dyDescent="0.35">
      <c r="A137" s="41" t="str">
        <f>IF(F137=" "," ",IF(OR('депозитный калькулятор'!$G$7="30/365",'депозитный калькулятор'!$G$7="30/360"),IF(AND(MONTH(F137)=2,DAY(F137)=DAY(EOMONTH(F137,0))),30-DAY(EOMONTH(F137,0)),IF(DAY(F137)=31,1," "))," "))</f>
        <v xml:space="preserve"> </v>
      </c>
      <c r="B137" s="130" t="str">
        <f t="shared" si="6"/>
        <v xml:space="preserve"> </v>
      </c>
      <c r="C137" s="130" t="str">
        <f>IF(OR(B137=0,B137=" ")," ",SUM($B$23:B137))</f>
        <v xml:space="preserve"> </v>
      </c>
      <c r="D137" s="62" t="str">
        <f>IF(D136=" "," ",IF(OR(F136='депозитный калькулятор'!$D$8,F136=" ")," ",D136+1))</f>
        <v xml:space="preserve"> </v>
      </c>
      <c r="E137" s="130" t="str">
        <f>IF(OR(F136='депозитный калькулятор'!$D$8,F136=" ")," ",IF(EOMONTH(F136,0)=F136,1,E136+1))</f>
        <v xml:space="preserve"> </v>
      </c>
      <c r="F137" s="64" t="str">
        <f>IF(F136=" "," ",IF(F136='депозитный калькулятор'!$D$8," ",F136+1))</f>
        <v xml:space="preserve"> </v>
      </c>
      <c r="G137" s="145" t="str">
        <f xml:space="preserve"> IF(F137&gt;'депозитный калькулятор'!$D$8," ",IF('депозитный калькулятор'!$G$13="есть",IF('депозитный калькулятор'!$G$14="есть",G136+IF(I136=" ",0,I136)-J137-K137+L137+M137-N137,G136+IF(I136=" ",0,I136)-J137-K137+M137-N137),IF('депозитный калькулятор'!$G$14="есть",G136-J137-K137+L137+M137-N137,G136-J137-K137+M137-N137)))</f>
        <v xml:space="preserve"> </v>
      </c>
      <c r="H137" s="133" t="str">
        <f>IF(F137&gt;'депозитный калькулятор'!$D$8," ",IF(AND(OR('депозитный калькулятор'!$G$7="30/365",'депозитный калькулятор'!$G$7="30/360"),AND(MONTH(F137)=2,EOMONTH(F137,0)=F137)),IF(DAY(F137)=28,3*G137*'депозитный калькулятор'!$G$8,2*G137*'депозитный калькулятор'!$G$8),IF(AND(OR('депозитный калькулятор'!$G$7="30/365",'депозитный калькулятор'!$G$7="30/360"),DAY(F137)=31)," ",IF(AND('депозитный калькулятор'!$G$7="факт/факт",MOD(YEAR(F137),4)=0),G137*'депозитный калькулятор'!$D$11/366,G137*'депозитный калькулятор'!$G$8))))</f>
        <v xml:space="preserve"> </v>
      </c>
      <c r="I137" s="134" t="str">
        <f ca="1">IF(F137=" "," ",IF('депозитный калькулятор'!$G$10="ежедневное",H137,IF(AND('депозитный калькулятор'!$G$10="еженедельное",WEEKDAY(F137,2)=7),SUM(OFFSET(H137,-6,0):H137),IF(AND('депозитный калькулятор'!$G$10="еженедельное",F137='депозитный калькулятор'!$D$8),SUM($H$23:H137)-SUM($I$23:I136),IF(AND('депозитный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недели",WEEKDAY(F137,2)=7),MIN(OFFSET(H137,-6,0):H137)*(COUNTIF(OFFSET(H137,-6,0):H137,"&gt;0")+SUMIF(OFFSET(A137,-WEEKDAY(F137,2),0):A137,"=2",OFFSET(A137,-WEEKDAY(F137,2),0):A137)),IF(AND('депозитный калькулятор'!$G$10="еженедельное, на минимальную сумму зафиксированную в течение недели",F137='депозитный калькулятор'!$D$8,WEEKDAY(F137,2)&lt;&gt;7),MIN(OFFSET(H137,-WEEKDAY(F137,2),0):H137)*(COUNTIF(OFFSET(H137,-WEEKDAY(F137,2)+1,0):H137,"&gt;0")+SUM(OFFSET(A137,-WEEKDAY(F137,2),0):A137)),IF(AND('депозитный калькулятор'!$G$10="ежемесячное (в конце месяца)",F137='депозитный калькулятор'!$D$8,EOMONTH(F137,0)&lt;&gt;F137),IF('депозитный калькулятор'!$F$1=1,$H$24,SUM($H$23:H137)-SUM($I$23:I136)),IF(AND('депозитный калькулятор'!$G$10="ежемесячное (в конце месяца)",EOMONTH(F137,0)=F137),SUM($H$23:H137)-SUM($I$23:I136),IF(AND('депозитный калькулятор'!$G$10="ежемесячное (по дням открытия вклада)",F137='депозитный калькулятор'!$D$8,DAY('депозитный калькулятор'!$D$7)&lt;&gt;DAY(F137)),IF('депозитный калькулятор'!$F$1=1,$H$24,SUM($H$23:H137)-SUM($I$23:I136)),IF(AND('депозитный калькулятор'!$G$10="ежемесячное (по дням открытия вклада)",DAY('депозитный калькулятор'!$D$7)=DAY(F137)),SUM($H$23:H137)-SUM($I$23:I136),IF(AND('депозитный калькулятор'!$G$10="ежемесячное, на минимальную сумму зафиксированную в течение месяца",F137='депозитный калькулятор'!$D$8,EOMONTH(F137,0)&lt;&gt;F137),IF('депозитный калькулятор'!$F$1=1,$H$24,IF(AND(OR('депозитный калькулятор'!$G$7="30/365",'депозитный калькулятор'!$G$7="30/360"),DAY(F137)=31),0,MIN(OFFSET(H137,-E137+1,0):H137)*(E137+SUMIF(OFFSET(A137,-E137+1,0):A137,"=2",OFFSET(A137,-E137+1,0):A137)))),IF(AND('депозитный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калькулятор'!$G$7="30/360"),DAY(EOMONTH(F137,0))=31),EOMONTH(F137,0)-1=F137,EOMONTH(F137,0)=F137)),IF(IF(AND(OR('депозитный калькулятор'!$G$7="30/365",'депозитный калькулятор'!$G$7="30/360"),DAY(EOMONTH($F$23,0))=31),F137=EOMONTH($F$23,0)-1,F137=EOMONTH($F$23,0)),MIN(OFFSET(H137,-(DAY(F137)-DAY($F$23)),0):H137)*E137,MIN(OFFSET(H137,-(DAY(F137)-1),0):H137)*IF(AND(OR('депозитный калькулятор'!$G$7="30/365",'депозитный калькулятор'!$G$7="30/360"),DAY(F137)&lt;30),30,DAY(F137))),IF(AND('депозитный калькулятор'!$G$10="ежемесячное, на средний остаток в течение месяца, при условии что остаток больше чем ограничение",F137='депозитный калькулятор'!$D$8,EOMONTH(F137,0)&lt;&gt;F137),IF('депозитный калькулятор'!$F$1=1,$H$24,SUM(OFFSET(Q137,-E137+1,0):Q137)),IF(AND('депозитный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калькулятор'!$G$7="30/360"),DAY(EOMONTH(F137,0))=31),EOMONTH(F137,0)-1=F137,EOMONTH(F137,0)=F137)),IF(IF(AND(OR('депозитный калькулятор'!$G$7="30/365",'депозитный калькулятор'!$G$7="30/360"),DAY(EOMONTH($F$24,0))=31),F137=EOMONTH($F$24,0)-1,F137=EOMONTH($F$24,0)),SUM(OFFSET(Q137,-E137+1,0):Q137),SUM(OFFSET(Q137,-E137+1,0):Q137)),IF('депозитный калькулятор'!$G$10="ежеквартальное",IF(F137&gt;'депозитный калькулятор'!$D$8," ",IF(AND(EOMONTH(F137,0)=F137,OR(MONTH(F137)=3,MONTH(F137)=6,MONTH(F137)=9,MONTH(F137)=12)),IF(EDATE(F137,-3)&lt;'депозитный калькулятор'!$D$7,SUM($H$23:H137),IF(MOD(YEAR(F137),4)=0,IF(AND(EOMONTH(F137,0)=F137,OR(MONTH(F137)=3,MONTH(F137)=6)),SUM(OFFSET(H137,-90,0):H137),IF(AND(EOMONTH(F137,0)=F137,OR(MONTH(F137)=9,MONTH(F137)=12)),SUM(OFFSET(H137,-91,0):H137))),IF(AND(EOMONTH(F137,0)=F137,MONTH(F137)=3),SUM(OFFSET(H137,-89,0):H137),IF(AND(EOMONTH(F137,0)=F137,MONTH(F137)=6),SUM(OFFSET(H137,-90,0):H137),IF(AND(EOMONTH(F137,0)=F137,OR(MONTH(F137)=9,MONTH(F137)=12)),SUM(OFFSET(H137,-91,0):H137)))))),IF(F137='депозитный калькулятор'!$D$8,SUM($H$23:H137)-SUM($I$23:I136),0))),IF('депозитный калькулятор'!$G$10="ежегодное",IF(F137&gt;'депозитный калькулятор'!$D$8," ",IF(F137='депозитный калькулятор'!$D$8,SUM($H$23:H137)-SUM($I$23:I136),IF(AND(EOMONTH(F137,0)=F137,MONTH(F137)=12),IF(MOD(YEAR(F136),4)=0,IF(F137-'депозитный калькулятор'!$D$7&lt;366,SUM($H$23:H137),SUM(OFFSET(H137,-365,0):H137)),IF(F137-'депозитный калькулятор'!$D$7&lt;365,SUM($H$23:H137),SUM(OFFSET(H137,-364,0):H137))),0))),IF(AND('депозитный калькулятор'!$G$10="в конце срока",'депозитный калькулятор'!$D$8=F137),SUM($H$23:H137),0))))))))))))))))))</f>
        <v xml:space="preserve"> </v>
      </c>
      <c r="J137" s="59" t="str">
        <f>IF(F137&gt;'депозитный калькулятор'!$D$8," ",IF('депозитный калькулятор'!$G$16="нет",0,IF(AND('депозитный калькулятор'!$G$17="разовая (в конце срока)",F137='депозитный калькулятор'!$D$8),'депозитный калькулятор'!$G$18,IF(AND('депозитный калькулятор'!$G$17="ежемесячная",EOMONTH(F136,0)=F136),'депозитный калькулятор'!$G$18,IF(AND('депозитный калькулятор'!$G$17="ежегодная",DAY(F136)=31,MONTH(F136)=12),'депозитный калькулятор'!$G$18,IF(AND('депозитный калькулятор'!$G$17="ежемесячная в зависимости от остатка",EOMONTH(F136,0)=F136,P136&gt;0),'депозитный калькулятор'!$G$18,IF(AND('депозитный калькулятор'!$G$17="ежегодная в зависимости от остатка",DAY(F136)=31,MONTH(F136)=12,P136&gt;0),'депозитный калькулятор'!$G$18,0)))))))</f>
        <v xml:space="preserve"> </v>
      </c>
      <c r="K137" s="135" t="str">
        <f>IF($F137=" "," ",IFERROR(VLOOKUP($F137,'депозитный калькулятор'!$B$26:$F$70,2,0),0))</f>
        <v xml:space="preserve"> </v>
      </c>
      <c r="L137" s="135" t="str">
        <f>IF($F137=" "," ",IFERROR(VLOOKUP($F137,'депозитный калькулятор'!$B$26:$F$70,3,0),0))</f>
        <v xml:space="preserve"> </v>
      </c>
      <c r="M137" s="135" t="str">
        <f>IF($F137=" "," ",IFERROR(VLOOKUP($F137,'депозитный калькулятор'!$B$26:$F$70,4,0),0))</f>
        <v xml:space="preserve"> </v>
      </c>
      <c r="N137" s="135" t="str">
        <f>IF($F137=" "," ",IFERROR(VLOOKUP($F137,'депозитный калькулятор'!$B$26:$F$70,5,0),0))</f>
        <v xml:space="preserve"> </v>
      </c>
      <c r="O137" s="146" t="str">
        <f>IF(F137&gt;'депозитный калькулятор'!$D$8," ",IF(F137='депозитный калькулятор'!$D$8,IF(AND($F$24='депозитный калькулятор'!$D$8,'депозитный калькулятор'!$G$13="нет"),-G137-IF(I137=" ",0,I137)-IF(AND(OR('депозитный калькулятор'!$G$7="30/365",'депозитный калькулятор'!$G$7="30/360"),'депозитный калькулятор'!$G$10="в начале срока"),I136,0)-L137+M137-N137,-G137-IF(I137=" ",0,I137)-L137+M137-N137),IF('депозитный калькулятор'!$G$13="есть",M137-N137+IF('депозитный калькулятор'!$G$14="есть",0,-L137),-IF(I137=" ",0,I137)-IF(AND(OR('депозитный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срока"),I136,0)+M137-N137+IF('депозитный калькулятор'!$G$14="есть",0,-L137))))</f>
        <v xml:space="preserve"> </v>
      </c>
      <c r="P137" s="147" t="str">
        <f>IF(F137&gt;'депозитный калькулятор'!$D$8," ",IF(EOMONTH(F136,0)=F136,0,IF(G137&gt;='депозитный калькулятор'!$G$19,P136,P136+1)))</f>
        <v xml:space="preserve"> </v>
      </c>
      <c r="Q137" s="138" t="str">
        <f>IF(F137=" "," ",IF(AND(OR('депозитный калькулятор'!$G$7="30/365",'депозитный калькулятор'!$G$7="30/360"),AND(MONTH(F137)=2,EOMONTH(F137,0)=F137)),IF(DAY(F137)=28,3,2),1)*IF(G137&gt;='депозитный калькулятор'!$G$11,IF(AND('депозитный калькулятор'!$G$7="факт/факт",MOD(YEAR(F137),4)=0),G137*'депозитный калькулятор'!$D$11/366,G137*'депозитный калькулятор'!$G$8),0))</f>
        <v xml:space="preserve"> </v>
      </c>
      <c r="R137" s="148"/>
      <c r="S137" s="62" t="str">
        <f t="shared" ca="1" si="7"/>
        <v xml:space="preserve"> </v>
      </c>
      <c r="T137" s="149" t="str">
        <f ca="1">IF(S137=" "," ",IF('депозитный калькулятор'!$G$7="30/360",DAYS360(U136,IF(DAY(U137)=31,U137-1,U137))+IF(AND(MONTH(U137)=2,U137=EOMONTH(U137,0)),30-DAY(EOMONTH(U137,0)))+T136,VLOOKUP(S137,$C$22:$F$1023,2,0)))</f>
        <v xml:space="preserve"> </v>
      </c>
      <c r="U137" s="64" t="str">
        <f t="shared" ca="1" si="5"/>
        <v xml:space="preserve"> </v>
      </c>
      <c r="V137" s="150" t="str">
        <f t="shared" ca="1" si="8"/>
        <v xml:space="preserve"> </v>
      </c>
      <c r="W137" s="62" t="str">
        <f t="shared" ca="1" si="9"/>
        <v xml:space="preserve"> </v>
      </c>
      <c r="X137" s="141" t="str">
        <f ca="1">IF(S137=" "," ",IFERROR(VLOOKUP(U137,$F$23:$N$1023,7)+VLOOKUP(U137,$F$23:$N$1023,9)+IF(AND('депозитный калькулятор'!$G$13="нет",U137&lt;&gt;'депозитный калькулятор'!$D$8),VLOOKUP(U137,$F$23:$N$1023,4),0),0)+IF(U137='депозитный калькулятор'!$D$8,VLOOKUP(U137,$F$23:$N$1023,2)+VLOOKUP(U137,$F$23:$N$1023,4),0))</f>
        <v xml:space="preserve"> </v>
      </c>
      <c r="Y137" s="142" t="str">
        <f ca="1">IF(S137=" "," ",W137/(1+'депозитный калькулятор'!$K$8)^(T137/IF('депозитный калькулятор'!$G$7="30/360",360,365)))</f>
        <v xml:space="preserve"> </v>
      </c>
      <c r="Z137" s="142" t="str">
        <f ca="1">IF(S137=" "," ",X137/(1+'депозитный калькулятор'!$K$8)^(T137/IF('депозитный калькулятор'!$G$7="30/360",360,365)))</f>
        <v xml:space="preserve"> </v>
      </c>
      <c r="AA137" s="151"/>
      <c r="AB137" s="151"/>
      <c r="AC137" s="155"/>
      <c r="AD137" s="155"/>
    </row>
    <row r="138" spans="1:30" s="2" customFormat="1" ht="15.5" x14ac:dyDescent="0.35">
      <c r="A138" s="41" t="str">
        <f>IF(F138=" "," ",IF(OR('депозитный калькулятор'!$G$7="30/365",'депозитный калькулятор'!$G$7="30/360"),IF(AND(MONTH(F138)=2,DAY(F138)=DAY(EOMONTH(F138,0))),30-DAY(EOMONTH(F138,0)),IF(DAY(F138)=31,1," "))," "))</f>
        <v xml:space="preserve"> </v>
      </c>
      <c r="B138" s="130" t="str">
        <f t="shared" si="6"/>
        <v xml:space="preserve"> </v>
      </c>
      <c r="C138" s="130" t="str">
        <f>IF(OR(B138=0,B138=" ")," ",SUM($B$23:B138))</f>
        <v xml:space="preserve"> </v>
      </c>
      <c r="D138" s="62" t="str">
        <f>IF(D137=" "," ",IF(OR(F137='депозитный калькулятор'!$D$8,F137=" ")," ",D137+1))</f>
        <v xml:space="preserve"> </v>
      </c>
      <c r="E138" s="130" t="str">
        <f>IF(OR(F137='депозитный калькулятор'!$D$8,F137=" ")," ",IF(EOMONTH(F137,0)=F137,1,E137+1))</f>
        <v xml:space="preserve"> </v>
      </c>
      <c r="F138" s="64" t="str">
        <f>IF(F137=" "," ",IF(F137='депозитный калькулятор'!$D$8," ",F137+1))</f>
        <v xml:space="preserve"> </v>
      </c>
      <c r="G138" s="145" t="str">
        <f xml:space="preserve"> IF(F138&gt;'депозитный калькулятор'!$D$8," ",IF('депозитный калькулятор'!$G$13="есть",IF('депозитный калькулятор'!$G$14="есть",G137+IF(I137=" ",0,I137)-J138-K138+L138+M138-N138,G137+IF(I137=" ",0,I137)-J138-K138+M138-N138),IF('депозитный калькулятор'!$G$14="есть",G137-J138-K138+L138+M138-N138,G137-J138-K138+M138-N138)))</f>
        <v xml:space="preserve"> </v>
      </c>
      <c r="H138" s="133" t="str">
        <f>IF(F138&gt;'депозитный калькулятор'!$D$8," ",IF(AND(OR('депозитный калькулятор'!$G$7="30/365",'депозитный калькулятор'!$G$7="30/360"),AND(MONTH(F138)=2,EOMONTH(F138,0)=F138)),IF(DAY(F138)=28,3*G138*'депозитный калькулятор'!$G$8,2*G138*'депозитный калькулятор'!$G$8),IF(AND(OR('депозитный калькулятор'!$G$7="30/365",'депозитный калькулятор'!$G$7="30/360"),DAY(F138)=31)," ",IF(AND('депозитный калькулятор'!$G$7="факт/факт",MOD(YEAR(F138),4)=0),G138*'депозитный калькулятор'!$D$11/366,G138*'депозитный калькулятор'!$G$8))))</f>
        <v xml:space="preserve"> </v>
      </c>
      <c r="I138" s="134" t="str">
        <f ca="1">IF(F138=" "," ",IF('депозитный калькулятор'!$G$10="ежедневное",H138,IF(AND('депозитный калькулятор'!$G$10="еженедельное",WEEKDAY(F138,2)=7),SUM(OFFSET(H138,-6,0):H138),IF(AND('депозитный калькулятор'!$G$10="еженедельное",F138='депозитный калькулятор'!$D$8),SUM($H$23:H138)-SUM($I$23:I137),IF(AND('депозитный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недели",WEEKDAY(F138,2)=7),MIN(OFFSET(H138,-6,0):H138)*(COUNTIF(OFFSET(H138,-6,0):H138,"&gt;0")+SUMIF(OFFSET(A138,-WEEKDAY(F138,2),0):A138,"=2",OFFSET(A138,-WEEKDAY(F138,2),0):A138)),IF(AND('депозитный калькулятор'!$G$10="еженедельное, на минимальную сумму зафиксированную в течение недели",F138='депозитный калькулятор'!$D$8,WEEKDAY(F138,2)&lt;&gt;7),MIN(OFFSET(H138,-WEEKDAY(F138,2),0):H138)*(COUNTIF(OFFSET(H138,-WEEKDAY(F138,2)+1,0):H138,"&gt;0")+SUM(OFFSET(A138,-WEEKDAY(F138,2),0):A138)),IF(AND('депозитный калькулятор'!$G$10="ежемесячное (в конце месяца)",F138='депозитный калькулятор'!$D$8,EOMONTH(F138,0)&lt;&gt;F138),IF('депозитный калькулятор'!$F$1=1,$H$24,SUM($H$23:H138)-SUM($I$23:I137)),IF(AND('депозитный калькулятор'!$G$10="ежемесячное (в конце месяца)",EOMONTH(F138,0)=F138),SUM($H$23:H138)-SUM($I$23:I137),IF(AND('депозитный калькулятор'!$G$10="ежемесячное (по дням открытия вклада)",F138='депозитный калькулятор'!$D$8,DAY('депозитный калькулятор'!$D$7)&lt;&gt;DAY(F138)),IF('депозитный калькулятор'!$F$1=1,$H$24,SUM($H$23:H138)-SUM($I$23:I137)),IF(AND('депозитный калькулятор'!$G$10="ежемесячное (по дням открытия вклада)",DAY('депозитный калькулятор'!$D$7)=DAY(F138)),SUM($H$23:H138)-SUM($I$23:I137),IF(AND('депозитный калькулятор'!$G$10="ежемесячное, на минимальную сумму зафиксированную в течение месяца",F138='депозитный калькулятор'!$D$8,EOMONTH(F138,0)&lt;&gt;F138),IF('депозитный калькулятор'!$F$1=1,$H$24,IF(AND(OR('депозитный калькулятор'!$G$7="30/365",'депозитный калькулятор'!$G$7="30/360"),DAY(F138)=31),0,MIN(OFFSET(H138,-E138+1,0):H138)*(E138+SUMIF(OFFSET(A138,-E138+1,0):A138,"=2",OFFSET(A138,-E138+1,0):A138)))),IF(AND('депозитный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калькулятор'!$G$7="30/360"),DAY(EOMONTH(F138,0))=31),EOMONTH(F138,0)-1=F138,EOMONTH(F138,0)=F138)),IF(IF(AND(OR('депозитный калькулятор'!$G$7="30/365",'депозитный калькулятор'!$G$7="30/360"),DAY(EOMONTH($F$23,0))=31),F138=EOMONTH($F$23,0)-1,F138=EOMONTH($F$23,0)),MIN(OFFSET(H138,-(DAY(F138)-DAY($F$23)),0):H138)*E138,MIN(OFFSET(H138,-(DAY(F138)-1),0):H138)*IF(AND(OR('депозитный калькулятор'!$G$7="30/365",'депозитный калькулятор'!$G$7="30/360"),DAY(F138)&lt;30),30,DAY(F138))),IF(AND('депозитный калькулятор'!$G$10="ежемесячное, на средний остаток в течение месяца, при условии что остаток больше чем ограничение",F138='депозитный калькулятор'!$D$8,EOMONTH(F138,0)&lt;&gt;F138),IF('депозитный калькулятор'!$F$1=1,$H$24,SUM(OFFSET(Q138,-E138+1,0):Q138)),IF(AND('депозитный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калькулятор'!$G$7="30/360"),DAY(EOMONTH(F138,0))=31),EOMONTH(F138,0)-1=F138,EOMONTH(F138,0)=F138)),IF(IF(AND(OR('депозитный калькулятор'!$G$7="30/365",'депозитный калькулятор'!$G$7="30/360"),DAY(EOMONTH($F$24,0))=31),F138=EOMONTH($F$24,0)-1,F138=EOMONTH($F$24,0)),SUM(OFFSET(Q138,-E138+1,0):Q138),SUM(OFFSET(Q138,-E138+1,0):Q138)),IF('депозитный калькулятор'!$G$10="ежеквартальное",IF(F138&gt;'депозитный калькулятор'!$D$8," ",IF(AND(EOMONTH(F138,0)=F138,OR(MONTH(F138)=3,MONTH(F138)=6,MONTH(F138)=9,MONTH(F138)=12)),IF(EDATE(F138,-3)&lt;'депозитный калькулятор'!$D$7,SUM($H$23:H138),IF(MOD(YEAR(F138),4)=0,IF(AND(EOMONTH(F138,0)=F138,OR(MONTH(F138)=3,MONTH(F138)=6)),SUM(OFFSET(H138,-90,0):H138),IF(AND(EOMONTH(F138,0)=F138,OR(MONTH(F138)=9,MONTH(F138)=12)),SUM(OFFSET(H138,-91,0):H138))),IF(AND(EOMONTH(F138,0)=F138,MONTH(F138)=3),SUM(OFFSET(H138,-89,0):H138),IF(AND(EOMONTH(F138,0)=F138,MONTH(F138)=6),SUM(OFFSET(H138,-90,0):H138),IF(AND(EOMONTH(F138,0)=F138,OR(MONTH(F138)=9,MONTH(F138)=12)),SUM(OFFSET(H138,-91,0):H138)))))),IF(F138='депозитный калькулятор'!$D$8,SUM($H$23:H138)-SUM($I$23:I137),0))),IF('депозитный калькулятор'!$G$10="ежегодное",IF(F138&gt;'депозитный калькулятор'!$D$8," ",IF(F138='депозитный калькулятор'!$D$8,SUM($H$23:H138)-SUM($I$23:I137),IF(AND(EOMONTH(F138,0)=F138,MONTH(F138)=12),IF(MOD(YEAR(F137),4)=0,IF(F138-'депозитный калькулятор'!$D$7&lt;366,SUM($H$23:H138),SUM(OFFSET(H138,-365,0):H138)),IF(F138-'депозитный калькулятор'!$D$7&lt;365,SUM($H$23:H138),SUM(OFFSET(H138,-364,0):H138))),0))),IF(AND('депозитный калькулятор'!$G$10="в конце срока",'депозитный калькулятор'!$D$8=F138),SUM($H$23:H138),0))))))))))))))))))</f>
        <v xml:space="preserve"> </v>
      </c>
      <c r="J138" s="59" t="str">
        <f>IF(F138&gt;'депозитный калькулятор'!$D$8," ",IF('депозитный калькулятор'!$G$16="нет",0,IF(AND('депозитный калькулятор'!$G$17="разовая (в конце срока)",F138='депозитный калькулятор'!$D$8),'депозитный калькулятор'!$G$18,IF(AND('депозитный калькулятор'!$G$17="ежемесячная",EOMONTH(F137,0)=F137),'депозитный калькулятор'!$G$18,IF(AND('депозитный калькулятор'!$G$17="ежегодная",DAY(F137)=31,MONTH(F137)=12),'депозитный калькулятор'!$G$18,IF(AND('депозитный калькулятор'!$G$17="ежемесячная в зависимости от остатка",EOMONTH(F137,0)=F137,P137&gt;0),'депозитный калькулятор'!$G$18,IF(AND('депозитный калькулятор'!$G$17="ежегодная в зависимости от остатка",DAY(F137)=31,MONTH(F137)=12,P137&gt;0),'депозитный калькулятор'!$G$18,0)))))))</f>
        <v xml:space="preserve"> </v>
      </c>
      <c r="K138" s="135" t="str">
        <f>IF($F138=" "," ",IFERROR(VLOOKUP($F138,'депозитный калькулятор'!$B$26:$F$70,2,0),0))</f>
        <v xml:space="preserve"> </v>
      </c>
      <c r="L138" s="135" t="str">
        <f>IF($F138=" "," ",IFERROR(VLOOKUP($F138,'депозитный калькулятор'!$B$26:$F$70,3,0),0))</f>
        <v xml:space="preserve"> </v>
      </c>
      <c r="M138" s="135" t="str">
        <f>IF($F138=" "," ",IFERROR(VLOOKUP($F138,'депозитный калькулятор'!$B$26:$F$70,4,0),0))</f>
        <v xml:space="preserve"> </v>
      </c>
      <c r="N138" s="135" t="str">
        <f>IF($F138=" "," ",IFERROR(VLOOKUP($F138,'депозитный калькулятор'!$B$26:$F$70,5,0),0))</f>
        <v xml:space="preserve"> </v>
      </c>
      <c r="O138" s="146" t="str">
        <f>IF(F138&gt;'депозитный калькулятор'!$D$8," ",IF(F138='депозитный калькулятор'!$D$8,IF(AND($F$24='депозитный калькулятор'!$D$8,'депозитный калькулятор'!$G$13="нет"),-G138-IF(I138=" ",0,I138)-IF(AND(OR('депозитный калькулятор'!$G$7="30/365",'депозитный калькулятор'!$G$7="30/360"),'депозитный калькулятор'!$G$10="в начале срока"),I137,0)-L138+M138-N138,-G138-IF(I138=" ",0,I138)-L138+M138-N138),IF('депозитный калькулятор'!$G$13="есть",M138-N138+IF('депозитный калькулятор'!$G$14="есть",0,-L138),-IF(I138=" ",0,I138)-IF(AND(OR('депозитный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срока"),I137,0)+M138-N138+IF('депозитный калькулятор'!$G$14="есть",0,-L138))))</f>
        <v xml:space="preserve"> </v>
      </c>
      <c r="P138" s="147" t="str">
        <f>IF(F138&gt;'депозитный калькулятор'!$D$8," ",IF(EOMONTH(F137,0)=F137,0,IF(G138&gt;='депозитный калькулятор'!$G$19,P137,P137+1)))</f>
        <v xml:space="preserve"> </v>
      </c>
      <c r="Q138" s="138" t="str">
        <f>IF(F138=" "," ",IF(AND(OR('депозитный калькулятор'!$G$7="30/365",'депозитный калькулятор'!$G$7="30/360"),AND(MONTH(F138)=2,EOMONTH(F138,0)=F138)),IF(DAY(F138)=28,3,2),1)*IF(G138&gt;='депозитный калькулятор'!$G$11,IF(AND('депозитный калькулятор'!$G$7="факт/факт",MOD(YEAR(F138),4)=0),G138*'депозитный калькулятор'!$D$11/366,G138*'депозитный калькулятор'!$G$8),0))</f>
        <v xml:space="preserve"> </v>
      </c>
      <c r="R138" s="148"/>
      <c r="S138" s="62" t="str">
        <f t="shared" ca="1" si="7"/>
        <v xml:space="preserve"> </v>
      </c>
      <c r="T138" s="149" t="str">
        <f ca="1">IF(S138=" "," ",IF('депозитный калькулятор'!$G$7="30/360",DAYS360(U137,IF(DAY(U138)=31,U138-1,U138))+IF(AND(MONTH(U138)=2,U138=EOMONTH(U138,0)),30-DAY(EOMONTH(U138,0)))+T137,VLOOKUP(S138,$C$22:$F$1023,2,0)))</f>
        <v xml:space="preserve"> </v>
      </c>
      <c r="U138" s="64" t="str">
        <f t="shared" ca="1" si="5"/>
        <v xml:space="preserve"> </v>
      </c>
      <c r="V138" s="150" t="str">
        <f t="shared" ca="1" si="8"/>
        <v xml:space="preserve"> </v>
      </c>
      <c r="W138" s="62" t="str">
        <f t="shared" ca="1" si="9"/>
        <v xml:space="preserve"> </v>
      </c>
      <c r="X138" s="141" t="str">
        <f ca="1">IF(S138=" "," ",IFERROR(VLOOKUP(U138,$F$23:$N$1023,7)+VLOOKUP(U138,$F$23:$N$1023,9)+IF(AND('депозитный калькулятор'!$G$13="нет",U138&lt;&gt;'депозитный калькулятор'!$D$8),VLOOKUP(U138,$F$23:$N$1023,4),0),0)+IF(U138='депозитный калькулятор'!$D$8,VLOOKUP(U138,$F$23:$N$1023,2)+VLOOKUP(U138,$F$23:$N$1023,4),0))</f>
        <v xml:space="preserve"> </v>
      </c>
      <c r="Y138" s="142" t="str">
        <f ca="1">IF(S138=" "," ",W138/(1+'депозитный калькулятор'!$K$8)^(T138/IF('депозитный калькулятор'!$G$7="30/360",360,365)))</f>
        <v xml:space="preserve"> </v>
      </c>
      <c r="Z138" s="142" t="str">
        <f ca="1">IF(S138=" "," ",X138/(1+'депозитный калькулятор'!$K$8)^(T138/IF('депозитный калькулятор'!$G$7="30/360",360,365)))</f>
        <v xml:space="preserve"> </v>
      </c>
      <c r="AA138" s="151"/>
      <c r="AB138" s="151"/>
      <c r="AC138" s="155"/>
      <c r="AD138" s="155"/>
    </row>
    <row r="139" spans="1:30" s="2" customFormat="1" ht="15.5" x14ac:dyDescent="0.35">
      <c r="A139" s="41" t="str">
        <f>IF(F139=" "," ",IF(OR('депозитный калькулятор'!$G$7="30/365",'депозитный калькулятор'!$G$7="30/360"),IF(AND(MONTH(F139)=2,DAY(F139)=DAY(EOMONTH(F139,0))),30-DAY(EOMONTH(F139,0)),IF(DAY(F139)=31,1," "))," "))</f>
        <v xml:space="preserve"> </v>
      </c>
      <c r="B139" s="130" t="str">
        <f t="shared" si="6"/>
        <v xml:space="preserve"> </v>
      </c>
      <c r="C139" s="130" t="str">
        <f>IF(OR(B139=0,B139=" ")," ",SUM($B$23:B139))</f>
        <v xml:space="preserve"> </v>
      </c>
      <c r="D139" s="62" t="str">
        <f>IF(D138=" "," ",IF(OR(F138='депозитный калькулятор'!$D$8,F138=" ")," ",D138+1))</f>
        <v xml:space="preserve"> </v>
      </c>
      <c r="E139" s="130" t="str">
        <f>IF(OR(F138='депозитный калькулятор'!$D$8,F138=" ")," ",IF(EOMONTH(F138,0)=F138,1,E138+1))</f>
        <v xml:space="preserve"> </v>
      </c>
      <c r="F139" s="64" t="str">
        <f>IF(F138=" "," ",IF(F138='депозитный калькулятор'!$D$8," ",F138+1))</f>
        <v xml:space="preserve"> </v>
      </c>
      <c r="G139" s="145" t="str">
        <f xml:space="preserve"> IF(F139&gt;'депозитный калькулятор'!$D$8," ",IF('депозитный калькулятор'!$G$13="есть",IF('депозитный калькулятор'!$G$14="есть",G138+IF(I138=" ",0,I138)-J139-K139+L139+M139-N139,G138+IF(I138=" ",0,I138)-J139-K139+M139-N139),IF('депозитный калькулятор'!$G$14="есть",G138-J139-K139+L139+M139-N139,G138-J139-K139+M139-N139)))</f>
        <v xml:space="preserve"> </v>
      </c>
      <c r="H139" s="133" t="str">
        <f>IF(F139&gt;'депозитный калькулятор'!$D$8," ",IF(AND(OR('депозитный калькулятор'!$G$7="30/365",'депозитный калькулятор'!$G$7="30/360"),AND(MONTH(F139)=2,EOMONTH(F139,0)=F139)),IF(DAY(F139)=28,3*G139*'депозитный калькулятор'!$G$8,2*G139*'депозитный калькулятор'!$G$8),IF(AND(OR('депозитный калькулятор'!$G$7="30/365",'депозитный калькулятор'!$G$7="30/360"),DAY(F139)=31)," ",IF(AND('депозитный калькулятор'!$G$7="факт/факт",MOD(YEAR(F139),4)=0),G139*'депозитный калькулятор'!$D$11/366,G139*'депозитный калькулятор'!$G$8))))</f>
        <v xml:space="preserve"> </v>
      </c>
      <c r="I139" s="134" t="str">
        <f ca="1">IF(F139=" "," ",IF('депозитный калькулятор'!$G$10="ежедневное",H139,IF(AND('депозитный калькулятор'!$G$10="еженедельное",WEEKDAY(F139,2)=7),SUM(OFFSET(H139,-6,0):H139),IF(AND('депозитный калькулятор'!$G$10="еженедельное",F139='депозитный калькулятор'!$D$8),SUM($H$23:H139)-SUM($I$23:I138),IF(AND('депозитный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недели",WEEKDAY(F139,2)=7),MIN(OFFSET(H139,-6,0):H139)*(COUNTIF(OFFSET(H139,-6,0):H139,"&gt;0")+SUMIF(OFFSET(A139,-WEEKDAY(F139,2),0):A139,"=2",OFFSET(A139,-WEEKDAY(F139,2),0):A139)),IF(AND('депозитный калькулятор'!$G$10="еженедельное, на минимальную сумму зафиксированную в течение недели",F139='депозитный калькулятор'!$D$8,WEEKDAY(F139,2)&lt;&gt;7),MIN(OFFSET(H139,-WEEKDAY(F139,2),0):H139)*(COUNTIF(OFFSET(H139,-WEEKDAY(F139,2)+1,0):H139,"&gt;0")+SUM(OFFSET(A139,-WEEKDAY(F139,2),0):A139)),IF(AND('депозитный калькулятор'!$G$10="ежемесячное (в конце месяца)",F139='депозитный калькулятор'!$D$8,EOMONTH(F139,0)&lt;&gt;F139),IF('депозитный калькулятор'!$F$1=1,$H$24,SUM($H$23:H139)-SUM($I$23:I138)),IF(AND('депозитный калькулятор'!$G$10="ежемесячное (в конце месяца)",EOMONTH(F139,0)=F139),SUM($H$23:H139)-SUM($I$23:I138),IF(AND('депозитный калькулятор'!$G$10="ежемесячное (по дням открытия вклада)",F139='депозитный калькулятор'!$D$8,DAY('депозитный калькулятор'!$D$7)&lt;&gt;DAY(F139)),IF('депозитный калькулятор'!$F$1=1,$H$24,SUM($H$23:H139)-SUM($I$23:I138)),IF(AND('депозитный калькулятор'!$G$10="ежемесячное (по дням открытия вклада)",DAY('депозитный калькулятор'!$D$7)=DAY(F139)),SUM($H$23:H139)-SUM($I$23:I138),IF(AND('депозитный калькулятор'!$G$10="ежемесячное, на минимальную сумму зафиксированную в течение месяца",F139='депозитный калькулятор'!$D$8,EOMONTH(F139,0)&lt;&gt;F139),IF('депозитный калькулятор'!$F$1=1,$H$24,IF(AND(OR('депозитный калькулятор'!$G$7="30/365",'депозитный калькулятор'!$G$7="30/360"),DAY(F139)=31),0,MIN(OFFSET(H139,-E139+1,0):H139)*(E139+SUMIF(OFFSET(A139,-E139+1,0):A139,"=2",OFFSET(A139,-E139+1,0):A139)))),IF(AND('депозитный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калькулятор'!$G$7="30/360"),DAY(EOMONTH(F139,0))=31),EOMONTH(F139,0)-1=F139,EOMONTH(F139,0)=F139)),IF(IF(AND(OR('депозитный калькулятор'!$G$7="30/365",'депозитный калькулятор'!$G$7="30/360"),DAY(EOMONTH($F$23,0))=31),F139=EOMONTH($F$23,0)-1,F139=EOMONTH($F$23,0)),MIN(OFFSET(H139,-(DAY(F139)-DAY($F$23)),0):H139)*E139,MIN(OFFSET(H139,-(DAY(F139)-1),0):H139)*IF(AND(OR('депозитный калькулятор'!$G$7="30/365",'депозитный калькулятор'!$G$7="30/360"),DAY(F139)&lt;30),30,DAY(F139))),IF(AND('депозитный калькулятор'!$G$10="ежемесячное, на средний остаток в течение месяца, при условии что остаток больше чем ограничение",F139='депозитный калькулятор'!$D$8,EOMONTH(F139,0)&lt;&gt;F139),IF('депозитный калькулятор'!$F$1=1,$H$24,SUM(OFFSET(Q139,-E139+1,0):Q139)),IF(AND('депозитный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калькулятор'!$G$7="30/360"),DAY(EOMONTH(F139,0))=31),EOMONTH(F139,0)-1=F139,EOMONTH(F139,0)=F139)),IF(IF(AND(OR('депозитный калькулятор'!$G$7="30/365",'депозитный калькулятор'!$G$7="30/360"),DAY(EOMONTH($F$24,0))=31),F139=EOMONTH($F$24,0)-1,F139=EOMONTH($F$24,0)),SUM(OFFSET(Q139,-E139+1,0):Q139),SUM(OFFSET(Q139,-E139+1,0):Q139)),IF('депозитный калькулятор'!$G$10="ежеквартальное",IF(F139&gt;'депозитный калькулятор'!$D$8," ",IF(AND(EOMONTH(F139,0)=F139,OR(MONTH(F139)=3,MONTH(F139)=6,MONTH(F139)=9,MONTH(F139)=12)),IF(EDATE(F139,-3)&lt;'депозитный калькулятор'!$D$7,SUM($H$23:H139),IF(MOD(YEAR(F139),4)=0,IF(AND(EOMONTH(F139,0)=F139,OR(MONTH(F139)=3,MONTH(F139)=6)),SUM(OFFSET(H139,-90,0):H139),IF(AND(EOMONTH(F139,0)=F139,OR(MONTH(F139)=9,MONTH(F139)=12)),SUM(OFFSET(H139,-91,0):H139))),IF(AND(EOMONTH(F139,0)=F139,MONTH(F139)=3),SUM(OFFSET(H139,-89,0):H139),IF(AND(EOMONTH(F139,0)=F139,MONTH(F139)=6),SUM(OFFSET(H139,-90,0):H139),IF(AND(EOMONTH(F139,0)=F139,OR(MONTH(F139)=9,MONTH(F139)=12)),SUM(OFFSET(H139,-91,0):H139)))))),IF(F139='депозитный калькулятор'!$D$8,SUM($H$23:H139)-SUM($I$23:I138),0))),IF('депозитный калькулятор'!$G$10="ежегодное",IF(F139&gt;'депозитный калькулятор'!$D$8," ",IF(F139='депозитный калькулятор'!$D$8,SUM($H$23:H139)-SUM($I$23:I138),IF(AND(EOMONTH(F139,0)=F139,MONTH(F139)=12),IF(MOD(YEAR(F138),4)=0,IF(F139-'депозитный калькулятор'!$D$7&lt;366,SUM($H$23:H139),SUM(OFFSET(H139,-365,0):H139)),IF(F139-'депозитный калькулятор'!$D$7&lt;365,SUM($H$23:H139),SUM(OFFSET(H139,-364,0):H139))),0))),IF(AND('депозитный калькулятор'!$G$10="в конце срока",'депозитный калькулятор'!$D$8=F139),SUM($H$23:H139),0))))))))))))))))))</f>
        <v xml:space="preserve"> </v>
      </c>
      <c r="J139" s="59" t="str">
        <f>IF(F139&gt;'депозитный калькулятор'!$D$8," ",IF('депозитный калькулятор'!$G$16="нет",0,IF(AND('депозитный калькулятор'!$G$17="разовая (в конце срока)",F139='депозитный калькулятор'!$D$8),'депозитный калькулятор'!$G$18,IF(AND('депозитный калькулятор'!$G$17="ежемесячная",EOMONTH(F138,0)=F138),'депозитный калькулятор'!$G$18,IF(AND('депозитный калькулятор'!$G$17="ежегодная",DAY(F138)=31,MONTH(F138)=12),'депозитный калькулятор'!$G$18,IF(AND('депозитный калькулятор'!$G$17="ежемесячная в зависимости от остатка",EOMONTH(F138,0)=F138,P138&gt;0),'депозитный калькулятор'!$G$18,IF(AND('депозитный калькулятор'!$G$17="ежегодная в зависимости от остатка",DAY(F138)=31,MONTH(F138)=12,P138&gt;0),'депозитный калькулятор'!$G$18,0)))))))</f>
        <v xml:space="preserve"> </v>
      </c>
      <c r="K139" s="135" t="str">
        <f>IF($F139=" "," ",IFERROR(VLOOKUP($F139,'депозитный калькулятор'!$B$26:$F$70,2,0),0))</f>
        <v xml:space="preserve"> </v>
      </c>
      <c r="L139" s="135" t="str">
        <f>IF($F139=" "," ",IFERROR(VLOOKUP($F139,'депозитный калькулятор'!$B$26:$F$70,3,0),0))</f>
        <v xml:space="preserve"> </v>
      </c>
      <c r="M139" s="135" t="str">
        <f>IF($F139=" "," ",IFERROR(VLOOKUP($F139,'депозитный калькулятор'!$B$26:$F$70,4,0),0))</f>
        <v xml:space="preserve"> </v>
      </c>
      <c r="N139" s="135" t="str">
        <f>IF($F139=" "," ",IFERROR(VLOOKUP($F139,'депозитный калькулятор'!$B$26:$F$70,5,0),0))</f>
        <v xml:space="preserve"> </v>
      </c>
      <c r="O139" s="146" t="str">
        <f>IF(F139&gt;'депозитный калькулятор'!$D$8," ",IF(F139='депозитный калькулятор'!$D$8,IF(AND($F$24='депозитный калькулятор'!$D$8,'депозитный калькулятор'!$G$13="нет"),-G139-IF(I139=" ",0,I139)-IF(AND(OR('депозитный калькулятор'!$G$7="30/365",'депозитный калькулятор'!$G$7="30/360"),'депозитный калькулятор'!$G$10="в начале срока"),I138,0)-L139+M139-N139,-G139-IF(I139=" ",0,I139)-L139+M139-N139),IF('депозитный калькулятор'!$G$13="есть",M139-N139+IF('депозитный калькулятор'!$G$14="есть",0,-L139),-IF(I139=" ",0,I139)-IF(AND(OR('депозитный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срока"),I138,0)+M139-N139+IF('депозитный калькулятор'!$G$14="есть",0,-L139))))</f>
        <v xml:space="preserve"> </v>
      </c>
      <c r="P139" s="147" t="str">
        <f>IF(F139&gt;'депозитный калькулятор'!$D$8," ",IF(EOMONTH(F138,0)=F138,0,IF(G139&gt;='депозитный калькулятор'!$G$19,P138,P138+1)))</f>
        <v xml:space="preserve"> </v>
      </c>
      <c r="Q139" s="138" t="str">
        <f>IF(F139=" "," ",IF(AND(OR('депозитный калькулятор'!$G$7="30/365",'депозитный калькулятор'!$G$7="30/360"),AND(MONTH(F139)=2,EOMONTH(F139,0)=F139)),IF(DAY(F139)=28,3,2),1)*IF(G139&gt;='депозитный калькулятор'!$G$11,IF(AND('депозитный калькулятор'!$G$7="факт/факт",MOD(YEAR(F139),4)=0),G139*'депозитный калькулятор'!$D$11/366,G139*'депозитный калькулятор'!$G$8),0))</f>
        <v xml:space="preserve"> </v>
      </c>
      <c r="R139" s="148"/>
      <c r="S139" s="62" t="str">
        <f t="shared" ca="1" si="7"/>
        <v xml:space="preserve"> </v>
      </c>
      <c r="T139" s="149" t="str">
        <f ca="1">IF(S139=" "," ",IF('депозитный калькулятор'!$G$7="30/360",DAYS360(U138,IF(DAY(U139)=31,U139-1,U139))+IF(AND(MONTH(U139)=2,U139=EOMONTH(U139,0)),30-DAY(EOMONTH(U139,0)))+T138,VLOOKUP(S139,$C$22:$F$1023,2,0)))</f>
        <v xml:space="preserve"> </v>
      </c>
      <c r="U139" s="64" t="str">
        <f t="shared" ca="1" si="5"/>
        <v xml:space="preserve"> </v>
      </c>
      <c r="V139" s="150" t="str">
        <f t="shared" ca="1" si="8"/>
        <v xml:space="preserve"> </v>
      </c>
      <c r="W139" s="62" t="str">
        <f t="shared" ca="1" si="9"/>
        <v xml:space="preserve"> </v>
      </c>
      <c r="X139" s="141" t="str">
        <f ca="1">IF(S139=" "," ",IFERROR(VLOOKUP(U139,$F$23:$N$1023,7)+VLOOKUP(U139,$F$23:$N$1023,9)+IF(AND('депозитный калькулятор'!$G$13="нет",U139&lt;&gt;'депозитный калькулятор'!$D$8),VLOOKUP(U139,$F$23:$N$1023,4),0),0)+IF(U139='депозитный калькулятор'!$D$8,VLOOKUP(U139,$F$23:$N$1023,2)+VLOOKUP(U139,$F$23:$N$1023,4),0))</f>
        <v xml:space="preserve"> </v>
      </c>
      <c r="Y139" s="142" t="str">
        <f ca="1">IF(S139=" "," ",W139/(1+'депозитный калькулятор'!$K$8)^(T139/IF('депозитный калькулятор'!$G$7="30/360",360,365)))</f>
        <v xml:space="preserve"> </v>
      </c>
      <c r="Z139" s="142" t="str">
        <f ca="1">IF(S139=" "," ",X139/(1+'депозитный калькулятор'!$K$8)^(T139/IF('депозитный калькулятор'!$G$7="30/360",360,365)))</f>
        <v xml:space="preserve"> </v>
      </c>
      <c r="AA139" s="151"/>
      <c r="AB139" s="151"/>
      <c r="AC139" s="155"/>
      <c r="AD139" s="155"/>
    </row>
    <row r="140" spans="1:30" s="2" customFormat="1" ht="15.5" x14ac:dyDescent="0.35">
      <c r="A140" s="41" t="str">
        <f>IF(F140=" "," ",IF(OR('депозитный калькулятор'!$G$7="30/365",'депозитный калькулятор'!$G$7="30/360"),IF(AND(MONTH(F140)=2,DAY(F140)=DAY(EOMONTH(F140,0))),30-DAY(EOMONTH(F140,0)),IF(DAY(F140)=31,1," "))," "))</f>
        <v xml:space="preserve"> </v>
      </c>
      <c r="B140" s="130" t="str">
        <f t="shared" si="6"/>
        <v xml:space="preserve"> </v>
      </c>
      <c r="C140" s="130" t="str">
        <f>IF(OR(B140=0,B140=" ")," ",SUM($B$23:B140))</f>
        <v xml:space="preserve"> </v>
      </c>
      <c r="D140" s="62" t="str">
        <f>IF(D139=" "," ",IF(OR(F139='депозитный калькулятор'!$D$8,F139=" ")," ",D139+1))</f>
        <v xml:space="preserve"> </v>
      </c>
      <c r="E140" s="130" t="str">
        <f>IF(OR(F139='депозитный калькулятор'!$D$8,F139=" ")," ",IF(EOMONTH(F139,0)=F139,1,E139+1))</f>
        <v xml:space="preserve"> </v>
      </c>
      <c r="F140" s="64" t="str">
        <f>IF(F139=" "," ",IF(F139='депозитный калькулятор'!$D$8," ",F139+1))</f>
        <v xml:space="preserve"> </v>
      </c>
      <c r="G140" s="145" t="str">
        <f xml:space="preserve"> IF(F140&gt;'депозитный калькулятор'!$D$8," ",IF('депозитный калькулятор'!$G$13="есть",IF('депозитный калькулятор'!$G$14="есть",G139+IF(I139=" ",0,I139)-J140-K140+L140+M140-N140,G139+IF(I139=" ",0,I139)-J140-K140+M140-N140),IF('депозитный калькулятор'!$G$14="есть",G139-J140-K140+L140+M140-N140,G139-J140-K140+M140-N140)))</f>
        <v xml:space="preserve"> </v>
      </c>
      <c r="H140" s="133" t="str">
        <f>IF(F140&gt;'депозитный калькулятор'!$D$8," ",IF(AND(OR('депозитный калькулятор'!$G$7="30/365",'депозитный калькулятор'!$G$7="30/360"),AND(MONTH(F140)=2,EOMONTH(F140,0)=F140)),IF(DAY(F140)=28,3*G140*'депозитный калькулятор'!$G$8,2*G140*'депозитный калькулятор'!$G$8),IF(AND(OR('депозитный калькулятор'!$G$7="30/365",'депозитный калькулятор'!$G$7="30/360"),DAY(F140)=31)," ",IF(AND('депозитный калькулятор'!$G$7="факт/факт",MOD(YEAR(F140),4)=0),G140*'депозитный калькулятор'!$D$11/366,G140*'депозитный калькулятор'!$G$8))))</f>
        <v xml:space="preserve"> </v>
      </c>
      <c r="I140" s="134" t="str">
        <f ca="1">IF(F140=" "," ",IF('депозитный калькулятор'!$G$10="ежедневное",H140,IF(AND('депозитный калькулятор'!$G$10="еженедельное",WEEKDAY(F140,2)=7),SUM(OFFSET(H140,-6,0):H140),IF(AND('депозитный калькулятор'!$G$10="еженедельное",F140='депозитный калькулятор'!$D$8),SUM($H$23:H140)-SUM($I$23:I139),IF(AND('депозитный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недели",WEEKDAY(F140,2)=7),MIN(OFFSET(H140,-6,0):H140)*(COUNTIF(OFFSET(H140,-6,0):H140,"&gt;0")+SUMIF(OFFSET(A140,-WEEKDAY(F140,2),0):A140,"=2",OFFSET(A140,-WEEKDAY(F140,2),0):A140)),IF(AND('депозитный калькулятор'!$G$10="еженедельное, на минимальную сумму зафиксированную в течение недели",F140='депозитный калькулятор'!$D$8,WEEKDAY(F140,2)&lt;&gt;7),MIN(OFFSET(H140,-WEEKDAY(F140,2),0):H140)*(COUNTIF(OFFSET(H140,-WEEKDAY(F140,2)+1,0):H140,"&gt;0")+SUM(OFFSET(A140,-WEEKDAY(F140,2),0):A140)),IF(AND('депозитный калькулятор'!$G$10="ежемесячное (в конце месяца)",F140='депозитный калькулятор'!$D$8,EOMONTH(F140,0)&lt;&gt;F140),IF('депозитный калькулятор'!$F$1=1,$H$24,SUM($H$23:H140)-SUM($I$23:I139)),IF(AND('депозитный калькулятор'!$G$10="ежемесячное (в конце месяца)",EOMONTH(F140,0)=F140),SUM($H$23:H140)-SUM($I$23:I139),IF(AND('депозитный калькулятор'!$G$10="ежемесячное (по дням открытия вклада)",F140='депозитный калькулятор'!$D$8,DAY('депозитный калькулятор'!$D$7)&lt;&gt;DAY(F140)),IF('депозитный калькулятор'!$F$1=1,$H$24,SUM($H$23:H140)-SUM($I$23:I139)),IF(AND('депозитный калькулятор'!$G$10="ежемесячное (по дням открытия вклада)",DAY('депозитный калькулятор'!$D$7)=DAY(F140)),SUM($H$23:H140)-SUM($I$23:I139),IF(AND('депозитный калькулятор'!$G$10="ежемесячное, на минимальную сумму зафиксированную в течение месяца",F140='депозитный калькулятор'!$D$8,EOMONTH(F140,0)&lt;&gt;F140),IF('депозитный калькулятор'!$F$1=1,$H$24,IF(AND(OR('депозитный калькулятор'!$G$7="30/365",'депозитный калькулятор'!$G$7="30/360"),DAY(F140)=31),0,MIN(OFFSET(H140,-E140+1,0):H140)*(E140+SUMIF(OFFSET(A140,-E140+1,0):A140,"=2",OFFSET(A140,-E140+1,0):A140)))),IF(AND('депозитный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калькулятор'!$G$7="30/360"),DAY(EOMONTH(F140,0))=31),EOMONTH(F140,0)-1=F140,EOMONTH(F140,0)=F140)),IF(IF(AND(OR('депозитный калькулятор'!$G$7="30/365",'депозитный калькулятор'!$G$7="30/360"),DAY(EOMONTH($F$23,0))=31),F140=EOMONTH($F$23,0)-1,F140=EOMONTH($F$23,0)),MIN(OFFSET(H140,-(DAY(F140)-DAY($F$23)),0):H140)*E140,MIN(OFFSET(H140,-(DAY(F140)-1),0):H140)*IF(AND(OR('депозитный калькулятор'!$G$7="30/365",'депозитный калькулятор'!$G$7="30/360"),DAY(F140)&lt;30),30,DAY(F140))),IF(AND('депозитный калькулятор'!$G$10="ежемесячное, на средний остаток в течение месяца, при условии что остаток больше чем ограничение",F140='депозитный калькулятор'!$D$8,EOMONTH(F140,0)&lt;&gt;F140),IF('депозитный калькулятор'!$F$1=1,$H$24,SUM(OFFSET(Q140,-E140+1,0):Q140)),IF(AND('депозитный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калькулятор'!$G$7="30/360"),DAY(EOMONTH(F140,0))=31),EOMONTH(F140,0)-1=F140,EOMONTH(F140,0)=F140)),IF(IF(AND(OR('депозитный калькулятор'!$G$7="30/365",'депозитный калькулятор'!$G$7="30/360"),DAY(EOMONTH($F$24,0))=31),F140=EOMONTH($F$24,0)-1,F140=EOMONTH($F$24,0)),SUM(OFFSET(Q140,-E140+1,0):Q140),SUM(OFFSET(Q140,-E140+1,0):Q140)),IF('депозитный калькулятор'!$G$10="ежеквартальное",IF(F140&gt;'депозитный калькулятор'!$D$8," ",IF(AND(EOMONTH(F140,0)=F140,OR(MONTH(F140)=3,MONTH(F140)=6,MONTH(F140)=9,MONTH(F140)=12)),IF(EDATE(F140,-3)&lt;'депозитный калькулятор'!$D$7,SUM($H$23:H140),IF(MOD(YEAR(F140),4)=0,IF(AND(EOMONTH(F140,0)=F140,OR(MONTH(F140)=3,MONTH(F140)=6)),SUM(OFFSET(H140,-90,0):H140),IF(AND(EOMONTH(F140,0)=F140,OR(MONTH(F140)=9,MONTH(F140)=12)),SUM(OFFSET(H140,-91,0):H140))),IF(AND(EOMONTH(F140,0)=F140,MONTH(F140)=3),SUM(OFFSET(H140,-89,0):H140),IF(AND(EOMONTH(F140,0)=F140,MONTH(F140)=6),SUM(OFFSET(H140,-90,0):H140),IF(AND(EOMONTH(F140,0)=F140,OR(MONTH(F140)=9,MONTH(F140)=12)),SUM(OFFSET(H140,-91,0):H140)))))),IF(F140='депозитный калькулятор'!$D$8,SUM($H$23:H140)-SUM($I$23:I139),0))),IF('депозитный калькулятор'!$G$10="ежегодное",IF(F140&gt;'депозитный калькулятор'!$D$8," ",IF(F140='депозитный калькулятор'!$D$8,SUM($H$23:H140)-SUM($I$23:I139),IF(AND(EOMONTH(F140,0)=F140,MONTH(F140)=12),IF(MOD(YEAR(F139),4)=0,IF(F140-'депозитный калькулятор'!$D$7&lt;366,SUM($H$23:H140),SUM(OFFSET(H140,-365,0):H140)),IF(F140-'депозитный калькулятор'!$D$7&lt;365,SUM($H$23:H140),SUM(OFFSET(H140,-364,0):H140))),0))),IF(AND('депозитный калькулятор'!$G$10="в конце срока",'депозитный калькулятор'!$D$8=F140),SUM($H$23:H140),0))))))))))))))))))</f>
        <v xml:space="preserve"> </v>
      </c>
      <c r="J140" s="59" t="str">
        <f>IF(F140&gt;'депозитный калькулятор'!$D$8," ",IF('депозитный калькулятор'!$G$16="нет",0,IF(AND('депозитный калькулятор'!$G$17="разовая (в конце срока)",F140='депозитный калькулятор'!$D$8),'депозитный калькулятор'!$G$18,IF(AND('депозитный калькулятор'!$G$17="ежемесячная",EOMONTH(F139,0)=F139),'депозитный калькулятор'!$G$18,IF(AND('депозитный калькулятор'!$G$17="ежегодная",DAY(F139)=31,MONTH(F139)=12),'депозитный калькулятор'!$G$18,IF(AND('депозитный калькулятор'!$G$17="ежемесячная в зависимости от остатка",EOMONTH(F139,0)=F139,P139&gt;0),'депозитный калькулятор'!$G$18,IF(AND('депозитный калькулятор'!$G$17="ежегодная в зависимости от остатка",DAY(F139)=31,MONTH(F139)=12,P139&gt;0),'депозитный калькулятор'!$G$18,0)))))))</f>
        <v xml:space="preserve"> </v>
      </c>
      <c r="K140" s="135" t="str">
        <f>IF($F140=" "," ",IFERROR(VLOOKUP($F140,'депозитный калькулятор'!$B$26:$F$70,2,0),0))</f>
        <v xml:space="preserve"> </v>
      </c>
      <c r="L140" s="135" t="str">
        <f>IF($F140=" "," ",IFERROR(VLOOKUP($F140,'депозитный калькулятор'!$B$26:$F$70,3,0),0))</f>
        <v xml:space="preserve"> </v>
      </c>
      <c r="M140" s="135" t="str">
        <f>IF($F140=" "," ",IFERROR(VLOOKUP($F140,'депозитный калькулятор'!$B$26:$F$70,4,0),0))</f>
        <v xml:space="preserve"> </v>
      </c>
      <c r="N140" s="135" t="str">
        <f>IF($F140=" "," ",IFERROR(VLOOKUP($F140,'депозитный калькулятор'!$B$26:$F$70,5,0),0))</f>
        <v xml:space="preserve"> </v>
      </c>
      <c r="O140" s="146" t="str">
        <f>IF(F140&gt;'депозитный калькулятор'!$D$8," ",IF(F140='депозитный калькулятор'!$D$8,IF(AND($F$24='депозитный калькулятор'!$D$8,'депозитный калькулятор'!$G$13="нет"),-G140-IF(I140=" ",0,I140)-IF(AND(OR('депозитный калькулятор'!$G$7="30/365",'депозитный калькулятор'!$G$7="30/360"),'депозитный калькулятор'!$G$10="в начале срока"),I139,0)-L140+M140-N140,-G140-IF(I140=" ",0,I140)-L140+M140-N140),IF('депозитный калькулятор'!$G$13="есть",M140-N140+IF('депозитный калькулятор'!$G$14="есть",0,-L140),-IF(I140=" ",0,I140)-IF(AND(OR('депозитный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срока"),I139,0)+M140-N140+IF('депозитный калькулятор'!$G$14="есть",0,-L140))))</f>
        <v xml:space="preserve"> </v>
      </c>
      <c r="P140" s="147" t="str">
        <f>IF(F140&gt;'депозитный калькулятор'!$D$8," ",IF(EOMONTH(F139,0)=F139,0,IF(G140&gt;='депозитный калькулятор'!$G$19,P139,P139+1)))</f>
        <v xml:space="preserve"> </v>
      </c>
      <c r="Q140" s="138" t="str">
        <f>IF(F140=" "," ",IF(AND(OR('депозитный калькулятор'!$G$7="30/365",'депозитный калькулятор'!$G$7="30/360"),AND(MONTH(F140)=2,EOMONTH(F140,0)=F140)),IF(DAY(F140)=28,3,2),1)*IF(G140&gt;='депозитный калькулятор'!$G$11,IF(AND('депозитный калькулятор'!$G$7="факт/факт",MOD(YEAR(F140),4)=0),G140*'депозитный калькулятор'!$D$11/366,G140*'депозитный калькулятор'!$G$8),0))</f>
        <v xml:space="preserve"> </v>
      </c>
      <c r="R140" s="148"/>
      <c r="S140" s="62" t="str">
        <f t="shared" ca="1" si="7"/>
        <v xml:space="preserve"> </v>
      </c>
      <c r="T140" s="149" t="str">
        <f ca="1">IF(S140=" "," ",IF('депозитный калькулятор'!$G$7="30/360",DAYS360(U139,IF(DAY(U140)=31,U140-1,U140))+IF(AND(MONTH(U140)=2,U140=EOMONTH(U140,0)),30-DAY(EOMONTH(U140,0)))+T139,VLOOKUP(S140,$C$22:$F$1023,2,0)))</f>
        <v xml:space="preserve"> </v>
      </c>
      <c r="U140" s="64" t="str">
        <f t="shared" ca="1" si="5"/>
        <v xml:space="preserve"> </v>
      </c>
      <c r="V140" s="150" t="str">
        <f t="shared" ca="1" si="8"/>
        <v xml:space="preserve"> </v>
      </c>
      <c r="W140" s="62" t="str">
        <f t="shared" ca="1" si="9"/>
        <v xml:space="preserve"> </v>
      </c>
      <c r="X140" s="141" t="str">
        <f ca="1">IF(S140=" "," ",IFERROR(VLOOKUP(U140,$F$23:$N$1023,7)+VLOOKUP(U140,$F$23:$N$1023,9)+IF(AND('депозитный калькулятор'!$G$13="нет",U140&lt;&gt;'депозитный калькулятор'!$D$8),VLOOKUP(U140,$F$23:$N$1023,4),0),0)+IF(U140='депозитный калькулятор'!$D$8,VLOOKUP(U140,$F$23:$N$1023,2)+VLOOKUP(U140,$F$23:$N$1023,4),0))</f>
        <v xml:space="preserve"> </v>
      </c>
      <c r="Y140" s="142" t="str">
        <f ca="1">IF(S140=" "," ",W140/(1+'депозитный калькулятор'!$K$8)^(T140/IF('депозитный калькулятор'!$G$7="30/360",360,365)))</f>
        <v xml:space="preserve"> </v>
      </c>
      <c r="Z140" s="142" t="str">
        <f ca="1">IF(S140=" "," ",X140/(1+'депозитный калькулятор'!$K$8)^(T140/IF('депозитный калькулятор'!$G$7="30/360",360,365)))</f>
        <v xml:space="preserve"> </v>
      </c>
      <c r="AA140" s="151"/>
      <c r="AB140" s="151"/>
      <c r="AC140" s="155"/>
      <c r="AD140" s="155"/>
    </row>
    <row r="141" spans="1:30" s="2" customFormat="1" ht="15.5" x14ac:dyDescent="0.35">
      <c r="A141" s="41" t="str">
        <f>IF(F141=" "," ",IF(OR('депозитный калькулятор'!$G$7="30/365",'депозитный калькулятор'!$G$7="30/360"),IF(AND(MONTH(F141)=2,DAY(F141)=DAY(EOMONTH(F141,0))),30-DAY(EOMONTH(F141,0)),IF(DAY(F141)=31,1," "))," "))</f>
        <v xml:space="preserve"> </v>
      </c>
      <c r="B141" s="130" t="str">
        <f t="shared" si="6"/>
        <v xml:space="preserve"> </v>
      </c>
      <c r="C141" s="130" t="str">
        <f>IF(OR(B141=0,B141=" ")," ",SUM($B$23:B141))</f>
        <v xml:space="preserve"> </v>
      </c>
      <c r="D141" s="62" t="str">
        <f>IF(D140=" "," ",IF(OR(F140='депозитный калькулятор'!$D$8,F140=" ")," ",D140+1))</f>
        <v xml:space="preserve"> </v>
      </c>
      <c r="E141" s="130" t="str">
        <f>IF(OR(F140='депозитный калькулятор'!$D$8,F140=" ")," ",IF(EOMONTH(F140,0)=F140,1,E140+1))</f>
        <v xml:space="preserve"> </v>
      </c>
      <c r="F141" s="64" t="str">
        <f>IF(F140=" "," ",IF(F140='депозитный калькулятор'!$D$8," ",F140+1))</f>
        <v xml:space="preserve"> </v>
      </c>
      <c r="G141" s="145" t="str">
        <f xml:space="preserve"> IF(F141&gt;'депозитный калькулятор'!$D$8," ",IF('депозитный калькулятор'!$G$13="есть",IF('депозитный калькулятор'!$G$14="есть",G140+IF(I140=" ",0,I140)-J141-K141+L141+M141-N141,G140+IF(I140=" ",0,I140)-J141-K141+M141-N141),IF('депозитный калькулятор'!$G$14="есть",G140-J141-K141+L141+M141-N141,G140-J141-K141+M141-N141)))</f>
        <v xml:space="preserve"> </v>
      </c>
      <c r="H141" s="133" t="str">
        <f>IF(F141&gt;'депозитный калькулятор'!$D$8," ",IF(AND(OR('депозитный калькулятор'!$G$7="30/365",'депозитный калькулятор'!$G$7="30/360"),AND(MONTH(F141)=2,EOMONTH(F141,0)=F141)),IF(DAY(F141)=28,3*G141*'депозитный калькулятор'!$G$8,2*G141*'депозитный калькулятор'!$G$8),IF(AND(OR('депозитный калькулятор'!$G$7="30/365",'депозитный калькулятор'!$G$7="30/360"),DAY(F141)=31)," ",IF(AND('депозитный калькулятор'!$G$7="факт/факт",MOD(YEAR(F141),4)=0),G141*'депозитный калькулятор'!$D$11/366,G141*'депозитный калькулятор'!$G$8))))</f>
        <v xml:space="preserve"> </v>
      </c>
      <c r="I141" s="134" t="str">
        <f ca="1">IF(F141=" "," ",IF('депозитный калькулятор'!$G$10="ежедневное",H141,IF(AND('депозитный калькулятор'!$G$10="еженедельное",WEEKDAY(F141,2)=7),SUM(OFFSET(H141,-6,0):H141),IF(AND('депозитный калькулятор'!$G$10="еженедельное",F141='депозитный калькулятор'!$D$8),SUM($H$23:H141)-SUM($I$23:I140),IF(AND('депозитный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недели",WEEKDAY(F141,2)=7),MIN(OFFSET(H141,-6,0):H141)*(COUNTIF(OFFSET(H141,-6,0):H141,"&gt;0")+SUMIF(OFFSET(A141,-WEEKDAY(F141,2),0):A141,"=2",OFFSET(A141,-WEEKDAY(F141,2),0):A141)),IF(AND('депозитный калькулятор'!$G$10="еженедельное, на минимальную сумму зафиксированную в течение недели",F141='депозитный калькулятор'!$D$8,WEEKDAY(F141,2)&lt;&gt;7),MIN(OFFSET(H141,-WEEKDAY(F141,2),0):H141)*(COUNTIF(OFFSET(H141,-WEEKDAY(F141,2)+1,0):H141,"&gt;0")+SUM(OFFSET(A141,-WEEKDAY(F141,2),0):A141)),IF(AND('депозитный калькулятор'!$G$10="ежемесячное (в конце месяца)",F141='депозитный калькулятор'!$D$8,EOMONTH(F141,0)&lt;&gt;F141),IF('депозитный калькулятор'!$F$1=1,$H$24,SUM($H$23:H141)-SUM($I$23:I140)),IF(AND('депозитный калькулятор'!$G$10="ежемесячное (в конце месяца)",EOMONTH(F141,0)=F141),SUM($H$23:H141)-SUM($I$23:I140),IF(AND('депозитный калькулятор'!$G$10="ежемесячное (по дням открытия вклада)",F141='депозитный калькулятор'!$D$8,DAY('депозитный калькулятор'!$D$7)&lt;&gt;DAY(F141)),IF('депозитный калькулятор'!$F$1=1,$H$24,SUM($H$23:H141)-SUM($I$23:I140)),IF(AND('депозитный калькулятор'!$G$10="ежемесячное (по дням открытия вклада)",DAY('депозитный калькулятор'!$D$7)=DAY(F141)),SUM($H$23:H141)-SUM($I$23:I140),IF(AND('депозитный калькулятор'!$G$10="ежемесячное, на минимальную сумму зафиксированную в течение месяца",F141='депозитный калькулятор'!$D$8,EOMONTH(F141,0)&lt;&gt;F141),IF('депозитный калькулятор'!$F$1=1,$H$24,IF(AND(OR('депозитный калькулятор'!$G$7="30/365",'депозитный калькулятор'!$G$7="30/360"),DAY(F141)=31),0,MIN(OFFSET(H141,-E141+1,0):H141)*(E141+SUMIF(OFFSET(A141,-E141+1,0):A141,"=2",OFFSET(A141,-E141+1,0):A141)))),IF(AND('депозитный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калькулятор'!$G$7="30/360"),DAY(EOMONTH(F141,0))=31),EOMONTH(F141,0)-1=F141,EOMONTH(F141,0)=F141)),IF(IF(AND(OR('депозитный калькулятор'!$G$7="30/365",'депозитный калькулятор'!$G$7="30/360"),DAY(EOMONTH($F$23,0))=31),F141=EOMONTH($F$23,0)-1,F141=EOMONTH($F$23,0)),MIN(OFFSET(H141,-(DAY(F141)-DAY($F$23)),0):H141)*E141,MIN(OFFSET(H141,-(DAY(F141)-1),0):H141)*IF(AND(OR('депозитный калькулятор'!$G$7="30/365",'депозитный калькулятор'!$G$7="30/360"),DAY(F141)&lt;30),30,DAY(F141))),IF(AND('депозитный калькулятор'!$G$10="ежемесячное, на средний остаток в течение месяца, при условии что остаток больше чем ограничение",F141='депозитный калькулятор'!$D$8,EOMONTH(F141,0)&lt;&gt;F141),IF('депозитный калькулятор'!$F$1=1,$H$24,SUM(OFFSET(Q141,-E141+1,0):Q141)),IF(AND('депозитный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калькулятор'!$G$7="30/360"),DAY(EOMONTH(F141,0))=31),EOMONTH(F141,0)-1=F141,EOMONTH(F141,0)=F141)),IF(IF(AND(OR('депозитный калькулятор'!$G$7="30/365",'депозитный калькулятор'!$G$7="30/360"),DAY(EOMONTH($F$24,0))=31),F141=EOMONTH($F$24,0)-1,F141=EOMONTH($F$24,0)),SUM(OFFSET(Q141,-E141+1,0):Q141),SUM(OFFSET(Q141,-E141+1,0):Q141)),IF('депозитный калькулятор'!$G$10="ежеквартальное",IF(F141&gt;'депозитный калькулятор'!$D$8," ",IF(AND(EOMONTH(F141,0)=F141,OR(MONTH(F141)=3,MONTH(F141)=6,MONTH(F141)=9,MONTH(F141)=12)),IF(EDATE(F141,-3)&lt;'депозитный калькулятор'!$D$7,SUM($H$23:H141),IF(MOD(YEAR(F141),4)=0,IF(AND(EOMONTH(F141,0)=F141,OR(MONTH(F141)=3,MONTH(F141)=6)),SUM(OFFSET(H141,-90,0):H141),IF(AND(EOMONTH(F141,0)=F141,OR(MONTH(F141)=9,MONTH(F141)=12)),SUM(OFFSET(H141,-91,0):H141))),IF(AND(EOMONTH(F141,0)=F141,MONTH(F141)=3),SUM(OFFSET(H141,-89,0):H141),IF(AND(EOMONTH(F141,0)=F141,MONTH(F141)=6),SUM(OFFSET(H141,-90,0):H141),IF(AND(EOMONTH(F141,0)=F141,OR(MONTH(F141)=9,MONTH(F141)=12)),SUM(OFFSET(H141,-91,0):H141)))))),IF(F141='депозитный калькулятор'!$D$8,SUM($H$23:H141)-SUM($I$23:I140),0))),IF('депозитный калькулятор'!$G$10="ежегодное",IF(F141&gt;'депозитный калькулятор'!$D$8," ",IF(F141='депозитный калькулятор'!$D$8,SUM($H$23:H141)-SUM($I$23:I140),IF(AND(EOMONTH(F141,0)=F141,MONTH(F141)=12),IF(MOD(YEAR(F140),4)=0,IF(F141-'депозитный калькулятор'!$D$7&lt;366,SUM($H$23:H141),SUM(OFFSET(H141,-365,0):H141)),IF(F141-'депозитный калькулятор'!$D$7&lt;365,SUM($H$23:H141),SUM(OFFSET(H141,-364,0):H141))),0))),IF(AND('депозитный калькулятор'!$G$10="в конце срока",'депозитный калькулятор'!$D$8=F141),SUM($H$23:H141),0))))))))))))))))))</f>
        <v xml:space="preserve"> </v>
      </c>
      <c r="J141" s="59" t="str">
        <f>IF(F141&gt;'депозитный калькулятор'!$D$8," ",IF('депозитный калькулятор'!$G$16="нет",0,IF(AND('депозитный калькулятор'!$G$17="разовая (в конце срока)",F141='депозитный калькулятор'!$D$8),'депозитный калькулятор'!$G$18,IF(AND('депозитный калькулятор'!$G$17="ежемесячная",EOMONTH(F140,0)=F140),'депозитный калькулятор'!$G$18,IF(AND('депозитный калькулятор'!$G$17="ежегодная",DAY(F140)=31,MONTH(F140)=12),'депозитный калькулятор'!$G$18,IF(AND('депозитный калькулятор'!$G$17="ежемесячная в зависимости от остатка",EOMONTH(F140,0)=F140,P140&gt;0),'депозитный калькулятор'!$G$18,IF(AND('депозитный калькулятор'!$G$17="ежегодная в зависимости от остатка",DAY(F140)=31,MONTH(F140)=12,P140&gt;0),'депозитный калькулятор'!$G$18,0)))))))</f>
        <v xml:space="preserve"> </v>
      </c>
      <c r="K141" s="135" t="str">
        <f>IF($F141=" "," ",IFERROR(VLOOKUP($F141,'депозитный калькулятор'!$B$26:$F$70,2,0),0))</f>
        <v xml:space="preserve"> </v>
      </c>
      <c r="L141" s="135" t="str">
        <f>IF($F141=" "," ",IFERROR(VLOOKUP($F141,'депозитный калькулятор'!$B$26:$F$70,3,0),0))</f>
        <v xml:space="preserve"> </v>
      </c>
      <c r="M141" s="135" t="str">
        <f>IF($F141=" "," ",IFERROR(VLOOKUP($F141,'депозитный калькулятор'!$B$26:$F$70,4,0),0))</f>
        <v xml:space="preserve"> </v>
      </c>
      <c r="N141" s="135" t="str">
        <f>IF($F141=" "," ",IFERROR(VLOOKUP($F141,'депозитный калькулятор'!$B$26:$F$70,5,0),0))</f>
        <v xml:space="preserve"> </v>
      </c>
      <c r="O141" s="146" t="str">
        <f>IF(F141&gt;'депозитный калькулятор'!$D$8," ",IF(F141='депозитный калькулятор'!$D$8,IF(AND($F$24='депозитный калькулятор'!$D$8,'депозитный калькулятор'!$G$13="нет"),-G141-IF(I141=" ",0,I141)-IF(AND(OR('депозитный калькулятор'!$G$7="30/365",'депозитный калькулятор'!$G$7="30/360"),'депозитный калькулятор'!$G$10="в начале срока"),I140,0)-L141+M141-N141,-G141-IF(I141=" ",0,I141)-L141+M141-N141),IF('депозитный калькулятор'!$G$13="есть",M141-N141+IF('депозитный калькулятор'!$G$14="есть",0,-L141),-IF(I141=" ",0,I141)-IF(AND(OR('депозитный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срока"),I140,0)+M141-N141+IF('депозитный калькулятор'!$G$14="есть",0,-L141))))</f>
        <v xml:space="preserve"> </v>
      </c>
      <c r="P141" s="147" t="str">
        <f>IF(F141&gt;'депозитный калькулятор'!$D$8," ",IF(EOMONTH(F140,0)=F140,0,IF(G141&gt;='депозитный калькулятор'!$G$19,P140,P140+1)))</f>
        <v xml:space="preserve"> </v>
      </c>
      <c r="Q141" s="138" t="str">
        <f>IF(F141=" "," ",IF(AND(OR('депозитный калькулятор'!$G$7="30/365",'депозитный калькулятор'!$G$7="30/360"),AND(MONTH(F141)=2,EOMONTH(F141,0)=F141)),IF(DAY(F141)=28,3,2),1)*IF(G141&gt;='депозитный калькулятор'!$G$11,IF(AND('депозитный калькулятор'!$G$7="факт/факт",MOD(YEAR(F141),4)=0),G141*'депозитный калькулятор'!$D$11/366,G141*'депозитный калькулятор'!$G$8),0))</f>
        <v xml:space="preserve"> </v>
      </c>
      <c r="R141" s="148"/>
      <c r="S141" s="62" t="str">
        <f t="shared" ca="1" si="7"/>
        <v xml:space="preserve"> </v>
      </c>
      <c r="T141" s="149" t="str">
        <f ca="1">IF(S141=" "," ",IF('депозитный калькулятор'!$G$7="30/360",DAYS360(U140,IF(DAY(U141)=31,U141-1,U141))+IF(AND(MONTH(U141)=2,U141=EOMONTH(U141,0)),30-DAY(EOMONTH(U141,0)))+T140,VLOOKUP(S141,$C$22:$F$1023,2,0)))</f>
        <v xml:space="preserve"> </v>
      </c>
      <c r="U141" s="64" t="str">
        <f t="shared" ca="1" si="5"/>
        <v xml:space="preserve"> </v>
      </c>
      <c r="V141" s="150" t="str">
        <f t="shared" ca="1" si="8"/>
        <v xml:space="preserve"> </v>
      </c>
      <c r="W141" s="62" t="str">
        <f t="shared" ca="1" si="9"/>
        <v xml:space="preserve"> </v>
      </c>
      <c r="X141" s="141" t="str">
        <f ca="1">IF(S141=" "," ",IFERROR(VLOOKUP(U141,$F$23:$N$1023,7)+VLOOKUP(U141,$F$23:$N$1023,9)+IF(AND('депозитный калькулятор'!$G$13="нет",U141&lt;&gt;'депозитный калькулятор'!$D$8),VLOOKUP(U141,$F$23:$N$1023,4),0),0)+IF(U141='депозитный калькулятор'!$D$8,VLOOKUP(U141,$F$23:$N$1023,2)+VLOOKUP(U141,$F$23:$N$1023,4),0))</f>
        <v xml:space="preserve"> </v>
      </c>
      <c r="Y141" s="142" t="str">
        <f ca="1">IF(S141=" "," ",W141/(1+'депозитный калькулятор'!$K$8)^(T141/IF('депозитный калькулятор'!$G$7="30/360",360,365)))</f>
        <v xml:space="preserve"> </v>
      </c>
      <c r="Z141" s="142" t="str">
        <f ca="1">IF(S141=" "," ",X141/(1+'депозитный калькулятор'!$K$8)^(T141/IF('депозитный калькулятор'!$G$7="30/360",360,365)))</f>
        <v xml:space="preserve"> </v>
      </c>
      <c r="AA141" s="151"/>
      <c r="AB141" s="151"/>
      <c r="AC141" s="155"/>
      <c r="AD141" s="155"/>
    </row>
    <row r="142" spans="1:30" s="2" customFormat="1" ht="15.5" x14ac:dyDescent="0.35">
      <c r="A142" s="41" t="str">
        <f>IF(F142=" "," ",IF(OR('депозитный калькулятор'!$G$7="30/365",'депозитный калькулятор'!$G$7="30/360"),IF(AND(MONTH(F142)=2,DAY(F142)=DAY(EOMONTH(F142,0))),30-DAY(EOMONTH(F142,0)),IF(DAY(F142)=31,1," "))," "))</f>
        <v xml:space="preserve"> </v>
      </c>
      <c r="B142" s="130" t="str">
        <f t="shared" si="6"/>
        <v xml:space="preserve"> </v>
      </c>
      <c r="C142" s="130" t="str">
        <f>IF(OR(B142=0,B142=" ")," ",SUM($B$23:B142))</f>
        <v xml:space="preserve"> </v>
      </c>
      <c r="D142" s="62" t="str">
        <f>IF(D141=" "," ",IF(OR(F141='депозитный калькулятор'!$D$8,F141=" ")," ",D141+1))</f>
        <v xml:space="preserve"> </v>
      </c>
      <c r="E142" s="130" t="str">
        <f>IF(OR(F141='депозитный калькулятор'!$D$8,F141=" ")," ",IF(EOMONTH(F141,0)=F141,1,E141+1))</f>
        <v xml:space="preserve"> </v>
      </c>
      <c r="F142" s="64" t="str">
        <f>IF(F141=" "," ",IF(F141='депозитный калькулятор'!$D$8," ",F141+1))</f>
        <v xml:space="preserve"> </v>
      </c>
      <c r="G142" s="145" t="str">
        <f xml:space="preserve"> IF(F142&gt;'депозитный калькулятор'!$D$8," ",IF('депозитный калькулятор'!$G$13="есть",IF('депозитный калькулятор'!$G$14="есть",G141+IF(I141=" ",0,I141)-J142-K142+L142+M142-N142,G141+IF(I141=" ",0,I141)-J142-K142+M142-N142),IF('депозитный калькулятор'!$G$14="есть",G141-J142-K142+L142+M142-N142,G141-J142-K142+M142-N142)))</f>
        <v xml:space="preserve"> </v>
      </c>
      <c r="H142" s="133" t="str">
        <f>IF(F142&gt;'депозитный калькулятор'!$D$8," ",IF(AND(OR('депозитный калькулятор'!$G$7="30/365",'депозитный калькулятор'!$G$7="30/360"),AND(MONTH(F142)=2,EOMONTH(F142,0)=F142)),IF(DAY(F142)=28,3*G142*'депозитный калькулятор'!$G$8,2*G142*'депозитный калькулятор'!$G$8),IF(AND(OR('депозитный калькулятор'!$G$7="30/365",'депозитный калькулятор'!$G$7="30/360"),DAY(F142)=31)," ",IF(AND('депозитный калькулятор'!$G$7="факт/факт",MOD(YEAR(F142),4)=0),G142*'депозитный калькулятор'!$D$11/366,G142*'депозитный калькулятор'!$G$8))))</f>
        <v xml:space="preserve"> </v>
      </c>
      <c r="I142" s="134" t="str">
        <f ca="1">IF(F142=" "," ",IF('депозитный калькулятор'!$G$10="ежедневное",H142,IF(AND('депозитный калькулятор'!$G$10="еженедельное",WEEKDAY(F142,2)=7),SUM(OFFSET(H142,-6,0):H142),IF(AND('депозитный калькулятор'!$G$10="еженедельное",F142='депозитный калькулятор'!$D$8),SUM($H$23:H142)-SUM($I$23:I141),IF(AND('депозитный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недели",WEEKDAY(F142,2)=7),MIN(OFFSET(H142,-6,0):H142)*(COUNTIF(OFFSET(H142,-6,0):H142,"&gt;0")+SUMIF(OFFSET(A142,-WEEKDAY(F142,2),0):A142,"=2",OFFSET(A142,-WEEKDAY(F142,2),0):A142)),IF(AND('депозитный калькулятор'!$G$10="еженедельное, на минимальную сумму зафиксированную в течение недели",F142='депозитный калькулятор'!$D$8,WEEKDAY(F142,2)&lt;&gt;7),MIN(OFFSET(H142,-WEEKDAY(F142,2),0):H142)*(COUNTIF(OFFSET(H142,-WEEKDAY(F142,2)+1,0):H142,"&gt;0")+SUM(OFFSET(A142,-WEEKDAY(F142,2),0):A142)),IF(AND('депозитный калькулятор'!$G$10="ежемесячное (в конце месяца)",F142='депозитный калькулятор'!$D$8,EOMONTH(F142,0)&lt;&gt;F142),IF('депозитный калькулятор'!$F$1=1,$H$24,SUM($H$23:H142)-SUM($I$23:I141)),IF(AND('депозитный калькулятор'!$G$10="ежемесячное (в конце месяца)",EOMONTH(F142,0)=F142),SUM($H$23:H142)-SUM($I$23:I141),IF(AND('депозитный калькулятор'!$G$10="ежемесячное (по дням открытия вклада)",F142='депозитный калькулятор'!$D$8,DAY('депозитный калькулятор'!$D$7)&lt;&gt;DAY(F142)),IF('депозитный калькулятор'!$F$1=1,$H$24,SUM($H$23:H142)-SUM($I$23:I141)),IF(AND('депозитный калькулятор'!$G$10="ежемесячное (по дням открытия вклада)",DAY('депозитный калькулятор'!$D$7)=DAY(F142)),SUM($H$23:H142)-SUM($I$23:I141),IF(AND('депозитный калькулятор'!$G$10="ежемесячное, на минимальную сумму зафиксированную в течение месяца",F142='депозитный калькулятор'!$D$8,EOMONTH(F142,0)&lt;&gt;F142),IF('депозитный калькулятор'!$F$1=1,$H$24,IF(AND(OR('депозитный калькулятор'!$G$7="30/365",'депозитный калькулятор'!$G$7="30/360"),DAY(F142)=31),0,MIN(OFFSET(H142,-E142+1,0):H142)*(E142+SUMIF(OFFSET(A142,-E142+1,0):A142,"=2",OFFSET(A142,-E142+1,0):A142)))),IF(AND('депозитный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калькулятор'!$G$7="30/360"),DAY(EOMONTH(F142,0))=31),EOMONTH(F142,0)-1=F142,EOMONTH(F142,0)=F142)),IF(IF(AND(OR('депозитный калькулятор'!$G$7="30/365",'депозитный калькулятор'!$G$7="30/360"),DAY(EOMONTH($F$23,0))=31),F142=EOMONTH($F$23,0)-1,F142=EOMONTH($F$23,0)),MIN(OFFSET(H142,-(DAY(F142)-DAY($F$23)),0):H142)*E142,MIN(OFFSET(H142,-(DAY(F142)-1),0):H142)*IF(AND(OR('депозитный калькулятор'!$G$7="30/365",'депозитный калькулятор'!$G$7="30/360"),DAY(F142)&lt;30),30,DAY(F142))),IF(AND('депозитный калькулятор'!$G$10="ежемесячное, на средний остаток в течение месяца, при условии что остаток больше чем ограничение",F142='депозитный калькулятор'!$D$8,EOMONTH(F142,0)&lt;&gt;F142),IF('депозитный калькулятор'!$F$1=1,$H$24,SUM(OFFSET(Q142,-E142+1,0):Q142)),IF(AND('депозитный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калькулятор'!$G$7="30/360"),DAY(EOMONTH(F142,0))=31),EOMONTH(F142,0)-1=F142,EOMONTH(F142,0)=F142)),IF(IF(AND(OR('депозитный калькулятор'!$G$7="30/365",'депозитный калькулятор'!$G$7="30/360"),DAY(EOMONTH($F$24,0))=31),F142=EOMONTH($F$24,0)-1,F142=EOMONTH($F$24,0)),SUM(OFFSET(Q142,-E142+1,0):Q142),SUM(OFFSET(Q142,-E142+1,0):Q142)),IF('депозитный калькулятор'!$G$10="ежеквартальное",IF(F142&gt;'депозитный калькулятор'!$D$8," ",IF(AND(EOMONTH(F142,0)=F142,OR(MONTH(F142)=3,MONTH(F142)=6,MONTH(F142)=9,MONTH(F142)=12)),IF(EDATE(F142,-3)&lt;'депозитный калькулятор'!$D$7,SUM($H$23:H142),IF(MOD(YEAR(F142),4)=0,IF(AND(EOMONTH(F142,0)=F142,OR(MONTH(F142)=3,MONTH(F142)=6)),SUM(OFFSET(H142,-90,0):H142),IF(AND(EOMONTH(F142,0)=F142,OR(MONTH(F142)=9,MONTH(F142)=12)),SUM(OFFSET(H142,-91,0):H142))),IF(AND(EOMONTH(F142,0)=F142,MONTH(F142)=3),SUM(OFFSET(H142,-89,0):H142),IF(AND(EOMONTH(F142,0)=F142,MONTH(F142)=6),SUM(OFFSET(H142,-90,0):H142),IF(AND(EOMONTH(F142,0)=F142,OR(MONTH(F142)=9,MONTH(F142)=12)),SUM(OFFSET(H142,-91,0):H142)))))),IF(F142='депозитный калькулятор'!$D$8,SUM($H$23:H142)-SUM($I$23:I141),0))),IF('депозитный калькулятор'!$G$10="ежегодное",IF(F142&gt;'депозитный калькулятор'!$D$8," ",IF(F142='депозитный калькулятор'!$D$8,SUM($H$23:H142)-SUM($I$23:I141),IF(AND(EOMONTH(F142,0)=F142,MONTH(F142)=12),IF(MOD(YEAR(F141),4)=0,IF(F142-'депозитный калькулятор'!$D$7&lt;366,SUM($H$23:H142),SUM(OFFSET(H142,-365,0):H142)),IF(F142-'депозитный калькулятор'!$D$7&lt;365,SUM($H$23:H142),SUM(OFFSET(H142,-364,0):H142))),0))),IF(AND('депозитный калькулятор'!$G$10="в конце срока",'депозитный калькулятор'!$D$8=F142),SUM($H$23:H142),0))))))))))))))))))</f>
        <v xml:space="preserve"> </v>
      </c>
      <c r="J142" s="59" t="str">
        <f>IF(F142&gt;'депозитный калькулятор'!$D$8," ",IF('депозитный калькулятор'!$G$16="нет",0,IF(AND('депозитный калькулятор'!$G$17="разовая (в конце срока)",F142='депозитный калькулятор'!$D$8),'депозитный калькулятор'!$G$18,IF(AND('депозитный калькулятор'!$G$17="ежемесячная",EOMONTH(F141,0)=F141),'депозитный калькулятор'!$G$18,IF(AND('депозитный калькулятор'!$G$17="ежегодная",DAY(F141)=31,MONTH(F141)=12),'депозитный калькулятор'!$G$18,IF(AND('депозитный калькулятор'!$G$17="ежемесячная в зависимости от остатка",EOMONTH(F141,0)=F141,P141&gt;0),'депозитный калькулятор'!$G$18,IF(AND('депозитный калькулятор'!$G$17="ежегодная в зависимости от остатка",DAY(F141)=31,MONTH(F141)=12,P141&gt;0),'депозитный калькулятор'!$G$18,0)))))))</f>
        <v xml:space="preserve"> </v>
      </c>
      <c r="K142" s="135" t="str">
        <f>IF($F142=" "," ",IFERROR(VLOOKUP($F142,'депозитный калькулятор'!$B$26:$F$70,2,0),0))</f>
        <v xml:space="preserve"> </v>
      </c>
      <c r="L142" s="135" t="str">
        <f>IF($F142=" "," ",IFERROR(VLOOKUP($F142,'депозитный калькулятор'!$B$26:$F$70,3,0),0))</f>
        <v xml:space="preserve"> </v>
      </c>
      <c r="M142" s="135" t="str">
        <f>IF($F142=" "," ",IFERROR(VLOOKUP($F142,'депозитный калькулятор'!$B$26:$F$70,4,0),0))</f>
        <v xml:space="preserve"> </v>
      </c>
      <c r="N142" s="135" t="str">
        <f>IF($F142=" "," ",IFERROR(VLOOKUP($F142,'депозитный калькулятор'!$B$26:$F$70,5,0),0))</f>
        <v xml:space="preserve"> </v>
      </c>
      <c r="O142" s="146" t="str">
        <f>IF(F142&gt;'депозитный калькулятор'!$D$8," ",IF(F142='депозитный калькулятор'!$D$8,IF(AND($F$24='депозитный калькулятор'!$D$8,'депозитный калькулятор'!$G$13="нет"),-G142-IF(I142=" ",0,I142)-IF(AND(OR('депозитный калькулятор'!$G$7="30/365",'депозитный калькулятор'!$G$7="30/360"),'депозитный калькулятор'!$G$10="в начале срока"),I141,0)-L142+M142-N142,-G142-IF(I142=" ",0,I142)-L142+M142-N142),IF('депозитный калькулятор'!$G$13="есть",M142-N142+IF('депозитный калькулятор'!$G$14="есть",0,-L142),-IF(I142=" ",0,I142)-IF(AND(OR('депозитный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срока"),I141,0)+M142-N142+IF('депозитный калькулятор'!$G$14="есть",0,-L142))))</f>
        <v xml:space="preserve"> </v>
      </c>
      <c r="P142" s="147" t="str">
        <f>IF(F142&gt;'депозитный калькулятор'!$D$8," ",IF(EOMONTH(F141,0)=F141,0,IF(G142&gt;='депозитный калькулятор'!$G$19,P141,P141+1)))</f>
        <v xml:space="preserve"> </v>
      </c>
      <c r="Q142" s="138" t="str">
        <f>IF(F142=" "," ",IF(AND(OR('депозитный калькулятор'!$G$7="30/365",'депозитный калькулятор'!$G$7="30/360"),AND(MONTH(F142)=2,EOMONTH(F142,0)=F142)),IF(DAY(F142)=28,3,2),1)*IF(G142&gt;='депозитный калькулятор'!$G$11,IF(AND('депозитный калькулятор'!$G$7="факт/факт",MOD(YEAR(F142),4)=0),G142*'депозитный калькулятор'!$D$11/366,G142*'депозитный калькулятор'!$G$8),0))</f>
        <v xml:space="preserve"> </v>
      </c>
      <c r="R142" s="148"/>
      <c r="S142" s="62" t="str">
        <f t="shared" ca="1" si="7"/>
        <v xml:space="preserve"> </v>
      </c>
      <c r="T142" s="149" t="str">
        <f ca="1">IF(S142=" "," ",IF('депозитный калькулятор'!$G$7="30/360",DAYS360(U141,IF(DAY(U142)=31,U142-1,U142))+IF(AND(MONTH(U142)=2,U142=EOMONTH(U142,0)),30-DAY(EOMONTH(U142,0)))+T141,VLOOKUP(S142,$C$22:$F$1023,2,0)))</f>
        <v xml:space="preserve"> </v>
      </c>
      <c r="U142" s="64" t="str">
        <f t="shared" ca="1" si="5"/>
        <v xml:space="preserve"> </v>
      </c>
      <c r="V142" s="150" t="str">
        <f t="shared" ca="1" si="8"/>
        <v xml:space="preserve"> </v>
      </c>
      <c r="W142" s="62" t="str">
        <f t="shared" ca="1" si="9"/>
        <v xml:space="preserve"> </v>
      </c>
      <c r="X142" s="141" t="str">
        <f ca="1">IF(S142=" "," ",IFERROR(VLOOKUP(U142,$F$23:$N$1023,7)+VLOOKUP(U142,$F$23:$N$1023,9)+IF(AND('депозитный калькулятор'!$G$13="нет",U142&lt;&gt;'депозитный калькулятор'!$D$8),VLOOKUP(U142,$F$23:$N$1023,4),0),0)+IF(U142='депозитный калькулятор'!$D$8,VLOOKUP(U142,$F$23:$N$1023,2)+VLOOKUP(U142,$F$23:$N$1023,4),0))</f>
        <v xml:space="preserve"> </v>
      </c>
      <c r="Y142" s="142" t="str">
        <f ca="1">IF(S142=" "," ",W142/(1+'депозитный калькулятор'!$K$8)^(T142/IF('депозитный калькулятор'!$G$7="30/360",360,365)))</f>
        <v xml:space="preserve"> </v>
      </c>
      <c r="Z142" s="142" t="str">
        <f ca="1">IF(S142=" "," ",X142/(1+'депозитный калькулятор'!$K$8)^(T142/IF('депозитный калькулятор'!$G$7="30/360",360,365)))</f>
        <v xml:space="preserve"> </v>
      </c>
      <c r="AA142" s="151"/>
      <c r="AB142" s="151"/>
      <c r="AC142" s="155"/>
      <c r="AD142" s="155"/>
    </row>
    <row r="143" spans="1:30" s="2" customFormat="1" ht="15.5" x14ac:dyDescent="0.35">
      <c r="A143" s="41" t="str">
        <f>IF(F143=" "," ",IF(OR('депозитный калькулятор'!$G$7="30/365",'депозитный калькулятор'!$G$7="30/360"),IF(AND(MONTH(F143)=2,DAY(F143)=DAY(EOMONTH(F143,0))),30-DAY(EOMONTH(F143,0)),IF(DAY(F143)=31,1," "))," "))</f>
        <v xml:space="preserve"> </v>
      </c>
      <c r="B143" s="130" t="str">
        <f t="shared" si="6"/>
        <v xml:space="preserve"> </v>
      </c>
      <c r="C143" s="130" t="str">
        <f>IF(OR(B143=0,B143=" ")," ",SUM($B$23:B143))</f>
        <v xml:space="preserve"> </v>
      </c>
      <c r="D143" s="62" t="str">
        <f>IF(D142=" "," ",IF(OR(F142='депозитный калькулятор'!$D$8,F142=" ")," ",D142+1))</f>
        <v xml:space="preserve"> </v>
      </c>
      <c r="E143" s="130" t="str">
        <f>IF(OR(F142='депозитный калькулятор'!$D$8,F142=" ")," ",IF(EOMONTH(F142,0)=F142,1,E142+1))</f>
        <v xml:space="preserve"> </v>
      </c>
      <c r="F143" s="64" t="str">
        <f>IF(F142=" "," ",IF(F142='депозитный калькулятор'!$D$8," ",F142+1))</f>
        <v xml:space="preserve"> </v>
      </c>
      <c r="G143" s="145" t="str">
        <f xml:space="preserve"> IF(F143&gt;'депозитный калькулятор'!$D$8," ",IF('депозитный калькулятор'!$G$13="есть",IF('депозитный калькулятор'!$G$14="есть",G142+IF(I142=" ",0,I142)-J143-K143+L143+M143-N143,G142+IF(I142=" ",0,I142)-J143-K143+M143-N143),IF('депозитный калькулятор'!$G$14="есть",G142-J143-K143+L143+M143-N143,G142-J143-K143+M143-N143)))</f>
        <v xml:space="preserve"> </v>
      </c>
      <c r="H143" s="133" t="str">
        <f>IF(F143&gt;'депозитный калькулятор'!$D$8," ",IF(AND(OR('депозитный калькулятор'!$G$7="30/365",'депозитный калькулятор'!$G$7="30/360"),AND(MONTH(F143)=2,EOMONTH(F143,0)=F143)),IF(DAY(F143)=28,3*G143*'депозитный калькулятор'!$G$8,2*G143*'депозитный калькулятор'!$G$8),IF(AND(OR('депозитный калькулятор'!$G$7="30/365",'депозитный калькулятор'!$G$7="30/360"),DAY(F143)=31)," ",IF(AND('депозитный калькулятор'!$G$7="факт/факт",MOD(YEAR(F143),4)=0),G143*'депозитный калькулятор'!$D$11/366,G143*'депозитный калькулятор'!$G$8))))</f>
        <v xml:space="preserve"> </v>
      </c>
      <c r="I143" s="134" t="str">
        <f ca="1">IF(F143=" "," ",IF('депозитный калькулятор'!$G$10="ежедневное",H143,IF(AND('депозитный калькулятор'!$G$10="еженедельное",WEEKDAY(F143,2)=7),SUM(OFFSET(H143,-6,0):H143),IF(AND('депозитный калькулятор'!$G$10="еженедельное",F143='депозитный калькулятор'!$D$8),SUM($H$23:H143)-SUM($I$23:I142),IF(AND('депозитный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недели",WEEKDAY(F143,2)=7),MIN(OFFSET(H143,-6,0):H143)*(COUNTIF(OFFSET(H143,-6,0):H143,"&gt;0")+SUMIF(OFFSET(A143,-WEEKDAY(F143,2),0):A143,"=2",OFFSET(A143,-WEEKDAY(F143,2),0):A143)),IF(AND('депозитный калькулятор'!$G$10="еженедельное, на минимальную сумму зафиксированную в течение недели",F143='депозитный калькулятор'!$D$8,WEEKDAY(F143,2)&lt;&gt;7),MIN(OFFSET(H143,-WEEKDAY(F143,2),0):H143)*(COUNTIF(OFFSET(H143,-WEEKDAY(F143,2)+1,0):H143,"&gt;0")+SUM(OFFSET(A143,-WEEKDAY(F143,2),0):A143)),IF(AND('депозитный калькулятор'!$G$10="ежемесячное (в конце месяца)",F143='депозитный калькулятор'!$D$8,EOMONTH(F143,0)&lt;&gt;F143),IF('депозитный калькулятор'!$F$1=1,$H$24,SUM($H$23:H143)-SUM($I$23:I142)),IF(AND('депозитный калькулятор'!$G$10="ежемесячное (в конце месяца)",EOMONTH(F143,0)=F143),SUM($H$23:H143)-SUM($I$23:I142),IF(AND('депозитный калькулятор'!$G$10="ежемесячное (по дням открытия вклада)",F143='депозитный калькулятор'!$D$8,DAY('депозитный калькулятор'!$D$7)&lt;&gt;DAY(F143)),IF('депозитный калькулятор'!$F$1=1,$H$24,SUM($H$23:H143)-SUM($I$23:I142)),IF(AND('депозитный калькулятор'!$G$10="ежемесячное (по дням открытия вклада)",DAY('депозитный калькулятор'!$D$7)=DAY(F143)),SUM($H$23:H143)-SUM($I$23:I142),IF(AND('депозитный калькулятор'!$G$10="ежемесячное, на минимальную сумму зафиксированную в течение месяца",F143='депозитный калькулятор'!$D$8,EOMONTH(F143,0)&lt;&gt;F143),IF('депозитный калькулятор'!$F$1=1,$H$24,IF(AND(OR('депозитный калькулятор'!$G$7="30/365",'депозитный калькулятор'!$G$7="30/360"),DAY(F143)=31),0,MIN(OFFSET(H143,-E143+1,0):H143)*(E143+SUMIF(OFFSET(A143,-E143+1,0):A143,"=2",OFFSET(A143,-E143+1,0):A143)))),IF(AND('депозитный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калькулятор'!$G$7="30/360"),DAY(EOMONTH(F143,0))=31),EOMONTH(F143,0)-1=F143,EOMONTH(F143,0)=F143)),IF(IF(AND(OR('депозитный калькулятор'!$G$7="30/365",'депозитный калькулятор'!$G$7="30/360"),DAY(EOMONTH($F$23,0))=31),F143=EOMONTH($F$23,0)-1,F143=EOMONTH($F$23,0)),MIN(OFFSET(H143,-(DAY(F143)-DAY($F$23)),0):H143)*E143,MIN(OFFSET(H143,-(DAY(F143)-1),0):H143)*IF(AND(OR('депозитный калькулятор'!$G$7="30/365",'депозитный калькулятор'!$G$7="30/360"),DAY(F143)&lt;30),30,DAY(F143))),IF(AND('депозитный калькулятор'!$G$10="ежемесячное, на средний остаток в течение месяца, при условии что остаток больше чем ограничение",F143='депозитный калькулятор'!$D$8,EOMONTH(F143,0)&lt;&gt;F143),IF('депозитный калькулятор'!$F$1=1,$H$24,SUM(OFFSET(Q143,-E143+1,0):Q143)),IF(AND('депозитный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калькулятор'!$G$7="30/360"),DAY(EOMONTH(F143,0))=31),EOMONTH(F143,0)-1=F143,EOMONTH(F143,0)=F143)),IF(IF(AND(OR('депозитный калькулятор'!$G$7="30/365",'депозитный калькулятор'!$G$7="30/360"),DAY(EOMONTH($F$24,0))=31),F143=EOMONTH($F$24,0)-1,F143=EOMONTH($F$24,0)),SUM(OFFSET(Q143,-E143+1,0):Q143),SUM(OFFSET(Q143,-E143+1,0):Q143)),IF('депозитный калькулятор'!$G$10="ежеквартальное",IF(F143&gt;'депозитный калькулятор'!$D$8," ",IF(AND(EOMONTH(F143,0)=F143,OR(MONTH(F143)=3,MONTH(F143)=6,MONTH(F143)=9,MONTH(F143)=12)),IF(EDATE(F143,-3)&lt;'депозитный калькулятор'!$D$7,SUM($H$23:H143),IF(MOD(YEAR(F143),4)=0,IF(AND(EOMONTH(F143,0)=F143,OR(MONTH(F143)=3,MONTH(F143)=6)),SUM(OFFSET(H143,-90,0):H143),IF(AND(EOMONTH(F143,0)=F143,OR(MONTH(F143)=9,MONTH(F143)=12)),SUM(OFFSET(H143,-91,0):H143))),IF(AND(EOMONTH(F143,0)=F143,MONTH(F143)=3),SUM(OFFSET(H143,-89,0):H143),IF(AND(EOMONTH(F143,0)=F143,MONTH(F143)=6),SUM(OFFSET(H143,-90,0):H143),IF(AND(EOMONTH(F143,0)=F143,OR(MONTH(F143)=9,MONTH(F143)=12)),SUM(OFFSET(H143,-91,0):H143)))))),IF(F143='депозитный калькулятор'!$D$8,SUM($H$23:H143)-SUM($I$23:I142),0))),IF('депозитный калькулятор'!$G$10="ежегодное",IF(F143&gt;'депозитный калькулятор'!$D$8," ",IF(F143='депозитный калькулятор'!$D$8,SUM($H$23:H143)-SUM($I$23:I142),IF(AND(EOMONTH(F143,0)=F143,MONTH(F143)=12),IF(MOD(YEAR(F142),4)=0,IF(F143-'депозитный калькулятор'!$D$7&lt;366,SUM($H$23:H143),SUM(OFFSET(H143,-365,0):H143)),IF(F143-'депозитный калькулятор'!$D$7&lt;365,SUM($H$23:H143),SUM(OFFSET(H143,-364,0):H143))),0))),IF(AND('депозитный калькулятор'!$G$10="в конце срока",'депозитный калькулятор'!$D$8=F143),SUM($H$23:H143),0))))))))))))))))))</f>
        <v xml:space="preserve"> </v>
      </c>
      <c r="J143" s="59" t="str">
        <f>IF(F143&gt;'депозитный калькулятор'!$D$8," ",IF('депозитный калькулятор'!$G$16="нет",0,IF(AND('депозитный калькулятор'!$G$17="разовая (в конце срока)",F143='депозитный калькулятор'!$D$8),'депозитный калькулятор'!$G$18,IF(AND('депозитный калькулятор'!$G$17="ежемесячная",EOMONTH(F142,0)=F142),'депозитный калькулятор'!$G$18,IF(AND('депозитный калькулятор'!$G$17="ежегодная",DAY(F142)=31,MONTH(F142)=12),'депозитный калькулятор'!$G$18,IF(AND('депозитный калькулятор'!$G$17="ежемесячная в зависимости от остатка",EOMONTH(F142,0)=F142,P142&gt;0),'депозитный калькулятор'!$G$18,IF(AND('депозитный калькулятор'!$G$17="ежегодная в зависимости от остатка",DAY(F142)=31,MONTH(F142)=12,P142&gt;0),'депозитный калькулятор'!$G$18,0)))))))</f>
        <v xml:space="preserve"> </v>
      </c>
      <c r="K143" s="135" t="str">
        <f>IF($F143=" "," ",IFERROR(VLOOKUP($F143,'депозитный калькулятор'!$B$26:$F$70,2,0),0))</f>
        <v xml:space="preserve"> </v>
      </c>
      <c r="L143" s="135" t="str">
        <f>IF($F143=" "," ",IFERROR(VLOOKUP($F143,'депозитный калькулятор'!$B$26:$F$70,3,0),0))</f>
        <v xml:space="preserve"> </v>
      </c>
      <c r="M143" s="135" t="str">
        <f>IF($F143=" "," ",IFERROR(VLOOKUP($F143,'депозитный калькулятор'!$B$26:$F$70,4,0),0))</f>
        <v xml:space="preserve"> </v>
      </c>
      <c r="N143" s="135" t="str">
        <f>IF($F143=" "," ",IFERROR(VLOOKUP($F143,'депозитный калькулятор'!$B$26:$F$70,5,0),0))</f>
        <v xml:space="preserve"> </v>
      </c>
      <c r="O143" s="146" t="str">
        <f>IF(F143&gt;'депозитный калькулятор'!$D$8," ",IF(F143='депозитный калькулятор'!$D$8,IF(AND($F$24='депозитный калькулятор'!$D$8,'депозитный калькулятор'!$G$13="нет"),-G143-IF(I143=" ",0,I143)-IF(AND(OR('депозитный калькулятор'!$G$7="30/365",'депозитный калькулятор'!$G$7="30/360"),'депозитный калькулятор'!$G$10="в начале срока"),I142,0)-L143+M143-N143,-G143-IF(I143=" ",0,I143)-L143+M143-N143),IF('депозитный калькулятор'!$G$13="есть",M143-N143+IF('депозитный калькулятор'!$G$14="есть",0,-L143),-IF(I143=" ",0,I143)-IF(AND(OR('депозитный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срока"),I142,0)+M143-N143+IF('депозитный калькулятор'!$G$14="есть",0,-L143))))</f>
        <v xml:space="preserve"> </v>
      </c>
      <c r="P143" s="147" t="str">
        <f>IF(F143&gt;'депозитный калькулятор'!$D$8," ",IF(EOMONTH(F142,0)=F142,0,IF(G143&gt;='депозитный калькулятор'!$G$19,P142,P142+1)))</f>
        <v xml:space="preserve"> </v>
      </c>
      <c r="Q143" s="138" t="str">
        <f>IF(F143=" "," ",IF(AND(OR('депозитный калькулятор'!$G$7="30/365",'депозитный калькулятор'!$G$7="30/360"),AND(MONTH(F143)=2,EOMONTH(F143,0)=F143)),IF(DAY(F143)=28,3,2),1)*IF(G143&gt;='депозитный калькулятор'!$G$11,IF(AND('депозитный калькулятор'!$G$7="факт/факт",MOD(YEAR(F143),4)=0),G143*'депозитный калькулятор'!$D$11/366,G143*'депозитный калькулятор'!$G$8),0))</f>
        <v xml:space="preserve"> </v>
      </c>
      <c r="R143" s="148"/>
      <c r="S143" s="62" t="str">
        <f t="shared" ca="1" si="7"/>
        <v xml:space="preserve"> </v>
      </c>
      <c r="T143" s="149" t="str">
        <f ca="1">IF(S143=" "," ",IF('депозитный калькулятор'!$G$7="30/360",DAYS360(U142,IF(DAY(U143)=31,U143-1,U143))+IF(AND(MONTH(U143)=2,U143=EOMONTH(U143,0)),30-DAY(EOMONTH(U143,0)))+T142,VLOOKUP(S143,$C$22:$F$1023,2,0)))</f>
        <v xml:space="preserve"> </v>
      </c>
      <c r="U143" s="64" t="str">
        <f t="shared" ca="1" si="5"/>
        <v xml:space="preserve"> </v>
      </c>
      <c r="V143" s="150" t="str">
        <f t="shared" ca="1" si="8"/>
        <v xml:space="preserve"> </v>
      </c>
      <c r="W143" s="62" t="str">
        <f t="shared" ca="1" si="9"/>
        <v xml:space="preserve"> </v>
      </c>
      <c r="X143" s="141" t="str">
        <f ca="1">IF(S143=" "," ",IFERROR(VLOOKUP(U143,$F$23:$N$1023,7)+VLOOKUP(U143,$F$23:$N$1023,9)+IF(AND('депозитный калькулятор'!$G$13="нет",U143&lt;&gt;'депозитный калькулятор'!$D$8),VLOOKUP(U143,$F$23:$N$1023,4),0),0)+IF(U143='депозитный калькулятор'!$D$8,VLOOKUP(U143,$F$23:$N$1023,2)+VLOOKUP(U143,$F$23:$N$1023,4),0))</f>
        <v xml:space="preserve"> </v>
      </c>
      <c r="Y143" s="142" t="str">
        <f ca="1">IF(S143=" "," ",W143/(1+'депозитный калькулятор'!$K$8)^(T143/IF('депозитный калькулятор'!$G$7="30/360",360,365)))</f>
        <v xml:space="preserve"> </v>
      </c>
      <c r="Z143" s="142" t="str">
        <f ca="1">IF(S143=" "," ",X143/(1+'депозитный калькулятор'!$K$8)^(T143/IF('депозитный калькулятор'!$G$7="30/360",360,365)))</f>
        <v xml:space="preserve"> </v>
      </c>
      <c r="AA143" s="151"/>
      <c r="AB143" s="151"/>
      <c r="AC143" s="155"/>
      <c r="AD143" s="155"/>
    </row>
    <row r="144" spans="1:30" s="2" customFormat="1" ht="15.5" x14ac:dyDescent="0.35">
      <c r="A144" s="41" t="str">
        <f>IF(F144=" "," ",IF(OR('депозитный калькулятор'!$G$7="30/365",'депозитный калькулятор'!$G$7="30/360"),IF(AND(MONTH(F144)=2,DAY(F144)=DAY(EOMONTH(F144,0))),30-DAY(EOMONTH(F144,0)),IF(DAY(F144)=31,1," "))," "))</f>
        <v xml:space="preserve"> </v>
      </c>
      <c r="B144" s="130" t="str">
        <f t="shared" si="6"/>
        <v xml:space="preserve"> </v>
      </c>
      <c r="C144" s="130" t="str">
        <f>IF(OR(B144=0,B144=" ")," ",SUM($B$23:B144))</f>
        <v xml:space="preserve"> </v>
      </c>
      <c r="D144" s="62" t="str">
        <f>IF(D143=" "," ",IF(OR(F143='депозитный калькулятор'!$D$8,F143=" ")," ",D143+1))</f>
        <v xml:space="preserve"> </v>
      </c>
      <c r="E144" s="130" t="str">
        <f>IF(OR(F143='депозитный калькулятор'!$D$8,F143=" ")," ",IF(EOMONTH(F143,0)=F143,1,E143+1))</f>
        <v xml:space="preserve"> </v>
      </c>
      <c r="F144" s="64" t="str">
        <f>IF(F143=" "," ",IF(F143='депозитный калькулятор'!$D$8," ",F143+1))</f>
        <v xml:space="preserve"> </v>
      </c>
      <c r="G144" s="145" t="str">
        <f xml:space="preserve"> IF(F144&gt;'депозитный калькулятор'!$D$8," ",IF('депозитный калькулятор'!$G$13="есть",IF('депозитный калькулятор'!$G$14="есть",G143+IF(I143=" ",0,I143)-J144-K144+L144+M144-N144,G143+IF(I143=" ",0,I143)-J144-K144+M144-N144),IF('депозитный калькулятор'!$G$14="есть",G143-J144-K144+L144+M144-N144,G143-J144-K144+M144-N144)))</f>
        <v xml:space="preserve"> </v>
      </c>
      <c r="H144" s="133" t="str">
        <f>IF(F144&gt;'депозитный калькулятор'!$D$8," ",IF(AND(OR('депозитный калькулятор'!$G$7="30/365",'депозитный калькулятор'!$G$7="30/360"),AND(MONTH(F144)=2,EOMONTH(F144,0)=F144)),IF(DAY(F144)=28,3*G144*'депозитный калькулятор'!$G$8,2*G144*'депозитный калькулятор'!$G$8),IF(AND(OR('депозитный калькулятор'!$G$7="30/365",'депозитный калькулятор'!$G$7="30/360"),DAY(F144)=31)," ",IF(AND('депозитный калькулятор'!$G$7="факт/факт",MOD(YEAR(F144),4)=0),G144*'депозитный калькулятор'!$D$11/366,G144*'депозитный калькулятор'!$G$8))))</f>
        <v xml:space="preserve"> </v>
      </c>
      <c r="I144" s="134" t="str">
        <f ca="1">IF(F144=" "," ",IF('депозитный калькулятор'!$G$10="ежедневное",H144,IF(AND('депозитный калькулятор'!$G$10="еженедельное",WEEKDAY(F144,2)=7),SUM(OFFSET(H144,-6,0):H144),IF(AND('депозитный калькулятор'!$G$10="еженедельное",F144='депозитный калькулятор'!$D$8),SUM($H$23:H144)-SUM($I$23:I143),IF(AND('депозитный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недели",WEEKDAY(F144,2)=7),MIN(OFFSET(H144,-6,0):H144)*(COUNTIF(OFFSET(H144,-6,0):H144,"&gt;0")+SUMIF(OFFSET(A144,-WEEKDAY(F144,2),0):A144,"=2",OFFSET(A144,-WEEKDAY(F144,2),0):A144)),IF(AND('депозитный калькулятор'!$G$10="еженедельное, на минимальную сумму зафиксированную в течение недели",F144='депозитный калькулятор'!$D$8,WEEKDAY(F144,2)&lt;&gt;7),MIN(OFFSET(H144,-WEEKDAY(F144,2),0):H144)*(COUNTIF(OFFSET(H144,-WEEKDAY(F144,2)+1,0):H144,"&gt;0")+SUM(OFFSET(A144,-WEEKDAY(F144,2),0):A144)),IF(AND('депозитный калькулятор'!$G$10="ежемесячное (в конце месяца)",F144='депозитный калькулятор'!$D$8,EOMONTH(F144,0)&lt;&gt;F144),IF('депозитный калькулятор'!$F$1=1,$H$24,SUM($H$23:H144)-SUM($I$23:I143)),IF(AND('депозитный калькулятор'!$G$10="ежемесячное (в конце месяца)",EOMONTH(F144,0)=F144),SUM($H$23:H144)-SUM($I$23:I143),IF(AND('депозитный калькулятор'!$G$10="ежемесячное (по дням открытия вклада)",F144='депозитный калькулятор'!$D$8,DAY('депозитный калькулятор'!$D$7)&lt;&gt;DAY(F144)),IF('депозитный калькулятор'!$F$1=1,$H$24,SUM($H$23:H144)-SUM($I$23:I143)),IF(AND('депозитный калькулятор'!$G$10="ежемесячное (по дням открытия вклада)",DAY('депозитный калькулятор'!$D$7)=DAY(F144)),SUM($H$23:H144)-SUM($I$23:I143),IF(AND('депозитный калькулятор'!$G$10="ежемесячное, на минимальную сумму зафиксированную в течение месяца",F144='депозитный калькулятор'!$D$8,EOMONTH(F144,0)&lt;&gt;F144),IF('депозитный калькулятор'!$F$1=1,$H$24,IF(AND(OR('депозитный калькулятор'!$G$7="30/365",'депозитный калькулятор'!$G$7="30/360"),DAY(F144)=31),0,MIN(OFFSET(H144,-E144+1,0):H144)*(E144+SUMIF(OFFSET(A144,-E144+1,0):A144,"=2",OFFSET(A144,-E144+1,0):A144)))),IF(AND('депозитный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калькулятор'!$G$7="30/360"),DAY(EOMONTH(F144,0))=31),EOMONTH(F144,0)-1=F144,EOMONTH(F144,0)=F144)),IF(IF(AND(OR('депозитный калькулятор'!$G$7="30/365",'депозитный калькулятор'!$G$7="30/360"),DAY(EOMONTH($F$23,0))=31),F144=EOMONTH($F$23,0)-1,F144=EOMONTH($F$23,0)),MIN(OFFSET(H144,-(DAY(F144)-DAY($F$23)),0):H144)*E144,MIN(OFFSET(H144,-(DAY(F144)-1),0):H144)*IF(AND(OR('депозитный калькулятор'!$G$7="30/365",'депозитный калькулятор'!$G$7="30/360"),DAY(F144)&lt;30),30,DAY(F144))),IF(AND('депозитный калькулятор'!$G$10="ежемесячное, на средний остаток в течение месяца, при условии что остаток больше чем ограничение",F144='депозитный калькулятор'!$D$8,EOMONTH(F144,0)&lt;&gt;F144),IF('депозитный калькулятор'!$F$1=1,$H$24,SUM(OFFSET(Q144,-E144+1,0):Q144)),IF(AND('депозитный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калькулятор'!$G$7="30/360"),DAY(EOMONTH(F144,0))=31),EOMONTH(F144,0)-1=F144,EOMONTH(F144,0)=F144)),IF(IF(AND(OR('депозитный калькулятор'!$G$7="30/365",'депозитный калькулятор'!$G$7="30/360"),DAY(EOMONTH($F$24,0))=31),F144=EOMONTH($F$24,0)-1,F144=EOMONTH($F$24,0)),SUM(OFFSET(Q144,-E144+1,0):Q144),SUM(OFFSET(Q144,-E144+1,0):Q144)),IF('депозитный калькулятор'!$G$10="ежеквартальное",IF(F144&gt;'депозитный калькулятор'!$D$8," ",IF(AND(EOMONTH(F144,0)=F144,OR(MONTH(F144)=3,MONTH(F144)=6,MONTH(F144)=9,MONTH(F144)=12)),IF(EDATE(F144,-3)&lt;'депозитный калькулятор'!$D$7,SUM($H$23:H144),IF(MOD(YEAR(F144),4)=0,IF(AND(EOMONTH(F144,0)=F144,OR(MONTH(F144)=3,MONTH(F144)=6)),SUM(OFFSET(H144,-90,0):H144),IF(AND(EOMONTH(F144,0)=F144,OR(MONTH(F144)=9,MONTH(F144)=12)),SUM(OFFSET(H144,-91,0):H144))),IF(AND(EOMONTH(F144,0)=F144,MONTH(F144)=3),SUM(OFFSET(H144,-89,0):H144),IF(AND(EOMONTH(F144,0)=F144,MONTH(F144)=6),SUM(OFFSET(H144,-90,0):H144),IF(AND(EOMONTH(F144,0)=F144,OR(MONTH(F144)=9,MONTH(F144)=12)),SUM(OFFSET(H144,-91,0):H144)))))),IF(F144='депозитный калькулятор'!$D$8,SUM($H$23:H144)-SUM($I$23:I143),0))),IF('депозитный калькулятор'!$G$10="ежегодное",IF(F144&gt;'депозитный калькулятор'!$D$8," ",IF(F144='депозитный калькулятор'!$D$8,SUM($H$23:H144)-SUM($I$23:I143),IF(AND(EOMONTH(F144,0)=F144,MONTH(F144)=12),IF(MOD(YEAR(F143),4)=0,IF(F144-'депозитный калькулятор'!$D$7&lt;366,SUM($H$23:H144),SUM(OFFSET(H144,-365,0):H144)),IF(F144-'депозитный калькулятор'!$D$7&lt;365,SUM($H$23:H144),SUM(OFFSET(H144,-364,0):H144))),0))),IF(AND('депозитный калькулятор'!$G$10="в конце срока",'депозитный калькулятор'!$D$8=F144),SUM($H$23:H144),0))))))))))))))))))</f>
        <v xml:space="preserve"> </v>
      </c>
      <c r="J144" s="59" t="str">
        <f>IF(F144&gt;'депозитный калькулятор'!$D$8," ",IF('депозитный калькулятор'!$G$16="нет",0,IF(AND('депозитный калькулятор'!$G$17="разовая (в конце срока)",F144='депозитный калькулятор'!$D$8),'депозитный калькулятор'!$G$18,IF(AND('депозитный калькулятор'!$G$17="ежемесячная",EOMONTH(F143,0)=F143),'депозитный калькулятор'!$G$18,IF(AND('депозитный калькулятор'!$G$17="ежегодная",DAY(F143)=31,MONTH(F143)=12),'депозитный калькулятор'!$G$18,IF(AND('депозитный калькулятор'!$G$17="ежемесячная в зависимости от остатка",EOMONTH(F143,0)=F143,P143&gt;0),'депозитный калькулятор'!$G$18,IF(AND('депозитный калькулятор'!$G$17="ежегодная в зависимости от остатка",DAY(F143)=31,MONTH(F143)=12,P143&gt;0),'депозитный калькулятор'!$G$18,0)))))))</f>
        <v xml:space="preserve"> </v>
      </c>
      <c r="K144" s="135" t="str">
        <f>IF($F144=" "," ",IFERROR(VLOOKUP($F144,'депозитный калькулятор'!$B$26:$F$70,2,0),0))</f>
        <v xml:space="preserve"> </v>
      </c>
      <c r="L144" s="135" t="str">
        <f>IF($F144=" "," ",IFERROR(VLOOKUP($F144,'депозитный калькулятор'!$B$26:$F$70,3,0),0))</f>
        <v xml:space="preserve"> </v>
      </c>
      <c r="M144" s="135" t="str">
        <f>IF($F144=" "," ",IFERROR(VLOOKUP($F144,'депозитный калькулятор'!$B$26:$F$70,4,0),0))</f>
        <v xml:space="preserve"> </v>
      </c>
      <c r="N144" s="135" t="str">
        <f>IF($F144=" "," ",IFERROR(VLOOKUP($F144,'депозитный калькулятор'!$B$26:$F$70,5,0),0))</f>
        <v xml:space="preserve"> </v>
      </c>
      <c r="O144" s="146" t="str">
        <f>IF(F144&gt;'депозитный калькулятор'!$D$8," ",IF(F144='депозитный калькулятор'!$D$8,IF(AND($F$24='депозитный калькулятор'!$D$8,'депозитный калькулятор'!$G$13="нет"),-G144-IF(I144=" ",0,I144)-IF(AND(OR('депозитный калькулятор'!$G$7="30/365",'депозитный калькулятор'!$G$7="30/360"),'депозитный калькулятор'!$G$10="в начале срока"),I143,0)-L144+M144-N144,-G144-IF(I144=" ",0,I144)-L144+M144-N144),IF('депозитный калькулятор'!$G$13="есть",M144-N144+IF('депозитный калькулятор'!$G$14="есть",0,-L144),-IF(I144=" ",0,I144)-IF(AND(OR('депозитный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срока"),I143,0)+M144-N144+IF('депозитный калькулятор'!$G$14="есть",0,-L144))))</f>
        <v xml:space="preserve"> </v>
      </c>
      <c r="P144" s="147" t="str">
        <f>IF(F144&gt;'депозитный калькулятор'!$D$8," ",IF(EOMONTH(F143,0)=F143,0,IF(G144&gt;='депозитный калькулятор'!$G$19,P143,P143+1)))</f>
        <v xml:space="preserve"> </v>
      </c>
      <c r="Q144" s="138" t="str">
        <f>IF(F144=" "," ",IF(AND(OR('депозитный калькулятор'!$G$7="30/365",'депозитный калькулятор'!$G$7="30/360"),AND(MONTH(F144)=2,EOMONTH(F144,0)=F144)),IF(DAY(F144)=28,3,2),1)*IF(G144&gt;='депозитный калькулятор'!$G$11,IF(AND('депозитный калькулятор'!$G$7="факт/факт",MOD(YEAR(F144),4)=0),G144*'депозитный калькулятор'!$D$11/366,G144*'депозитный калькулятор'!$G$8),0))</f>
        <v xml:space="preserve"> </v>
      </c>
      <c r="R144" s="148"/>
      <c r="S144" s="62" t="str">
        <f t="shared" ca="1" si="7"/>
        <v xml:space="preserve"> </v>
      </c>
      <c r="T144" s="149" t="str">
        <f ca="1">IF(S144=" "," ",IF('депозитный калькулятор'!$G$7="30/360",DAYS360(U143,IF(DAY(U144)=31,U144-1,U144))+IF(AND(MONTH(U144)=2,U144=EOMONTH(U144,0)),30-DAY(EOMONTH(U144,0)))+T143,VLOOKUP(S144,$C$22:$F$1023,2,0)))</f>
        <v xml:space="preserve"> </v>
      </c>
      <c r="U144" s="64" t="str">
        <f t="shared" ca="1" si="5"/>
        <v xml:space="preserve"> </v>
      </c>
      <c r="V144" s="150" t="str">
        <f t="shared" ca="1" si="8"/>
        <v xml:space="preserve"> </v>
      </c>
      <c r="W144" s="62" t="str">
        <f t="shared" ca="1" si="9"/>
        <v xml:space="preserve"> </v>
      </c>
      <c r="X144" s="141" t="str">
        <f ca="1">IF(S144=" "," ",IFERROR(VLOOKUP(U144,$F$23:$N$1023,7)+VLOOKUP(U144,$F$23:$N$1023,9)+IF(AND('депозитный калькулятор'!$G$13="нет",U144&lt;&gt;'депозитный калькулятор'!$D$8),VLOOKUP(U144,$F$23:$N$1023,4),0),0)+IF(U144='депозитный калькулятор'!$D$8,VLOOKUP(U144,$F$23:$N$1023,2)+VLOOKUP(U144,$F$23:$N$1023,4),0))</f>
        <v xml:space="preserve"> </v>
      </c>
      <c r="Y144" s="142" t="str">
        <f ca="1">IF(S144=" "," ",W144/(1+'депозитный калькулятор'!$K$8)^(T144/IF('депозитный калькулятор'!$G$7="30/360",360,365)))</f>
        <v xml:space="preserve"> </v>
      </c>
      <c r="Z144" s="142" t="str">
        <f ca="1">IF(S144=" "," ",X144/(1+'депозитный калькулятор'!$K$8)^(T144/IF('депозитный калькулятор'!$G$7="30/360",360,365)))</f>
        <v xml:space="preserve"> </v>
      </c>
      <c r="AA144" s="151"/>
      <c r="AB144" s="151"/>
      <c r="AC144" s="155"/>
      <c r="AD144" s="155"/>
    </row>
    <row r="145" spans="1:30" s="2" customFormat="1" ht="15.5" x14ac:dyDescent="0.35">
      <c r="A145" s="41" t="str">
        <f>IF(F145=" "," ",IF(OR('депозитный калькулятор'!$G$7="30/365",'депозитный калькулятор'!$G$7="30/360"),IF(AND(MONTH(F145)=2,DAY(F145)=DAY(EOMONTH(F145,0))),30-DAY(EOMONTH(F145,0)),IF(DAY(F145)=31,1," "))," "))</f>
        <v xml:space="preserve"> </v>
      </c>
      <c r="B145" s="130" t="str">
        <f t="shared" si="6"/>
        <v xml:space="preserve"> </v>
      </c>
      <c r="C145" s="130" t="str">
        <f>IF(OR(B145=0,B145=" ")," ",SUM($B$23:B145))</f>
        <v xml:space="preserve"> </v>
      </c>
      <c r="D145" s="62" t="str">
        <f>IF(D144=" "," ",IF(OR(F144='депозитный калькулятор'!$D$8,F144=" ")," ",D144+1))</f>
        <v xml:space="preserve"> </v>
      </c>
      <c r="E145" s="130" t="str">
        <f>IF(OR(F144='депозитный калькулятор'!$D$8,F144=" ")," ",IF(EOMONTH(F144,0)=F144,1,E144+1))</f>
        <v xml:space="preserve"> </v>
      </c>
      <c r="F145" s="64" t="str">
        <f>IF(F144=" "," ",IF(F144='депозитный калькулятор'!$D$8," ",F144+1))</f>
        <v xml:space="preserve"> </v>
      </c>
      <c r="G145" s="145" t="str">
        <f xml:space="preserve"> IF(F145&gt;'депозитный калькулятор'!$D$8," ",IF('депозитный калькулятор'!$G$13="есть",IF('депозитный калькулятор'!$G$14="есть",G144+IF(I144=" ",0,I144)-J145-K145+L145+M145-N145,G144+IF(I144=" ",0,I144)-J145-K145+M145-N145),IF('депозитный калькулятор'!$G$14="есть",G144-J145-K145+L145+M145-N145,G144-J145-K145+M145-N145)))</f>
        <v xml:space="preserve"> </v>
      </c>
      <c r="H145" s="133" t="str">
        <f>IF(F145&gt;'депозитный калькулятор'!$D$8," ",IF(AND(OR('депозитный калькулятор'!$G$7="30/365",'депозитный калькулятор'!$G$7="30/360"),AND(MONTH(F145)=2,EOMONTH(F145,0)=F145)),IF(DAY(F145)=28,3*G145*'депозитный калькулятор'!$G$8,2*G145*'депозитный калькулятор'!$G$8),IF(AND(OR('депозитный калькулятор'!$G$7="30/365",'депозитный калькулятор'!$G$7="30/360"),DAY(F145)=31)," ",IF(AND('депозитный калькулятор'!$G$7="факт/факт",MOD(YEAR(F145),4)=0),G145*'депозитный калькулятор'!$D$11/366,G145*'депозитный калькулятор'!$G$8))))</f>
        <v xml:space="preserve"> </v>
      </c>
      <c r="I145" s="134" t="str">
        <f ca="1">IF(F145=" "," ",IF('депозитный калькулятор'!$G$10="ежедневное",H145,IF(AND('депозитный калькулятор'!$G$10="еженедельное",WEEKDAY(F145,2)=7),SUM(OFFSET(H145,-6,0):H145),IF(AND('депозитный калькулятор'!$G$10="еженедельное",F145='депозитный калькулятор'!$D$8),SUM($H$23:H145)-SUM($I$23:I144),IF(AND('депозитный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недели",WEEKDAY(F145,2)=7),MIN(OFFSET(H145,-6,0):H145)*(COUNTIF(OFFSET(H145,-6,0):H145,"&gt;0")+SUMIF(OFFSET(A145,-WEEKDAY(F145,2),0):A145,"=2",OFFSET(A145,-WEEKDAY(F145,2),0):A145)),IF(AND('депозитный калькулятор'!$G$10="еженедельное, на минимальную сумму зафиксированную в течение недели",F145='депозитный калькулятор'!$D$8,WEEKDAY(F145,2)&lt;&gt;7),MIN(OFFSET(H145,-WEEKDAY(F145,2),0):H145)*(COUNTIF(OFFSET(H145,-WEEKDAY(F145,2)+1,0):H145,"&gt;0")+SUM(OFFSET(A145,-WEEKDAY(F145,2),0):A145)),IF(AND('депозитный калькулятор'!$G$10="ежемесячное (в конце месяца)",F145='депозитный калькулятор'!$D$8,EOMONTH(F145,0)&lt;&gt;F145),IF('депозитный калькулятор'!$F$1=1,$H$24,SUM($H$23:H145)-SUM($I$23:I144)),IF(AND('депозитный калькулятор'!$G$10="ежемесячное (в конце месяца)",EOMONTH(F145,0)=F145),SUM($H$23:H145)-SUM($I$23:I144),IF(AND('депозитный калькулятор'!$G$10="ежемесячное (по дням открытия вклада)",F145='депозитный калькулятор'!$D$8,DAY('депозитный калькулятор'!$D$7)&lt;&gt;DAY(F145)),IF('депозитный калькулятор'!$F$1=1,$H$24,SUM($H$23:H145)-SUM($I$23:I144)),IF(AND('депозитный калькулятор'!$G$10="ежемесячное (по дням открытия вклада)",DAY('депозитный калькулятор'!$D$7)=DAY(F145)),SUM($H$23:H145)-SUM($I$23:I144),IF(AND('депозитный калькулятор'!$G$10="ежемесячное, на минимальную сумму зафиксированную в течение месяца",F145='депозитный калькулятор'!$D$8,EOMONTH(F145,0)&lt;&gt;F145),IF('депозитный калькулятор'!$F$1=1,$H$24,IF(AND(OR('депозитный калькулятор'!$G$7="30/365",'депозитный калькулятор'!$G$7="30/360"),DAY(F145)=31),0,MIN(OFFSET(H145,-E145+1,0):H145)*(E145+SUMIF(OFFSET(A145,-E145+1,0):A145,"=2",OFFSET(A145,-E145+1,0):A145)))),IF(AND('депозитный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калькулятор'!$G$7="30/360"),DAY(EOMONTH(F145,0))=31),EOMONTH(F145,0)-1=F145,EOMONTH(F145,0)=F145)),IF(IF(AND(OR('депозитный калькулятор'!$G$7="30/365",'депозитный калькулятор'!$G$7="30/360"),DAY(EOMONTH($F$23,0))=31),F145=EOMONTH($F$23,0)-1,F145=EOMONTH($F$23,0)),MIN(OFFSET(H145,-(DAY(F145)-DAY($F$23)),0):H145)*E145,MIN(OFFSET(H145,-(DAY(F145)-1),0):H145)*IF(AND(OR('депозитный калькулятор'!$G$7="30/365",'депозитный калькулятор'!$G$7="30/360"),DAY(F145)&lt;30),30,DAY(F145))),IF(AND('депозитный калькулятор'!$G$10="ежемесячное, на средний остаток в течение месяца, при условии что остаток больше чем ограничение",F145='депозитный калькулятор'!$D$8,EOMONTH(F145,0)&lt;&gt;F145),IF('депозитный калькулятор'!$F$1=1,$H$24,SUM(OFFSET(Q145,-E145+1,0):Q145)),IF(AND('депозитный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калькулятор'!$G$7="30/360"),DAY(EOMONTH(F145,0))=31),EOMONTH(F145,0)-1=F145,EOMONTH(F145,0)=F145)),IF(IF(AND(OR('депозитный калькулятор'!$G$7="30/365",'депозитный калькулятор'!$G$7="30/360"),DAY(EOMONTH($F$24,0))=31),F145=EOMONTH($F$24,0)-1,F145=EOMONTH($F$24,0)),SUM(OFFSET(Q145,-E145+1,0):Q145),SUM(OFFSET(Q145,-E145+1,0):Q145)),IF('депозитный калькулятор'!$G$10="ежеквартальное",IF(F145&gt;'депозитный калькулятор'!$D$8," ",IF(AND(EOMONTH(F145,0)=F145,OR(MONTH(F145)=3,MONTH(F145)=6,MONTH(F145)=9,MONTH(F145)=12)),IF(EDATE(F145,-3)&lt;'депозитный калькулятор'!$D$7,SUM($H$23:H145),IF(MOD(YEAR(F145),4)=0,IF(AND(EOMONTH(F145,0)=F145,OR(MONTH(F145)=3,MONTH(F145)=6)),SUM(OFFSET(H145,-90,0):H145),IF(AND(EOMONTH(F145,0)=F145,OR(MONTH(F145)=9,MONTH(F145)=12)),SUM(OFFSET(H145,-91,0):H145))),IF(AND(EOMONTH(F145,0)=F145,MONTH(F145)=3),SUM(OFFSET(H145,-89,0):H145),IF(AND(EOMONTH(F145,0)=F145,MONTH(F145)=6),SUM(OFFSET(H145,-90,0):H145),IF(AND(EOMONTH(F145,0)=F145,OR(MONTH(F145)=9,MONTH(F145)=12)),SUM(OFFSET(H145,-91,0):H145)))))),IF(F145='депозитный калькулятор'!$D$8,SUM($H$23:H145)-SUM($I$23:I144),0))),IF('депозитный калькулятор'!$G$10="ежегодное",IF(F145&gt;'депозитный калькулятор'!$D$8," ",IF(F145='депозитный калькулятор'!$D$8,SUM($H$23:H145)-SUM($I$23:I144),IF(AND(EOMONTH(F145,0)=F145,MONTH(F145)=12),IF(MOD(YEAR(F144),4)=0,IF(F145-'депозитный калькулятор'!$D$7&lt;366,SUM($H$23:H145),SUM(OFFSET(H145,-365,0):H145)),IF(F145-'депозитный калькулятор'!$D$7&lt;365,SUM($H$23:H145),SUM(OFFSET(H145,-364,0):H145))),0))),IF(AND('депозитный калькулятор'!$G$10="в конце срока",'депозитный калькулятор'!$D$8=F145),SUM($H$23:H145),0))))))))))))))))))</f>
        <v xml:space="preserve"> </v>
      </c>
      <c r="J145" s="59" t="str">
        <f>IF(F145&gt;'депозитный калькулятор'!$D$8," ",IF('депозитный калькулятор'!$G$16="нет",0,IF(AND('депозитный калькулятор'!$G$17="разовая (в конце срока)",F145='депозитный калькулятор'!$D$8),'депозитный калькулятор'!$G$18,IF(AND('депозитный калькулятор'!$G$17="ежемесячная",EOMONTH(F144,0)=F144),'депозитный калькулятор'!$G$18,IF(AND('депозитный калькулятор'!$G$17="ежегодная",DAY(F144)=31,MONTH(F144)=12),'депозитный калькулятор'!$G$18,IF(AND('депозитный калькулятор'!$G$17="ежемесячная в зависимости от остатка",EOMONTH(F144,0)=F144,P144&gt;0),'депозитный калькулятор'!$G$18,IF(AND('депозитный калькулятор'!$G$17="ежегодная в зависимости от остатка",DAY(F144)=31,MONTH(F144)=12,P144&gt;0),'депозитный калькулятор'!$G$18,0)))))))</f>
        <v xml:space="preserve"> </v>
      </c>
      <c r="K145" s="135" t="str">
        <f>IF($F145=" "," ",IFERROR(VLOOKUP($F145,'депозитный калькулятор'!$B$26:$F$70,2,0),0))</f>
        <v xml:space="preserve"> </v>
      </c>
      <c r="L145" s="135" t="str">
        <f>IF($F145=" "," ",IFERROR(VLOOKUP($F145,'депозитный калькулятор'!$B$26:$F$70,3,0),0))</f>
        <v xml:space="preserve"> </v>
      </c>
      <c r="M145" s="135" t="str">
        <f>IF($F145=" "," ",IFERROR(VLOOKUP($F145,'депозитный калькулятор'!$B$26:$F$70,4,0),0))</f>
        <v xml:space="preserve"> </v>
      </c>
      <c r="N145" s="135" t="str">
        <f>IF($F145=" "," ",IFERROR(VLOOKUP($F145,'депозитный калькулятор'!$B$26:$F$70,5,0),0))</f>
        <v xml:space="preserve"> </v>
      </c>
      <c r="O145" s="146" t="str">
        <f>IF(F145&gt;'депозитный калькулятор'!$D$8," ",IF(F145='депозитный калькулятор'!$D$8,IF(AND($F$24='депозитный калькулятор'!$D$8,'депозитный калькулятор'!$G$13="нет"),-G145-IF(I145=" ",0,I145)-IF(AND(OR('депозитный калькулятор'!$G$7="30/365",'депозитный калькулятор'!$G$7="30/360"),'депозитный калькулятор'!$G$10="в начале срока"),I144,0)-L145+M145-N145,-G145-IF(I145=" ",0,I145)-L145+M145-N145),IF('депозитный калькулятор'!$G$13="есть",M145-N145+IF('депозитный калькулятор'!$G$14="есть",0,-L145),-IF(I145=" ",0,I145)-IF(AND(OR('депозитный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срока"),I144,0)+M145-N145+IF('депозитный калькулятор'!$G$14="есть",0,-L145))))</f>
        <v xml:space="preserve"> </v>
      </c>
      <c r="P145" s="147" t="str">
        <f>IF(F145&gt;'депозитный калькулятор'!$D$8," ",IF(EOMONTH(F144,0)=F144,0,IF(G145&gt;='депозитный калькулятор'!$G$19,P144,P144+1)))</f>
        <v xml:space="preserve"> </v>
      </c>
      <c r="Q145" s="138" t="str">
        <f>IF(F145=" "," ",IF(AND(OR('депозитный калькулятор'!$G$7="30/365",'депозитный калькулятор'!$G$7="30/360"),AND(MONTH(F145)=2,EOMONTH(F145,0)=F145)),IF(DAY(F145)=28,3,2),1)*IF(G145&gt;='депозитный калькулятор'!$G$11,IF(AND('депозитный калькулятор'!$G$7="факт/факт",MOD(YEAR(F145),4)=0),G145*'депозитный калькулятор'!$D$11/366,G145*'депозитный калькулятор'!$G$8),0))</f>
        <v xml:space="preserve"> </v>
      </c>
      <c r="R145" s="148"/>
      <c r="S145" s="62" t="str">
        <f t="shared" ca="1" si="7"/>
        <v xml:space="preserve"> </v>
      </c>
      <c r="T145" s="149" t="str">
        <f ca="1">IF(S145=" "," ",IF('депозитный калькулятор'!$G$7="30/360",DAYS360(U144,IF(DAY(U145)=31,U145-1,U145))+IF(AND(MONTH(U145)=2,U145=EOMONTH(U145,0)),30-DAY(EOMONTH(U145,0)))+T144,VLOOKUP(S145,$C$22:$F$1023,2,0)))</f>
        <v xml:space="preserve"> </v>
      </c>
      <c r="U145" s="64" t="str">
        <f t="shared" ca="1" si="5"/>
        <v xml:space="preserve"> </v>
      </c>
      <c r="V145" s="150" t="str">
        <f t="shared" ca="1" si="8"/>
        <v xml:space="preserve"> </v>
      </c>
      <c r="W145" s="62" t="str">
        <f t="shared" ca="1" si="9"/>
        <v xml:space="preserve"> </v>
      </c>
      <c r="X145" s="141" t="str">
        <f ca="1">IF(S145=" "," ",IFERROR(VLOOKUP(U145,$F$23:$N$1023,7)+VLOOKUP(U145,$F$23:$N$1023,9)+IF(AND('депозитный калькулятор'!$G$13="нет",U145&lt;&gt;'депозитный калькулятор'!$D$8),VLOOKUP(U145,$F$23:$N$1023,4),0),0)+IF(U145='депозитный калькулятор'!$D$8,VLOOKUP(U145,$F$23:$N$1023,2)+VLOOKUP(U145,$F$23:$N$1023,4),0))</f>
        <v xml:space="preserve"> </v>
      </c>
      <c r="Y145" s="142" t="str">
        <f ca="1">IF(S145=" "," ",W145/(1+'депозитный калькулятор'!$K$8)^(T145/IF('депозитный калькулятор'!$G$7="30/360",360,365)))</f>
        <v xml:space="preserve"> </v>
      </c>
      <c r="Z145" s="142" t="str">
        <f ca="1">IF(S145=" "," ",X145/(1+'депозитный калькулятор'!$K$8)^(T145/IF('депозитный калькулятор'!$G$7="30/360",360,365)))</f>
        <v xml:space="preserve"> </v>
      </c>
      <c r="AA145" s="151"/>
      <c r="AB145" s="151"/>
      <c r="AC145" s="155"/>
      <c r="AD145" s="155"/>
    </row>
    <row r="146" spans="1:30" s="2" customFormat="1" ht="15.5" x14ac:dyDescent="0.35">
      <c r="A146" s="41" t="str">
        <f>IF(F146=" "," ",IF(OR('депозитный калькулятор'!$G$7="30/365",'депозитный калькулятор'!$G$7="30/360"),IF(AND(MONTH(F146)=2,DAY(F146)=DAY(EOMONTH(F146,0))),30-DAY(EOMONTH(F146,0)),IF(DAY(F146)=31,1," "))," "))</f>
        <v xml:space="preserve"> </v>
      </c>
      <c r="B146" s="130" t="str">
        <f t="shared" si="6"/>
        <v xml:space="preserve"> </v>
      </c>
      <c r="C146" s="130" t="str">
        <f>IF(OR(B146=0,B146=" ")," ",SUM($B$23:B146))</f>
        <v xml:space="preserve"> </v>
      </c>
      <c r="D146" s="62" t="str">
        <f>IF(D145=" "," ",IF(OR(F145='депозитный калькулятор'!$D$8,F145=" ")," ",D145+1))</f>
        <v xml:space="preserve"> </v>
      </c>
      <c r="E146" s="130" t="str">
        <f>IF(OR(F145='депозитный калькулятор'!$D$8,F145=" ")," ",IF(EOMONTH(F145,0)=F145,1,E145+1))</f>
        <v xml:space="preserve"> </v>
      </c>
      <c r="F146" s="64" t="str">
        <f>IF(F145=" "," ",IF(F145='депозитный калькулятор'!$D$8," ",F145+1))</f>
        <v xml:space="preserve"> </v>
      </c>
      <c r="G146" s="145" t="str">
        <f xml:space="preserve"> IF(F146&gt;'депозитный калькулятор'!$D$8," ",IF('депозитный калькулятор'!$G$13="есть",IF('депозитный калькулятор'!$G$14="есть",G145+IF(I145=" ",0,I145)-J146-K146+L146+M146-N146,G145+IF(I145=" ",0,I145)-J146-K146+M146-N146),IF('депозитный калькулятор'!$G$14="есть",G145-J146-K146+L146+M146-N146,G145-J146-K146+M146-N146)))</f>
        <v xml:space="preserve"> </v>
      </c>
      <c r="H146" s="133" t="str">
        <f>IF(F146&gt;'депозитный калькулятор'!$D$8," ",IF(AND(OR('депозитный калькулятор'!$G$7="30/365",'депозитный калькулятор'!$G$7="30/360"),AND(MONTH(F146)=2,EOMONTH(F146,0)=F146)),IF(DAY(F146)=28,3*G146*'депозитный калькулятор'!$G$8,2*G146*'депозитный калькулятор'!$G$8),IF(AND(OR('депозитный калькулятор'!$G$7="30/365",'депозитный калькулятор'!$G$7="30/360"),DAY(F146)=31)," ",IF(AND('депозитный калькулятор'!$G$7="факт/факт",MOD(YEAR(F146),4)=0),G146*'депозитный калькулятор'!$D$11/366,G146*'депозитный калькулятор'!$G$8))))</f>
        <v xml:space="preserve"> </v>
      </c>
      <c r="I146" s="134" t="str">
        <f ca="1">IF(F146=" "," ",IF('депозитный калькулятор'!$G$10="ежедневное",H146,IF(AND('депозитный калькулятор'!$G$10="еженедельное",WEEKDAY(F146,2)=7),SUM(OFFSET(H146,-6,0):H146),IF(AND('депозитный калькулятор'!$G$10="еженедельное",F146='депозитный калькулятор'!$D$8),SUM($H$23:H146)-SUM($I$23:I145),IF(AND('депозитный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недели",WEEKDAY(F146,2)=7),MIN(OFFSET(H146,-6,0):H146)*(COUNTIF(OFFSET(H146,-6,0):H146,"&gt;0")+SUMIF(OFFSET(A146,-WEEKDAY(F146,2),0):A146,"=2",OFFSET(A146,-WEEKDAY(F146,2),0):A146)),IF(AND('депозитный калькулятор'!$G$10="еженедельное, на минимальную сумму зафиксированную в течение недели",F146='депозитный калькулятор'!$D$8,WEEKDAY(F146,2)&lt;&gt;7),MIN(OFFSET(H146,-WEEKDAY(F146,2),0):H146)*(COUNTIF(OFFSET(H146,-WEEKDAY(F146,2)+1,0):H146,"&gt;0")+SUM(OFFSET(A146,-WEEKDAY(F146,2),0):A146)),IF(AND('депозитный калькулятор'!$G$10="ежемесячное (в конце месяца)",F146='депозитный калькулятор'!$D$8,EOMONTH(F146,0)&lt;&gt;F146),IF('депозитный калькулятор'!$F$1=1,$H$24,SUM($H$23:H146)-SUM($I$23:I145)),IF(AND('депозитный калькулятор'!$G$10="ежемесячное (в конце месяца)",EOMONTH(F146,0)=F146),SUM($H$23:H146)-SUM($I$23:I145),IF(AND('депозитный калькулятор'!$G$10="ежемесячное (по дням открытия вклада)",F146='депозитный калькулятор'!$D$8,DAY('депозитный калькулятор'!$D$7)&lt;&gt;DAY(F146)),IF('депозитный калькулятор'!$F$1=1,$H$24,SUM($H$23:H146)-SUM($I$23:I145)),IF(AND('депозитный калькулятор'!$G$10="ежемесячное (по дням открытия вклада)",DAY('депозитный калькулятор'!$D$7)=DAY(F146)),SUM($H$23:H146)-SUM($I$23:I145),IF(AND('депозитный калькулятор'!$G$10="ежемесячное, на минимальную сумму зафиксированную в течение месяца",F146='депозитный калькулятор'!$D$8,EOMONTH(F146,0)&lt;&gt;F146),IF('депозитный калькулятор'!$F$1=1,$H$24,IF(AND(OR('депозитный калькулятор'!$G$7="30/365",'депозитный калькулятор'!$G$7="30/360"),DAY(F146)=31),0,MIN(OFFSET(H146,-E146+1,0):H146)*(E146+SUMIF(OFFSET(A146,-E146+1,0):A146,"=2",OFFSET(A146,-E146+1,0):A146)))),IF(AND('депозитный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калькулятор'!$G$7="30/360"),DAY(EOMONTH(F146,0))=31),EOMONTH(F146,0)-1=F146,EOMONTH(F146,0)=F146)),IF(IF(AND(OR('депозитный калькулятор'!$G$7="30/365",'депозитный калькулятор'!$G$7="30/360"),DAY(EOMONTH($F$23,0))=31),F146=EOMONTH($F$23,0)-1,F146=EOMONTH($F$23,0)),MIN(OFFSET(H146,-(DAY(F146)-DAY($F$23)),0):H146)*E146,MIN(OFFSET(H146,-(DAY(F146)-1),0):H146)*IF(AND(OR('депозитный калькулятор'!$G$7="30/365",'депозитный калькулятор'!$G$7="30/360"),DAY(F146)&lt;30),30,DAY(F146))),IF(AND('депозитный калькулятор'!$G$10="ежемесячное, на средний остаток в течение месяца, при условии что остаток больше чем ограничение",F146='депозитный калькулятор'!$D$8,EOMONTH(F146,0)&lt;&gt;F146),IF('депозитный калькулятор'!$F$1=1,$H$24,SUM(OFFSET(Q146,-E146+1,0):Q146)),IF(AND('депозитный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калькулятор'!$G$7="30/360"),DAY(EOMONTH(F146,0))=31),EOMONTH(F146,0)-1=F146,EOMONTH(F146,0)=F146)),IF(IF(AND(OR('депозитный калькулятор'!$G$7="30/365",'депозитный калькулятор'!$G$7="30/360"),DAY(EOMONTH($F$24,0))=31),F146=EOMONTH($F$24,0)-1,F146=EOMONTH($F$24,0)),SUM(OFFSET(Q146,-E146+1,0):Q146),SUM(OFFSET(Q146,-E146+1,0):Q146)),IF('депозитный калькулятор'!$G$10="ежеквартальное",IF(F146&gt;'депозитный калькулятор'!$D$8," ",IF(AND(EOMONTH(F146,0)=F146,OR(MONTH(F146)=3,MONTH(F146)=6,MONTH(F146)=9,MONTH(F146)=12)),IF(EDATE(F146,-3)&lt;'депозитный калькулятор'!$D$7,SUM($H$23:H146),IF(MOD(YEAR(F146),4)=0,IF(AND(EOMONTH(F146,0)=F146,OR(MONTH(F146)=3,MONTH(F146)=6)),SUM(OFFSET(H146,-90,0):H146),IF(AND(EOMONTH(F146,0)=F146,OR(MONTH(F146)=9,MONTH(F146)=12)),SUM(OFFSET(H146,-91,0):H146))),IF(AND(EOMONTH(F146,0)=F146,MONTH(F146)=3),SUM(OFFSET(H146,-89,0):H146),IF(AND(EOMONTH(F146,0)=F146,MONTH(F146)=6),SUM(OFFSET(H146,-90,0):H146),IF(AND(EOMONTH(F146,0)=F146,OR(MONTH(F146)=9,MONTH(F146)=12)),SUM(OFFSET(H146,-91,0):H146)))))),IF(F146='депозитный калькулятор'!$D$8,SUM($H$23:H146)-SUM($I$23:I145),0))),IF('депозитный калькулятор'!$G$10="ежегодное",IF(F146&gt;'депозитный калькулятор'!$D$8," ",IF(F146='депозитный калькулятор'!$D$8,SUM($H$23:H146)-SUM($I$23:I145),IF(AND(EOMONTH(F146,0)=F146,MONTH(F146)=12),IF(MOD(YEAR(F145),4)=0,IF(F146-'депозитный калькулятор'!$D$7&lt;366,SUM($H$23:H146),SUM(OFFSET(H146,-365,0):H146)),IF(F146-'депозитный калькулятор'!$D$7&lt;365,SUM($H$23:H146),SUM(OFFSET(H146,-364,0):H146))),0))),IF(AND('депозитный калькулятор'!$G$10="в конце срока",'депозитный калькулятор'!$D$8=F146),SUM($H$23:H146),0))))))))))))))))))</f>
        <v xml:space="preserve"> </v>
      </c>
      <c r="J146" s="59" t="str">
        <f>IF(F146&gt;'депозитный калькулятор'!$D$8," ",IF('депозитный калькулятор'!$G$16="нет",0,IF(AND('депозитный калькулятор'!$G$17="разовая (в конце срока)",F146='депозитный калькулятор'!$D$8),'депозитный калькулятор'!$G$18,IF(AND('депозитный калькулятор'!$G$17="ежемесячная",EOMONTH(F145,0)=F145),'депозитный калькулятор'!$G$18,IF(AND('депозитный калькулятор'!$G$17="ежегодная",DAY(F145)=31,MONTH(F145)=12),'депозитный калькулятор'!$G$18,IF(AND('депозитный калькулятор'!$G$17="ежемесячная в зависимости от остатка",EOMONTH(F145,0)=F145,P145&gt;0),'депозитный калькулятор'!$G$18,IF(AND('депозитный калькулятор'!$G$17="ежегодная в зависимости от остатка",DAY(F145)=31,MONTH(F145)=12,P145&gt;0),'депозитный калькулятор'!$G$18,0)))))))</f>
        <v xml:space="preserve"> </v>
      </c>
      <c r="K146" s="135" t="str">
        <f>IF($F146=" "," ",IFERROR(VLOOKUP($F146,'депозитный калькулятор'!$B$26:$F$70,2,0),0))</f>
        <v xml:space="preserve"> </v>
      </c>
      <c r="L146" s="135" t="str">
        <f>IF($F146=" "," ",IFERROR(VLOOKUP($F146,'депозитный калькулятор'!$B$26:$F$70,3,0),0))</f>
        <v xml:space="preserve"> </v>
      </c>
      <c r="M146" s="135" t="str">
        <f>IF($F146=" "," ",IFERROR(VLOOKUP($F146,'депозитный калькулятор'!$B$26:$F$70,4,0),0))</f>
        <v xml:space="preserve"> </v>
      </c>
      <c r="N146" s="135" t="str">
        <f>IF($F146=" "," ",IFERROR(VLOOKUP($F146,'депозитный калькулятор'!$B$26:$F$70,5,0),0))</f>
        <v xml:space="preserve"> </v>
      </c>
      <c r="O146" s="146" t="str">
        <f>IF(F146&gt;'депозитный калькулятор'!$D$8," ",IF(F146='депозитный калькулятор'!$D$8,IF(AND($F$24='депозитный калькулятор'!$D$8,'депозитный калькулятор'!$G$13="нет"),-G146-IF(I146=" ",0,I146)-IF(AND(OR('депозитный калькулятор'!$G$7="30/365",'депозитный калькулятор'!$G$7="30/360"),'депозитный калькулятор'!$G$10="в начале срока"),I145,0)-L146+M146-N146,-G146-IF(I146=" ",0,I146)-L146+M146-N146),IF('депозитный калькулятор'!$G$13="есть",M146-N146+IF('депозитный калькулятор'!$G$14="есть",0,-L146),-IF(I146=" ",0,I146)-IF(AND(OR('депозитный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срока"),I145,0)+M146-N146+IF('депозитный калькулятор'!$G$14="есть",0,-L146))))</f>
        <v xml:space="preserve"> </v>
      </c>
      <c r="P146" s="147" t="str">
        <f>IF(F146&gt;'депозитный калькулятор'!$D$8," ",IF(EOMONTH(F145,0)=F145,0,IF(G146&gt;='депозитный калькулятор'!$G$19,P145,P145+1)))</f>
        <v xml:space="preserve"> </v>
      </c>
      <c r="Q146" s="138" t="str">
        <f>IF(F146=" "," ",IF(AND(OR('депозитный калькулятор'!$G$7="30/365",'депозитный калькулятор'!$G$7="30/360"),AND(MONTH(F146)=2,EOMONTH(F146,0)=F146)),IF(DAY(F146)=28,3,2),1)*IF(G146&gt;='депозитный калькулятор'!$G$11,IF(AND('депозитный калькулятор'!$G$7="факт/факт",MOD(YEAR(F146),4)=0),G146*'депозитный калькулятор'!$D$11/366,G146*'депозитный калькулятор'!$G$8),0))</f>
        <v xml:space="preserve"> </v>
      </c>
      <c r="R146" s="148"/>
      <c r="S146" s="62" t="str">
        <f t="shared" ca="1" si="7"/>
        <v xml:space="preserve"> </v>
      </c>
      <c r="T146" s="149" t="str">
        <f ca="1">IF(S146=" "," ",IF('депозитный калькулятор'!$G$7="30/360",DAYS360(U145,IF(DAY(U146)=31,U146-1,U146))+IF(AND(MONTH(U146)=2,U146=EOMONTH(U146,0)),30-DAY(EOMONTH(U146,0)))+T145,VLOOKUP(S146,$C$22:$F$1023,2,0)))</f>
        <v xml:space="preserve"> </v>
      </c>
      <c r="U146" s="64" t="str">
        <f t="shared" ca="1" si="5"/>
        <v xml:space="preserve"> </v>
      </c>
      <c r="V146" s="150" t="str">
        <f t="shared" ca="1" si="8"/>
        <v xml:space="preserve"> </v>
      </c>
      <c r="W146" s="62" t="str">
        <f t="shared" ca="1" si="9"/>
        <v xml:space="preserve"> </v>
      </c>
      <c r="X146" s="141" t="str">
        <f ca="1">IF(S146=" "," ",IFERROR(VLOOKUP(U146,$F$23:$N$1023,7)+VLOOKUP(U146,$F$23:$N$1023,9)+IF(AND('депозитный калькулятор'!$G$13="нет",U146&lt;&gt;'депозитный калькулятор'!$D$8),VLOOKUP(U146,$F$23:$N$1023,4),0),0)+IF(U146='депозитный калькулятор'!$D$8,VLOOKUP(U146,$F$23:$N$1023,2)+VLOOKUP(U146,$F$23:$N$1023,4),0))</f>
        <v xml:space="preserve"> </v>
      </c>
      <c r="Y146" s="142" t="str">
        <f ca="1">IF(S146=" "," ",W146/(1+'депозитный калькулятор'!$K$8)^(T146/IF('депозитный калькулятор'!$G$7="30/360",360,365)))</f>
        <v xml:space="preserve"> </v>
      </c>
      <c r="Z146" s="142" t="str">
        <f ca="1">IF(S146=" "," ",X146/(1+'депозитный калькулятор'!$K$8)^(T146/IF('депозитный калькулятор'!$G$7="30/360",360,365)))</f>
        <v xml:space="preserve"> </v>
      </c>
      <c r="AA146" s="151"/>
      <c r="AB146" s="151"/>
      <c r="AC146" s="155"/>
      <c r="AD146" s="155"/>
    </row>
    <row r="147" spans="1:30" s="2" customFormat="1" ht="15.5" x14ac:dyDescent="0.35">
      <c r="A147" s="41" t="str">
        <f>IF(F147=" "," ",IF(OR('депозитный калькулятор'!$G$7="30/365",'депозитный калькулятор'!$G$7="30/360"),IF(AND(MONTH(F147)=2,DAY(F147)=DAY(EOMONTH(F147,0))),30-DAY(EOMONTH(F147,0)),IF(DAY(F147)=31,1," "))," "))</f>
        <v xml:space="preserve"> </v>
      </c>
      <c r="B147" s="130" t="str">
        <f t="shared" si="6"/>
        <v xml:space="preserve"> </v>
      </c>
      <c r="C147" s="130" t="str">
        <f>IF(OR(B147=0,B147=" ")," ",SUM($B$23:B147))</f>
        <v xml:space="preserve"> </v>
      </c>
      <c r="D147" s="62" t="str">
        <f>IF(D146=" "," ",IF(OR(F146='депозитный калькулятор'!$D$8,F146=" ")," ",D146+1))</f>
        <v xml:space="preserve"> </v>
      </c>
      <c r="E147" s="130" t="str">
        <f>IF(OR(F146='депозитный калькулятор'!$D$8,F146=" ")," ",IF(EOMONTH(F146,0)=F146,1,E146+1))</f>
        <v xml:space="preserve"> </v>
      </c>
      <c r="F147" s="64" t="str">
        <f>IF(F146=" "," ",IF(F146='депозитный калькулятор'!$D$8," ",F146+1))</f>
        <v xml:space="preserve"> </v>
      </c>
      <c r="G147" s="145" t="str">
        <f xml:space="preserve"> IF(F147&gt;'депозитный калькулятор'!$D$8," ",IF('депозитный калькулятор'!$G$13="есть",IF('депозитный калькулятор'!$G$14="есть",G146+IF(I146=" ",0,I146)-J147-K147+L147+M147-N147,G146+IF(I146=" ",0,I146)-J147-K147+M147-N147),IF('депозитный калькулятор'!$G$14="есть",G146-J147-K147+L147+M147-N147,G146-J147-K147+M147-N147)))</f>
        <v xml:space="preserve"> </v>
      </c>
      <c r="H147" s="133" t="str">
        <f>IF(F147&gt;'депозитный калькулятор'!$D$8," ",IF(AND(OR('депозитный калькулятор'!$G$7="30/365",'депозитный калькулятор'!$G$7="30/360"),AND(MONTH(F147)=2,EOMONTH(F147,0)=F147)),IF(DAY(F147)=28,3*G147*'депозитный калькулятор'!$G$8,2*G147*'депозитный калькулятор'!$G$8),IF(AND(OR('депозитный калькулятор'!$G$7="30/365",'депозитный калькулятор'!$G$7="30/360"),DAY(F147)=31)," ",IF(AND('депозитный калькулятор'!$G$7="факт/факт",MOD(YEAR(F147),4)=0),G147*'депозитный калькулятор'!$D$11/366,G147*'депозитный калькулятор'!$G$8))))</f>
        <v xml:space="preserve"> </v>
      </c>
      <c r="I147" s="134" t="str">
        <f ca="1">IF(F147=" "," ",IF('депозитный калькулятор'!$G$10="ежедневное",H147,IF(AND('депозитный калькулятор'!$G$10="еженедельное",WEEKDAY(F147,2)=7),SUM(OFFSET(H147,-6,0):H147),IF(AND('депозитный калькулятор'!$G$10="еженедельное",F147='депозитный калькулятор'!$D$8),SUM($H$23:H147)-SUM($I$23:I146),IF(AND('депозитный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недели",WEEKDAY(F147,2)=7),MIN(OFFSET(H147,-6,0):H147)*(COUNTIF(OFFSET(H147,-6,0):H147,"&gt;0")+SUMIF(OFFSET(A147,-WEEKDAY(F147,2),0):A147,"=2",OFFSET(A147,-WEEKDAY(F147,2),0):A147)),IF(AND('депозитный калькулятор'!$G$10="еженедельное, на минимальную сумму зафиксированную в течение недели",F147='депозитный калькулятор'!$D$8,WEEKDAY(F147,2)&lt;&gt;7),MIN(OFFSET(H147,-WEEKDAY(F147,2),0):H147)*(COUNTIF(OFFSET(H147,-WEEKDAY(F147,2)+1,0):H147,"&gt;0")+SUM(OFFSET(A147,-WEEKDAY(F147,2),0):A147)),IF(AND('депозитный калькулятор'!$G$10="ежемесячное (в конце месяца)",F147='депозитный калькулятор'!$D$8,EOMONTH(F147,0)&lt;&gt;F147),IF('депозитный калькулятор'!$F$1=1,$H$24,SUM($H$23:H147)-SUM($I$23:I146)),IF(AND('депозитный калькулятор'!$G$10="ежемесячное (в конце месяца)",EOMONTH(F147,0)=F147),SUM($H$23:H147)-SUM($I$23:I146),IF(AND('депозитный калькулятор'!$G$10="ежемесячное (по дням открытия вклада)",F147='депозитный калькулятор'!$D$8,DAY('депозитный калькулятор'!$D$7)&lt;&gt;DAY(F147)),IF('депозитный калькулятор'!$F$1=1,$H$24,SUM($H$23:H147)-SUM($I$23:I146)),IF(AND('депозитный калькулятор'!$G$10="ежемесячное (по дням открытия вклада)",DAY('депозитный калькулятор'!$D$7)=DAY(F147)),SUM($H$23:H147)-SUM($I$23:I146),IF(AND('депозитный калькулятор'!$G$10="ежемесячное, на минимальную сумму зафиксированную в течение месяца",F147='депозитный калькулятор'!$D$8,EOMONTH(F147,0)&lt;&gt;F147),IF('депозитный калькулятор'!$F$1=1,$H$24,IF(AND(OR('депозитный калькулятор'!$G$7="30/365",'депозитный калькулятор'!$G$7="30/360"),DAY(F147)=31),0,MIN(OFFSET(H147,-E147+1,0):H147)*(E147+SUMIF(OFFSET(A147,-E147+1,0):A147,"=2",OFFSET(A147,-E147+1,0):A147)))),IF(AND('депозитный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калькулятор'!$G$7="30/360"),DAY(EOMONTH(F147,0))=31),EOMONTH(F147,0)-1=F147,EOMONTH(F147,0)=F147)),IF(IF(AND(OR('депозитный калькулятор'!$G$7="30/365",'депозитный калькулятор'!$G$7="30/360"),DAY(EOMONTH($F$23,0))=31),F147=EOMONTH($F$23,0)-1,F147=EOMONTH($F$23,0)),MIN(OFFSET(H147,-(DAY(F147)-DAY($F$23)),0):H147)*E147,MIN(OFFSET(H147,-(DAY(F147)-1),0):H147)*IF(AND(OR('депозитный калькулятор'!$G$7="30/365",'депозитный калькулятор'!$G$7="30/360"),DAY(F147)&lt;30),30,DAY(F147))),IF(AND('депозитный калькулятор'!$G$10="ежемесячное, на средний остаток в течение месяца, при условии что остаток больше чем ограничение",F147='депозитный калькулятор'!$D$8,EOMONTH(F147,0)&lt;&gt;F147),IF('депозитный калькулятор'!$F$1=1,$H$24,SUM(OFFSET(Q147,-E147+1,0):Q147)),IF(AND('депозитный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калькулятор'!$G$7="30/360"),DAY(EOMONTH(F147,0))=31),EOMONTH(F147,0)-1=F147,EOMONTH(F147,0)=F147)),IF(IF(AND(OR('депозитный калькулятор'!$G$7="30/365",'депозитный калькулятор'!$G$7="30/360"),DAY(EOMONTH($F$24,0))=31),F147=EOMONTH($F$24,0)-1,F147=EOMONTH($F$24,0)),SUM(OFFSET(Q147,-E147+1,0):Q147),SUM(OFFSET(Q147,-E147+1,0):Q147)),IF('депозитный калькулятор'!$G$10="ежеквартальное",IF(F147&gt;'депозитный калькулятор'!$D$8," ",IF(AND(EOMONTH(F147,0)=F147,OR(MONTH(F147)=3,MONTH(F147)=6,MONTH(F147)=9,MONTH(F147)=12)),IF(EDATE(F147,-3)&lt;'депозитный калькулятор'!$D$7,SUM($H$23:H147),IF(MOD(YEAR(F147),4)=0,IF(AND(EOMONTH(F147,0)=F147,OR(MONTH(F147)=3,MONTH(F147)=6)),SUM(OFFSET(H147,-90,0):H147),IF(AND(EOMONTH(F147,0)=F147,OR(MONTH(F147)=9,MONTH(F147)=12)),SUM(OFFSET(H147,-91,0):H147))),IF(AND(EOMONTH(F147,0)=F147,MONTH(F147)=3),SUM(OFFSET(H147,-89,0):H147),IF(AND(EOMONTH(F147,0)=F147,MONTH(F147)=6),SUM(OFFSET(H147,-90,0):H147),IF(AND(EOMONTH(F147,0)=F147,OR(MONTH(F147)=9,MONTH(F147)=12)),SUM(OFFSET(H147,-91,0):H147)))))),IF(F147='депозитный калькулятор'!$D$8,SUM($H$23:H147)-SUM($I$23:I146),0))),IF('депозитный калькулятор'!$G$10="ежегодное",IF(F147&gt;'депозитный калькулятор'!$D$8," ",IF(F147='депозитный калькулятор'!$D$8,SUM($H$23:H147)-SUM($I$23:I146),IF(AND(EOMONTH(F147,0)=F147,MONTH(F147)=12),IF(MOD(YEAR(F146),4)=0,IF(F147-'депозитный калькулятор'!$D$7&lt;366,SUM($H$23:H147),SUM(OFFSET(H147,-365,0):H147)),IF(F147-'депозитный калькулятор'!$D$7&lt;365,SUM($H$23:H147),SUM(OFFSET(H147,-364,0):H147))),0))),IF(AND('депозитный калькулятор'!$G$10="в конце срока",'депозитный калькулятор'!$D$8=F147),SUM($H$23:H147),0))))))))))))))))))</f>
        <v xml:space="preserve"> </v>
      </c>
      <c r="J147" s="59" t="str">
        <f>IF(F147&gt;'депозитный калькулятор'!$D$8," ",IF('депозитный калькулятор'!$G$16="нет",0,IF(AND('депозитный калькулятор'!$G$17="разовая (в конце срока)",F147='депозитный калькулятор'!$D$8),'депозитный калькулятор'!$G$18,IF(AND('депозитный калькулятор'!$G$17="ежемесячная",EOMONTH(F146,0)=F146),'депозитный калькулятор'!$G$18,IF(AND('депозитный калькулятор'!$G$17="ежегодная",DAY(F146)=31,MONTH(F146)=12),'депозитный калькулятор'!$G$18,IF(AND('депозитный калькулятор'!$G$17="ежемесячная в зависимости от остатка",EOMONTH(F146,0)=F146,P146&gt;0),'депозитный калькулятор'!$G$18,IF(AND('депозитный калькулятор'!$G$17="ежегодная в зависимости от остатка",DAY(F146)=31,MONTH(F146)=12,P146&gt;0),'депозитный калькулятор'!$G$18,0)))))))</f>
        <v xml:space="preserve"> </v>
      </c>
      <c r="K147" s="135" t="str">
        <f>IF($F147=" "," ",IFERROR(VLOOKUP($F147,'депозитный калькулятор'!$B$26:$F$70,2,0),0))</f>
        <v xml:space="preserve"> </v>
      </c>
      <c r="L147" s="135" t="str">
        <f>IF($F147=" "," ",IFERROR(VLOOKUP($F147,'депозитный калькулятор'!$B$26:$F$70,3,0),0))</f>
        <v xml:space="preserve"> </v>
      </c>
      <c r="M147" s="135" t="str">
        <f>IF($F147=" "," ",IFERROR(VLOOKUP($F147,'депозитный калькулятор'!$B$26:$F$70,4,0),0))</f>
        <v xml:space="preserve"> </v>
      </c>
      <c r="N147" s="135" t="str">
        <f>IF($F147=" "," ",IFERROR(VLOOKUP($F147,'депозитный калькулятор'!$B$26:$F$70,5,0),0))</f>
        <v xml:space="preserve"> </v>
      </c>
      <c r="O147" s="146" t="str">
        <f>IF(F147&gt;'депозитный калькулятор'!$D$8," ",IF(F147='депозитный калькулятор'!$D$8,IF(AND($F$24='депозитный калькулятор'!$D$8,'депозитный калькулятор'!$G$13="нет"),-G147-IF(I147=" ",0,I147)-IF(AND(OR('депозитный калькулятор'!$G$7="30/365",'депозитный калькулятор'!$G$7="30/360"),'депозитный калькулятор'!$G$10="в начале срока"),I146,0)-L147+M147-N147,-G147-IF(I147=" ",0,I147)-L147+M147-N147),IF('депозитный калькулятор'!$G$13="есть",M147-N147+IF('депозитный калькулятор'!$G$14="есть",0,-L147),-IF(I147=" ",0,I147)-IF(AND(OR('депозитный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срока"),I146,0)+M147-N147+IF('депозитный калькулятор'!$G$14="есть",0,-L147))))</f>
        <v xml:space="preserve"> </v>
      </c>
      <c r="P147" s="147" t="str">
        <f>IF(F147&gt;'депозитный калькулятор'!$D$8," ",IF(EOMONTH(F146,0)=F146,0,IF(G147&gt;='депозитный калькулятор'!$G$19,P146,P146+1)))</f>
        <v xml:space="preserve"> </v>
      </c>
      <c r="Q147" s="138" t="str">
        <f>IF(F147=" "," ",IF(AND(OR('депозитный калькулятор'!$G$7="30/365",'депозитный калькулятор'!$G$7="30/360"),AND(MONTH(F147)=2,EOMONTH(F147,0)=F147)),IF(DAY(F147)=28,3,2),1)*IF(G147&gt;='депозитный калькулятор'!$G$11,IF(AND('депозитный калькулятор'!$G$7="факт/факт",MOD(YEAR(F147),4)=0),G147*'депозитный калькулятор'!$D$11/366,G147*'депозитный калькулятор'!$G$8),0))</f>
        <v xml:space="preserve"> </v>
      </c>
      <c r="R147" s="148"/>
      <c r="S147" s="62" t="str">
        <f t="shared" ca="1" si="7"/>
        <v xml:space="preserve"> </v>
      </c>
      <c r="T147" s="149" t="str">
        <f ca="1">IF(S147=" "," ",IF('депозитный калькулятор'!$G$7="30/360",DAYS360(U146,IF(DAY(U147)=31,U147-1,U147))+IF(AND(MONTH(U147)=2,U147=EOMONTH(U147,0)),30-DAY(EOMONTH(U147,0)))+T146,VLOOKUP(S147,$C$22:$F$1023,2,0)))</f>
        <v xml:space="preserve"> </v>
      </c>
      <c r="U147" s="64" t="str">
        <f t="shared" ca="1" si="5"/>
        <v xml:space="preserve"> </v>
      </c>
      <c r="V147" s="150" t="str">
        <f t="shared" ca="1" si="8"/>
        <v xml:space="preserve"> </v>
      </c>
      <c r="W147" s="62" t="str">
        <f t="shared" ca="1" si="9"/>
        <v xml:space="preserve"> </v>
      </c>
      <c r="X147" s="141" t="str">
        <f ca="1">IF(S147=" "," ",IFERROR(VLOOKUP(U147,$F$23:$N$1023,7)+VLOOKUP(U147,$F$23:$N$1023,9)+IF(AND('депозитный калькулятор'!$G$13="нет",U147&lt;&gt;'депозитный калькулятор'!$D$8),VLOOKUP(U147,$F$23:$N$1023,4),0),0)+IF(U147='депозитный калькулятор'!$D$8,VLOOKUP(U147,$F$23:$N$1023,2)+VLOOKUP(U147,$F$23:$N$1023,4),0))</f>
        <v xml:space="preserve"> </v>
      </c>
      <c r="Y147" s="142" t="str">
        <f ca="1">IF(S147=" "," ",W147/(1+'депозитный калькулятор'!$K$8)^(T147/IF('депозитный калькулятор'!$G$7="30/360",360,365)))</f>
        <v xml:space="preserve"> </v>
      </c>
      <c r="Z147" s="142" t="str">
        <f ca="1">IF(S147=" "," ",X147/(1+'депозитный калькулятор'!$K$8)^(T147/IF('депозитный калькулятор'!$G$7="30/360",360,365)))</f>
        <v xml:space="preserve"> </v>
      </c>
      <c r="AA147" s="151"/>
      <c r="AB147" s="151"/>
      <c r="AC147" s="155"/>
      <c r="AD147" s="155"/>
    </row>
    <row r="148" spans="1:30" s="2" customFormat="1" ht="15.5" x14ac:dyDescent="0.35">
      <c r="A148" s="41" t="str">
        <f>IF(F148=" "," ",IF(OR('депозитный калькулятор'!$G$7="30/365",'депозитный калькулятор'!$G$7="30/360"),IF(AND(MONTH(F148)=2,DAY(F148)=DAY(EOMONTH(F148,0))),30-DAY(EOMONTH(F148,0)),IF(DAY(F148)=31,1," "))," "))</f>
        <v xml:space="preserve"> </v>
      </c>
      <c r="B148" s="130" t="str">
        <f t="shared" si="6"/>
        <v xml:space="preserve"> </v>
      </c>
      <c r="C148" s="130" t="str">
        <f>IF(OR(B148=0,B148=" ")," ",SUM($B$23:B148))</f>
        <v xml:space="preserve"> </v>
      </c>
      <c r="D148" s="62" t="str">
        <f>IF(D147=" "," ",IF(OR(F147='депозитный калькулятор'!$D$8,F147=" ")," ",D147+1))</f>
        <v xml:space="preserve"> </v>
      </c>
      <c r="E148" s="130" t="str">
        <f>IF(OR(F147='депозитный калькулятор'!$D$8,F147=" ")," ",IF(EOMONTH(F147,0)=F147,1,E147+1))</f>
        <v xml:space="preserve"> </v>
      </c>
      <c r="F148" s="64" t="str">
        <f>IF(F147=" "," ",IF(F147='депозитный калькулятор'!$D$8," ",F147+1))</f>
        <v xml:space="preserve"> </v>
      </c>
      <c r="G148" s="145" t="str">
        <f xml:space="preserve"> IF(F148&gt;'депозитный калькулятор'!$D$8," ",IF('депозитный калькулятор'!$G$13="есть",IF('депозитный калькулятор'!$G$14="есть",G147+IF(I147=" ",0,I147)-J148-K148+L148+M148-N148,G147+IF(I147=" ",0,I147)-J148-K148+M148-N148),IF('депозитный калькулятор'!$G$14="есть",G147-J148-K148+L148+M148-N148,G147-J148-K148+M148-N148)))</f>
        <v xml:space="preserve"> </v>
      </c>
      <c r="H148" s="133" t="str">
        <f>IF(F148&gt;'депозитный калькулятор'!$D$8," ",IF(AND(OR('депозитный калькулятор'!$G$7="30/365",'депозитный калькулятор'!$G$7="30/360"),AND(MONTH(F148)=2,EOMONTH(F148,0)=F148)),IF(DAY(F148)=28,3*G148*'депозитный калькулятор'!$G$8,2*G148*'депозитный калькулятор'!$G$8),IF(AND(OR('депозитный калькулятор'!$G$7="30/365",'депозитный калькулятор'!$G$7="30/360"),DAY(F148)=31)," ",IF(AND('депозитный калькулятор'!$G$7="факт/факт",MOD(YEAR(F148),4)=0),G148*'депозитный калькулятор'!$D$11/366,G148*'депозитный калькулятор'!$G$8))))</f>
        <v xml:space="preserve"> </v>
      </c>
      <c r="I148" s="134" t="str">
        <f ca="1">IF(F148=" "," ",IF('депозитный калькулятор'!$G$10="ежедневное",H148,IF(AND('депозитный калькулятор'!$G$10="еженедельное",WEEKDAY(F148,2)=7),SUM(OFFSET(H148,-6,0):H148),IF(AND('депозитный калькулятор'!$G$10="еженедельное",F148='депозитный калькулятор'!$D$8),SUM($H$23:H148)-SUM($I$23:I147),IF(AND('депозитный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недели",WEEKDAY(F148,2)=7),MIN(OFFSET(H148,-6,0):H148)*(COUNTIF(OFFSET(H148,-6,0):H148,"&gt;0")+SUMIF(OFFSET(A148,-WEEKDAY(F148,2),0):A148,"=2",OFFSET(A148,-WEEKDAY(F148,2),0):A148)),IF(AND('депозитный калькулятор'!$G$10="еженедельное, на минимальную сумму зафиксированную в течение недели",F148='депозитный калькулятор'!$D$8,WEEKDAY(F148,2)&lt;&gt;7),MIN(OFFSET(H148,-WEEKDAY(F148,2),0):H148)*(COUNTIF(OFFSET(H148,-WEEKDAY(F148,2)+1,0):H148,"&gt;0")+SUM(OFFSET(A148,-WEEKDAY(F148,2),0):A148)),IF(AND('депозитный калькулятор'!$G$10="ежемесячное (в конце месяца)",F148='депозитный калькулятор'!$D$8,EOMONTH(F148,0)&lt;&gt;F148),IF('депозитный калькулятор'!$F$1=1,$H$24,SUM($H$23:H148)-SUM($I$23:I147)),IF(AND('депозитный калькулятор'!$G$10="ежемесячное (в конце месяца)",EOMONTH(F148,0)=F148),SUM($H$23:H148)-SUM($I$23:I147),IF(AND('депозитный калькулятор'!$G$10="ежемесячное (по дням открытия вклада)",F148='депозитный калькулятор'!$D$8,DAY('депозитный калькулятор'!$D$7)&lt;&gt;DAY(F148)),IF('депозитный калькулятор'!$F$1=1,$H$24,SUM($H$23:H148)-SUM($I$23:I147)),IF(AND('депозитный калькулятор'!$G$10="ежемесячное (по дням открытия вклада)",DAY('депозитный калькулятор'!$D$7)=DAY(F148)),SUM($H$23:H148)-SUM($I$23:I147),IF(AND('депозитный калькулятор'!$G$10="ежемесячное, на минимальную сумму зафиксированную в течение месяца",F148='депозитный калькулятор'!$D$8,EOMONTH(F148,0)&lt;&gt;F148),IF('депозитный калькулятор'!$F$1=1,$H$24,IF(AND(OR('депозитный калькулятор'!$G$7="30/365",'депозитный калькулятор'!$G$7="30/360"),DAY(F148)=31),0,MIN(OFFSET(H148,-E148+1,0):H148)*(E148+SUMIF(OFFSET(A148,-E148+1,0):A148,"=2",OFFSET(A148,-E148+1,0):A148)))),IF(AND('депозитный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калькулятор'!$G$7="30/360"),DAY(EOMONTH(F148,0))=31),EOMONTH(F148,0)-1=F148,EOMONTH(F148,0)=F148)),IF(IF(AND(OR('депозитный калькулятор'!$G$7="30/365",'депозитный калькулятор'!$G$7="30/360"),DAY(EOMONTH($F$23,0))=31),F148=EOMONTH($F$23,0)-1,F148=EOMONTH($F$23,0)),MIN(OFFSET(H148,-(DAY(F148)-DAY($F$23)),0):H148)*E148,MIN(OFFSET(H148,-(DAY(F148)-1),0):H148)*IF(AND(OR('депозитный калькулятор'!$G$7="30/365",'депозитный калькулятор'!$G$7="30/360"),DAY(F148)&lt;30),30,DAY(F148))),IF(AND('депозитный калькулятор'!$G$10="ежемесячное, на средний остаток в течение месяца, при условии что остаток больше чем ограничение",F148='депозитный калькулятор'!$D$8,EOMONTH(F148,0)&lt;&gt;F148),IF('депозитный калькулятор'!$F$1=1,$H$24,SUM(OFFSET(Q148,-E148+1,0):Q148)),IF(AND('депозитный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калькулятор'!$G$7="30/360"),DAY(EOMONTH(F148,0))=31),EOMONTH(F148,0)-1=F148,EOMONTH(F148,0)=F148)),IF(IF(AND(OR('депозитный калькулятор'!$G$7="30/365",'депозитный калькулятор'!$G$7="30/360"),DAY(EOMONTH($F$24,0))=31),F148=EOMONTH($F$24,0)-1,F148=EOMONTH($F$24,0)),SUM(OFFSET(Q148,-E148+1,0):Q148),SUM(OFFSET(Q148,-E148+1,0):Q148)),IF('депозитный калькулятор'!$G$10="ежеквартальное",IF(F148&gt;'депозитный калькулятор'!$D$8," ",IF(AND(EOMONTH(F148,0)=F148,OR(MONTH(F148)=3,MONTH(F148)=6,MONTH(F148)=9,MONTH(F148)=12)),IF(EDATE(F148,-3)&lt;'депозитный калькулятор'!$D$7,SUM($H$23:H148),IF(MOD(YEAR(F148),4)=0,IF(AND(EOMONTH(F148,0)=F148,OR(MONTH(F148)=3,MONTH(F148)=6)),SUM(OFFSET(H148,-90,0):H148),IF(AND(EOMONTH(F148,0)=F148,OR(MONTH(F148)=9,MONTH(F148)=12)),SUM(OFFSET(H148,-91,0):H148))),IF(AND(EOMONTH(F148,0)=F148,MONTH(F148)=3),SUM(OFFSET(H148,-89,0):H148),IF(AND(EOMONTH(F148,0)=F148,MONTH(F148)=6),SUM(OFFSET(H148,-90,0):H148),IF(AND(EOMONTH(F148,0)=F148,OR(MONTH(F148)=9,MONTH(F148)=12)),SUM(OFFSET(H148,-91,0):H148)))))),IF(F148='депозитный калькулятор'!$D$8,SUM($H$23:H148)-SUM($I$23:I147),0))),IF('депозитный калькулятор'!$G$10="ежегодное",IF(F148&gt;'депозитный калькулятор'!$D$8," ",IF(F148='депозитный калькулятор'!$D$8,SUM($H$23:H148)-SUM($I$23:I147),IF(AND(EOMONTH(F148,0)=F148,MONTH(F148)=12),IF(MOD(YEAR(F147),4)=0,IF(F148-'депозитный калькулятор'!$D$7&lt;366,SUM($H$23:H148),SUM(OFFSET(H148,-365,0):H148)),IF(F148-'депозитный калькулятор'!$D$7&lt;365,SUM($H$23:H148),SUM(OFFSET(H148,-364,0):H148))),0))),IF(AND('депозитный калькулятор'!$G$10="в конце срока",'депозитный калькулятор'!$D$8=F148),SUM($H$23:H148),0))))))))))))))))))</f>
        <v xml:space="preserve"> </v>
      </c>
      <c r="J148" s="59" t="str">
        <f>IF(F148&gt;'депозитный калькулятор'!$D$8," ",IF('депозитный калькулятор'!$G$16="нет",0,IF(AND('депозитный калькулятор'!$G$17="разовая (в конце срока)",F148='депозитный калькулятор'!$D$8),'депозитный калькулятор'!$G$18,IF(AND('депозитный калькулятор'!$G$17="ежемесячная",EOMONTH(F147,0)=F147),'депозитный калькулятор'!$G$18,IF(AND('депозитный калькулятор'!$G$17="ежегодная",DAY(F147)=31,MONTH(F147)=12),'депозитный калькулятор'!$G$18,IF(AND('депозитный калькулятор'!$G$17="ежемесячная в зависимости от остатка",EOMONTH(F147,0)=F147,P147&gt;0),'депозитный калькулятор'!$G$18,IF(AND('депозитный калькулятор'!$G$17="ежегодная в зависимости от остатка",DAY(F147)=31,MONTH(F147)=12,P147&gt;0),'депозитный калькулятор'!$G$18,0)))))))</f>
        <v xml:space="preserve"> </v>
      </c>
      <c r="K148" s="135" t="str">
        <f>IF($F148=" "," ",IFERROR(VLOOKUP($F148,'депозитный калькулятор'!$B$26:$F$70,2,0),0))</f>
        <v xml:space="preserve"> </v>
      </c>
      <c r="L148" s="135" t="str">
        <f>IF($F148=" "," ",IFERROR(VLOOKUP($F148,'депозитный калькулятор'!$B$26:$F$70,3,0),0))</f>
        <v xml:space="preserve"> </v>
      </c>
      <c r="M148" s="135" t="str">
        <f>IF($F148=" "," ",IFERROR(VLOOKUP($F148,'депозитный калькулятор'!$B$26:$F$70,4,0),0))</f>
        <v xml:space="preserve"> </v>
      </c>
      <c r="N148" s="135" t="str">
        <f>IF($F148=" "," ",IFERROR(VLOOKUP($F148,'депозитный калькулятор'!$B$26:$F$70,5,0),0))</f>
        <v xml:space="preserve"> </v>
      </c>
      <c r="O148" s="146" t="str">
        <f>IF(F148&gt;'депозитный калькулятор'!$D$8," ",IF(F148='депозитный калькулятор'!$D$8,IF(AND($F$24='депозитный калькулятор'!$D$8,'депозитный калькулятор'!$G$13="нет"),-G148-IF(I148=" ",0,I148)-IF(AND(OR('депозитный калькулятор'!$G$7="30/365",'депозитный калькулятор'!$G$7="30/360"),'депозитный калькулятор'!$G$10="в начале срока"),I147,0)-L148+M148-N148,-G148-IF(I148=" ",0,I148)-L148+M148-N148),IF('депозитный калькулятор'!$G$13="есть",M148-N148+IF('депозитный калькулятор'!$G$14="есть",0,-L148),-IF(I148=" ",0,I148)-IF(AND(OR('депозитный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срока"),I147,0)+M148-N148+IF('депозитный калькулятор'!$G$14="есть",0,-L148))))</f>
        <v xml:space="preserve"> </v>
      </c>
      <c r="P148" s="147" t="str">
        <f>IF(F148&gt;'депозитный калькулятор'!$D$8," ",IF(EOMONTH(F147,0)=F147,0,IF(G148&gt;='депозитный калькулятор'!$G$19,P147,P147+1)))</f>
        <v xml:space="preserve"> </v>
      </c>
      <c r="Q148" s="138" t="str">
        <f>IF(F148=" "," ",IF(AND(OR('депозитный калькулятор'!$G$7="30/365",'депозитный калькулятор'!$G$7="30/360"),AND(MONTH(F148)=2,EOMONTH(F148,0)=F148)),IF(DAY(F148)=28,3,2),1)*IF(G148&gt;='депозитный калькулятор'!$G$11,IF(AND('депозитный калькулятор'!$G$7="факт/факт",MOD(YEAR(F148),4)=0),G148*'депозитный калькулятор'!$D$11/366,G148*'депозитный калькулятор'!$G$8),0))</f>
        <v xml:space="preserve"> </v>
      </c>
      <c r="R148" s="148"/>
      <c r="S148" s="62" t="str">
        <f t="shared" ca="1" si="7"/>
        <v xml:space="preserve"> </v>
      </c>
      <c r="T148" s="149" t="str">
        <f ca="1">IF(S148=" "," ",IF('депозитный калькулятор'!$G$7="30/360",DAYS360(U147,IF(DAY(U148)=31,U148-1,U148))+IF(AND(MONTH(U148)=2,U148=EOMONTH(U148,0)),30-DAY(EOMONTH(U148,0)))+T147,VLOOKUP(S148,$C$22:$F$1023,2,0)))</f>
        <v xml:space="preserve"> </v>
      </c>
      <c r="U148" s="64" t="str">
        <f t="shared" ca="1" si="5"/>
        <v xml:space="preserve"> </v>
      </c>
      <c r="V148" s="150" t="str">
        <f t="shared" ca="1" si="8"/>
        <v xml:space="preserve"> </v>
      </c>
      <c r="W148" s="62" t="str">
        <f t="shared" ca="1" si="9"/>
        <v xml:space="preserve"> </v>
      </c>
      <c r="X148" s="141" t="str">
        <f ca="1">IF(S148=" "," ",IFERROR(VLOOKUP(U148,$F$23:$N$1023,7)+VLOOKUP(U148,$F$23:$N$1023,9)+IF(AND('депозитный калькулятор'!$G$13="нет",U148&lt;&gt;'депозитный калькулятор'!$D$8),VLOOKUP(U148,$F$23:$N$1023,4),0),0)+IF(U148='депозитный калькулятор'!$D$8,VLOOKUP(U148,$F$23:$N$1023,2)+VLOOKUP(U148,$F$23:$N$1023,4),0))</f>
        <v xml:space="preserve"> </v>
      </c>
      <c r="Y148" s="142" t="str">
        <f ca="1">IF(S148=" "," ",W148/(1+'депозитный калькулятор'!$K$8)^(T148/IF('депозитный калькулятор'!$G$7="30/360",360,365)))</f>
        <v xml:space="preserve"> </v>
      </c>
      <c r="Z148" s="142" t="str">
        <f ca="1">IF(S148=" "," ",X148/(1+'депозитный калькулятор'!$K$8)^(T148/IF('депозитный калькулятор'!$G$7="30/360",360,365)))</f>
        <v xml:space="preserve"> </v>
      </c>
      <c r="AA148" s="151"/>
      <c r="AB148" s="151"/>
      <c r="AC148" s="155"/>
      <c r="AD148" s="155"/>
    </row>
    <row r="149" spans="1:30" s="2" customFormat="1" ht="15.5" x14ac:dyDescent="0.35">
      <c r="A149" s="41" t="str">
        <f>IF(F149=" "," ",IF(OR('депозитный калькулятор'!$G$7="30/365",'депозитный калькулятор'!$G$7="30/360"),IF(AND(MONTH(F149)=2,DAY(F149)=DAY(EOMONTH(F149,0))),30-DAY(EOMONTH(F149,0)),IF(DAY(F149)=31,1," "))," "))</f>
        <v xml:space="preserve"> </v>
      </c>
      <c r="B149" s="130" t="str">
        <f t="shared" si="6"/>
        <v xml:space="preserve"> </v>
      </c>
      <c r="C149" s="130" t="str">
        <f>IF(OR(B149=0,B149=" ")," ",SUM($B$23:B149))</f>
        <v xml:space="preserve"> </v>
      </c>
      <c r="D149" s="62" t="str">
        <f>IF(D148=" "," ",IF(OR(F148='депозитный калькулятор'!$D$8,F148=" ")," ",D148+1))</f>
        <v xml:space="preserve"> </v>
      </c>
      <c r="E149" s="130" t="str">
        <f>IF(OR(F148='депозитный калькулятор'!$D$8,F148=" ")," ",IF(EOMONTH(F148,0)=F148,1,E148+1))</f>
        <v xml:space="preserve"> </v>
      </c>
      <c r="F149" s="64" t="str">
        <f>IF(F148=" "," ",IF(F148='депозитный калькулятор'!$D$8," ",F148+1))</f>
        <v xml:space="preserve"> </v>
      </c>
      <c r="G149" s="145" t="str">
        <f xml:space="preserve"> IF(F149&gt;'депозитный калькулятор'!$D$8," ",IF('депозитный калькулятор'!$G$13="есть",IF('депозитный калькулятор'!$G$14="есть",G148+IF(I148=" ",0,I148)-J149-K149+L149+M149-N149,G148+IF(I148=" ",0,I148)-J149-K149+M149-N149),IF('депозитный калькулятор'!$G$14="есть",G148-J149-K149+L149+M149-N149,G148-J149-K149+M149-N149)))</f>
        <v xml:space="preserve"> </v>
      </c>
      <c r="H149" s="133" t="str">
        <f>IF(F149&gt;'депозитный калькулятор'!$D$8," ",IF(AND(OR('депозитный калькулятор'!$G$7="30/365",'депозитный калькулятор'!$G$7="30/360"),AND(MONTH(F149)=2,EOMONTH(F149,0)=F149)),IF(DAY(F149)=28,3*G149*'депозитный калькулятор'!$G$8,2*G149*'депозитный калькулятор'!$G$8),IF(AND(OR('депозитный калькулятор'!$G$7="30/365",'депозитный калькулятор'!$G$7="30/360"),DAY(F149)=31)," ",IF(AND('депозитный калькулятор'!$G$7="факт/факт",MOD(YEAR(F149),4)=0),G149*'депозитный калькулятор'!$D$11/366,G149*'депозитный калькулятор'!$G$8))))</f>
        <v xml:space="preserve"> </v>
      </c>
      <c r="I149" s="134" t="str">
        <f ca="1">IF(F149=" "," ",IF('депозитный калькулятор'!$G$10="ежедневное",H149,IF(AND('депозитный калькулятор'!$G$10="еженедельное",WEEKDAY(F149,2)=7),SUM(OFFSET(H149,-6,0):H149),IF(AND('депозитный калькулятор'!$G$10="еженедельное",F149='депозитный калькулятор'!$D$8),SUM($H$23:H149)-SUM($I$23:I148),IF(AND('депозитный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недели",WEEKDAY(F149,2)=7),MIN(OFFSET(H149,-6,0):H149)*(COUNTIF(OFFSET(H149,-6,0):H149,"&gt;0")+SUMIF(OFFSET(A149,-WEEKDAY(F149,2),0):A149,"=2",OFFSET(A149,-WEEKDAY(F149,2),0):A149)),IF(AND('депозитный калькулятор'!$G$10="еженедельное, на минимальную сумму зафиксированную в течение недели",F149='депозитный калькулятор'!$D$8,WEEKDAY(F149,2)&lt;&gt;7),MIN(OFFSET(H149,-WEEKDAY(F149,2),0):H149)*(COUNTIF(OFFSET(H149,-WEEKDAY(F149,2)+1,0):H149,"&gt;0")+SUM(OFFSET(A149,-WEEKDAY(F149,2),0):A149)),IF(AND('депозитный калькулятор'!$G$10="ежемесячное (в конце месяца)",F149='депозитный калькулятор'!$D$8,EOMONTH(F149,0)&lt;&gt;F149),IF('депозитный калькулятор'!$F$1=1,$H$24,SUM($H$23:H149)-SUM($I$23:I148)),IF(AND('депозитный калькулятор'!$G$10="ежемесячное (в конце месяца)",EOMONTH(F149,0)=F149),SUM($H$23:H149)-SUM($I$23:I148),IF(AND('депозитный калькулятор'!$G$10="ежемесячное (по дням открытия вклада)",F149='депозитный калькулятор'!$D$8,DAY('депозитный калькулятор'!$D$7)&lt;&gt;DAY(F149)),IF('депозитный калькулятор'!$F$1=1,$H$24,SUM($H$23:H149)-SUM($I$23:I148)),IF(AND('депозитный калькулятор'!$G$10="ежемесячное (по дням открытия вклада)",DAY('депозитный калькулятор'!$D$7)=DAY(F149)),SUM($H$23:H149)-SUM($I$23:I148),IF(AND('депозитный калькулятор'!$G$10="ежемесячное, на минимальную сумму зафиксированную в течение месяца",F149='депозитный калькулятор'!$D$8,EOMONTH(F149,0)&lt;&gt;F149),IF('депозитный калькулятор'!$F$1=1,$H$24,IF(AND(OR('депозитный калькулятор'!$G$7="30/365",'депозитный калькулятор'!$G$7="30/360"),DAY(F149)=31),0,MIN(OFFSET(H149,-E149+1,0):H149)*(E149+SUMIF(OFFSET(A149,-E149+1,0):A149,"=2",OFFSET(A149,-E149+1,0):A149)))),IF(AND('депозитный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калькулятор'!$G$7="30/360"),DAY(EOMONTH(F149,0))=31),EOMONTH(F149,0)-1=F149,EOMONTH(F149,0)=F149)),IF(IF(AND(OR('депозитный калькулятор'!$G$7="30/365",'депозитный калькулятор'!$G$7="30/360"),DAY(EOMONTH($F$23,0))=31),F149=EOMONTH($F$23,0)-1,F149=EOMONTH($F$23,0)),MIN(OFFSET(H149,-(DAY(F149)-DAY($F$23)),0):H149)*E149,MIN(OFFSET(H149,-(DAY(F149)-1),0):H149)*IF(AND(OR('депозитный калькулятор'!$G$7="30/365",'депозитный калькулятор'!$G$7="30/360"),DAY(F149)&lt;30),30,DAY(F149))),IF(AND('депозитный калькулятор'!$G$10="ежемесячное, на средний остаток в течение месяца, при условии что остаток больше чем ограничение",F149='депозитный калькулятор'!$D$8,EOMONTH(F149,0)&lt;&gt;F149),IF('депозитный калькулятор'!$F$1=1,$H$24,SUM(OFFSET(Q149,-E149+1,0):Q149)),IF(AND('депозитный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калькулятор'!$G$7="30/360"),DAY(EOMONTH(F149,0))=31),EOMONTH(F149,0)-1=F149,EOMONTH(F149,0)=F149)),IF(IF(AND(OR('депозитный калькулятор'!$G$7="30/365",'депозитный калькулятор'!$G$7="30/360"),DAY(EOMONTH($F$24,0))=31),F149=EOMONTH($F$24,0)-1,F149=EOMONTH($F$24,0)),SUM(OFFSET(Q149,-E149+1,0):Q149),SUM(OFFSET(Q149,-E149+1,0):Q149)),IF('депозитный калькулятор'!$G$10="ежеквартальное",IF(F149&gt;'депозитный калькулятор'!$D$8," ",IF(AND(EOMONTH(F149,0)=F149,OR(MONTH(F149)=3,MONTH(F149)=6,MONTH(F149)=9,MONTH(F149)=12)),IF(EDATE(F149,-3)&lt;'депозитный калькулятор'!$D$7,SUM($H$23:H149),IF(MOD(YEAR(F149),4)=0,IF(AND(EOMONTH(F149,0)=F149,OR(MONTH(F149)=3,MONTH(F149)=6)),SUM(OFFSET(H149,-90,0):H149),IF(AND(EOMONTH(F149,0)=F149,OR(MONTH(F149)=9,MONTH(F149)=12)),SUM(OFFSET(H149,-91,0):H149))),IF(AND(EOMONTH(F149,0)=F149,MONTH(F149)=3),SUM(OFFSET(H149,-89,0):H149),IF(AND(EOMONTH(F149,0)=F149,MONTH(F149)=6),SUM(OFFSET(H149,-90,0):H149),IF(AND(EOMONTH(F149,0)=F149,OR(MONTH(F149)=9,MONTH(F149)=12)),SUM(OFFSET(H149,-91,0):H149)))))),IF(F149='депозитный калькулятор'!$D$8,SUM($H$23:H149)-SUM($I$23:I148),0))),IF('депозитный калькулятор'!$G$10="ежегодное",IF(F149&gt;'депозитный калькулятор'!$D$8," ",IF(F149='депозитный калькулятор'!$D$8,SUM($H$23:H149)-SUM($I$23:I148),IF(AND(EOMONTH(F149,0)=F149,MONTH(F149)=12),IF(MOD(YEAR(F148),4)=0,IF(F149-'депозитный калькулятор'!$D$7&lt;366,SUM($H$23:H149),SUM(OFFSET(H149,-365,0):H149)),IF(F149-'депозитный калькулятор'!$D$7&lt;365,SUM($H$23:H149),SUM(OFFSET(H149,-364,0):H149))),0))),IF(AND('депозитный калькулятор'!$G$10="в конце срока",'депозитный калькулятор'!$D$8=F149),SUM($H$23:H149),0))))))))))))))))))</f>
        <v xml:space="preserve"> </v>
      </c>
      <c r="J149" s="59" t="str">
        <f>IF(F149&gt;'депозитный калькулятор'!$D$8," ",IF('депозитный калькулятор'!$G$16="нет",0,IF(AND('депозитный калькулятор'!$G$17="разовая (в конце срока)",F149='депозитный калькулятор'!$D$8),'депозитный калькулятор'!$G$18,IF(AND('депозитный калькулятор'!$G$17="ежемесячная",EOMONTH(F148,0)=F148),'депозитный калькулятор'!$G$18,IF(AND('депозитный калькулятор'!$G$17="ежегодная",DAY(F148)=31,MONTH(F148)=12),'депозитный калькулятор'!$G$18,IF(AND('депозитный калькулятор'!$G$17="ежемесячная в зависимости от остатка",EOMONTH(F148,0)=F148,P148&gt;0),'депозитный калькулятор'!$G$18,IF(AND('депозитный калькулятор'!$G$17="ежегодная в зависимости от остатка",DAY(F148)=31,MONTH(F148)=12,P148&gt;0),'депозитный калькулятор'!$G$18,0)))))))</f>
        <v xml:space="preserve"> </v>
      </c>
      <c r="K149" s="135" t="str">
        <f>IF($F149=" "," ",IFERROR(VLOOKUP($F149,'депозитный калькулятор'!$B$26:$F$70,2,0),0))</f>
        <v xml:space="preserve"> </v>
      </c>
      <c r="L149" s="135" t="str">
        <f>IF($F149=" "," ",IFERROR(VLOOKUP($F149,'депозитный калькулятор'!$B$26:$F$70,3,0),0))</f>
        <v xml:space="preserve"> </v>
      </c>
      <c r="M149" s="135" t="str">
        <f>IF($F149=" "," ",IFERROR(VLOOKUP($F149,'депозитный калькулятор'!$B$26:$F$70,4,0),0))</f>
        <v xml:space="preserve"> </v>
      </c>
      <c r="N149" s="135" t="str">
        <f>IF($F149=" "," ",IFERROR(VLOOKUP($F149,'депозитный калькулятор'!$B$26:$F$70,5,0),0))</f>
        <v xml:space="preserve"> </v>
      </c>
      <c r="O149" s="146" t="str">
        <f>IF(F149&gt;'депозитный калькулятор'!$D$8," ",IF(F149='депозитный калькулятор'!$D$8,IF(AND($F$24='депозитный калькулятор'!$D$8,'депозитный калькулятор'!$G$13="нет"),-G149-IF(I149=" ",0,I149)-IF(AND(OR('депозитный калькулятор'!$G$7="30/365",'депозитный калькулятор'!$G$7="30/360"),'депозитный калькулятор'!$G$10="в начале срока"),I148,0)-L149+M149-N149,-G149-IF(I149=" ",0,I149)-L149+M149-N149),IF('депозитный калькулятор'!$G$13="есть",M149-N149+IF('депозитный калькулятор'!$G$14="есть",0,-L149),-IF(I149=" ",0,I149)-IF(AND(OR('депозитный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срока"),I148,0)+M149-N149+IF('депозитный калькулятор'!$G$14="есть",0,-L149))))</f>
        <v xml:space="preserve"> </v>
      </c>
      <c r="P149" s="147" t="str">
        <f>IF(F149&gt;'депозитный калькулятор'!$D$8," ",IF(EOMONTH(F148,0)=F148,0,IF(G149&gt;='депозитный калькулятор'!$G$19,P148,P148+1)))</f>
        <v xml:space="preserve"> </v>
      </c>
      <c r="Q149" s="138" t="str">
        <f>IF(F149=" "," ",IF(AND(OR('депозитный калькулятор'!$G$7="30/365",'депозитный калькулятор'!$G$7="30/360"),AND(MONTH(F149)=2,EOMONTH(F149,0)=F149)),IF(DAY(F149)=28,3,2),1)*IF(G149&gt;='депозитный калькулятор'!$G$11,IF(AND('депозитный калькулятор'!$G$7="факт/факт",MOD(YEAR(F149),4)=0),G149*'депозитный калькулятор'!$D$11/366,G149*'депозитный калькулятор'!$G$8),0))</f>
        <v xml:space="preserve"> </v>
      </c>
      <c r="R149" s="148"/>
      <c r="S149" s="62" t="str">
        <f t="shared" ca="1" si="7"/>
        <v xml:space="preserve"> </v>
      </c>
      <c r="T149" s="149" t="str">
        <f ca="1">IF(S149=" "," ",IF('депозитный калькулятор'!$G$7="30/360",DAYS360(U148,IF(DAY(U149)=31,U149-1,U149))+IF(AND(MONTH(U149)=2,U149=EOMONTH(U149,0)),30-DAY(EOMONTH(U149,0)))+T148,VLOOKUP(S149,$C$22:$F$1023,2,0)))</f>
        <v xml:space="preserve"> </v>
      </c>
      <c r="U149" s="64" t="str">
        <f t="shared" ca="1" si="5"/>
        <v xml:space="preserve"> </v>
      </c>
      <c r="V149" s="150" t="str">
        <f t="shared" ca="1" si="8"/>
        <v xml:space="preserve"> </v>
      </c>
      <c r="W149" s="62" t="str">
        <f t="shared" ca="1" si="9"/>
        <v xml:space="preserve"> </v>
      </c>
      <c r="X149" s="141" t="str">
        <f ca="1">IF(S149=" "," ",IFERROR(VLOOKUP(U149,$F$23:$N$1023,7)+VLOOKUP(U149,$F$23:$N$1023,9)+IF(AND('депозитный калькулятор'!$G$13="нет",U149&lt;&gt;'депозитный калькулятор'!$D$8),VLOOKUP(U149,$F$23:$N$1023,4),0),0)+IF(U149='депозитный калькулятор'!$D$8,VLOOKUP(U149,$F$23:$N$1023,2)+VLOOKUP(U149,$F$23:$N$1023,4),0))</f>
        <v xml:space="preserve"> </v>
      </c>
      <c r="Y149" s="142" t="str">
        <f ca="1">IF(S149=" "," ",W149/(1+'депозитный калькулятор'!$K$8)^(T149/IF('депозитный калькулятор'!$G$7="30/360",360,365)))</f>
        <v xml:space="preserve"> </v>
      </c>
      <c r="Z149" s="142" t="str">
        <f ca="1">IF(S149=" "," ",X149/(1+'депозитный калькулятор'!$K$8)^(T149/IF('депозитный калькулятор'!$G$7="30/360",360,365)))</f>
        <v xml:space="preserve"> </v>
      </c>
      <c r="AA149" s="151"/>
      <c r="AB149" s="151"/>
      <c r="AC149" s="155"/>
      <c r="AD149" s="155"/>
    </row>
    <row r="150" spans="1:30" s="2" customFormat="1" ht="15.5" x14ac:dyDescent="0.35">
      <c r="A150" s="41" t="str">
        <f>IF(F150=" "," ",IF(OR('депозитный калькулятор'!$G$7="30/365",'депозитный калькулятор'!$G$7="30/360"),IF(AND(MONTH(F150)=2,DAY(F150)=DAY(EOMONTH(F150,0))),30-DAY(EOMONTH(F150,0)),IF(DAY(F150)=31,1," "))," "))</f>
        <v xml:space="preserve"> </v>
      </c>
      <c r="B150" s="130" t="str">
        <f t="shared" si="6"/>
        <v xml:space="preserve"> </v>
      </c>
      <c r="C150" s="130" t="str">
        <f>IF(OR(B150=0,B150=" ")," ",SUM($B$23:B150))</f>
        <v xml:space="preserve"> </v>
      </c>
      <c r="D150" s="62" t="str">
        <f>IF(D149=" "," ",IF(OR(F149='депозитный калькулятор'!$D$8,F149=" ")," ",D149+1))</f>
        <v xml:space="preserve"> </v>
      </c>
      <c r="E150" s="130" t="str">
        <f>IF(OR(F149='депозитный калькулятор'!$D$8,F149=" ")," ",IF(EOMONTH(F149,0)=F149,1,E149+1))</f>
        <v xml:space="preserve"> </v>
      </c>
      <c r="F150" s="64" t="str">
        <f>IF(F149=" "," ",IF(F149='депозитный калькулятор'!$D$8," ",F149+1))</f>
        <v xml:space="preserve"> </v>
      </c>
      <c r="G150" s="145" t="str">
        <f xml:space="preserve"> IF(F150&gt;'депозитный калькулятор'!$D$8," ",IF('депозитный калькулятор'!$G$13="есть",IF('депозитный калькулятор'!$G$14="есть",G149+IF(I149=" ",0,I149)-J150-K150+L150+M150-N150,G149+IF(I149=" ",0,I149)-J150-K150+M150-N150),IF('депозитный калькулятор'!$G$14="есть",G149-J150-K150+L150+M150-N150,G149-J150-K150+M150-N150)))</f>
        <v xml:space="preserve"> </v>
      </c>
      <c r="H150" s="133" t="str">
        <f>IF(F150&gt;'депозитный калькулятор'!$D$8," ",IF(AND(OR('депозитный калькулятор'!$G$7="30/365",'депозитный калькулятор'!$G$7="30/360"),AND(MONTH(F150)=2,EOMONTH(F150,0)=F150)),IF(DAY(F150)=28,3*G150*'депозитный калькулятор'!$G$8,2*G150*'депозитный калькулятор'!$G$8),IF(AND(OR('депозитный калькулятор'!$G$7="30/365",'депозитный калькулятор'!$G$7="30/360"),DAY(F150)=31)," ",IF(AND('депозитный калькулятор'!$G$7="факт/факт",MOD(YEAR(F150),4)=0),G150*'депозитный калькулятор'!$D$11/366,G150*'депозитный калькулятор'!$G$8))))</f>
        <v xml:space="preserve"> </v>
      </c>
      <c r="I150" s="134" t="str">
        <f ca="1">IF(F150=" "," ",IF('депозитный калькулятор'!$G$10="ежедневное",H150,IF(AND('депозитный калькулятор'!$G$10="еженедельное",WEEKDAY(F150,2)=7),SUM(OFFSET(H150,-6,0):H150),IF(AND('депозитный калькулятор'!$G$10="еженедельное",F150='депозитный калькулятор'!$D$8),SUM($H$23:H150)-SUM($I$23:I149),IF(AND('депозитный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недели",WEEKDAY(F150,2)=7),MIN(OFFSET(H150,-6,0):H150)*(COUNTIF(OFFSET(H150,-6,0):H150,"&gt;0")+SUMIF(OFFSET(A150,-WEEKDAY(F150,2),0):A150,"=2",OFFSET(A150,-WEEKDAY(F150,2),0):A150)),IF(AND('депозитный калькулятор'!$G$10="еженедельное, на минимальную сумму зафиксированную в течение недели",F150='депозитный калькулятор'!$D$8,WEEKDAY(F150,2)&lt;&gt;7),MIN(OFFSET(H150,-WEEKDAY(F150,2),0):H150)*(COUNTIF(OFFSET(H150,-WEEKDAY(F150,2)+1,0):H150,"&gt;0")+SUM(OFFSET(A150,-WEEKDAY(F150,2),0):A150)),IF(AND('депозитный калькулятор'!$G$10="ежемесячное (в конце месяца)",F150='депозитный калькулятор'!$D$8,EOMONTH(F150,0)&lt;&gt;F150),IF('депозитный калькулятор'!$F$1=1,$H$24,SUM($H$23:H150)-SUM($I$23:I149)),IF(AND('депозитный калькулятор'!$G$10="ежемесячное (в конце месяца)",EOMONTH(F150,0)=F150),SUM($H$23:H150)-SUM($I$23:I149),IF(AND('депозитный калькулятор'!$G$10="ежемесячное (по дням открытия вклада)",F150='депозитный калькулятор'!$D$8,DAY('депозитный калькулятор'!$D$7)&lt;&gt;DAY(F150)),IF('депозитный калькулятор'!$F$1=1,$H$24,SUM($H$23:H150)-SUM($I$23:I149)),IF(AND('депозитный калькулятор'!$G$10="ежемесячное (по дням открытия вклада)",DAY('депозитный калькулятор'!$D$7)=DAY(F150)),SUM($H$23:H150)-SUM($I$23:I149),IF(AND('депозитный калькулятор'!$G$10="ежемесячное, на минимальную сумму зафиксированную в течение месяца",F150='депозитный калькулятор'!$D$8,EOMONTH(F150,0)&lt;&gt;F150),IF('депозитный калькулятор'!$F$1=1,$H$24,IF(AND(OR('депозитный калькулятор'!$G$7="30/365",'депозитный калькулятор'!$G$7="30/360"),DAY(F150)=31),0,MIN(OFFSET(H150,-E150+1,0):H150)*(E150+SUMIF(OFFSET(A150,-E150+1,0):A150,"=2",OFFSET(A150,-E150+1,0):A150)))),IF(AND('депозитный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калькулятор'!$G$7="30/360"),DAY(EOMONTH(F150,0))=31),EOMONTH(F150,0)-1=F150,EOMONTH(F150,0)=F150)),IF(IF(AND(OR('депозитный калькулятор'!$G$7="30/365",'депозитный калькулятор'!$G$7="30/360"),DAY(EOMONTH($F$23,0))=31),F150=EOMONTH($F$23,0)-1,F150=EOMONTH($F$23,0)),MIN(OFFSET(H150,-(DAY(F150)-DAY($F$23)),0):H150)*E150,MIN(OFFSET(H150,-(DAY(F150)-1),0):H150)*IF(AND(OR('депозитный калькулятор'!$G$7="30/365",'депозитный калькулятор'!$G$7="30/360"),DAY(F150)&lt;30),30,DAY(F150))),IF(AND('депозитный калькулятор'!$G$10="ежемесячное, на средний остаток в течение месяца, при условии что остаток больше чем ограничение",F150='депозитный калькулятор'!$D$8,EOMONTH(F150,0)&lt;&gt;F150),IF('депозитный калькулятор'!$F$1=1,$H$24,SUM(OFFSET(Q150,-E150+1,0):Q150)),IF(AND('депозитный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калькулятор'!$G$7="30/360"),DAY(EOMONTH(F150,0))=31),EOMONTH(F150,0)-1=F150,EOMONTH(F150,0)=F150)),IF(IF(AND(OR('депозитный калькулятор'!$G$7="30/365",'депозитный калькулятор'!$G$7="30/360"),DAY(EOMONTH($F$24,0))=31),F150=EOMONTH($F$24,0)-1,F150=EOMONTH($F$24,0)),SUM(OFFSET(Q150,-E150+1,0):Q150),SUM(OFFSET(Q150,-E150+1,0):Q150)),IF('депозитный калькулятор'!$G$10="ежеквартальное",IF(F150&gt;'депозитный калькулятор'!$D$8," ",IF(AND(EOMONTH(F150,0)=F150,OR(MONTH(F150)=3,MONTH(F150)=6,MONTH(F150)=9,MONTH(F150)=12)),IF(EDATE(F150,-3)&lt;'депозитный калькулятор'!$D$7,SUM($H$23:H150),IF(MOD(YEAR(F150),4)=0,IF(AND(EOMONTH(F150,0)=F150,OR(MONTH(F150)=3,MONTH(F150)=6)),SUM(OFFSET(H150,-90,0):H150),IF(AND(EOMONTH(F150,0)=F150,OR(MONTH(F150)=9,MONTH(F150)=12)),SUM(OFFSET(H150,-91,0):H150))),IF(AND(EOMONTH(F150,0)=F150,MONTH(F150)=3),SUM(OFFSET(H150,-89,0):H150),IF(AND(EOMONTH(F150,0)=F150,MONTH(F150)=6),SUM(OFFSET(H150,-90,0):H150),IF(AND(EOMONTH(F150,0)=F150,OR(MONTH(F150)=9,MONTH(F150)=12)),SUM(OFFSET(H150,-91,0):H150)))))),IF(F150='депозитный калькулятор'!$D$8,SUM($H$23:H150)-SUM($I$23:I149),0))),IF('депозитный калькулятор'!$G$10="ежегодное",IF(F150&gt;'депозитный калькулятор'!$D$8," ",IF(F150='депозитный калькулятор'!$D$8,SUM($H$23:H150)-SUM($I$23:I149),IF(AND(EOMONTH(F150,0)=F150,MONTH(F150)=12),IF(MOD(YEAR(F149),4)=0,IF(F150-'депозитный калькулятор'!$D$7&lt;366,SUM($H$23:H150),SUM(OFFSET(H150,-365,0):H150)),IF(F150-'депозитный калькулятор'!$D$7&lt;365,SUM($H$23:H150),SUM(OFFSET(H150,-364,0):H150))),0))),IF(AND('депозитный калькулятор'!$G$10="в конце срока",'депозитный калькулятор'!$D$8=F150),SUM($H$23:H150),0))))))))))))))))))</f>
        <v xml:space="preserve"> </v>
      </c>
      <c r="J150" s="59" t="str">
        <f>IF(F150&gt;'депозитный калькулятор'!$D$8," ",IF('депозитный калькулятор'!$G$16="нет",0,IF(AND('депозитный калькулятор'!$G$17="разовая (в конце срока)",F150='депозитный калькулятор'!$D$8),'депозитный калькулятор'!$G$18,IF(AND('депозитный калькулятор'!$G$17="ежемесячная",EOMONTH(F149,0)=F149),'депозитный калькулятор'!$G$18,IF(AND('депозитный калькулятор'!$G$17="ежегодная",DAY(F149)=31,MONTH(F149)=12),'депозитный калькулятор'!$G$18,IF(AND('депозитный калькулятор'!$G$17="ежемесячная в зависимости от остатка",EOMONTH(F149,0)=F149,P149&gt;0),'депозитный калькулятор'!$G$18,IF(AND('депозитный калькулятор'!$G$17="ежегодная в зависимости от остатка",DAY(F149)=31,MONTH(F149)=12,P149&gt;0),'депозитный калькулятор'!$G$18,0)))))))</f>
        <v xml:space="preserve"> </v>
      </c>
      <c r="K150" s="135" t="str">
        <f>IF($F150=" "," ",IFERROR(VLOOKUP($F150,'депозитный калькулятор'!$B$26:$F$70,2,0),0))</f>
        <v xml:space="preserve"> </v>
      </c>
      <c r="L150" s="135" t="str">
        <f>IF($F150=" "," ",IFERROR(VLOOKUP($F150,'депозитный калькулятор'!$B$26:$F$70,3,0),0))</f>
        <v xml:space="preserve"> </v>
      </c>
      <c r="M150" s="135" t="str">
        <f>IF($F150=" "," ",IFERROR(VLOOKUP($F150,'депозитный калькулятор'!$B$26:$F$70,4,0),0))</f>
        <v xml:space="preserve"> </v>
      </c>
      <c r="N150" s="135" t="str">
        <f>IF($F150=" "," ",IFERROR(VLOOKUP($F150,'депозитный калькулятор'!$B$26:$F$70,5,0),0))</f>
        <v xml:space="preserve"> </v>
      </c>
      <c r="O150" s="146" t="str">
        <f>IF(F150&gt;'депозитный калькулятор'!$D$8," ",IF(F150='депозитный калькулятор'!$D$8,IF(AND($F$24='депозитный калькулятор'!$D$8,'депозитный калькулятор'!$G$13="нет"),-G150-IF(I150=" ",0,I150)-IF(AND(OR('депозитный калькулятор'!$G$7="30/365",'депозитный калькулятор'!$G$7="30/360"),'депозитный калькулятор'!$G$10="в начале срока"),I149,0)-L150+M150-N150,-G150-IF(I150=" ",0,I150)-L150+M150-N150),IF('депозитный калькулятор'!$G$13="есть",M150-N150+IF('депозитный калькулятор'!$G$14="есть",0,-L150),-IF(I150=" ",0,I150)-IF(AND(OR('депозитный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срока"),I149,0)+M150-N150+IF('депозитный калькулятор'!$G$14="есть",0,-L150))))</f>
        <v xml:space="preserve"> </v>
      </c>
      <c r="P150" s="147" t="str">
        <f>IF(F150&gt;'депозитный калькулятор'!$D$8," ",IF(EOMONTH(F149,0)=F149,0,IF(G150&gt;='депозитный калькулятор'!$G$19,P149,P149+1)))</f>
        <v xml:space="preserve"> </v>
      </c>
      <c r="Q150" s="138" t="str">
        <f>IF(F150=" "," ",IF(AND(OR('депозитный калькулятор'!$G$7="30/365",'депозитный калькулятор'!$G$7="30/360"),AND(MONTH(F150)=2,EOMONTH(F150,0)=F150)),IF(DAY(F150)=28,3,2),1)*IF(G150&gt;='депозитный калькулятор'!$G$11,IF(AND('депозитный калькулятор'!$G$7="факт/факт",MOD(YEAR(F150),4)=0),G150*'депозитный калькулятор'!$D$11/366,G150*'депозитный калькулятор'!$G$8),0))</f>
        <v xml:space="preserve"> </v>
      </c>
      <c r="R150" s="148"/>
      <c r="S150" s="62" t="str">
        <f t="shared" ca="1" si="7"/>
        <v xml:space="preserve"> </v>
      </c>
      <c r="T150" s="149" t="str">
        <f ca="1">IF(S150=" "," ",IF('депозитный калькулятор'!$G$7="30/360",DAYS360(U149,IF(DAY(U150)=31,U150-1,U150))+IF(AND(MONTH(U150)=2,U150=EOMONTH(U150,0)),30-DAY(EOMONTH(U150,0)))+T149,VLOOKUP(S150,$C$22:$F$1023,2,0)))</f>
        <v xml:space="preserve"> </v>
      </c>
      <c r="U150" s="64" t="str">
        <f t="shared" ca="1" si="5"/>
        <v xml:space="preserve"> </v>
      </c>
      <c r="V150" s="150" t="str">
        <f t="shared" ca="1" si="8"/>
        <v xml:space="preserve"> </v>
      </c>
      <c r="W150" s="62" t="str">
        <f t="shared" ca="1" si="9"/>
        <v xml:space="preserve"> </v>
      </c>
      <c r="X150" s="141" t="str">
        <f ca="1">IF(S150=" "," ",IFERROR(VLOOKUP(U150,$F$23:$N$1023,7)+VLOOKUP(U150,$F$23:$N$1023,9)+IF(AND('депозитный калькулятор'!$G$13="нет",U150&lt;&gt;'депозитный калькулятор'!$D$8),VLOOKUP(U150,$F$23:$N$1023,4),0),0)+IF(U150='депозитный калькулятор'!$D$8,VLOOKUP(U150,$F$23:$N$1023,2)+VLOOKUP(U150,$F$23:$N$1023,4),0))</f>
        <v xml:space="preserve"> </v>
      </c>
      <c r="Y150" s="142" t="str">
        <f ca="1">IF(S150=" "," ",W150/(1+'депозитный калькулятор'!$K$8)^(T150/IF('депозитный калькулятор'!$G$7="30/360",360,365)))</f>
        <v xml:space="preserve"> </v>
      </c>
      <c r="Z150" s="142" t="str">
        <f ca="1">IF(S150=" "," ",X150/(1+'депозитный калькулятор'!$K$8)^(T150/IF('депозитный калькулятор'!$G$7="30/360",360,365)))</f>
        <v xml:space="preserve"> </v>
      </c>
      <c r="AA150" s="151"/>
      <c r="AB150" s="151"/>
      <c r="AC150" s="155"/>
      <c r="AD150" s="155"/>
    </row>
    <row r="151" spans="1:30" s="2" customFormat="1" ht="15.5" x14ac:dyDescent="0.35">
      <c r="A151" s="41" t="str">
        <f>IF(F151=" "," ",IF(OR('депозитный калькулятор'!$G$7="30/365",'депозитный калькулятор'!$G$7="30/360"),IF(AND(MONTH(F151)=2,DAY(F151)=DAY(EOMONTH(F151,0))),30-DAY(EOMONTH(F151,0)),IF(DAY(F151)=31,1," "))," "))</f>
        <v xml:space="preserve"> </v>
      </c>
      <c r="B151" s="130" t="str">
        <f t="shared" si="6"/>
        <v xml:space="preserve"> </v>
      </c>
      <c r="C151" s="130" t="str">
        <f>IF(OR(B151=0,B151=" ")," ",SUM($B$23:B151))</f>
        <v xml:space="preserve"> </v>
      </c>
      <c r="D151" s="62" t="str">
        <f>IF(D150=" "," ",IF(OR(F150='депозитный калькулятор'!$D$8,F150=" ")," ",D150+1))</f>
        <v xml:space="preserve"> </v>
      </c>
      <c r="E151" s="130" t="str">
        <f>IF(OR(F150='депозитный калькулятор'!$D$8,F150=" ")," ",IF(EOMONTH(F150,0)=F150,1,E150+1))</f>
        <v xml:space="preserve"> </v>
      </c>
      <c r="F151" s="64" t="str">
        <f>IF(F150=" "," ",IF(F150='депозитный калькулятор'!$D$8," ",F150+1))</f>
        <v xml:space="preserve"> </v>
      </c>
      <c r="G151" s="145" t="str">
        <f xml:space="preserve"> IF(F151&gt;'депозитный калькулятор'!$D$8," ",IF('депозитный калькулятор'!$G$13="есть",IF('депозитный калькулятор'!$G$14="есть",G150+IF(I150=" ",0,I150)-J151-K151+L151+M151-N151,G150+IF(I150=" ",0,I150)-J151-K151+M151-N151),IF('депозитный калькулятор'!$G$14="есть",G150-J151-K151+L151+M151-N151,G150-J151-K151+M151-N151)))</f>
        <v xml:space="preserve"> </v>
      </c>
      <c r="H151" s="133" t="str">
        <f>IF(F151&gt;'депозитный калькулятор'!$D$8," ",IF(AND(OR('депозитный калькулятор'!$G$7="30/365",'депозитный калькулятор'!$G$7="30/360"),AND(MONTH(F151)=2,EOMONTH(F151,0)=F151)),IF(DAY(F151)=28,3*G151*'депозитный калькулятор'!$G$8,2*G151*'депозитный калькулятор'!$G$8),IF(AND(OR('депозитный калькулятор'!$G$7="30/365",'депозитный калькулятор'!$G$7="30/360"),DAY(F151)=31)," ",IF(AND('депозитный калькулятор'!$G$7="факт/факт",MOD(YEAR(F151),4)=0),G151*'депозитный калькулятор'!$D$11/366,G151*'депозитный калькулятор'!$G$8))))</f>
        <v xml:space="preserve"> </v>
      </c>
      <c r="I151" s="134" t="str">
        <f ca="1">IF(F151=" "," ",IF('депозитный калькулятор'!$G$10="ежедневное",H151,IF(AND('депозитный калькулятор'!$G$10="еженедельное",WEEKDAY(F151,2)=7),SUM(OFFSET(H151,-6,0):H151),IF(AND('депозитный калькулятор'!$G$10="еженедельное",F151='депозитный калькулятор'!$D$8),SUM($H$23:H151)-SUM($I$23:I150),IF(AND('депозитный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недели",WEEKDAY(F151,2)=7),MIN(OFFSET(H151,-6,0):H151)*(COUNTIF(OFFSET(H151,-6,0):H151,"&gt;0")+SUMIF(OFFSET(A151,-WEEKDAY(F151,2),0):A151,"=2",OFFSET(A151,-WEEKDAY(F151,2),0):A151)),IF(AND('депозитный калькулятор'!$G$10="еженедельное, на минимальную сумму зафиксированную в течение недели",F151='депозитный калькулятор'!$D$8,WEEKDAY(F151,2)&lt;&gt;7),MIN(OFFSET(H151,-WEEKDAY(F151,2),0):H151)*(COUNTIF(OFFSET(H151,-WEEKDAY(F151,2)+1,0):H151,"&gt;0")+SUM(OFFSET(A151,-WEEKDAY(F151,2),0):A151)),IF(AND('депозитный калькулятор'!$G$10="ежемесячное (в конце месяца)",F151='депозитный калькулятор'!$D$8,EOMONTH(F151,0)&lt;&gt;F151),IF('депозитный калькулятор'!$F$1=1,$H$24,SUM($H$23:H151)-SUM($I$23:I150)),IF(AND('депозитный калькулятор'!$G$10="ежемесячное (в конце месяца)",EOMONTH(F151,0)=F151),SUM($H$23:H151)-SUM($I$23:I150),IF(AND('депозитный калькулятор'!$G$10="ежемесячное (по дням открытия вклада)",F151='депозитный калькулятор'!$D$8,DAY('депозитный калькулятор'!$D$7)&lt;&gt;DAY(F151)),IF('депозитный калькулятор'!$F$1=1,$H$24,SUM($H$23:H151)-SUM($I$23:I150)),IF(AND('депозитный калькулятор'!$G$10="ежемесячное (по дням открытия вклада)",DAY('депозитный калькулятор'!$D$7)=DAY(F151)),SUM($H$23:H151)-SUM($I$23:I150),IF(AND('депозитный калькулятор'!$G$10="ежемесячное, на минимальную сумму зафиксированную в течение месяца",F151='депозитный калькулятор'!$D$8,EOMONTH(F151,0)&lt;&gt;F151),IF('депозитный калькулятор'!$F$1=1,$H$24,IF(AND(OR('депозитный калькулятор'!$G$7="30/365",'депозитный калькулятор'!$G$7="30/360"),DAY(F151)=31),0,MIN(OFFSET(H151,-E151+1,0):H151)*(E151+SUMIF(OFFSET(A151,-E151+1,0):A151,"=2",OFFSET(A151,-E151+1,0):A151)))),IF(AND('депозитный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калькулятор'!$G$7="30/360"),DAY(EOMONTH(F151,0))=31),EOMONTH(F151,0)-1=F151,EOMONTH(F151,0)=F151)),IF(IF(AND(OR('депозитный калькулятор'!$G$7="30/365",'депозитный калькулятор'!$G$7="30/360"),DAY(EOMONTH($F$23,0))=31),F151=EOMONTH($F$23,0)-1,F151=EOMONTH($F$23,0)),MIN(OFFSET(H151,-(DAY(F151)-DAY($F$23)),0):H151)*E151,MIN(OFFSET(H151,-(DAY(F151)-1),0):H151)*IF(AND(OR('депозитный калькулятор'!$G$7="30/365",'депозитный калькулятор'!$G$7="30/360"),DAY(F151)&lt;30),30,DAY(F151))),IF(AND('депозитный калькулятор'!$G$10="ежемесячное, на средний остаток в течение месяца, при условии что остаток больше чем ограничение",F151='депозитный калькулятор'!$D$8,EOMONTH(F151,0)&lt;&gt;F151),IF('депозитный калькулятор'!$F$1=1,$H$24,SUM(OFFSET(Q151,-E151+1,0):Q151)),IF(AND('депозитный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калькулятор'!$G$7="30/360"),DAY(EOMONTH(F151,0))=31),EOMONTH(F151,0)-1=F151,EOMONTH(F151,0)=F151)),IF(IF(AND(OR('депозитный калькулятор'!$G$7="30/365",'депозитный калькулятор'!$G$7="30/360"),DAY(EOMONTH($F$24,0))=31),F151=EOMONTH($F$24,0)-1,F151=EOMONTH($F$24,0)),SUM(OFFSET(Q151,-E151+1,0):Q151),SUM(OFFSET(Q151,-E151+1,0):Q151)),IF('депозитный калькулятор'!$G$10="ежеквартальное",IF(F151&gt;'депозитный калькулятор'!$D$8," ",IF(AND(EOMONTH(F151,0)=F151,OR(MONTH(F151)=3,MONTH(F151)=6,MONTH(F151)=9,MONTH(F151)=12)),IF(EDATE(F151,-3)&lt;'депозитный калькулятор'!$D$7,SUM($H$23:H151),IF(MOD(YEAR(F151),4)=0,IF(AND(EOMONTH(F151,0)=F151,OR(MONTH(F151)=3,MONTH(F151)=6)),SUM(OFFSET(H151,-90,0):H151),IF(AND(EOMONTH(F151,0)=F151,OR(MONTH(F151)=9,MONTH(F151)=12)),SUM(OFFSET(H151,-91,0):H151))),IF(AND(EOMONTH(F151,0)=F151,MONTH(F151)=3),SUM(OFFSET(H151,-89,0):H151),IF(AND(EOMONTH(F151,0)=F151,MONTH(F151)=6),SUM(OFFSET(H151,-90,0):H151),IF(AND(EOMONTH(F151,0)=F151,OR(MONTH(F151)=9,MONTH(F151)=12)),SUM(OFFSET(H151,-91,0):H151)))))),IF(F151='депозитный калькулятор'!$D$8,SUM($H$23:H151)-SUM($I$23:I150),0))),IF('депозитный калькулятор'!$G$10="ежегодное",IF(F151&gt;'депозитный калькулятор'!$D$8," ",IF(F151='депозитный калькулятор'!$D$8,SUM($H$23:H151)-SUM($I$23:I150),IF(AND(EOMONTH(F151,0)=F151,MONTH(F151)=12),IF(MOD(YEAR(F150),4)=0,IF(F151-'депозитный калькулятор'!$D$7&lt;366,SUM($H$23:H151),SUM(OFFSET(H151,-365,0):H151)),IF(F151-'депозитный калькулятор'!$D$7&lt;365,SUM($H$23:H151),SUM(OFFSET(H151,-364,0):H151))),0))),IF(AND('депозитный калькулятор'!$G$10="в конце срока",'депозитный калькулятор'!$D$8=F151),SUM($H$23:H151),0))))))))))))))))))</f>
        <v xml:space="preserve"> </v>
      </c>
      <c r="J151" s="59" t="str">
        <f>IF(F151&gt;'депозитный калькулятор'!$D$8," ",IF('депозитный калькулятор'!$G$16="нет",0,IF(AND('депозитный калькулятор'!$G$17="разовая (в конце срока)",F151='депозитный калькулятор'!$D$8),'депозитный калькулятор'!$G$18,IF(AND('депозитный калькулятор'!$G$17="ежемесячная",EOMONTH(F150,0)=F150),'депозитный калькулятор'!$G$18,IF(AND('депозитный калькулятор'!$G$17="ежегодная",DAY(F150)=31,MONTH(F150)=12),'депозитный калькулятор'!$G$18,IF(AND('депозитный калькулятор'!$G$17="ежемесячная в зависимости от остатка",EOMONTH(F150,0)=F150,P150&gt;0),'депозитный калькулятор'!$G$18,IF(AND('депозитный калькулятор'!$G$17="ежегодная в зависимости от остатка",DAY(F150)=31,MONTH(F150)=12,P150&gt;0),'депозитный калькулятор'!$G$18,0)))))))</f>
        <v xml:space="preserve"> </v>
      </c>
      <c r="K151" s="135" t="str">
        <f>IF($F151=" "," ",IFERROR(VLOOKUP($F151,'депозитный калькулятор'!$B$26:$F$70,2,0),0))</f>
        <v xml:space="preserve"> </v>
      </c>
      <c r="L151" s="135" t="str">
        <f>IF($F151=" "," ",IFERROR(VLOOKUP($F151,'депозитный калькулятор'!$B$26:$F$70,3,0),0))</f>
        <v xml:space="preserve"> </v>
      </c>
      <c r="M151" s="135" t="str">
        <f>IF($F151=" "," ",IFERROR(VLOOKUP($F151,'депозитный калькулятор'!$B$26:$F$70,4,0),0))</f>
        <v xml:space="preserve"> </v>
      </c>
      <c r="N151" s="135" t="str">
        <f>IF($F151=" "," ",IFERROR(VLOOKUP($F151,'депозитный калькулятор'!$B$26:$F$70,5,0),0))</f>
        <v xml:space="preserve"> </v>
      </c>
      <c r="O151" s="146" t="str">
        <f>IF(F151&gt;'депозитный калькулятор'!$D$8," ",IF(F151='депозитный калькулятор'!$D$8,IF(AND($F$24='депозитный калькулятор'!$D$8,'депозитный калькулятор'!$G$13="нет"),-G151-IF(I151=" ",0,I151)-IF(AND(OR('депозитный калькулятор'!$G$7="30/365",'депозитный калькулятор'!$G$7="30/360"),'депозитный калькулятор'!$G$10="в начале срока"),I150,0)-L151+M151-N151,-G151-IF(I151=" ",0,I151)-L151+M151-N151),IF('депозитный калькулятор'!$G$13="есть",M151-N151+IF('депозитный калькулятор'!$G$14="есть",0,-L151),-IF(I151=" ",0,I151)-IF(AND(OR('депозитный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срока"),I150,0)+M151-N151+IF('депозитный калькулятор'!$G$14="есть",0,-L151))))</f>
        <v xml:space="preserve"> </v>
      </c>
      <c r="P151" s="147" t="str">
        <f>IF(F151&gt;'депозитный калькулятор'!$D$8," ",IF(EOMONTH(F150,0)=F150,0,IF(G151&gt;='депозитный калькулятор'!$G$19,P150,P150+1)))</f>
        <v xml:space="preserve"> </v>
      </c>
      <c r="Q151" s="138" t="str">
        <f>IF(F151=" "," ",IF(AND(OR('депозитный калькулятор'!$G$7="30/365",'депозитный калькулятор'!$G$7="30/360"),AND(MONTH(F151)=2,EOMONTH(F151,0)=F151)),IF(DAY(F151)=28,3,2),1)*IF(G151&gt;='депозитный калькулятор'!$G$11,IF(AND('депозитный калькулятор'!$G$7="факт/факт",MOD(YEAR(F151),4)=0),G151*'депозитный калькулятор'!$D$11/366,G151*'депозитный калькулятор'!$G$8),0))</f>
        <v xml:space="preserve"> </v>
      </c>
      <c r="R151" s="148"/>
      <c r="S151" s="62" t="str">
        <f t="shared" ca="1" si="7"/>
        <v xml:space="preserve"> </v>
      </c>
      <c r="T151" s="149" t="str">
        <f ca="1">IF(S151=" "," ",IF('депозитный калькулятор'!$G$7="30/360",DAYS360(U150,IF(DAY(U151)=31,U151-1,U151))+IF(AND(MONTH(U151)=2,U151=EOMONTH(U151,0)),30-DAY(EOMONTH(U151,0)))+T150,VLOOKUP(S151,$C$22:$F$1023,2,0)))</f>
        <v xml:space="preserve"> </v>
      </c>
      <c r="U151" s="64" t="str">
        <f t="shared" ref="U151:U214" ca="1" si="10">IF(S151=" "," ",VLOOKUP(S151,$C$22:$F$1023,4,0))</f>
        <v xml:space="preserve"> </v>
      </c>
      <c r="V151" s="150" t="str">
        <f t="shared" ca="1" si="8"/>
        <v xml:space="preserve"> </v>
      </c>
      <c r="W151" s="62" t="str">
        <f t="shared" ca="1" si="9"/>
        <v xml:space="preserve"> </v>
      </c>
      <c r="X151" s="141" t="str">
        <f ca="1">IF(S151=" "," ",IFERROR(VLOOKUP(U151,$F$23:$N$1023,7)+VLOOKUP(U151,$F$23:$N$1023,9)+IF(AND('депозитный калькулятор'!$G$13="нет",U151&lt;&gt;'депозитный калькулятор'!$D$8),VLOOKUP(U151,$F$23:$N$1023,4),0),0)+IF(U151='депозитный калькулятор'!$D$8,VLOOKUP(U151,$F$23:$N$1023,2)+VLOOKUP(U151,$F$23:$N$1023,4),0))</f>
        <v xml:space="preserve"> </v>
      </c>
      <c r="Y151" s="142" t="str">
        <f ca="1">IF(S151=" "," ",W151/(1+'депозитный калькулятор'!$K$8)^(T151/IF('депозитный калькулятор'!$G$7="30/360",360,365)))</f>
        <v xml:space="preserve"> </v>
      </c>
      <c r="Z151" s="142" t="str">
        <f ca="1">IF(S151=" "," ",X151/(1+'депозитный калькулятор'!$K$8)^(T151/IF('депозитный калькулятор'!$G$7="30/360",360,365)))</f>
        <v xml:space="preserve"> </v>
      </c>
      <c r="AA151" s="151"/>
      <c r="AB151" s="151"/>
      <c r="AC151" s="155"/>
      <c r="AD151" s="155"/>
    </row>
    <row r="152" spans="1:30" s="2" customFormat="1" ht="15.5" x14ac:dyDescent="0.35">
      <c r="A152" s="41" t="str">
        <f>IF(F152=" "," ",IF(OR('депозитный калькулятор'!$G$7="30/365",'депозитный калькулятор'!$G$7="30/360"),IF(AND(MONTH(F152)=2,DAY(F152)=DAY(EOMONTH(F152,0))),30-DAY(EOMONTH(F152,0)),IF(DAY(F152)=31,1," "))," "))</f>
        <v xml:space="preserve"> </v>
      </c>
      <c r="B152" s="130" t="str">
        <f t="shared" ref="B152:B215" si="11">IF(F152=" "," ",IF(O152&lt;&gt;0,1,0))</f>
        <v xml:space="preserve"> </v>
      </c>
      <c r="C152" s="130" t="str">
        <f>IF(OR(B152=0,B152=" ")," ",SUM($B$23:B152))</f>
        <v xml:space="preserve"> </v>
      </c>
      <c r="D152" s="62" t="str">
        <f>IF(D151=" "," ",IF(OR(F151='депозитный калькулятор'!$D$8,F151=" ")," ",D151+1))</f>
        <v xml:space="preserve"> </v>
      </c>
      <c r="E152" s="130" t="str">
        <f>IF(OR(F151='депозитный калькулятор'!$D$8,F151=" ")," ",IF(EOMONTH(F151,0)=F151,1,E151+1))</f>
        <v xml:space="preserve"> </v>
      </c>
      <c r="F152" s="64" t="str">
        <f>IF(F151=" "," ",IF(F151='депозитный калькулятор'!$D$8," ",F151+1))</f>
        <v xml:space="preserve"> </v>
      </c>
      <c r="G152" s="145" t="str">
        <f xml:space="preserve"> IF(F152&gt;'депозитный калькулятор'!$D$8," ",IF('депозитный калькулятор'!$G$13="есть",IF('депозитный калькулятор'!$G$14="есть",G151+IF(I151=" ",0,I151)-J152-K152+L152+M152-N152,G151+IF(I151=" ",0,I151)-J152-K152+M152-N152),IF('депозитный калькулятор'!$G$14="есть",G151-J152-K152+L152+M152-N152,G151-J152-K152+M152-N152)))</f>
        <v xml:space="preserve"> </v>
      </c>
      <c r="H152" s="133" t="str">
        <f>IF(F152&gt;'депозитный калькулятор'!$D$8," ",IF(AND(OR('депозитный калькулятор'!$G$7="30/365",'депозитный калькулятор'!$G$7="30/360"),AND(MONTH(F152)=2,EOMONTH(F152,0)=F152)),IF(DAY(F152)=28,3*G152*'депозитный калькулятор'!$G$8,2*G152*'депозитный калькулятор'!$G$8),IF(AND(OR('депозитный калькулятор'!$G$7="30/365",'депозитный калькулятор'!$G$7="30/360"),DAY(F152)=31)," ",IF(AND('депозитный калькулятор'!$G$7="факт/факт",MOD(YEAR(F152),4)=0),G152*'депозитный калькулятор'!$D$11/366,G152*'депозитный калькулятор'!$G$8))))</f>
        <v xml:space="preserve"> </v>
      </c>
      <c r="I152" s="134" t="str">
        <f ca="1">IF(F152=" "," ",IF('депозитный калькулятор'!$G$10="ежедневное",H152,IF(AND('депозитный калькулятор'!$G$10="еженедельное",WEEKDAY(F152,2)=7),SUM(OFFSET(H152,-6,0):H152),IF(AND('депозитный калькулятор'!$G$10="еженедельное",F152='депозитный калькулятор'!$D$8),SUM($H$23:H152)-SUM($I$23:I151),IF(AND('депозитный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недели",WEEKDAY(F152,2)=7),MIN(OFFSET(H152,-6,0):H152)*(COUNTIF(OFFSET(H152,-6,0):H152,"&gt;0")+SUMIF(OFFSET(A152,-WEEKDAY(F152,2),0):A152,"=2",OFFSET(A152,-WEEKDAY(F152,2),0):A152)),IF(AND('депозитный калькулятор'!$G$10="еженедельное, на минимальную сумму зафиксированную в течение недели",F152='депозитный калькулятор'!$D$8,WEEKDAY(F152,2)&lt;&gt;7),MIN(OFFSET(H152,-WEEKDAY(F152,2),0):H152)*(COUNTIF(OFFSET(H152,-WEEKDAY(F152,2)+1,0):H152,"&gt;0")+SUM(OFFSET(A152,-WEEKDAY(F152,2),0):A152)),IF(AND('депозитный калькулятор'!$G$10="ежемесячное (в конце месяца)",F152='депозитный калькулятор'!$D$8,EOMONTH(F152,0)&lt;&gt;F152),IF('депозитный калькулятор'!$F$1=1,$H$24,SUM($H$23:H152)-SUM($I$23:I151)),IF(AND('депозитный калькулятор'!$G$10="ежемесячное (в конце месяца)",EOMONTH(F152,0)=F152),SUM($H$23:H152)-SUM($I$23:I151),IF(AND('депозитный калькулятор'!$G$10="ежемесячное (по дням открытия вклада)",F152='депозитный калькулятор'!$D$8,DAY('депозитный калькулятор'!$D$7)&lt;&gt;DAY(F152)),IF('депозитный калькулятор'!$F$1=1,$H$24,SUM($H$23:H152)-SUM($I$23:I151)),IF(AND('депозитный калькулятор'!$G$10="ежемесячное (по дням открытия вклада)",DAY('депозитный калькулятор'!$D$7)=DAY(F152)),SUM($H$23:H152)-SUM($I$23:I151),IF(AND('депозитный калькулятор'!$G$10="ежемесячное, на минимальную сумму зафиксированную в течение месяца",F152='депозитный калькулятор'!$D$8,EOMONTH(F152,0)&lt;&gt;F152),IF('депозитный калькулятор'!$F$1=1,$H$24,IF(AND(OR('депозитный калькулятор'!$G$7="30/365",'депозитный калькулятор'!$G$7="30/360"),DAY(F152)=31),0,MIN(OFFSET(H152,-E152+1,0):H152)*(E152+SUMIF(OFFSET(A152,-E152+1,0):A152,"=2",OFFSET(A152,-E152+1,0):A152)))),IF(AND('депозитный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калькулятор'!$G$7="30/360"),DAY(EOMONTH(F152,0))=31),EOMONTH(F152,0)-1=F152,EOMONTH(F152,0)=F152)),IF(IF(AND(OR('депозитный калькулятор'!$G$7="30/365",'депозитный калькулятор'!$G$7="30/360"),DAY(EOMONTH($F$23,0))=31),F152=EOMONTH($F$23,0)-1,F152=EOMONTH($F$23,0)),MIN(OFFSET(H152,-(DAY(F152)-DAY($F$23)),0):H152)*E152,MIN(OFFSET(H152,-(DAY(F152)-1),0):H152)*IF(AND(OR('депозитный калькулятор'!$G$7="30/365",'депозитный калькулятор'!$G$7="30/360"),DAY(F152)&lt;30),30,DAY(F152))),IF(AND('депозитный калькулятор'!$G$10="ежемесячное, на средний остаток в течение месяца, при условии что остаток больше чем ограничение",F152='депозитный калькулятор'!$D$8,EOMONTH(F152,0)&lt;&gt;F152),IF('депозитный калькулятор'!$F$1=1,$H$24,SUM(OFFSET(Q152,-E152+1,0):Q152)),IF(AND('депозитный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калькулятор'!$G$7="30/360"),DAY(EOMONTH(F152,0))=31),EOMONTH(F152,0)-1=F152,EOMONTH(F152,0)=F152)),IF(IF(AND(OR('депозитный калькулятор'!$G$7="30/365",'депозитный калькулятор'!$G$7="30/360"),DAY(EOMONTH($F$24,0))=31),F152=EOMONTH($F$24,0)-1,F152=EOMONTH($F$24,0)),SUM(OFFSET(Q152,-E152+1,0):Q152),SUM(OFFSET(Q152,-E152+1,0):Q152)),IF('депозитный калькулятор'!$G$10="ежеквартальное",IF(F152&gt;'депозитный калькулятор'!$D$8," ",IF(AND(EOMONTH(F152,0)=F152,OR(MONTH(F152)=3,MONTH(F152)=6,MONTH(F152)=9,MONTH(F152)=12)),IF(EDATE(F152,-3)&lt;'депозитный калькулятор'!$D$7,SUM($H$23:H152),IF(MOD(YEAR(F152),4)=0,IF(AND(EOMONTH(F152,0)=F152,OR(MONTH(F152)=3,MONTH(F152)=6)),SUM(OFFSET(H152,-90,0):H152),IF(AND(EOMONTH(F152,0)=F152,OR(MONTH(F152)=9,MONTH(F152)=12)),SUM(OFFSET(H152,-91,0):H152))),IF(AND(EOMONTH(F152,0)=F152,MONTH(F152)=3),SUM(OFFSET(H152,-89,0):H152),IF(AND(EOMONTH(F152,0)=F152,MONTH(F152)=6),SUM(OFFSET(H152,-90,0):H152),IF(AND(EOMONTH(F152,0)=F152,OR(MONTH(F152)=9,MONTH(F152)=12)),SUM(OFFSET(H152,-91,0):H152)))))),IF(F152='депозитный калькулятор'!$D$8,SUM($H$23:H152)-SUM($I$23:I151),0))),IF('депозитный калькулятор'!$G$10="ежегодное",IF(F152&gt;'депозитный калькулятор'!$D$8," ",IF(F152='депозитный калькулятор'!$D$8,SUM($H$23:H152)-SUM($I$23:I151),IF(AND(EOMONTH(F152,0)=F152,MONTH(F152)=12),IF(MOD(YEAR(F151),4)=0,IF(F152-'депозитный калькулятор'!$D$7&lt;366,SUM($H$23:H152),SUM(OFFSET(H152,-365,0):H152)),IF(F152-'депозитный калькулятор'!$D$7&lt;365,SUM($H$23:H152),SUM(OFFSET(H152,-364,0):H152))),0))),IF(AND('депозитный калькулятор'!$G$10="в конце срока",'депозитный калькулятор'!$D$8=F152),SUM($H$23:H152),0))))))))))))))))))</f>
        <v xml:space="preserve"> </v>
      </c>
      <c r="J152" s="59" t="str">
        <f>IF(F152&gt;'депозитный калькулятор'!$D$8," ",IF('депозитный калькулятор'!$G$16="нет",0,IF(AND('депозитный калькулятор'!$G$17="разовая (в конце срока)",F152='депозитный калькулятор'!$D$8),'депозитный калькулятор'!$G$18,IF(AND('депозитный калькулятор'!$G$17="ежемесячная",EOMONTH(F151,0)=F151),'депозитный калькулятор'!$G$18,IF(AND('депозитный калькулятор'!$G$17="ежегодная",DAY(F151)=31,MONTH(F151)=12),'депозитный калькулятор'!$G$18,IF(AND('депозитный калькулятор'!$G$17="ежемесячная в зависимости от остатка",EOMONTH(F151,0)=F151,P151&gt;0),'депозитный калькулятор'!$G$18,IF(AND('депозитный калькулятор'!$G$17="ежегодная в зависимости от остатка",DAY(F151)=31,MONTH(F151)=12,P151&gt;0),'депозитный калькулятор'!$G$18,0)))))))</f>
        <v xml:space="preserve"> </v>
      </c>
      <c r="K152" s="135" t="str">
        <f>IF($F152=" "," ",IFERROR(VLOOKUP($F152,'депозитный калькулятор'!$B$26:$F$70,2,0),0))</f>
        <v xml:space="preserve"> </v>
      </c>
      <c r="L152" s="135" t="str">
        <f>IF($F152=" "," ",IFERROR(VLOOKUP($F152,'депозитный калькулятор'!$B$26:$F$70,3,0),0))</f>
        <v xml:space="preserve"> </v>
      </c>
      <c r="M152" s="135" t="str">
        <f>IF($F152=" "," ",IFERROR(VLOOKUP($F152,'депозитный калькулятор'!$B$26:$F$70,4,0),0))</f>
        <v xml:space="preserve"> </v>
      </c>
      <c r="N152" s="135" t="str">
        <f>IF($F152=" "," ",IFERROR(VLOOKUP($F152,'депозитный калькулятор'!$B$26:$F$70,5,0),0))</f>
        <v xml:space="preserve"> </v>
      </c>
      <c r="O152" s="146" t="str">
        <f>IF(F152&gt;'депозитный калькулятор'!$D$8," ",IF(F152='депозитный калькулятор'!$D$8,IF(AND($F$24='депозитный калькулятор'!$D$8,'депозитный калькулятор'!$G$13="нет"),-G152-IF(I152=" ",0,I152)-IF(AND(OR('депозитный калькулятор'!$G$7="30/365",'депозитный калькулятор'!$G$7="30/360"),'депозитный калькулятор'!$G$10="в начале срока"),I151,0)-L152+M152-N152,-G152-IF(I152=" ",0,I152)-L152+M152-N152),IF('депозитный калькулятор'!$G$13="есть",M152-N152+IF('депозитный калькулятор'!$G$14="есть",0,-L152),-IF(I152=" ",0,I152)-IF(AND(OR('депозитный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срока"),I151,0)+M152-N152+IF('депозитный калькулятор'!$G$14="есть",0,-L152))))</f>
        <v xml:space="preserve"> </v>
      </c>
      <c r="P152" s="147" t="str">
        <f>IF(F152&gt;'депозитный калькулятор'!$D$8," ",IF(EOMONTH(F151,0)=F151,0,IF(G152&gt;='депозитный калькулятор'!$G$19,P151,P151+1)))</f>
        <v xml:space="preserve"> </v>
      </c>
      <c r="Q152" s="138" t="str">
        <f>IF(F152=" "," ",IF(AND(OR('депозитный калькулятор'!$G$7="30/365",'депозитный калькулятор'!$G$7="30/360"),AND(MONTH(F152)=2,EOMONTH(F152,0)=F152)),IF(DAY(F152)=28,3,2),1)*IF(G152&gt;='депозитный калькулятор'!$G$11,IF(AND('депозитный калькулятор'!$G$7="факт/факт",MOD(YEAR(F152),4)=0),G152*'депозитный калькулятор'!$D$11/366,G152*'депозитный калькулятор'!$G$8),0))</f>
        <v xml:space="preserve"> </v>
      </c>
      <c r="R152" s="148"/>
      <c r="S152" s="62" t="str">
        <f t="shared" ref="S152:S215" ca="1" si="12">IF(S151&lt;COUNTIFS($B$23:$B$1023,"&gt;0"),S151+1," ")</f>
        <v xml:space="preserve"> </v>
      </c>
      <c r="T152" s="149" t="str">
        <f ca="1">IF(S152=" "," ",IF('депозитный калькулятор'!$G$7="30/360",DAYS360(U151,IF(DAY(U152)=31,U152-1,U152))+IF(AND(MONTH(U152)=2,U152=EOMONTH(U152,0)),30-DAY(EOMONTH(U152,0)))+T151,VLOOKUP(S152,$C$22:$F$1023,2,0)))</f>
        <v xml:space="preserve"> </v>
      </c>
      <c r="U152" s="64" t="str">
        <f t="shared" ca="1" si="10"/>
        <v xml:space="preserve"> </v>
      </c>
      <c r="V152" s="150" t="str">
        <f t="shared" ref="V152:V215" ca="1" si="13">VLOOKUP(U152,$F$24:$O$1023,10)</f>
        <v xml:space="preserve"> </v>
      </c>
      <c r="W152" s="62" t="str">
        <f t="shared" ref="W152:W215" ca="1" si="14">IF(S152=" "," ",VLOOKUP(U152,$F$24:$N$1023,8))</f>
        <v xml:space="preserve"> </v>
      </c>
      <c r="X152" s="141" t="str">
        <f ca="1">IF(S152=" "," ",IFERROR(VLOOKUP(U152,$F$23:$N$1023,7)+VLOOKUP(U152,$F$23:$N$1023,9)+IF(AND('депозитный калькулятор'!$G$13="нет",U152&lt;&gt;'депозитный калькулятор'!$D$8),VLOOKUP(U152,$F$23:$N$1023,4),0),0)+IF(U152='депозитный калькулятор'!$D$8,VLOOKUP(U152,$F$23:$N$1023,2)+VLOOKUP(U152,$F$23:$N$1023,4),0))</f>
        <v xml:space="preserve"> </v>
      </c>
      <c r="Y152" s="142" t="str">
        <f ca="1">IF(S152=" "," ",W152/(1+'депозитный калькулятор'!$K$8)^(T152/IF('депозитный калькулятор'!$G$7="30/360",360,365)))</f>
        <v xml:space="preserve"> </v>
      </c>
      <c r="Z152" s="142" t="str">
        <f ca="1">IF(S152=" "," ",X152/(1+'депозитный калькулятор'!$K$8)^(T152/IF('депозитный калькулятор'!$G$7="30/360",360,365)))</f>
        <v xml:space="preserve"> </v>
      </c>
      <c r="AA152" s="151"/>
      <c r="AB152" s="151"/>
      <c r="AC152" s="155"/>
      <c r="AD152" s="155"/>
    </row>
    <row r="153" spans="1:30" s="2" customFormat="1" ht="15.5" x14ac:dyDescent="0.35">
      <c r="A153" s="41" t="str">
        <f>IF(F153=" "," ",IF(OR('депозитный калькулятор'!$G$7="30/365",'депозитный калькулятор'!$G$7="30/360"),IF(AND(MONTH(F153)=2,DAY(F153)=DAY(EOMONTH(F153,0))),30-DAY(EOMONTH(F153,0)),IF(DAY(F153)=31,1," "))," "))</f>
        <v xml:space="preserve"> </v>
      </c>
      <c r="B153" s="130" t="str">
        <f t="shared" si="11"/>
        <v xml:space="preserve"> </v>
      </c>
      <c r="C153" s="130" t="str">
        <f>IF(OR(B153=0,B153=" ")," ",SUM($B$23:B153))</f>
        <v xml:space="preserve"> </v>
      </c>
      <c r="D153" s="62" t="str">
        <f>IF(D152=" "," ",IF(OR(F152='депозитный калькулятор'!$D$8,F152=" ")," ",D152+1))</f>
        <v xml:space="preserve"> </v>
      </c>
      <c r="E153" s="130" t="str">
        <f>IF(OR(F152='депозитный калькулятор'!$D$8,F152=" ")," ",IF(EOMONTH(F152,0)=F152,1,E152+1))</f>
        <v xml:space="preserve"> </v>
      </c>
      <c r="F153" s="64" t="str">
        <f>IF(F152=" "," ",IF(F152='депозитный калькулятор'!$D$8," ",F152+1))</f>
        <v xml:space="preserve"> </v>
      </c>
      <c r="G153" s="145" t="str">
        <f xml:space="preserve"> IF(F153&gt;'депозитный калькулятор'!$D$8," ",IF('депозитный калькулятор'!$G$13="есть",IF('депозитный калькулятор'!$G$14="есть",G152+IF(I152=" ",0,I152)-J153-K153+L153+M153-N153,G152+IF(I152=" ",0,I152)-J153-K153+M153-N153),IF('депозитный калькулятор'!$G$14="есть",G152-J153-K153+L153+M153-N153,G152-J153-K153+M153-N153)))</f>
        <v xml:space="preserve"> </v>
      </c>
      <c r="H153" s="133" t="str">
        <f>IF(F153&gt;'депозитный калькулятор'!$D$8," ",IF(AND(OR('депозитный калькулятор'!$G$7="30/365",'депозитный калькулятор'!$G$7="30/360"),AND(MONTH(F153)=2,EOMONTH(F153,0)=F153)),IF(DAY(F153)=28,3*G153*'депозитный калькулятор'!$G$8,2*G153*'депозитный калькулятор'!$G$8),IF(AND(OR('депозитный калькулятор'!$G$7="30/365",'депозитный калькулятор'!$G$7="30/360"),DAY(F153)=31)," ",IF(AND('депозитный калькулятор'!$G$7="факт/факт",MOD(YEAR(F153),4)=0),G153*'депозитный калькулятор'!$D$11/366,G153*'депозитный калькулятор'!$G$8))))</f>
        <v xml:space="preserve"> </v>
      </c>
      <c r="I153" s="134" t="str">
        <f ca="1">IF(F153=" "," ",IF('депозитный калькулятор'!$G$10="ежедневное",H153,IF(AND('депозитный калькулятор'!$G$10="еженедельное",WEEKDAY(F153,2)=7),SUM(OFFSET(H153,-6,0):H153),IF(AND('депозитный калькулятор'!$G$10="еженедельное",F153='депозитный калькулятор'!$D$8),SUM($H$23:H153)-SUM($I$23:I152),IF(AND('депозитный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недели",WEEKDAY(F153,2)=7),MIN(OFFSET(H153,-6,0):H153)*(COUNTIF(OFFSET(H153,-6,0):H153,"&gt;0")+SUMIF(OFFSET(A153,-WEEKDAY(F153,2),0):A153,"=2",OFFSET(A153,-WEEKDAY(F153,2),0):A153)),IF(AND('депозитный калькулятор'!$G$10="еженедельное, на минимальную сумму зафиксированную в течение недели",F153='депозитный калькулятор'!$D$8,WEEKDAY(F153,2)&lt;&gt;7),MIN(OFFSET(H153,-WEEKDAY(F153,2),0):H153)*(COUNTIF(OFFSET(H153,-WEEKDAY(F153,2)+1,0):H153,"&gt;0")+SUM(OFFSET(A153,-WEEKDAY(F153,2),0):A153)),IF(AND('депозитный калькулятор'!$G$10="ежемесячное (в конце месяца)",F153='депозитный калькулятор'!$D$8,EOMONTH(F153,0)&lt;&gt;F153),IF('депозитный калькулятор'!$F$1=1,$H$24,SUM($H$23:H153)-SUM($I$23:I152)),IF(AND('депозитный калькулятор'!$G$10="ежемесячное (в конце месяца)",EOMONTH(F153,0)=F153),SUM($H$23:H153)-SUM($I$23:I152),IF(AND('депозитный калькулятор'!$G$10="ежемесячное (по дням открытия вклада)",F153='депозитный калькулятор'!$D$8,DAY('депозитный калькулятор'!$D$7)&lt;&gt;DAY(F153)),IF('депозитный калькулятор'!$F$1=1,$H$24,SUM($H$23:H153)-SUM($I$23:I152)),IF(AND('депозитный калькулятор'!$G$10="ежемесячное (по дням открытия вклада)",DAY('депозитный калькулятор'!$D$7)=DAY(F153)),SUM($H$23:H153)-SUM($I$23:I152),IF(AND('депозитный калькулятор'!$G$10="ежемесячное, на минимальную сумму зафиксированную в течение месяца",F153='депозитный калькулятор'!$D$8,EOMONTH(F153,0)&lt;&gt;F153),IF('депозитный калькулятор'!$F$1=1,$H$24,IF(AND(OR('депозитный калькулятор'!$G$7="30/365",'депозитный калькулятор'!$G$7="30/360"),DAY(F153)=31),0,MIN(OFFSET(H153,-E153+1,0):H153)*(E153+SUMIF(OFFSET(A153,-E153+1,0):A153,"=2",OFFSET(A153,-E153+1,0):A153)))),IF(AND('депозитный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калькулятор'!$G$7="30/360"),DAY(EOMONTH(F153,0))=31),EOMONTH(F153,0)-1=F153,EOMONTH(F153,0)=F153)),IF(IF(AND(OR('депозитный калькулятор'!$G$7="30/365",'депозитный калькулятор'!$G$7="30/360"),DAY(EOMONTH($F$23,0))=31),F153=EOMONTH($F$23,0)-1,F153=EOMONTH($F$23,0)),MIN(OFFSET(H153,-(DAY(F153)-DAY($F$23)),0):H153)*E153,MIN(OFFSET(H153,-(DAY(F153)-1),0):H153)*IF(AND(OR('депозитный калькулятор'!$G$7="30/365",'депозитный калькулятор'!$G$7="30/360"),DAY(F153)&lt;30),30,DAY(F153))),IF(AND('депозитный калькулятор'!$G$10="ежемесячное, на средний остаток в течение месяца, при условии что остаток больше чем ограничение",F153='депозитный калькулятор'!$D$8,EOMONTH(F153,0)&lt;&gt;F153),IF('депозитный калькулятор'!$F$1=1,$H$24,SUM(OFFSET(Q153,-E153+1,0):Q153)),IF(AND('депозитный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калькулятор'!$G$7="30/360"),DAY(EOMONTH(F153,0))=31),EOMONTH(F153,0)-1=F153,EOMONTH(F153,0)=F153)),IF(IF(AND(OR('депозитный калькулятор'!$G$7="30/365",'депозитный калькулятор'!$G$7="30/360"),DAY(EOMONTH($F$24,0))=31),F153=EOMONTH($F$24,0)-1,F153=EOMONTH($F$24,0)),SUM(OFFSET(Q153,-E153+1,0):Q153),SUM(OFFSET(Q153,-E153+1,0):Q153)),IF('депозитный калькулятор'!$G$10="ежеквартальное",IF(F153&gt;'депозитный калькулятор'!$D$8," ",IF(AND(EOMONTH(F153,0)=F153,OR(MONTH(F153)=3,MONTH(F153)=6,MONTH(F153)=9,MONTH(F153)=12)),IF(EDATE(F153,-3)&lt;'депозитный калькулятор'!$D$7,SUM($H$23:H153),IF(MOD(YEAR(F153),4)=0,IF(AND(EOMONTH(F153,0)=F153,OR(MONTH(F153)=3,MONTH(F153)=6)),SUM(OFFSET(H153,-90,0):H153),IF(AND(EOMONTH(F153,0)=F153,OR(MONTH(F153)=9,MONTH(F153)=12)),SUM(OFFSET(H153,-91,0):H153))),IF(AND(EOMONTH(F153,0)=F153,MONTH(F153)=3),SUM(OFFSET(H153,-89,0):H153),IF(AND(EOMONTH(F153,0)=F153,MONTH(F153)=6),SUM(OFFSET(H153,-90,0):H153),IF(AND(EOMONTH(F153,0)=F153,OR(MONTH(F153)=9,MONTH(F153)=12)),SUM(OFFSET(H153,-91,0):H153)))))),IF(F153='депозитный калькулятор'!$D$8,SUM($H$23:H153)-SUM($I$23:I152),0))),IF('депозитный калькулятор'!$G$10="ежегодное",IF(F153&gt;'депозитный калькулятор'!$D$8," ",IF(F153='депозитный калькулятор'!$D$8,SUM($H$23:H153)-SUM($I$23:I152),IF(AND(EOMONTH(F153,0)=F153,MONTH(F153)=12),IF(MOD(YEAR(F152),4)=0,IF(F153-'депозитный калькулятор'!$D$7&lt;366,SUM($H$23:H153),SUM(OFFSET(H153,-365,0):H153)),IF(F153-'депозитный калькулятор'!$D$7&lt;365,SUM($H$23:H153),SUM(OFFSET(H153,-364,0):H153))),0))),IF(AND('депозитный калькулятор'!$G$10="в конце срока",'депозитный калькулятор'!$D$8=F153),SUM($H$23:H153),0))))))))))))))))))</f>
        <v xml:space="preserve"> </v>
      </c>
      <c r="J153" s="59" t="str">
        <f>IF(F153&gt;'депозитный калькулятор'!$D$8," ",IF('депозитный калькулятор'!$G$16="нет",0,IF(AND('депозитный калькулятор'!$G$17="разовая (в конце срока)",F153='депозитный калькулятор'!$D$8),'депозитный калькулятор'!$G$18,IF(AND('депозитный калькулятор'!$G$17="ежемесячная",EOMONTH(F152,0)=F152),'депозитный калькулятор'!$G$18,IF(AND('депозитный калькулятор'!$G$17="ежегодная",DAY(F152)=31,MONTH(F152)=12),'депозитный калькулятор'!$G$18,IF(AND('депозитный калькулятор'!$G$17="ежемесячная в зависимости от остатка",EOMONTH(F152,0)=F152,P152&gt;0),'депозитный калькулятор'!$G$18,IF(AND('депозитный калькулятор'!$G$17="ежегодная в зависимости от остатка",DAY(F152)=31,MONTH(F152)=12,P152&gt;0),'депозитный калькулятор'!$G$18,0)))))))</f>
        <v xml:space="preserve"> </v>
      </c>
      <c r="K153" s="135" t="str">
        <f>IF($F153=" "," ",IFERROR(VLOOKUP($F153,'депозитный калькулятор'!$B$26:$F$70,2,0),0))</f>
        <v xml:space="preserve"> </v>
      </c>
      <c r="L153" s="135" t="str">
        <f>IF($F153=" "," ",IFERROR(VLOOKUP($F153,'депозитный калькулятор'!$B$26:$F$70,3,0),0))</f>
        <v xml:space="preserve"> </v>
      </c>
      <c r="M153" s="135" t="str">
        <f>IF($F153=" "," ",IFERROR(VLOOKUP($F153,'депозитный калькулятор'!$B$26:$F$70,4,0),0))</f>
        <v xml:space="preserve"> </v>
      </c>
      <c r="N153" s="135" t="str">
        <f>IF($F153=" "," ",IFERROR(VLOOKUP($F153,'депозитный калькулятор'!$B$26:$F$70,5,0),0))</f>
        <v xml:space="preserve"> </v>
      </c>
      <c r="O153" s="146" t="str">
        <f>IF(F153&gt;'депозитный калькулятор'!$D$8," ",IF(F153='депозитный калькулятор'!$D$8,IF(AND($F$24='депозитный калькулятор'!$D$8,'депозитный калькулятор'!$G$13="нет"),-G153-IF(I153=" ",0,I153)-IF(AND(OR('депозитный калькулятор'!$G$7="30/365",'депозитный калькулятор'!$G$7="30/360"),'депозитный калькулятор'!$G$10="в начале срока"),I152,0)-L153+M153-N153,-G153-IF(I153=" ",0,I153)-L153+M153-N153),IF('депозитный калькулятор'!$G$13="есть",M153-N153+IF('депозитный калькулятор'!$G$14="есть",0,-L153),-IF(I153=" ",0,I153)-IF(AND(OR('депозитный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срока"),I152,0)+M153-N153+IF('депозитный калькулятор'!$G$14="есть",0,-L153))))</f>
        <v xml:space="preserve"> </v>
      </c>
      <c r="P153" s="147" t="str">
        <f>IF(F153&gt;'депозитный калькулятор'!$D$8," ",IF(EOMONTH(F152,0)=F152,0,IF(G153&gt;='депозитный калькулятор'!$G$19,P152,P152+1)))</f>
        <v xml:space="preserve"> </v>
      </c>
      <c r="Q153" s="138" t="str">
        <f>IF(F153=" "," ",IF(AND(OR('депозитный калькулятор'!$G$7="30/365",'депозитный калькулятор'!$G$7="30/360"),AND(MONTH(F153)=2,EOMONTH(F153,0)=F153)),IF(DAY(F153)=28,3,2),1)*IF(G153&gt;='депозитный калькулятор'!$G$11,IF(AND('депозитный калькулятор'!$G$7="факт/факт",MOD(YEAR(F153),4)=0),G153*'депозитный калькулятор'!$D$11/366,G153*'депозитный калькулятор'!$G$8),0))</f>
        <v xml:space="preserve"> </v>
      </c>
      <c r="R153" s="148"/>
      <c r="S153" s="62" t="str">
        <f t="shared" ca="1" si="12"/>
        <v xml:space="preserve"> </v>
      </c>
      <c r="T153" s="149" t="str">
        <f ca="1">IF(S153=" "," ",IF('депозитный калькулятор'!$G$7="30/360",DAYS360(U152,IF(DAY(U153)=31,U153-1,U153))+IF(AND(MONTH(U153)=2,U153=EOMONTH(U153,0)),30-DAY(EOMONTH(U153,0)))+T152,VLOOKUP(S153,$C$22:$F$1023,2,0)))</f>
        <v xml:space="preserve"> </v>
      </c>
      <c r="U153" s="64" t="str">
        <f t="shared" ca="1" si="10"/>
        <v xml:space="preserve"> </v>
      </c>
      <c r="V153" s="150" t="str">
        <f t="shared" ca="1" si="13"/>
        <v xml:space="preserve"> </v>
      </c>
      <c r="W153" s="62" t="str">
        <f t="shared" ca="1" si="14"/>
        <v xml:space="preserve"> </v>
      </c>
      <c r="X153" s="141" t="str">
        <f ca="1">IF(S153=" "," ",IFERROR(VLOOKUP(U153,$F$23:$N$1023,7)+VLOOKUP(U153,$F$23:$N$1023,9)+IF(AND('депозитный калькулятор'!$G$13="нет",U153&lt;&gt;'депозитный калькулятор'!$D$8),VLOOKUP(U153,$F$23:$N$1023,4),0),0)+IF(U153='депозитный калькулятор'!$D$8,VLOOKUP(U153,$F$23:$N$1023,2)+VLOOKUP(U153,$F$23:$N$1023,4),0))</f>
        <v xml:space="preserve"> </v>
      </c>
      <c r="Y153" s="142" t="str">
        <f ca="1">IF(S153=" "," ",W153/(1+'депозитный калькулятор'!$K$8)^(T153/IF('депозитный калькулятор'!$G$7="30/360",360,365)))</f>
        <v xml:space="preserve"> </v>
      </c>
      <c r="Z153" s="142" t="str">
        <f ca="1">IF(S153=" "," ",X153/(1+'депозитный калькулятор'!$K$8)^(T153/IF('депозитный калькулятор'!$G$7="30/360",360,365)))</f>
        <v xml:space="preserve"> </v>
      </c>
      <c r="AA153" s="151"/>
      <c r="AB153" s="151"/>
      <c r="AC153" s="155"/>
      <c r="AD153" s="155"/>
    </row>
    <row r="154" spans="1:30" s="2" customFormat="1" ht="15.5" x14ac:dyDescent="0.35">
      <c r="A154" s="41" t="str">
        <f>IF(F154=" "," ",IF(OR('депозитный калькулятор'!$G$7="30/365",'депозитный калькулятор'!$G$7="30/360"),IF(AND(MONTH(F154)=2,DAY(F154)=DAY(EOMONTH(F154,0))),30-DAY(EOMONTH(F154,0)),IF(DAY(F154)=31,1," "))," "))</f>
        <v xml:space="preserve"> </v>
      </c>
      <c r="B154" s="130" t="str">
        <f t="shared" si="11"/>
        <v xml:space="preserve"> </v>
      </c>
      <c r="C154" s="130" t="str">
        <f>IF(OR(B154=0,B154=" ")," ",SUM($B$23:B154))</f>
        <v xml:space="preserve"> </v>
      </c>
      <c r="D154" s="62" t="str">
        <f>IF(D153=" "," ",IF(OR(F153='депозитный калькулятор'!$D$8,F153=" ")," ",D153+1))</f>
        <v xml:space="preserve"> </v>
      </c>
      <c r="E154" s="130" t="str">
        <f>IF(OR(F153='депозитный калькулятор'!$D$8,F153=" ")," ",IF(EOMONTH(F153,0)=F153,1,E153+1))</f>
        <v xml:space="preserve"> </v>
      </c>
      <c r="F154" s="64" t="str">
        <f>IF(F153=" "," ",IF(F153='депозитный калькулятор'!$D$8," ",F153+1))</f>
        <v xml:space="preserve"> </v>
      </c>
      <c r="G154" s="145" t="str">
        <f xml:space="preserve"> IF(F154&gt;'депозитный калькулятор'!$D$8," ",IF('депозитный калькулятор'!$G$13="есть",IF('депозитный калькулятор'!$G$14="есть",G153+IF(I153=" ",0,I153)-J154-K154+L154+M154-N154,G153+IF(I153=" ",0,I153)-J154-K154+M154-N154),IF('депозитный калькулятор'!$G$14="есть",G153-J154-K154+L154+M154-N154,G153-J154-K154+M154-N154)))</f>
        <v xml:space="preserve"> </v>
      </c>
      <c r="H154" s="133" t="str">
        <f>IF(F154&gt;'депозитный калькулятор'!$D$8," ",IF(AND(OR('депозитный калькулятор'!$G$7="30/365",'депозитный калькулятор'!$G$7="30/360"),AND(MONTH(F154)=2,EOMONTH(F154,0)=F154)),IF(DAY(F154)=28,3*G154*'депозитный калькулятор'!$G$8,2*G154*'депозитный калькулятор'!$G$8),IF(AND(OR('депозитный калькулятор'!$G$7="30/365",'депозитный калькулятор'!$G$7="30/360"),DAY(F154)=31)," ",IF(AND('депозитный калькулятор'!$G$7="факт/факт",MOD(YEAR(F154),4)=0),G154*'депозитный калькулятор'!$D$11/366,G154*'депозитный калькулятор'!$G$8))))</f>
        <v xml:space="preserve"> </v>
      </c>
      <c r="I154" s="134" t="str">
        <f ca="1">IF(F154=" "," ",IF('депозитный калькулятор'!$G$10="ежедневное",H154,IF(AND('депозитный калькулятор'!$G$10="еженедельное",WEEKDAY(F154,2)=7),SUM(OFFSET(H154,-6,0):H154),IF(AND('депозитный калькулятор'!$G$10="еженедельное",F154='депозитный калькулятор'!$D$8),SUM($H$23:H154)-SUM($I$23:I153),IF(AND('депозитный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недели",WEEKDAY(F154,2)=7),MIN(OFFSET(H154,-6,0):H154)*(COUNTIF(OFFSET(H154,-6,0):H154,"&gt;0")+SUMIF(OFFSET(A154,-WEEKDAY(F154,2),0):A154,"=2",OFFSET(A154,-WEEKDAY(F154,2),0):A154)),IF(AND('депозитный калькулятор'!$G$10="еженедельное, на минимальную сумму зафиксированную в течение недели",F154='депозитный калькулятор'!$D$8,WEEKDAY(F154,2)&lt;&gt;7),MIN(OFFSET(H154,-WEEKDAY(F154,2),0):H154)*(COUNTIF(OFFSET(H154,-WEEKDAY(F154,2)+1,0):H154,"&gt;0")+SUM(OFFSET(A154,-WEEKDAY(F154,2),0):A154)),IF(AND('депозитный калькулятор'!$G$10="ежемесячное (в конце месяца)",F154='депозитный калькулятор'!$D$8,EOMONTH(F154,0)&lt;&gt;F154),IF('депозитный калькулятор'!$F$1=1,$H$24,SUM($H$23:H154)-SUM($I$23:I153)),IF(AND('депозитный калькулятор'!$G$10="ежемесячное (в конце месяца)",EOMONTH(F154,0)=F154),SUM($H$23:H154)-SUM($I$23:I153),IF(AND('депозитный калькулятор'!$G$10="ежемесячное (по дням открытия вклада)",F154='депозитный калькулятор'!$D$8,DAY('депозитный калькулятор'!$D$7)&lt;&gt;DAY(F154)),IF('депозитный калькулятор'!$F$1=1,$H$24,SUM($H$23:H154)-SUM($I$23:I153)),IF(AND('депозитный калькулятор'!$G$10="ежемесячное (по дням открытия вклада)",DAY('депозитный калькулятор'!$D$7)=DAY(F154)),SUM($H$23:H154)-SUM($I$23:I153),IF(AND('депозитный калькулятор'!$G$10="ежемесячное, на минимальную сумму зафиксированную в течение месяца",F154='депозитный калькулятор'!$D$8,EOMONTH(F154,0)&lt;&gt;F154),IF('депозитный калькулятор'!$F$1=1,$H$24,IF(AND(OR('депозитный калькулятор'!$G$7="30/365",'депозитный калькулятор'!$G$7="30/360"),DAY(F154)=31),0,MIN(OFFSET(H154,-E154+1,0):H154)*(E154+SUMIF(OFFSET(A154,-E154+1,0):A154,"=2",OFFSET(A154,-E154+1,0):A154)))),IF(AND('депозитный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калькулятор'!$G$7="30/360"),DAY(EOMONTH(F154,0))=31),EOMONTH(F154,0)-1=F154,EOMONTH(F154,0)=F154)),IF(IF(AND(OR('депозитный калькулятор'!$G$7="30/365",'депозитный калькулятор'!$G$7="30/360"),DAY(EOMONTH($F$23,0))=31),F154=EOMONTH($F$23,0)-1,F154=EOMONTH($F$23,0)),MIN(OFFSET(H154,-(DAY(F154)-DAY($F$23)),0):H154)*E154,MIN(OFFSET(H154,-(DAY(F154)-1),0):H154)*IF(AND(OR('депозитный калькулятор'!$G$7="30/365",'депозитный калькулятор'!$G$7="30/360"),DAY(F154)&lt;30),30,DAY(F154))),IF(AND('депозитный калькулятор'!$G$10="ежемесячное, на средний остаток в течение месяца, при условии что остаток больше чем ограничение",F154='депозитный калькулятор'!$D$8,EOMONTH(F154,0)&lt;&gt;F154),IF('депозитный калькулятор'!$F$1=1,$H$24,SUM(OFFSET(Q154,-E154+1,0):Q154)),IF(AND('депозитный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калькулятор'!$G$7="30/360"),DAY(EOMONTH(F154,0))=31),EOMONTH(F154,0)-1=F154,EOMONTH(F154,0)=F154)),IF(IF(AND(OR('депозитный калькулятор'!$G$7="30/365",'депозитный калькулятор'!$G$7="30/360"),DAY(EOMONTH($F$24,0))=31),F154=EOMONTH($F$24,0)-1,F154=EOMONTH($F$24,0)),SUM(OFFSET(Q154,-E154+1,0):Q154),SUM(OFFSET(Q154,-E154+1,0):Q154)),IF('депозитный калькулятор'!$G$10="ежеквартальное",IF(F154&gt;'депозитный калькулятор'!$D$8," ",IF(AND(EOMONTH(F154,0)=F154,OR(MONTH(F154)=3,MONTH(F154)=6,MONTH(F154)=9,MONTH(F154)=12)),IF(EDATE(F154,-3)&lt;'депозитный калькулятор'!$D$7,SUM($H$23:H154),IF(MOD(YEAR(F154),4)=0,IF(AND(EOMONTH(F154,0)=F154,OR(MONTH(F154)=3,MONTH(F154)=6)),SUM(OFFSET(H154,-90,0):H154),IF(AND(EOMONTH(F154,0)=F154,OR(MONTH(F154)=9,MONTH(F154)=12)),SUM(OFFSET(H154,-91,0):H154))),IF(AND(EOMONTH(F154,0)=F154,MONTH(F154)=3),SUM(OFFSET(H154,-89,0):H154),IF(AND(EOMONTH(F154,0)=F154,MONTH(F154)=6),SUM(OFFSET(H154,-90,0):H154),IF(AND(EOMONTH(F154,0)=F154,OR(MONTH(F154)=9,MONTH(F154)=12)),SUM(OFFSET(H154,-91,0):H154)))))),IF(F154='депозитный калькулятор'!$D$8,SUM($H$23:H154)-SUM($I$23:I153),0))),IF('депозитный калькулятор'!$G$10="ежегодное",IF(F154&gt;'депозитный калькулятор'!$D$8," ",IF(F154='депозитный калькулятор'!$D$8,SUM($H$23:H154)-SUM($I$23:I153),IF(AND(EOMONTH(F154,0)=F154,MONTH(F154)=12),IF(MOD(YEAR(F153),4)=0,IF(F154-'депозитный калькулятор'!$D$7&lt;366,SUM($H$23:H154),SUM(OFFSET(H154,-365,0):H154)),IF(F154-'депозитный калькулятор'!$D$7&lt;365,SUM($H$23:H154),SUM(OFFSET(H154,-364,0):H154))),0))),IF(AND('депозитный калькулятор'!$G$10="в конце срока",'депозитный калькулятор'!$D$8=F154),SUM($H$23:H154),0))))))))))))))))))</f>
        <v xml:space="preserve"> </v>
      </c>
      <c r="J154" s="59" t="str">
        <f>IF(F154&gt;'депозитный калькулятор'!$D$8," ",IF('депозитный калькулятор'!$G$16="нет",0,IF(AND('депозитный калькулятор'!$G$17="разовая (в конце срока)",F154='депозитный калькулятор'!$D$8),'депозитный калькулятор'!$G$18,IF(AND('депозитный калькулятор'!$G$17="ежемесячная",EOMONTH(F153,0)=F153),'депозитный калькулятор'!$G$18,IF(AND('депозитный калькулятор'!$G$17="ежегодная",DAY(F153)=31,MONTH(F153)=12),'депозитный калькулятор'!$G$18,IF(AND('депозитный калькулятор'!$G$17="ежемесячная в зависимости от остатка",EOMONTH(F153,0)=F153,P153&gt;0),'депозитный калькулятор'!$G$18,IF(AND('депозитный калькулятор'!$G$17="ежегодная в зависимости от остатка",DAY(F153)=31,MONTH(F153)=12,P153&gt;0),'депозитный калькулятор'!$G$18,0)))))))</f>
        <v xml:space="preserve"> </v>
      </c>
      <c r="K154" s="135" t="str">
        <f>IF($F154=" "," ",IFERROR(VLOOKUP($F154,'депозитный калькулятор'!$B$26:$F$70,2,0),0))</f>
        <v xml:space="preserve"> </v>
      </c>
      <c r="L154" s="135" t="str">
        <f>IF($F154=" "," ",IFERROR(VLOOKUP($F154,'депозитный калькулятор'!$B$26:$F$70,3,0),0))</f>
        <v xml:space="preserve"> </v>
      </c>
      <c r="M154" s="135" t="str">
        <f>IF($F154=" "," ",IFERROR(VLOOKUP($F154,'депозитный калькулятор'!$B$26:$F$70,4,0),0))</f>
        <v xml:space="preserve"> </v>
      </c>
      <c r="N154" s="135" t="str">
        <f>IF($F154=" "," ",IFERROR(VLOOKUP($F154,'депозитный калькулятор'!$B$26:$F$70,5,0),0))</f>
        <v xml:space="preserve"> </v>
      </c>
      <c r="O154" s="146" t="str">
        <f>IF(F154&gt;'депозитный калькулятор'!$D$8," ",IF(F154='депозитный калькулятор'!$D$8,IF(AND($F$24='депозитный калькулятор'!$D$8,'депозитный калькулятор'!$G$13="нет"),-G154-IF(I154=" ",0,I154)-IF(AND(OR('депозитный калькулятор'!$G$7="30/365",'депозитный калькулятор'!$G$7="30/360"),'депозитный калькулятор'!$G$10="в начале срока"),I153,0)-L154+M154-N154,-G154-IF(I154=" ",0,I154)-L154+M154-N154),IF('депозитный калькулятор'!$G$13="есть",M154-N154+IF('депозитный калькулятор'!$G$14="есть",0,-L154),-IF(I154=" ",0,I154)-IF(AND(OR('депозитный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срока"),I153,0)+M154-N154+IF('депозитный калькулятор'!$G$14="есть",0,-L154))))</f>
        <v xml:space="preserve"> </v>
      </c>
      <c r="P154" s="147" t="str">
        <f>IF(F154&gt;'депозитный калькулятор'!$D$8," ",IF(EOMONTH(F153,0)=F153,0,IF(G154&gt;='депозитный калькулятор'!$G$19,P153,P153+1)))</f>
        <v xml:space="preserve"> </v>
      </c>
      <c r="Q154" s="138" t="str">
        <f>IF(F154=" "," ",IF(AND(OR('депозитный калькулятор'!$G$7="30/365",'депозитный калькулятор'!$G$7="30/360"),AND(MONTH(F154)=2,EOMONTH(F154,0)=F154)),IF(DAY(F154)=28,3,2),1)*IF(G154&gt;='депозитный калькулятор'!$G$11,IF(AND('депозитный калькулятор'!$G$7="факт/факт",MOD(YEAR(F154),4)=0),G154*'депозитный калькулятор'!$D$11/366,G154*'депозитный калькулятор'!$G$8),0))</f>
        <v xml:space="preserve"> </v>
      </c>
      <c r="R154" s="148"/>
      <c r="S154" s="62" t="str">
        <f t="shared" ca="1" si="12"/>
        <v xml:space="preserve"> </v>
      </c>
      <c r="T154" s="149" t="str">
        <f ca="1">IF(S154=" "," ",IF('депозитный калькулятор'!$G$7="30/360",DAYS360(U153,IF(DAY(U154)=31,U154-1,U154))+IF(AND(MONTH(U154)=2,U154=EOMONTH(U154,0)),30-DAY(EOMONTH(U154,0)))+T153,VLOOKUP(S154,$C$22:$F$1023,2,0)))</f>
        <v xml:space="preserve"> </v>
      </c>
      <c r="U154" s="64" t="str">
        <f t="shared" ca="1" si="10"/>
        <v xml:space="preserve"> </v>
      </c>
      <c r="V154" s="150" t="str">
        <f t="shared" ca="1" si="13"/>
        <v xml:space="preserve"> </v>
      </c>
      <c r="W154" s="62" t="str">
        <f t="shared" ca="1" si="14"/>
        <v xml:space="preserve"> </v>
      </c>
      <c r="X154" s="141" t="str">
        <f ca="1">IF(S154=" "," ",IFERROR(VLOOKUP(U154,$F$23:$N$1023,7)+VLOOKUP(U154,$F$23:$N$1023,9)+IF(AND('депозитный калькулятор'!$G$13="нет",U154&lt;&gt;'депозитный калькулятор'!$D$8),VLOOKUP(U154,$F$23:$N$1023,4),0),0)+IF(U154='депозитный калькулятор'!$D$8,VLOOKUP(U154,$F$23:$N$1023,2)+VLOOKUP(U154,$F$23:$N$1023,4),0))</f>
        <v xml:space="preserve"> </v>
      </c>
      <c r="Y154" s="142" t="str">
        <f ca="1">IF(S154=" "," ",W154/(1+'депозитный калькулятор'!$K$8)^(T154/IF('депозитный калькулятор'!$G$7="30/360",360,365)))</f>
        <v xml:space="preserve"> </v>
      </c>
      <c r="Z154" s="142" t="str">
        <f ca="1">IF(S154=" "," ",X154/(1+'депозитный калькулятор'!$K$8)^(T154/IF('депозитный калькулятор'!$G$7="30/360",360,365)))</f>
        <v xml:space="preserve"> </v>
      </c>
      <c r="AA154" s="151"/>
      <c r="AB154" s="151"/>
      <c r="AC154" s="155"/>
      <c r="AD154" s="155"/>
    </row>
    <row r="155" spans="1:30" s="2" customFormat="1" ht="15.5" x14ac:dyDescent="0.35">
      <c r="A155" s="41" t="str">
        <f>IF(F155=" "," ",IF(OR('депозитный калькулятор'!$G$7="30/365",'депозитный калькулятор'!$G$7="30/360"),IF(AND(MONTH(F155)=2,DAY(F155)=DAY(EOMONTH(F155,0))),30-DAY(EOMONTH(F155,0)),IF(DAY(F155)=31,1," "))," "))</f>
        <v xml:space="preserve"> </v>
      </c>
      <c r="B155" s="130" t="str">
        <f t="shared" si="11"/>
        <v xml:space="preserve"> </v>
      </c>
      <c r="C155" s="130" t="str">
        <f>IF(OR(B155=0,B155=" ")," ",SUM($B$23:B155))</f>
        <v xml:space="preserve"> </v>
      </c>
      <c r="D155" s="62" t="str">
        <f>IF(D154=" "," ",IF(OR(F154='депозитный калькулятор'!$D$8,F154=" ")," ",D154+1))</f>
        <v xml:space="preserve"> </v>
      </c>
      <c r="E155" s="130" t="str">
        <f>IF(OR(F154='депозитный калькулятор'!$D$8,F154=" ")," ",IF(EOMONTH(F154,0)=F154,1,E154+1))</f>
        <v xml:space="preserve"> </v>
      </c>
      <c r="F155" s="64" t="str">
        <f>IF(F154=" "," ",IF(F154='депозитный калькулятор'!$D$8," ",F154+1))</f>
        <v xml:space="preserve"> </v>
      </c>
      <c r="G155" s="145" t="str">
        <f xml:space="preserve"> IF(F155&gt;'депозитный калькулятор'!$D$8," ",IF('депозитный калькулятор'!$G$13="есть",IF('депозитный калькулятор'!$G$14="есть",G154+IF(I154=" ",0,I154)-J155-K155+L155+M155-N155,G154+IF(I154=" ",0,I154)-J155-K155+M155-N155),IF('депозитный калькулятор'!$G$14="есть",G154-J155-K155+L155+M155-N155,G154-J155-K155+M155-N155)))</f>
        <v xml:space="preserve"> </v>
      </c>
      <c r="H155" s="133" t="str">
        <f>IF(F155&gt;'депозитный калькулятор'!$D$8," ",IF(AND(OR('депозитный калькулятор'!$G$7="30/365",'депозитный калькулятор'!$G$7="30/360"),AND(MONTH(F155)=2,EOMONTH(F155,0)=F155)),IF(DAY(F155)=28,3*G155*'депозитный калькулятор'!$G$8,2*G155*'депозитный калькулятор'!$G$8),IF(AND(OR('депозитный калькулятор'!$G$7="30/365",'депозитный калькулятор'!$G$7="30/360"),DAY(F155)=31)," ",IF(AND('депозитный калькулятор'!$G$7="факт/факт",MOD(YEAR(F155),4)=0),G155*'депозитный калькулятор'!$D$11/366,G155*'депозитный калькулятор'!$G$8))))</f>
        <v xml:space="preserve"> </v>
      </c>
      <c r="I155" s="134" t="str">
        <f ca="1">IF(F155=" "," ",IF('депозитный калькулятор'!$G$10="ежедневное",H155,IF(AND('депозитный калькулятор'!$G$10="еженедельное",WEEKDAY(F155,2)=7),SUM(OFFSET(H155,-6,0):H155),IF(AND('депозитный калькулятор'!$G$10="еженедельное",F155='депозитный калькулятор'!$D$8),SUM($H$23:H155)-SUM($I$23:I154),IF(AND('депозитный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недели",WEEKDAY(F155,2)=7),MIN(OFFSET(H155,-6,0):H155)*(COUNTIF(OFFSET(H155,-6,0):H155,"&gt;0")+SUMIF(OFFSET(A155,-WEEKDAY(F155,2),0):A155,"=2",OFFSET(A155,-WEEKDAY(F155,2),0):A155)),IF(AND('депозитный калькулятор'!$G$10="еженедельное, на минимальную сумму зафиксированную в течение недели",F155='депозитный калькулятор'!$D$8,WEEKDAY(F155,2)&lt;&gt;7),MIN(OFFSET(H155,-WEEKDAY(F155,2),0):H155)*(COUNTIF(OFFSET(H155,-WEEKDAY(F155,2)+1,0):H155,"&gt;0")+SUM(OFFSET(A155,-WEEKDAY(F155,2),0):A155)),IF(AND('депозитный калькулятор'!$G$10="ежемесячное (в конце месяца)",F155='депозитный калькулятор'!$D$8,EOMONTH(F155,0)&lt;&gt;F155),IF('депозитный калькулятор'!$F$1=1,$H$24,SUM($H$23:H155)-SUM($I$23:I154)),IF(AND('депозитный калькулятор'!$G$10="ежемесячное (в конце месяца)",EOMONTH(F155,0)=F155),SUM($H$23:H155)-SUM($I$23:I154),IF(AND('депозитный калькулятор'!$G$10="ежемесячное (по дням открытия вклада)",F155='депозитный калькулятор'!$D$8,DAY('депозитный калькулятор'!$D$7)&lt;&gt;DAY(F155)),IF('депозитный калькулятор'!$F$1=1,$H$24,SUM($H$23:H155)-SUM($I$23:I154)),IF(AND('депозитный калькулятор'!$G$10="ежемесячное (по дням открытия вклада)",DAY('депозитный калькулятор'!$D$7)=DAY(F155)),SUM($H$23:H155)-SUM($I$23:I154),IF(AND('депозитный калькулятор'!$G$10="ежемесячное, на минимальную сумму зафиксированную в течение месяца",F155='депозитный калькулятор'!$D$8,EOMONTH(F155,0)&lt;&gt;F155),IF('депозитный калькулятор'!$F$1=1,$H$24,IF(AND(OR('депозитный калькулятор'!$G$7="30/365",'депозитный калькулятор'!$G$7="30/360"),DAY(F155)=31),0,MIN(OFFSET(H155,-E155+1,0):H155)*(E155+SUMIF(OFFSET(A155,-E155+1,0):A155,"=2",OFFSET(A155,-E155+1,0):A155)))),IF(AND('депозитный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калькулятор'!$G$7="30/360"),DAY(EOMONTH(F155,0))=31),EOMONTH(F155,0)-1=F155,EOMONTH(F155,0)=F155)),IF(IF(AND(OR('депозитный калькулятор'!$G$7="30/365",'депозитный калькулятор'!$G$7="30/360"),DAY(EOMONTH($F$23,0))=31),F155=EOMONTH($F$23,0)-1,F155=EOMONTH($F$23,0)),MIN(OFFSET(H155,-(DAY(F155)-DAY($F$23)),0):H155)*E155,MIN(OFFSET(H155,-(DAY(F155)-1),0):H155)*IF(AND(OR('депозитный калькулятор'!$G$7="30/365",'депозитный калькулятор'!$G$7="30/360"),DAY(F155)&lt;30),30,DAY(F155))),IF(AND('депозитный калькулятор'!$G$10="ежемесячное, на средний остаток в течение месяца, при условии что остаток больше чем ограничение",F155='депозитный калькулятор'!$D$8,EOMONTH(F155,0)&lt;&gt;F155),IF('депозитный калькулятор'!$F$1=1,$H$24,SUM(OFFSET(Q155,-E155+1,0):Q155)),IF(AND('депозитный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калькулятор'!$G$7="30/360"),DAY(EOMONTH(F155,0))=31),EOMONTH(F155,0)-1=F155,EOMONTH(F155,0)=F155)),IF(IF(AND(OR('депозитный калькулятор'!$G$7="30/365",'депозитный калькулятор'!$G$7="30/360"),DAY(EOMONTH($F$24,0))=31),F155=EOMONTH($F$24,0)-1,F155=EOMONTH($F$24,0)),SUM(OFFSET(Q155,-E155+1,0):Q155),SUM(OFFSET(Q155,-E155+1,0):Q155)),IF('депозитный калькулятор'!$G$10="ежеквартальное",IF(F155&gt;'депозитный калькулятор'!$D$8," ",IF(AND(EOMONTH(F155,0)=F155,OR(MONTH(F155)=3,MONTH(F155)=6,MONTH(F155)=9,MONTH(F155)=12)),IF(EDATE(F155,-3)&lt;'депозитный калькулятор'!$D$7,SUM($H$23:H155),IF(MOD(YEAR(F155),4)=0,IF(AND(EOMONTH(F155,0)=F155,OR(MONTH(F155)=3,MONTH(F155)=6)),SUM(OFFSET(H155,-90,0):H155),IF(AND(EOMONTH(F155,0)=F155,OR(MONTH(F155)=9,MONTH(F155)=12)),SUM(OFFSET(H155,-91,0):H155))),IF(AND(EOMONTH(F155,0)=F155,MONTH(F155)=3),SUM(OFFSET(H155,-89,0):H155),IF(AND(EOMONTH(F155,0)=F155,MONTH(F155)=6),SUM(OFFSET(H155,-90,0):H155),IF(AND(EOMONTH(F155,0)=F155,OR(MONTH(F155)=9,MONTH(F155)=12)),SUM(OFFSET(H155,-91,0):H155)))))),IF(F155='депозитный калькулятор'!$D$8,SUM($H$23:H155)-SUM($I$23:I154),0))),IF('депозитный калькулятор'!$G$10="ежегодное",IF(F155&gt;'депозитный калькулятор'!$D$8," ",IF(F155='депозитный калькулятор'!$D$8,SUM($H$23:H155)-SUM($I$23:I154),IF(AND(EOMONTH(F155,0)=F155,MONTH(F155)=12),IF(MOD(YEAR(F154),4)=0,IF(F155-'депозитный калькулятор'!$D$7&lt;366,SUM($H$23:H155),SUM(OFFSET(H155,-365,0):H155)),IF(F155-'депозитный калькулятор'!$D$7&lt;365,SUM($H$23:H155),SUM(OFFSET(H155,-364,0):H155))),0))),IF(AND('депозитный калькулятор'!$G$10="в конце срока",'депозитный калькулятор'!$D$8=F155),SUM($H$23:H155),0))))))))))))))))))</f>
        <v xml:space="preserve"> </v>
      </c>
      <c r="J155" s="59" t="str">
        <f>IF(F155&gt;'депозитный калькулятор'!$D$8," ",IF('депозитный калькулятор'!$G$16="нет",0,IF(AND('депозитный калькулятор'!$G$17="разовая (в конце срока)",F155='депозитный калькулятор'!$D$8),'депозитный калькулятор'!$G$18,IF(AND('депозитный калькулятор'!$G$17="ежемесячная",EOMONTH(F154,0)=F154),'депозитный калькулятор'!$G$18,IF(AND('депозитный калькулятор'!$G$17="ежегодная",DAY(F154)=31,MONTH(F154)=12),'депозитный калькулятор'!$G$18,IF(AND('депозитный калькулятор'!$G$17="ежемесячная в зависимости от остатка",EOMONTH(F154,0)=F154,P154&gt;0),'депозитный калькулятор'!$G$18,IF(AND('депозитный калькулятор'!$G$17="ежегодная в зависимости от остатка",DAY(F154)=31,MONTH(F154)=12,P154&gt;0),'депозитный калькулятор'!$G$18,0)))))))</f>
        <v xml:space="preserve"> </v>
      </c>
      <c r="K155" s="135" t="str">
        <f>IF($F155=" "," ",IFERROR(VLOOKUP($F155,'депозитный калькулятор'!$B$26:$F$70,2,0),0))</f>
        <v xml:space="preserve"> </v>
      </c>
      <c r="L155" s="135" t="str">
        <f>IF($F155=" "," ",IFERROR(VLOOKUP($F155,'депозитный калькулятор'!$B$26:$F$70,3,0),0))</f>
        <v xml:space="preserve"> </v>
      </c>
      <c r="M155" s="135" t="str">
        <f>IF($F155=" "," ",IFERROR(VLOOKUP($F155,'депозитный калькулятор'!$B$26:$F$70,4,0),0))</f>
        <v xml:space="preserve"> </v>
      </c>
      <c r="N155" s="135" t="str">
        <f>IF($F155=" "," ",IFERROR(VLOOKUP($F155,'депозитный калькулятор'!$B$26:$F$70,5,0),0))</f>
        <v xml:space="preserve"> </v>
      </c>
      <c r="O155" s="146" t="str">
        <f>IF(F155&gt;'депозитный калькулятор'!$D$8," ",IF(F155='депозитный калькулятор'!$D$8,IF(AND($F$24='депозитный калькулятор'!$D$8,'депозитный калькулятор'!$G$13="нет"),-G155-IF(I155=" ",0,I155)-IF(AND(OR('депозитный калькулятор'!$G$7="30/365",'депозитный калькулятор'!$G$7="30/360"),'депозитный калькулятор'!$G$10="в начале срока"),I154,0)-L155+M155-N155,-G155-IF(I155=" ",0,I155)-L155+M155-N155),IF('депозитный калькулятор'!$G$13="есть",M155-N155+IF('депозитный калькулятор'!$G$14="есть",0,-L155),-IF(I155=" ",0,I155)-IF(AND(OR('депозитный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срока"),I154,0)+M155-N155+IF('депозитный калькулятор'!$G$14="есть",0,-L155))))</f>
        <v xml:space="preserve"> </v>
      </c>
      <c r="P155" s="147" t="str">
        <f>IF(F155&gt;'депозитный калькулятор'!$D$8," ",IF(EOMONTH(F154,0)=F154,0,IF(G155&gt;='депозитный калькулятор'!$G$19,P154,P154+1)))</f>
        <v xml:space="preserve"> </v>
      </c>
      <c r="Q155" s="138" t="str">
        <f>IF(F155=" "," ",IF(AND(OR('депозитный калькулятор'!$G$7="30/365",'депозитный калькулятор'!$G$7="30/360"),AND(MONTH(F155)=2,EOMONTH(F155,0)=F155)),IF(DAY(F155)=28,3,2),1)*IF(G155&gt;='депозитный калькулятор'!$G$11,IF(AND('депозитный калькулятор'!$G$7="факт/факт",MOD(YEAR(F155),4)=0),G155*'депозитный калькулятор'!$D$11/366,G155*'депозитный калькулятор'!$G$8),0))</f>
        <v xml:space="preserve"> </v>
      </c>
      <c r="R155" s="148"/>
      <c r="S155" s="62" t="str">
        <f t="shared" ca="1" si="12"/>
        <v xml:space="preserve"> </v>
      </c>
      <c r="T155" s="149" t="str">
        <f ca="1">IF(S155=" "," ",IF('депозитный калькулятор'!$G$7="30/360",DAYS360(U154,IF(DAY(U155)=31,U155-1,U155))+IF(AND(MONTH(U155)=2,U155=EOMONTH(U155,0)),30-DAY(EOMONTH(U155,0)))+T154,VLOOKUP(S155,$C$22:$F$1023,2,0)))</f>
        <v xml:space="preserve"> </v>
      </c>
      <c r="U155" s="64" t="str">
        <f t="shared" ca="1" si="10"/>
        <v xml:space="preserve"> </v>
      </c>
      <c r="V155" s="150" t="str">
        <f t="shared" ca="1" si="13"/>
        <v xml:space="preserve"> </v>
      </c>
      <c r="W155" s="62" t="str">
        <f t="shared" ca="1" si="14"/>
        <v xml:space="preserve"> </v>
      </c>
      <c r="X155" s="141" t="str">
        <f ca="1">IF(S155=" "," ",IFERROR(VLOOKUP(U155,$F$23:$N$1023,7)+VLOOKUP(U155,$F$23:$N$1023,9)+IF(AND('депозитный калькулятор'!$G$13="нет",U155&lt;&gt;'депозитный калькулятор'!$D$8),VLOOKUP(U155,$F$23:$N$1023,4),0),0)+IF(U155='депозитный калькулятор'!$D$8,VLOOKUP(U155,$F$23:$N$1023,2)+VLOOKUP(U155,$F$23:$N$1023,4),0))</f>
        <v xml:space="preserve"> </v>
      </c>
      <c r="Y155" s="142" t="str">
        <f ca="1">IF(S155=" "," ",W155/(1+'депозитный калькулятор'!$K$8)^(T155/IF('депозитный калькулятор'!$G$7="30/360",360,365)))</f>
        <v xml:space="preserve"> </v>
      </c>
      <c r="Z155" s="142" t="str">
        <f ca="1">IF(S155=" "," ",X155/(1+'депозитный калькулятор'!$K$8)^(T155/IF('депозитный калькулятор'!$G$7="30/360",360,365)))</f>
        <v xml:space="preserve"> </v>
      </c>
      <c r="AA155" s="151"/>
      <c r="AB155" s="151"/>
      <c r="AC155" s="155"/>
      <c r="AD155" s="155"/>
    </row>
    <row r="156" spans="1:30" s="2" customFormat="1" ht="15.5" x14ac:dyDescent="0.35">
      <c r="A156" s="41" t="str">
        <f>IF(F156=" "," ",IF(OR('депозитный калькулятор'!$G$7="30/365",'депозитный калькулятор'!$G$7="30/360"),IF(AND(MONTH(F156)=2,DAY(F156)=DAY(EOMONTH(F156,0))),30-DAY(EOMONTH(F156,0)),IF(DAY(F156)=31,1," "))," "))</f>
        <v xml:space="preserve"> </v>
      </c>
      <c r="B156" s="130" t="str">
        <f t="shared" si="11"/>
        <v xml:space="preserve"> </v>
      </c>
      <c r="C156" s="130" t="str">
        <f>IF(OR(B156=0,B156=" ")," ",SUM($B$23:B156))</f>
        <v xml:space="preserve"> </v>
      </c>
      <c r="D156" s="62" t="str">
        <f>IF(D155=" "," ",IF(OR(F155='депозитный калькулятор'!$D$8,F155=" ")," ",D155+1))</f>
        <v xml:space="preserve"> </v>
      </c>
      <c r="E156" s="130" t="str">
        <f>IF(OR(F155='депозитный калькулятор'!$D$8,F155=" ")," ",IF(EOMONTH(F155,0)=F155,1,E155+1))</f>
        <v xml:space="preserve"> </v>
      </c>
      <c r="F156" s="64" t="str">
        <f>IF(F155=" "," ",IF(F155='депозитный калькулятор'!$D$8," ",F155+1))</f>
        <v xml:space="preserve"> </v>
      </c>
      <c r="G156" s="145" t="str">
        <f xml:space="preserve"> IF(F156&gt;'депозитный калькулятор'!$D$8," ",IF('депозитный калькулятор'!$G$13="есть",IF('депозитный калькулятор'!$G$14="есть",G155+IF(I155=" ",0,I155)-J156-K156+L156+M156-N156,G155+IF(I155=" ",0,I155)-J156-K156+M156-N156),IF('депозитный калькулятор'!$G$14="есть",G155-J156-K156+L156+M156-N156,G155-J156-K156+M156-N156)))</f>
        <v xml:space="preserve"> </v>
      </c>
      <c r="H156" s="133" t="str">
        <f>IF(F156&gt;'депозитный калькулятор'!$D$8," ",IF(AND(OR('депозитный калькулятор'!$G$7="30/365",'депозитный калькулятор'!$G$7="30/360"),AND(MONTH(F156)=2,EOMONTH(F156,0)=F156)),IF(DAY(F156)=28,3*G156*'депозитный калькулятор'!$G$8,2*G156*'депозитный калькулятор'!$G$8),IF(AND(OR('депозитный калькулятор'!$G$7="30/365",'депозитный калькулятор'!$G$7="30/360"),DAY(F156)=31)," ",IF(AND('депозитный калькулятор'!$G$7="факт/факт",MOD(YEAR(F156),4)=0),G156*'депозитный калькулятор'!$D$11/366,G156*'депозитный калькулятор'!$G$8))))</f>
        <v xml:space="preserve"> </v>
      </c>
      <c r="I156" s="134" t="str">
        <f ca="1">IF(F156=" "," ",IF('депозитный калькулятор'!$G$10="ежедневное",H156,IF(AND('депозитный калькулятор'!$G$10="еженедельное",WEEKDAY(F156,2)=7),SUM(OFFSET(H156,-6,0):H156),IF(AND('депозитный калькулятор'!$G$10="еженедельное",F156='депозитный калькулятор'!$D$8),SUM($H$23:H156)-SUM($I$23:I155),IF(AND('депозитный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недели",WEEKDAY(F156,2)=7),MIN(OFFSET(H156,-6,0):H156)*(COUNTIF(OFFSET(H156,-6,0):H156,"&gt;0")+SUMIF(OFFSET(A156,-WEEKDAY(F156,2),0):A156,"=2",OFFSET(A156,-WEEKDAY(F156,2),0):A156)),IF(AND('депозитный калькулятор'!$G$10="еженедельное, на минимальную сумму зафиксированную в течение недели",F156='депозитный калькулятор'!$D$8,WEEKDAY(F156,2)&lt;&gt;7),MIN(OFFSET(H156,-WEEKDAY(F156,2),0):H156)*(COUNTIF(OFFSET(H156,-WEEKDAY(F156,2)+1,0):H156,"&gt;0")+SUM(OFFSET(A156,-WEEKDAY(F156,2),0):A156)),IF(AND('депозитный калькулятор'!$G$10="ежемесячное (в конце месяца)",F156='депозитный калькулятор'!$D$8,EOMONTH(F156,0)&lt;&gt;F156),IF('депозитный калькулятор'!$F$1=1,$H$24,SUM($H$23:H156)-SUM($I$23:I155)),IF(AND('депозитный калькулятор'!$G$10="ежемесячное (в конце месяца)",EOMONTH(F156,0)=F156),SUM($H$23:H156)-SUM($I$23:I155),IF(AND('депозитный калькулятор'!$G$10="ежемесячное (по дням открытия вклада)",F156='депозитный калькулятор'!$D$8,DAY('депозитный калькулятор'!$D$7)&lt;&gt;DAY(F156)),IF('депозитный калькулятор'!$F$1=1,$H$24,SUM($H$23:H156)-SUM($I$23:I155)),IF(AND('депозитный калькулятор'!$G$10="ежемесячное (по дням открытия вклада)",DAY('депозитный калькулятор'!$D$7)=DAY(F156)),SUM($H$23:H156)-SUM($I$23:I155),IF(AND('депозитный калькулятор'!$G$10="ежемесячное, на минимальную сумму зафиксированную в течение месяца",F156='депозитный калькулятор'!$D$8,EOMONTH(F156,0)&lt;&gt;F156),IF('депозитный калькулятор'!$F$1=1,$H$24,IF(AND(OR('депозитный калькулятор'!$G$7="30/365",'депозитный калькулятор'!$G$7="30/360"),DAY(F156)=31),0,MIN(OFFSET(H156,-E156+1,0):H156)*(E156+SUMIF(OFFSET(A156,-E156+1,0):A156,"=2",OFFSET(A156,-E156+1,0):A156)))),IF(AND('депозитный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калькулятор'!$G$7="30/360"),DAY(EOMONTH(F156,0))=31),EOMONTH(F156,0)-1=F156,EOMONTH(F156,0)=F156)),IF(IF(AND(OR('депозитный калькулятор'!$G$7="30/365",'депозитный калькулятор'!$G$7="30/360"),DAY(EOMONTH($F$23,0))=31),F156=EOMONTH($F$23,0)-1,F156=EOMONTH($F$23,0)),MIN(OFFSET(H156,-(DAY(F156)-DAY($F$23)),0):H156)*E156,MIN(OFFSET(H156,-(DAY(F156)-1),0):H156)*IF(AND(OR('депозитный калькулятор'!$G$7="30/365",'депозитный калькулятор'!$G$7="30/360"),DAY(F156)&lt;30),30,DAY(F156))),IF(AND('депозитный калькулятор'!$G$10="ежемесячное, на средний остаток в течение месяца, при условии что остаток больше чем ограничение",F156='депозитный калькулятор'!$D$8,EOMONTH(F156,0)&lt;&gt;F156),IF('депозитный калькулятор'!$F$1=1,$H$24,SUM(OFFSET(Q156,-E156+1,0):Q156)),IF(AND('депозитный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калькулятор'!$G$7="30/360"),DAY(EOMONTH(F156,0))=31),EOMONTH(F156,0)-1=F156,EOMONTH(F156,0)=F156)),IF(IF(AND(OR('депозитный калькулятор'!$G$7="30/365",'депозитный калькулятор'!$G$7="30/360"),DAY(EOMONTH($F$24,0))=31),F156=EOMONTH($F$24,0)-1,F156=EOMONTH($F$24,0)),SUM(OFFSET(Q156,-E156+1,0):Q156),SUM(OFFSET(Q156,-E156+1,0):Q156)),IF('депозитный калькулятор'!$G$10="ежеквартальное",IF(F156&gt;'депозитный калькулятор'!$D$8," ",IF(AND(EOMONTH(F156,0)=F156,OR(MONTH(F156)=3,MONTH(F156)=6,MONTH(F156)=9,MONTH(F156)=12)),IF(EDATE(F156,-3)&lt;'депозитный калькулятор'!$D$7,SUM($H$23:H156),IF(MOD(YEAR(F156),4)=0,IF(AND(EOMONTH(F156,0)=F156,OR(MONTH(F156)=3,MONTH(F156)=6)),SUM(OFFSET(H156,-90,0):H156),IF(AND(EOMONTH(F156,0)=F156,OR(MONTH(F156)=9,MONTH(F156)=12)),SUM(OFFSET(H156,-91,0):H156))),IF(AND(EOMONTH(F156,0)=F156,MONTH(F156)=3),SUM(OFFSET(H156,-89,0):H156),IF(AND(EOMONTH(F156,0)=F156,MONTH(F156)=6),SUM(OFFSET(H156,-90,0):H156),IF(AND(EOMONTH(F156,0)=F156,OR(MONTH(F156)=9,MONTH(F156)=12)),SUM(OFFSET(H156,-91,0):H156)))))),IF(F156='депозитный калькулятор'!$D$8,SUM($H$23:H156)-SUM($I$23:I155),0))),IF('депозитный калькулятор'!$G$10="ежегодное",IF(F156&gt;'депозитный калькулятор'!$D$8," ",IF(F156='депозитный калькулятор'!$D$8,SUM($H$23:H156)-SUM($I$23:I155),IF(AND(EOMONTH(F156,0)=F156,MONTH(F156)=12),IF(MOD(YEAR(F155),4)=0,IF(F156-'депозитный калькулятор'!$D$7&lt;366,SUM($H$23:H156),SUM(OFFSET(H156,-365,0):H156)),IF(F156-'депозитный калькулятор'!$D$7&lt;365,SUM($H$23:H156),SUM(OFFSET(H156,-364,0):H156))),0))),IF(AND('депозитный калькулятор'!$G$10="в конце срока",'депозитный калькулятор'!$D$8=F156),SUM($H$23:H156),0))))))))))))))))))</f>
        <v xml:space="preserve"> </v>
      </c>
      <c r="J156" s="59" t="str">
        <f>IF(F156&gt;'депозитный калькулятор'!$D$8," ",IF('депозитный калькулятор'!$G$16="нет",0,IF(AND('депозитный калькулятор'!$G$17="разовая (в конце срока)",F156='депозитный калькулятор'!$D$8),'депозитный калькулятор'!$G$18,IF(AND('депозитный калькулятор'!$G$17="ежемесячная",EOMONTH(F155,0)=F155),'депозитный калькулятор'!$G$18,IF(AND('депозитный калькулятор'!$G$17="ежегодная",DAY(F155)=31,MONTH(F155)=12),'депозитный калькулятор'!$G$18,IF(AND('депозитный калькулятор'!$G$17="ежемесячная в зависимости от остатка",EOMONTH(F155,0)=F155,P155&gt;0),'депозитный калькулятор'!$G$18,IF(AND('депозитный калькулятор'!$G$17="ежегодная в зависимости от остатка",DAY(F155)=31,MONTH(F155)=12,P155&gt;0),'депозитный калькулятор'!$G$18,0)))))))</f>
        <v xml:space="preserve"> </v>
      </c>
      <c r="K156" s="135" t="str">
        <f>IF($F156=" "," ",IFERROR(VLOOKUP($F156,'депозитный калькулятор'!$B$26:$F$70,2,0),0))</f>
        <v xml:space="preserve"> </v>
      </c>
      <c r="L156" s="135" t="str">
        <f>IF($F156=" "," ",IFERROR(VLOOKUP($F156,'депозитный калькулятор'!$B$26:$F$70,3,0),0))</f>
        <v xml:space="preserve"> </v>
      </c>
      <c r="M156" s="135" t="str">
        <f>IF($F156=" "," ",IFERROR(VLOOKUP($F156,'депозитный калькулятор'!$B$26:$F$70,4,0),0))</f>
        <v xml:space="preserve"> </v>
      </c>
      <c r="N156" s="135" t="str">
        <f>IF($F156=" "," ",IFERROR(VLOOKUP($F156,'депозитный калькулятор'!$B$26:$F$70,5,0),0))</f>
        <v xml:space="preserve"> </v>
      </c>
      <c r="O156" s="146" t="str">
        <f>IF(F156&gt;'депозитный калькулятор'!$D$8," ",IF(F156='депозитный калькулятор'!$D$8,IF(AND($F$24='депозитный калькулятор'!$D$8,'депозитный калькулятор'!$G$13="нет"),-G156-IF(I156=" ",0,I156)-IF(AND(OR('депозитный калькулятор'!$G$7="30/365",'депозитный калькулятор'!$G$7="30/360"),'депозитный калькулятор'!$G$10="в начале срока"),I155,0)-L156+M156-N156,-G156-IF(I156=" ",0,I156)-L156+M156-N156),IF('депозитный калькулятор'!$G$13="есть",M156-N156+IF('депозитный калькулятор'!$G$14="есть",0,-L156),-IF(I156=" ",0,I156)-IF(AND(OR('депозитный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срока"),I155,0)+M156-N156+IF('депозитный калькулятор'!$G$14="есть",0,-L156))))</f>
        <v xml:space="preserve"> </v>
      </c>
      <c r="P156" s="147" t="str">
        <f>IF(F156&gt;'депозитный калькулятор'!$D$8," ",IF(EOMONTH(F155,0)=F155,0,IF(G156&gt;='депозитный калькулятор'!$G$19,P155,P155+1)))</f>
        <v xml:space="preserve"> </v>
      </c>
      <c r="Q156" s="138" t="str">
        <f>IF(F156=" "," ",IF(AND(OR('депозитный калькулятор'!$G$7="30/365",'депозитный калькулятор'!$G$7="30/360"),AND(MONTH(F156)=2,EOMONTH(F156,0)=F156)),IF(DAY(F156)=28,3,2),1)*IF(G156&gt;='депозитный калькулятор'!$G$11,IF(AND('депозитный калькулятор'!$G$7="факт/факт",MOD(YEAR(F156),4)=0),G156*'депозитный калькулятор'!$D$11/366,G156*'депозитный калькулятор'!$G$8),0))</f>
        <v xml:space="preserve"> </v>
      </c>
      <c r="R156" s="148"/>
      <c r="S156" s="62" t="str">
        <f t="shared" ca="1" si="12"/>
        <v xml:space="preserve"> </v>
      </c>
      <c r="T156" s="149" t="str">
        <f ca="1">IF(S156=" "," ",IF('депозитный калькулятор'!$G$7="30/360",DAYS360(U155,IF(DAY(U156)=31,U156-1,U156))+IF(AND(MONTH(U156)=2,U156=EOMONTH(U156,0)),30-DAY(EOMONTH(U156,0)))+T155,VLOOKUP(S156,$C$22:$F$1023,2,0)))</f>
        <v xml:space="preserve"> </v>
      </c>
      <c r="U156" s="64" t="str">
        <f t="shared" ca="1" si="10"/>
        <v xml:space="preserve"> </v>
      </c>
      <c r="V156" s="150" t="str">
        <f t="shared" ca="1" si="13"/>
        <v xml:space="preserve"> </v>
      </c>
      <c r="W156" s="62" t="str">
        <f t="shared" ca="1" si="14"/>
        <v xml:space="preserve"> </v>
      </c>
      <c r="X156" s="141" t="str">
        <f ca="1">IF(S156=" "," ",IFERROR(VLOOKUP(U156,$F$23:$N$1023,7)+VLOOKUP(U156,$F$23:$N$1023,9)+IF(AND('депозитный калькулятор'!$G$13="нет",U156&lt;&gt;'депозитный калькулятор'!$D$8),VLOOKUP(U156,$F$23:$N$1023,4),0),0)+IF(U156='депозитный калькулятор'!$D$8,VLOOKUP(U156,$F$23:$N$1023,2)+VLOOKUP(U156,$F$23:$N$1023,4),0))</f>
        <v xml:space="preserve"> </v>
      </c>
      <c r="Y156" s="142" t="str">
        <f ca="1">IF(S156=" "," ",W156/(1+'депозитный калькулятор'!$K$8)^(T156/IF('депозитный калькулятор'!$G$7="30/360",360,365)))</f>
        <v xml:space="preserve"> </v>
      </c>
      <c r="Z156" s="142" t="str">
        <f ca="1">IF(S156=" "," ",X156/(1+'депозитный калькулятор'!$K$8)^(T156/IF('депозитный калькулятор'!$G$7="30/360",360,365)))</f>
        <v xml:space="preserve"> </v>
      </c>
      <c r="AA156" s="151"/>
      <c r="AB156" s="151"/>
      <c r="AC156" s="155"/>
      <c r="AD156" s="155"/>
    </row>
    <row r="157" spans="1:30" s="2" customFormat="1" ht="15.5" x14ac:dyDescent="0.35">
      <c r="A157" s="41" t="str">
        <f>IF(F157=" "," ",IF(OR('депозитный калькулятор'!$G$7="30/365",'депозитный калькулятор'!$G$7="30/360"),IF(AND(MONTH(F157)=2,DAY(F157)=DAY(EOMONTH(F157,0))),30-DAY(EOMONTH(F157,0)),IF(DAY(F157)=31,1," "))," "))</f>
        <v xml:space="preserve"> </v>
      </c>
      <c r="B157" s="130" t="str">
        <f t="shared" si="11"/>
        <v xml:space="preserve"> </v>
      </c>
      <c r="C157" s="130" t="str">
        <f>IF(OR(B157=0,B157=" ")," ",SUM($B$23:B157))</f>
        <v xml:space="preserve"> </v>
      </c>
      <c r="D157" s="62" t="str">
        <f>IF(D156=" "," ",IF(OR(F156='депозитный калькулятор'!$D$8,F156=" ")," ",D156+1))</f>
        <v xml:space="preserve"> </v>
      </c>
      <c r="E157" s="130" t="str">
        <f>IF(OR(F156='депозитный калькулятор'!$D$8,F156=" ")," ",IF(EOMONTH(F156,0)=F156,1,E156+1))</f>
        <v xml:space="preserve"> </v>
      </c>
      <c r="F157" s="64" t="str">
        <f>IF(F156=" "," ",IF(F156='депозитный калькулятор'!$D$8," ",F156+1))</f>
        <v xml:space="preserve"> </v>
      </c>
      <c r="G157" s="145" t="str">
        <f xml:space="preserve"> IF(F157&gt;'депозитный калькулятор'!$D$8," ",IF('депозитный калькулятор'!$G$13="есть",IF('депозитный калькулятор'!$G$14="есть",G156+IF(I156=" ",0,I156)-J157-K157+L157+M157-N157,G156+IF(I156=" ",0,I156)-J157-K157+M157-N157),IF('депозитный калькулятор'!$G$14="есть",G156-J157-K157+L157+M157-N157,G156-J157-K157+M157-N157)))</f>
        <v xml:space="preserve"> </v>
      </c>
      <c r="H157" s="133" t="str">
        <f>IF(F157&gt;'депозитный калькулятор'!$D$8," ",IF(AND(OR('депозитный калькулятор'!$G$7="30/365",'депозитный калькулятор'!$G$7="30/360"),AND(MONTH(F157)=2,EOMONTH(F157,0)=F157)),IF(DAY(F157)=28,3*G157*'депозитный калькулятор'!$G$8,2*G157*'депозитный калькулятор'!$G$8),IF(AND(OR('депозитный калькулятор'!$G$7="30/365",'депозитный калькулятор'!$G$7="30/360"),DAY(F157)=31)," ",IF(AND('депозитный калькулятор'!$G$7="факт/факт",MOD(YEAR(F157),4)=0),G157*'депозитный калькулятор'!$D$11/366,G157*'депозитный калькулятор'!$G$8))))</f>
        <v xml:space="preserve"> </v>
      </c>
      <c r="I157" s="134" t="str">
        <f ca="1">IF(F157=" "," ",IF('депозитный калькулятор'!$G$10="ежедневное",H157,IF(AND('депозитный калькулятор'!$G$10="еженедельное",WEEKDAY(F157,2)=7),SUM(OFFSET(H157,-6,0):H157),IF(AND('депозитный калькулятор'!$G$10="еженедельное",F157='депозитный калькулятор'!$D$8),SUM($H$23:H157)-SUM($I$23:I156),IF(AND('депозитный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недели",WEEKDAY(F157,2)=7),MIN(OFFSET(H157,-6,0):H157)*(COUNTIF(OFFSET(H157,-6,0):H157,"&gt;0")+SUMIF(OFFSET(A157,-WEEKDAY(F157,2),0):A157,"=2",OFFSET(A157,-WEEKDAY(F157,2),0):A157)),IF(AND('депозитный калькулятор'!$G$10="еженедельное, на минимальную сумму зафиксированную в течение недели",F157='депозитный калькулятор'!$D$8,WEEKDAY(F157,2)&lt;&gt;7),MIN(OFFSET(H157,-WEEKDAY(F157,2),0):H157)*(COUNTIF(OFFSET(H157,-WEEKDAY(F157,2)+1,0):H157,"&gt;0")+SUM(OFFSET(A157,-WEEKDAY(F157,2),0):A157)),IF(AND('депозитный калькулятор'!$G$10="ежемесячное (в конце месяца)",F157='депозитный калькулятор'!$D$8,EOMONTH(F157,0)&lt;&gt;F157),IF('депозитный калькулятор'!$F$1=1,$H$24,SUM($H$23:H157)-SUM($I$23:I156)),IF(AND('депозитный калькулятор'!$G$10="ежемесячное (в конце месяца)",EOMONTH(F157,0)=F157),SUM($H$23:H157)-SUM($I$23:I156),IF(AND('депозитный калькулятор'!$G$10="ежемесячное (по дням открытия вклада)",F157='депозитный калькулятор'!$D$8,DAY('депозитный калькулятор'!$D$7)&lt;&gt;DAY(F157)),IF('депозитный калькулятор'!$F$1=1,$H$24,SUM($H$23:H157)-SUM($I$23:I156)),IF(AND('депозитный калькулятор'!$G$10="ежемесячное (по дням открытия вклада)",DAY('депозитный калькулятор'!$D$7)=DAY(F157)),SUM($H$23:H157)-SUM($I$23:I156),IF(AND('депозитный калькулятор'!$G$10="ежемесячное, на минимальную сумму зафиксированную в течение месяца",F157='депозитный калькулятор'!$D$8,EOMONTH(F157,0)&lt;&gt;F157),IF('депозитный калькулятор'!$F$1=1,$H$24,IF(AND(OR('депозитный калькулятор'!$G$7="30/365",'депозитный калькулятор'!$G$7="30/360"),DAY(F157)=31),0,MIN(OFFSET(H157,-E157+1,0):H157)*(E157+SUMIF(OFFSET(A157,-E157+1,0):A157,"=2",OFFSET(A157,-E157+1,0):A157)))),IF(AND('депозитный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калькулятор'!$G$7="30/360"),DAY(EOMONTH(F157,0))=31),EOMONTH(F157,0)-1=F157,EOMONTH(F157,0)=F157)),IF(IF(AND(OR('депозитный калькулятор'!$G$7="30/365",'депозитный калькулятор'!$G$7="30/360"),DAY(EOMONTH($F$23,0))=31),F157=EOMONTH($F$23,0)-1,F157=EOMONTH($F$23,0)),MIN(OFFSET(H157,-(DAY(F157)-DAY($F$23)),0):H157)*E157,MIN(OFFSET(H157,-(DAY(F157)-1),0):H157)*IF(AND(OR('депозитный калькулятор'!$G$7="30/365",'депозитный калькулятор'!$G$7="30/360"),DAY(F157)&lt;30),30,DAY(F157))),IF(AND('депозитный калькулятор'!$G$10="ежемесячное, на средний остаток в течение месяца, при условии что остаток больше чем ограничение",F157='депозитный калькулятор'!$D$8,EOMONTH(F157,0)&lt;&gt;F157),IF('депозитный калькулятор'!$F$1=1,$H$24,SUM(OFFSET(Q157,-E157+1,0):Q157)),IF(AND('депозитный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калькулятор'!$G$7="30/360"),DAY(EOMONTH(F157,0))=31),EOMONTH(F157,0)-1=F157,EOMONTH(F157,0)=F157)),IF(IF(AND(OR('депозитный калькулятор'!$G$7="30/365",'депозитный калькулятор'!$G$7="30/360"),DAY(EOMONTH($F$24,0))=31),F157=EOMONTH($F$24,0)-1,F157=EOMONTH($F$24,0)),SUM(OFFSET(Q157,-E157+1,0):Q157),SUM(OFFSET(Q157,-E157+1,0):Q157)),IF('депозитный калькулятор'!$G$10="ежеквартальное",IF(F157&gt;'депозитный калькулятор'!$D$8," ",IF(AND(EOMONTH(F157,0)=F157,OR(MONTH(F157)=3,MONTH(F157)=6,MONTH(F157)=9,MONTH(F157)=12)),IF(EDATE(F157,-3)&lt;'депозитный калькулятор'!$D$7,SUM($H$23:H157),IF(MOD(YEAR(F157),4)=0,IF(AND(EOMONTH(F157,0)=F157,OR(MONTH(F157)=3,MONTH(F157)=6)),SUM(OFFSET(H157,-90,0):H157),IF(AND(EOMONTH(F157,0)=F157,OR(MONTH(F157)=9,MONTH(F157)=12)),SUM(OFFSET(H157,-91,0):H157))),IF(AND(EOMONTH(F157,0)=F157,MONTH(F157)=3),SUM(OFFSET(H157,-89,0):H157),IF(AND(EOMONTH(F157,0)=F157,MONTH(F157)=6),SUM(OFFSET(H157,-90,0):H157),IF(AND(EOMONTH(F157,0)=F157,OR(MONTH(F157)=9,MONTH(F157)=12)),SUM(OFFSET(H157,-91,0):H157)))))),IF(F157='депозитный калькулятор'!$D$8,SUM($H$23:H157)-SUM($I$23:I156),0))),IF('депозитный калькулятор'!$G$10="ежегодное",IF(F157&gt;'депозитный калькулятор'!$D$8," ",IF(F157='депозитный калькулятор'!$D$8,SUM($H$23:H157)-SUM($I$23:I156),IF(AND(EOMONTH(F157,0)=F157,MONTH(F157)=12),IF(MOD(YEAR(F156),4)=0,IF(F157-'депозитный калькулятор'!$D$7&lt;366,SUM($H$23:H157),SUM(OFFSET(H157,-365,0):H157)),IF(F157-'депозитный калькулятор'!$D$7&lt;365,SUM($H$23:H157),SUM(OFFSET(H157,-364,0):H157))),0))),IF(AND('депозитный калькулятор'!$G$10="в конце срока",'депозитный калькулятор'!$D$8=F157),SUM($H$23:H157),0))))))))))))))))))</f>
        <v xml:space="preserve"> </v>
      </c>
      <c r="J157" s="59" t="str">
        <f>IF(F157&gt;'депозитный калькулятор'!$D$8," ",IF('депозитный калькулятор'!$G$16="нет",0,IF(AND('депозитный калькулятор'!$G$17="разовая (в конце срока)",F157='депозитный калькулятор'!$D$8),'депозитный калькулятор'!$G$18,IF(AND('депозитный калькулятор'!$G$17="ежемесячная",EOMONTH(F156,0)=F156),'депозитный калькулятор'!$G$18,IF(AND('депозитный калькулятор'!$G$17="ежегодная",DAY(F156)=31,MONTH(F156)=12),'депозитный калькулятор'!$G$18,IF(AND('депозитный калькулятор'!$G$17="ежемесячная в зависимости от остатка",EOMONTH(F156,0)=F156,P156&gt;0),'депозитный калькулятор'!$G$18,IF(AND('депозитный калькулятор'!$G$17="ежегодная в зависимости от остатка",DAY(F156)=31,MONTH(F156)=12,P156&gt;0),'депозитный калькулятор'!$G$18,0)))))))</f>
        <v xml:space="preserve"> </v>
      </c>
      <c r="K157" s="135" t="str">
        <f>IF($F157=" "," ",IFERROR(VLOOKUP($F157,'депозитный калькулятор'!$B$26:$F$70,2,0),0))</f>
        <v xml:space="preserve"> </v>
      </c>
      <c r="L157" s="135" t="str">
        <f>IF($F157=" "," ",IFERROR(VLOOKUP($F157,'депозитный калькулятор'!$B$26:$F$70,3,0),0))</f>
        <v xml:space="preserve"> </v>
      </c>
      <c r="M157" s="135" t="str">
        <f>IF($F157=" "," ",IFERROR(VLOOKUP($F157,'депозитный калькулятор'!$B$26:$F$70,4,0),0))</f>
        <v xml:space="preserve"> </v>
      </c>
      <c r="N157" s="135" t="str">
        <f>IF($F157=" "," ",IFERROR(VLOOKUP($F157,'депозитный калькулятор'!$B$26:$F$70,5,0),0))</f>
        <v xml:space="preserve"> </v>
      </c>
      <c r="O157" s="146" t="str">
        <f>IF(F157&gt;'депозитный калькулятор'!$D$8," ",IF(F157='депозитный калькулятор'!$D$8,IF(AND($F$24='депозитный калькулятор'!$D$8,'депозитный калькулятор'!$G$13="нет"),-G157-IF(I157=" ",0,I157)-IF(AND(OR('депозитный калькулятор'!$G$7="30/365",'депозитный калькулятор'!$G$7="30/360"),'депозитный калькулятор'!$G$10="в начале срока"),I156,0)-L157+M157-N157,-G157-IF(I157=" ",0,I157)-L157+M157-N157),IF('депозитный калькулятор'!$G$13="есть",M157-N157+IF('депозитный калькулятор'!$G$14="есть",0,-L157),-IF(I157=" ",0,I157)-IF(AND(OR('депозитный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срока"),I156,0)+M157-N157+IF('депозитный калькулятор'!$G$14="есть",0,-L157))))</f>
        <v xml:space="preserve"> </v>
      </c>
      <c r="P157" s="147" t="str">
        <f>IF(F157&gt;'депозитный калькулятор'!$D$8," ",IF(EOMONTH(F156,0)=F156,0,IF(G157&gt;='депозитный калькулятор'!$G$19,P156,P156+1)))</f>
        <v xml:space="preserve"> </v>
      </c>
      <c r="Q157" s="138" t="str">
        <f>IF(F157=" "," ",IF(AND(OR('депозитный калькулятор'!$G$7="30/365",'депозитный калькулятор'!$G$7="30/360"),AND(MONTH(F157)=2,EOMONTH(F157,0)=F157)),IF(DAY(F157)=28,3,2),1)*IF(G157&gt;='депозитный калькулятор'!$G$11,IF(AND('депозитный калькулятор'!$G$7="факт/факт",MOD(YEAR(F157),4)=0),G157*'депозитный калькулятор'!$D$11/366,G157*'депозитный калькулятор'!$G$8),0))</f>
        <v xml:space="preserve"> </v>
      </c>
      <c r="R157" s="148"/>
      <c r="S157" s="62" t="str">
        <f t="shared" ca="1" si="12"/>
        <v xml:space="preserve"> </v>
      </c>
      <c r="T157" s="149" t="str">
        <f ca="1">IF(S157=" "," ",IF('депозитный калькулятор'!$G$7="30/360",DAYS360(U156,IF(DAY(U157)=31,U157-1,U157))+IF(AND(MONTH(U157)=2,U157=EOMONTH(U157,0)),30-DAY(EOMONTH(U157,0)))+T156,VLOOKUP(S157,$C$22:$F$1023,2,0)))</f>
        <v xml:space="preserve"> </v>
      </c>
      <c r="U157" s="64" t="str">
        <f t="shared" ca="1" si="10"/>
        <v xml:space="preserve"> </v>
      </c>
      <c r="V157" s="150" t="str">
        <f t="shared" ca="1" si="13"/>
        <v xml:space="preserve"> </v>
      </c>
      <c r="W157" s="62" t="str">
        <f t="shared" ca="1" si="14"/>
        <v xml:space="preserve"> </v>
      </c>
      <c r="X157" s="141" t="str">
        <f ca="1">IF(S157=" "," ",IFERROR(VLOOKUP(U157,$F$23:$N$1023,7)+VLOOKUP(U157,$F$23:$N$1023,9)+IF(AND('депозитный калькулятор'!$G$13="нет",U157&lt;&gt;'депозитный калькулятор'!$D$8),VLOOKUP(U157,$F$23:$N$1023,4),0),0)+IF(U157='депозитный калькулятор'!$D$8,VLOOKUP(U157,$F$23:$N$1023,2)+VLOOKUP(U157,$F$23:$N$1023,4),0))</f>
        <v xml:space="preserve"> </v>
      </c>
      <c r="Y157" s="142" t="str">
        <f ca="1">IF(S157=" "," ",W157/(1+'депозитный калькулятор'!$K$8)^(T157/IF('депозитный калькулятор'!$G$7="30/360",360,365)))</f>
        <v xml:space="preserve"> </v>
      </c>
      <c r="Z157" s="142" t="str">
        <f ca="1">IF(S157=" "," ",X157/(1+'депозитный калькулятор'!$K$8)^(T157/IF('депозитный калькулятор'!$G$7="30/360",360,365)))</f>
        <v xml:space="preserve"> </v>
      </c>
      <c r="AA157" s="151"/>
      <c r="AB157" s="151"/>
      <c r="AC157" s="155"/>
      <c r="AD157" s="155"/>
    </row>
    <row r="158" spans="1:30" s="2" customFormat="1" ht="15.5" x14ac:dyDescent="0.35">
      <c r="A158" s="41" t="str">
        <f>IF(F158=" "," ",IF(OR('депозитный калькулятор'!$G$7="30/365",'депозитный калькулятор'!$G$7="30/360"),IF(AND(MONTH(F158)=2,DAY(F158)=DAY(EOMONTH(F158,0))),30-DAY(EOMONTH(F158,0)),IF(DAY(F158)=31,1," "))," "))</f>
        <v xml:space="preserve"> </v>
      </c>
      <c r="B158" s="130" t="str">
        <f t="shared" si="11"/>
        <v xml:space="preserve"> </v>
      </c>
      <c r="C158" s="130" t="str">
        <f>IF(OR(B158=0,B158=" ")," ",SUM($B$23:B158))</f>
        <v xml:space="preserve"> </v>
      </c>
      <c r="D158" s="62" t="str">
        <f>IF(D157=" "," ",IF(OR(F157='депозитный калькулятор'!$D$8,F157=" ")," ",D157+1))</f>
        <v xml:space="preserve"> </v>
      </c>
      <c r="E158" s="130" t="str">
        <f>IF(OR(F157='депозитный калькулятор'!$D$8,F157=" ")," ",IF(EOMONTH(F157,0)=F157,1,E157+1))</f>
        <v xml:space="preserve"> </v>
      </c>
      <c r="F158" s="64" t="str">
        <f>IF(F157=" "," ",IF(F157='депозитный калькулятор'!$D$8," ",F157+1))</f>
        <v xml:space="preserve"> </v>
      </c>
      <c r="G158" s="145" t="str">
        <f xml:space="preserve"> IF(F158&gt;'депозитный калькулятор'!$D$8," ",IF('депозитный калькулятор'!$G$13="есть",IF('депозитный калькулятор'!$G$14="есть",G157+IF(I157=" ",0,I157)-J158-K158+L158+M158-N158,G157+IF(I157=" ",0,I157)-J158-K158+M158-N158),IF('депозитный калькулятор'!$G$14="есть",G157-J158-K158+L158+M158-N158,G157-J158-K158+M158-N158)))</f>
        <v xml:space="preserve"> </v>
      </c>
      <c r="H158" s="133" t="str">
        <f>IF(F158&gt;'депозитный калькулятор'!$D$8," ",IF(AND(OR('депозитный калькулятор'!$G$7="30/365",'депозитный калькулятор'!$G$7="30/360"),AND(MONTH(F158)=2,EOMONTH(F158,0)=F158)),IF(DAY(F158)=28,3*G158*'депозитный калькулятор'!$G$8,2*G158*'депозитный калькулятор'!$G$8),IF(AND(OR('депозитный калькулятор'!$G$7="30/365",'депозитный калькулятор'!$G$7="30/360"),DAY(F158)=31)," ",IF(AND('депозитный калькулятор'!$G$7="факт/факт",MOD(YEAR(F158),4)=0),G158*'депозитный калькулятор'!$D$11/366,G158*'депозитный калькулятор'!$G$8))))</f>
        <v xml:space="preserve"> </v>
      </c>
      <c r="I158" s="134" t="str">
        <f ca="1">IF(F158=" "," ",IF('депозитный калькулятор'!$G$10="ежедневное",H158,IF(AND('депозитный калькулятор'!$G$10="еженедельное",WEEKDAY(F158,2)=7),SUM(OFFSET(H158,-6,0):H158),IF(AND('депозитный калькулятор'!$G$10="еженедельное",F158='депозитный калькулятор'!$D$8),SUM($H$23:H158)-SUM($I$23:I157),IF(AND('депозитный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недели",WEEKDAY(F158,2)=7),MIN(OFFSET(H158,-6,0):H158)*(COUNTIF(OFFSET(H158,-6,0):H158,"&gt;0")+SUMIF(OFFSET(A158,-WEEKDAY(F158,2),0):A158,"=2",OFFSET(A158,-WEEKDAY(F158,2),0):A158)),IF(AND('депозитный калькулятор'!$G$10="еженедельное, на минимальную сумму зафиксированную в течение недели",F158='депозитный калькулятор'!$D$8,WEEKDAY(F158,2)&lt;&gt;7),MIN(OFFSET(H158,-WEEKDAY(F158,2),0):H158)*(COUNTIF(OFFSET(H158,-WEEKDAY(F158,2)+1,0):H158,"&gt;0")+SUM(OFFSET(A158,-WEEKDAY(F158,2),0):A158)),IF(AND('депозитный калькулятор'!$G$10="ежемесячное (в конце месяца)",F158='депозитный калькулятор'!$D$8,EOMONTH(F158,0)&lt;&gt;F158),IF('депозитный калькулятор'!$F$1=1,$H$24,SUM($H$23:H158)-SUM($I$23:I157)),IF(AND('депозитный калькулятор'!$G$10="ежемесячное (в конце месяца)",EOMONTH(F158,0)=F158),SUM($H$23:H158)-SUM($I$23:I157),IF(AND('депозитный калькулятор'!$G$10="ежемесячное (по дням открытия вклада)",F158='депозитный калькулятор'!$D$8,DAY('депозитный калькулятор'!$D$7)&lt;&gt;DAY(F158)),IF('депозитный калькулятор'!$F$1=1,$H$24,SUM($H$23:H158)-SUM($I$23:I157)),IF(AND('депозитный калькулятор'!$G$10="ежемесячное (по дням открытия вклада)",DAY('депозитный калькулятор'!$D$7)=DAY(F158)),SUM($H$23:H158)-SUM($I$23:I157),IF(AND('депозитный калькулятор'!$G$10="ежемесячное, на минимальную сумму зафиксированную в течение месяца",F158='депозитный калькулятор'!$D$8,EOMONTH(F158,0)&lt;&gt;F158),IF('депозитный калькулятор'!$F$1=1,$H$24,IF(AND(OR('депозитный калькулятор'!$G$7="30/365",'депозитный калькулятор'!$G$7="30/360"),DAY(F158)=31),0,MIN(OFFSET(H158,-E158+1,0):H158)*(E158+SUMIF(OFFSET(A158,-E158+1,0):A158,"=2",OFFSET(A158,-E158+1,0):A158)))),IF(AND('депозитный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калькулятор'!$G$7="30/360"),DAY(EOMONTH(F158,0))=31),EOMONTH(F158,0)-1=F158,EOMONTH(F158,0)=F158)),IF(IF(AND(OR('депозитный калькулятор'!$G$7="30/365",'депозитный калькулятор'!$G$7="30/360"),DAY(EOMONTH($F$23,0))=31),F158=EOMONTH($F$23,0)-1,F158=EOMONTH($F$23,0)),MIN(OFFSET(H158,-(DAY(F158)-DAY($F$23)),0):H158)*E158,MIN(OFFSET(H158,-(DAY(F158)-1),0):H158)*IF(AND(OR('депозитный калькулятор'!$G$7="30/365",'депозитный калькулятор'!$G$7="30/360"),DAY(F158)&lt;30),30,DAY(F158))),IF(AND('депозитный калькулятор'!$G$10="ежемесячное, на средний остаток в течение месяца, при условии что остаток больше чем ограничение",F158='депозитный калькулятор'!$D$8,EOMONTH(F158,0)&lt;&gt;F158),IF('депозитный калькулятор'!$F$1=1,$H$24,SUM(OFFSET(Q158,-E158+1,0):Q158)),IF(AND('депозитный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калькулятор'!$G$7="30/360"),DAY(EOMONTH(F158,0))=31),EOMONTH(F158,0)-1=F158,EOMONTH(F158,0)=F158)),IF(IF(AND(OR('депозитный калькулятор'!$G$7="30/365",'депозитный калькулятор'!$G$7="30/360"),DAY(EOMONTH($F$24,0))=31),F158=EOMONTH($F$24,0)-1,F158=EOMONTH($F$24,0)),SUM(OFFSET(Q158,-E158+1,0):Q158),SUM(OFFSET(Q158,-E158+1,0):Q158)),IF('депозитный калькулятор'!$G$10="ежеквартальное",IF(F158&gt;'депозитный калькулятор'!$D$8," ",IF(AND(EOMONTH(F158,0)=F158,OR(MONTH(F158)=3,MONTH(F158)=6,MONTH(F158)=9,MONTH(F158)=12)),IF(EDATE(F158,-3)&lt;'депозитный калькулятор'!$D$7,SUM($H$23:H158),IF(MOD(YEAR(F158),4)=0,IF(AND(EOMONTH(F158,0)=F158,OR(MONTH(F158)=3,MONTH(F158)=6)),SUM(OFFSET(H158,-90,0):H158),IF(AND(EOMONTH(F158,0)=F158,OR(MONTH(F158)=9,MONTH(F158)=12)),SUM(OFFSET(H158,-91,0):H158))),IF(AND(EOMONTH(F158,0)=F158,MONTH(F158)=3),SUM(OFFSET(H158,-89,0):H158),IF(AND(EOMONTH(F158,0)=F158,MONTH(F158)=6),SUM(OFFSET(H158,-90,0):H158),IF(AND(EOMONTH(F158,0)=F158,OR(MONTH(F158)=9,MONTH(F158)=12)),SUM(OFFSET(H158,-91,0):H158)))))),IF(F158='депозитный калькулятор'!$D$8,SUM($H$23:H158)-SUM($I$23:I157),0))),IF('депозитный калькулятор'!$G$10="ежегодное",IF(F158&gt;'депозитный калькулятор'!$D$8," ",IF(F158='депозитный калькулятор'!$D$8,SUM($H$23:H158)-SUM($I$23:I157),IF(AND(EOMONTH(F158,0)=F158,MONTH(F158)=12),IF(MOD(YEAR(F157),4)=0,IF(F158-'депозитный калькулятор'!$D$7&lt;366,SUM($H$23:H158),SUM(OFFSET(H158,-365,0):H158)),IF(F158-'депозитный калькулятор'!$D$7&lt;365,SUM($H$23:H158),SUM(OFFSET(H158,-364,0):H158))),0))),IF(AND('депозитный калькулятор'!$G$10="в конце срока",'депозитный калькулятор'!$D$8=F158),SUM($H$23:H158),0))))))))))))))))))</f>
        <v xml:space="preserve"> </v>
      </c>
      <c r="J158" s="59" t="str">
        <f>IF(F158&gt;'депозитный калькулятор'!$D$8," ",IF('депозитный калькулятор'!$G$16="нет",0,IF(AND('депозитный калькулятор'!$G$17="разовая (в конце срока)",F158='депозитный калькулятор'!$D$8),'депозитный калькулятор'!$G$18,IF(AND('депозитный калькулятор'!$G$17="ежемесячная",EOMONTH(F157,0)=F157),'депозитный калькулятор'!$G$18,IF(AND('депозитный калькулятор'!$G$17="ежегодная",DAY(F157)=31,MONTH(F157)=12),'депозитный калькулятор'!$G$18,IF(AND('депозитный калькулятор'!$G$17="ежемесячная в зависимости от остатка",EOMONTH(F157,0)=F157,P157&gt;0),'депозитный калькулятор'!$G$18,IF(AND('депозитный калькулятор'!$G$17="ежегодная в зависимости от остатка",DAY(F157)=31,MONTH(F157)=12,P157&gt;0),'депозитный калькулятор'!$G$18,0)))))))</f>
        <v xml:space="preserve"> </v>
      </c>
      <c r="K158" s="135" t="str">
        <f>IF($F158=" "," ",IFERROR(VLOOKUP($F158,'депозитный калькулятор'!$B$26:$F$70,2,0),0))</f>
        <v xml:space="preserve"> </v>
      </c>
      <c r="L158" s="135" t="str">
        <f>IF($F158=" "," ",IFERROR(VLOOKUP($F158,'депозитный калькулятор'!$B$26:$F$70,3,0),0))</f>
        <v xml:space="preserve"> </v>
      </c>
      <c r="M158" s="135" t="str">
        <f>IF($F158=" "," ",IFERROR(VLOOKUP($F158,'депозитный калькулятор'!$B$26:$F$70,4,0),0))</f>
        <v xml:space="preserve"> </v>
      </c>
      <c r="N158" s="135" t="str">
        <f>IF($F158=" "," ",IFERROR(VLOOKUP($F158,'депозитный калькулятор'!$B$26:$F$70,5,0),0))</f>
        <v xml:space="preserve"> </v>
      </c>
      <c r="O158" s="146" t="str">
        <f>IF(F158&gt;'депозитный калькулятор'!$D$8," ",IF(F158='депозитный калькулятор'!$D$8,IF(AND($F$24='депозитный калькулятор'!$D$8,'депозитный калькулятор'!$G$13="нет"),-G158-IF(I158=" ",0,I158)-IF(AND(OR('депозитный калькулятор'!$G$7="30/365",'депозитный калькулятор'!$G$7="30/360"),'депозитный калькулятор'!$G$10="в начале срока"),I157,0)-L158+M158-N158,-G158-IF(I158=" ",0,I158)-L158+M158-N158),IF('депозитный калькулятор'!$G$13="есть",M158-N158+IF('депозитный калькулятор'!$G$14="есть",0,-L158),-IF(I158=" ",0,I158)-IF(AND(OR('депозитный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срока"),I157,0)+M158-N158+IF('депозитный калькулятор'!$G$14="есть",0,-L158))))</f>
        <v xml:space="preserve"> </v>
      </c>
      <c r="P158" s="147" t="str">
        <f>IF(F158&gt;'депозитный калькулятор'!$D$8," ",IF(EOMONTH(F157,0)=F157,0,IF(G158&gt;='депозитный калькулятор'!$G$19,P157,P157+1)))</f>
        <v xml:space="preserve"> </v>
      </c>
      <c r="Q158" s="138" t="str">
        <f>IF(F158=" "," ",IF(AND(OR('депозитный калькулятор'!$G$7="30/365",'депозитный калькулятор'!$G$7="30/360"),AND(MONTH(F158)=2,EOMONTH(F158,0)=F158)),IF(DAY(F158)=28,3,2),1)*IF(G158&gt;='депозитный калькулятор'!$G$11,IF(AND('депозитный калькулятор'!$G$7="факт/факт",MOD(YEAR(F158),4)=0),G158*'депозитный калькулятор'!$D$11/366,G158*'депозитный калькулятор'!$G$8),0))</f>
        <v xml:space="preserve"> </v>
      </c>
      <c r="R158" s="148"/>
      <c r="S158" s="62" t="str">
        <f t="shared" ca="1" si="12"/>
        <v xml:space="preserve"> </v>
      </c>
      <c r="T158" s="149" t="str">
        <f ca="1">IF(S158=" "," ",IF('депозитный калькулятор'!$G$7="30/360",DAYS360(U157,IF(DAY(U158)=31,U158-1,U158))+IF(AND(MONTH(U158)=2,U158=EOMONTH(U158,0)),30-DAY(EOMONTH(U158,0)))+T157,VLOOKUP(S158,$C$22:$F$1023,2,0)))</f>
        <v xml:space="preserve"> </v>
      </c>
      <c r="U158" s="64" t="str">
        <f t="shared" ca="1" si="10"/>
        <v xml:space="preserve"> </v>
      </c>
      <c r="V158" s="150" t="str">
        <f t="shared" ca="1" si="13"/>
        <v xml:space="preserve"> </v>
      </c>
      <c r="W158" s="62" t="str">
        <f t="shared" ca="1" si="14"/>
        <v xml:space="preserve"> </v>
      </c>
      <c r="X158" s="141" t="str">
        <f ca="1">IF(S158=" "," ",IFERROR(VLOOKUP(U158,$F$23:$N$1023,7)+VLOOKUP(U158,$F$23:$N$1023,9)+IF(AND('депозитный калькулятор'!$G$13="нет",U158&lt;&gt;'депозитный калькулятор'!$D$8),VLOOKUP(U158,$F$23:$N$1023,4),0),0)+IF(U158='депозитный калькулятор'!$D$8,VLOOKUP(U158,$F$23:$N$1023,2)+VLOOKUP(U158,$F$23:$N$1023,4),0))</f>
        <v xml:space="preserve"> </v>
      </c>
      <c r="Y158" s="142" t="str">
        <f ca="1">IF(S158=" "," ",W158/(1+'депозитный калькулятор'!$K$8)^(T158/IF('депозитный калькулятор'!$G$7="30/360",360,365)))</f>
        <v xml:space="preserve"> </v>
      </c>
      <c r="Z158" s="142" t="str">
        <f ca="1">IF(S158=" "," ",X158/(1+'депозитный калькулятор'!$K$8)^(T158/IF('депозитный калькулятор'!$G$7="30/360",360,365)))</f>
        <v xml:space="preserve"> </v>
      </c>
      <c r="AA158" s="151"/>
      <c r="AB158" s="151"/>
      <c r="AC158" s="155"/>
      <c r="AD158" s="155"/>
    </row>
    <row r="159" spans="1:30" s="2" customFormat="1" ht="15.5" x14ac:dyDescent="0.35">
      <c r="A159" s="41" t="str">
        <f>IF(F159=" "," ",IF(OR('депозитный калькулятор'!$G$7="30/365",'депозитный калькулятор'!$G$7="30/360"),IF(AND(MONTH(F159)=2,DAY(F159)=DAY(EOMONTH(F159,0))),30-DAY(EOMONTH(F159,0)),IF(DAY(F159)=31,1," "))," "))</f>
        <v xml:space="preserve"> </v>
      </c>
      <c r="B159" s="130" t="str">
        <f t="shared" si="11"/>
        <v xml:space="preserve"> </v>
      </c>
      <c r="C159" s="130" t="str">
        <f>IF(OR(B159=0,B159=" ")," ",SUM($B$23:B159))</f>
        <v xml:space="preserve"> </v>
      </c>
      <c r="D159" s="62" t="str">
        <f>IF(D158=" "," ",IF(OR(F158='депозитный калькулятор'!$D$8,F158=" ")," ",D158+1))</f>
        <v xml:space="preserve"> </v>
      </c>
      <c r="E159" s="130" t="str">
        <f>IF(OR(F158='депозитный калькулятор'!$D$8,F158=" ")," ",IF(EOMONTH(F158,0)=F158,1,E158+1))</f>
        <v xml:space="preserve"> </v>
      </c>
      <c r="F159" s="64" t="str">
        <f>IF(F158=" "," ",IF(F158='депозитный калькулятор'!$D$8," ",F158+1))</f>
        <v xml:space="preserve"> </v>
      </c>
      <c r="G159" s="145" t="str">
        <f xml:space="preserve"> IF(F159&gt;'депозитный калькулятор'!$D$8," ",IF('депозитный калькулятор'!$G$13="есть",IF('депозитный калькулятор'!$G$14="есть",G158+IF(I158=" ",0,I158)-J159-K159+L159+M159-N159,G158+IF(I158=" ",0,I158)-J159-K159+M159-N159),IF('депозитный калькулятор'!$G$14="есть",G158-J159-K159+L159+M159-N159,G158-J159-K159+M159-N159)))</f>
        <v xml:space="preserve"> </v>
      </c>
      <c r="H159" s="133" t="str">
        <f>IF(F159&gt;'депозитный калькулятор'!$D$8," ",IF(AND(OR('депозитный калькулятор'!$G$7="30/365",'депозитный калькулятор'!$G$7="30/360"),AND(MONTH(F159)=2,EOMONTH(F159,0)=F159)),IF(DAY(F159)=28,3*G159*'депозитный калькулятор'!$G$8,2*G159*'депозитный калькулятор'!$G$8),IF(AND(OR('депозитный калькулятор'!$G$7="30/365",'депозитный калькулятор'!$G$7="30/360"),DAY(F159)=31)," ",IF(AND('депозитный калькулятор'!$G$7="факт/факт",MOD(YEAR(F159),4)=0),G159*'депозитный калькулятор'!$D$11/366,G159*'депозитный калькулятор'!$G$8))))</f>
        <v xml:space="preserve"> </v>
      </c>
      <c r="I159" s="134" t="str">
        <f ca="1">IF(F159=" "," ",IF('депозитный калькулятор'!$G$10="ежедневное",H159,IF(AND('депозитный калькулятор'!$G$10="еженедельное",WEEKDAY(F159,2)=7),SUM(OFFSET(H159,-6,0):H159),IF(AND('депозитный калькулятор'!$G$10="еженедельное",F159='депозитный калькулятор'!$D$8),SUM($H$23:H159)-SUM($I$23:I158),IF(AND('депозитный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недели",WEEKDAY(F159,2)=7),MIN(OFFSET(H159,-6,0):H159)*(COUNTIF(OFFSET(H159,-6,0):H159,"&gt;0")+SUMIF(OFFSET(A159,-WEEKDAY(F159,2),0):A159,"=2",OFFSET(A159,-WEEKDAY(F159,2),0):A159)),IF(AND('депозитный калькулятор'!$G$10="еженедельное, на минимальную сумму зафиксированную в течение недели",F159='депозитный калькулятор'!$D$8,WEEKDAY(F159,2)&lt;&gt;7),MIN(OFFSET(H159,-WEEKDAY(F159,2),0):H159)*(COUNTIF(OFFSET(H159,-WEEKDAY(F159,2)+1,0):H159,"&gt;0")+SUM(OFFSET(A159,-WEEKDAY(F159,2),0):A159)),IF(AND('депозитный калькулятор'!$G$10="ежемесячное (в конце месяца)",F159='депозитный калькулятор'!$D$8,EOMONTH(F159,0)&lt;&gt;F159),IF('депозитный калькулятор'!$F$1=1,$H$24,SUM($H$23:H159)-SUM($I$23:I158)),IF(AND('депозитный калькулятор'!$G$10="ежемесячное (в конце месяца)",EOMONTH(F159,0)=F159),SUM($H$23:H159)-SUM($I$23:I158),IF(AND('депозитный калькулятор'!$G$10="ежемесячное (по дням открытия вклада)",F159='депозитный калькулятор'!$D$8,DAY('депозитный калькулятор'!$D$7)&lt;&gt;DAY(F159)),IF('депозитный калькулятор'!$F$1=1,$H$24,SUM($H$23:H159)-SUM($I$23:I158)),IF(AND('депозитный калькулятор'!$G$10="ежемесячное (по дням открытия вклада)",DAY('депозитный калькулятор'!$D$7)=DAY(F159)),SUM($H$23:H159)-SUM($I$23:I158),IF(AND('депозитный калькулятор'!$G$10="ежемесячное, на минимальную сумму зафиксированную в течение месяца",F159='депозитный калькулятор'!$D$8,EOMONTH(F159,0)&lt;&gt;F159),IF('депозитный калькулятор'!$F$1=1,$H$24,IF(AND(OR('депозитный калькулятор'!$G$7="30/365",'депозитный калькулятор'!$G$7="30/360"),DAY(F159)=31),0,MIN(OFFSET(H159,-E159+1,0):H159)*(E159+SUMIF(OFFSET(A159,-E159+1,0):A159,"=2",OFFSET(A159,-E159+1,0):A159)))),IF(AND('депозитный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калькулятор'!$G$7="30/360"),DAY(EOMONTH(F159,0))=31),EOMONTH(F159,0)-1=F159,EOMONTH(F159,0)=F159)),IF(IF(AND(OR('депозитный калькулятор'!$G$7="30/365",'депозитный калькулятор'!$G$7="30/360"),DAY(EOMONTH($F$23,0))=31),F159=EOMONTH($F$23,0)-1,F159=EOMONTH($F$23,0)),MIN(OFFSET(H159,-(DAY(F159)-DAY($F$23)),0):H159)*E159,MIN(OFFSET(H159,-(DAY(F159)-1),0):H159)*IF(AND(OR('депозитный калькулятор'!$G$7="30/365",'депозитный калькулятор'!$G$7="30/360"),DAY(F159)&lt;30),30,DAY(F159))),IF(AND('депозитный калькулятор'!$G$10="ежемесячное, на средний остаток в течение месяца, при условии что остаток больше чем ограничение",F159='депозитный калькулятор'!$D$8,EOMONTH(F159,0)&lt;&gt;F159),IF('депозитный калькулятор'!$F$1=1,$H$24,SUM(OFFSET(Q159,-E159+1,0):Q159)),IF(AND('депозитный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калькулятор'!$G$7="30/360"),DAY(EOMONTH(F159,0))=31),EOMONTH(F159,0)-1=F159,EOMONTH(F159,0)=F159)),IF(IF(AND(OR('депозитный калькулятор'!$G$7="30/365",'депозитный калькулятор'!$G$7="30/360"),DAY(EOMONTH($F$24,0))=31),F159=EOMONTH($F$24,0)-1,F159=EOMONTH($F$24,0)),SUM(OFFSET(Q159,-E159+1,0):Q159),SUM(OFFSET(Q159,-E159+1,0):Q159)),IF('депозитный калькулятор'!$G$10="ежеквартальное",IF(F159&gt;'депозитный калькулятор'!$D$8," ",IF(AND(EOMONTH(F159,0)=F159,OR(MONTH(F159)=3,MONTH(F159)=6,MONTH(F159)=9,MONTH(F159)=12)),IF(EDATE(F159,-3)&lt;'депозитный калькулятор'!$D$7,SUM($H$23:H159),IF(MOD(YEAR(F159),4)=0,IF(AND(EOMONTH(F159,0)=F159,OR(MONTH(F159)=3,MONTH(F159)=6)),SUM(OFFSET(H159,-90,0):H159),IF(AND(EOMONTH(F159,0)=F159,OR(MONTH(F159)=9,MONTH(F159)=12)),SUM(OFFSET(H159,-91,0):H159))),IF(AND(EOMONTH(F159,0)=F159,MONTH(F159)=3),SUM(OFFSET(H159,-89,0):H159),IF(AND(EOMONTH(F159,0)=F159,MONTH(F159)=6),SUM(OFFSET(H159,-90,0):H159),IF(AND(EOMONTH(F159,0)=F159,OR(MONTH(F159)=9,MONTH(F159)=12)),SUM(OFFSET(H159,-91,0):H159)))))),IF(F159='депозитный калькулятор'!$D$8,SUM($H$23:H159)-SUM($I$23:I158),0))),IF('депозитный калькулятор'!$G$10="ежегодное",IF(F159&gt;'депозитный калькулятор'!$D$8," ",IF(F159='депозитный калькулятор'!$D$8,SUM($H$23:H159)-SUM($I$23:I158),IF(AND(EOMONTH(F159,0)=F159,MONTH(F159)=12),IF(MOD(YEAR(F158),4)=0,IF(F159-'депозитный калькулятор'!$D$7&lt;366,SUM($H$23:H159),SUM(OFFSET(H159,-365,0):H159)),IF(F159-'депозитный калькулятор'!$D$7&lt;365,SUM($H$23:H159),SUM(OFFSET(H159,-364,0):H159))),0))),IF(AND('депозитный калькулятор'!$G$10="в конце срока",'депозитный калькулятор'!$D$8=F159),SUM($H$23:H159),0))))))))))))))))))</f>
        <v xml:space="preserve"> </v>
      </c>
      <c r="J159" s="59" t="str">
        <f>IF(F159&gt;'депозитный калькулятор'!$D$8," ",IF('депозитный калькулятор'!$G$16="нет",0,IF(AND('депозитный калькулятор'!$G$17="разовая (в конце срока)",F159='депозитный калькулятор'!$D$8),'депозитный калькулятор'!$G$18,IF(AND('депозитный калькулятор'!$G$17="ежемесячная",EOMONTH(F158,0)=F158),'депозитный калькулятор'!$G$18,IF(AND('депозитный калькулятор'!$G$17="ежегодная",DAY(F158)=31,MONTH(F158)=12),'депозитный калькулятор'!$G$18,IF(AND('депозитный калькулятор'!$G$17="ежемесячная в зависимости от остатка",EOMONTH(F158,0)=F158,P158&gt;0),'депозитный калькулятор'!$G$18,IF(AND('депозитный калькулятор'!$G$17="ежегодная в зависимости от остатка",DAY(F158)=31,MONTH(F158)=12,P158&gt;0),'депозитный калькулятор'!$G$18,0)))))))</f>
        <v xml:space="preserve"> </v>
      </c>
      <c r="K159" s="135" t="str">
        <f>IF($F159=" "," ",IFERROR(VLOOKUP($F159,'депозитный калькулятор'!$B$26:$F$70,2,0),0))</f>
        <v xml:space="preserve"> </v>
      </c>
      <c r="L159" s="135" t="str">
        <f>IF($F159=" "," ",IFERROR(VLOOKUP($F159,'депозитный калькулятор'!$B$26:$F$70,3,0),0))</f>
        <v xml:space="preserve"> </v>
      </c>
      <c r="M159" s="135" t="str">
        <f>IF($F159=" "," ",IFERROR(VLOOKUP($F159,'депозитный калькулятор'!$B$26:$F$70,4,0),0))</f>
        <v xml:space="preserve"> </v>
      </c>
      <c r="N159" s="135" t="str">
        <f>IF($F159=" "," ",IFERROR(VLOOKUP($F159,'депозитный калькулятор'!$B$26:$F$70,5,0),0))</f>
        <v xml:space="preserve"> </v>
      </c>
      <c r="O159" s="146" t="str">
        <f>IF(F159&gt;'депозитный калькулятор'!$D$8," ",IF(F159='депозитный калькулятор'!$D$8,IF(AND($F$24='депозитный калькулятор'!$D$8,'депозитный калькулятор'!$G$13="нет"),-G159-IF(I159=" ",0,I159)-IF(AND(OR('депозитный калькулятор'!$G$7="30/365",'депозитный калькулятор'!$G$7="30/360"),'депозитный калькулятор'!$G$10="в начале срока"),I158,0)-L159+M159-N159,-G159-IF(I159=" ",0,I159)-L159+M159-N159),IF('депозитный калькулятор'!$G$13="есть",M159-N159+IF('депозитный калькулятор'!$G$14="есть",0,-L159),-IF(I159=" ",0,I159)-IF(AND(OR('депозитный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срока"),I158,0)+M159-N159+IF('депозитный калькулятор'!$G$14="есть",0,-L159))))</f>
        <v xml:space="preserve"> </v>
      </c>
      <c r="P159" s="147" t="str">
        <f>IF(F159&gt;'депозитный калькулятор'!$D$8," ",IF(EOMONTH(F158,0)=F158,0,IF(G159&gt;='депозитный калькулятор'!$G$19,P158,P158+1)))</f>
        <v xml:space="preserve"> </v>
      </c>
      <c r="Q159" s="138" t="str">
        <f>IF(F159=" "," ",IF(AND(OR('депозитный калькулятор'!$G$7="30/365",'депозитный калькулятор'!$G$7="30/360"),AND(MONTH(F159)=2,EOMONTH(F159,0)=F159)),IF(DAY(F159)=28,3,2),1)*IF(G159&gt;='депозитный калькулятор'!$G$11,IF(AND('депозитный калькулятор'!$G$7="факт/факт",MOD(YEAR(F159),4)=0),G159*'депозитный калькулятор'!$D$11/366,G159*'депозитный калькулятор'!$G$8),0))</f>
        <v xml:space="preserve"> </v>
      </c>
      <c r="R159" s="148"/>
      <c r="S159" s="62" t="str">
        <f t="shared" ca="1" si="12"/>
        <v xml:space="preserve"> </v>
      </c>
      <c r="T159" s="149" t="str">
        <f ca="1">IF(S159=" "," ",IF('депозитный калькулятор'!$G$7="30/360",DAYS360(U158,IF(DAY(U159)=31,U159-1,U159))+IF(AND(MONTH(U159)=2,U159=EOMONTH(U159,0)),30-DAY(EOMONTH(U159,0)))+T158,VLOOKUP(S159,$C$22:$F$1023,2,0)))</f>
        <v xml:space="preserve"> </v>
      </c>
      <c r="U159" s="64" t="str">
        <f t="shared" ca="1" si="10"/>
        <v xml:space="preserve"> </v>
      </c>
      <c r="V159" s="150" t="str">
        <f t="shared" ca="1" si="13"/>
        <v xml:space="preserve"> </v>
      </c>
      <c r="W159" s="62" t="str">
        <f t="shared" ca="1" si="14"/>
        <v xml:space="preserve"> </v>
      </c>
      <c r="X159" s="141" t="str">
        <f ca="1">IF(S159=" "," ",IFERROR(VLOOKUP(U159,$F$23:$N$1023,7)+VLOOKUP(U159,$F$23:$N$1023,9)+IF(AND('депозитный калькулятор'!$G$13="нет",U159&lt;&gt;'депозитный калькулятор'!$D$8),VLOOKUP(U159,$F$23:$N$1023,4),0),0)+IF(U159='депозитный калькулятор'!$D$8,VLOOKUP(U159,$F$23:$N$1023,2)+VLOOKUP(U159,$F$23:$N$1023,4),0))</f>
        <v xml:space="preserve"> </v>
      </c>
      <c r="Y159" s="142" t="str">
        <f ca="1">IF(S159=" "," ",W159/(1+'депозитный калькулятор'!$K$8)^(T159/IF('депозитный калькулятор'!$G$7="30/360",360,365)))</f>
        <v xml:space="preserve"> </v>
      </c>
      <c r="Z159" s="142" t="str">
        <f ca="1">IF(S159=" "," ",X159/(1+'депозитный калькулятор'!$K$8)^(T159/IF('депозитный калькулятор'!$G$7="30/360",360,365)))</f>
        <v xml:space="preserve"> </v>
      </c>
      <c r="AA159" s="151"/>
      <c r="AB159" s="151"/>
      <c r="AC159" s="155"/>
      <c r="AD159" s="155"/>
    </row>
    <row r="160" spans="1:30" s="2" customFormat="1" ht="15.5" x14ac:dyDescent="0.35">
      <c r="A160" s="41" t="str">
        <f>IF(F160=" "," ",IF(OR('депозитный калькулятор'!$G$7="30/365",'депозитный калькулятор'!$G$7="30/360"),IF(AND(MONTH(F160)=2,DAY(F160)=DAY(EOMONTH(F160,0))),30-DAY(EOMONTH(F160,0)),IF(DAY(F160)=31,1," "))," "))</f>
        <v xml:space="preserve"> </v>
      </c>
      <c r="B160" s="130" t="str">
        <f t="shared" si="11"/>
        <v xml:space="preserve"> </v>
      </c>
      <c r="C160" s="130" t="str">
        <f>IF(OR(B160=0,B160=" ")," ",SUM($B$23:B160))</f>
        <v xml:space="preserve"> </v>
      </c>
      <c r="D160" s="62" t="str">
        <f>IF(D159=" "," ",IF(OR(F159='депозитный калькулятор'!$D$8,F159=" ")," ",D159+1))</f>
        <v xml:space="preserve"> </v>
      </c>
      <c r="E160" s="130" t="str">
        <f>IF(OR(F159='депозитный калькулятор'!$D$8,F159=" ")," ",IF(EOMONTH(F159,0)=F159,1,E159+1))</f>
        <v xml:space="preserve"> </v>
      </c>
      <c r="F160" s="64" t="str">
        <f>IF(F159=" "," ",IF(F159='депозитный калькулятор'!$D$8," ",F159+1))</f>
        <v xml:space="preserve"> </v>
      </c>
      <c r="G160" s="145" t="str">
        <f xml:space="preserve"> IF(F160&gt;'депозитный калькулятор'!$D$8," ",IF('депозитный калькулятор'!$G$13="есть",IF('депозитный калькулятор'!$G$14="есть",G159+IF(I159=" ",0,I159)-J160-K160+L160+M160-N160,G159+IF(I159=" ",0,I159)-J160-K160+M160-N160),IF('депозитный калькулятор'!$G$14="есть",G159-J160-K160+L160+M160-N160,G159-J160-K160+M160-N160)))</f>
        <v xml:space="preserve"> </v>
      </c>
      <c r="H160" s="133" t="str">
        <f>IF(F160&gt;'депозитный калькулятор'!$D$8," ",IF(AND(OR('депозитный калькулятор'!$G$7="30/365",'депозитный калькулятор'!$G$7="30/360"),AND(MONTH(F160)=2,EOMONTH(F160,0)=F160)),IF(DAY(F160)=28,3*G160*'депозитный калькулятор'!$G$8,2*G160*'депозитный калькулятор'!$G$8),IF(AND(OR('депозитный калькулятор'!$G$7="30/365",'депозитный калькулятор'!$G$7="30/360"),DAY(F160)=31)," ",IF(AND('депозитный калькулятор'!$G$7="факт/факт",MOD(YEAR(F160),4)=0),G160*'депозитный калькулятор'!$D$11/366,G160*'депозитный калькулятор'!$G$8))))</f>
        <v xml:space="preserve"> </v>
      </c>
      <c r="I160" s="134" t="str">
        <f ca="1">IF(F160=" "," ",IF('депозитный калькулятор'!$G$10="ежедневное",H160,IF(AND('депозитный калькулятор'!$G$10="еженедельное",WEEKDAY(F160,2)=7),SUM(OFFSET(H160,-6,0):H160),IF(AND('депозитный калькулятор'!$G$10="еженедельное",F160='депозитный калькулятор'!$D$8),SUM($H$23:H160)-SUM($I$23:I159),IF(AND('депозитный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недели",WEEKDAY(F160,2)=7),MIN(OFFSET(H160,-6,0):H160)*(COUNTIF(OFFSET(H160,-6,0):H160,"&gt;0")+SUMIF(OFFSET(A160,-WEEKDAY(F160,2),0):A160,"=2",OFFSET(A160,-WEEKDAY(F160,2),0):A160)),IF(AND('депозитный калькулятор'!$G$10="еженедельное, на минимальную сумму зафиксированную в течение недели",F160='депозитный калькулятор'!$D$8,WEEKDAY(F160,2)&lt;&gt;7),MIN(OFFSET(H160,-WEEKDAY(F160,2),0):H160)*(COUNTIF(OFFSET(H160,-WEEKDAY(F160,2)+1,0):H160,"&gt;0")+SUM(OFFSET(A160,-WEEKDAY(F160,2),0):A160)),IF(AND('депозитный калькулятор'!$G$10="ежемесячное (в конце месяца)",F160='депозитный калькулятор'!$D$8,EOMONTH(F160,0)&lt;&gt;F160),IF('депозитный калькулятор'!$F$1=1,$H$24,SUM($H$23:H160)-SUM($I$23:I159)),IF(AND('депозитный калькулятор'!$G$10="ежемесячное (в конце месяца)",EOMONTH(F160,0)=F160),SUM($H$23:H160)-SUM($I$23:I159),IF(AND('депозитный калькулятор'!$G$10="ежемесячное (по дням открытия вклада)",F160='депозитный калькулятор'!$D$8,DAY('депозитный калькулятор'!$D$7)&lt;&gt;DAY(F160)),IF('депозитный калькулятор'!$F$1=1,$H$24,SUM($H$23:H160)-SUM($I$23:I159)),IF(AND('депозитный калькулятор'!$G$10="ежемесячное (по дням открытия вклада)",DAY('депозитный калькулятор'!$D$7)=DAY(F160)),SUM($H$23:H160)-SUM($I$23:I159),IF(AND('депозитный калькулятор'!$G$10="ежемесячное, на минимальную сумму зафиксированную в течение месяца",F160='депозитный калькулятор'!$D$8,EOMONTH(F160,0)&lt;&gt;F160),IF('депозитный калькулятор'!$F$1=1,$H$24,IF(AND(OR('депозитный калькулятор'!$G$7="30/365",'депозитный калькулятор'!$G$7="30/360"),DAY(F160)=31),0,MIN(OFFSET(H160,-E160+1,0):H160)*(E160+SUMIF(OFFSET(A160,-E160+1,0):A160,"=2",OFFSET(A160,-E160+1,0):A160)))),IF(AND('депозитный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калькулятор'!$G$7="30/360"),DAY(EOMONTH(F160,0))=31),EOMONTH(F160,0)-1=F160,EOMONTH(F160,0)=F160)),IF(IF(AND(OR('депозитный калькулятор'!$G$7="30/365",'депозитный калькулятор'!$G$7="30/360"),DAY(EOMONTH($F$23,0))=31),F160=EOMONTH($F$23,0)-1,F160=EOMONTH($F$23,0)),MIN(OFFSET(H160,-(DAY(F160)-DAY($F$23)),0):H160)*E160,MIN(OFFSET(H160,-(DAY(F160)-1),0):H160)*IF(AND(OR('депозитный калькулятор'!$G$7="30/365",'депозитный калькулятор'!$G$7="30/360"),DAY(F160)&lt;30),30,DAY(F160))),IF(AND('депозитный калькулятор'!$G$10="ежемесячное, на средний остаток в течение месяца, при условии что остаток больше чем ограничение",F160='депозитный калькулятор'!$D$8,EOMONTH(F160,0)&lt;&gt;F160),IF('депозитный калькулятор'!$F$1=1,$H$24,SUM(OFFSET(Q160,-E160+1,0):Q160)),IF(AND('депозитный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калькулятор'!$G$7="30/360"),DAY(EOMONTH(F160,0))=31),EOMONTH(F160,0)-1=F160,EOMONTH(F160,0)=F160)),IF(IF(AND(OR('депозитный калькулятор'!$G$7="30/365",'депозитный калькулятор'!$G$7="30/360"),DAY(EOMONTH($F$24,0))=31),F160=EOMONTH($F$24,0)-1,F160=EOMONTH($F$24,0)),SUM(OFFSET(Q160,-E160+1,0):Q160),SUM(OFFSET(Q160,-E160+1,0):Q160)),IF('депозитный калькулятор'!$G$10="ежеквартальное",IF(F160&gt;'депозитный калькулятор'!$D$8," ",IF(AND(EOMONTH(F160,0)=F160,OR(MONTH(F160)=3,MONTH(F160)=6,MONTH(F160)=9,MONTH(F160)=12)),IF(EDATE(F160,-3)&lt;'депозитный калькулятор'!$D$7,SUM($H$23:H160),IF(MOD(YEAR(F160),4)=0,IF(AND(EOMONTH(F160,0)=F160,OR(MONTH(F160)=3,MONTH(F160)=6)),SUM(OFFSET(H160,-90,0):H160),IF(AND(EOMONTH(F160,0)=F160,OR(MONTH(F160)=9,MONTH(F160)=12)),SUM(OFFSET(H160,-91,0):H160))),IF(AND(EOMONTH(F160,0)=F160,MONTH(F160)=3),SUM(OFFSET(H160,-89,0):H160),IF(AND(EOMONTH(F160,0)=F160,MONTH(F160)=6),SUM(OFFSET(H160,-90,0):H160),IF(AND(EOMONTH(F160,0)=F160,OR(MONTH(F160)=9,MONTH(F160)=12)),SUM(OFFSET(H160,-91,0):H160)))))),IF(F160='депозитный калькулятор'!$D$8,SUM($H$23:H160)-SUM($I$23:I159),0))),IF('депозитный калькулятор'!$G$10="ежегодное",IF(F160&gt;'депозитный калькулятор'!$D$8," ",IF(F160='депозитный калькулятор'!$D$8,SUM($H$23:H160)-SUM($I$23:I159),IF(AND(EOMONTH(F160,0)=F160,MONTH(F160)=12),IF(MOD(YEAR(F159),4)=0,IF(F160-'депозитный калькулятор'!$D$7&lt;366,SUM($H$23:H160),SUM(OFFSET(H160,-365,0):H160)),IF(F160-'депозитный калькулятор'!$D$7&lt;365,SUM($H$23:H160),SUM(OFFSET(H160,-364,0):H160))),0))),IF(AND('депозитный калькулятор'!$G$10="в конце срока",'депозитный калькулятор'!$D$8=F160),SUM($H$23:H160),0))))))))))))))))))</f>
        <v xml:space="preserve"> </v>
      </c>
      <c r="J160" s="59" t="str">
        <f>IF(F160&gt;'депозитный калькулятор'!$D$8," ",IF('депозитный калькулятор'!$G$16="нет",0,IF(AND('депозитный калькулятор'!$G$17="разовая (в конце срока)",F160='депозитный калькулятор'!$D$8),'депозитный калькулятор'!$G$18,IF(AND('депозитный калькулятор'!$G$17="ежемесячная",EOMONTH(F159,0)=F159),'депозитный калькулятор'!$G$18,IF(AND('депозитный калькулятор'!$G$17="ежегодная",DAY(F159)=31,MONTH(F159)=12),'депозитный калькулятор'!$G$18,IF(AND('депозитный калькулятор'!$G$17="ежемесячная в зависимости от остатка",EOMONTH(F159,0)=F159,P159&gt;0),'депозитный калькулятор'!$G$18,IF(AND('депозитный калькулятор'!$G$17="ежегодная в зависимости от остатка",DAY(F159)=31,MONTH(F159)=12,P159&gt;0),'депозитный калькулятор'!$G$18,0)))))))</f>
        <v xml:space="preserve"> </v>
      </c>
      <c r="K160" s="135" t="str">
        <f>IF($F160=" "," ",IFERROR(VLOOKUP($F160,'депозитный калькулятор'!$B$26:$F$70,2,0),0))</f>
        <v xml:space="preserve"> </v>
      </c>
      <c r="L160" s="135" t="str">
        <f>IF($F160=" "," ",IFERROR(VLOOKUP($F160,'депозитный калькулятор'!$B$26:$F$70,3,0),0))</f>
        <v xml:space="preserve"> </v>
      </c>
      <c r="M160" s="135" t="str">
        <f>IF($F160=" "," ",IFERROR(VLOOKUP($F160,'депозитный калькулятор'!$B$26:$F$70,4,0),0))</f>
        <v xml:space="preserve"> </v>
      </c>
      <c r="N160" s="135" t="str">
        <f>IF($F160=" "," ",IFERROR(VLOOKUP($F160,'депозитный калькулятор'!$B$26:$F$70,5,0),0))</f>
        <v xml:space="preserve"> </v>
      </c>
      <c r="O160" s="146" t="str">
        <f>IF(F160&gt;'депозитный калькулятор'!$D$8," ",IF(F160='депозитный калькулятор'!$D$8,IF(AND($F$24='депозитный калькулятор'!$D$8,'депозитный калькулятор'!$G$13="нет"),-G160-IF(I160=" ",0,I160)-IF(AND(OR('депозитный калькулятор'!$G$7="30/365",'депозитный калькулятор'!$G$7="30/360"),'депозитный калькулятор'!$G$10="в начале срока"),I159,0)-L160+M160-N160,-G160-IF(I160=" ",0,I160)-L160+M160-N160),IF('депозитный калькулятор'!$G$13="есть",M160-N160+IF('депозитный калькулятор'!$G$14="есть",0,-L160),-IF(I160=" ",0,I160)-IF(AND(OR('депозитный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срока"),I159,0)+M160-N160+IF('депозитный калькулятор'!$G$14="есть",0,-L160))))</f>
        <v xml:space="preserve"> </v>
      </c>
      <c r="P160" s="147" t="str">
        <f>IF(F160&gt;'депозитный калькулятор'!$D$8," ",IF(EOMONTH(F159,0)=F159,0,IF(G160&gt;='депозитный калькулятор'!$G$19,P159,P159+1)))</f>
        <v xml:space="preserve"> </v>
      </c>
      <c r="Q160" s="138" t="str">
        <f>IF(F160=" "," ",IF(AND(OR('депозитный калькулятор'!$G$7="30/365",'депозитный калькулятор'!$G$7="30/360"),AND(MONTH(F160)=2,EOMONTH(F160,0)=F160)),IF(DAY(F160)=28,3,2),1)*IF(G160&gt;='депозитный калькулятор'!$G$11,IF(AND('депозитный калькулятор'!$G$7="факт/факт",MOD(YEAR(F160),4)=0),G160*'депозитный калькулятор'!$D$11/366,G160*'депозитный калькулятор'!$G$8),0))</f>
        <v xml:space="preserve"> </v>
      </c>
      <c r="R160" s="148"/>
      <c r="S160" s="62" t="str">
        <f t="shared" ca="1" si="12"/>
        <v xml:space="preserve"> </v>
      </c>
      <c r="T160" s="149" t="str">
        <f ca="1">IF(S160=" "," ",IF('депозитный калькулятор'!$G$7="30/360",DAYS360(U159,IF(DAY(U160)=31,U160-1,U160))+IF(AND(MONTH(U160)=2,U160=EOMONTH(U160,0)),30-DAY(EOMONTH(U160,0)))+T159,VLOOKUP(S160,$C$22:$F$1023,2,0)))</f>
        <v xml:space="preserve"> </v>
      </c>
      <c r="U160" s="64" t="str">
        <f t="shared" ca="1" si="10"/>
        <v xml:space="preserve"> </v>
      </c>
      <c r="V160" s="150" t="str">
        <f t="shared" ca="1" si="13"/>
        <v xml:space="preserve"> </v>
      </c>
      <c r="W160" s="62" t="str">
        <f t="shared" ca="1" si="14"/>
        <v xml:space="preserve"> </v>
      </c>
      <c r="X160" s="141" t="str">
        <f ca="1">IF(S160=" "," ",IFERROR(VLOOKUP(U160,$F$23:$N$1023,7)+VLOOKUP(U160,$F$23:$N$1023,9)+IF(AND('депозитный калькулятор'!$G$13="нет",U160&lt;&gt;'депозитный калькулятор'!$D$8),VLOOKUP(U160,$F$23:$N$1023,4),0),0)+IF(U160='депозитный калькулятор'!$D$8,VLOOKUP(U160,$F$23:$N$1023,2)+VLOOKUP(U160,$F$23:$N$1023,4),0))</f>
        <v xml:space="preserve"> </v>
      </c>
      <c r="Y160" s="142" t="str">
        <f ca="1">IF(S160=" "," ",W160/(1+'депозитный калькулятор'!$K$8)^(T160/IF('депозитный калькулятор'!$G$7="30/360",360,365)))</f>
        <v xml:space="preserve"> </v>
      </c>
      <c r="Z160" s="142" t="str">
        <f ca="1">IF(S160=" "," ",X160/(1+'депозитный калькулятор'!$K$8)^(T160/IF('депозитный калькулятор'!$G$7="30/360",360,365)))</f>
        <v xml:space="preserve"> </v>
      </c>
      <c r="AA160" s="151"/>
      <c r="AB160" s="151"/>
      <c r="AC160" s="155"/>
      <c r="AD160" s="155"/>
    </row>
    <row r="161" spans="1:30" s="2" customFormat="1" ht="15.5" x14ac:dyDescent="0.35">
      <c r="A161" s="41" t="str">
        <f>IF(F161=" "," ",IF(OR('депозитный калькулятор'!$G$7="30/365",'депозитный калькулятор'!$G$7="30/360"),IF(AND(MONTH(F161)=2,DAY(F161)=DAY(EOMONTH(F161,0))),30-DAY(EOMONTH(F161,0)),IF(DAY(F161)=31,1," "))," "))</f>
        <v xml:space="preserve"> </v>
      </c>
      <c r="B161" s="130" t="str">
        <f t="shared" si="11"/>
        <v xml:space="preserve"> </v>
      </c>
      <c r="C161" s="130" t="str">
        <f>IF(OR(B161=0,B161=" ")," ",SUM($B$23:B161))</f>
        <v xml:space="preserve"> </v>
      </c>
      <c r="D161" s="62" t="str">
        <f>IF(D160=" "," ",IF(OR(F160='депозитный калькулятор'!$D$8,F160=" ")," ",D160+1))</f>
        <v xml:space="preserve"> </v>
      </c>
      <c r="E161" s="130" t="str">
        <f>IF(OR(F160='депозитный калькулятор'!$D$8,F160=" ")," ",IF(EOMONTH(F160,0)=F160,1,E160+1))</f>
        <v xml:space="preserve"> </v>
      </c>
      <c r="F161" s="64" t="str">
        <f>IF(F160=" "," ",IF(F160='депозитный калькулятор'!$D$8," ",F160+1))</f>
        <v xml:space="preserve"> </v>
      </c>
      <c r="G161" s="145" t="str">
        <f xml:space="preserve"> IF(F161&gt;'депозитный калькулятор'!$D$8," ",IF('депозитный калькулятор'!$G$13="есть",IF('депозитный калькулятор'!$G$14="есть",G160+IF(I160=" ",0,I160)-J161-K161+L161+M161-N161,G160+IF(I160=" ",0,I160)-J161-K161+M161-N161),IF('депозитный калькулятор'!$G$14="есть",G160-J161-K161+L161+M161-N161,G160-J161-K161+M161-N161)))</f>
        <v xml:space="preserve"> </v>
      </c>
      <c r="H161" s="133" t="str">
        <f>IF(F161&gt;'депозитный калькулятор'!$D$8," ",IF(AND(OR('депозитный калькулятор'!$G$7="30/365",'депозитный калькулятор'!$G$7="30/360"),AND(MONTH(F161)=2,EOMONTH(F161,0)=F161)),IF(DAY(F161)=28,3*G161*'депозитный калькулятор'!$G$8,2*G161*'депозитный калькулятор'!$G$8),IF(AND(OR('депозитный калькулятор'!$G$7="30/365",'депозитный калькулятор'!$G$7="30/360"),DAY(F161)=31)," ",IF(AND('депозитный калькулятор'!$G$7="факт/факт",MOD(YEAR(F161),4)=0),G161*'депозитный калькулятор'!$D$11/366,G161*'депозитный калькулятор'!$G$8))))</f>
        <v xml:space="preserve"> </v>
      </c>
      <c r="I161" s="134" t="str">
        <f ca="1">IF(F161=" "," ",IF('депозитный калькулятор'!$G$10="ежедневное",H161,IF(AND('депозитный калькулятор'!$G$10="еженедельное",WEEKDAY(F161,2)=7),SUM(OFFSET(H161,-6,0):H161),IF(AND('депозитный калькулятор'!$G$10="еженедельное",F161='депозитный калькулятор'!$D$8),SUM($H$23:H161)-SUM($I$23:I160),IF(AND('депозитный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недели",WEEKDAY(F161,2)=7),MIN(OFFSET(H161,-6,0):H161)*(COUNTIF(OFFSET(H161,-6,0):H161,"&gt;0")+SUMIF(OFFSET(A161,-WEEKDAY(F161,2),0):A161,"=2",OFFSET(A161,-WEEKDAY(F161,2),0):A161)),IF(AND('депозитный калькулятор'!$G$10="еженедельное, на минимальную сумму зафиксированную в течение недели",F161='депозитный калькулятор'!$D$8,WEEKDAY(F161,2)&lt;&gt;7),MIN(OFFSET(H161,-WEEKDAY(F161,2),0):H161)*(COUNTIF(OFFSET(H161,-WEEKDAY(F161,2)+1,0):H161,"&gt;0")+SUM(OFFSET(A161,-WEEKDAY(F161,2),0):A161)),IF(AND('депозитный калькулятор'!$G$10="ежемесячное (в конце месяца)",F161='депозитный калькулятор'!$D$8,EOMONTH(F161,0)&lt;&gt;F161),IF('депозитный калькулятор'!$F$1=1,$H$24,SUM($H$23:H161)-SUM($I$23:I160)),IF(AND('депозитный калькулятор'!$G$10="ежемесячное (в конце месяца)",EOMONTH(F161,0)=F161),SUM($H$23:H161)-SUM($I$23:I160),IF(AND('депозитный калькулятор'!$G$10="ежемесячное (по дням открытия вклада)",F161='депозитный калькулятор'!$D$8,DAY('депозитный калькулятор'!$D$7)&lt;&gt;DAY(F161)),IF('депозитный калькулятор'!$F$1=1,$H$24,SUM($H$23:H161)-SUM($I$23:I160)),IF(AND('депозитный калькулятор'!$G$10="ежемесячное (по дням открытия вклада)",DAY('депозитный калькулятор'!$D$7)=DAY(F161)),SUM($H$23:H161)-SUM($I$23:I160),IF(AND('депозитный калькулятор'!$G$10="ежемесячное, на минимальную сумму зафиксированную в течение месяца",F161='депозитный калькулятор'!$D$8,EOMONTH(F161,0)&lt;&gt;F161),IF('депозитный калькулятор'!$F$1=1,$H$24,IF(AND(OR('депозитный калькулятор'!$G$7="30/365",'депозитный калькулятор'!$G$7="30/360"),DAY(F161)=31),0,MIN(OFFSET(H161,-E161+1,0):H161)*(E161+SUMIF(OFFSET(A161,-E161+1,0):A161,"=2",OFFSET(A161,-E161+1,0):A161)))),IF(AND('депозитный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калькулятор'!$G$7="30/360"),DAY(EOMONTH(F161,0))=31),EOMONTH(F161,0)-1=F161,EOMONTH(F161,0)=F161)),IF(IF(AND(OR('депозитный калькулятор'!$G$7="30/365",'депозитный калькулятор'!$G$7="30/360"),DAY(EOMONTH($F$23,0))=31),F161=EOMONTH($F$23,0)-1,F161=EOMONTH($F$23,0)),MIN(OFFSET(H161,-(DAY(F161)-DAY($F$23)),0):H161)*E161,MIN(OFFSET(H161,-(DAY(F161)-1),0):H161)*IF(AND(OR('депозитный калькулятор'!$G$7="30/365",'депозитный калькулятор'!$G$7="30/360"),DAY(F161)&lt;30),30,DAY(F161))),IF(AND('депозитный калькулятор'!$G$10="ежемесячное, на средний остаток в течение месяца, при условии что остаток больше чем ограничение",F161='депозитный калькулятор'!$D$8,EOMONTH(F161,0)&lt;&gt;F161),IF('депозитный калькулятор'!$F$1=1,$H$24,SUM(OFFSET(Q161,-E161+1,0):Q161)),IF(AND('депозитный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калькулятор'!$G$7="30/360"),DAY(EOMONTH(F161,0))=31),EOMONTH(F161,0)-1=F161,EOMONTH(F161,0)=F161)),IF(IF(AND(OR('депозитный калькулятор'!$G$7="30/365",'депозитный калькулятор'!$G$7="30/360"),DAY(EOMONTH($F$24,0))=31),F161=EOMONTH($F$24,0)-1,F161=EOMONTH($F$24,0)),SUM(OFFSET(Q161,-E161+1,0):Q161),SUM(OFFSET(Q161,-E161+1,0):Q161)),IF('депозитный калькулятор'!$G$10="ежеквартальное",IF(F161&gt;'депозитный калькулятор'!$D$8," ",IF(AND(EOMONTH(F161,0)=F161,OR(MONTH(F161)=3,MONTH(F161)=6,MONTH(F161)=9,MONTH(F161)=12)),IF(EDATE(F161,-3)&lt;'депозитный калькулятор'!$D$7,SUM($H$23:H161),IF(MOD(YEAR(F161),4)=0,IF(AND(EOMONTH(F161,0)=F161,OR(MONTH(F161)=3,MONTH(F161)=6)),SUM(OFFSET(H161,-90,0):H161),IF(AND(EOMONTH(F161,0)=F161,OR(MONTH(F161)=9,MONTH(F161)=12)),SUM(OFFSET(H161,-91,0):H161))),IF(AND(EOMONTH(F161,0)=F161,MONTH(F161)=3),SUM(OFFSET(H161,-89,0):H161),IF(AND(EOMONTH(F161,0)=F161,MONTH(F161)=6),SUM(OFFSET(H161,-90,0):H161),IF(AND(EOMONTH(F161,0)=F161,OR(MONTH(F161)=9,MONTH(F161)=12)),SUM(OFFSET(H161,-91,0):H161)))))),IF(F161='депозитный калькулятор'!$D$8,SUM($H$23:H161)-SUM($I$23:I160),0))),IF('депозитный калькулятор'!$G$10="ежегодное",IF(F161&gt;'депозитный калькулятор'!$D$8," ",IF(F161='депозитный калькулятор'!$D$8,SUM($H$23:H161)-SUM($I$23:I160),IF(AND(EOMONTH(F161,0)=F161,MONTH(F161)=12),IF(MOD(YEAR(F160),4)=0,IF(F161-'депозитный калькулятор'!$D$7&lt;366,SUM($H$23:H161),SUM(OFFSET(H161,-365,0):H161)),IF(F161-'депозитный калькулятор'!$D$7&lt;365,SUM($H$23:H161),SUM(OFFSET(H161,-364,0):H161))),0))),IF(AND('депозитный калькулятор'!$G$10="в конце срока",'депозитный калькулятор'!$D$8=F161),SUM($H$23:H161),0))))))))))))))))))</f>
        <v xml:space="preserve"> </v>
      </c>
      <c r="J161" s="59" t="str">
        <f>IF(F161&gt;'депозитный калькулятор'!$D$8," ",IF('депозитный калькулятор'!$G$16="нет",0,IF(AND('депозитный калькулятор'!$G$17="разовая (в конце срока)",F161='депозитный калькулятор'!$D$8),'депозитный калькулятор'!$G$18,IF(AND('депозитный калькулятор'!$G$17="ежемесячная",EOMONTH(F160,0)=F160),'депозитный калькулятор'!$G$18,IF(AND('депозитный калькулятор'!$G$17="ежегодная",DAY(F160)=31,MONTH(F160)=12),'депозитный калькулятор'!$G$18,IF(AND('депозитный калькулятор'!$G$17="ежемесячная в зависимости от остатка",EOMONTH(F160,0)=F160,P160&gt;0),'депозитный калькулятор'!$G$18,IF(AND('депозитный калькулятор'!$G$17="ежегодная в зависимости от остатка",DAY(F160)=31,MONTH(F160)=12,P160&gt;0),'депозитный калькулятор'!$G$18,0)))))))</f>
        <v xml:space="preserve"> </v>
      </c>
      <c r="K161" s="135" t="str">
        <f>IF($F161=" "," ",IFERROR(VLOOKUP($F161,'депозитный калькулятор'!$B$26:$F$70,2,0),0))</f>
        <v xml:space="preserve"> </v>
      </c>
      <c r="L161" s="135" t="str">
        <f>IF($F161=" "," ",IFERROR(VLOOKUP($F161,'депозитный калькулятор'!$B$26:$F$70,3,0),0))</f>
        <v xml:space="preserve"> </v>
      </c>
      <c r="M161" s="135" t="str">
        <f>IF($F161=" "," ",IFERROR(VLOOKUP($F161,'депозитный калькулятор'!$B$26:$F$70,4,0),0))</f>
        <v xml:space="preserve"> </v>
      </c>
      <c r="N161" s="135" t="str">
        <f>IF($F161=" "," ",IFERROR(VLOOKUP($F161,'депозитный калькулятор'!$B$26:$F$70,5,0),0))</f>
        <v xml:space="preserve"> </v>
      </c>
      <c r="O161" s="146" t="str">
        <f>IF(F161&gt;'депозитный калькулятор'!$D$8," ",IF(F161='депозитный калькулятор'!$D$8,IF(AND($F$24='депозитный калькулятор'!$D$8,'депозитный калькулятор'!$G$13="нет"),-G161-IF(I161=" ",0,I161)-IF(AND(OR('депозитный калькулятор'!$G$7="30/365",'депозитный калькулятор'!$G$7="30/360"),'депозитный калькулятор'!$G$10="в начале срока"),I160,0)-L161+M161-N161,-G161-IF(I161=" ",0,I161)-L161+M161-N161),IF('депозитный калькулятор'!$G$13="есть",M161-N161+IF('депозитный калькулятор'!$G$14="есть",0,-L161),-IF(I161=" ",0,I161)-IF(AND(OR('депозитный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срока"),I160,0)+M161-N161+IF('депозитный калькулятор'!$G$14="есть",0,-L161))))</f>
        <v xml:space="preserve"> </v>
      </c>
      <c r="P161" s="147" t="str">
        <f>IF(F161&gt;'депозитный калькулятор'!$D$8," ",IF(EOMONTH(F160,0)=F160,0,IF(G161&gt;='депозитный калькулятор'!$G$19,P160,P160+1)))</f>
        <v xml:space="preserve"> </v>
      </c>
      <c r="Q161" s="138" t="str">
        <f>IF(F161=" "," ",IF(AND(OR('депозитный калькулятор'!$G$7="30/365",'депозитный калькулятор'!$G$7="30/360"),AND(MONTH(F161)=2,EOMONTH(F161,0)=F161)),IF(DAY(F161)=28,3,2),1)*IF(G161&gt;='депозитный калькулятор'!$G$11,IF(AND('депозитный калькулятор'!$G$7="факт/факт",MOD(YEAR(F161),4)=0),G161*'депозитный калькулятор'!$D$11/366,G161*'депозитный калькулятор'!$G$8),0))</f>
        <v xml:space="preserve"> </v>
      </c>
      <c r="R161" s="148"/>
      <c r="S161" s="62" t="str">
        <f t="shared" ca="1" si="12"/>
        <v xml:space="preserve"> </v>
      </c>
      <c r="T161" s="149" t="str">
        <f ca="1">IF(S161=" "," ",IF('депозитный калькулятор'!$G$7="30/360",DAYS360(U160,IF(DAY(U161)=31,U161-1,U161))+IF(AND(MONTH(U161)=2,U161=EOMONTH(U161,0)),30-DAY(EOMONTH(U161,0)))+T160,VLOOKUP(S161,$C$22:$F$1023,2,0)))</f>
        <v xml:space="preserve"> </v>
      </c>
      <c r="U161" s="64" t="str">
        <f t="shared" ca="1" si="10"/>
        <v xml:space="preserve"> </v>
      </c>
      <c r="V161" s="150" t="str">
        <f t="shared" ca="1" si="13"/>
        <v xml:space="preserve"> </v>
      </c>
      <c r="W161" s="62" t="str">
        <f t="shared" ca="1" si="14"/>
        <v xml:space="preserve"> </v>
      </c>
      <c r="X161" s="141" t="str">
        <f ca="1">IF(S161=" "," ",IFERROR(VLOOKUP(U161,$F$23:$N$1023,7)+VLOOKUP(U161,$F$23:$N$1023,9)+IF(AND('депозитный калькулятор'!$G$13="нет",U161&lt;&gt;'депозитный калькулятор'!$D$8),VLOOKUP(U161,$F$23:$N$1023,4),0),0)+IF(U161='депозитный калькулятор'!$D$8,VLOOKUP(U161,$F$23:$N$1023,2)+VLOOKUP(U161,$F$23:$N$1023,4),0))</f>
        <v xml:space="preserve"> </v>
      </c>
      <c r="Y161" s="142" t="str">
        <f ca="1">IF(S161=" "," ",W161/(1+'депозитный калькулятор'!$K$8)^(T161/IF('депозитный калькулятор'!$G$7="30/360",360,365)))</f>
        <v xml:space="preserve"> </v>
      </c>
      <c r="Z161" s="142" t="str">
        <f ca="1">IF(S161=" "," ",X161/(1+'депозитный калькулятор'!$K$8)^(T161/IF('депозитный калькулятор'!$G$7="30/360",360,365)))</f>
        <v xml:space="preserve"> </v>
      </c>
      <c r="AA161" s="151"/>
      <c r="AB161" s="151"/>
      <c r="AC161" s="155"/>
      <c r="AD161" s="155"/>
    </row>
    <row r="162" spans="1:30" s="2" customFormat="1" ht="15.5" x14ac:dyDescent="0.35">
      <c r="A162" s="41" t="str">
        <f>IF(F162=" "," ",IF(OR('депозитный калькулятор'!$G$7="30/365",'депозитный калькулятор'!$G$7="30/360"),IF(AND(MONTH(F162)=2,DAY(F162)=DAY(EOMONTH(F162,0))),30-DAY(EOMONTH(F162,0)),IF(DAY(F162)=31,1," "))," "))</f>
        <v xml:space="preserve"> </v>
      </c>
      <c r="B162" s="130" t="str">
        <f t="shared" si="11"/>
        <v xml:space="preserve"> </v>
      </c>
      <c r="C162" s="130" t="str">
        <f>IF(OR(B162=0,B162=" ")," ",SUM($B$23:B162))</f>
        <v xml:space="preserve"> </v>
      </c>
      <c r="D162" s="62" t="str">
        <f>IF(D161=" "," ",IF(OR(F161='депозитный калькулятор'!$D$8,F161=" ")," ",D161+1))</f>
        <v xml:space="preserve"> </v>
      </c>
      <c r="E162" s="130" t="str">
        <f>IF(OR(F161='депозитный калькулятор'!$D$8,F161=" ")," ",IF(EOMONTH(F161,0)=F161,1,E161+1))</f>
        <v xml:space="preserve"> </v>
      </c>
      <c r="F162" s="64" t="str">
        <f>IF(F161=" "," ",IF(F161='депозитный калькулятор'!$D$8," ",F161+1))</f>
        <v xml:space="preserve"> </v>
      </c>
      <c r="G162" s="145" t="str">
        <f xml:space="preserve"> IF(F162&gt;'депозитный калькулятор'!$D$8," ",IF('депозитный калькулятор'!$G$13="есть",IF('депозитный калькулятор'!$G$14="есть",G161+IF(I161=" ",0,I161)-J162-K162+L162+M162-N162,G161+IF(I161=" ",0,I161)-J162-K162+M162-N162),IF('депозитный калькулятор'!$G$14="есть",G161-J162-K162+L162+M162-N162,G161-J162-K162+M162-N162)))</f>
        <v xml:space="preserve"> </v>
      </c>
      <c r="H162" s="133" t="str">
        <f>IF(F162&gt;'депозитный калькулятор'!$D$8," ",IF(AND(OR('депозитный калькулятор'!$G$7="30/365",'депозитный калькулятор'!$G$7="30/360"),AND(MONTH(F162)=2,EOMONTH(F162,0)=F162)),IF(DAY(F162)=28,3*G162*'депозитный калькулятор'!$G$8,2*G162*'депозитный калькулятор'!$G$8),IF(AND(OR('депозитный калькулятор'!$G$7="30/365",'депозитный калькулятор'!$G$7="30/360"),DAY(F162)=31)," ",IF(AND('депозитный калькулятор'!$G$7="факт/факт",MOD(YEAR(F162),4)=0),G162*'депозитный калькулятор'!$D$11/366,G162*'депозитный калькулятор'!$G$8))))</f>
        <v xml:space="preserve"> </v>
      </c>
      <c r="I162" s="134" t="str">
        <f ca="1">IF(F162=" "," ",IF('депозитный калькулятор'!$G$10="ежедневное",H162,IF(AND('депозитный калькулятор'!$G$10="еженедельное",WEEKDAY(F162,2)=7),SUM(OFFSET(H162,-6,0):H162),IF(AND('депозитный калькулятор'!$G$10="еженедельное",F162='депозитный калькулятор'!$D$8),SUM($H$23:H162)-SUM($I$23:I161),IF(AND('депозитный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недели",WEEKDAY(F162,2)=7),MIN(OFFSET(H162,-6,0):H162)*(COUNTIF(OFFSET(H162,-6,0):H162,"&gt;0")+SUMIF(OFFSET(A162,-WEEKDAY(F162,2),0):A162,"=2",OFFSET(A162,-WEEKDAY(F162,2),0):A162)),IF(AND('депозитный калькулятор'!$G$10="еженедельное, на минимальную сумму зафиксированную в течение недели",F162='депозитный калькулятор'!$D$8,WEEKDAY(F162,2)&lt;&gt;7),MIN(OFFSET(H162,-WEEKDAY(F162,2),0):H162)*(COUNTIF(OFFSET(H162,-WEEKDAY(F162,2)+1,0):H162,"&gt;0")+SUM(OFFSET(A162,-WEEKDAY(F162,2),0):A162)),IF(AND('депозитный калькулятор'!$G$10="ежемесячное (в конце месяца)",F162='депозитный калькулятор'!$D$8,EOMONTH(F162,0)&lt;&gt;F162),IF('депозитный калькулятор'!$F$1=1,$H$24,SUM($H$23:H162)-SUM($I$23:I161)),IF(AND('депозитный калькулятор'!$G$10="ежемесячное (в конце месяца)",EOMONTH(F162,0)=F162),SUM($H$23:H162)-SUM($I$23:I161),IF(AND('депозитный калькулятор'!$G$10="ежемесячное (по дням открытия вклада)",F162='депозитный калькулятор'!$D$8,DAY('депозитный калькулятор'!$D$7)&lt;&gt;DAY(F162)),IF('депозитный калькулятор'!$F$1=1,$H$24,SUM($H$23:H162)-SUM($I$23:I161)),IF(AND('депозитный калькулятор'!$G$10="ежемесячное (по дням открытия вклада)",DAY('депозитный калькулятор'!$D$7)=DAY(F162)),SUM($H$23:H162)-SUM($I$23:I161),IF(AND('депозитный калькулятор'!$G$10="ежемесячное, на минимальную сумму зафиксированную в течение месяца",F162='депозитный калькулятор'!$D$8,EOMONTH(F162,0)&lt;&gt;F162),IF('депозитный калькулятор'!$F$1=1,$H$24,IF(AND(OR('депозитный калькулятор'!$G$7="30/365",'депозитный калькулятор'!$G$7="30/360"),DAY(F162)=31),0,MIN(OFFSET(H162,-E162+1,0):H162)*(E162+SUMIF(OFFSET(A162,-E162+1,0):A162,"=2",OFFSET(A162,-E162+1,0):A162)))),IF(AND('депозитный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калькулятор'!$G$7="30/360"),DAY(EOMONTH(F162,0))=31),EOMONTH(F162,0)-1=F162,EOMONTH(F162,0)=F162)),IF(IF(AND(OR('депозитный калькулятор'!$G$7="30/365",'депозитный калькулятор'!$G$7="30/360"),DAY(EOMONTH($F$23,0))=31),F162=EOMONTH($F$23,0)-1,F162=EOMONTH($F$23,0)),MIN(OFFSET(H162,-(DAY(F162)-DAY($F$23)),0):H162)*E162,MIN(OFFSET(H162,-(DAY(F162)-1),0):H162)*IF(AND(OR('депозитный калькулятор'!$G$7="30/365",'депозитный калькулятор'!$G$7="30/360"),DAY(F162)&lt;30),30,DAY(F162))),IF(AND('депозитный калькулятор'!$G$10="ежемесячное, на средний остаток в течение месяца, при условии что остаток больше чем ограничение",F162='депозитный калькулятор'!$D$8,EOMONTH(F162,0)&lt;&gt;F162),IF('депозитный калькулятор'!$F$1=1,$H$24,SUM(OFFSET(Q162,-E162+1,0):Q162)),IF(AND('депозитный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калькулятор'!$G$7="30/360"),DAY(EOMONTH(F162,0))=31),EOMONTH(F162,0)-1=F162,EOMONTH(F162,0)=F162)),IF(IF(AND(OR('депозитный калькулятор'!$G$7="30/365",'депозитный калькулятор'!$G$7="30/360"),DAY(EOMONTH($F$24,0))=31),F162=EOMONTH($F$24,0)-1,F162=EOMONTH($F$24,0)),SUM(OFFSET(Q162,-E162+1,0):Q162),SUM(OFFSET(Q162,-E162+1,0):Q162)),IF('депозитный калькулятор'!$G$10="ежеквартальное",IF(F162&gt;'депозитный калькулятор'!$D$8," ",IF(AND(EOMONTH(F162,0)=F162,OR(MONTH(F162)=3,MONTH(F162)=6,MONTH(F162)=9,MONTH(F162)=12)),IF(EDATE(F162,-3)&lt;'депозитный калькулятор'!$D$7,SUM($H$23:H162),IF(MOD(YEAR(F162),4)=0,IF(AND(EOMONTH(F162,0)=F162,OR(MONTH(F162)=3,MONTH(F162)=6)),SUM(OFFSET(H162,-90,0):H162),IF(AND(EOMONTH(F162,0)=F162,OR(MONTH(F162)=9,MONTH(F162)=12)),SUM(OFFSET(H162,-91,0):H162))),IF(AND(EOMONTH(F162,0)=F162,MONTH(F162)=3),SUM(OFFSET(H162,-89,0):H162),IF(AND(EOMONTH(F162,0)=F162,MONTH(F162)=6),SUM(OFFSET(H162,-90,0):H162),IF(AND(EOMONTH(F162,0)=F162,OR(MONTH(F162)=9,MONTH(F162)=12)),SUM(OFFSET(H162,-91,0):H162)))))),IF(F162='депозитный калькулятор'!$D$8,SUM($H$23:H162)-SUM($I$23:I161),0))),IF('депозитный калькулятор'!$G$10="ежегодное",IF(F162&gt;'депозитный калькулятор'!$D$8," ",IF(F162='депозитный калькулятор'!$D$8,SUM($H$23:H162)-SUM($I$23:I161),IF(AND(EOMONTH(F162,0)=F162,MONTH(F162)=12),IF(MOD(YEAR(F161),4)=0,IF(F162-'депозитный калькулятор'!$D$7&lt;366,SUM($H$23:H162),SUM(OFFSET(H162,-365,0):H162)),IF(F162-'депозитный калькулятор'!$D$7&lt;365,SUM($H$23:H162),SUM(OFFSET(H162,-364,0):H162))),0))),IF(AND('депозитный калькулятор'!$G$10="в конце срока",'депозитный калькулятор'!$D$8=F162),SUM($H$23:H162),0))))))))))))))))))</f>
        <v xml:space="preserve"> </v>
      </c>
      <c r="J162" s="59" t="str">
        <f>IF(F162&gt;'депозитный калькулятор'!$D$8," ",IF('депозитный калькулятор'!$G$16="нет",0,IF(AND('депозитный калькулятор'!$G$17="разовая (в конце срока)",F162='депозитный калькулятор'!$D$8),'депозитный калькулятор'!$G$18,IF(AND('депозитный калькулятор'!$G$17="ежемесячная",EOMONTH(F161,0)=F161),'депозитный калькулятор'!$G$18,IF(AND('депозитный калькулятор'!$G$17="ежегодная",DAY(F161)=31,MONTH(F161)=12),'депозитный калькулятор'!$G$18,IF(AND('депозитный калькулятор'!$G$17="ежемесячная в зависимости от остатка",EOMONTH(F161,0)=F161,P161&gt;0),'депозитный калькулятор'!$G$18,IF(AND('депозитный калькулятор'!$G$17="ежегодная в зависимости от остатка",DAY(F161)=31,MONTH(F161)=12,P161&gt;0),'депозитный калькулятор'!$G$18,0)))))))</f>
        <v xml:space="preserve"> </v>
      </c>
      <c r="K162" s="135" t="str">
        <f>IF($F162=" "," ",IFERROR(VLOOKUP($F162,'депозитный калькулятор'!$B$26:$F$70,2,0),0))</f>
        <v xml:space="preserve"> </v>
      </c>
      <c r="L162" s="135" t="str">
        <f>IF($F162=" "," ",IFERROR(VLOOKUP($F162,'депозитный калькулятор'!$B$26:$F$70,3,0),0))</f>
        <v xml:space="preserve"> </v>
      </c>
      <c r="M162" s="135" t="str">
        <f>IF($F162=" "," ",IFERROR(VLOOKUP($F162,'депозитный калькулятор'!$B$26:$F$70,4,0),0))</f>
        <v xml:space="preserve"> </v>
      </c>
      <c r="N162" s="135" t="str">
        <f>IF($F162=" "," ",IFERROR(VLOOKUP($F162,'депозитный калькулятор'!$B$26:$F$70,5,0),0))</f>
        <v xml:space="preserve"> </v>
      </c>
      <c r="O162" s="146" t="str">
        <f>IF(F162&gt;'депозитный калькулятор'!$D$8," ",IF(F162='депозитный калькулятор'!$D$8,IF(AND($F$24='депозитный калькулятор'!$D$8,'депозитный калькулятор'!$G$13="нет"),-G162-IF(I162=" ",0,I162)-IF(AND(OR('депозитный калькулятор'!$G$7="30/365",'депозитный калькулятор'!$G$7="30/360"),'депозитный калькулятор'!$G$10="в начале срока"),I161,0)-L162+M162-N162,-G162-IF(I162=" ",0,I162)-L162+M162-N162),IF('депозитный калькулятор'!$G$13="есть",M162-N162+IF('депозитный калькулятор'!$G$14="есть",0,-L162),-IF(I162=" ",0,I162)-IF(AND(OR('депозитный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срока"),I161,0)+M162-N162+IF('депозитный калькулятор'!$G$14="есть",0,-L162))))</f>
        <v xml:space="preserve"> </v>
      </c>
      <c r="P162" s="147" t="str">
        <f>IF(F162&gt;'депозитный калькулятор'!$D$8," ",IF(EOMONTH(F161,0)=F161,0,IF(G162&gt;='депозитный калькулятор'!$G$19,P161,P161+1)))</f>
        <v xml:space="preserve"> </v>
      </c>
      <c r="Q162" s="138" t="str">
        <f>IF(F162=" "," ",IF(AND(OR('депозитный калькулятор'!$G$7="30/365",'депозитный калькулятор'!$G$7="30/360"),AND(MONTH(F162)=2,EOMONTH(F162,0)=F162)),IF(DAY(F162)=28,3,2),1)*IF(G162&gt;='депозитный калькулятор'!$G$11,IF(AND('депозитный калькулятор'!$G$7="факт/факт",MOD(YEAR(F162),4)=0),G162*'депозитный калькулятор'!$D$11/366,G162*'депозитный калькулятор'!$G$8),0))</f>
        <v xml:space="preserve"> </v>
      </c>
      <c r="R162" s="148"/>
      <c r="S162" s="62" t="str">
        <f t="shared" ca="1" si="12"/>
        <v xml:space="preserve"> </v>
      </c>
      <c r="T162" s="149" t="str">
        <f ca="1">IF(S162=" "," ",IF('депозитный калькулятор'!$G$7="30/360",DAYS360(U161,IF(DAY(U162)=31,U162-1,U162))+IF(AND(MONTH(U162)=2,U162=EOMONTH(U162,0)),30-DAY(EOMONTH(U162,0)))+T161,VLOOKUP(S162,$C$22:$F$1023,2,0)))</f>
        <v xml:space="preserve"> </v>
      </c>
      <c r="U162" s="64" t="str">
        <f t="shared" ca="1" si="10"/>
        <v xml:space="preserve"> </v>
      </c>
      <c r="V162" s="150" t="str">
        <f t="shared" ca="1" si="13"/>
        <v xml:space="preserve"> </v>
      </c>
      <c r="W162" s="62" t="str">
        <f t="shared" ca="1" si="14"/>
        <v xml:space="preserve"> </v>
      </c>
      <c r="X162" s="141" t="str">
        <f ca="1">IF(S162=" "," ",IFERROR(VLOOKUP(U162,$F$23:$N$1023,7)+VLOOKUP(U162,$F$23:$N$1023,9)+IF(AND('депозитный калькулятор'!$G$13="нет",U162&lt;&gt;'депозитный калькулятор'!$D$8),VLOOKUP(U162,$F$23:$N$1023,4),0),0)+IF(U162='депозитный калькулятор'!$D$8,VLOOKUP(U162,$F$23:$N$1023,2)+VLOOKUP(U162,$F$23:$N$1023,4),0))</f>
        <v xml:space="preserve"> </v>
      </c>
      <c r="Y162" s="142" t="str">
        <f ca="1">IF(S162=" "," ",W162/(1+'депозитный калькулятор'!$K$8)^(T162/IF('депозитный калькулятор'!$G$7="30/360",360,365)))</f>
        <v xml:space="preserve"> </v>
      </c>
      <c r="Z162" s="142" t="str">
        <f ca="1">IF(S162=" "," ",X162/(1+'депозитный калькулятор'!$K$8)^(T162/IF('депозитный калькулятор'!$G$7="30/360",360,365)))</f>
        <v xml:space="preserve"> </v>
      </c>
      <c r="AA162" s="151"/>
      <c r="AB162" s="151"/>
      <c r="AC162" s="155"/>
      <c r="AD162" s="155"/>
    </row>
    <row r="163" spans="1:30" s="2" customFormat="1" ht="15.5" x14ac:dyDescent="0.35">
      <c r="A163" s="41" t="str">
        <f>IF(F163=" "," ",IF(OR('депозитный калькулятор'!$G$7="30/365",'депозитный калькулятор'!$G$7="30/360"),IF(AND(MONTH(F163)=2,DAY(F163)=DAY(EOMONTH(F163,0))),30-DAY(EOMONTH(F163,0)),IF(DAY(F163)=31,1," "))," "))</f>
        <v xml:space="preserve"> </v>
      </c>
      <c r="B163" s="130" t="str">
        <f t="shared" si="11"/>
        <v xml:space="preserve"> </v>
      </c>
      <c r="C163" s="130" t="str">
        <f>IF(OR(B163=0,B163=" ")," ",SUM($B$23:B163))</f>
        <v xml:space="preserve"> </v>
      </c>
      <c r="D163" s="62" t="str">
        <f>IF(D162=" "," ",IF(OR(F162='депозитный калькулятор'!$D$8,F162=" ")," ",D162+1))</f>
        <v xml:space="preserve"> </v>
      </c>
      <c r="E163" s="130" t="str">
        <f>IF(OR(F162='депозитный калькулятор'!$D$8,F162=" ")," ",IF(EOMONTH(F162,0)=F162,1,E162+1))</f>
        <v xml:space="preserve"> </v>
      </c>
      <c r="F163" s="64" t="str">
        <f>IF(F162=" "," ",IF(F162='депозитный калькулятор'!$D$8," ",F162+1))</f>
        <v xml:space="preserve"> </v>
      </c>
      <c r="G163" s="145" t="str">
        <f xml:space="preserve"> IF(F163&gt;'депозитный калькулятор'!$D$8," ",IF('депозитный калькулятор'!$G$13="есть",IF('депозитный калькулятор'!$G$14="есть",G162+IF(I162=" ",0,I162)-J163-K163+L163+M163-N163,G162+IF(I162=" ",0,I162)-J163-K163+M163-N163),IF('депозитный калькулятор'!$G$14="есть",G162-J163-K163+L163+M163-N163,G162-J163-K163+M163-N163)))</f>
        <v xml:space="preserve"> </v>
      </c>
      <c r="H163" s="133" t="str">
        <f>IF(F163&gt;'депозитный калькулятор'!$D$8," ",IF(AND(OR('депозитный калькулятор'!$G$7="30/365",'депозитный калькулятор'!$G$7="30/360"),AND(MONTH(F163)=2,EOMONTH(F163,0)=F163)),IF(DAY(F163)=28,3*G163*'депозитный калькулятор'!$G$8,2*G163*'депозитный калькулятор'!$G$8),IF(AND(OR('депозитный калькулятор'!$G$7="30/365",'депозитный калькулятор'!$G$7="30/360"),DAY(F163)=31)," ",IF(AND('депозитный калькулятор'!$G$7="факт/факт",MOD(YEAR(F163),4)=0),G163*'депозитный калькулятор'!$D$11/366,G163*'депозитный калькулятор'!$G$8))))</f>
        <v xml:space="preserve"> </v>
      </c>
      <c r="I163" s="134" t="str">
        <f ca="1">IF(F163=" "," ",IF('депозитный калькулятор'!$G$10="ежедневное",H163,IF(AND('депозитный калькулятор'!$G$10="еженедельное",WEEKDAY(F163,2)=7),SUM(OFFSET(H163,-6,0):H163),IF(AND('депозитный калькулятор'!$G$10="еженедельное",F163='депозитный калькулятор'!$D$8),SUM($H$23:H163)-SUM($I$23:I162),IF(AND('депозитный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недели",WEEKDAY(F163,2)=7),MIN(OFFSET(H163,-6,0):H163)*(COUNTIF(OFFSET(H163,-6,0):H163,"&gt;0")+SUMIF(OFFSET(A163,-WEEKDAY(F163,2),0):A163,"=2",OFFSET(A163,-WEEKDAY(F163,2),0):A163)),IF(AND('депозитный калькулятор'!$G$10="еженедельное, на минимальную сумму зафиксированную в течение недели",F163='депозитный калькулятор'!$D$8,WEEKDAY(F163,2)&lt;&gt;7),MIN(OFFSET(H163,-WEEKDAY(F163,2),0):H163)*(COUNTIF(OFFSET(H163,-WEEKDAY(F163,2)+1,0):H163,"&gt;0")+SUM(OFFSET(A163,-WEEKDAY(F163,2),0):A163)),IF(AND('депозитный калькулятор'!$G$10="ежемесячное (в конце месяца)",F163='депозитный калькулятор'!$D$8,EOMONTH(F163,0)&lt;&gt;F163),IF('депозитный калькулятор'!$F$1=1,$H$24,SUM($H$23:H163)-SUM($I$23:I162)),IF(AND('депозитный калькулятор'!$G$10="ежемесячное (в конце месяца)",EOMONTH(F163,0)=F163),SUM($H$23:H163)-SUM($I$23:I162),IF(AND('депозитный калькулятор'!$G$10="ежемесячное (по дням открытия вклада)",F163='депозитный калькулятор'!$D$8,DAY('депозитный калькулятор'!$D$7)&lt;&gt;DAY(F163)),IF('депозитный калькулятор'!$F$1=1,$H$24,SUM($H$23:H163)-SUM($I$23:I162)),IF(AND('депозитный калькулятор'!$G$10="ежемесячное (по дням открытия вклада)",DAY('депозитный калькулятор'!$D$7)=DAY(F163)),SUM($H$23:H163)-SUM($I$23:I162),IF(AND('депозитный калькулятор'!$G$10="ежемесячное, на минимальную сумму зафиксированную в течение месяца",F163='депозитный калькулятор'!$D$8,EOMONTH(F163,0)&lt;&gt;F163),IF('депозитный калькулятор'!$F$1=1,$H$24,IF(AND(OR('депозитный калькулятор'!$G$7="30/365",'депозитный калькулятор'!$G$7="30/360"),DAY(F163)=31),0,MIN(OFFSET(H163,-E163+1,0):H163)*(E163+SUMIF(OFFSET(A163,-E163+1,0):A163,"=2",OFFSET(A163,-E163+1,0):A163)))),IF(AND('депозитный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калькулятор'!$G$7="30/360"),DAY(EOMONTH(F163,0))=31),EOMONTH(F163,0)-1=F163,EOMONTH(F163,0)=F163)),IF(IF(AND(OR('депозитный калькулятор'!$G$7="30/365",'депозитный калькулятор'!$G$7="30/360"),DAY(EOMONTH($F$23,0))=31),F163=EOMONTH($F$23,0)-1,F163=EOMONTH($F$23,0)),MIN(OFFSET(H163,-(DAY(F163)-DAY($F$23)),0):H163)*E163,MIN(OFFSET(H163,-(DAY(F163)-1),0):H163)*IF(AND(OR('депозитный калькулятор'!$G$7="30/365",'депозитный калькулятор'!$G$7="30/360"),DAY(F163)&lt;30),30,DAY(F163))),IF(AND('депозитный калькулятор'!$G$10="ежемесячное, на средний остаток в течение месяца, при условии что остаток больше чем ограничение",F163='депозитный калькулятор'!$D$8,EOMONTH(F163,0)&lt;&gt;F163),IF('депозитный калькулятор'!$F$1=1,$H$24,SUM(OFFSET(Q163,-E163+1,0):Q163)),IF(AND('депозитный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калькулятор'!$G$7="30/360"),DAY(EOMONTH(F163,0))=31),EOMONTH(F163,0)-1=F163,EOMONTH(F163,0)=F163)),IF(IF(AND(OR('депозитный калькулятор'!$G$7="30/365",'депозитный калькулятор'!$G$7="30/360"),DAY(EOMONTH($F$24,0))=31),F163=EOMONTH($F$24,0)-1,F163=EOMONTH($F$24,0)),SUM(OFFSET(Q163,-E163+1,0):Q163),SUM(OFFSET(Q163,-E163+1,0):Q163)),IF('депозитный калькулятор'!$G$10="ежеквартальное",IF(F163&gt;'депозитный калькулятор'!$D$8," ",IF(AND(EOMONTH(F163,0)=F163,OR(MONTH(F163)=3,MONTH(F163)=6,MONTH(F163)=9,MONTH(F163)=12)),IF(EDATE(F163,-3)&lt;'депозитный калькулятор'!$D$7,SUM($H$23:H163),IF(MOD(YEAR(F163),4)=0,IF(AND(EOMONTH(F163,0)=F163,OR(MONTH(F163)=3,MONTH(F163)=6)),SUM(OFFSET(H163,-90,0):H163),IF(AND(EOMONTH(F163,0)=F163,OR(MONTH(F163)=9,MONTH(F163)=12)),SUM(OFFSET(H163,-91,0):H163))),IF(AND(EOMONTH(F163,0)=F163,MONTH(F163)=3),SUM(OFFSET(H163,-89,0):H163),IF(AND(EOMONTH(F163,0)=F163,MONTH(F163)=6),SUM(OFFSET(H163,-90,0):H163),IF(AND(EOMONTH(F163,0)=F163,OR(MONTH(F163)=9,MONTH(F163)=12)),SUM(OFFSET(H163,-91,0):H163)))))),IF(F163='депозитный калькулятор'!$D$8,SUM($H$23:H163)-SUM($I$23:I162),0))),IF('депозитный калькулятор'!$G$10="ежегодное",IF(F163&gt;'депозитный калькулятор'!$D$8," ",IF(F163='депозитный калькулятор'!$D$8,SUM($H$23:H163)-SUM($I$23:I162),IF(AND(EOMONTH(F163,0)=F163,MONTH(F163)=12),IF(MOD(YEAR(F162),4)=0,IF(F163-'депозитный калькулятор'!$D$7&lt;366,SUM($H$23:H163),SUM(OFFSET(H163,-365,0):H163)),IF(F163-'депозитный калькулятор'!$D$7&lt;365,SUM($H$23:H163),SUM(OFFSET(H163,-364,0):H163))),0))),IF(AND('депозитный калькулятор'!$G$10="в конце срока",'депозитный калькулятор'!$D$8=F163),SUM($H$23:H163),0))))))))))))))))))</f>
        <v xml:space="preserve"> </v>
      </c>
      <c r="J163" s="59" t="str">
        <f>IF(F163&gt;'депозитный калькулятор'!$D$8," ",IF('депозитный калькулятор'!$G$16="нет",0,IF(AND('депозитный калькулятор'!$G$17="разовая (в конце срока)",F163='депозитный калькулятор'!$D$8),'депозитный калькулятор'!$G$18,IF(AND('депозитный калькулятор'!$G$17="ежемесячная",EOMONTH(F162,0)=F162),'депозитный калькулятор'!$G$18,IF(AND('депозитный калькулятор'!$G$17="ежегодная",DAY(F162)=31,MONTH(F162)=12),'депозитный калькулятор'!$G$18,IF(AND('депозитный калькулятор'!$G$17="ежемесячная в зависимости от остатка",EOMONTH(F162,0)=F162,P162&gt;0),'депозитный калькулятор'!$G$18,IF(AND('депозитный калькулятор'!$G$17="ежегодная в зависимости от остатка",DAY(F162)=31,MONTH(F162)=12,P162&gt;0),'депозитный калькулятор'!$G$18,0)))))))</f>
        <v xml:space="preserve"> </v>
      </c>
      <c r="K163" s="135" t="str">
        <f>IF($F163=" "," ",IFERROR(VLOOKUP($F163,'депозитный калькулятор'!$B$26:$F$70,2,0),0))</f>
        <v xml:space="preserve"> </v>
      </c>
      <c r="L163" s="135" t="str">
        <f>IF($F163=" "," ",IFERROR(VLOOKUP($F163,'депозитный калькулятор'!$B$26:$F$70,3,0),0))</f>
        <v xml:space="preserve"> </v>
      </c>
      <c r="M163" s="135" t="str">
        <f>IF($F163=" "," ",IFERROR(VLOOKUP($F163,'депозитный калькулятор'!$B$26:$F$70,4,0),0))</f>
        <v xml:space="preserve"> </v>
      </c>
      <c r="N163" s="135" t="str">
        <f>IF($F163=" "," ",IFERROR(VLOOKUP($F163,'депозитный калькулятор'!$B$26:$F$70,5,0),0))</f>
        <v xml:space="preserve"> </v>
      </c>
      <c r="O163" s="146" t="str">
        <f>IF(F163&gt;'депозитный калькулятор'!$D$8," ",IF(F163='депозитный калькулятор'!$D$8,IF(AND($F$24='депозитный калькулятор'!$D$8,'депозитный калькулятор'!$G$13="нет"),-G163-IF(I163=" ",0,I163)-IF(AND(OR('депозитный калькулятор'!$G$7="30/365",'депозитный калькулятор'!$G$7="30/360"),'депозитный калькулятор'!$G$10="в начале срока"),I162,0)-L163+M163-N163,-G163-IF(I163=" ",0,I163)-L163+M163-N163),IF('депозитный калькулятор'!$G$13="есть",M163-N163+IF('депозитный калькулятор'!$G$14="есть",0,-L163),-IF(I163=" ",0,I163)-IF(AND(OR('депозитный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срока"),I162,0)+M163-N163+IF('депозитный калькулятор'!$G$14="есть",0,-L163))))</f>
        <v xml:space="preserve"> </v>
      </c>
      <c r="P163" s="147" t="str">
        <f>IF(F163&gt;'депозитный калькулятор'!$D$8," ",IF(EOMONTH(F162,0)=F162,0,IF(G163&gt;='депозитный калькулятор'!$G$19,P162,P162+1)))</f>
        <v xml:space="preserve"> </v>
      </c>
      <c r="Q163" s="138" t="str">
        <f>IF(F163=" "," ",IF(AND(OR('депозитный калькулятор'!$G$7="30/365",'депозитный калькулятор'!$G$7="30/360"),AND(MONTH(F163)=2,EOMONTH(F163,0)=F163)),IF(DAY(F163)=28,3,2),1)*IF(G163&gt;='депозитный калькулятор'!$G$11,IF(AND('депозитный калькулятор'!$G$7="факт/факт",MOD(YEAR(F163),4)=0),G163*'депозитный калькулятор'!$D$11/366,G163*'депозитный калькулятор'!$G$8),0))</f>
        <v xml:space="preserve"> </v>
      </c>
      <c r="R163" s="148"/>
      <c r="S163" s="62" t="str">
        <f t="shared" ca="1" si="12"/>
        <v xml:space="preserve"> </v>
      </c>
      <c r="T163" s="149" t="str">
        <f ca="1">IF(S163=" "," ",IF('депозитный калькулятор'!$G$7="30/360",DAYS360(U162,IF(DAY(U163)=31,U163-1,U163))+IF(AND(MONTH(U163)=2,U163=EOMONTH(U163,0)),30-DAY(EOMONTH(U163,0)))+T162,VLOOKUP(S163,$C$22:$F$1023,2,0)))</f>
        <v xml:space="preserve"> </v>
      </c>
      <c r="U163" s="64" t="str">
        <f t="shared" ca="1" si="10"/>
        <v xml:space="preserve"> </v>
      </c>
      <c r="V163" s="150" t="str">
        <f t="shared" ca="1" si="13"/>
        <v xml:space="preserve"> </v>
      </c>
      <c r="W163" s="62" t="str">
        <f t="shared" ca="1" si="14"/>
        <v xml:space="preserve"> </v>
      </c>
      <c r="X163" s="141" t="str">
        <f ca="1">IF(S163=" "," ",IFERROR(VLOOKUP(U163,$F$23:$N$1023,7)+VLOOKUP(U163,$F$23:$N$1023,9)+IF(AND('депозитный калькулятор'!$G$13="нет",U163&lt;&gt;'депозитный калькулятор'!$D$8),VLOOKUP(U163,$F$23:$N$1023,4),0),0)+IF(U163='депозитный калькулятор'!$D$8,VLOOKUP(U163,$F$23:$N$1023,2)+VLOOKUP(U163,$F$23:$N$1023,4),0))</f>
        <v xml:space="preserve"> </v>
      </c>
      <c r="Y163" s="142" t="str">
        <f ca="1">IF(S163=" "," ",W163/(1+'депозитный калькулятор'!$K$8)^(T163/IF('депозитный калькулятор'!$G$7="30/360",360,365)))</f>
        <v xml:space="preserve"> </v>
      </c>
      <c r="Z163" s="142" t="str">
        <f ca="1">IF(S163=" "," ",X163/(1+'депозитный калькулятор'!$K$8)^(T163/IF('депозитный калькулятор'!$G$7="30/360",360,365)))</f>
        <v xml:space="preserve"> </v>
      </c>
      <c r="AA163" s="151"/>
      <c r="AB163" s="151"/>
      <c r="AC163" s="155"/>
      <c r="AD163" s="155"/>
    </row>
    <row r="164" spans="1:30" s="2" customFormat="1" ht="15.5" x14ac:dyDescent="0.35">
      <c r="A164" s="41" t="str">
        <f>IF(F164=" "," ",IF(OR('депозитный калькулятор'!$G$7="30/365",'депозитный калькулятор'!$G$7="30/360"),IF(AND(MONTH(F164)=2,DAY(F164)=DAY(EOMONTH(F164,0))),30-DAY(EOMONTH(F164,0)),IF(DAY(F164)=31,1," "))," "))</f>
        <v xml:space="preserve"> </v>
      </c>
      <c r="B164" s="130" t="str">
        <f t="shared" si="11"/>
        <v xml:space="preserve"> </v>
      </c>
      <c r="C164" s="130" t="str">
        <f>IF(OR(B164=0,B164=" ")," ",SUM($B$23:B164))</f>
        <v xml:space="preserve"> </v>
      </c>
      <c r="D164" s="62" t="str">
        <f>IF(D163=" "," ",IF(OR(F163='депозитный калькулятор'!$D$8,F163=" ")," ",D163+1))</f>
        <v xml:space="preserve"> </v>
      </c>
      <c r="E164" s="130" t="str">
        <f>IF(OR(F163='депозитный калькулятор'!$D$8,F163=" ")," ",IF(EOMONTH(F163,0)=F163,1,E163+1))</f>
        <v xml:space="preserve"> </v>
      </c>
      <c r="F164" s="64" t="str">
        <f>IF(F163=" "," ",IF(F163='депозитный калькулятор'!$D$8," ",F163+1))</f>
        <v xml:space="preserve"> </v>
      </c>
      <c r="G164" s="145" t="str">
        <f xml:space="preserve"> IF(F164&gt;'депозитный калькулятор'!$D$8," ",IF('депозитный калькулятор'!$G$13="есть",IF('депозитный калькулятор'!$G$14="есть",G163+IF(I163=" ",0,I163)-J164-K164+L164+M164-N164,G163+IF(I163=" ",0,I163)-J164-K164+M164-N164),IF('депозитный калькулятор'!$G$14="есть",G163-J164-K164+L164+M164-N164,G163-J164-K164+M164-N164)))</f>
        <v xml:space="preserve"> </v>
      </c>
      <c r="H164" s="133" t="str">
        <f>IF(F164&gt;'депозитный калькулятор'!$D$8," ",IF(AND(OR('депозитный калькулятор'!$G$7="30/365",'депозитный калькулятор'!$G$7="30/360"),AND(MONTH(F164)=2,EOMONTH(F164,0)=F164)),IF(DAY(F164)=28,3*G164*'депозитный калькулятор'!$G$8,2*G164*'депозитный калькулятор'!$G$8),IF(AND(OR('депозитный калькулятор'!$G$7="30/365",'депозитный калькулятор'!$G$7="30/360"),DAY(F164)=31)," ",IF(AND('депозитный калькулятор'!$G$7="факт/факт",MOD(YEAR(F164),4)=0),G164*'депозитный калькулятор'!$D$11/366,G164*'депозитный калькулятор'!$G$8))))</f>
        <v xml:space="preserve"> </v>
      </c>
      <c r="I164" s="134" t="str">
        <f ca="1">IF(F164=" "," ",IF('депозитный калькулятор'!$G$10="ежедневное",H164,IF(AND('депозитный калькулятор'!$G$10="еженедельное",WEEKDAY(F164,2)=7),SUM(OFFSET(H164,-6,0):H164),IF(AND('депозитный калькулятор'!$G$10="еженедельное",F164='депозитный калькулятор'!$D$8),SUM($H$23:H164)-SUM($I$23:I163),IF(AND('депозитный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недели",WEEKDAY(F164,2)=7),MIN(OFFSET(H164,-6,0):H164)*(COUNTIF(OFFSET(H164,-6,0):H164,"&gt;0")+SUMIF(OFFSET(A164,-WEEKDAY(F164,2),0):A164,"=2",OFFSET(A164,-WEEKDAY(F164,2),0):A164)),IF(AND('депозитный калькулятор'!$G$10="еженедельное, на минимальную сумму зафиксированную в течение недели",F164='депозитный калькулятор'!$D$8,WEEKDAY(F164,2)&lt;&gt;7),MIN(OFFSET(H164,-WEEKDAY(F164,2),0):H164)*(COUNTIF(OFFSET(H164,-WEEKDAY(F164,2)+1,0):H164,"&gt;0")+SUM(OFFSET(A164,-WEEKDAY(F164,2),0):A164)),IF(AND('депозитный калькулятор'!$G$10="ежемесячное (в конце месяца)",F164='депозитный калькулятор'!$D$8,EOMONTH(F164,0)&lt;&gt;F164),IF('депозитный калькулятор'!$F$1=1,$H$24,SUM($H$23:H164)-SUM($I$23:I163)),IF(AND('депозитный калькулятор'!$G$10="ежемесячное (в конце месяца)",EOMONTH(F164,0)=F164),SUM($H$23:H164)-SUM($I$23:I163),IF(AND('депозитный калькулятор'!$G$10="ежемесячное (по дням открытия вклада)",F164='депозитный калькулятор'!$D$8,DAY('депозитный калькулятор'!$D$7)&lt;&gt;DAY(F164)),IF('депозитный калькулятор'!$F$1=1,$H$24,SUM($H$23:H164)-SUM($I$23:I163)),IF(AND('депозитный калькулятор'!$G$10="ежемесячное (по дням открытия вклада)",DAY('депозитный калькулятор'!$D$7)=DAY(F164)),SUM($H$23:H164)-SUM($I$23:I163),IF(AND('депозитный калькулятор'!$G$10="ежемесячное, на минимальную сумму зафиксированную в течение месяца",F164='депозитный калькулятор'!$D$8,EOMONTH(F164,0)&lt;&gt;F164),IF('депозитный калькулятор'!$F$1=1,$H$24,IF(AND(OR('депозитный калькулятор'!$G$7="30/365",'депозитный калькулятор'!$G$7="30/360"),DAY(F164)=31),0,MIN(OFFSET(H164,-E164+1,0):H164)*(E164+SUMIF(OFFSET(A164,-E164+1,0):A164,"=2",OFFSET(A164,-E164+1,0):A164)))),IF(AND('депозитный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калькулятор'!$G$7="30/360"),DAY(EOMONTH(F164,0))=31),EOMONTH(F164,0)-1=F164,EOMONTH(F164,0)=F164)),IF(IF(AND(OR('депозитный калькулятор'!$G$7="30/365",'депозитный калькулятор'!$G$7="30/360"),DAY(EOMONTH($F$23,0))=31),F164=EOMONTH($F$23,0)-1,F164=EOMONTH($F$23,0)),MIN(OFFSET(H164,-(DAY(F164)-DAY($F$23)),0):H164)*E164,MIN(OFFSET(H164,-(DAY(F164)-1),0):H164)*IF(AND(OR('депозитный калькулятор'!$G$7="30/365",'депозитный калькулятор'!$G$7="30/360"),DAY(F164)&lt;30),30,DAY(F164))),IF(AND('депозитный калькулятор'!$G$10="ежемесячное, на средний остаток в течение месяца, при условии что остаток больше чем ограничение",F164='депозитный калькулятор'!$D$8,EOMONTH(F164,0)&lt;&gt;F164),IF('депозитный калькулятор'!$F$1=1,$H$24,SUM(OFFSET(Q164,-E164+1,0):Q164)),IF(AND('депозитный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калькулятор'!$G$7="30/360"),DAY(EOMONTH(F164,0))=31),EOMONTH(F164,0)-1=F164,EOMONTH(F164,0)=F164)),IF(IF(AND(OR('депозитный калькулятор'!$G$7="30/365",'депозитный калькулятор'!$G$7="30/360"),DAY(EOMONTH($F$24,0))=31),F164=EOMONTH($F$24,0)-1,F164=EOMONTH($F$24,0)),SUM(OFFSET(Q164,-E164+1,0):Q164),SUM(OFFSET(Q164,-E164+1,0):Q164)),IF('депозитный калькулятор'!$G$10="ежеквартальное",IF(F164&gt;'депозитный калькулятор'!$D$8," ",IF(AND(EOMONTH(F164,0)=F164,OR(MONTH(F164)=3,MONTH(F164)=6,MONTH(F164)=9,MONTH(F164)=12)),IF(EDATE(F164,-3)&lt;'депозитный калькулятор'!$D$7,SUM($H$23:H164),IF(MOD(YEAR(F164),4)=0,IF(AND(EOMONTH(F164,0)=F164,OR(MONTH(F164)=3,MONTH(F164)=6)),SUM(OFFSET(H164,-90,0):H164),IF(AND(EOMONTH(F164,0)=F164,OR(MONTH(F164)=9,MONTH(F164)=12)),SUM(OFFSET(H164,-91,0):H164))),IF(AND(EOMONTH(F164,0)=F164,MONTH(F164)=3),SUM(OFFSET(H164,-89,0):H164),IF(AND(EOMONTH(F164,0)=F164,MONTH(F164)=6),SUM(OFFSET(H164,-90,0):H164),IF(AND(EOMONTH(F164,0)=F164,OR(MONTH(F164)=9,MONTH(F164)=12)),SUM(OFFSET(H164,-91,0):H164)))))),IF(F164='депозитный калькулятор'!$D$8,SUM($H$23:H164)-SUM($I$23:I163),0))),IF('депозитный калькулятор'!$G$10="ежегодное",IF(F164&gt;'депозитный калькулятор'!$D$8," ",IF(F164='депозитный калькулятор'!$D$8,SUM($H$23:H164)-SUM($I$23:I163),IF(AND(EOMONTH(F164,0)=F164,MONTH(F164)=12),IF(MOD(YEAR(F163),4)=0,IF(F164-'депозитный калькулятор'!$D$7&lt;366,SUM($H$23:H164),SUM(OFFSET(H164,-365,0):H164)),IF(F164-'депозитный калькулятор'!$D$7&lt;365,SUM($H$23:H164),SUM(OFFSET(H164,-364,0):H164))),0))),IF(AND('депозитный калькулятор'!$G$10="в конце срока",'депозитный калькулятор'!$D$8=F164),SUM($H$23:H164),0))))))))))))))))))</f>
        <v xml:space="preserve"> </v>
      </c>
      <c r="J164" s="59" t="str">
        <f>IF(F164&gt;'депозитный калькулятор'!$D$8," ",IF('депозитный калькулятор'!$G$16="нет",0,IF(AND('депозитный калькулятор'!$G$17="разовая (в конце срока)",F164='депозитный калькулятор'!$D$8),'депозитный калькулятор'!$G$18,IF(AND('депозитный калькулятор'!$G$17="ежемесячная",EOMONTH(F163,0)=F163),'депозитный калькулятор'!$G$18,IF(AND('депозитный калькулятор'!$G$17="ежегодная",DAY(F163)=31,MONTH(F163)=12),'депозитный калькулятор'!$G$18,IF(AND('депозитный калькулятор'!$G$17="ежемесячная в зависимости от остатка",EOMONTH(F163,0)=F163,P163&gt;0),'депозитный калькулятор'!$G$18,IF(AND('депозитный калькулятор'!$G$17="ежегодная в зависимости от остатка",DAY(F163)=31,MONTH(F163)=12,P163&gt;0),'депозитный калькулятор'!$G$18,0)))))))</f>
        <v xml:space="preserve"> </v>
      </c>
      <c r="K164" s="135" t="str">
        <f>IF($F164=" "," ",IFERROR(VLOOKUP($F164,'депозитный калькулятор'!$B$26:$F$70,2,0),0))</f>
        <v xml:space="preserve"> </v>
      </c>
      <c r="L164" s="135" t="str">
        <f>IF($F164=" "," ",IFERROR(VLOOKUP($F164,'депозитный калькулятор'!$B$26:$F$70,3,0),0))</f>
        <v xml:space="preserve"> </v>
      </c>
      <c r="M164" s="135" t="str">
        <f>IF($F164=" "," ",IFERROR(VLOOKUP($F164,'депозитный калькулятор'!$B$26:$F$70,4,0),0))</f>
        <v xml:space="preserve"> </v>
      </c>
      <c r="N164" s="135" t="str">
        <f>IF($F164=" "," ",IFERROR(VLOOKUP($F164,'депозитный калькулятор'!$B$26:$F$70,5,0),0))</f>
        <v xml:space="preserve"> </v>
      </c>
      <c r="O164" s="146" t="str">
        <f>IF(F164&gt;'депозитный калькулятор'!$D$8," ",IF(F164='депозитный калькулятор'!$D$8,IF(AND($F$24='депозитный калькулятор'!$D$8,'депозитный калькулятор'!$G$13="нет"),-G164-IF(I164=" ",0,I164)-IF(AND(OR('депозитный калькулятор'!$G$7="30/365",'депозитный калькулятор'!$G$7="30/360"),'депозитный калькулятор'!$G$10="в начале срока"),I163,0)-L164+M164-N164,-G164-IF(I164=" ",0,I164)-L164+M164-N164),IF('депозитный калькулятор'!$G$13="есть",M164-N164+IF('депозитный калькулятор'!$G$14="есть",0,-L164),-IF(I164=" ",0,I164)-IF(AND(OR('депозитный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срока"),I163,0)+M164-N164+IF('депозитный калькулятор'!$G$14="есть",0,-L164))))</f>
        <v xml:space="preserve"> </v>
      </c>
      <c r="P164" s="147" t="str">
        <f>IF(F164&gt;'депозитный калькулятор'!$D$8," ",IF(EOMONTH(F163,0)=F163,0,IF(G164&gt;='депозитный калькулятор'!$G$19,P163,P163+1)))</f>
        <v xml:space="preserve"> </v>
      </c>
      <c r="Q164" s="138" t="str">
        <f>IF(F164=" "," ",IF(AND(OR('депозитный калькулятор'!$G$7="30/365",'депозитный калькулятор'!$G$7="30/360"),AND(MONTH(F164)=2,EOMONTH(F164,0)=F164)),IF(DAY(F164)=28,3,2),1)*IF(G164&gt;='депозитный калькулятор'!$G$11,IF(AND('депозитный калькулятор'!$G$7="факт/факт",MOD(YEAR(F164),4)=0),G164*'депозитный калькулятор'!$D$11/366,G164*'депозитный калькулятор'!$G$8),0))</f>
        <v xml:space="preserve"> </v>
      </c>
      <c r="R164" s="148"/>
      <c r="S164" s="62" t="str">
        <f t="shared" ca="1" si="12"/>
        <v xml:space="preserve"> </v>
      </c>
      <c r="T164" s="149" t="str">
        <f ca="1">IF(S164=" "," ",IF('депозитный калькулятор'!$G$7="30/360",DAYS360(U163,IF(DAY(U164)=31,U164-1,U164))+IF(AND(MONTH(U164)=2,U164=EOMONTH(U164,0)),30-DAY(EOMONTH(U164,0)))+T163,VLOOKUP(S164,$C$22:$F$1023,2,0)))</f>
        <v xml:space="preserve"> </v>
      </c>
      <c r="U164" s="64" t="str">
        <f t="shared" ca="1" si="10"/>
        <v xml:space="preserve"> </v>
      </c>
      <c r="V164" s="150" t="str">
        <f t="shared" ca="1" si="13"/>
        <v xml:space="preserve"> </v>
      </c>
      <c r="W164" s="62" t="str">
        <f t="shared" ca="1" si="14"/>
        <v xml:space="preserve"> </v>
      </c>
      <c r="X164" s="141" t="str">
        <f ca="1">IF(S164=" "," ",IFERROR(VLOOKUP(U164,$F$23:$N$1023,7)+VLOOKUP(U164,$F$23:$N$1023,9)+IF(AND('депозитный калькулятор'!$G$13="нет",U164&lt;&gt;'депозитный калькулятор'!$D$8),VLOOKUP(U164,$F$23:$N$1023,4),0),0)+IF(U164='депозитный калькулятор'!$D$8,VLOOKUP(U164,$F$23:$N$1023,2)+VLOOKUP(U164,$F$23:$N$1023,4),0))</f>
        <v xml:space="preserve"> </v>
      </c>
      <c r="Y164" s="142" t="str">
        <f ca="1">IF(S164=" "," ",W164/(1+'депозитный калькулятор'!$K$8)^(T164/IF('депозитный калькулятор'!$G$7="30/360",360,365)))</f>
        <v xml:space="preserve"> </v>
      </c>
      <c r="Z164" s="142" t="str">
        <f ca="1">IF(S164=" "," ",X164/(1+'депозитный калькулятор'!$K$8)^(T164/IF('депозитный калькулятор'!$G$7="30/360",360,365)))</f>
        <v xml:space="preserve"> </v>
      </c>
      <c r="AA164" s="151"/>
      <c r="AB164" s="151"/>
      <c r="AC164" s="155"/>
      <c r="AD164" s="155"/>
    </row>
    <row r="165" spans="1:30" s="2" customFormat="1" ht="15.5" x14ac:dyDescent="0.35">
      <c r="A165" s="41" t="str">
        <f>IF(F165=" "," ",IF(OR('депозитный калькулятор'!$G$7="30/365",'депозитный калькулятор'!$G$7="30/360"),IF(AND(MONTH(F165)=2,DAY(F165)=DAY(EOMONTH(F165,0))),30-DAY(EOMONTH(F165,0)),IF(DAY(F165)=31,1," "))," "))</f>
        <v xml:space="preserve"> </v>
      </c>
      <c r="B165" s="130" t="str">
        <f t="shared" si="11"/>
        <v xml:space="preserve"> </v>
      </c>
      <c r="C165" s="130" t="str">
        <f>IF(OR(B165=0,B165=" ")," ",SUM($B$23:B165))</f>
        <v xml:space="preserve"> </v>
      </c>
      <c r="D165" s="62" t="str">
        <f>IF(D164=" "," ",IF(OR(F164='депозитный калькулятор'!$D$8,F164=" ")," ",D164+1))</f>
        <v xml:space="preserve"> </v>
      </c>
      <c r="E165" s="130" t="str">
        <f>IF(OR(F164='депозитный калькулятор'!$D$8,F164=" ")," ",IF(EOMONTH(F164,0)=F164,1,E164+1))</f>
        <v xml:space="preserve"> </v>
      </c>
      <c r="F165" s="64" t="str">
        <f>IF(F164=" "," ",IF(F164='депозитный калькулятор'!$D$8," ",F164+1))</f>
        <v xml:space="preserve"> </v>
      </c>
      <c r="G165" s="145" t="str">
        <f xml:space="preserve"> IF(F165&gt;'депозитный калькулятор'!$D$8," ",IF('депозитный калькулятор'!$G$13="есть",IF('депозитный калькулятор'!$G$14="есть",G164+IF(I164=" ",0,I164)-J165-K165+L165+M165-N165,G164+IF(I164=" ",0,I164)-J165-K165+M165-N165),IF('депозитный калькулятор'!$G$14="есть",G164-J165-K165+L165+M165-N165,G164-J165-K165+M165-N165)))</f>
        <v xml:space="preserve"> </v>
      </c>
      <c r="H165" s="133" t="str">
        <f>IF(F165&gt;'депозитный калькулятор'!$D$8," ",IF(AND(OR('депозитный калькулятор'!$G$7="30/365",'депозитный калькулятор'!$G$7="30/360"),AND(MONTH(F165)=2,EOMONTH(F165,0)=F165)),IF(DAY(F165)=28,3*G165*'депозитный калькулятор'!$G$8,2*G165*'депозитный калькулятор'!$G$8),IF(AND(OR('депозитный калькулятор'!$G$7="30/365",'депозитный калькулятор'!$G$7="30/360"),DAY(F165)=31)," ",IF(AND('депозитный калькулятор'!$G$7="факт/факт",MOD(YEAR(F165),4)=0),G165*'депозитный калькулятор'!$D$11/366,G165*'депозитный калькулятор'!$G$8))))</f>
        <v xml:space="preserve"> </v>
      </c>
      <c r="I165" s="134" t="str">
        <f ca="1">IF(F165=" "," ",IF('депозитный калькулятор'!$G$10="ежедневное",H165,IF(AND('депозитный калькулятор'!$G$10="еженедельное",WEEKDAY(F165,2)=7),SUM(OFFSET(H165,-6,0):H165),IF(AND('депозитный калькулятор'!$G$10="еженедельное",F165='депозитный калькулятор'!$D$8),SUM($H$23:H165)-SUM($I$23:I164),IF(AND('депозитный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недели",WEEKDAY(F165,2)=7),MIN(OFFSET(H165,-6,0):H165)*(COUNTIF(OFFSET(H165,-6,0):H165,"&gt;0")+SUMIF(OFFSET(A165,-WEEKDAY(F165,2),0):A165,"=2",OFFSET(A165,-WEEKDAY(F165,2),0):A165)),IF(AND('депозитный калькулятор'!$G$10="еженедельное, на минимальную сумму зафиксированную в течение недели",F165='депозитный калькулятор'!$D$8,WEEKDAY(F165,2)&lt;&gt;7),MIN(OFFSET(H165,-WEEKDAY(F165,2),0):H165)*(COUNTIF(OFFSET(H165,-WEEKDAY(F165,2)+1,0):H165,"&gt;0")+SUM(OFFSET(A165,-WEEKDAY(F165,2),0):A165)),IF(AND('депозитный калькулятор'!$G$10="ежемесячное (в конце месяца)",F165='депозитный калькулятор'!$D$8,EOMONTH(F165,0)&lt;&gt;F165),IF('депозитный калькулятор'!$F$1=1,$H$24,SUM($H$23:H165)-SUM($I$23:I164)),IF(AND('депозитный калькулятор'!$G$10="ежемесячное (в конце месяца)",EOMONTH(F165,0)=F165),SUM($H$23:H165)-SUM($I$23:I164),IF(AND('депозитный калькулятор'!$G$10="ежемесячное (по дням открытия вклада)",F165='депозитный калькулятор'!$D$8,DAY('депозитный калькулятор'!$D$7)&lt;&gt;DAY(F165)),IF('депозитный калькулятор'!$F$1=1,$H$24,SUM($H$23:H165)-SUM($I$23:I164)),IF(AND('депозитный калькулятор'!$G$10="ежемесячное (по дням открытия вклада)",DAY('депозитный калькулятор'!$D$7)=DAY(F165)),SUM($H$23:H165)-SUM($I$23:I164),IF(AND('депозитный калькулятор'!$G$10="ежемесячное, на минимальную сумму зафиксированную в течение месяца",F165='депозитный калькулятор'!$D$8,EOMONTH(F165,0)&lt;&gt;F165),IF('депозитный калькулятор'!$F$1=1,$H$24,IF(AND(OR('депозитный калькулятор'!$G$7="30/365",'депозитный калькулятор'!$G$7="30/360"),DAY(F165)=31),0,MIN(OFFSET(H165,-E165+1,0):H165)*(E165+SUMIF(OFFSET(A165,-E165+1,0):A165,"=2",OFFSET(A165,-E165+1,0):A165)))),IF(AND('депозитный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калькулятор'!$G$7="30/360"),DAY(EOMONTH(F165,0))=31),EOMONTH(F165,0)-1=F165,EOMONTH(F165,0)=F165)),IF(IF(AND(OR('депозитный калькулятор'!$G$7="30/365",'депозитный калькулятор'!$G$7="30/360"),DAY(EOMONTH($F$23,0))=31),F165=EOMONTH($F$23,0)-1,F165=EOMONTH($F$23,0)),MIN(OFFSET(H165,-(DAY(F165)-DAY($F$23)),0):H165)*E165,MIN(OFFSET(H165,-(DAY(F165)-1),0):H165)*IF(AND(OR('депозитный калькулятор'!$G$7="30/365",'депозитный калькулятор'!$G$7="30/360"),DAY(F165)&lt;30),30,DAY(F165))),IF(AND('депозитный калькулятор'!$G$10="ежемесячное, на средний остаток в течение месяца, при условии что остаток больше чем ограничение",F165='депозитный калькулятор'!$D$8,EOMONTH(F165,0)&lt;&gt;F165),IF('депозитный калькулятор'!$F$1=1,$H$24,SUM(OFFSET(Q165,-E165+1,0):Q165)),IF(AND('депозитный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калькулятор'!$G$7="30/360"),DAY(EOMONTH(F165,0))=31),EOMONTH(F165,0)-1=F165,EOMONTH(F165,0)=F165)),IF(IF(AND(OR('депозитный калькулятор'!$G$7="30/365",'депозитный калькулятор'!$G$7="30/360"),DAY(EOMONTH($F$24,0))=31),F165=EOMONTH($F$24,0)-1,F165=EOMONTH($F$24,0)),SUM(OFFSET(Q165,-E165+1,0):Q165),SUM(OFFSET(Q165,-E165+1,0):Q165)),IF('депозитный калькулятор'!$G$10="ежеквартальное",IF(F165&gt;'депозитный калькулятор'!$D$8," ",IF(AND(EOMONTH(F165,0)=F165,OR(MONTH(F165)=3,MONTH(F165)=6,MONTH(F165)=9,MONTH(F165)=12)),IF(EDATE(F165,-3)&lt;'депозитный калькулятор'!$D$7,SUM($H$23:H165),IF(MOD(YEAR(F165),4)=0,IF(AND(EOMONTH(F165,0)=F165,OR(MONTH(F165)=3,MONTH(F165)=6)),SUM(OFFSET(H165,-90,0):H165),IF(AND(EOMONTH(F165,0)=F165,OR(MONTH(F165)=9,MONTH(F165)=12)),SUM(OFFSET(H165,-91,0):H165))),IF(AND(EOMONTH(F165,0)=F165,MONTH(F165)=3),SUM(OFFSET(H165,-89,0):H165),IF(AND(EOMONTH(F165,0)=F165,MONTH(F165)=6),SUM(OFFSET(H165,-90,0):H165),IF(AND(EOMONTH(F165,0)=F165,OR(MONTH(F165)=9,MONTH(F165)=12)),SUM(OFFSET(H165,-91,0):H165)))))),IF(F165='депозитный калькулятор'!$D$8,SUM($H$23:H165)-SUM($I$23:I164),0))),IF('депозитный калькулятор'!$G$10="ежегодное",IF(F165&gt;'депозитный калькулятор'!$D$8," ",IF(F165='депозитный калькулятор'!$D$8,SUM($H$23:H165)-SUM($I$23:I164),IF(AND(EOMONTH(F165,0)=F165,MONTH(F165)=12),IF(MOD(YEAR(F164),4)=0,IF(F165-'депозитный калькулятор'!$D$7&lt;366,SUM($H$23:H165),SUM(OFFSET(H165,-365,0):H165)),IF(F165-'депозитный калькулятор'!$D$7&lt;365,SUM($H$23:H165),SUM(OFFSET(H165,-364,0):H165))),0))),IF(AND('депозитный калькулятор'!$G$10="в конце срока",'депозитный калькулятор'!$D$8=F165),SUM($H$23:H165),0))))))))))))))))))</f>
        <v xml:space="preserve"> </v>
      </c>
      <c r="J165" s="59" t="str">
        <f>IF(F165&gt;'депозитный калькулятор'!$D$8," ",IF('депозитный калькулятор'!$G$16="нет",0,IF(AND('депозитный калькулятор'!$G$17="разовая (в конце срока)",F165='депозитный калькулятор'!$D$8),'депозитный калькулятор'!$G$18,IF(AND('депозитный калькулятор'!$G$17="ежемесячная",EOMONTH(F164,0)=F164),'депозитный калькулятор'!$G$18,IF(AND('депозитный калькулятор'!$G$17="ежегодная",DAY(F164)=31,MONTH(F164)=12),'депозитный калькулятор'!$G$18,IF(AND('депозитный калькулятор'!$G$17="ежемесячная в зависимости от остатка",EOMONTH(F164,0)=F164,P164&gt;0),'депозитный калькулятор'!$G$18,IF(AND('депозитный калькулятор'!$G$17="ежегодная в зависимости от остатка",DAY(F164)=31,MONTH(F164)=12,P164&gt;0),'депозитный калькулятор'!$G$18,0)))))))</f>
        <v xml:space="preserve"> </v>
      </c>
      <c r="K165" s="135" t="str">
        <f>IF($F165=" "," ",IFERROR(VLOOKUP($F165,'депозитный калькулятор'!$B$26:$F$70,2,0),0))</f>
        <v xml:space="preserve"> </v>
      </c>
      <c r="L165" s="135" t="str">
        <f>IF($F165=" "," ",IFERROR(VLOOKUP($F165,'депозитный калькулятор'!$B$26:$F$70,3,0),0))</f>
        <v xml:space="preserve"> </v>
      </c>
      <c r="M165" s="135" t="str">
        <f>IF($F165=" "," ",IFERROR(VLOOKUP($F165,'депозитный калькулятор'!$B$26:$F$70,4,0),0))</f>
        <v xml:space="preserve"> </v>
      </c>
      <c r="N165" s="135" t="str">
        <f>IF($F165=" "," ",IFERROR(VLOOKUP($F165,'депозитный калькулятор'!$B$26:$F$70,5,0),0))</f>
        <v xml:space="preserve"> </v>
      </c>
      <c r="O165" s="146" t="str">
        <f>IF(F165&gt;'депозитный калькулятор'!$D$8," ",IF(F165='депозитный калькулятор'!$D$8,IF(AND($F$24='депозитный калькулятор'!$D$8,'депозитный калькулятор'!$G$13="нет"),-G165-IF(I165=" ",0,I165)-IF(AND(OR('депозитный калькулятор'!$G$7="30/365",'депозитный калькулятор'!$G$7="30/360"),'депозитный калькулятор'!$G$10="в начале срока"),I164,0)-L165+M165-N165,-G165-IF(I165=" ",0,I165)-L165+M165-N165),IF('депозитный калькулятор'!$G$13="есть",M165-N165+IF('депозитный калькулятор'!$G$14="есть",0,-L165),-IF(I165=" ",0,I165)-IF(AND(OR('депозитный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срока"),I164,0)+M165-N165+IF('депозитный калькулятор'!$G$14="есть",0,-L165))))</f>
        <v xml:space="preserve"> </v>
      </c>
      <c r="P165" s="147" t="str">
        <f>IF(F165&gt;'депозитный калькулятор'!$D$8," ",IF(EOMONTH(F164,0)=F164,0,IF(G165&gt;='депозитный калькулятор'!$G$19,P164,P164+1)))</f>
        <v xml:space="preserve"> </v>
      </c>
      <c r="Q165" s="138" t="str">
        <f>IF(F165=" "," ",IF(AND(OR('депозитный калькулятор'!$G$7="30/365",'депозитный калькулятор'!$G$7="30/360"),AND(MONTH(F165)=2,EOMONTH(F165,0)=F165)),IF(DAY(F165)=28,3,2),1)*IF(G165&gt;='депозитный калькулятор'!$G$11,IF(AND('депозитный калькулятор'!$G$7="факт/факт",MOD(YEAR(F165),4)=0),G165*'депозитный калькулятор'!$D$11/366,G165*'депозитный калькулятор'!$G$8),0))</f>
        <v xml:space="preserve"> </v>
      </c>
      <c r="R165" s="148"/>
      <c r="S165" s="62" t="str">
        <f t="shared" ca="1" si="12"/>
        <v xml:space="preserve"> </v>
      </c>
      <c r="T165" s="149" t="str">
        <f ca="1">IF(S165=" "," ",IF('депозитный калькулятор'!$G$7="30/360",DAYS360(U164,IF(DAY(U165)=31,U165-1,U165))+IF(AND(MONTH(U165)=2,U165=EOMONTH(U165,0)),30-DAY(EOMONTH(U165,0)))+T164,VLOOKUP(S165,$C$22:$F$1023,2,0)))</f>
        <v xml:space="preserve"> </v>
      </c>
      <c r="U165" s="64" t="str">
        <f t="shared" ca="1" si="10"/>
        <v xml:space="preserve"> </v>
      </c>
      <c r="V165" s="150" t="str">
        <f t="shared" ca="1" si="13"/>
        <v xml:space="preserve"> </v>
      </c>
      <c r="W165" s="62" t="str">
        <f t="shared" ca="1" si="14"/>
        <v xml:space="preserve"> </v>
      </c>
      <c r="X165" s="141" t="str">
        <f ca="1">IF(S165=" "," ",IFERROR(VLOOKUP(U165,$F$23:$N$1023,7)+VLOOKUP(U165,$F$23:$N$1023,9)+IF(AND('депозитный калькулятор'!$G$13="нет",U165&lt;&gt;'депозитный калькулятор'!$D$8),VLOOKUP(U165,$F$23:$N$1023,4),0),0)+IF(U165='депозитный калькулятор'!$D$8,VLOOKUP(U165,$F$23:$N$1023,2)+VLOOKUP(U165,$F$23:$N$1023,4),0))</f>
        <v xml:space="preserve"> </v>
      </c>
      <c r="Y165" s="142" t="str">
        <f ca="1">IF(S165=" "," ",W165/(1+'депозитный калькулятор'!$K$8)^(T165/IF('депозитный калькулятор'!$G$7="30/360",360,365)))</f>
        <v xml:space="preserve"> </v>
      </c>
      <c r="Z165" s="142" t="str">
        <f ca="1">IF(S165=" "," ",X165/(1+'депозитный калькулятор'!$K$8)^(T165/IF('депозитный калькулятор'!$G$7="30/360",360,365)))</f>
        <v xml:space="preserve"> </v>
      </c>
      <c r="AA165" s="151"/>
      <c r="AB165" s="151"/>
      <c r="AC165" s="155"/>
      <c r="AD165" s="155"/>
    </row>
    <row r="166" spans="1:30" s="2" customFormat="1" ht="15.5" x14ac:dyDescent="0.35">
      <c r="A166" s="41" t="str">
        <f>IF(F166=" "," ",IF(OR('депозитный калькулятор'!$G$7="30/365",'депозитный калькулятор'!$G$7="30/360"),IF(AND(MONTH(F166)=2,DAY(F166)=DAY(EOMONTH(F166,0))),30-DAY(EOMONTH(F166,0)),IF(DAY(F166)=31,1," "))," "))</f>
        <v xml:space="preserve"> </v>
      </c>
      <c r="B166" s="130" t="str">
        <f t="shared" si="11"/>
        <v xml:space="preserve"> </v>
      </c>
      <c r="C166" s="130" t="str">
        <f>IF(OR(B166=0,B166=" ")," ",SUM($B$23:B166))</f>
        <v xml:space="preserve"> </v>
      </c>
      <c r="D166" s="62" t="str">
        <f>IF(D165=" "," ",IF(OR(F165='депозитный калькулятор'!$D$8,F165=" ")," ",D165+1))</f>
        <v xml:space="preserve"> </v>
      </c>
      <c r="E166" s="130" t="str">
        <f>IF(OR(F165='депозитный калькулятор'!$D$8,F165=" ")," ",IF(EOMONTH(F165,0)=F165,1,E165+1))</f>
        <v xml:space="preserve"> </v>
      </c>
      <c r="F166" s="64" t="str">
        <f>IF(F165=" "," ",IF(F165='депозитный калькулятор'!$D$8," ",F165+1))</f>
        <v xml:space="preserve"> </v>
      </c>
      <c r="G166" s="145" t="str">
        <f xml:space="preserve"> IF(F166&gt;'депозитный калькулятор'!$D$8," ",IF('депозитный калькулятор'!$G$13="есть",IF('депозитный калькулятор'!$G$14="есть",G165+IF(I165=" ",0,I165)-J166-K166+L166+M166-N166,G165+IF(I165=" ",0,I165)-J166-K166+M166-N166),IF('депозитный калькулятор'!$G$14="есть",G165-J166-K166+L166+M166-N166,G165-J166-K166+M166-N166)))</f>
        <v xml:space="preserve"> </v>
      </c>
      <c r="H166" s="133" t="str">
        <f>IF(F166&gt;'депозитный калькулятор'!$D$8," ",IF(AND(OR('депозитный калькулятор'!$G$7="30/365",'депозитный калькулятор'!$G$7="30/360"),AND(MONTH(F166)=2,EOMONTH(F166,0)=F166)),IF(DAY(F166)=28,3*G166*'депозитный калькулятор'!$G$8,2*G166*'депозитный калькулятор'!$G$8),IF(AND(OR('депозитный калькулятор'!$G$7="30/365",'депозитный калькулятор'!$G$7="30/360"),DAY(F166)=31)," ",IF(AND('депозитный калькулятор'!$G$7="факт/факт",MOD(YEAR(F166),4)=0),G166*'депозитный калькулятор'!$D$11/366,G166*'депозитный калькулятор'!$G$8))))</f>
        <v xml:space="preserve"> </v>
      </c>
      <c r="I166" s="134" t="str">
        <f ca="1">IF(F166=" "," ",IF('депозитный калькулятор'!$G$10="ежедневное",H166,IF(AND('депозитный калькулятор'!$G$10="еженедельное",WEEKDAY(F166,2)=7),SUM(OFFSET(H166,-6,0):H166),IF(AND('депозитный калькулятор'!$G$10="еженедельное",F166='депозитный калькулятор'!$D$8),SUM($H$23:H166)-SUM($I$23:I165),IF(AND('депозитный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недели",WEEKDAY(F166,2)=7),MIN(OFFSET(H166,-6,0):H166)*(COUNTIF(OFFSET(H166,-6,0):H166,"&gt;0")+SUMIF(OFFSET(A166,-WEEKDAY(F166,2),0):A166,"=2",OFFSET(A166,-WEEKDAY(F166,2),0):A166)),IF(AND('депозитный калькулятор'!$G$10="еженедельное, на минимальную сумму зафиксированную в течение недели",F166='депозитный калькулятор'!$D$8,WEEKDAY(F166,2)&lt;&gt;7),MIN(OFFSET(H166,-WEEKDAY(F166,2),0):H166)*(COUNTIF(OFFSET(H166,-WEEKDAY(F166,2)+1,0):H166,"&gt;0")+SUM(OFFSET(A166,-WEEKDAY(F166,2),0):A166)),IF(AND('депозитный калькулятор'!$G$10="ежемесячное (в конце месяца)",F166='депозитный калькулятор'!$D$8,EOMONTH(F166,0)&lt;&gt;F166),IF('депозитный калькулятор'!$F$1=1,$H$24,SUM($H$23:H166)-SUM($I$23:I165)),IF(AND('депозитный калькулятор'!$G$10="ежемесячное (в конце месяца)",EOMONTH(F166,0)=F166),SUM($H$23:H166)-SUM($I$23:I165),IF(AND('депозитный калькулятор'!$G$10="ежемесячное (по дням открытия вклада)",F166='депозитный калькулятор'!$D$8,DAY('депозитный калькулятор'!$D$7)&lt;&gt;DAY(F166)),IF('депозитный калькулятор'!$F$1=1,$H$24,SUM($H$23:H166)-SUM($I$23:I165)),IF(AND('депозитный калькулятор'!$G$10="ежемесячное (по дням открытия вклада)",DAY('депозитный калькулятор'!$D$7)=DAY(F166)),SUM($H$23:H166)-SUM($I$23:I165),IF(AND('депозитный калькулятор'!$G$10="ежемесячное, на минимальную сумму зафиксированную в течение месяца",F166='депозитный калькулятор'!$D$8,EOMONTH(F166,0)&lt;&gt;F166),IF('депозитный калькулятор'!$F$1=1,$H$24,IF(AND(OR('депозитный калькулятор'!$G$7="30/365",'депозитный калькулятор'!$G$7="30/360"),DAY(F166)=31),0,MIN(OFFSET(H166,-E166+1,0):H166)*(E166+SUMIF(OFFSET(A166,-E166+1,0):A166,"=2",OFFSET(A166,-E166+1,0):A166)))),IF(AND('депозитный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калькулятор'!$G$7="30/360"),DAY(EOMONTH(F166,0))=31),EOMONTH(F166,0)-1=F166,EOMONTH(F166,0)=F166)),IF(IF(AND(OR('депозитный калькулятор'!$G$7="30/365",'депозитный калькулятор'!$G$7="30/360"),DAY(EOMONTH($F$23,0))=31),F166=EOMONTH($F$23,0)-1,F166=EOMONTH($F$23,0)),MIN(OFFSET(H166,-(DAY(F166)-DAY($F$23)),0):H166)*E166,MIN(OFFSET(H166,-(DAY(F166)-1),0):H166)*IF(AND(OR('депозитный калькулятор'!$G$7="30/365",'депозитный калькулятор'!$G$7="30/360"),DAY(F166)&lt;30),30,DAY(F166))),IF(AND('депозитный калькулятор'!$G$10="ежемесячное, на средний остаток в течение месяца, при условии что остаток больше чем ограничение",F166='депозитный калькулятор'!$D$8,EOMONTH(F166,0)&lt;&gt;F166),IF('депозитный калькулятор'!$F$1=1,$H$24,SUM(OFFSET(Q166,-E166+1,0):Q166)),IF(AND('депозитный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калькулятор'!$G$7="30/360"),DAY(EOMONTH(F166,0))=31),EOMONTH(F166,0)-1=F166,EOMONTH(F166,0)=F166)),IF(IF(AND(OR('депозитный калькулятор'!$G$7="30/365",'депозитный калькулятор'!$G$7="30/360"),DAY(EOMONTH($F$24,0))=31),F166=EOMONTH($F$24,0)-1,F166=EOMONTH($F$24,0)),SUM(OFFSET(Q166,-E166+1,0):Q166),SUM(OFFSET(Q166,-E166+1,0):Q166)),IF('депозитный калькулятор'!$G$10="ежеквартальное",IF(F166&gt;'депозитный калькулятор'!$D$8," ",IF(AND(EOMONTH(F166,0)=F166,OR(MONTH(F166)=3,MONTH(F166)=6,MONTH(F166)=9,MONTH(F166)=12)),IF(EDATE(F166,-3)&lt;'депозитный калькулятор'!$D$7,SUM($H$23:H166),IF(MOD(YEAR(F166),4)=0,IF(AND(EOMONTH(F166,0)=F166,OR(MONTH(F166)=3,MONTH(F166)=6)),SUM(OFFSET(H166,-90,0):H166),IF(AND(EOMONTH(F166,0)=F166,OR(MONTH(F166)=9,MONTH(F166)=12)),SUM(OFFSET(H166,-91,0):H166))),IF(AND(EOMONTH(F166,0)=F166,MONTH(F166)=3),SUM(OFFSET(H166,-89,0):H166),IF(AND(EOMONTH(F166,0)=F166,MONTH(F166)=6),SUM(OFFSET(H166,-90,0):H166),IF(AND(EOMONTH(F166,0)=F166,OR(MONTH(F166)=9,MONTH(F166)=12)),SUM(OFFSET(H166,-91,0):H166)))))),IF(F166='депозитный калькулятор'!$D$8,SUM($H$23:H166)-SUM($I$23:I165),0))),IF('депозитный калькулятор'!$G$10="ежегодное",IF(F166&gt;'депозитный калькулятор'!$D$8," ",IF(F166='депозитный калькулятор'!$D$8,SUM($H$23:H166)-SUM($I$23:I165),IF(AND(EOMONTH(F166,0)=F166,MONTH(F166)=12),IF(MOD(YEAR(F165),4)=0,IF(F166-'депозитный калькулятор'!$D$7&lt;366,SUM($H$23:H166),SUM(OFFSET(H166,-365,0):H166)),IF(F166-'депозитный калькулятор'!$D$7&lt;365,SUM($H$23:H166),SUM(OFFSET(H166,-364,0):H166))),0))),IF(AND('депозитный калькулятор'!$G$10="в конце срока",'депозитный калькулятор'!$D$8=F166),SUM($H$23:H166),0))))))))))))))))))</f>
        <v xml:space="preserve"> </v>
      </c>
      <c r="J166" s="59" t="str">
        <f>IF(F166&gt;'депозитный калькулятор'!$D$8," ",IF('депозитный калькулятор'!$G$16="нет",0,IF(AND('депозитный калькулятор'!$G$17="разовая (в конце срока)",F166='депозитный калькулятор'!$D$8),'депозитный калькулятор'!$G$18,IF(AND('депозитный калькулятор'!$G$17="ежемесячная",EOMONTH(F165,0)=F165),'депозитный калькулятор'!$G$18,IF(AND('депозитный калькулятор'!$G$17="ежегодная",DAY(F165)=31,MONTH(F165)=12),'депозитный калькулятор'!$G$18,IF(AND('депозитный калькулятор'!$G$17="ежемесячная в зависимости от остатка",EOMONTH(F165,0)=F165,P165&gt;0),'депозитный калькулятор'!$G$18,IF(AND('депозитный калькулятор'!$G$17="ежегодная в зависимости от остатка",DAY(F165)=31,MONTH(F165)=12,P165&gt;0),'депозитный калькулятор'!$G$18,0)))))))</f>
        <v xml:space="preserve"> </v>
      </c>
      <c r="K166" s="135" t="str">
        <f>IF($F166=" "," ",IFERROR(VLOOKUP($F166,'депозитный калькулятор'!$B$26:$F$70,2,0),0))</f>
        <v xml:space="preserve"> </v>
      </c>
      <c r="L166" s="135" t="str">
        <f>IF($F166=" "," ",IFERROR(VLOOKUP($F166,'депозитный калькулятор'!$B$26:$F$70,3,0),0))</f>
        <v xml:space="preserve"> </v>
      </c>
      <c r="M166" s="135" t="str">
        <f>IF($F166=" "," ",IFERROR(VLOOKUP($F166,'депозитный калькулятор'!$B$26:$F$70,4,0),0))</f>
        <v xml:space="preserve"> </v>
      </c>
      <c r="N166" s="135" t="str">
        <f>IF($F166=" "," ",IFERROR(VLOOKUP($F166,'депозитный калькулятор'!$B$26:$F$70,5,0),0))</f>
        <v xml:space="preserve"> </v>
      </c>
      <c r="O166" s="146" t="str">
        <f>IF(F166&gt;'депозитный калькулятор'!$D$8," ",IF(F166='депозитный калькулятор'!$D$8,IF(AND($F$24='депозитный калькулятор'!$D$8,'депозитный калькулятор'!$G$13="нет"),-G166-IF(I166=" ",0,I166)-IF(AND(OR('депозитный калькулятор'!$G$7="30/365",'депозитный калькулятор'!$G$7="30/360"),'депозитный калькулятор'!$G$10="в начале срока"),I165,0)-L166+M166-N166,-G166-IF(I166=" ",0,I166)-L166+M166-N166),IF('депозитный калькулятор'!$G$13="есть",M166-N166+IF('депозитный калькулятор'!$G$14="есть",0,-L166),-IF(I166=" ",0,I166)-IF(AND(OR('депозитный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срока"),I165,0)+M166-N166+IF('депозитный калькулятор'!$G$14="есть",0,-L166))))</f>
        <v xml:space="preserve"> </v>
      </c>
      <c r="P166" s="147" t="str">
        <f>IF(F166&gt;'депозитный калькулятор'!$D$8," ",IF(EOMONTH(F165,0)=F165,0,IF(G166&gt;='депозитный калькулятор'!$G$19,P165,P165+1)))</f>
        <v xml:space="preserve"> </v>
      </c>
      <c r="Q166" s="138" t="str">
        <f>IF(F166=" "," ",IF(AND(OR('депозитный калькулятор'!$G$7="30/365",'депозитный калькулятор'!$G$7="30/360"),AND(MONTH(F166)=2,EOMONTH(F166,0)=F166)),IF(DAY(F166)=28,3,2),1)*IF(G166&gt;='депозитный калькулятор'!$G$11,IF(AND('депозитный калькулятор'!$G$7="факт/факт",MOD(YEAR(F166),4)=0),G166*'депозитный калькулятор'!$D$11/366,G166*'депозитный калькулятор'!$G$8),0))</f>
        <v xml:space="preserve"> </v>
      </c>
      <c r="R166" s="148"/>
      <c r="S166" s="62" t="str">
        <f t="shared" ca="1" si="12"/>
        <v xml:space="preserve"> </v>
      </c>
      <c r="T166" s="149" t="str">
        <f ca="1">IF(S166=" "," ",IF('депозитный калькулятор'!$G$7="30/360",DAYS360(U165,IF(DAY(U166)=31,U166-1,U166))+IF(AND(MONTH(U166)=2,U166=EOMONTH(U166,0)),30-DAY(EOMONTH(U166,0)))+T165,VLOOKUP(S166,$C$22:$F$1023,2,0)))</f>
        <v xml:space="preserve"> </v>
      </c>
      <c r="U166" s="64" t="str">
        <f t="shared" ca="1" si="10"/>
        <v xml:space="preserve"> </v>
      </c>
      <c r="V166" s="150" t="str">
        <f t="shared" ca="1" si="13"/>
        <v xml:space="preserve"> </v>
      </c>
      <c r="W166" s="62" t="str">
        <f t="shared" ca="1" si="14"/>
        <v xml:space="preserve"> </v>
      </c>
      <c r="X166" s="141" t="str">
        <f ca="1">IF(S166=" "," ",IFERROR(VLOOKUP(U166,$F$23:$N$1023,7)+VLOOKUP(U166,$F$23:$N$1023,9)+IF(AND('депозитный калькулятор'!$G$13="нет",U166&lt;&gt;'депозитный калькулятор'!$D$8),VLOOKUP(U166,$F$23:$N$1023,4),0),0)+IF(U166='депозитный калькулятор'!$D$8,VLOOKUP(U166,$F$23:$N$1023,2)+VLOOKUP(U166,$F$23:$N$1023,4),0))</f>
        <v xml:space="preserve"> </v>
      </c>
      <c r="Y166" s="142" t="str">
        <f ca="1">IF(S166=" "," ",W166/(1+'депозитный калькулятор'!$K$8)^(T166/IF('депозитный калькулятор'!$G$7="30/360",360,365)))</f>
        <v xml:space="preserve"> </v>
      </c>
      <c r="Z166" s="142" t="str">
        <f ca="1">IF(S166=" "," ",X166/(1+'депозитный калькулятор'!$K$8)^(T166/IF('депозитный калькулятор'!$G$7="30/360",360,365)))</f>
        <v xml:space="preserve"> </v>
      </c>
      <c r="AA166" s="151"/>
      <c r="AB166" s="151"/>
      <c r="AC166" s="155"/>
      <c r="AD166" s="155"/>
    </row>
    <row r="167" spans="1:30" s="2" customFormat="1" ht="15.5" x14ac:dyDescent="0.35">
      <c r="A167" s="41" t="str">
        <f>IF(F167=" "," ",IF(OR('депозитный калькулятор'!$G$7="30/365",'депозитный калькулятор'!$G$7="30/360"),IF(AND(MONTH(F167)=2,DAY(F167)=DAY(EOMONTH(F167,0))),30-DAY(EOMONTH(F167,0)),IF(DAY(F167)=31,1," "))," "))</f>
        <v xml:space="preserve"> </v>
      </c>
      <c r="B167" s="130" t="str">
        <f t="shared" si="11"/>
        <v xml:space="preserve"> </v>
      </c>
      <c r="C167" s="130" t="str">
        <f>IF(OR(B167=0,B167=" ")," ",SUM($B$23:B167))</f>
        <v xml:space="preserve"> </v>
      </c>
      <c r="D167" s="62" t="str">
        <f>IF(D166=" "," ",IF(OR(F166='депозитный калькулятор'!$D$8,F166=" ")," ",D166+1))</f>
        <v xml:space="preserve"> </v>
      </c>
      <c r="E167" s="130" t="str">
        <f>IF(OR(F166='депозитный калькулятор'!$D$8,F166=" ")," ",IF(EOMONTH(F166,0)=F166,1,E166+1))</f>
        <v xml:space="preserve"> </v>
      </c>
      <c r="F167" s="64" t="str">
        <f>IF(F166=" "," ",IF(F166='депозитный калькулятор'!$D$8," ",F166+1))</f>
        <v xml:space="preserve"> </v>
      </c>
      <c r="G167" s="145" t="str">
        <f xml:space="preserve"> IF(F167&gt;'депозитный калькулятор'!$D$8," ",IF('депозитный калькулятор'!$G$13="есть",IF('депозитный калькулятор'!$G$14="есть",G166+IF(I166=" ",0,I166)-J167-K167+L167+M167-N167,G166+IF(I166=" ",0,I166)-J167-K167+M167-N167),IF('депозитный калькулятор'!$G$14="есть",G166-J167-K167+L167+M167-N167,G166-J167-K167+M167-N167)))</f>
        <v xml:space="preserve"> </v>
      </c>
      <c r="H167" s="133" t="str">
        <f>IF(F167&gt;'депозитный калькулятор'!$D$8," ",IF(AND(OR('депозитный калькулятор'!$G$7="30/365",'депозитный калькулятор'!$G$7="30/360"),AND(MONTH(F167)=2,EOMONTH(F167,0)=F167)),IF(DAY(F167)=28,3*G167*'депозитный калькулятор'!$G$8,2*G167*'депозитный калькулятор'!$G$8),IF(AND(OR('депозитный калькулятор'!$G$7="30/365",'депозитный калькулятор'!$G$7="30/360"),DAY(F167)=31)," ",IF(AND('депозитный калькулятор'!$G$7="факт/факт",MOD(YEAR(F167),4)=0),G167*'депозитный калькулятор'!$D$11/366,G167*'депозитный калькулятор'!$G$8))))</f>
        <v xml:space="preserve"> </v>
      </c>
      <c r="I167" s="134" t="str">
        <f ca="1">IF(F167=" "," ",IF('депозитный калькулятор'!$G$10="ежедневное",H167,IF(AND('депозитный калькулятор'!$G$10="еженедельное",WEEKDAY(F167,2)=7),SUM(OFFSET(H167,-6,0):H167),IF(AND('депозитный калькулятор'!$G$10="еженедельное",F167='депозитный калькулятор'!$D$8),SUM($H$23:H167)-SUM($I$23:I166),IF(AND('депозитный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недели",WEEKDAY(F167,2)=7),MIN(OFFSET(H167,-6,0):H167)*(COUNTIF(OFFSET(H167,-6,0):H167,"&gt;0")+SUMIF(OFFSET(A167,-WEEKDAY(F167,2),0):A167,"=2",OFFSET(A167,-WEEKDAY(F167,2),0):A167)),IF(AND('депозитный калькулятор'!$G$10="еженедельное, на минимальную сумму зафиксированную в течение недели",F167='депозитный калькулятор'!$D$8,WEEKDAY(F167,2)&lt;&gt;7),MIN(OFFSET(H167,-WEEKDAY(F167,2),0):H167)*(COUNTIF(OFFSET(H167,-WEEKDAY(F167,2)+1,0):H167,"&gt;0")+SUM(OFFSET(A167,-WEEKDAY(F167,2),0):A167)),IF(AND('депозитный калькулятор'!$G$10="ежемесячное (в конце месяца)",F167='депозитный калькулятор'!$D$8,EOMONTH(F167,0)&lt;&gt;F167),IF('депозитный калькулятор'!$F$1=1,$H$24,SUM($H$23:H167)-SUM($I$23:I166)),IF(AND('депозитный калькулятор'!$G$10="ежемесячное (в конце месяца)",EOMONTH(F167,0)=F167),SUM($H$23:H167)-SUM($I$23:I166),IF(AND('депозитный калькулятор'!$G$10="ежемесячное (по дням открытия вклада)",F167='депозитный калькулятор'!$D$8,DAY('депозитный калькулятор'!$D$7)&lt;&gt;DAY(F167)),IF('депозитный калькулятор'!$F$1=1,$H$24,SUM($H$23:H167)-SUM($I$23:I166)),IF(AND('депозитный калькулятор'!$G$10="ежемесячное (по дням открытия вклада)",DAY('депозитный калькулятор'!$D$7)=DAY(F167)),SUM($H$23:H167)-SUM($I$23:I166),IF(AND('депозитный калькулятор'!$G$10="ежемесячное, на минимальную сумму зафиксированную в течение месяца",F167='депозитный калькулятор'!$D$8,EOMONTH(F167,0)&lt;&gt;F167),IF('депозитный калькулятор'!$F$1=1,$H$24,IF(AND(OR('депозитный калькулятор'!$G$7="30/365",'депозитный калькулятор'!$G$7="30/360"),DAY(F167)=31),0,MIN(OFFSET(H167,-E167+1,0):H167)*(E167+SUMIF(OFFSET(A167,-E167+1,0):A167,"=2",OFFSET(A167,-E167+1,0):A167)))),IF(AND('депозитный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калькулятор'!$G$7="30/360"),DAY(EOMONTH(F167,0))=31),EOMONTH(F167,0)-1=F167,EOMONTH(F167,0)=F167)),IF(IF(AND(OR('депозитный калькулятор'!$G$7="30/365",'депозитный калькулятор'!$G$7="30/360"),DAY(EOMONTH($F$23,0))=31),F167=EOMONTH($F$23,0)-1,F167=EOMONTH($F$23,0)),MIN(OFFSET(H167,-(DAY(F167)-DAY($F$23)),0):H167)*E167,MIN(OFFSET(H167,-(DAY(F167)-1),0):H167)*IF(AND(OR('депозитный калькулятор'!$G$7="30/365",'депозитный калькулятор'!$G$7="30/360"),DAY(F167)&lt;30),30,DAY(F167))),IF(AND('депозитный калькулятор'!$G$10="ежемесячное, на средний остаток в течение месяца, при условии что остаток больше чем ограничение",F167='депозитный калькулятор'!$D$8,EOMONTH(F167,0)&lt;&gt;F167),IF('депозитный калькулятор'!$F$1=1,$H$24,SUM(OFFSET(Q167,-E167+1,0):Q167)),IF(AND('депозитный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калькулятор'!$G$7="30/360"),DAY(EOMONTH(F167,0))=31),EOMONTH(F167,0)-1=F167,EOMONTH(F167,0)=F167)),IF(IF(AND(OR('депозитный калькулятор'!$G$7="30/365",'депозитный калькулятор'!$G$7="30/360"),DAY(EOMONTH($F$24,0))=31),F167=EOMONTH($F$24,0)-1,F167=EOMONTH($F$24,0)),SUM(OFFSET(Q167,-E167+1,0):Q167),SUM(OFFSET(Q167,-E167+1,0):Q167)),IF('депозитный калькулятор'!$G$10="ежеквартальное",IF(F167&gt;'депозитный калькулятор'!$D$8," ",IF(AND(EOMONTH(F167,0)=F167,OR(MONTH(F167)=3,MONTH(F167)=6,MONTH(F167)=9,MONTH(F167)=12)),IF(EDATE(F167,-3)&lt;'депозитный калькулятор'!$D$7,SUM($H$23:H167),IF(MOD(YEAR(F167),4)=0,IF(AND(EOMONTH(F167,0)=F167,OR(MONTH(F167)=3,MONTH(F167)=6)),SUM(OFFSET(H167,-90,0):H167),IF(AND(EOMONTH(F167,0)=F167,OR(MONTH(F167)=9,MONTH(F167)=12)),SUM(OFFSET(H167,-91,0):H167))),IF(AND(EOMONTH(F167,0)=F167,MONTH(F167)=3),SUM(OFFSET(H167,-89,0):H167),IF(AND(EOMONTH(F167,0)=F167,MONTH(F167)=6),SUM(OFFSET(H167,-90,0):H167),IF(AND(EOMONTH(F167,0)=F167,OR(MONTH(F167)=9,MONTH(F167)=12)),SUM(OFFSET(H167,-91,0):H167)))))),IF(F167='депозитный калькулятор'!$D$8,SUM($H$23:H167)-SUM($I$23:I166),0))),IF('депозитный калькулятор'!$G$10="ежегодное",IF(F167&gt;'депозитный калькулятор'!$D$8," ",IF(F167='депозитный калькулятор'!$D$8,SUM($H$23:H167)-SUM($I$23:I166),IF(AND(EOMONTH(F167,0)=F167,MONTH(F167)=12),IF(MOD(YEAR(F166),4)=0,IF(F167-'депозитный калькулятор'!$D$7&lt;366,SUM($H$23:H167),SUM(OFFSET(H167,-365,0):H167)),IF(F167-'депозитный калькулятор'!$D$7&lt;365,SUM($H$23:H167),SUM(OFFSET(H167,-364,0):H167))),0))),IF(AND('депозитный калькулятор'!$G$10="в конце срока",'депозитный калькулятор'!$D$8=F167),SUM($H$23:H167),0))))))))))))))))))</f>
        <v xml:space="preserve"> </v>
      </c>
      <c r="J167" s="59" t="str">
        <f>IF(F167&gt;'депозитный калькулятор'!$D$8," ",IF('депозитный калькулятор'!$G$16="нет",0,IF(AND('депозитный калькулятор'!$G$17="разовая (в конце срока)",F167='депозитный калькулятор'!$D$8),'депозитный калькулятор'!$G$18,IF(AND('депозитный калькулятор'!$G$17="ежемесячная",EOMONTH(F166,0)=F166),'депозитный калькулятор'!$G$18,IF(AND('депозитный калькулятор'!$G$17="ежегодная",DAY(F166)=31,MONTH(F166)=12),'депозитный калькулятор'!$G$18,IF(AND('депозитный калькулятор'!$G$17="ежемесячная в зависимости от остатка",EOMONTH(F166,0)=F166,P166&gt;0),'депозитный калькулятор'!$G$18,IF(AND('депозитный калькулятор'!$G$17="ежегодная в зависимости от остатка",DAY(F166)=31,MONTH(F166)=12,P166&gt;0),'депозитный калькулятор'!$G$18,0)))))))</f>
        <v xml:space="preserve"> </v>
      </c>
      <c r="K167" s="135" t="str">
        <f>IF($F167=" "," ",IFERROR(VLOOKUP($F167,'депозитный калькулятор'!$B$26:$F$70,2,0),0))</f>
        <v xml:space="preserve"> </v>
      </c>
      <c r="L167" s="135" t="str">
        <f>IF($F167=" "," ",IFERROR(VLOOKUP($F167,'депозитный калькулятор'!$B$26:$F$70,3,0),0))</f>
        <v xml:space="preserve"> </v>
      </c>
      <c r="M167" s="135" t="str">
        <f>IF($F167=" "," ",IFERROR(VLOOKUP($F167,'депозитный калькулятор'!$B$26:$F$70,4,0),0))</f>
        <v xml:space="preserve"> </v>
      </c>
      <c r="N167" s="135" t="str">
        <f>IF($F167=" "," ",IFERROR(VLOOKUP($F167,'депозитный калькулятор'!$B$26:$F$70,5,0),0))</f>
        <v xml:space="preserve"> </v>
      </c>
      <c r="O167" s="146" t="str">
        <f>IF(F167&gt;'депозитный калькулятор'!$D$8," ",IF(F167='депозитный калькулятор'!$D$8,IF(AND($F$24='депозитный калькулятор'!$D$8,'депозитный калькулятор'!$G$13="нет"),-G167-IF(I167=" ",0,I167)-IF(AND(OR('депозитный калькулятор'!$G$7="30/365",'депозитный калькулятор'!$G$7="30/360"),'депозитный калькулятор'!$G$10="в начале срока"),I166,0)-L167+M167-N167,-G167-IF(I167=" ",0,I167)-L167+M167-N167),IF('депозитный калькулятор'!$G$13="есть",M167-N167+IF('депозитный калькулятор'!$G$14="есть",0,-L167),-IF(I167=" ",0,I167)-IF(AND(OR('депозитный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срока"),I166,0)+M167-N167+IF('депозитный калькулятор'!$G$14="есть",0,-L167))))</f>
        <v xml:space="preserve"> </v>
      </c>
      <c r="P167" s="147" t="str">
        <f>IF(F167&gt;'депозитный калькулятор'!$D$8," ",IF(EOMONTH(F166,0)=F166,0,IF(G167&gt;='депозитный калькулятор'!$G$19,P166,P166+1)))</f>
        <v xml:space="preserve"> </v>
      </c>
      <c r="Q167" s="138" t="str">
        <f>IF(F167=" "," ",IF(AND(OR('депозитный калькулятор'!$G$7="30/365",'депозитный калькулятор'!$G$7="30/360"),AND(MONTH(F167)=2,EOMONTH(F167,0)=F167)),IF(DAY(F167)=28,3,2),1)*IF(G167&gt;='депозитный калькулятор'!$G$11,IF(AND('депозитный калькулятор'!$G$7="факт/факт",MOD(YEAR(F167),4)=0),G167*'депозитный калькулятор'!$D$11/366,G167*'депозитный калькулятор'!$G$8),0))</f>
        <v xml:space="preserve"> </v>
      </c>
      <c r="R167" s="148"/>
      <c r="S167" s="62" t="str">
        <f t="shared" ca="1" si="12"/>
        <v xml:space="preserve"> </v>
      </c>
      <c r="T167" s="149" t="str">
        <f ca="1">IF(S167=" "," ",IF('депозитный калькулятор'!$G$7="30/360",DAYS360(U166,IF(DAY(U167)=31,U167-1,U167))+IF(AND(MONTH(U167)=2,U167=EOMONTH(U167,0)),30-DAY(EOMONTH(U167,0)))+T166,VLOOKUP(S167,$C$22:$F$1023,2,0)))</f>
        <v xml:space="preserve"> </v>
      </c>
      <c r="U167" s="64" t="str">
        <f t="shared" ca="1" si="10"/>
        <v xml:space="preserve"> </v>
      </c>
      <c r="V167" s="150" t="str">
        <f t="shared" ca="1" si="13"/>
        <v xml:space="preserve"> </v>
      </c>
      <c r="W167" s="62" t="str">
        <f t="shared" ca="1" si="14"/>
        <v xml:space="preserve"> </v>
      </c>
      <c r="X167" s="141" t="str">
        <f ca="1">IF(S167=" "," ",IFERROR(VLOOKUP(U167,$F$23:$N$1023,7)+VLOOKUP(U167,$F$23:$N$1023,9)+IF(AND('депозитный калькулятор'!$G$13="нет",U167&lt;&gt;'депозитный калькулятор'!$D$8),VLOOKUP(U167,$F$23:$N$1023,4),0),0)+IF(U167='депозитный калькулятор'!$D$8,VLOOKUP(U167,$F$23:$N$1023,2)+VLOOKUP(U167,$F$23:$N$1023,4),0))</f>
        <v xml:space="preserve"> </v>
      </c>
      <c r="Y167" s="142" t="str">
        <f ca="1">IF(S167=" "," ",W167/(1+'депозитный калькулятор'!$K$8)^(T167/IF('депозитный калькулятор'!$G$7="30/360",360,365)))</f>
        <v xml:space="preserve"> </v>
      </c>
      <c r="Z167" s="142" t="str">
        <f ca="1">IF(S167=" "," ",X167/(1+'депозитный калькулятор'!$K$8)^(T167/IF('депозитный калькулятор'!$G$7="30/360",360,365)))</f>
        <v xml:space="preserve"> </v>
      </c>
      <c r="AA167" s="151"/>
      <c r="AB167" s="151"/>
      <c r="AC167" s="155"/>
      <c r="AD167" s="155"/>
    </row>
    <row r="168" spans="1:30" s="2" customFormat="1" ht="15.5" x14ac:dyDescent="0.35">
      <c r="A168" s="41" t="str">
        <f>IF(F168=" "," ",IF(OR('депозитный калькулятор'!$G$7="30/365",'депозитный калькулятор'!$G$7="30/360"),IF(AND(MONTH(F168)=2,DAY(F168)=DAY(EOMONTH(F168,0))),30-DAY(EOMONTH(F168,0)),IF(DAY(F168)=31,1," "))," "))</f>
        <v xml:space="preserve"> </v>
      </c>
      <c r="B168" s="130" t="str">
        <f t="shared" si="11"/>
        <v xml:space="preserve"> </v>
      </c>
      <c r="C168" s="130" t="str">
        <f>IF(OR(B168=0,B168=" ")," ",SUM($B$23:B168))</f>
        <v xml:space="preserve"> </v>
      </c>
      <c r="D168" s="62" t="str">
        <f>IF(D167=" "," ",IF(OR(F167='депозитный калькулятор'!$D$8,F167=" ")," ",D167+1))</f>
        <v xml:space="preserve"> </v>
      </c>
      <c r="E168" s="130" t="str">
        <f>IF(OR(F167='депозитный калькулятор'!$D$8,F167=" ")," ",IF(EOMONTH(F167,0)=F167,1,E167+1))</f>
        <v xml:space="preserve"> </v>
      </c>
      <c r="F168" s="64" t="str">
        <f>IF(F167=" "," ",IF(F167='депозитный калькулятор'!$D$8," ",F167+1))</f>
        <v xml:space="preserve"> </v>
      </c>
      <c r="G168" s="145" t="str">
        <f xml:space="preserve"> IF(F168&gt;'депозитный калькулятор'!$D$8," ",IF('депозитный калькулятор'!$G$13="есть",IF('депозитный калькулятор'!$G$14="есть",G167+IF(I167=" ",0,I167)-J168-K168+L168+M168-N168,G167+IF(I167=" ",0,I167)-J168-K168+M168-N168),IF('депозитный калькулятор'!$G$14="есть",G167-J168-K168+L168+M168-N168,G167-J168-K168+M168-N168)))</f>
        <v xml:space="preserve"> </v>
      </c>
      <c r="H168" s="133" t="str">
        <f>IF(F168&gt;'депозитный калькулятор'!$D$8," ",IF(AND(OR('депозитный калькулятор'!$G$7="30/365",'депозитный калькулятор'!$G$7="30/360"),AND(MONTH(F168)=2,EOMONTH(F168,0)=F168)),IF(DAY(F168)=28,3*G168*'депозитный калькулятор'!$G$8,2*G168*'депозитный калькулятор'!$G$8),IF(AND(OR('депозитный калькулятор'!$G$7="30/365",'депозитный калькулятор'!$G$7="30/360"),DAY(F168)=31)," ",IF(AND('депозитный калькулятор'!$G$7="факт/факт",MOD(YEAR(F168),4)=0),G168*'депозитный калькулятор'!$D$11/366,G168*'депозитный калькулятор'!$G$8))))</f>
        <v xml:space="preserve"> </v>
      </c>
      <c r="I168" s="134" t="str">
        <f ca="1">IF(F168=" "," ",IF('депозитный калькулятор'!$G$10="ежедневное",H168,IF(AND('депозитный калькулятор'!$G$10="еженедельное",WEEKDAY(F168,2)=7),SUM(OFFSET(H168,-6,0):H168),IF(AND('депозитный калькулятор'!$G$10="еженедельное",F168='депозитный калькулятор'!$D$8),SUM($H$23:H168)-SUM($I$23:I167),IF(AND('депозитный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недели",WEEKDAY(F168,2)=7),MIN(OFFSET(H168,-6,0):H168)*(COUNTIF(OFFSET(H168,-6,0):H168,"&gt;0")+SUMIF(OFFSET(A168,-WEEKDAY(F168,2),0):A168,"=2",OFFSET(A168,-WEEKDAY(F168,2),0):A168)),IF(AND('депозитный калькулятор'!$G$10="еженедельное, на минимальную сумму зафиксированную в течение недели",F168='депозитный калькулятор'!$D$8,WEEKDAY(F168,2)&lt;&gt;7),MIN(OFFSET(H168,-WEEKDAY(F168,2),0):H168)*(COUNTIF(OFFSET(H168,-WEEKDAY(F168,2)+1,0):H168,"&gt;0")+SUM(OFFSET(A168,-WEEKDAY(F168,2),0):A168)),IF(AND('депозитный калькулятор'!$G$10="ежемесячное (в конце месяца)",F168='депозитный калькулятор'!$D$8,EOMONTH(F168,0)&lt;&gt;F168),IF('депозитный калькулятор'!$F$1=1,$H$24,SUM($H$23:H168)-SUM($I$23:I167)),IF(AND('депозитный калькулятор'!$G$10="ежемесячное (в конце месяца)",EOMONTH(F168,0)=F168),SUM($H$23:H168)-SUM($I$23:I167),IF(AND('депозитный калькулятор'!$G$10="ежемесячное (по дням открытия вклада)",F168='депозитный калькулятор'!$D$8,DAY('депозитный калькулятор'!$D$7)&lt;&gt;DAY(F168)),IF('депозитный калькулятор'!$F$1=1,$H$24,SUM($H$23:H168)-SUM($I$23:I167)),IF(AND('депозитный калькулятор'!$G$10="ежемесячное (по дням открытия вклада)",DAY('депозитный калькулятор'!$D$7)=DAY(F168)),SUM($H$23:H168)-SUM($I$23:I167),IF(AND('депозитный калькулятор'!$G$10="ежемесячное, на минимальную сумму зафиксированную в течение месяца",F168='депозитный калькулятор'!$D$8,EOMONTH(F168,0)&lt;&gt;F168),IF('депозитный калькулятор'!$F$1=1,$H$24,IF(AND(OR('депозитный калькулятор'!$G$7="30/365",'депозитный калькулятор'!$G$7="30/360"),DAY(F168)=31),0,MIN(OFFSET(H168,-E168+1,0):H168)*(E168+SUMIF(OFFSET(A168,-E168+1,0):A168,"=2",OFFSET(A168,-E168+1,0):A168)))),IF(AND('депозитный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калькулятор'!$G$7="30/360"),DAY(EOMONTH(F168,0))=31),EOMONTH(F168,0)-1=F168,EOMONTH(F168,0)=F168)),IF(IF(AND(OR('депозитный калькулятор'!$G$7="30/365",'депозитный калькулятор'!$G$7="30/360"),DAY(EOMONTH($F$23,0))=31),F168=EOMONTH($F$23,0)-1,F168=EOMONTH($F$23,0)),MIN(OFFSET(H168,-(DAY(F168)-DAY($F$23)),0):H168)*E168,MIN(OFFSET(H168,-(DAY(F168)-1),0):H168)*IF(AND(OR('депозитный калькулятор'!$G$7="30/365",'депозитный калькулятор'!$G$7="30/360"),DAY(F168)&lt;30),30,DAY(F168))),IF(AND('депозитный калькулятор'!$G$10="ежемесячное, на средний остаток в течение месяца, при условии что остаток больше чем ограничение",F168='депозитный калькулятор'!$D$8,EOMONTH(F168,0)&lt;&gt;F168),IF('депозитный калькулятор'!$F$1=1,$H$24,SUM(OFFSET(Q168,-E168+1,0):Q168)),IF(AND('депозитный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калькулятор'!$G$7="30/360"),DAY(EOMONTH(F168,0))=31),EOMONTH(F168,0)-1=F168,EOMONTH(F168,0)=F168)),IF(IF(AND(OR('депозитный калькулятор'!$G$7="30/365",'депозитный калькулятор'!$G$7="30/360"),DAY(EOMONTH($F$24,0))=31),F168=EOMONTH($F$24,0)-1,F168=EOMONTH($F$24,0)),SUM(OFFSET(Q168,-E168+1,0):Q168),SUM(OFFSET(Q168,-E168+1,0):Q168)),IF('депозитный калькулятор'!$G$10="ежеквартальное",IF(F168&gt;'депозитный калькулятор'!$D$8," ",IF(AND(EOMONTH(F168,0)=F168,OR(MONTH(F168)=3,MONTH(F168)=6,MONTH(F168)=9,MONTH(F168)=12)),IF(EDATE(F168,-3)&lt;'депозитный калькулятор'!$D$7,SUM($H$23:H168),IF(MOD(YEAR(F168),4)=0,IF(AND(EOMONTH(F168,0)=F168,OR(MONTH(F168)=3,MONTH(F168)=6)),SUM(OFFSET(H168,-90,0):H168),IF(AND(EOMONTH(F168,0)=F168,OR(MONTH(F168)=9,MONTH(F168)=12)),SUM(OFFSET(H168,-91,0):H168))),IF(AND(EOMONTH(F168,0)=F168,MONTH(F168)=3),SUM(OFFSET(H168,-89,0):H168),IF(AND(EOMONTH(F168,0)=F168,MONTH(F168)=6),SUM(OFFSET(H168,-90,0):H168),IF(AND(EOMONTH(F168,0)=F168,OR(MONTH(F168)=9,MONTH(F168)=12)),SUM(OFFSET(H168,-91,0):H168)))))),IF(F168='депозитный калькулятор'!$D$8,SUM($H$23:H168)-SUM($I$23:I167),0))),IF('депозитный калькулятор'!$G$10="ежегодное",IF(F168&gt;'депозитный калькулятор'!$D$8," ",IF(F168='депозитный калькулятор'!$D$8,SUM($H$23:H168)-SUM($I$23:I167),IF(AND(EOMONTH(F168,0)=F168,MONTH(F168)=12),IF(MOD(YEAR(F167),4)=0,IF(F168-'депозитный калькулятор'!$D$7&lt;366,SUM($H$23:H168),SUM(OFFSET(H168,-365,0):H168)),IF(F168-'депозитный калькулятор'!$D$7&lt;365,SUM($H$23:H168),SUM(OFFSET(H168,-364,0):H168))),0))),IF(AND('депозитный калькулятор'!$G$10="в конце срока",'депозитный калькулятор'!$D$8=F168),SUM($H$23:H168),0))))))))))))))))))</f>
        <v xml:space="preserve"> </v>
      </c>
      <c r="J168" s="59" t="str">
        <f>IF(F168&gt;'депозитный калькулятор'!$D$8," ",IF('депозитный калькулятор'!$G$16="нет",0,IF(AND('депозитный калькулятор'!$G$17="разовая (в конце срока)",F168='депозитный калькулятор'!$D$8),'депозитный калькулятор'!$G$18,IF(AND('депозитный калькулятор'!$G$17="ежемесячная",EOMONTH(F167,0)=F167),'депозитный калькулятор'!$G$18,IF(AND('депозитный калькулятор'!$G$17="ежегодная",DAY(F167)=31,MONTH(F167)=12),'депозитный калькулятор'!$G$18,IF(AND('депозитный калькулятор'!$G$17="ежемесячная в зависимости от остатка",EOMONTH(F167,0)=F167,P167&gt;0),'депозитный калькулятор'!$G$18,IF(AND('депозитный калькулятор'!$G$17="ежегодная в зависимости от остатка",DAY(F167)=31,MONTH(F167)=12,P167&gt;0),'депозитный калькулятор'!$G$18,0)))))))</f>
        <v xml:space="preserve"> </v>
      </c>
      <c r="K168" s="135" t="str">
        <f>IF($F168=" "," ",IFERROR(VLOOKUP($F168,'депозитный калькулятор'!$B$26:$F$70,2,0),0))</f>
        <v xml:space="preserve"> </v>
      </c>
      <c r="L168" s="135" t="str">
        <f>IF($F168=" "," ",IFERROR(VLOOKUP($F168,'депозитный калькулятор'!$B$26:$F$70,3,0),0))</f>
        <v xml:space="preserve"> </v>
      </c>
      <c r="M168" s="135" t="str">
        <f>IF($F168=" "," ",IFERROR(VLOOKUP($F168,'депозитный калькулятор'!$B$26:$F$70,4,0),0))</f>
        <v xml:space="preserve"> </v>
      </c>
      <c r="N168" s="135" t="str">
        <f>IF($F168=" "," ",IFERROR(VLOOKUP($F168,'депозитный калькулятор'!$B$26:$F$70,5,0),0))</f>
        <v xml:space="preserve"> </v>
      </c>
      <c r="O168" s="146" t="str">
        <f>IF(F168&gt;'депозитный калькулятор'!$D$8," ",IF(F168='депозитный калькулятор'!$D$8,IF(AND($F$24='депозитный калькулятор'!$D$8,'депозитный калькулятор'!$G$13="нет"),-G168-IF(I168=" ",0,I168)-IF(AND(OR('депозитный калькулятор'!$G$7="30/365",'депозитный калькулятор'!$G$7="30/360"),'депозитный калькулятор'!$G$10="в начале срока"),I167,0)-L168+M168-N168,-G168-IF(I168=" ",0,I168)-L168+M168-N168),IF('депозитный калькулятор'!$G$13="есть",M168-N168+IF('депозитный калькулятор'!$G$14="есть",0,-L168),-IF(I168=" ",0,I168)-IF(AND(OR('депозитный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срока"),I167,0)+M168-N168+IF('депозитный калькулятор'!$G$14="есть",0,-L168))))</f>
        <v xml:space="preserve"> </v>
      </c>
      <c r="P168" s="147" t="str">
        <f>IF(F168&gt;'депозитный калькулятор'!$D$8," ",IF(EOMONTH(F167,0)=F167,0,IF(G168&gt;='депозитный калькулятор'!$G$19,P167,P167+1)))</f>
        <v xml:space="preserve"> </v>
      </c>
      <c r="Q168" s="138" t="str">
        <f>IF(F168=" "," ",IF(AND(OR('депозитный калькулятор'!$G$7="30/365",'депозитный калькулятор'!$G$7="30/360"),AND(MONTH(F168)=2,EOMONTH(F168,0)=F168)),IF(DAY(F168)=28,3,2),1)*IF(G168&gt;='депозитный калькулятор'!$G$11,IF(AND('депозитный калькулятор'!$G$7="факт/факт",MOD(YEAR(F168),4)=0),G168*'депозитный калькулятор'!$D$11/366,G168*'депозитный калькулятор'!$G$8),0))</f>
        <v xml:space="preserve"> </v>
      </c>
      <c r="R168" s="148"/>
      <c r="S168" s="62" t="str">
        <f t="shared" ca="1" si="12"/>
        <v xml:space="preserve"> </v>
      </c>
      <c r="T168" s="149" t="str">
        <f ca="1">IF(S168=" "," ",IF('депозитный калькулятор'!$G$7="30/360",DAYS360(U167,IF(DAY(U168)=31,U168-1,U168))+IF(AND(MONTH(U168)=2,U168=EOMONTH(U168,0)),30-DAY(EOMONTH(U168,0)))+T167,VLOOKUP(S168,$C$22:$F$1023,2,0)))</f>
        <v xml:space="preserve"> </v>
      </c>
      <c r="U168" s="64" t="str">
        <f t="shared" ca="1" si="10"/>
        <v xml:space="preserve"> </v>
      </c>
      <c r="V168" s="150" t="str">
        <f t="shared" ca="1" si="13"/>
        <v xml:space="preserve"> </v>
      </c>
      <c r="W168" s="62" t="str">
        <f t="shared" ca="1" si="14"/>
        <v xml:space="preserve"> </v>
      </c>
      <c r="X168" s="141" t="str">
        <f ca="1">IF(S168=" "," ",IFERROR(VLOOKUP(U168,$F$23:$N$1023,7)+VLOOKUP(U168,$F$23:$N$1023,9)+IF(AND('депозитный калькулятор'!$G$13="нет",U168&lt;&gt;'депозитный калькулятор'!$D$8),VLOOKUP(U168,$F$23:$N$1023,4),0),0)+IF(U168='депозитный калькулятор'!$D$8,VLOOKUP(U168,$F$23:$N$1023,2)+VLOOKUP(U168,$F$23:$N$1023,4),0))</f>
        <v xml:space="preserve"> </v>
      </c>
      <c r="Y168" s="142" t="str">
        <f ca="1">IF(S168=" "," ",W168/(1+'депозитный калькулятор'!$K$8)^(T168/IF('депозитный калькулятор'!$G$7="30/360",360,365)))</f>
        <v xml:space="preserve"> </v>
      </c>
      <c r="Z168" s="142" t="str">
        <f ca="1">IF(S168=" "," ",X168/(1+'депозитный калькулятор'!$K$8)^(T168/IF('депозитный калькулятор'!$G$7="30/360",360,365)))</f>
        <v xml:space="preserve"> </v>
      </c>
      <c r="AA168" s="151"/>
      <c r="AB168" s="151"/>
      <c r="AC168" s="155"/>
      <c r="AD168" s="155"/>
    </row>
    <row r="169" spans="1:30" s="2" customFormat="1" ht="15.5" x14ac:dyDescent="0.35">
      <c r="A169" s="41" t="str">
        <f>IF(F169=" "," ",IF(OR('депозитный калькулятор'!$G$7="30/365",'депозитный калькулятор'!$G$7="30/360"),IF(AND(MONTH(F169)=2,DAY(F169)=DAY(EOMONTH(F169,0))),30-DAY(EOMONTH(F169,0)),IF(DAY(F169)=31,1," "))," "))</f>
        <v xml:space="preserve"> </v>
      </c>
      <c r="B169" s="130" t="str">
        <f t="shared" si="11"/>
        <v xml:space="preserve"> </v>
      </c>
      <c r="C169" s="130" t="str">
        <f>IF(OR(B169=0,B169=" ")," ",SUM($B$23:B169))</f>
        <v xml:space="preserve"> </v>
      </c>
      <c r="D169" s="62" t="str">
        <f>IF(D168=" "," ",IF(OR(F168='депозитный калькулятор'!$D$8,F168=" ")," ",D168+1))</f>
        <v xml:space="preserve"> </v>
      </c>
      <c r="E169" s="130" t="str">
        <f>IF(OR(F168='депозитный калькулятор'!$D$8,F168=" ")," ",IF(EOMONTH(F168,0)=F168,1,E168+1))</f>
        <v xml:space="preserve"> </v>
      </c>
      <c r="F169" s="64" t="str">
        <f>IF(F168=" "," ",IF(F168='депозитный калькулятор'!$D$8," ",F168+1))</f>
        <v xml:space="preserve"> </v>
      </c>
      <c r="G169" s="145" t="str">
        <f xml:space="preserve"> IF(F169&gt;'депозитный калькулятор'!$D$8," ",IF('депозитный калькулятор'!$G$13="есть",IF('депозитный калькулятор'!$G$14="есть",G168+IF(I168=" ",0,I168)-J169-K169+L169+M169-N169,G168+IF(I168=" ",0,I168)-J169-K169+M169-N169),IF('депозитный калькулятор'!$G$14="есть",G168-J169-K169+L169+M169-N169,G168-J169-K169+M169-N169)))</f>
        <v xml:space="preserve"> </v>
      </c>
      <c r="H169" s="133" t="str">
        <f>IF(F169&gt;'депозитный калькулятор'!$D$8," ",IF(AND(OR('депозитный калькулятор'!$G$7="30/365",'депозитный калькулятор'!$G$7="30/360"),AND(MONTH(F169)=2,EOMONTH(F169,0)=F169)),IF(DAY(F169)=28,3*G169*'депозитный калькулятор'!$G$8,2*G169*'депозитный калькулятор'!$G$8),IF(AND(OR('депозитный калькулятор'!$G$7="30/365",'депозитный калькулятор'!$G$7="30/360"),DAY(F169)=31)," ",IF(AND('депозитный калькулятор'!$G$7="факт/факт",MOD(YEAR(F169),4)=0),G169*'депозитный калькулятор'!$D$11/366,G169*'депозитный калькулятор'!$G$8))))</f>
        <v xml:space="preserve"> </v>
      </c>
      <c r="I169" s="134" t="str">
        <f ca="1">IF(F169=" "," ",IF('депозитный калькулятор'!$G$10="ежедневное",H169,IF(AND('депозитный калькулятор'!$G$10="еженедельное",WEEKDAY(F169,2)=7),SUM(OFFSET(H169,-6,0):H169),IF(AND('депозитный калькулятор'!$G$10="еженедельное",F169='депозитный калькулятор'!$D$8),SUM($H$23:H169)-SUM($I$23:I168),IF(AND('депозитный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недели",WEEKDAY(F169,2)=7),MIN(OFFSET(H169,-6,0):H169)*(COUNTIF(OFFSET(H169,-6,0):H169,"&gt;0")+SUMIF(OFFSET(A169,-WEEKDAY(F169,2),0):A169,"=2",OFFSET(A169,-WEEKDAY(F169,2),0):A169)),IF(AND('депозитный калькулятор'!$G$10="еженедельное, на минимальную сумму зафиксированную в течение недели",F169='депозитный калькулятор'!$D$8,WEEKDAY(F169,2)&lt;&gt;7),MIN(OFFSET(H169,-WEEKDAY(F169,2),0):H169)*(COUNTIF(OFFSET(H169,-WEEKDAY(F169,2)+1,0):H169,"&gt;0")+SUM(OFFSET(A169,-WEEKDAY(F169,2),0):A169)),IF(AND('депозитный калькулятор'!$G$10="ежемесячное (в конце месяца)",F169='депозитный калькулятор'!$D$8,EOMONTH(F169,0)&lt;&gt;F169),IF('депозитный калькулятор'!$F$1=1,$H$24,SUM($H$23:H169)-SUM($I$23:I168)),IF(AND('депозитный калькулятор'!$G$10="ежемесячное (в конце месяца)",EOMONTH(F169,0)=F169),SUM($H$23:H169)-SUM($I$23:I168),IF(AND('депозитный калькулятор'!$G$10="ежемесячное (по дням открытия вклада)",F169='депозитный калькулятор'!$D$8,DAY('депозитный калькулятор'!$D$7)&lt;&gt;DAY(F169)),IF('депозитный калькулятор'!$F$1=1,$H$24,SUM($H$23:H169)-SUM($I$23:I168)),IF(AND('депозитный калькулятор'!$G$10="ежемесячное (по дням открытия вклада)",DAY('депозитный калькулятор'!$D$7)=DAY(F169)),SUM($H$23:H169)-SUM($I$23:I168),IF(AND('депозитный калькулятор'!$G$10="ежемесячное, на минимальную сумму зафиксированную в течение месяца",F169='депозитный калькулятор'!$D$8,EOMONTH(F169,0)&lt;&gt;F169),IF('депозитный калькулятор'!$F$1=1,$H$24,IF(AND(OR('депозитный калькулятор'!$G$7="30/365",'депозитный калькулятор'!$G$7="30/360"),DAY(F169)=31),0,MIN(OFFSET(H169,-E169+1,0):H169)*(E169+SUMIF(OFFSET(A169,-E169+1,0):A169,"=2",OFFSET(A169,-E169+1,0):A169)))),IF(AND('депозитный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калькулятор'!$G$7="30/360"),DAY(EOMONTH(F169,0))=31),EOMONTH(F169,0)-1=F169,EOMONTH(F169,0)=F169)),IF(IF(AND(OR('депозитный калькулятор'!$G$7="30/365",'депозитный калькулятор'!$G$7="30/360"),DAY(EOMONTH($F$23,0))=31),F169=EOMONTH($F$23,0)-1,F169=EOMONTH($F$23,0)),MIN(OFFSET(H169,-(DAY(F169)-DAY($F$23)),0):H169)*E169,MIN(OFFSET(H169,-(DAY(F169)-1),0):H169)*IF(AND(OR('депозитный калькулятор'!$G$7="30/365",'депозитный калькулятор'!$G$7="30/360"),DAY(F169)&lt;30),30,DAY(F169))),IF(AND('депозитный калькулятор'!$G$10="ежемесячное, на средний остаток в течение месяца, при условии что остаток больше чем ограничение",F169='депозитный калькулятор'!$D$8,EOMONTH(F169,0)&lt;&gt;F169),IF('депозитный калькулятор'!$F$1=1,$H$24,SUM(OFFSET(Q169,-E169+1,0):Q169)),IF(AND('депозитный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калькулятор'!$G$7="30/360"),DAY(EOMONTH(F169,0))=31),EOMONTH(F169,0)-1=F169,EOMONTH(F169,0)=F169)),IF(IF(AND(OR('депозитный калькулятор'!$G$7="30/365",'депозитный калькулятор'!$G$7="30/360"),DAY(EOMONTH($F$24,0))=31),F169=EOMONTH($F$24,0)-1,F169=EOMONTH($F$24,0)),SUM(OFFSET(Q169,-E169+1,0):Q169),SUM(OFFSET(Q169,-E169+1,0):Q169)),IF('депозитный калькулятор'!$G$10="ежеквартальное",IF(F169&gt;'депозитный калькулятор'!$D$8," ",IF(AND(EOMONTH(F169,0)=F169,OR(MONTH(F169)=3,MONTH(F169)=6,MONTH(F169)=9,MONTH(F169)=12)),IF(EDATE(F169,-3)&lt;'депозитный калькулятор'!$D$7,SUM($H$23:H169),IF(MOD(YEAR(F169),4)=0,IF(AND(EOMONTH(F169,0)=F169,OR(MONTH(F169)=3,MONTH(F169)=6)),SUM(OFFSET(H169,-90,0):H169),IF(AND(EOMONTH(F169,0)=F169,OR(MONTH(F169)=9,MONTH(F169)=12)),SUM(OFFSET(H169,-91,0):H169))),IF(AND(EOMONTH(F169,0)=F169,MONTH(F169)=3),SUM(OFFSET(H169,-89,0):H169),IF(AND(EOMONTH(F169,0)=F169,MONTH(F169)=6),SUM(OFFSET(H169,-90,0):H169),IF(AND(EOMONTH(F169,0)=F169,OR(MONTH(F169)=9,MONTH(F169)=12)),SUM(OFFSET(H169,-91,0):H169)))))),IF(F169='депозитный калькулятор'!$D$8,SUM($H$23:H169)-SUM($I$23:I168),0))),IF('депозитный калькулятор'!$G$10="ежегодное",IF(F169&gt;'депозитный калькулятор'!$D$8," ",IF(F169='депозитный калькулятор'!$D$8,SUM($H$23:H169)-SUM($I$23:I168),IF(AND(EOMONTH(F169,0)=F169,MONTH(F169)=12),IF(MOD(YEAR(F168),4)=0,IF(F169-'депозитный калькулятор'!$D$7&lt;366,SUM($H$23:H169),SUM(OFFSET(H169,-365,0):H169)),IF(F169-'депозитный калькулятор'!$D$7&lt;365,SUM($H$23:H169),SUM(OFFSET(H169,-364,0):H169))),0))),IF(AND('депозитный калькулятор'!$G$10="в конце срока",'депозитный калькулятор'!$D$8=F169),SUM($H$23:H169),0))))))))))))))))))</f>
        <v xml:space="preserve"> </v>
      </c>
      <c r="J169" s="59" t="str">
        <f>IF(F169&gt;'депозитный калькулятор'!$D$8," ",IF('депозитный калькулятор'!$G$16="нет",0,IF(AND('депозитный калькулятор'!$G$17="разовая (в конце срока)",F169='депозитный калькулятор'!$D$8),'депозитный калькулятор'!$G$18,IF(AND('депозитный калькулятор'!$G$17="ежемесячная",EOMONTH(F168,0)=F168),'депозитный калькулятор'!$G$18,IF(AND('депозитный калькулятор'!$G$17="ежегодная",DAY(F168)=31,MONTH(F168)=12),'депозитный калькулятор'!$G$18,IF(AND('депозитный калькулятор'!$G$17="ежемесячная в зависимости от остатка",EOMONTH(F168,0)=F168,P168&gt;0),'депозитный калькулятор'!$G$18,IF(AND('депозитный калькулятор'!$G$17="ежегодная в зависимости от остатка",DAY(F168)=31,MONTH(F168)=12,P168&gt;0),'депозитный калькулятор'!$G$18,0)))))))</f>
        <v xml:space="preserve"> </v>
      </c>
      <c r="K169" s="135" t="str">
        <f>IF($F169=" "," ",IFERROR(VLOOKUP($F169,'депозитный калькулятор'!$B$26:$F$70,2,0),0))</f>
        <v xml:space="preserve"> </v>
      </c>
      <c r="L169" s="135" t="str">
        <f>IF($F169=" "," ",IFERROR(VLOOKUP($F169,'депозитный калькулятор'!$B$26:$F$70,3,0),0))</f>
        <v xml:space="preserve"> </v>
      </c>
      <c r="M169" s="135" t="str">
        <f>IF($F169=" "," ",IFERROR(VLOOKUP($F169,'депозитный калькулятор'!$B$26:$F$70,4,0),0))</f>
        <v xml:space="preserve"> </v>
      </c>
      <c r="N169" s="135" t="str">
        <f>IF($F169=" "," ",IFERROR(VLOOKUP($F169,'депозитный калькулятор'!$B$26:$F$70,5,0),0))</f>
        <v xml:space="preserve"> </v>
      </c>
      <c r="O169" s="146" t="str">
        <f>IF(F169&gt;'депозитный калькулятор'!$D$8," ",IF(F169='депозитный калькулятор'!$D$8,IF(AND($F$24='депозитный калькулятор'!$D$8,'депозитный калькулятор'!$G$13="нет"),-G169-IF(I169=" ",0,I169)-IF(AND(OR('депозитный калькулятор'!$G$7="30/365",'депозитный калькулятор'!$G$7="30/360"),'депозитный калькулятор'!$G$10="в начале срока"),I168,0)-L169+M169-N169,-G169-IF(I169=" ",0,I169)-L169+M169-N169),IF('депозитный калькулятор'!$G$13="есть",M169-N169+IF('депозитный калькулятор'!$G$14="есть",0,-L169),-IF(I169=" ",0,I169)-IF(AND(OR('депозитный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срока"),I168,0)+M169-N169+IF('депозитный калькулятор'!$G$14="есть",0,-L169))))</f>
        <v xml:space="preserve"> </v>
      </c>
      <c r="P169" s="147" t="str">
        <f>IF(F169&gt;'депозитный калькулятор'!$D$8," ",IF(EOMONTH(F168,0)=F168,0,IF(G169&gt;='депозитный калькулятор'!$G$19,P168,P168+1)))</f>
        <v xml:space="preserve"> </v>
      </c>
      <c r="Q169" s="138" t="str">
        <f>IF(F169=" "," ",IF(AND(OR('депозитный калькулятор'!$G$7="30/365",'депозитный калькулятор'!$G$7="30/360"),AND(MONTH(F169)=2,EOMONTH(F169,0)=F169)),IF(DAY(F169)=28,3,2),1)*IF(G169&gt;='депозитный калькулятор'!$G$11,IF(AND('депозитный калькулятор'!$G$7="факт/факт",MOD(YEAR(F169),4)=0),G169*'депозитный калькулятор'!$D$11/366,G169*'депозитный калькулятор'!$G$8),0))</f>
        <v xml:space="preserve"> </v>
      </c>
      <c r="R169" s="148"/>
      <c r="S169" s="62" t="str">
        <f t="shared" ca="1" si="12"/>
        <v xml:space="preserve"> </v>
      </c>
      <c r="T169" s="149" t="str">
        <f ca="1">IF(S169=" "," ",IF('депозитный калькулятор'!$G$7="30/360",DAYS360(U168,IF(DAY(U169)=31,U169-1,U169))+IF(AND(MONTH(U169)=2,U169=EOMONTH(U169,0)),30-DAY(EOMONTH(U169,0)))+T168,VLOOKUP(S169,$C$22:$F$1023,2,0)))</f>
        <v xml:space="preserve"> </v>
      </c>
      <c r="U169" s="64" t="str">
        <f t="shared" ca="1" si="10"/>
        <v xml:space="preserve"> </v>
      </c>
      <c r="V169" s="150" t="str">
        <f t="shared" ca="1" si="13"/>
        <v xml:space="preserve"> </v>
      </c>
      <c r="W169" s="62" t="str">
        <f t="shared" ca="1" si="14"/>
        <v xml:space="preserve"> </v>
      </c>
      <c r="X169" s="141" t="str">
        <f ca="1">IF(S169=" "," ",IFERROR(VLOOKUP(U169,$F$23:$N$1023,7)+VLOOKUP(U169,$F$23:$N$1023,9)+IF(AND('депозитный калькулятор'!$G$13="нет",U169&lt;&gt;'депозитный калькулятор'!$D$8),VLOOKUP(U169,$F$23:$N$1023,4),0),0)+IF(U169='депозитный калькулятор'!$D$8,VLOOKUP(U169,$F$23:$N$1023,2)+VLOOKUP(U169,$F$23:$N$1023,4),0))</f>
        <v xml:space="preserve"> </v>
      </c>
      <c r="Y169" s="142" t="str">
        <f ca="1">IF(S169=" "," ",W169/(1+'депозитный калькулятор'!$K$8)^(T169/IF('депозитный калькулятор'!$G$7="30/360",360,365)))</f>
        <v xml:space="preserve"> </v>
      </c>
      <c r="Z169" s="142" t="str">
        <f ca="1">IF(S169=" "," ",X169/(1+'депозитный калькулятор'!$K$8)^(T169/IF('депозитный калькулятор'!$G$7="30/360",360,365)))</f>
        <v xml:space="preserve"> </v>
      </c>
      <c r="AA169" s="151"/>
      <c r="AB169" s="151"/>
      <c r="AC169" s="155"/>
      <c r="AD169" s="155"/>
    </row>
    <row r="170" spans="1:30" s="2" customFormat="1" ht="15.5" x14ac:dyDescent="0.35">
      <c r="A170" s="41" t="str">
        <f>IF(F170=" "," ",IF(OR('депозитный калькулятор'!$G$7="30/365",'депозитный калькулятор'!$G$7="30/360"),IF(AND(MONTH(F170)=2,DAY(F170)=DAY(EOMONTH(F170,0))),30-DAY(EOMONTH(F170,0)),IF(DAY(F170)=31,1," "))," "))</f>
        <v xml:space="preserve"> </v>
      </c>
      <c r="B170" s="130" t="str">
        <f t="shared" si="11"/>
        <v xml:space="preserve"> </v>
      </c>
      <c r="C170" s="130" t="str">
        <f>IF(OR(B170=0,B170=" ")," ",SUM($B$23:B170))</f>
        <v xml:space="preserve"> </v>
      </c>
      <c r="D170" s="62" t="str">
        <f>IF(D169=" "," ",IF(OR(F169='депозитный калькулятор'!$D$8,F169=" ")," ",D169+1))</f>
        <v xml:space="preserve"> </v>
      </c>
      <c r="E170" s="130" t="str">
        <f>IF(OR(F169='депозитный калькулятор'!$D$8,F169=" ")," ",IF(EOMONTH(F169,0)=F169,1,E169+1))</f>
        <v xml:space="preserve"> </v>
      </c>
      <c r="F170" s="64" t="str">
        <f>IF(F169=" "," ",IF(F169='депозитный калькулятор'!$D$8," ",F169+1))</f>
        <v xml:space="preserve"> </v>
      </c>
      <c r="G170" s="145" t="str">
        <f xml:space="preserve"> IF(F170&gt;'депозитный калькулятор'!$D$8," ",IF('депозитный калькулятор'!$G$13="есть",IF('депозитный калькулятор'!$G$14="есть",G169+IF(I169=" ",0,I169)-J170-K170+L170+M170-N170,G169+IF(I169=" ",0,I169)-J170-K170+M170-N170),IF('депозитный калькулятор'!$G$14="есть",G169-J170-K170+L170+M170-N170,G169-J170-K170+M170-N170)))</f>
        <v xml:space="preserve"> </v>
      </c>
      <c r="H170" s="133" t="str">
        <f>IF(F170&gt;'депозитный калькулятор'!$D$8," ",IF(AND(OR('депозитный калькулятор'!$G$7="30/365",'депозитный калькулятор'!$G$7="30/360"),AND(MONTH(F170)=2,EOMONTH(F170,0)=F170)),IF(DAY(F170)=28,3*G170*'депозитный калькулятор'!$G$8,2*G170*'депозитный калькулятор'!$G$8),IF(AND(OR('депозитный калькулятор'!$G$7="30/365",'депозитный калькулятор'!$G$7="30/360"),DAY(F170)=31)," ",IF(AND('депозитный калькулятор'!$G$7="факт/факт",MOD(YEAR(F170),4)=0),G170*'депозитный калькулятор'!$D$11/366,G170*'депозитный калькулятор'!$G$8))))</f>
        <v xml:space="preserve"> </v>
      </c>
      <c r="I170" s="134" t="str">
        <f ca="1">IF(F170=" "," ",IF('депозитный калькулятор'!$G$10="ежедневное",H170,IF(AND('депозитный калькулятор'!$G$10="еженедельное",WEEKDAY(F170,2)=7),SUM(OFFSET(H170,-6,0):H170),IF(AND('депозитный калькулятор'!$G$10="еженедельное",F170='депозитный калькулятор'!$D$8),SUM($H$23:H170)-SUM($I$23:I169),IF(AND('депозитный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недели",WEEKDAY(F170,2)=7),MIN(OFFSET(H170,-6,0):H170)*(COUNTIF(OFFSET(H170,-6,0):H170,"&gt;0")+SUMIF(OFFSET(A170,-WEEKDAY(F170,2),0):A170,"=2",OFFSET(A170,-WEEKDAY(F170,2),0):A170)),IF(AND('депозитный калькулятор'!$G$10="еженедельное, на минимальную сумму зафиксированную в течение недели",F170='депозитный калькулятор'!$D$8,WEEKDAY(F170,2)&lt;&gt;7),MIN(OFFSET(H170,-WEEKDAY(F170,2),0):H170)*(COUNTIF(OFFSET(H170,-WEEKDAY(F170,2)+1,0):H170,"&gt;0")+SUM(OFFSET(A170,-WEEKDAY(F170,2),0):A170)),IF(AND('депозитный калькулятор'!$G$10="ежемесячное (в конце месяца)",F170='депозитный калькулятор'!$D$8,EOMONTH(F170,0)&lt;&gt;F170),IF('депозитный калькулятор'!$F$1=1,$H$24,SUM($H$23:H170)-SUM($I$23:I169)),IF(AND('депозитный калькулятор'!$G$10="ежемесячное (в конце месяца)",EOMONTH(F170,0)=F170),SUM($H$23:H170)-SUM($I$23:I169),IF(AND('депозитный калькулятор'!$G$10="ежемесячное (по дням открытия вклада)",F170='депозитный калькулятор'!$D$8,DAY('депозитный калькулятор'!$D$7)&lt;&gt;DAY(F170)),IF('депозитный калькулятор'!$F$1=1,$H$24,SUM($H$23:H170)-SUM($I$23:I169)),IF(AND('депозитный калькулятор'!$G$10="ежемесячное (по дням открытия вклада)",DAY('депозитный калькулятор'!$D$7)=DAY(F170)),SUM($H$23:H170)-SUM($I$23:I169),IF(AND('депозитный калькулятор'!$G$10="ежемесячное, на минимальную сумму зафиксированную в течение месяца",F170='депозитный калькулятор'!$D$8,EOMONTH(F170,0)&lt;&gt;F170),IF('депозитный калькулятор'!$F$1=1,$H$24,IF(AND(OR('депозитный калькулятор'!$G$7="30/365",'депозитный калькулятор'!$G$7="30/360"),DAY(F170)=31),0,MIN(OFFSET(H170,-E170+1,0):H170)*(E170+SUMIF(OFFSET(A170,-E170+1,0):A170,"=2",OFFSET(A170,-E170+1,0):A170)))),IF(AND('депозитный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калькулятор'!$G$7="30/360"),DAY(EOMONTH(F170,0))=31),EOMONTH(F170,0)-1=F170,EOMONTH(F170,0)=F170)),IF(IF(AND(OR('депозитный калькулятор'!$G$7="30/365",'депозитный калькулятор'!$G$7="30/360"),DAY(EOMONTH($F$23,0))=31),F170=EOMONTH($F$23,0)-1,F170=EOMONTH($F$23,0)),MIN(OFFSET(H170,-(DAY(F170)-DAY($F$23)),0):H170)*E170,MIN(OFFSET(H170,-(DAY(F170)-1),0):H170)*IF(AND(OR('депозитный калькулятор'!$G$7="30/365",'депозитный калькулятор'!$G$7="30/360"),DAY(F170)&lt;30),30,DAY(F170))),IF(AND('депозитный калькулятор'!$G$10="ежемесячное, на средний остаток в течение месяца, при условии что остаток больше чем ограничение",F170='депозитный калькулятор'!$D$8,EOMONTH(F170,0)&lt;&gt;F170),IF('депозитный калькулятор'!$F$1=1,$H$24,SUM(OFFSET(Q170,-E170+1,0):Q170)),IF(AND('депозитный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калькулятор'!$G$7="30/360"),DAY(EOMONTH(F170,0))=31),EOMONTH(F170,0)-1=F170,EOMONTH(F170,0)=F170)),IF(IF(AND(OR('депозитный калькулятор'!$G$7="30/365",'депозитный калькулятор'!$G$7="30/360"),DAY(EOMONTH($F$24,0))=31),F170=EOMONTH($F$24,0)-1,F170=EOMONTH($F$24,0)),SUM(OFFSET(Q170,-E170+1,0):Q170),SUM(OFFSET(Q170,-E170+1,0):Q170)),IF('депозитный калькулятор'!$G$10="ежеквартальное",IF(F170&gt;'депозитный калькулятор'!$D$8," ",IF(AND(EOMONTH(F170,0)=F170,OR(MONTH(F170)=3,MONTH(F170)=6,MONTH(F170)=9,MONTH(F170)=12)),IF(EDATE(F170,-3)&lt;'депозитный калькулятор'!$D$7,SUM($H$23:H170),IF(MOD(YEAR(F170),4)=0,IF(AND(EOMONTH(F170,0)=F170,OR(MONTH(F170)=3,MONTH(F170)=6)),SUM(OFFSET(H170,-90,0):H170),IF(AND(EOMONTH(F170,0)=F170,OR(MONTH(F170)=9,MONTH(F170)=12)),SUM(OFFSET(H170,-91,0):H170))),IF(AND(EOMONTH(F170,0)=F170,MONTH(F170)=3),SUM(OFFSET(H170,-89,0):H170),IF(AND(EOMONTH(F170,0)=F170,MONTH(F170)=6),SUM(OFFSET(H170,-90,0):H170),IF(AND(EOMONTH(F170,0)=F170,OR(MONTH(F170)=9,MONTH(F170)=12)),SUM(OFFSET(H170,-91,0):H170)))))),IF(F170='депозитный калькулятор'!$D$8,SUM($H$23:H170)-SUM($I$23:I169),0))),IF('депозитный калькулятор'!$G$10="ежегодное",IF(F170&gt;'депозитный калькулятор'!$D$8," ",IF(F170='депозитный калькулятор'!$D$8,SUM($H$23:H170)-SUM($I$23:I169),IF(AND(EOMONTH(F170,0)=F170,MONTH(F170)=12),IF(MOD(YEAR(F169),4)=0,IF(F170-'депозитный калькулятор'!$D$7&lt;366,SUM($H$23:H170),SUM(OFFSET(H170,-365,0):H170)),IF(F170-'депозитный калькулятор'!$D$7&lt;365,SUM($H$23:H170),SUM(OFFSET(H170,-364,0):H170))),0))),IF(AND('депозитный калькулятор'!$G$10="в конце срока",'депозитный калькулятор'!$D$8=F170),SUM($H$23:H170),0))))))))))))))))))</f>
        <v xml:space="preserve"> </v>
      </c>
      <c r="J170" s="59" t="str">
        <f>IF(F170&gt;'депозитный калькулятор'!$D$8," ",IF('депозитный калькулятор'!$G$16="нет",0,IF(AND('депозитный калькулятор'!$G$17="разовая (в конце срока)",F170='депозитный калькулятор'!$D$8),'депозитный калькулятор'!$G$18,IF(AND('депозитный калькулятор'!$G$17="ежемесячная",EOMONTH(F169,0)=F169),'депозитный калькулятор'!$G$18,IF(AND('депозитный калькулятор'!$G$17="ежегодная",DAY(F169)=31,MONTH(F169)=12),'депозитный калькулятор'!$G$18,IF(AND('депозитный калькулятор'!$G$17="ежемесячная в зависимости от остатка",EOMONTH(F169,0)=F169,P169&gt;0),'депозитный калькулятор'!$G$18,IF(AND('депозитный калькулятор'!$G$17="ежегодная в зависимости от остатка",DAY(F169)=31,MONTH(F169)=12,P169&gt;0),'депозитный калькулятор'!$G$18,0)))))))</f>
        <v xml:space="preserve"> </v>
      </c>
      <c r="K170" s="135" t="str">
        <f>IF($F170=" "," ",IFERROR(VLOOKUP($F170,'депозитный калькулятор'!$B$26:$F$70,2,0),0))</f>
        <v xml:space="preserve"> </v>
      </c>
      <c r="L170" s="135" t="str">
        <f>IF($F170=" "," ",IFERROR(VLOOKUP($F170,'депозитный калькулятор'!$B$26:$F$70,3,0),0))</f>
        <v xml:space="preserve"> </v>
      </c>
      <c r="M170" s="135" t="str">
        <f>IF($F170=" "," ",IFERROR(VLOOKUP($F170,'депозитный калькулятор'!$B$26:$F$70,4,0),0))</f>
        <v xml:space="preserve"> </v>
      </c>
      <c r="N170" s="135" t="str">
        <f>IF($F170=" "," ",IFERROR(VLOOKUP($F170,'депозитный калькулятор'!$B$26:$F$70,5,0),0))</f>
        <v xml:space="preserve"> </v>
      </c>
      <c r="O170" s="146" t="str">
        <f>IF(F170&gt;'депозитный калькулятор'!$D$8," ",IF(F170='депозитный калькулятор'!$D$8,IF(AND($F$24='депозитный калькулятор'!$D$8,'депозитный калькулятор'!$G$13="нет"),-G170-IF(I170=" ",0,I170)-IF(AND(OR('депозитный калькулятор'!$G$7="30/365",'депозитный калькулятор'!$G$7="30/360"),'депозитный калькулятор'!$G$10="в начале срока"),I169,0)-L170+M170-N170,-G170-IF(I170=" ",0,I170)-L170+M170-N170),IF('депозитный калькулятор'!$G$13="есть",M170-N170+IF('депозитный калькулятор'!$G$14="есть",0,-L170),-IF(I170=" ",0,I170)-IF(AND(OR('депозитный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срока"),I169,0)+M170-N170+IF('депозитный калькулятор'!$G$14="есть",0,-L170))))</f>
        <v xml:space="preserve"> </v>
      </c>
      <c r="P170" s="147" t="str">
        <f>IF(F170&gt;'депозитный калькулятор'!$D$8," ",IF(EOMONTH(F169,0)=F169,0,IF(G170&gt;='депозитный калькулятор'!$G$19,P169,P169+1)))</f>
        <v xml:space="preserve"> </v>
      </c>
      <c r="Q170" s="138" t="str">
        <f>IF(F170=" "," ",IF(AND(OR('депозитный калькулятор'!$G$7="30/365",'депозитный калькулятор'!$G$7="30/360"),AND(MONTH(F170)=2,EOMONTH(F170,0)=F170)),IF(DAY(F170)=28,3,2),1)*IF(G170&gt;='депозитный калькулятор'!$G$11,IF(AND('депозитный калькулятор'!$G$7="факт/факт",MOD(YEAR(F170),4)=0),G170*'депозитный калькулятор'!$D$11/366,G170*'депозитный калькулятор'!$G$8),0))</f>
        <v xml:space="preserve"> </v>
      </c>
      <c r="R170" s="148"/>
      <c r="S170" s="62" t="str">
        <f t="shared" ca="1" si="12"/>
        <v xml:space="preserve"> </v>
      </c>
      <c r="T170" s="149" t="str">
        <f ca="1">IF(S170=" "," ",IF('депозитный калькулятор'!$G$7="30/360",DAYS360(U169,IF(DAY(U170)=31,U170-1,U170))+IF(AND(MONTH(U170)=2,U170=EOMONTH(U170,0)),30-DAY(EOMONTH(U170,0)))+T169,VLOOKUP(S170,$C$22:$F$1023,2,0)))</f>
        <v xml:space="preserve"> </v>
      </c>
      <c r="U170" s="64" t="str">
        <f t="shared" ca="1" si="10"/>
        <v xml:space="preserve"> </v>
      </c>
      <c r="V170" s="150" t="str">
        <f t="shared" ca="1" si="13"/>
        <v xml:space="preserve"> </v>
      </c>
      <c r="W170" s="62" t="str">
        <f t="shared" ca="1" si="14"/>
        <v xml:space="preserve"> </v>
      </c>
      <c r="X170" s="141" t="str">
        <f ca="1">IF(S170=" "," ",IFERROR(VLOOKUP(U170,$F$23:$N$1023,7)+VLOOKUP(U170,$F$23:$N$1023,9)+IF(AND('депозитный калькулятор'!$G$13="нет",U170&lt;&gt;'депозитный калькулятор'!$D$8),VLOOKUP(U170,$F$23:$N$1023,4),0),0)+IF(U170='депозитный калькулятор'!$D$8,VLOOKUP(U170,$F$23:$N$1023,2)+VLOOKUP(U170,$F$23:$N$1023,4),0))</f>
        <v xml:space="preserve"> </v>
      </c>
      <c r="Y170" s="142" t="str">
        <f ca="1">IF(S170=" "," ",W170/(1+'депозитный калькулятор'!$K$8)^(T170/IF('депозитный калькулятор'!$G$7="30/360",360,365)))</f>
        <v xml:space="preserve"> </v>
      </c>
      <c r="Z170" s="142" t="str">
        <f ca="1">IF(S170=" "," ",X170/(1+'депозитный калькулятор'!$K$8)^(T170/IF('депозитный калькулятор'!$G$7="30/360",360,365)))</f>
        <v xml:space="preserve"> </v>
      </c>
      <c r="AA170" s="151"/>
      <c r="AB170" s="151"/>
      <c r="AC170" s="155"/>
      <c r="AD170" s="155"/>
    </row>
    <row r="171" spans="1:30" s="2" customFormat="1" ht="15.5" x14ac:dyDescent="0.35">
      <c r="A171" s="41" t="str">
        <f>IF(F171=" "," ",IF(OR('депозитный калькулятор'!$G$7="30/365",'депозитный калькулятор'!$G$7="30/360"),IF(AND(MONTH(F171)=2,DAY(F171)=DAY(EOMONTH(F171,0))),30-DAY(EOMONTH(F171,0)),IF(DAY(F171)=31,1," "))," "))</f>
        <v xml:space="preserve"> </v>
      </c>
      <c r="B171" s="130" t="str">
        <f t="shared" si="11"/>
        <v xml:space="preserve"> </v>
      </c>
      <c r="C171" s="130" t="str">
        <f>IF(OR(B171=0,B171=" ")," ",SUM($B$23:B171))</f>
        <v xml:space="preserve"> </v>
      </c>
      <c r="D171" s="62" t="str">
        <f>IF(D170=" "," ",IF(OR(F170='депозитный калькулятор'!$D$8,F170=" ")," ",D170+1))</f>
        <v xml:space="preserve"> </v>
      </c>
      <c r="E171" s="130" t="str">
        <f>IF(OR(F170='депозитный калькулятор'!$D$8,F170=" ")," ",IF(EOMONTH(F170,0)=F170,1,E170+1))</f>
        <v xml:space="preserve"> </v>
      </c>
      <c r="F171" s="64" t="str">
        <f>IF(F170=" "," ",IF(F170='депозитный калькулятор'!$D$8," ",F170+1))</f>
        <v xml:space="preserve"> </v>
      </c>
      <c r="G171" s="145" t="str">
        <f xml:space="preserve"> IF(F171&gt;'депозитный калькулятор'!$D$8," ",IF('депозитный калькулятор'!$G$13="есть",IF('депозитный калькулятор'!$G$14="есть",G170+IF(I170=" ",0,I170)-J171-K171+L171+M171-N171,G170+IF(I170=" ",0,I170)-J171-K171+M171-N171),IF('депозитный калькулятор'!$G$14="есть",G170-J171-K171+L171+M171-N171,G170-J171-K171+M171-N171)))</f>
        <v xml:space="preserve"> </v>
      </c>
      <c r="H171" s="133" t="str">
        <f>IF(F171&gt;'депозитный калькулятор'!$D$8," ",IF(AND(OR('депозитный калькулятор'!$G$7="30/365",'депозитный калькулятор'!$G$7="30/360"),AND(MONTH(F171)=2,EOMONTH(F171,0)=F171)),IF(DAY(F171)=28,3*G171*'депозитный калькулятор'!$G$8,2*G171*'депозитный калькулятор'!$G$8),IF(AND(OR('депозитный калькулятор'!$G$7="30/365",'депозитный калькулятор'!$G$7="30/360"),DAY(F171)=31)," ",IF(AND('депозитный калькулятор'!$G$7="факт/факт",MOD(YEAR(F171),4)=0),G171*'депозитный калькулятор'!$D$11/366,G171*'депозитный калькулятор'!$G$8))))</f>
        <v xml:space="preserve"> </v>
      </c>
      <c r="I171" s="134" t="str">
        <f ca="1">IF(F171=" "," ",IF('депозитный калькулятор'!$G$10="ежедневное",H171,IF(AND('депозитный калькулятор'!$G$10="еженедельное",WEEKDAY(F171,2)=7),SUM(OFFSET(H171,-6,0):H171),IF(AND('депозитный калькулятор'!$G$10="еженедельное",F171='депозитный калькулятор'!$D$8),SUM($H$23:H171)-SUM($I$23:I170),IF(AND('депозитный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недели",WEEKDAY(F171,2)=7),MIN(OFFSET(H171,-6,0):H171)*(COUNTIF(OFFSET(H171,-6,0):H171,"&gt;0")+SUMIF(OFFSET(A171,-WEEKDAY(F171,2),0):A171,"=2",OFFSET(A171,-WEEKDAY(F171,2),0):A171)),IF(AND('депозитный калькулятор'!$G$10="еженедельное, на минимальную сумму зафиксированную в течение недели",F171='депозитный калькулятор'!$D$8,WEEKDAY(F171,2)&lt;&gt;7),MIN(OFFSET(H171,-WEEKDAY(F171,2),0):H171)*(COUNTIF(OFFSET(H171,-WEEKDAY(F171,2)+1,0):H171,"&gt;0")+SUM(OFFSET(A171,-WEEKDAY(F171,2),0):A171)),IF(AND('депозитный калькулятор'!$G$10="ежемесячное (в конце месяца)",F171='депозитный калькулятор'!$D$8,EOMONTH(F171,0)&lt;&gt;F171),IF('депозитный калькулятор'!$F$1=1,$H$24,SUM($H$23:H171)-SUM($I$23:I170)),IF(AND('депозитный калькулятор'!$G$10="ежемесячное (в конце месяца)",EOMONTH(F171,0)=F171),SUM($H$23:H171)-SUM($I$23:I170),IF(AND('депозитный калькулятор'!$G$10="ежемесячное (по дням открытия вклада)",F171='депозитный калькулятор'!$D$8,DAY('депозитный калькулятор'!$D$7)&lt;&gt;DAY(F171)),IF('депозитный калькулятор'!$F$1=1,$H$24,SUM($H$23:H171)-SUM($I$23:I170)),IF(AND('депозитный калькулятор'!$G$10="ежемесячное (по дням открытия вклада)",DAY('депозитный калькулятор'!$D$7)=DAY(F171)),SUM($H$23:H171)-SUM($I$23:I170),IF(AND('депозитный калькулятор'!$G$10="ежемесячное, на минимальную сумму зафиксированную в течение месяца",F171='депозитный калькулятор'!$D$8,EOMONTH(F171,0)&lt;&gt;F171),IF('депозитный калькулятор'!$F$1=1,$H$24,IF(AND(OR('депозитный калькулятор'!$G$7="30/365",'депозитный калькулятор'!$G$7="30/360"),DAY(F171)=31),0,MIN(OFFSET(H171,-E171+1,0):H171)*(E171+SUMIF(OFFSET(A171,-E171+1,0):A171,"=2",OFFSET(A171,-E171+1,0):A171)))),IF(AND('депозитный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калькулятор'!$G$7="30/360"),DAY(EOMONTH(F171,0))=31),EOMONTH(F171,0)-1=F171,EOMONTH(F171,0)=F171)),IF(IF(AND(OR('депозитный калькулятор'!$G$7="30/365",'депозитный калькулятор'!$G$7="30/360"),DAY(EOMONTH($F$23,0))=31),F171=EOMONTH($F$23,0)-1,F171=EOMONTH($F$23,0)),MIN(OFFSET(H171,-(DAY(F171)-DAY($F$23)),0):H171)*E171,MIN(OFFSET(H171,-(DAY(F171)-1),0):H171)*IF(AND(OR('депозитный калькулятор'!$G$7="30/365",'депозитный калькулятор'!$G$7="30/360"),DAY(F171)&lt;30),30,DAY(F171))),IF(AND('депозитный калькулятор'!$G$10="ежемесячное, на средний остаток в течение месяца, при условии что остаток больше чем ограничение",F171='депозитный калькулятор'!$D$8,EOMONTH(F171,0)&lt;&gt;F171),IF('депозитный калькулятор'!$F$1=1,$H$24,SUM(OFFSET(Q171,-E171+1,0):Q171)),IF(AND('депозитный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калькулятор'!$G$7="30/360"),DAY(EOMONTH(F171,0))=31),EOMONTH(F171,0)-1=F171,EOMONTH(F171,0)=F171)),IF(IF(AND(OR('депозитный калькулятор'!$G$7="30/365",'депозитный калькулятор'!$G$7="30/360"),DAY(EOMONTH($F$24,0))=31),F171=EOMONTH($F$24,0)-1,F171=EOMONTH($F$24,0)),SUM(OFFSET(Q171,-E171+1,0):Q171),SUM(OFFSET(Q171,-E171+1,0):Q171)),IF('депозитный калькулятор'!$G$10="ежеквартальное",IF(F171&gt;'депозитный калькулятор'!$D$8," ",IF(AND(EOMONTH(F171,0)=F171,OR(MONTH(F171)=3,MONTH(F171)=6,MONTH(F171)=9,MONTH(F171)=12)),IF(EDATE(F171,-3)&lt;'депозитный калькулятор'!$D$7,SUM($H$23:H171),IF(MOD(YEAR(F171),4)=0,IF(AND(EOMONTH(F171,0)=F171,OR(MONTH(F171)=3,MONTH(F171)=6)),SUM(OFFSET(H171,-90,0):H171),IF(AND(EOMONTH(F171,0)=F171,OR(MONTH(F171)=9,MONTH(F171)=12)),SUM(OFFSET(H171,-91,0):H171))),IF(AND(EOMONTH(F171,0)=F171,MONTH(F171)=3),SUM(OFFSET(H171,-89,0):H171),IF(AND(EOMONTH(F171,0)=F171,MONTH(F171)=6),SUM(OFFSET(H171,-90,0):H171),IF(AND(EOMONTH(F171,0)=F171,OR(MONTH(F171)=9,MONTH(F171)=12)),SUM(OFFSET(H171,-91,0):H171)))))),IF(F171='депозитный калькулятор'!$D$8,SUM($H$23:H171)-SUM($I$23:I170),0))),IF('депозитный калькулятор'!$G$10="ежегодное",IF(F171&gt;'депозитный калькулятор'!$D$8," ",IF(F171='депозитный калькулятор'!$D$8,SUM($H$23:H171)-SUM($I$23:I170),IF(AND(EOMONTH(F171,0)=F171,MONTH(F171)=12),IF(MOD(YEAR(F170),4)=0,IF(F171-'депозитный калькулятор'!$D$7&lt;366,SUM($H$23:H171),SUM(OFFSET(H171,-365,0):H171)),IF(F171-'депозитный калькулятор'!$D$7&lt;365,SUM($H$23:H171),SUM(OFFSET(H171,-364,0):H171))),0))),IF(AND('депозитный калькулятор'!$G$10="в конце срока",'депозитный калькулятор'!$D$8=F171),SUM($H$23:H171),0))))))))))))))))))</f>
        <v xml:space="preserve"> </v>
      </c>
      <c r="J171" s="59" t="str">
        <f>IF(F171&gt;'депозитный калькулятор'!$D$8," ",IF('депозитный калькулятор'!$G$16="нет",0,IF(AND('депозитный калькулятор'!$G$17="разовая (в конце срока)",F171='депозитный калькулятор'!$D$8),'депозитный калькулятор'!$G$18,IF(AND('депозитный калькулятор'!$G$17="ежемесячная",EOMONTH(F170,0)=F170),'депозитный калькулятор'!$G$18,IF(AND('депозитный калькулятор'!$G$17="ежегодная",DAY(F170)=31,MONTH(F170)=12),'депозитный калькулятор'!$G$18,IF(AND('депозитный калькулятор'!$G$17="ежемесячная в зависимости от остатка",EOMONTH(F170,0)=F170,P170&gt;0),'депозитный калькулятор'!$G$18,IF(AND('депозитный калькулятор'!$G$17="ежегодная в зависимости от остатка",DAY(F170)=31,MONTH(F170)=12,P170&gt;0),'депозитный калькулятор'!$G$18,0)))))))</f>
        <v xml:space="preserve"> </v>
      </c>
      <c r="K171" s="135" t="str">
        <f>IF($F171=" "," ",IFERROR(VLOOKUP($F171,'депозитный калькулятор'!$B$26:$F$70,2,0),0))</f>
        <v xml:space="preserve"> </v>
      </c>
      <c r="L171" s="135" t="str">
        <f>IF($F171=" "," ",IFERROR(VLOOKUP($F171,'депозитный калькулятор'!$B$26:$F$70,3,0),0))</f>
        <v xml:space="preserve"> </v>
      </c>
      <c r="M171" s="135" t="str">
        <f>IF($F171=" "," ",IFERROR(VLOOKUP($F171,'депозитный калькулятор'!$B$26:$F$70,4,0),0))</f>
        <v xml:space="preserve"> </v>
      </c>
      <c r="N171" s="135" t="str">
        <f>IF($F171=" "," ",IFERROR(VLOOKUP($F171,'депозитный калькулятор'!$B$26:$F$70,5,0),0))</f>
        <v xml:space="preserve"> </v>
      </c>
      <c r="O171" s="146" t="str">
        <f>IF(F171&gt;'депозитный калькулятор'!$D$8," ",IF(F171='депозитный калькулятор'!$D$8,IF(AND($F$24='депозитный калькулятор'!$D$8,'депозитный калькулятор'!$G$13="нет"),-G171-IF(I171=" ",0,I171)-IF(AND(OR('депозитный калькулятор'!$G$7="30/365",'депозитный калькулятор'!$G$7="30/360"),'депозитный калькулятор'!$G$10="в начале срока"),I170,0)-L171+M171-N171,-G171-IF(I171=" ",0,I171)-L171+M171-N171),IF('депозитный калькулятор'!$G$13="есть",M171-N171+IF('депозитный калькулятор'!$G$14="есть",0,-L171),-IF(I171=" ",0,I171)-IF(AND(OR('депозитный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срока"),I170,0)+M171-N171+IF('депозитный калькулятор'!$G$14="есть",0,-L171))))</f>
        <v xml:space="preserve"> </v>
      </c>
      <c r="P171" s="147" t="str">
        <f>IF(F171&gt;'депозитный калькулятор'!$D$8," ",IF(EOMONTH(F170,0)=F170,0,IF(G171&gt;='депозитный калькулятор'!$G$19,P170,P170+1)))</f>
        <v xml:space="preserve"> </v>
      </c>
      <c r="Q171" s="138" t="str">
        <f>IF(F171=" "," ",IF(AND(OR('депозитный калькулятор'!$G$7="30/365",'депозитный калькулятор'!$G$7="30/360"),AND(MONTH(F171)=2,EOMONTH(F171,0)=F171)),IF(DAY(F171)=28,3,2),1)*IF(G171&gt;='депозитный калькулятор'!$G$11,IF(AND('депозитный калькулятор'!$G$7="факт/факт",MOD(YEAR(F171),4)=0),G171*'депозитный калькулятор'!$D$11/366,G171*'депозитный калькулятор'!$G$8),0))</f>
        <v xml:space="preserve"> </v>
      </c>
      <c r="R171" s="148"/>
      <c r="S171" s="62" t="str">
        <f t="shared" ca="1" si="12"/>
        <v xml:space="preserve"> </v>
      </c>
      <c r="T171" s="149" t="str">
        <f ca="1">IF(S171=" "," ",IF('депозитный калькулятор'!$G$7="30/360",DAYS360(U170,IF(DAY(U171)=31,U171-1,U171))+IF(AND(MONTH(U171)=2,U171=EOMONTH(U171,0)),30-DAY(EOMONTH(U171,0)))+T170,VLOOKUP(S171,$C$22:$F$1023,2,0)))</f>
        <v xml:space="preserve"> </v>
      </c>
      <c r="U171" s="64" t="str">
        <f t="shared" ca="1" si="10"/>
        <v xml:space="preserve"> </v>
      </c>
      <c r="V171" s="150" t="str">
        <f t="shared" ca="1" si="13"/>
        <v xml:space="preserve"> </v>
      </c>
      <c r="W171" s="62" t="str">
        <f t="shared" ca="1" si="14"/>
        <v xml:space="preserve"> </v>
      </c>
      <c r="X171" s="141" t="str">
        <f ca="1">IF(S171=" "," ",IFERROR(VLOOKUP(U171,$F$23:$N$1023,7)+VLOOKUP(U171,$F$23:$N$1023,9)+IF(AND('депозитный калькулятор'!$G$13="нет",U171&lt;&gt;'депозитный калькулятор'!$D$8),VLOOKUP(U171,$F$23:$N$1023,4),0),0)+IF(U171='депозитный калькулятор'!$D$8,VLOOKUP(U171,$F$23:$N$1023,2)+VLOOKUP(U171,$F$23:$N$1023,4),0))</f>
        <v xml:space="preserve"> </v>
      </c>
      <c r="Y171" s="142" t="str">
        <f ca="1">IF(S171=" "," ",W171/(1+'депозитный калькулятор'!$K$8)^(T171/IF('депозитный калькулятор'!$G$7="30/360",360,365)))</f>
        <v xml:space="preserve"> </v>
      </c>
      <c r="Z171" s="142" t="str">
        <f ca="1">IF(S171=" "," ",X171/(1+'депозитный калькулятор'!$K$8)^(T171/IF('депозитный калькулятор'!$G$7="30/360",360,365)))</f>
        <v xml:space="preserve"> </v>
      </c>
      <c r="AA171" s="151"/>
      <c r="AB171" s="151"/>
      <c r="AC171" s="155"/>
      <c r="AD171" s="155"/>
    </row>
    <row r="172" spans="1:30" s="2" customFormat="1" ht="15.5" x14ac:dyDescent="0.35">
      <c r="A172" s="41" t="str">
        <f>IF(F172=" "," ",IF(OR('депозитный калькулятор'!$G$7="30/365",'депозитный калькулятор'!$G$7="30/360"),IF(AND(MONTH(F172)=2,DAY(F172)=DAY(EOMONTH(F172,0))),30-DAY(EOMONTH(F172,0)),IF(DAY(F172)=31,1," "))," "))</f>
        <v xml:space="preserve"> </v>
      </c>
      <c r="B172" s="130" t="str">
        <f t="shared" si="11"/>
        <v xml:space="preserve"> </v>
      </c>
      <c r="C172" s="130" t="str">
        <f>IF(OR(B172=0,B172=" ")," ",SUM($B$23:B172))</f>
        <v xml:space="preserve"> </v>
      </c>
      <c r="D172" s="62" t="str">
        <f>IF(D171=" "," ",IF(OR(F171='депозитный калькулятор'!$D$8,F171=" ")," ",D171+1))</f>
        <v xml:space="preserve"> </v>
      </c>
      <c r="E172" s="130" t="str">
        <f>IF(OR(F171='депозитный калькулятор'!$D$8,F171=" ")," ",IF(EOMONTH(F171,0)=F171,1,E171+1))</f>
        <v xml:space="preserve"> </v>
      </c>
      <c r="F172" s="64" t="str">
        <f>IF(F171=" "," ",IF(F171='депозитный калькулятор'!$D$8," ",F171+1))</f>
        <v xml:space="preserve"> </v>
      </c>
      <c r="G172" s="145" t="str">
        <f xml:space="preserve"> IF(F172&gt;'депозитный калькулятор'!$D$8," ",IF('депозитный калькулятор'!$G$13="есть",IF('депозитный калькулятор'!$G$14="есть",G171+IF(I171=" ",0,I171)-J172-K172+L172+M172-N172,G171+IF(I171=" ",0,I171)-J172-K172+M172-N172),IF('депозитный калькулятор'!$G$14="есть",G171-J172-K172+L172+M172-N172,G171-J172-K172+M172-N172)))</f>
        <v xml:space="preserve"> </v>
      </c>
      <c r="H172" s="133" t="str">
        <f>IF(F172&gt;'депозитный калькулятор'!$D$8," ",IF(AND(OR('депозитный калькулятор'!$G$7="30/365",'депозитный калькулятор'!$G$7="30/360"),AND(MONTH(F172)=2,EOMONTH(F172,0)=F172)),IF(DAY(F172)=28,3*G172*'депозитный калькулятор'!$G$8,2*G172*'депозитный калькулятор'!$G$8),IF(AND(OR('депозитный калькулятор'!$G$7="30/365",'депозитный калькулятор'!$G$7="30/360"),DAY(F172)=31)," ",IF(AND('депозитный калькулятор'!$G$7="факт/факт",MOD(YEAR(F172),4)=0),G172*'депозитный калькулятор'!$D$11/366,G172*'депозитный калькулятор'!$G$8))))</f>
        <v xml:space="preserve"> </v>
      </c>
      <c r="I172" s="134" t="str">
        <f ca="1">IF(F172=" "," ",IF('депозитный калькулятор'!$G$10="ежедневное",H172,IF(AND('депозитный калькулятор'!$G$10="еженедельное",WEEKDAY(F172,2)=7),SUM(OFFSET(H172,-6,0):H172),IF(AND('депозитный калькулятор'!$G$10="еженедельное",F172='депозитный калькулятор'!$D$8),SUM($H$23:H172)-SUM($I$23:I171),IF(AND('депозитный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недели",WEEKDAY(F172,2)=7),MIN(OFFSET(H172,-6,0):H172)*(COUNTIF(OFFSET(H172,-6,0):H172,"&gt;0")+SUMIF(OFFSET(A172,-WEEKDAY(F172,2),0):A172,"=2",OFFSET(A172,-WEEKDAY(F172,2),0):A172)),IF(AND('депозитный калькулятор'!$G$10="еженедельное, на минимальную сумму зафиксированную в течение недели",F172='депозитный калькулятор'!$D$8,WEEKDAY(F172,2)&lt;&gt;7),MIN(OFFSET(H172,-WEEKDAY(F172,2),0):H172)*(COUNTIF(OFFSET(H172,-WEEKDAY(F172,2)+1,0):H172,"&gt;0")+SUM(OFFSET(A172,-WEEKDAY(F172,2),0):A172)),IF(AND('депозитный калькулятор'!$G$10="ежемесячное (в конце месяца)",F172='депозитный калькулятор'!$D$8,EOMONTH(F172,0)&lt;&gt;F172),IF('депозитный калькулятор'!$F$1=1,$H$24,SUM($H$23:H172)-SUM($I$23:I171)),IF(AND('депозитный калькулятор'!$G$10="ежемесячное (в конце месяца)",EOMONTH(F172,0)=F172),SUM($H$23:H172)-SUM($I$23:I171),IF(AND('депозитный калькулятор'!$G$10="ежемесячное (по дням открытия вклада)",F172='депозитный калькулятор'!$D$8,DAY('депозитный калькулятор'!$D$7)&lt;&gt;DAY(F172)),IF('депозитный калькулятор'!$F$1=1,$H$24,SUM($H$23:H172)-SUM($I$23:I171)),IF(AND('депозитный калькулятор'!$G$10="ежемесячное (по дням открытия вклада)",DAY('депозитный калькулятор'!$D$7)=DAY(F172)),SUM($H$23:H172)-SUM($I$23:I171),IF(AND('депозитный калькулятор'!$G$10="ежемесячное, на минимальную сумму зафиксированную в течение месяца",F172='депозитный калькулятор'!$D$8,EOMONTH(F172,0)&lt;&gt;F172),IF('депозитный калькулятор'!$F$1=1,$H$24,IF(AND(OR('депозитный калькулятор'!$G$7="30/365",'депозитный калькулятор'!$G$7="30/360"),DAY(F172)=31),0,MIN(OFFSET(H172,-E172+1,0):H172)*(E172+SUMIF(OFFSET(A172,-E172+1,0):A172,"=2",OFFSET(A172,-E172+1,0):A172)))),IF(AND('депозитный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калькулятор'!$G$7="30/360"),DAY(EOMONTH(F172,0))=31),EOMONTH(F172,0)-1=F172,EOMONTH(F172,0)=F172)),IF(IF(AND(OR('депозитный калькулятор'!$G$7="30/365",'депозитный калькулятор'!$G$7="30/360"),DAY(EOMONTH($F$23,0))=31),F172=EOMONTH($F$23,0)-1,F172=EOMONTH($F$23,0)),MIN(OFFSET(H172,-(DAY(F172)-DAY($F$23)),0):H172)*E172,MIN(OFFSET(H172,-(DAY(F172)-1),0):H172)*IF(AND(OR('депозитный калькулятор'!$G$7="30/365",'депозитный калькулятор'!$G$7="30/360"),DAY(F172)&lt;30),30,DAY(F172))),IF(AND('депозитный калькулятор'!$G$10="ежемесячное, на средний остаток в течение месяца, при условии что остаток больше чем ограничение",F172='депозитный калькулятор'!$D$8,EOMONTH(F172,0)&lt;&gt;F172),IF('депозитный калькулятор'!$F$1=1,$H$24,SUM(OFFSET(Q172,-E172+1,0):Q172)),IF(AND('депозитный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калькулятор'!$G$7="30/360"),DAY(EOMONTH(F172,0))=31),EOMONTH(F172,0)-1=F172,EOMONTH(F172,0)=F172)),IF(IF(AND(OR('депозитный калькулятор'!$G$7="30/365",'депозитный калькулятор'!$G$7="30/360"),DAY(EOMONTH($F$24,0))=31),F172=EOMONTH($F$24,0)-1,F172=EOMONTH($F$24,0)),SUM(OFFSET(Q172,-E172+1,0):Q172),SUM(OFFSET(Q172,-E172+1,0):Q172)),IF('депозитный калькулятор'!$G$10="ежеквартальное",IF(F172&gt;'депозитный калькулятор'!$D$8," ",IF(AND(EOMONTH(F172,0)=F172,OR(MONTH(F172)=3,MONTH(F172)=6,MONTH(F172)=9,MONTH(F172)=12)),IF(EDATE(F172,-3)&lt;'депозитный калькулятор'!$D$7,SUM($H$23:H172),IF(MOD(YEAR(F172),4)=0,IF(AND(EOMONTH(F172,0)=F172,OR(MONTH(F172)=3,MONTH(F172)=6)),SUM(OFFSET(H172,-90,0):H172),IF(AND(EOMONTH(F172,0)=F172,OR(MONTH(F172)=9,MONTH(F172)=12)),SUM(OFFSET(H172,-91,0):H172))),IF(AND(EOMONTH(F172,0)=F172,MONTH(F172)=3),SUM(OFFSET(H172,-89,0):H172),IF(AND(EOMONTH(F172,0)=F172,MONTH(F172)=6),SUM(OFFSET(H172,-90,0):H172),IF(AND(EOMONTH(F172,0)=F172,OR(MONTH(F172)=9,MONTH(F172)=12)),SUM(OFFSET(H172,-91,0):H172)))))),IF(F172='депозитный калькулятор'!$D$8,SUM($H$23:H172)-SUM($I$23:I171),0))),IF('депозитный калькулятор'!$G$10="ежегодное",IF(F172&gt;'депозитный калькулятор'!$D$8," ",IF(F172='депозитный калькулятор'!$D$8,SUM($H$23:H172)-SUM($I$23:I171),IF(AND(EOMONTH(F172,0)=F172,MONTH(F172)=12),IF(MOD(YEAR(F171),4)=0,IF(F172-'депозитный калькулятор'!$D$7&lt;366,SUM($H$23:H172),SUM(OFFSET(H172,-365,0):H172)),IF(F172-'депозитный калькулятор'!$D$7&lt;365,SUM($H$23:H172),SUM(OFFSET(H172,-364,0):H172))),0))),IF(AND('депозитный калькулятор'!$G$10="в конце срока",'депозитный калькулятор'!$D$8=F172),SUM($H$23:H172),0))))))))))))))))))</f>
        <v xml:space="preserve"> </v>
      </c>
      <c r="J172" s="59" t="str">
        <f>IF(F172&gt;'депозитный калькулятор'!$D$8," ",IF('депозитный калькулятор'!$G$16="нет",0,IF(AND('депозитный калькулятор'!$G$17="разовая (в конце срока)",F172='депозитный калькулятор'!$D$8),'депозитный калькулятор'!$G$18,IF(AND('депозитный калькулятор'!$G$17="ежемесячная",EOMONTH(F171,0)=F171),'депозитный калькулятор'!$G$18,IF(AND('депозитный калькулятор'!$G$17="ежегодная",DAY(F171)=31,MONTH(F171)=12),'депозитный калькулятор'!$G$18,IF(AND('депозитный калькулятор'!$G$17="ежемесячная в зависимости от остатка",EOMONTH(F171,0)=F171,P171&gt;0),'депозитный калькулятор'!$G$18,IF(AND('депозитный калькулятор'!$G$17="ежегодная в зависимости от остатка",DAY(F171)=31,MONTH(F171)=12,P171&gt;0),'депозитный калькулятор'!$G$18,0)))))))</f>
        <v xml:space="preserve"> </v>
      </c>
      <c r="K172" s="135" t="str">
        <f>IF($F172=" "," ",IFERROR(VLOOKUP($F172,'депозитный калькулятор'!$B$26:$F$70,2,0),0))</f>
        <v xml:space="preserve"> </v>
      </c>
      <c r="L172" s="135" t="str">
        <f>IF($F172=" "," ",IFERROR(VLOOKUP($F172,'депозитный калькулятор'!$B$26:$F$70,3,0),0))</f>
        <v xml:space="preserve"> </v>
      </c>
      <c r="M172" s="135" t="str">
        <f>IF($F172=" "," ",IFERROR(VLOOKUP($F172,'депозитный калькулятор'!$B$26:$F$70,4,0),0))</f>
        <v xml:space="preserve"> </v>
      </c>
      <c r="N172" s="135" t="str">
        <f>IF($F172=" "," ",IFERROR(VLOOKUP($F172,'депозитный калькулятор'!$B$26:$F$70,5,0),0))</f>
        <v xml:space="preserve"> </v>
      </c>
      <c r="O172" s="146" t="str">
        <f>IF(F172&gt;'депозитный калькулятор'!$D$8," ",IF(F172='депозитный калькулятор'!$D$8,IF(AND($F$24='депозитный калькулятор'!$D$8,'депозитный калькулятор'!$G$13="нет"),-G172-IF(I172=" ",0,I172)-IF(AND(OR('депозитный калькулятор'!$G$7="30/365",'депозитный калькулятор'!$G$7="30/360"),'депозитный калькулятор'!$G$10="в начале срока"),I171,0)-L172+M172-N172,-G172-IF(I172=" ",0,I172)-L172+M172-N172),IF('депозитный калькулятор'!$G$13="есть",M172-N172+IF('депозитный калькулятор'!$G$14="есть",0,-L172),-IF(I172=" ",0,I172)-IF(AND(OR('депозитный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срока"),I171,0)+M172-N172+IF('депозитный калькулятор'!$G$14="есть",0,-L172))))</f>
        <v xml:space="preserve"> </v>
      </c>
      <c r="P172" s="147" t="str">
        <f>IF(F172&gt;'депозитный калькулятор'!$D$8," ",IF(EOMONTH(F171,0)=F171,0,IF(G172&gt;='депозитный калькулятор'!$G$19,P171,P171+1)))</f>
        <v xml:space="preserve"> </v>
      </c>
      <c r="Q172" s="138" t="str">
        <f>IF(F172=" "," ",IF(AND(OR('депозитный калькулятор'!$G$7="30/365",'депозитный калькулятор'!$G$7="30/360"),AND(MONTH(F172)=2,EOMONTH(F172,0)=F172)),IF(DAY(F172)=28,3,2),1)*IF(G172&gt;='депозитный калькулятор'!$G$11,IF(AND('депозитный калькулятор'!$G$7="факт/факт",MOD(YEAR(F172),4)=0),G172*'депозитный калькулятор'!$D$11/366,G172*'депозитный калькулятор'!$G$8),0))</f>
        <v xml:space="preserve"> </v>
      </c>
      <c r="R172" s="148"/>
      <c r="S172" s="62" t="str">
        <f t="shared" ca="1" si="12"/>
        <v xml:space="preserve"> </v>
      </c>
      <c r="T172" s="149" t="str">
        <f ca="1">IF(S172=" "," ",IF('депозитный калькулятор'!$G$7="30/360",DAYS360(U171,IF(DAY(U172)=31,U172-1,U172))+IF(AND(MONTH(U172)=2,U172=EOMONTH(U172,0)),30-DAY(EOMONTH(U172,0)))+T171,VLOOKUP(S172,$C$22:$F$1023,2,0)))</f>
        <v xml:space="preserve"> </v>
      </c>
      <c r="U172" s="64" t="str">
        <f t="shared" ca="1" si="10"/>
        <v xml:space="preserve"> </v>
      </c>
      <c r="V172" s="150" t="str">
        <f t="shared" ca="1" si="13"/>
        <v xml:space="preserve"> </v>
      </c>
      <c r="W172" s="62" t="str">
        <f t="shared" ca="1" si="14"/>
        <v xml:space="preserve"> </v>
      </c>
      <c r="X172" s="141" t="str">
        <f ca="1">IF(S172=" "," ",IFERROR(VLOOKUP(U172,$F$23:$N$1023,7)+VLOOKUP(U172,$F$23:$N$1023,9)+IF(AND('депозитный калькулятор'!$G$13="нет",U172&lt;&gt;'депозитный калькулятор'!$D$8),VLOOKUP(U172,$F$23:$N$1023,4),0),0)+IF(U172='депозитный калькулятор'!$D$8,VLOOKUP(U172,$F$23:$N$1023,2)+VLOOKUP(U172,$F$23:$N$1023,4),0))</f>
        <v xml:space="preserve"> </v>
      </c>
      <c r="Y172" s="142" t="str">
        <f ca="1">IF(S172=" "," ",W172/(1+'депозитный калькулятор'!$K$8)^(T172/IF('депозитный калькулятор'!$G$7="30/360",360,365)))</f>
        <v xml:space="preserve"> </v>
      </c>
      <c r="Z172" s="142" t="str">
        <f ca="1">IF(S172=" "," ",X172/(1+'депозитный калькулятор'!$K$8)^(T172/IF('депозитный калькулятор'!$G$7="30/360",360,365)))</f>
        <v xml:space="preserve"> </v>
      </c>
      <c r="AA172" s="151"/>
      <c r="AB172" s="151"/>
      <c r="AC172" s="155"/>
      <c r="AD172" s="155"/>
    </row>
    <row r="173" spans="1:30" s="2" customFormat="1" ht="15.5" x14ac:dyDescent="0.35">
      <c r="A173" s="41" t="str">
        <f>IF(F173=" "," ",IF(OR('депозитный калькулятор'!$G$7="30/365",'депозитный калькулятор'!$G$7="30/360"),IF(AND(MONTH(F173)=2,DAY(F173)=DAY(EOMONTH(F173,0))),30-DAY(EOMONTH(F173,0)),IF(DAY(F173)=31,1," "))," "))</f>
        <v xml:space="preserve"> </v>
      </c>
      <c r="B173" s="130" t="str">
        <f t="shared" si="11"/>
        <v xml:space="preserve"> </v>
      </c>
      <c r="C173" s="130" t="str">
        <f>IF(OR(B173=0,B173=" ")," ",SUM($B$23:B173))</f>
        <v xml:space="preserve"> </v>
      </c>
      <c r="D173" s="62" t="str">
        <f>IF(D172=" "," ",IF(OR(F172='депозитный калькулятор'!$D$8,F172=" ")," ",D172+1))</f>
        <v xml:space="preserve"> </v>
      </c>
      <c r="E173" s="130" t="str">
        <f>IF(OR(F172='депозитный калькулятор'!$D$8,F172=" ")," ",IF(EOMONTH(F172,0)=F172,1,E172+1))</f>
        <v xml:space="preserve"> </v>
      </c>
      <c r="F173" s="64" t="str">
        <f>IF(F172=" "," ",IF(F172='депозитный калькулятор'!$D$8," ",F172+1))</f>
        <v xml:space="preserve"> </v>
      </c>
      <c r="G173" s="145" t="str">
        <f xml:space="preserve"> IF(F173&gt;'депозитный калькулятор'!$D$8," ",IF('депозитный калькулятор'!$G$13="есть",IF('депозитный калькулятор'!$G$14="есть",G172+IF(I172=" ",0,I172)-J173-K173+L173+M173-N173,G172+IF(I172=" ",0,I172)-J173-K173+M173-N173),IF('депозитный калькулятор'!$G$14="есть",G172-J173-K173+L173+M173-N173,G172-J173-K173+M173-N173)))</f>
        <v xml:space="preserve"> </v>
      </c>
      <c r="H173" s="133" t="str">
        <f>IF(F173&gt;'депозитный калькулятор'!$D$8," ",IF(AND(OR('депозитный калькулятор'!$G$7="30/365",'депозитный калькулятор'!$G$7="30/360"),AND(MONTH(F173)=2,EOMONTH(F173,0)=F173)),IF(DAY(F173)=28,3*G173*'депозитный калькулятор'!$G$8,2*G173*'депозитный калькулятор'!$G$8),IF(AND(OR('депозитный калькулятор'!$G$7="30/365",'депозитный калькулятор'!$G$7="30/360"),DAY(F173)=31)," ",IF(AND('депозитный калькулятор'!$G$7="факт/факт",MOD(YEAR(F173),4)=0),G173*'депозитный калькулятор'!$D$11/366,G173*'депозитный калькулятор'!$G$8))))</f>
        <v xml:space="preserve"> </v>
      </c>
      <c r="I173" s="134" t="str">
        <f ca="1">IF(F173=" "," ",IF('депозитный калькулятор'!$G$10="ежедневное",H173,IF(AND('депозитный калькулятор'!$G$10="еженедельное",WEEKDAY(F173,2)=7),SUM(OFFSET(H173,-6,0):H173),IF(AND('депозитный калькулятор'!$G$10="еженедельное",F173='депозитный калькулятор'!$D$8),SUM($H$23:H173)-SUM($I$23:I172),IF(AND('депозитный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недели",WEEKDAY(F173,2)=7),MIN(OFFSET(H173,-6,0):H173)*(COUNTIF(OFFSET(H173,-6,0):H173,"&gt;0")+SUMIF(OFFSET(A173,-WEEKDAY(F173,2),0):A173,"=2",OFFSET(A173,-WEEKDAY(F173,2),0):A173)),IF(AND('депозитный калькулятор'!$G$10="еженедельное, на минимальную сумму зафиксированную в течение недели",F173='депозитный калькулятор'!$D$8,WEEKDAY(F173,2)&lt;&gt;7),MIN(OFFSET(H173,-WEEKDAY(F173,2),0):H173)*(COUNTIF(OFFSET(H173,-WEEKDAY(F173,2)+1,0):H173,"&gt;0")+SUM(OFFSET(A173,-WEEKDAY(F173,2),0):A173)),IF(AND('депозитный калькулятор'!$G$10="ежемесячное (в конце месяца)",F173='депозитный калькулятор'!$D$8,EOMONTH(F173,0)&lt;&gt;F173),IF('депозитный калькулятор'!$F$1=1,$H$24,SUM($H$23:H173)-SUM($I$23:I172)),IF(AND('депозитный калькулятор'!$G$10="ежемесячное (в конце месяца)",EOMONTH(F173,0)=F173),SUM($H$23:H173)-SUM($I$23:I172),IF(AND('депозитный калькулятор'!$G$10="ежемесячное (по дням открытия вклада)",F173='депозитный калькулятор'!$D$8,DAY('депозитный калькулятор'!$D$7)&lt;&gt;DAY(F173)),IF('депозитный калькулятор'!$F$1=1,$H$24,SUM($H$23:H173)-SUM($I$23:I172)),IF(AND('депозитный калькулятор'!$G$10="ежемесячное (по дням открытия вклада)",DAY('депозитный калькулятор'!$D$7)=DAY(F173)),SUM($H$23:H173)-SUM($I$23:I172),IF(AND('депозитный калькулятор'!$G$10="ежемесячное, на минимальную сумму зафиксированную в течение месяца",F173='депозитный калькулятор'!$D$8,EOMONTH(F173,0)&lt;&gt;F173),IF('депозитный калькулятор'!$F$1=1,$H$24,IF(AND(OR('депозитный калькулятор'!$G$7="30/365",'депозитный калькулятор'!$G$7="30/360"),DAY(F173)=31),0,MIN(OFFSET(H173,-E173+1,0):H173)*(E173+SUMIF(OFFSET(A173,-E173+1,0):A173,"=2",OFFSET(A173,-E173+1,0):A173)))),IF(AND('депозитный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калькулятор'!$G$7="30/360"),DAY(EOMONTH(F173,0))=31),EOMONTH(F173,0)-1=F173,EOMONTH(F173,0)=F173)),IF(IF(AND(OR('депозитный калькулятор'!$G$7="30/365",'депозитный калькулятор'!$G$7="30/360"),DAY(EOMONTH($F$23,0))=31),F173=EOMONTH($F$23,0)-1,F173=EOMONTH($F$23,0)),MIN(OFFSET(H173,-(DAY(F173)-DAY($F$23)),0):H173)*E173,MIN(OFFSET(H173,-(DAY(F173)-1),0):H173)*IF(AND(OR('депозитный калькулятор'!$G$7="30/365",'депозитный калькулятор'!$G$7="30/360"),DAY(F173)&lt;30),30,DAY(F173))),IF(AND('депозитный калькулятор'!$G$10="ежемесячное, на средний остаток в течение месяца, при условии что остаток больше чем ограничение",F173='депозитный калькулятор'!$D$8,EOMONTH(F173,0)&lt;&gt;F173),IF('депозитный калькулятор'!$F$1=1,$H$24,SUM(OFFSET(Q173,-E173+1,0):Q173)),IF(AND('депозитный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калькулятор'!$G$7="30/360"),DAY(EOMONTH(F173,0))=31),EOMONTH(F173,0)-1=F173,EOMONTH(F173,0)=F173)),IF(IF(AND(OR('депозитный калькулятор'!$G$7="30/365",'депозитный калькулятор'!$G$7="30/360"),DAY(EOMONTH($F$24,0))=31),F173=EOMONTH($F$24,0)-1,F173=EOMONTH($F$24,0)),SUM(OFFSET(Q173,-E173+1,0):Q173),SUM(OFFSET(Q173,-E173+1,0):Q173)),IF('депозитный калькулятор'!$G$10="ежеквартальное",IF(F173&gt;'депозитный калькулятор'!$D$8," ",IF(AND(EOMONTH(F173,0)=F173,OR(MONTH(F173)=3,MONTH(F173)=6,MONTH(F173)=9,MONTH(F173)=12)),IF(EDATE(F173,-3)&lt;'депозитный калькулятор'!$D$7,SUM($H$23:H173),IF(MOD(YEAR(F173),4)=0,IF(AND(EOMONTH(F173,0)=F173,OR(MONTH(F173)=3,MONTH(F173)=6)),SUM(OFFSET(H173,-90,0):H173),IF(AND(EOMONTH(F173,0)=F173,OR(MONTH(F173)=9,MONTH(F173)=12)),SUM(OFFSET(H173,-91,0):H173))),IF(AND(EOMONTH(F173,0)=F173,MONTH(F173)=3),SUM(OFFSET(H173,-89,0):H173),IF(AND(EOMONTH(F173,0)=F173,MONTH(F173)=6),SUM(OFFSET(H173,-90,0):H173),IF(AND(EOMONTH(F173,0)=F173,OR(MONTH(F173)=9,MONTH(F173)=12)),SUM(OFFSET(H173,-91,0):H173)))))),IF(F173='депозитный калькулятор'!$D$8,SUM($H$23:H173)-SUM($I$23:I172),0))),IF('депозитный калькулятор'!$G$10="ежегодное",IF(F173&gt;'депозитный калькулятор'!$D$8," ",IF(F173='депозитный калькулятор'!$D$8,SUM($H$23:H173)-SUM($I$23:I172),IF(AND(EOMONTH(F173,0)=F173,MONTH(F173)=12),IF(MOD(YEAR(F172),4)=0,IF(F173-'депозитный калькулятор'!$D$7&lt;366,SUM($H$23:H173),SUM(OFFSET(H173,-365,0):H173)),IF(F173-'депозитный калькулятор'!$D$7&lt;365,SUM($H$23:H173),SUM(OFFSET(H173,-364,0):H173))),0))),IF(AND('депозитный калькулятор'!$G$10="в конце срока",'депозитный калькулятор'!$D$8=F173),SUM($H$23:H173),0))))))))))))))))))</f>
        <v xml:space="preserve"> </v>
      </c>
      <c r="J173" s="59" t="str">
        <f>IF(F173&gt;'депозитный калькулятор'!$D$8," ",IF('депозитный калькулятор'!$G$16="нет",0,IF(AND('депозитный калькулятор'!$G$17="разовая (в конце срока)",F173='депозитный калькулятор'!$D$8),'депозитный калькулятор'!$G$18,IF(AND('депозитный калькулятор'!$G$17="ежемесячная",EOMONTH(F172,0)=F172),'депозитный калькулятор'!$G$18,IF(AND('депозитный калькулятор'!$G$17="ежегодная",DAY(F172)=31,MONTH(F172)=12),'депозитный калькулятор'!$G$18,IF(AND('депозитный калькулятор'!$G$17="ежемесячная в зависимости от остатка",EOMONTH(F172,0)=F172,P172&gt;0),'депозитный калькулятор'!$G$18,IF(AND('депозитный калькулятор'!$G$17="ежегодная в зависимости от остатка",DAY(F172)=31,MONTH(F172)=12,P172&gt;0),'депозитный калькулятор'!$G$18,0)))))))</f>
        <v xml:space="preserve"> </v>
      </c>
      <c r="K173" s="135" t="str">
        <f>IF($F173=" "," ",IFERROR(VLOOKUP($F173,'депозитный калькулятор'!$B$26:$F$70,2,0),0))</f>
        <v xml:space="preserve"> </v>
      </c>
      <c r="L173" s="135" t="str">
        <f>IF($F173=" "," ",IFERROR(VLOOKUP($F173,'депозитный калькулятор'!$B$26:$F$70,3,0),0))</f>
        <v xml:space="preserve"> </v>
      </c>
      <c r="M173" s="135" t="str">
        <f>IF($F173=" "," ",IFERROR(VLOOKUP($F173,'депозитный калькулятор'!$B$26:$F$70,4,0),0))</f>
        <v xml:space="preserve"> </v>
      </c>
      <c r="N173" s="135" t="str">
        <f>IF($F173=" "," ",IFERROR(VLOOKUP($F173,'депозитный калькулятор'!$B$26:$F$70,5,0),0))</f>
        <v xml:space="preserve"> </v>
      </c>
      <c r="O173" s="146" t="str">
        <f>IF(F173&gt;'депозитный калькулятор'!$D$8," ",IF(F173='депозитный калькулятор'!$D$8,IF(AND($F$24='депозитный калькулятор'!$D$8,'депозитный калькулятор'!$G$13="нет"),-G173-IF(I173=" ",0,I173)-IF(AND(OR('депозитный калькулятор'!$G$7="30/365",'депозитный калькулятор'!$G$7="30/360"),'депозитный калькулятор'!$G$10="в начале срока"),I172,0)-L173+M173-N173,-G173-IF(I173=" ",0,I173)-L173+M173-N173),IF('депозитный калькулятор'!$G$13="есть",M173-N173+IF('депозитный калькулятор'!$G$14="есть",0,-L173),-IF(I173=" ",0,I173)-IF(AND(OR('депозитный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срока"),I172,0)+M173-N173+IF('депозитный калькулятор'!$G$14="есть",0,-L173))))</f>
        <v xml:space="preserve"> </v>
      </c>
      <c r="P173" s="147" t="str">
        <f>IF(F173&gt;'депозитный калькулятор'!$D$8," ",IF(EOMONTH(F172,0)=F172,0,IF(G173&gt;='депозитный калькулятор'!$G$19,P172,P172+1)))</f>
        <v xml:space="preserve"> </v>
      </c>
      <c r="Q173" s="138" t="str">
        <f>IF(F173=" "," ",IF(AND(OR('депозитный калькулятор'!$G$7="30/365",'депозитный калькулятор'!$G$7="30/360"),AND(MONTH(F173)=2,EOMONTH(F173,0)=F173)),IF(DAY(F173)=28,3,2),1)*IF(G173&gt;='депозитный калькулятор'!$G$11,IF(AND('депозитный калькулятор'!$G$7="факт/факт",MOD(YEAR(F173),4)=0),G173*'депозитный калькулятор'!$D$11/366,G173*'депозитный калькулятор'!$G$8),0))</f>
        <v xml:space="preserve"> </v>
      </c>
      <c r="R173" s="148"/>
      <c r="S173" s="62" t="str">
        <f t="shared" ca="1" si="12"/>
        <v xml:space="preserve"> </v>
      </c>
      <c r="T173" s="149" t="str">
        <f ca="1">IF(S173=" "," ",IF('депозитный калькулятор'!$G$7="30/360",DAYS360(U172,IF(DAY(U173)=31,U173-1,U173))+IF(AND(MONTH(U173)=2,U173=EOMONTH(U173,0)),30-DAY(EOMONTH(U173,0)))+T172,VLOOKUP(S173,$C$22:$F$1023,2,0)))</f>
        <v xml:space="preserve"> </v>
      </c>
      <c r="U173" s="64" t="str">
        <f t="shared" ca="1" si="10"/>
        <v xml:space="preserve"> </v>
      </c>
      <c r="V173" s="150" t="str">
        <f t="shared" ca="1" si="13"/>
        <v xml:space="preserve"> </v>
      </c>
      <c r="W173" s="62" t="str">
        <f t="shared" ca="1" si="14"/>
        <v xml:space="preserve"> </v>
      </c>
      <c r="X173" s="141" t="str">
        <f ca="1">IF(S173=" "," ",IFERROR(VLOOKUP(U173,$F$23:$N$1023,7)+VLOOKUP(U173,$F$23:$N$1023,9)+IF(AND('депозитный калькулятор'!$G$13="нет",U173&lt;&gt;'депозитный калькулятор'!$D$8),VLOOKUP(U173,$F$23:$N$1023,4),0),0)+IF(U173='депозитный калькулятор'!$D$8,VLOOKUP(U173,$F$23:$N$1023,2)+VLOOKUP(U173,$F$23:$N$1023,4),0))</f>
        <v xml:space="preserve"> </v>
      </c>
      <c r="Y173" s="142" t="str">
        <f ca="1">IF(S173=" "," ",W173/(1+'депозитный калькулятор'!$K$8)^(T173/IF('депозитный калькулятор'!$G$7="30/360",360,365)))</f>
        <v xml:space="preserve"> </v>
      </c>
      <c r="Z173" s="142" t="str">
        <f ca="1">IF(S173=" "," ",X173/(1+'депозитный калькулятор'!$K$8)^(T173/IF('депозитный калькулятор'!$G$7="30/360",360,365)))</f>
        <v xml:space="preserve"> </v>
      </c>
      <c r="AA173" s="151"/>
      <c r="AB173" s="151"/>
      <c r="AC173" s="155"/>
      <c r="AD173" s="155"/>
    </row>
    <row r="174" spans="1:30" s="2" customFormat="1" ht="15.5" x14ac:dyDescent="0.35">
      <c r="A174" s="41" t="str">
        <f>IF(F174=" "," ",IF(OR('депозитный калькулятор'!$G$7="30/365",'депозитный калькулятор'!$G$7="30/360"),IF(AND(MONTH(F174)=2,DAY(F174)=DAY(EOMONTH(F174,0))),30-DAY(EOMONTH(F174,0)),IF(DAY(F174)=31,1," "))," "))</f>
        <v xml:space="preserve"> </v>
      </c>
      <c r="B174" s="130" t="str">
        <f t="shared" si="11"/>
        <v xml:space="preserve"> </v>
      </c>
      <c r="C174" s="130" t="str">
        <f>IF(OR(B174=0,B174=" ")," ",SUM($B$23:B174))</f>
        <v xml:space="preserve"> </v>
      </c>
      <c r="D174" s="62" t="str">
        <f>IF(D173=" "," ",IF(OR(F173='депозитный калькулятор'!$D$8,F173=" ")," ",D173+1))</f>
        <v xml:space="preserve"> </v>
      </c>
      <c r="E174" s="130" t="str">
        <f>IF(OR(F173='депозитный калькулятор'!$D$8,F173=" ")," ",IF(EOMONTH(F173,0)=F173,1,E173+1))</f>
        <v xml:space="preserve"> </v>
      </c>
      <c r="F174" s="64" t="str">
        <f>IF(F173=" "," ",IF(F173='депозитный калькулятор'!$D$8," ",F173+1))</f>
        <v xml:space="preserve"> </v>
      </c>
      <c r="G174" s="145" t="str">
        <f xml:space="preserve"> IF(F174&gt;'депозитный калькулятор'!$D$8," ",IF('депозитный калькулятор'!$G$13="есть",IF('депозитный калькулятор'!$G$14="есть",G173+IF(I173=" ",0,I173)-J174-K174+L174+M174-N174,G173+IF(I173=" ",0,I173)-J174-K174+M174-N174),IF('депозитный калькулятор'!$G$14="есть",G173-J174-K174+L174+M174-N174,G173-J174-K174+M174-N174)))</f>
        <v xml:space="preserve"> </v>
      </c>
      <c r="H174" s="133" t="str">
        <f>IF(F174&gt;'депозитный калькулятор'!$D$8," ",IF(AND(OR('депозитный калькулятор'!$G$7="30/365",'депозитный калькулятор'!$G$7="30/360"),AND(MONTH(F174)=2,EOMONTH(F174,0)=F174)),IF(DAY(F174)=28,3*G174*'депозитный калькулятор'!$G$8,2*G174*'депозитный калькулятор'!$G$8),IF(AND(OR('депозитный калькулятор'!$G$7="30/365",'депозитный калькулятор'!$G$7="30/360"),DAY(F174)=31)," ",IF(AND('депозитный калькулятор'!$G$7="факт/факт",MOD(YEAR(F174),4)=0),G174*'депозитный калькулятор'!$D$11/366,G174*'депозитный калькулятор'!$G$8))))</f>
        <v xml:space="preserve"> </v>
      </c>
      <c r="I174" s="134" t="str">
        <f ca="1">IF(F174=" "," ",IF('депозитный калькулятор'!$G$10="ежедневное",H174,IF(AND('депозитный калькулятор'!$G$10="еженедельное",WEEKDAY(F174,2)=7),SUM(OFFSET(H174,-6,0):H174),IF(AND('депозитный калькулятор'!$G$10="еженедельное",F174='депозитный калькулятор'!$D$8),SUM($H$23:H174)-SUM($I$23:I173),IF(AND('депозитный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недели",WEEKDAY(F174,2)=7),MIN(OFFSET(H174,-6,0):H174)*(COUNTIF(OFFSET(H174,-6,0):H174,"&gt;0")+SUMIF(OFFSET(A174,-WEEKDAY(F174,2),0):A174,"=2",OFFSET(A174,-WEEKDAY(F174,2),0):A174)),IF(AND('депозитный калькулятор'!$G$10="еженедельное, на минимальную сумму зафиксированную в течение недели",F174='депозитный калькулятор'!$D$8,WEEKDAY(F174,2)&lt;&gt;7),MIN(OFFSET(H174,-WEEKDAY(F174,2),0):H174)*(COUNTIF(OFFSET(H174,-WEEKDAY(F174,2)+1,0):H174,"&gt;0")+SUM(OFFSET(A174,-WEEKDAY(F174,2),0):A174)),IF(AND('депозитный калькулятор'!$G$10="ежемесячное (в конце месяца)",F174='депозитный калькулятор'!$D$8,EOMONTH(F174,0)&lt;&gt;F174),IF('депозитный калькулятор'!$F$1=1,$H$24,SUM($H$23:H174)-SUM($I$23:I173)),IF(AND('депозитный калькулятор'!$G$10="ежемесячное (в конце месяца)",EOMONTH(F174,0)=F174),SUM($H$23:H174)-SUM($I$23:I173),IF(AND('депозитный калькулятор'!$G$10="ежемесячное (по дням открытия вклада)",F174='депозитный калькулятор'!$D$8,DAY('депозитный калькулятор'!$D$7)&lt;&gt;DAY(F174)),IF('депозитный калькулятор'!$F$1=1,$H$24,SUM($H$23:H174)-SUM($I$23:I173)),IF(AND('депозитный калькулятор'!$G$10="ежемесячное (по дням открытия вклада)",DAY('депозитный калькулятор'!$D$7)=DAY(F174)),SUM($H$23:H174)-SUM($I$23:I173),IF(AND('депозитный калькулятор'!$G$10="ежемесячное, на минимальную сумму зафиксированную в течение месяца",F174='депозитный калькулятор'!$D$8,EOMONTH(F174,0)&lt;&gt;F174),IF('депозитный калькулятор'!$F$1=1,$H$24,IF(AND(OR('депозитный калькулятор'!$G$7="30/365",'депозитный калькулятор'!$G$7="30/360"),DAY(F174)=31),0,MIN(OFFSET(H174,-E174+1,0):H174)*(E174+SUMIF(OFFSET(A174,-E174+1,0):A174,"=2",OFFSET(A174,-E174+1,0):A174)))),IF(AND('депозитный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калькулятор'!$G$7="30/360"),DAY(EOMONTH(F174,0))=31),EOMONTH(F174,0)-1=F174,EOMONTH(F174,0)=F174)),IF(IF(AND(OR('депозитный калькулятор'!$G$7="30/365",'депозитный калькулятор'!$G$7="30/360"),DAY(EOMONTH($F$23,0))=31),F174=EOMONTH($F$23,0)-1,F174=EOMONTH($F$23,0)),MIN(OFFSET(H174,-(DAY(F174)-DAY($F$23)),0):H174)*E174,MIN(OFFSET(H174,-(DAY(F174)-1),0):H174)*IF(AND(OR('депозитный калькулятор'!$G$7="30/365",'депозитный калькулятор'!$G$7="30/360"),DAY(F174)&lt;30),30,DAY(F174))),IF(AND('депозитный калькулятор'!$G$10="ежемесячное, на средний остаток в течение месяца, при условии что остаток больше чем ограничение",F174='депозитный калькулятор'!$D$8,EOMONTH(F174,0)&lt;&gt;F174),IF('депозитный калькулятор'!$F$1=1,$H$24,SUM(OFFSET(Q174,-E174+1,0):Q174)),IF(AND('депозитный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калькулятор'!$G$7="30/360"),DAY(EOMONTH(F174,0))=31),EOMONTH(F174,0)-1=F174,EOMONTH(F174,0)=F174)),IF(IF(AND(OR('депозитный калькулятор'!$G$7="30/365",'депозитный калькулятор'!$G$7="30/360"),DAY(EOMONTH($F$24,0))=31),F174=EOMONTH($F$24,0)-1,F174=EOMONTH($F$24,0)),SUM(OFFSET(Q174,-E174+1,0):Q174),SUM(OFFSET(Q174,-E174+1,0):Q174)),IF('депозитный калькулятор'!$G$10="ежеквартальное",IF(F174&gt;'депозитный калькулятор'!$D$8," ",IF(AND(EOMONTH(F174,0)=F174,OR(MONTH(F174)=3,MONTH(F174)=6,MONTH(F174)=9,MONTH(F174)=12)),IF(EDATE(F174,-3)&lt;'депозитный калькулятор'!$D$7,SUM($H$23:H174),IF(MOD(YEAR(F174),4)=0,IF(AND(EOMONTH(F174,0)=F174,OR(MONTH(F174)=3,MONTH(F174)=6)),SUM(OFFSET(H174,-90,0):H174),IF(AND(EOMONTH(F174,0)=F174,OR(MONTH(F174)=9,MONTH(F174)=12)),SUM(OFFSET(H174,-91,0):H174))),IF(AND(EOMONTH(F174,0)=F174,MONTH(F174)=3),SUM(OFFSET(H174,-89,0):H174),IF(AND(EOMONTH(F174,0)=F174,MONTH(F174)=6),SUM(OFFSET(H174,-90,0):H174),IF(AND(EOMONTH(F174,0)=F174,OR(MONTH(F174)=9,MONTH(F174)=12)),SUM(OFFSET(H174,-91,0):H174)))))),IF(F174='депозитный калькулятор'!$D$8,SUM($H$23:H174)-SUM($I$23:I173),0))),IF('депозитный калькулятор'!$G$10="ежегодное",IF(F174&gt;'депозитный калькулятор'!$D$8," ",IF(F174='депозитный калькулятор'!$D$8,SUM($H$23:H174)-SUM($I$23:I173),IF(AND(EOMONTH(F174,0)=F174,MONTH(F174)=12),IF(MOD(YEAR(F173),4)=0,IF(F174-'депозитный калькулятор'!$D$7&lt;366,SUM($H$23:H174),SUM(OFFSET(H174,-365,0):H174)),IF(F174-'депозитный калькулятор'!$D$7&lt;365,SUM($H$23:H174),SUM(OFFSET(H174,-364,0):H174))),0))),IF(AND('депозитный калькулятор'!$G$10="в конце срока",'депозитный калькулятор'!$D$8=F174),SUM($H$23:H174),0))))))))))))))))))</f>
        <v xml:space="preserve"> </v>
      </c>
      <c r="J174" s="59" t="str">
        <f>IF(F174&gt;'депозитный калькулятор'!$D$8," ",IF('депозитный калькулятор'!$G$16="нет",0,IF(AND('депозитный калькулятор'!$G$17="разовая (в конце срока)",F174='депозитный калькулятор'!$D$8),'депозитный калькулятор'!$G$18,IF(AND('депозитный калькулятор'!$G$17="ежемесячная",EOMONTH(F173,0)=F173),'депозитный калькулятор'!$G$18,IF(AND('депозитный калькулятор'!$G$17="ежегодная",DAY(F173)=31,MONTH(F173)=12),'депозитный калькулятор'!$G$18,IF(AND('депозитный калькулятор'!$G$17="ежемесячная в зависимости от остатка",EOMONTH(F173,0)=F173,P173&gt;0),'депозитный калькулятор'!$G$18,IF(AND('депозитный калькулятор'!$G$17="ежегодная в зависимости от остатка",DAY(F173)=31,MONTH(F173)=12,P173&gt;0),'депозитный калькулятор'!$G$18,0)))))))</f>
        <v xml:space="preserve"> </v>
      </c>
      <c r="K174" s="135" t="str">
        <f>IF($F174=" "," ",IFERROR(VLOOKUP($F174,'депозитный калькулятор'!$B$26:$F$70,2,0),0))</f>
        <v xml:space="preserve"> </v>
      </c>
      <c r="L174" s="135" t="str">
        <f>IF($F174=" "," ",IFERROR(VLOOKUP($F174,'депозитный калькулятор'!$B$26:$F$70,3,0),0))</f>
        <v xml:space="preserve"> </v>
      </c>
      <c r="M174" s="135" t="str">
        <f>IF($F174=" "," ",IFERROR(VLOOKUP($F174,'депозитный калькулятор'!$B$26:$F$70,4,0),0))</f>
        <v xml:space="preserve"> </v>
      </c>
      <c r="N174" s="135" t="str">
        <f>IF($F174=" "," ",IFERROR(VLOOKUP($F174,'депозитный калькулятор'!$B$26:$F$70,5,0),0))</f>
        <v xml:space="preserve"> </v>
      </c>
      <c r="O174" s="146" t="str">
        <f>IF(F174&gt;'депозитный калькулятор'!$D$8," ",IF(F174='депозитный калькулятор'!$D$8,IF(AND($F$24='депозитный калькулятор'!$D$8,'депозитный калькулятор'!$G$13="нет"),-G174-IF(I174=" ",0,I174)-IF(AND(OR('депозитный калькулятор'!$G$7="30/365",'депозитный калькулятор'!$G$7="30/360"),'депозитный калькулятор'!$G$10="в начале срока"),I173,0)-L174+M174-N174,-G174-IF(I174=" ",0,I174)-L174+M174-N174),IF('депозитный калькулятор'!$G$13="есть",M174-N174+IF('депозитный калькулятор'!$G$14="есть",0,-L174),-IF(I174=" ",0,I174)-IF(AND(OR('депозитный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срока"),I173,0)+M174-N174+IF('депозитный калькулятор'!$G$14="есть",0,-L174))))</f>
        <v xml:space="preserve"> </v>
      </c>
      <c r="P174" s="147" t="str">
        <f>IF(F174&gt;'депозитный калькулятор'!$D$8," ",IF(EOMONTH(F173,0)=F173,0,IF(G174&gt;='депозитный калькулятор'!$G$19,P173,P173+1)))</f>
        <v xml:space="preserve"> </v>
      </c>
      <c r="Q174" s="138" t="str">
        <f>IF(F174=" "," ",IF(AND(OR('депозитный калькулятор'!$G$7="30/365",'депозитный калькулятор'!$G$7="30/360"),AND(MONTH(F174)=2,EOMONTH(F174,0)=F174)),IF(DAY(F174)=28,3,2),1)*IF(G174&gt;='депозитный калькулятор'!$G$11,IF(AND('депозитный калькулятор'!$G$7="факт/факт",MOD(YEAR(F174),4)=0),G174*'депозитный калькулятор'!$D$11/366,G174*'депозитный калькулятор'!$G$8),0))</f>
        <v xml:space="preserve"> </v>
      </c>
      <c r="R174" s="148"/>
      <c r="S174" s="62" t="str">
        <f t="shared" ca="1" si="12"/>
        <v xml:space="preserve"> </v>
      </c>
      <c r="T174" s="149" t="str">
        <f ca="1">IF(S174=" "," ",IF('депозитный калькулятор'!$G$7="30/360",DAYS360(U173,IF(DAY(U174)=31,U174-1,U174))+IF(AND(MONTH(U174)=2,U174=EOMONTH(U174,0)),30-DAY(EOMONTH(U174,0)))+T173,VLOOKUP(S174,$C$22:$F$1023,2,0)))</f>
        <v xml:space="preserve"> </v>
      </c>
      <c r="U174" s="64" t="str">
        <f t="shared" ca="1" si="10"/>
        <v xml:space="preserve"> </v>
      </c>
      <c r="V174" s="150" t="str">
        <f t="shared" ca="1" si="13"/>
        <v xml:space="preserve"> </v>
      </c>
      <c r="W174" s="62" t="str">
        <f t="shared" ca="1" si="14"/>
        <v xml:space="preserve"> </v>
      </c>
      <c r="X174" s="141" t="str">
        <f ca="1">IF(S174=" "," ",IFERROR(VLOOKUP(U174,$F$23:$N$1023,7)+VLOOKUP(U174,$F$23:$N$1023,9)+IF(AND('депозитный калькулятор'!$G$13="нет",U174&lt;&gt;'депозитный калькулятор'!$D$8),VLOOKUP(U174,$F$23:$N$1023,4),0),0)+IF(U174='депозитный калькулятор'!$D$8,VLOOKUP(U174,$F$23:$N$1023,2)+VLOOKUP(U174,$F$23:$N$1023,4),0))</f>
        <v xml:space="preserve"> </v>
      </c>
      <c r="Y174" s="142" t="str">
        <f ca="1">IF(S174=" "," ",W174/(1+'депозитный калькулятор'!$K$8)^(T174/IF('депозитный калькулятор'!$G$7="30/360",360,365)))</f>
        <v xml:space="preserve"> </v>
      </c>
      <c r="Z174" s="142" t="str">
        <f ca="1">IF(S174=" "," ",X174/(1+'депозитный калькулятор'!$K$8)^(T174/IF('депозитный калькулятор'!$G$7="30/360",360,365)))</f>
        <v xml:space="preserve"> </v>
      </c>
      <c r="AA174" s="151"/>
      <c r="AB174" s="151"/>
      <c r="AC174" s="155"/>
      <c r="AD174" s="155"/>
    </row>
    <row r="175" spans="1:30" s="2" customFormat="1" ht="15.5" x14ac:dyDescent="0.35">
      <c r="A175" s="41" t="str">
        <f>IF(F175=" "," ",IF(OR('депозитный калькулятор'!$G$7="30/365",'депозитный калькулятор'!$G$7="30/360"),IF(AND(MONTH(F175)=2,DAY(F175)=DAY(EOMONTH(F175,0))),30-DAY(EOMONTH(F175,0)),IF(DAY(F175)=31,1," "))," "))</f>
        <v xml:space="preserve"> </v>
      </c>
      <c r="B175" s="130" t="str">
        <f t="shared" si="11"/>
        <v xml:space="preserve"> </v>
      </c>
      <c r="C175" s="130" t="str">
        <f>IF(OR(B175=0,B175=" ")," ",SUM($B$23:B175))</f>
        <v xml:space="preserve"> </v>
      </c>
      <c r="D175" s="62" t="str">
        <f>IF(D174=" "," ",IF(OR(F174='депозитный калькулятор'!$D$8,F174=" ")," ",D174+1))</f>
        <v xml:space="preserve"> </v>
      </c>
      <c r="E175" s="130" t="str">
        <f>IF(OR(F174='депозитный калькулятор'!$D$8,F174=" ")," ",IF(EOMONTH(F174,0)=F174,1,E174+1))</f>
        <v xml:space="preserve"> </v>
      </c>
      <c r="F175" s="64" t="str">
        <f>IF(F174=" "," ",IF(F174='депозитный калькулятор'!$D$8," ",F174+1))</f>
        <v xml:space="preserve"> </v>
      </c>
      <c r="G175" s="145" t="str">
        <f xml:space="preserve"> IF(F175&gt;'депозитный калькулятор'!$D$8," ",IF('депозитный калькулятор'!$G$13="есть",IF('депозитный калькулятор'!$G$14="есть",G174+IF(I174=" ",0,I174)-J175-K175+L175+M175-N175,G174+IF(I174=" ",0,I174)-J175-K175+M175-N175),IF('депозитный калькулятор'!$G$14="есть",G174-J175-K175+L175+M175-N175,G174-J175-K175+M175-N175)))</f>
        <v xml:space="preserve"> </v>
      </c>
      <c r="H175" s="133" t="str">
        <f>IF(F175&gt;'депозитный калькулятор'!$D$8," ",IF(AND(OR('депозитный калькулятор'!$G$7="30/365",'депозитный калькулятор'!$G$7="30/360"),AND(MONTH(F175)=2,EOMONTH(F175,0)=F175)),IF(DAY(F175)=28,3*G175*'депозитный калькулятор'!$G$8,2*G175*'депозитный калькулятор'!$G$8),IF(AND(OR('депозитный калькулятор'!$G$7="30/365",'депозитный калькулятор'!$G$7="30/360"),DAY(F175)=31)," ",IF(AND('депозитный калькулятор'!$G$7="факт/факт",MOD(YEAR(F175),4)=0),G175*'депозитный калькулятор'!$D$11/366,G175*'депозитный калькулятор'!$G$8))))</f>
        <v xml:space="preserve"> </v>
      </c>
      <c r="I175" s="134" t="str">
        <f ca="1">IF(F175=" "," ",IF('депозитный калькулятор'!$G$10="ежедневное",H175,IF(AND('депозитный калькулятор'!$G$10="еженедельное",WEEKDAY(F175,2)=7),SUM(OFFSET(H175,-6,0):H175),IF(AND('депозитный калькулятор'!$G$10="еженедельное",F175='депозитный калькулятор'!$D$8),SUM($H$23:H175)-SUM($I$23:I174),IF(AND('депозитный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недели",WEEKDAY(F175,2)=7),MIN(OFFSET(H175,-6,0):H175)*(COUNTIF(OFFSET(H175,-6,0):H175,"&gt;0")+SUMIF(OFFSET(A175,-WEEKDAY(F175,2),0):A175,"=2",OFFSET(A175,-WEEKDAY(F175,2),0):A175)),IF(AND('депозитный калькулятор'!$G$10="еженедельное, на минимальную сумму зафиксированную в течение недели",F175='депозитный калькулятор'!$D$8,WEEKDAY(F175,2)&lt;&gt;7),MIN(OFFSET(H175,-WEEKDAY(F175,2),0):H175)*(COUNTIF(OFFSET(H175,-WEEKDAY(F175,2)+1,0):H175,"&gt;0")+SUM(OFFSET(A175,-WEEKDAY(F175,2),0):A175)),IF(AND('депозитный калькулятор'!$G$10="ежемесячное (в конце месяца)",F175='депозитный калькулятор'!$D$8,EOMONTH(F175,0)&lt;&gt;F175),IF('депозитный калькулятор'!$F$1=1,$H$24,SUM($H$23:H175)-SUM($I$23:I174)),IF(AND('депозитный калькулятор'!$G$10="ежемесячное (в конце месяца)",EOMONTH(F175,0)=F175),SUM($H$23:H175)-SUM($I$23:I174),IF(AND('депозитный калькулятор'!$G$10="ежемесячное (по дням открытия вклада)",F175='депозитный калькулятор'!$D$8,DAY('депозитный калькулятор'!$D$7)&lt;&gt;DAY(F175)),IF('депозитный калькулятор'!$F$1=1,$H$24,SUM($H$23:H175)-SUM($I$23:I174)),IF(AND('депозитный калькулятор'!$G$10="ежемесячное (по дням открытия вклада)",DAY('депозитный калькулятор'!$D$7)=DAY(F175)),SUM($H$23:H175)-SUM($I$23:I174),IF(AND('депозитный калькулятор'!$G$10="ежемесячное, на минимальную сумму зафиксированную в течение месяца",F175='депозитный калькулятор'!$D$8,EOMONTH(F175,0)&lt;&gt;F175),IF('депозитный калькулятор'!$F$1=1,$H$24,IF(AND(OR('депозитный калькулятор'!$G$7="30/365",'депозитный калькулятор'!$G$7="30/360"),DAY(F175)=31),0,MIN(OFFSET(H175,-E175+1,0):H175)*(E175+SUMIF(OFFSET(A175,-E175+1,0):A175,"=2",OFFSET(A175,-E175+1,0):A175)))),IF(AND('депозитный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калькулятор'!$G$7="30/360"),DAY(EOMONTH(F175,0))=31),EOMONTH(F175,0)-1=F175,EOMONTH(F175,0)=F175)),IF(IF(AND(OR('депозитный калькулятор'!$G$7="30/365",'депозитный калькулятор'!$G$7="30/360"),DAY(EOMONTH($F$23,0))=31),F175=EOMONTH($F$23,0)-1,F175=EOMONTH($F$23,0)),MIN(OFFSET(H175,-(DAY(F175)-DAY($F$23)),0):H175)*E175,MIN(OFFSET(H175,-(DAY(F175)-1),0):H175)*IF(AND(OR('депозитный калькулятор'!$G$7="30/365",'депозитный калькулятор'!$G$7="30/360"),DAY(F175)&lt;30),30,DAY(F175))),IF(AND('депозитный калькулятор'!$G$10="ежемесячное, на средний остаток в течение месяца, при условии что остаток больше чем ограничение",F175='депозитный калькулятор'!$D$8,EOMONTH(F175,0)&lt;&gt;F175),IF('депозитный калькулятор'!$F$1=1,$H$24,SUM(OFFSET(Q175,-E175+1,0):Q175)),IF(AND('депозитный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калькулятор'!$G$7="30/360"),DAY(EOMONTH(F175,0))=31),EOMONTH(F175,0)-1=F175,EOMONTH(F175,0)=F175)),IF(IF(AND(OR('депозитный калькулятор'!$G$7="30/365",'депозитный калькулятор'!$G$7="30/360"),DAY(EOMONTH($F$24,0))=31),F175=EOMONTH($F$24,0)-1,F175=EOMONTH($F$24,0)),SUM(OFFSET(Q175,-E175+1,0):Q175),SUM(OFFSET(Q175,-E175+1,0):Q175)),IF('депозитный калькулятор'!$G$10="ежеквартальное",IF(F175&gt;'депозитный калькулятор'!$D$8," ",IF(AND(EOMONTH(F175,0)=F175,OR(MONTH(F175)=3,MONTH(F175)=6,MONTH(F175)=9,MONTH(F175)=12)),IF(EDATE(F175,-3)&lt;'депозитный калькулятор'!$D$7,SUM($H$23:H175),IF(MOD(YEAR(F175),4)=0,IF(AND(EOMONTH(F175,0)=F175,OR(MONTH(F175)=3,MONTH(F175)=6)),SUM(OFFSET(H175,-90,0):H175),IF(AND(EOMONTH(F175,0)=F175,OR(MONTH(F175)=9,MONTH(F175)=12)),SUM(OFFSET(H175,-91,0):H175))),IF(AND(EOMONTH(F175,0)=F175,MONTH(F175)=3),SUM(OFFSET(H175,-89,0):H175),IF(AND(EOMONTH(F175,0)=F175,MONTH(F175)=6),SUM(OFFSET(H175,-90,0):H175),IF(AND(EOMONTH(F175,0)=F175,OR(MONTH(F175)=9,MONTH(F175)=12)),SUM(OFFSET(H175,-91,0):H175)))))),IF(F175='депозитный калькулятор'!$D$8,SUM($H$23:H175)-SUM($I$23:I174),0))),IF('депозитный калькулятор'!$G$10="ежегодное",IF(F175&gt;'депозитный калькулятор'!$D$8," ",IF(F175='депозитный калькулятор'!$D$8,SUM($H$23:H175)-SUM($I$23:I174),IF(AND(EOMONTH(F175,0)=F175,MONTH(F175)=12),IF(MOD(YEAR(F174),4)=0,IF(F175-'депозитный калькулятор'!$D$7&lt;366,SUM($H$23:H175),SUM(OFFSET(H175,-365,0):H175)),IF(F175-'депозитный калькулятор'!$D$7&lt;365,SUM($H$23:H175),SUM(OFFSET(H175,-364,0):H175))),0))),IF(AND('депозитный калькулятор'!$G$10="в конце срока",'депозитный калькулятор'!$D$8=F175),SUM($H$23:H175),0))))))))))))))))))</f>
        <v xml:space="preserve"> </v>
      </c>
      <c r="J175" s="59" t="str">
        <f>IF(F175&gt;'депозитный калькулятор'!$D$8," ",IF('депозитный калькулятор'!$G$16="нет",0,IF(AND('депозитный калькулятор'!$G$17="разовая (в конце срока)",F175='депозитный калькулятор'!$D$8),'депозитный калькулятор'!$G$18,IF(AND('депозитный калькулятор'!$G$17="ежемесячная",EOMONTH(F174,0)=F174),'депозитный калькулятор'!$G$18,IF(AND('депозитный калькулятор'!$G$17="ежегодная",DAY(F174)=31,MONTH(F174)=12),'депозитный калькулятор'!$G$18,IF(AND('депозитный калькулятор'!$G$17="ежемесячная в зависимости от остатка",EOMONTH(F174,0)=F174,P174&gt;0),'депозитный калькулятор'!$G$18,IF(AND('депозитный калькулятор'!$G$17="ежегодная в зависимости от остатка",DAY(F174)=31,MONTH(F174)=12,P174&gt;0),'депозитный калькулятор'!$G$18,0)))))))</f>
        <v xml:space="preserve"> </v>
      </c>
      <c r="K175" s="135" t="str">
        <f>IF($F175=" "," ",IFERROR(VLOOKUP($F175,'депозитный калькулятор'!$B$26:$F$70,2,0),0))</f>
        <v xml:space="preserve"> </v>
      </c>
      <c r="L175" s="135" t="str">
        <f>IF($F175=" "," ",IFERROR(VLOOKUP($F175,'депозитный калькулятор'!$B$26:$F$70,3,0),0))</f>
        <v xml:space="preserve"> </v>
      </c>
      <c r="M175" s="135" t="str">
        <f>IF($F175=" "," ",IFERROR(VLOOKUP($F175,'депозитный калькулятор'!$B$26:$F$70,4,0),0))</f>
        <v xml:space="preserve"> </v>
      </c>
      <c r="N175" s="135" t="str">
        <f>IF($F175=" "," ",IFERROR(VLOOKUP($F175,'депозитный калькулятор'!$B$26:$F$70,5,0),0))</f>
        <v xml:space="preserve"> </v>
      </c>
      <c r="O175" s="146" t="str">
        <f>IF(F175&gt;'депозитный калькулятор'!$D$8," ",IF(F175='депозитный калькулятор'!$D$8,IF(AND($F$24='депозитный калькулятор'!$D$8,'депозитный калькулятор'!$G$13="нет"),-G175-IF(I175=" ",0,I175)-IF(AND(OR('депозитный калькулятор'!$G$7="30/365",'депозитный калькулятор'!$G$7="30/360"),'депозитный калькулятор'!$G$10="в начале срока"),I174,0)-L175+M175-N175,-G175-IF(I175=" ",0,I175)-L175+M175-N175),IF('депозитный калькулятор'!$G$13="есть",M175-N175+IF('депозитный калькулятор'!$G$14="есть",0,-L175),-IF(I175=" ",0,I175)-IF(AND(OR('депозитный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срока"),I174,0)+M175-N175+IF('депозитный калькулятор'!$G$14="есть",0,-L175))))</f>
        <v xml:space="preserve"> </v>
      </c>
      <c r="P175" s="147" t="str">
        <f>IF(F175&gt;'депозитный калькулятор'!$D$8," ",IF(EOMONTH(F174,0)=F174,0,IF(G175&gt;='депозитный калькулятор'!$G$19,P174,P174+1)))</f>
        <v xml:space="preserve"> </v>
      </c>
      <c r="Q175" s="138" t="str">
        <f>IF(F175=" "," ",IF(AND(OR('депозитный калькулятор'!$G$7="30/365",'депозитный калькулятор'!$G$7="30/360"),AND(MONTH(F175)=2,EOMONTH(F175,0)=F175)),IF(DAY(F175)=28,3,2),1)*IF(G175&gt;='депозитный калькулятор'!$G$11,IF(AND('депозитный калькулятор'!$G$7="факт/факт",MOD(YEAR(F175),4)=0),G175*'депозитный калькулятор'!$D$11/366,G175*'депозитный калькулятор'!$G$8),0))</f>
        <v xml:space="preserve"> </v>
      </c>
      <c r="R175" s="148"/>
      <c r="S175" s="62" t="str">
        <f t="shared" ca="1" si="12"/>
        <v xml:space="preserve"> </v>
      </c>
      <c r="T175" s="149" t="str">
        <f ca="1">IF(S175=" "," ",IF('депозитный калькулятор'!$G$7="30/360",DAYS360(U174,IF(DAY(U175)=31,U175-1,U175))+IF(AND(MONTH(U175)=2,U175=EOMONTH(U175,0)),30-DAY(EOMONTH(U175,0)))+T174,VLOOKUP(S175,$C$22:$F$1023,2,0)))</f>
        <v xml:space="preserve"> </v>
      </c>
      <c r="U175" s="64" t="str">
        <f t="shared" ca="1" si="10"/>
        <v xml:space="preserve"> </v>
      </c>
      <c r="V175" s="150" t="str">
        <f t="shared" ca="1" si="13"/>
        <v xml:space="preserve"> </v>
      </c>
      <c r="W175" s="62" t="str">
        <f t="shared" ca="1" si="14"/>
        <v xml:space="preserve"> </v>
      </c>
      <c r="X175" s="141" t="str">
        <f ca="1">IF(S175=" "," ",IFERROR(VLOOKUP(U175,$F$23:$N$1023,7)+VLOOKUP(U175,$F$23:$N$1023,9)+IF(AND('депозитный калькулятор'!$G$13="нет",U175&lt;&gt;'депозитный калькулятор'!$D$8),VLOOKUP(U175,$F$23:$N$1023,4),0),0)+IF(U175='депозитный калькулятор'!$D$8,VLOOKUP(U175,$F$23:$N$1023,2)+VLOOKUP(U175,$F$23:$N$1023,4),0))</f>
        <v xml:space="preserve"> </v>
      </c>
      <c r="Y175" s="142" t="str">
        <f ca="1">IF(S175=" "," ",W175/(1+'депозитный калькулятор'!$K$8)^(T175/IF('депозитный калькулятор'!$G$7="30/360",360,365)))</f>
        <v xml:space="preserve"> </v>
      </c>
      <c r="Z175" s="142" t="str">
        <f ca="1">IF(S175=" "," ",X175/(1+'депозитный калькулятор'!$K$8)^(T175/IF('депозитный калькулятор'!$G$7="30/360",360,365)))</f>
        <v xml:space="preserve"> </v>
      </c>
      <c r="AA175" s="151"/>
      <c r="AB175" s="151"/>
      <c r="AC175" s="155"/>
      <c r="AD175" s="155"/>
    </row>
    <row r="176" spans="1:30" s="2" customFormat="1" ht="15.5" x14ac:dyDescent="0.35">
      <c r="A176" s="41" t="str">
        <f>IF(F176=" "," ",IF(OR('депозитный калькулятор'!$G$7="30/365",'депозитный калькулятор'!$G$7="30/360"),IF(AND(MONTH(F176)=2,DAY(F176)=DAY(EOMONTH(F176,0))),30-DAY(EOMONTH(F176,0)),IF(DAY(F176)=31,1," "))," "))</f>
        <v xml:space="preserve"> </v>
      </c>
      <c r="B176" s="130" t="str">
        <f t="shared" si="11"/>
        <v xml:space="preserve"> </v>
      </c>
      <c r="C176" s="130" t="str">
        <f>IF(OR(B176=0,B176=" ")," ",SUM($B$23:B176))</f>
        <v xml:space="preserve"> </v>
      </c>
      <c r="D176" s="62" t="str">
        <f>IF(D175=" "," ",IF(OR(F175='депозитный калькулятор'!$D$8,F175=" ")," ",D175+1))</f>
        <v xml:space="preserve"> </v>
      </c>
      <c r="E176" s="130" t="str">
        <f>IF(OR(F175='депозитный калькулятор'!$D$8,F175=" ")," ",IF(EOMONTH(F175,0)=F175,1,E175+1))</f>
        <v xml:space="preserve"> </v>
      </c>
      <c r="F176" s="64" t="str">
        <f>IF(F175=" "," ",IF(F175='депозитный калькулятор'!$D$8," ",F175+1))</f>
        <v xml:space="preserve"> </v>
      </c>
      <c r="G176" s="145" t="str">
        <f xml:space="preserve"> IF(F176&gt;'депозитный калькулятор'!$D$8," ",IF('депозитный калькулятор'!$G$13="есть",IF('депозитный калькулятор'!$G$14="есть",G175+IF(I175=" ",0,I175)-J176-K176+L176+M176-N176,G175+IF(I175=" ",0,I175)-J176-K176+M176-N176),IF('депозитный калькулятор'!$G$14="есть",G175-J176-K176+L176+M176-N176,G175-J176-K176+M176-N176)))</f>
        <v xml:space="preserve"> </v>
      </c>
      <c r="H176" s="133" t="str">
        <f>IF(F176&gt;'депозитный калькулятор'!$D$8," ",IF(AND(OR('депозитный калькулятор'!$G$7="30/365",'депозитный калькулятор'!$G$7="30/360"),AND(MONTH(F176)=2,EOMONTH(F176,0)=F176)),IF(DAY(F176)=28,3*G176*'депозитный калькулятор'!$G$8,2*G176*'депозитный калькулятор'!$G$8),IF(AND(OR('депозитный калькулятор'!$G$7="30/365",'депозитный калькулятор'!$G$7="30/360"),DAY(F176)=31)," ",IF(AND('депозитный калькулятор'!$G$7="факт/факт",MOD(YEAR(F176),4)=0),G176*'депозитный калькулятор'!$D$11/366,G176*'депозитный калькулятор'!$G$8))))</f>
        <v xml:space="preserve"> </v>
      </c>
      <c r="I176" s="134" t="str">
        <f ca="1">IF(F176=" "," ",IF('депозитный калькулятор'!$G$10="ежедневное",H176,IF(AND('депозитный калькулятор'!$G$10="еженедельное",WEEKDAY(F176,2)=7),SUM(OFFSET(H176,-6,0):H176),IF(AND('депозитный калькулятор'!$G$10="еженедельное",F176='депозитный калькулятор'!$D$8),SUM($H$23:H176)-SUM($I$23:I175),IF(AND('депозитный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недели",WEEKDAY(F176,2)=7),MIN(OFFSET(H176,-6,0):H176)*(COUNTIF(OFFSET(H176,-6,0):H176,"&gt;0")+SUMIF(OFFSET(A176,-WEEKDAY(F176,2),0):A176,"=2",OFFSET(A176,-WEEKDAY(F176,2),0):A176)),IF(AND('депозитный калькулятор'!$G$10="еженедельное, на минимальную сумму зафиксированную в течение недели",F176='депозитный калькулятор'!$D$8,WEEKDAY(F176,2)&lt;&gt;7),MIN(OFFSET(H176,-WEEKDAY(F176,2),0):H176)*(COUNTIF(OFFSET(H176,-WEEKDAY(F176,2)+1,0):H176,"&gt;0")+SUM(OFFSET(A176,-WEEKDAY(F176,2),0):A176)),IF(AND('депозитный калькулятор'!$G$10="ежемесячное (в конце месяца)",F176='депозитный калькулятор'!$D$8,EOMONTH(F176,0)&lt;&gt;F176),IF('депозитный калькулятор'!$F$1=1,$H$24,SUM($H$23:H176)-SUM($I$23:I175)),IF(AND('депозитный калькулятор'!$G$10="ежемесячное (в конце месяца)",EOMONTH(F176,0)=F176),SUM($H$23:H176)-SUM($I$23:I175),IF(AND('депозитный калькулятор'!$G$10="ежемесячное (по дням открытия вклада)",F176='депозитный калькулятор'!$D$8,DAY('депозитный калькулятор'!$D$7)&lt;&gt;DAY(F176)),IF('депозитный калькулятор'!$F$1=1,$H$24,SUM($H$23:H176)-SUM($I$23:I175)),IF(AND('депозитный калькулятор'!$G$10="ежемесячное (по дням открытия вклада)",DAY('депозитный калькулятор'!$D$7)=DAY(F176)),SUM($H$23:H176)-SUM($I$23:I175),IF(AND('депозитный калькулятор'!$G$10="ежемесячное, на минимальную сумму зафиксированную в течение месяца",F176='депозитный калькулятор'!$D$8,EOMONTH(F176,0)&lt;&gt;F176),IF('депозитный калькулятор'!$F$1=1,$H$24,IF(AND(OR('депозитный калькулятор'!$G$7="30/365",'депозитный калькулятор'!$G$7="30/360"),DAY(F176)=31),0,MIN(OFFSET(H176,-E176+1,0):H176)*(E176+SUMIF(OFFSET(A176,-E176+1,0):A176,"=2",OFFSET(A176,-E176+1,0):A176)))),IF(AND('депозитный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калькулятор'!$G$7="30/360"),DAY(EOMONTH(F176,0))=31),EOMONTH(F176,0)-1=F176,EOMONTH(F176,0)=F176)),IF(IF(AND(OR('депозитный калькулятор'!$G$7="30/365",'депозитный калькулятор'!$G$7="30/360"),DAY(EOMONTH($F$23,0))=31),F176=EOMONTH($F$23,0)-1,F176=EOMONTH($F$23,0)),MIN(OFFSET(H176,-(DAY(F176)-DAY($F$23)),0):H176)*E176,MIN(OFFSET(H176,-(DAY(F176)-1),0):H176)*IF(AND(OR('депозитный калькулятор'!$G$7="30/365",'депозитный калькулятор'!$G$7="30/360"),DAY(F176)&lt;30),30,DAY(F176))),IF(AND('депозитный калькулятор'!$G$10="ежемесячное, на средний остаток в течение месяца, при условии что остаток больше чем ограничение",F176='депозитный калькулятор'!$D$8,EOMONTH(F176,0)&lt;&gt;F176),IF('депозитный калькулятор'!$F$1=1,$H$24,SUM(OFFSET(Q176,-E176+1,0):Q176)),IF(AND('депозитный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калькулятор'!$G$7="30/360"),DAY(EOMONTH(F176,0))=31),EOMONTH(F176,0)-1=F176,EOMONTH(F176,0)=F176)),IF(IF(AND(OR('депозитный калькулятор'!$G$7="30/365",'депозитный калькулятор'!$G$7="30/360"),DAY(EOMONTH($F$24,0))=31),F176=EOMONTH($F$24,0)-1,F176=EOMONTH($F$24,0)),SUM(OFFSET(Q176,-E176+1,0):Q176),SUM(OFFSET(Q176,-E176+1,0):Q176)),IF('депозитный калькулятор'!$G$10="ежеквартальное",IF(F176&gt;'депозитный калькулятор'!$D$8," ",IF(AND(EOMONTH(F176,0)=F176,OR(MONTH(F176)=3,MONTH(F176)=6,MONTH(F176)=9,MONTH(F176)=12)),IF(EDATE(F176,-3)&lt;'депозитный калькулятор'!$D$7,SUM($H$23:H176),IF(MOD(YEAR(F176),4)=0,IF(AND(EOMONTH(F176,0)=F176,OR(MONTH(F176)=3,MONTH(F176)=6)),SUM(OFFSET(H176,-90,0):H176),IF(AND(EOMONTH(F176,0)=F176,OR(MONTH(F176)=9,MONTH(F176)=12)),SUM(OFFSET(H176,-91,0):H176))),IF(AND(EOMONTH(F176,0)=F176,MONTH(F176)=3),SUM(OFFSET(H176,-89,0):H176),IF(AND(EOMONTH(F176,0)=F176,MONTH(F176)=6),SUM(OFFSET(H176,-90,0):H176),IF(AND(EOMONTH(F176,0)=F176,OR(MONTH(F176)=9,MONTH(F176)=12)),SUM(OFFSET(H176,-91,0):H176)))))),IF(F176='депозитный калькулятор'!$D$8,SUM($H$23:H176)-SUM($I$23:I175),0))),IF('депозитный калькулятор'!$G$10="ежегодное",IF(F176&gt;'депозитный калькулятор'!$D$8," ",IF(F176='депозитный калькулятор'!$D$8,SUM($H$23:H176)-SUM($I$23:I175),IF(AND(EOMONTH(F176,0)=F176,MONTH(F176)=12),IF(MOD(YEAR(F175),4)=0,IF(F176-'депозитный калькулятор'!$D$7&lt;366,SUM($H$23:H176),SUM(OFFSET(H176,-365,0):H176)),IF(F176-'депозитный калькулятор'!$D$7&lt;365,SUM($H$23:H176),SUM(OFFSET(H176,-364,0):H176))),0))),IF(AND('депозитный калькулятор'!$G$10="в конце срока",'депозитный калькулятор'!$D$8=F176),SUM($H$23:H176),0))))))))))))))))))</f>
        <v xml:space="preserve"> </v>
      </c>
      <c r="J176" s="59" t="str">
        <f>IF(F176&gt;'депозитный калькулятор'!$D$8," ",IF('депозитный калькулятор'!$G$16="нет",0,IF(AND('депозитный калькулятор'!$G$17="разовая (в конце срока)",F176='депозитный калькулятор'!$D$8),'депозитный калькулятор'!$G$18,IF(AND('депозитный калькулятор'!$G$17="ежемесячная",EOMONTH(F175,0)=F175),'депозитный калькулятор'!$G$18,IF(AND('депозитный калькулятор'!$G$17="ежегодная",DAY(F175)=31,MONTH(F175)=12),'депозитный калькулятор'!$G$18,IF(AND('депозитный калькулятор'!$G$17="ежемесячная в зависимости от остатка",EOMONTH(F175,0)=F175,P175&gt;0),'депозитный калькулятор'!$G$18,IF(AND('депозитный калькулятор'!$G$17="ежегодная в зависимости от остатка",DAY(F175)=31,MONTH(F175)=12,P175&gt;0),'депозитный калькулятор'!$G$18,0)))))))</f>
        <v xml:space="preserve"> </v>
      </c>
      <c r="K176" s="135" t="str">
        <f>IF($F176=" "," ",IFERROR(VLOOKUP($F176,'депозитный калькулятор'!$B$26:$F$70,2,0),0))</f>
        <v xml:space="preserve"> </v>
      </c>
      <c r="L176" s="135" t="str">
        <f>IF($F176=" "," ",IFERROR(VLOOKUP($F176,'депозитный калькулятор'!$B$26:$F$70,3,0),0))</f>
        <v xml:space="preserve"> </v>
      </c>
      <c r="M176" s="135" t="str">
        <f>IF($F176=" "," ",IFERROR(VLOOKUP($F176,'депозитный калькулятор'!$B$26:$F$70,4,0),0))</f>
        <v xml:space="preserve"> </v>
      </c>
      <c r="N176" s="135" t="str">
        <f>IF($F176=" "," ",IFERROR(VLOOKUP($F176,'депозитный калькулятор'!$B$26:$F$70,5,0),0))</f>
        <v xml:space="preserve"> </v>
      </c>
      <c r="O176" s="146" t="str">
        <f>IF(F176&gt;'депозитный калькулятор'!$D$8," ",IF(F176='депозитный калькулятор'!$D$8,IF(AND($F$24='депозитный калькулятор'!$D$8,'депозитный калькулятор'!$G$13="нет"),-G176-IF(I176=" ",0,I176)-IF(AND(OR('депозитный калькулятор'!$G$7="30/365",'депозитный калькулятор'!$G$7="30/360"),'депозитный калькулятор'!$G$10="в начале срока"),I175,0)-L176+M176-N176,-G176-IF(I176=" ",0,I176)-L176+M176-N176),IF('депозитный калькулятор'!$G$13="есть",M176-N176+IF('депозитный калькулятор'!$G$14="есть",0,-L176),-IF(I176=" ",0,I176)-IF(AND(OR('депозитный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срока"),I175,0)+M176-N176+IF('депозитный калькулятор'!$G$14="есть",0,-L176))))</f>
        <v xml:space="preserve"> </v>
      </c>
      <c r="P176" s="147" t="str">
        <f>IF(F176&gt;'депозитный калькулятор'!$D$8," ",IF(EOMONTH(F175,0)=F175,0,IF(G176&gt;='депозитный калькулятор'!$G$19,P175,P175+1)))</f>
        <v xml:space="preserve"> </v>
      </c>
      <c r="Q176" s="138" t="str">
        <f>IF(F176=" "," ",IF(AND(OR('депозитный калькулятор'!$G$7="30/365",'депозитный калькулятор'!$G$7="30/360"),AND(MONTH(F176)=2,EOMONTH(F176,0)=F176)),IF(DAY(F176)=28,3,2),1)*IF(G176&gt;='депозитный калькулятор'!$G$11,IF(AND('депозитный калькулятор'!$G$7="факт/факт",MOD(YEAR(F176),4)=0),G176*'депозитный калькулятор'!$D$11/366,G176*'депозитный калькулятор'!$G$8),0))</f>
        <v xml:space="preserve"> </v>
      </c>
      <c r="R176" s="148"/>
      <c r="S176" s="62" t="str">
        <f t="shared" ca="1" si="12"/>
        <v xml:space="preserve"> </v>
      </c>
      <c r="T176" s="149" t="str">
        <f ca="1">IF(S176=" "," ",IF('депозитный калькулятор'!$G$7="30/360",DAYS360(U175,IF(DAY(U176)=31,U176-1,U176))+IF(AND(MONTH(U176)=2,U176=EOMONTH(U176,0)),30-DAY(EOMONTH(U176,0)))+T175,VLOOKUP(S176,$C$22:$F$1023,2,0)))</f>
        <v xml:space="preserve"> </v>
      </c>
      <c r="U176" s="64" t="str">
        <f t="shared" ca="1" si="10"/>
        <v xml:space="preserve"> </v>
      </c>
      <c r="V176" s="150" t="str">
        <f t="shared" ca="1" si="13"/>
        <v xml:space="preserve"> </v>
      </c>
      <c r="W176" s="62" t="str">
        <f t="shared" ca="1" si="14"/>
        <v xml:space="preserve"> </v>
      </c>
      <c r="X176" s="141" t="str">
        <f ca="1">IF(S176=" "," ",IFERROR(VLOOKUP(U176,$F$23:$N$1023,7)+VLOOKUP(U176,$F$23:$N$1023,9)+IF(AND('депозитный калькулятор'!$G$13="нет",U176&lt;&gt;'депозитный калькулятор'!$D$8),VLOOKUP(U176,$F$23:$N$1023,4),0),0)+IF(U176='депозитный калькулятор'!$D$8,VLOOKUP(U176,$F$23:$N$1023,2)+VLOOKUP(U176,$F$23:$N$1023,4),0))</f>
        <v xml:space="preserve"> </v>
      </c>
      <c r="Y176" s="142" t="str">
        <f ca="1">IF(S176=" "," ",W176/(1+'депозитный калькулятор'!$K$8)^(T176/IF('депозитный калькулятор'!$G$7="30/360",360,365)))</f>
        <v xml:space="preserve"> </v>
      </c>
      <c r="Z176" s="142" t="str">
        <f ca="1">IF(S176=" "," ",X176/(1+'депозитный калькулятор'!$K$8)^(T176/IF('депозитный калькулятор'!$G$7="30/360",360,365)))</f>
        <v xml:space="preserve"> </v>
      </c>
      <c r="AA176" s="151"/>
      <c r="AB176" s="151"/>
      <c r="AC176" s="155"/>
      <c r="AD176" s="155"/>
    </row>
    <row r="177" spans="1:30" s="2" customFormat="1" ht="15.5" x14ac:dyDescent="0.35">
      <c r="A177" s="41" t="str">
        <f>IF(F177=" "," ",IF(OR('депозитный калькулятор'!$G$7="30/365",'депозитный калькулятор'!$G$7="30/360"),IF(AND(MONTH(F177)=2,DAY(F177)=DAY(EOMONTH(F177,0))),30-DAY(EOMONTH(F177,0)),IF(DAY(F177)=31,1," "))," "))</f>
        <v xml:space="preserve"> </v>
      </c>
      <c r="B177" s="130" t="str">
        <f t="shared" si="11"/>
        <v xml:space="preserve"> </v>
      </c>
      <c r="C177" s="130" t="str">
        <f>IF(OR(B177=0,B177=" ")," ",SUM($B$23:B177))</f>
        <v xml:space="preserve"> </v>
      </c>
      <c r="D177" s="62" t="str">
        <f>IF(D176=" "," ",IF(OR(F176='депозитный калькулятор'!$D$8,F176=" ")," ",D176+1))</f>
        <v xml:space="preserve"> </v>
      </c>
      <c r="E177" s="130" t="str">
        <f>IF(OR(F176='депозитный калькулятор'!$D$8,F176=" ")," ",IF(EOMONTH(F176,0)=F176,1,E176+1))</f>
        <v xml:space="preserve"> </v>
      </c>
      <c r="F177" s="64" t="str">
        <f>IF(F176=" "," ",IF(F176='депозитный калькулятор'!$D$8," ",F176+1))</f>
        <v xml:space="preserve"> </v>
      </c>
      <c r="G177" s="145" t="str">
        <f xml:space="preserve"> IF(F177&gt;'депозитный калькулятор'!$D$8," ",IF('депозитный калькулятор'!$G$13="есть",IF('депозитный калькулятор'!$G$14="есть",G176+IF(I176=" ",0,I176)-J177-K177+L177+M177-N177,G176+IF(I176=" ",0,I176)-J177-K177+M177-N177),IF('депозитный калькулятор'!$G$14="есть",G176-J177-K177+L177+M177-N177,G176-J177-K177+M177-N177)))</f>
        <v xml:space="preserve"> </v>
      </c>
      <c r="H177" s="133" t="str">
        <f>IF(F177&gt;'депозитный калькулятор'!$D$8," ",IF(AND(OR('депозитный калькулятор'!$G$7="30/365",'депозитный калькулятор'!$G$7="30/360"),AND(MONTH(F177)=2,EOMONTH(F177,0)=F177)),IF(DAY(F177)=28,3*G177*'депозитный калькулятор'!$G$8,2*G177*'депозитный калькулятор'!$G$8),IF(AND(OR('депозитный калькулятор'!$G$7="30/365",'депозитный калькулятор'!$G$7="30/360"),DAY(F177)=31)," ",IF(AND('депозитный калькулятор'!$G$7="факт/факт",MOD(YEAR(F177),4)=0),G177*'депозитный калькулятор'!$D$11/366,G177*'депозитный калькулятор'!$G$8))))</f>
        <v xml:space="preserve"> </v>
      </c>
      <c r="I177" s="134" t="str">
        <f ca="1">IF(F177=" "," ",IF('депозитный калькулятор'!$G$10="ежедневное",H177,IF(AND('депозитный калькулятор'!$G$10="еженедельное",WEEKDAY(F177,2)=7),SUM(OFFSET(H177,-6,0):H177),IF(AND('депозитный калькулятор'!$G$10="еженедельное",F177='депозитный калькулятор'!$D$8),SUM($H$23:H177)-SUM($I$23:I176),IF(AND('депозитный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недели",WEEKDAY(F177,2)=7),MIN(OFFSET(H177,-6,0):H177)*(COUNTIF(OFFSET(H177,-6,0):H177,"&gt;0")+SUMIF(OFFSET(A177,-WEEKDAY(F177,2),0):A177,"=2",OFFSET(A177,-WEEKDAY(F177,2),0):A177)),IF(AND('депозитный калькулятор'!$G$10="еженедельное, на минимальную сумму зафиксированную в течение недели",F177='депозитный калькулятор'!$D$8,WEEKDAY(F177,2)&lt;&gt;7),MIN(OFFSET(H177,-WEEKDAY(F177,2),0):H177)*(COUNTIF(OFFSET(H177,-WEEKDAY(F177,2)+1,0):H177,"&gt;0")+SUM(OFFSET(A177,-WEEKDAY(F177,2),0):A177)),IF(AND('депозитный калькулятор'!$G$10="ежемесячное (в конце месяца)",F177='депозитный калькулятор'!$D$8,EOMONTH(F177,0)&lt;&gt;F177),IF('депозитный калькулятор'!$F$1=1,$H$24,SUM($H$23:H177)-SUM($I$23:I176)),IF(AND('депозитный калькулятор'!$G$10="ежемесячное (в конце месяца)",EOMONTH(F177,0)=F177),SUM($H$23:H177)-SUM($I$23:I176),IF(AND('депозитный калькулятор'!$G$10="ежемесячное (по дням открытия вклада)",F177='депозитный калькулятор'!$D$8,DAY('депозитный калькулятор'!$D$7)&lt;&gt;DAY(F177)),IF('депозитный калькулятор'!$F$1=1,$H$24,SUM($H$23:H177)-SUM($I$23:I176)),IF(AND('депозитный калькулятор'!$G$10="ежемесячное (по дням открытия вклада)",DAY('депозитный калькулятор'!$D$7)=DAY(F177)),SUM($H$23:H177)-SUM($I$23:I176),IF(AND('депозитный калькулятор'!$G$10="ежемесячное, на минимальную сумму зафиксированную в течение месяца",F177='депозитный калькулятор'!$D$8,EOMONTH(F177,0)&lt;&gt;F177),IF('депозитный калькулятор'!$F$1=1,$H$24,IF(AND(OR('депозитный калькулятор'!$G$7="30/365",'депозитный калькулятор'!$G$7="30/360"),DAY(F177)=31),0,MIN(OFFSET(H177,-E177+1,0):H177)*(E177+SUMIF(OFFSET(A177,-E177+1,0):A177,"=2",OFFSET(A177,-E177+1,0):A177)))),IF(AND('депозитный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калькулятор'!$G$7="30/360"),DAY(EOMONTH(F177,0))=31),EOMONTH(F177,0)-1=F177,EOMONTH(F177,0)=F177)),IF(IF(AND(OR('депозитный калькулятор'!$G$7="30/365",'депозитный калькулятор'!$G$7="30/360"),DAY(EOMONTH($F$23,0))=31),F177=EOMONTH($F$23,0)-1,F177=EOMONTH($F$23,0)),MIN(OFFSET(H177,-(DAY(F177)-DAY($F$23)),0):H177)*E177,MIN(OFFSET(H177,-(DAY(F177)-1),0):H177)*IF(AND(OR('депозитный калькулятор'!$G$7="30/365",'депозитный калькулятор'!$G$7="30/360"),DAY(F177)&lt;30),30,DAY(F177))),IF(AND('депозитный калькулятор'!$G$10="ежемесячное, на средний остаток в течение месяца, при условии что остаток больше чем ограничение",F177='депозитный калькулятор'!$D$8,EOMONTH(F177,0)&lt;&gt;F177),IF('депозитный калькулятор'!$F$1=1,$H$24,SUM(OFFSET(Q177,-E177+1,0):Q177)),IF(AND('депозитный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калькулятор'!$G$7="30/360"),DAY(EOMONTH(F177,0))=31),EOMONTH(F177,0)-1=F177,EOMONTH(F177,0)=F177)),IF(IF(AND(OR('депозитный калькулятор'!$G$7="30/365",'депозитный калькулятор'!$G$7="30/360"),DAY(EOMONTH($F$24,0))=31),F177=EOMONTH($F$24,0)-1,F177=EOMONTH($F$24,0)),SUM(OFFSET(Q177,-E177+1,0):Q177),SUM(OFFSET(Q177,-E177+1,0):Q177)),IF('депозитный калькулятор'!$G$10="ежеквартальное",IF(F177&gt;'депозитный калькулятор'!$D$8," ",IF(AND(EOMONTH(F177,0)=F177,OR(MONTH(F177)=3,MONTH(F177)=6,MONTH(F177)=9,MONTH(F177)=12)),IF(EDATE(F177,-3)&lt;'депозитный калькулятор'!$D$7,SUM($H$23:H177),IF(MOD(YEAR(F177),4)=0,IF(AND(EOMONTH(F177,0)=F177,OR(MONTH(F177)=3,MONTH(F177)=6)),SUM(OFFSET(H177,-90,0):H177),IF(AND(EOMONTH(F177,0)=F177,OR(MONTH(F177)=9,MONTH(F177)=12)),SUM(OFFSET(H177,-91,0):H177))),IF(AND(EOMONTH(F177,0)=F177,MONTH(F177)=3),SUM(OFFSET(H177,-89,0):H177),IF(AND(EOMONTH(F177,0)=F177,MONTH(F177)=6),SUM(OFFSET(H177,-90,0):H177),IF(AND(EOMONTH(F177,0)=F177,OR(MONTH(F177)=9,MONTH(F177)=12)),SUM(OFFSET(H177,-91,0):H177)))))),IF(F177='депозитный калькулятор'!$D$8,SUM($H$23:H177)-SUM($I$23:I176),0))),IF('депозитный калькулятор'!$G$10="ежегодное",IF(F177&gt;'депозитный калькулятор'!$D$8," ",IF(F177='депозитный калькулятор'!$D$8,SUM($H$23:H177)-SUM($I$23:I176),IF(AND(EOMONTH(F177,0)=F177,MONTH(F177)=12),IF(MOD(YEAR(F176),4)=0,IF(F177-'депозитный калькулятор'!$D$7&lt;366,SUM($H$23:H177),SUM(OFFSET(H177,-365,0):H177)),IF(F177-'депозитный калькулятор'!$D$7&lt;365,SUM($H$23:H177),SUM(OFFSET(H177,-364,0):H177))),0))),IF(AND('депозитный калькулятор'!$G$10="в конце срока",'депозитный калькулятор'!$D$8=F177),SUM($H$23:H177),0))))))))))))))))))</f>
        <v xml:space="preserve"> </v>
      </c>
      <c r="J177" s="59" t="str">
        <f>IF(F177&gt;'депозитный калькулятор'!$D$8," ",IF('депозитный калькулятор'!$G$16="нет",0,IF(AND('депозитный калькулятор'!$G$17="разовая (в конце срока)",F177='депозитный калькулятор'!$D$8),'депозитный калькулятор'!$G$18,IF(AND('депозитный калькулятор'!$G$17="ежемесячная",EOMONTH(F176,0)=F176),'депозитный калькулятор'!$G$18,IF(AND('депозитный калькулятор'!$G$17="ежегодная",DAY(F176)=31,MONTH(F176)=12),'депозитный калькулятор'!$G$18,IF(AND('депозитный калькулятор'!$G$17="ежемесячная в зависимости от остатка",EOMONTH(F176,0)=F176,P176&gt;0),'депозитный калькулятор'!$G$18,IF(AND('депозитный калькулятор'!$G$17="ежегодная в зависимости от остатка",DAY(F176)=31,MONTH(F176)=12,P176&gt;0),'депозитный калькулятор'!$G$18,0)))))))</f>
        <v xml:space="preserve"> </v>
      </c>
      <c r="K177" s="135" t="str">
        <f>IF($F177=" "," ",IFERROR(VLOOKUP($F177,'депозитный калькулятор'!$B$26:$F$70,2,0),0))</f>
        <v xml:space="preserve"> </v>
      </c>
      <c r="L177" s="135" t="str">
        <f>IF($F177=" "," ",IFERROR(VLOOKUP($F177,'депозитный калькулятор'!$B$26:$F$70,3,0),0))</f>
        <v xml:space="preserve"> </v>
      </c>
      <c r="M177" s="135" t="str">
        <f>IF($F177=" "," ",IFERROR(VLOOKUP($F177,'депозитный калькулятор'!$B$26:$F$70,4,0),0))</f>
        <v xml:space="preserve"> </v>
      </c>
      <c r="N177" s="135" t="str">
        <f>IF($F177=" "," ",IFERROR(VLOOKUP($F177,'депозитный калькулятор'!$B$26:$F$70,5,0),0))</f>
        <v xml:space="preserve"> </v>
      </c>
      <c r="O177" s="146" t="str">
        <f>IF(F177&gt;'депозитный калькулятор'!$D$8," ",IF(F177='депозитный калькулятор'!$D$8,IF(AND($F$24='депозитный калькулятор'!$D$8,'депозитный калькулятор'!$G$13="нет"),-G177-IF(I177=" ",0,I177)-IF(AND(OR('депозитный калькулятор'!$G$7="30/365",'депозитный калькулятор'!$G$7="30/360"),'депозитный калькулятор'!$G$10="в начале срока"),I176,0)-L177+M177-N177,-G177-IF(I177=" ",0,I177)-L177+M177-N177),IF('депозитный калькулятор'!$G$13="есть",M177-N177+IF('депозитный калькулятор'!$G$14="есть",0,-L177),-IF(I177=" ",0,I177)-IF(AND(OR('депозитный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срока"),I176,0)+M177-N177+IF('депозитный калькулятор'!$G$14="есть",0,-L177))))</f>
        <v xml:space="preserve"> </v>
      </c>
      <c r="P177" s="147" t="str">
        <f>IF(F177&gt;'депозитный калькулятор'!$D$8," ",IF(EOMONTH(F176,0)=F176,0,IF(G177&gt;='депозитный калькулятор'!$G$19,P176,P176+1)))</f>
        <v xml:space="preserve"> </v>
      </c>
      <c r="Q177" s="138" t="str">
        <f>IF(F177=" "," ",IF(AND(OR('депозитный калькулятор'!$G$7="30/365",'депозитный калькулятор'!$G$7="30/360"),AND(MONTH(F177)=2,EOMONTH(F177,0)=F177)),IF(DAY(F177)=28,3,2),1)*IF(G177&gt;='депозитный калькулятор'!$G$11,IF(AND('депозитный калькулятор'!$G$7="факт/факт",MOD(YEAR(F177),4)=0),G177*'депозитный калькулятор'!$D$11/366,G177*'депозитный калькулятор'!$G$8),0))</f>
        <v xml:space="preserve"> </v>
      </c>
      <c r="R177" s="148"/>
      <c r="S177" s="62" t="str">
        <f t="shared" ca="1" si="12"/>
        <v xml:space="preserve"> </v>
      </c>
      <c r="T177" s="149" t="str">
        <f ca="1">IF(S177=" "," ",IF('депозитный калькулятор'!$G$7="30/360",DAYS360(U176,IF(DAY(U177)=31,U177-1,U177))+IF(AND(MONTH(U177)=2,U177=EOMONTH(U177,0)),30-DAY(EOMONTH(U177,0)))+T176,VLOOKUP(S177,$C$22:$F$1023,2,0)))</f>
        <v xml:space="preserve"> </v>
      </c>
      <c r="U177" s="64" t="str">
        <f t="shared" ca="1" si="10"/>
        <v xml:space="preserve"> </v>
      </c>
      <c r="V177" s="150" t="str">
        <f t="shared" ca="1" si="13"/>
        <v xml:space="preserve"> </v>
      </c>
      <c r="W177" s="62" t="str">
        <f t="shared" ca="1" si="14"/>
        <v xml:space="preserve"> </v>
      </c>
      <c r="X177" s="141" t="str">
        <f ca="1">IF(S177=" "," ",IFERROR(VLOOKUP(U177,$F$23:$N$1023,7)+VLOOKUP(U177,$F$23:$N$1023,9)+IF(AND('депозитный калькулятор'!$G$13="нет",U177&lt;&gt;'депозитный калькулятор'!$D$8),VLOOKUP(U177,$F$23:$N$1023,4),0),0)+IF(U177='депозитный калькулятор'!$D$8,VLOOKUP(U177,$F$23:$N$1023,2)+VLOOKUP(U177,$F$23:$N$1023,4),0))</f>
        <v xml:space="preserve"> </v>
      </c>
      <c r="Y177" s="142" t="str">
        <f ca="1">IF(S177=" "," ",W177/(1+'депозитный калькулятор'!$K$8)^(T177/IF('депозитный калькулятор'!$G$7="30/360",360,365)))</f>
        <v xml:space="preserve"> </v>
      </c>
      <c r="Z177" s="142" t="str">
        <f ca="1">IF(S177=" "," ",X177/(1+'депозитный калькулятор'!$K$8)^(T177/IF('депозитный калькулятор'!$G$7="30/360",360,365)))</f>
        <v xml:space="preserve"> </v>
      </c>
      <c r="AA177" s="151"/>
      <c r="AB177" s="151"/>
      <c r="AC177" s="155"/>
      <c r="AD177" s="155"/>
    </row>
    <row r="178" spans="1:30" s="2" customFormat="1" ht="15.5" x14ac:dyDescent="0.35">
      <c r="A178" s="41" t="str">
        <f>IF(F178=" "," ",IF(OR('депозитный калькулятор'!$G$7="30/365",'депозитный калькулятор'!$G$7="30/360"),IF(AND(MONTH(F178)=2,DAY(F178)=DAY(EOMONTH(F178,0))),30-DAY(EOMONTH(F178,0)),IF(DAY(F178)=31,1," "))," "))</f>
        <v xml:space="preserve"> </v>
      </c>
      <c r="B178" s="130" t="str">
        <f t="shared" si="11"/>
        <v xml:space="preserve"> </v>
      </c>
      <c r="C178" s="130" t="str">
        <f>IF(OR(B178=0,B178=" ")," ",SUM($B$23:B178))</f>
        <v xml:space="preserve"> </v>
      </c>
      <c r="D178" s="62" t="str">
        <f>IF(D177=" "," ",IF(OR(F177='депозитный калькулятор'!$D$8,F177=" ")," ",D177+1))</f>
        <v xml:space="preserve"> </v>
      </c>
      <c r="E178" s="130" t="str">
        <f>IF(OR(F177='депозитный калькулятор'!$D$8,F177=" ")," ",IF(EOMONTH(F177,0)=F177,1,E177+1))</f>
        <v xml:space="preserve"> </v>
      </c>
      <c r="F178" s="64" t="str">
        <f>IF(F177=" "," ",IF(F177='депозитный калькулятор'!$D$8," ",F177+1))</f>
        <v xml:space="preserve"> </v>
      </c>
      <c r="G178" s="145" t="str">
        <f xml:space="preserve"> IF(F178&gt;'депозитный калькулятор'!$D$8," ",IF('депозитный калькулятор'!$G$13="есть",IF('депозитный калькулятор'!$G$14="есть",G177+IF(I177=" ",0,I177)-J178-K178+L178+M178-N178,G177+IF(I177=" ",0,I177)-J178-K178+M178-N178),IF('депозитный калькулятор'!$G$14="есть",G177-J178-K178+L178+M178-N178,G177-J178-K178+M178-N178)))</f>
        <v xml:space="preserve"> </v>
      </c>
      <c r="H178" s="133" t="str">
        <f>IF(F178&gt;'депозитный калькулятор'!$D$8," ",IF(AND(OR('депозитный калькулятор'!$G$7="30/365",'депозитный калькулятор'!$G$7="30/360"),AND(MONTH(F178)=2,EOMONTH(F178,0)=F178)),IF(DAY(F178)=28,3*G178*'депозитный калькулятор'!$G$8,2*G178*'депозитный калькулятор'!$G$8),IF(AND(OR('депозитный калькулятор'!$G$7="30/365",'депозитный калькулятор'!$G$7="30/360"),DAY(F178)=31)," ",IF(AND('депозитный калькулятор'!$G$7="факт/факт",MOD(YEAR(F178),4)=0),G178*'депозитный калькулятор'!$D$11/366,G178*'депозитный калькулятор'!$G$8))))</f>
        <v xml:space="preserve"> </v>
      </c>
      <c r="I178" s="134" t="str">
        <f ca="1">IF(F178=" "," ",IF('депозитный калькулятор'!$G$10="ежедневное",H178,IF(AND('депозитный калькулятор'!$G$10="еженедельное",WEEKDAY(F178,2)=7),SUM(OFFSET(H178,-6,0):H178),IF(AND('депозитный калькулятор'!$G$10="еженедельное",F178='депозитный калькулятор'!$D$8),SUM($H$23:H178)-SUM($I$23:I177),IF(AND('депозитный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недели",WEEKDAY(F178,2)=7),MIN(OFFSET(H178,-6,0):H178)*(COUNTIF(OFFSET(H178,-6,0):H178,"&gt;0")+SUMIF(OFFSET(A178,-WEEKDAY(F178,2),0):A178,"=2",OFFSET(A178,-WEEKDAY(F178,2),0):A178)),IF(AND('депозитный калькулятор'!$G$10="еженедельное, на минимальную сумму зафиксированную в течение недели",F178='депозитный калькулятор'!$D$8,WEEKDAY(F178,2)&lt;&gt;7),MIN(OFFSET(H178,-WEEKDAY(F178,2),0):H178)*(COUNTIF(OFFSET(H178,-WEEKDAY(F178,2)+1,0):H178,"&gt;0")+SUM(OFFSET(A178,-WEEKDAY(F178,2),0):A178)),IF(AND('депозитный калькулятор'!$G$10="ежемесячное (в конце месяца)",F178='депозитный калькулятор'!$D$8,EOMONTH(F178,0)&lt;&gt;F178),IF('депозитный калькулятор'!$F$1=1,$H$24,SUM($H$23:H178)-SUM($I$23:I177)),IF(AND('депозитный калькулятор'!$G$10="ежемесячное (в конце месяца)",EOMONTH(F178,0)=F178),SUM($H$23:H178)-SUM($I$23:I177),IF(AND('депозитный калькулятор'!$G$10="ежемесячное (по дням открытия вклада)",F178='депозитный калькулятор'!$D$8,DAY('депозитный калькулятор'!$D$7)&lt;&gt;DAY(F178)),IF('депозитный калькулятор'!$F$1=1,$H$24,SUM($H$23:H178)-SUM($I$23:I177)),IF(AND('депозитный калькулятор'!$G$10="ежемесячное (по дням открытия вклада)",DAY('депозитный калькулятор'!$D$7)=DAY(F178)),SUM($H$23:H178)-SUM($I$23:I177),IF(AND('депозитный калькулятор'!$G$10="ежемесячное, на минимальную сумму зафиксированную в течение месяца",F178='депозитный калькулятор'!$D$8,EOMONTH(F178,0)&lt;&gt;F178),IF('депозитный калькулятор'!$F$1=1,$H$24,IF(AND(OR('депозитный калькулятор'!$G$7="30/365",'депозитный калькулятор'!$G$7="30/360"),DAY(F178)=31),0,MIN(OFFSET(H178,-E178+1,0):H178)*(E178+SUMIF(OFFSET(A178,-E178+1,0):A178,"=2",OFFSET(A178,-E178+1,0):A178)))),IF(AND('депозитный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калькулятор'!$G$7="30/360"),DAY(EOMONTH(F178,0))=31),EOMONTH(F178,0)-1=F178,EOMONTH(F178,0)=F178)),IF(IF(AND(OR('депозитный калькулятор'!$G$7="30/365",'депозитный калькулятор'!$G$7="30/360"),DAY(EOMONTH($F$23,0))=31),F178=EOMONTH($F$23,0)-1,F178=EOMONTH($F$23,0)),MIN(OFFSET(H178,-(DAY(F178)-DAY($F$23)),0):H178)*E178,MIN(OFFSET(H178,-(DAY(F178)-1),0):H178)*IF(AND(OR('депозитный калькулятор'!$G$7="30/365",'депозитный калькулятор'!$G$7="30/360"),DAY(F178)&lt;30),30,DAY(F178))),IF(AND('депозитный калькулятор'!$G$10="ежемесячное, на средний остаток в течение месяца, при условии что остаток больше чем ограничение",F178='депозитный калькулятор'!$D$8,EOMONTH(F178,0)&lt;&gt;F178),IF('депозитный калькулятор'!$F$1=1,$H$24,SUM(OFFSET(Q178,-E178+1,0):Q178)),IF(AND('депозитный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калькулятор'!$G$7="30/360"),DAY(EOMONTH(F178,0))=31),EOMONTH(F178,0)-1=F178,EOMONTH(F178,0)=F178)),IF(IF(AND(OR('депозитный калькулятор'!$G$7="30/365",'депозитный калькулятор'!$G$7="30/360"),DAY(EOMONTH($F$24,0))=31),F178=EOMONTH($F$24,0)-1,F178=EOMONTH($F$24,0)),SUM(OFFSET(Q178,-E178+1,0):Q178),SUM(OFFSET(Q178,-E178+1,0):Q178)),IF('депозитный калькулятор'!$G$10="ежеквартальное",IF(F178&gt;'депозитный калькулятор'!$D$8," ",IF(AND(EOMONTH(F178,0)=F178,OR(MONTH(F178)=3,MONTH(F178)=6,MONTH(F178)=9,MONTH(F178)=12)),IF(EDATE(F178,-3)&lt;'депозитный калькулятор'!$D$7,SUM($H$23:H178),IF(MOD(YEAR(F178),4)=0,IF(AND(EOMONTH(F178,0)=F178,OR(MONTH(F178)=3,MONTH(F178)=6)),SUM(OFFSET(H178,-90,0):H178),IF(AND(EOMONTH(F178,0)=F178,OR(MONTH(F178)=9,MONTH(F178)=12)),SUM(OFFSET(H178,-91,0):H178))),IF(AND(EOMONTH(F178,0)=F178,MONTH(F178)=3),SUM(OFFSET(H178,-89,0):H178),IF(AND(EOMONTH(F178,0)=F178,MONTH(F178)=6),SUM(OFFSET(H178,-90,0):H178),IF(AND(EOMONTH(F178,0)=F178,OR(MONTH(F178)=9,MONTH(F178)=12)),SUM(OFFSET(H178,-91,0):H178)))))),IF(F178='депозитный калькулятор'!$D$8,SUM($H$23:H178)-SUM($I$23:I177),0))),IF('депозитный калькулятор'!$G$10="ежегодное",IF(F178&gt;'депозитный калькулятор'!$D$8," ",IF(F178='депозитный калькулятор'!$D$8,SUM($H$23:H178)-SUM($I$23:I177),IF(AND(EOMONTH(F178,0)=F178,MONTH(F178)=12),IF(MOD(YEAR(F177),4)=0,IF(F178-'депозитный калькулятор'!$D$7&lt;366,SUM($H$23:H178),SUM(OFFSET(H178,-365,0):H178)),IF(F178-'депозитный калькулятор'!$D$7&lt;365,SUM($H$23:H178),SUM(OFFSET(H178,-364,0):H178))),0))),IF(AND('депозитный калькулятор'!$G$10="в конце срока",'депозитный калькулятор'!$D$8=F178),SUM($H$23:H178),0))))))))))))))))))</f>
        <v xml:space="preserve"> </v>
      </c>
      <c r="J178" s="59" t="str">
        <f>IF(F178&gt;'депозитный калькулятор'!$D$8," ",IF('депозитный калькулятор'!$G$16="нет",0,IF(AND('депозитный калькулятор'!$G$17="разовая (в конце срока)",F178='депозитный калькулятор'!$D$8),'депозитный калькулятор'!$G$18,IF(AND('депозитный калькулятор'!$G$17="ежемесячная",EOMONTH(F177,0)=F177),'депозитный калькулятор'!$G$18,IF(AND('депозитный калькулятор'!$G$17="ежегодная",DAY(F177)=31,MONTH(F177)=12),'депозитный калькулятор'!$G$18,IF(AND('депозитный калькулятор'!$G$17="ежемесячная в зависимости от остатка",EOMONTH(F177,0)=F177,P177&gt;0),'депозитный калькулятор'!$G$18,IF(AND('депозитный калькулятор'!$G$17="ежегодная в зависимости от остатка",DAY(F177)=31,MONTH(F177)=12,P177&gt;0),'депозитный калькулятор'!$G$18,0)))))))</f>
        <v xml:space="preserve"> </v>
      </c>
      <c r="K178" s="135" t="str">
        <f>IF($F178=" "," ",IFERROR(VLOOKUP($F178,'депозитный калькулятор'!$B$26:$F$70,2,0),0))</f>
        <v xml:space="preserve"> </v>
      </c>
      <c r="L178" s="135" t="str">
        <f>IF($F178=" "," ",IFERROR(VLOOKUP($F178,'депозитный калькулятор'!$B$26:$F$70,3,0),0))</f>
        <v xml:space="preserve"> </v>
      </c>
      <c r="M178" s="135" t="str">
        <f>IF($F178=" "," ",IFERROR(VLOOKUP($F178,'депозитный калькулятор'!$B$26:$F$70,4,0),0))</f>
        <v xml:space="preserve"> </v>
      </c>
      <c r="N178" s="135" t="str">
        <f>IF($F178=" "," ",IFERROR(VLOOKUP($F178,'депозитный калькулятор'!$B$26:$F$70,5,0),0))</f>
        <v xml:space="preserve"> </v>
      </c>
      <c r="O178" s="146" t="str">
        <f>IF(F178&gt;'депозитный калькулятор'!$D$8," ",IF(F178='депозитный калькулятор'!$D$8,IF(AND($F$24='депозитный калькулятор'!$D$8,'депозитный калькулятор'!$G$13="нет"),-G178-IF(I178=" ",0,I178)-IF(AND(OR('депозитный калькулятор'!$G$7="30/365",'депозитный калькулятор'!$G$7="30/360"),'депозитный калькулятор'!$G$10="в начале срока"),I177,0)-L178+M178-N178,-G178-IF(I178=" ",0,I178)-L178+M178-N178),IF('депозитный калькулятор'!$G$13="есть",M178-N178+IF('депозитный калькулятор'!$G$14="есть",0,-L178),-IF(I178=" ",0,I178)-IF(AND(OR('депозитный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срока"),I177,0)+M178-N178+IF('депозитный калькулятор'!$G$14="есть",0,-L178))))</f>
        <v xml:space="preserve"> </v>
      </c>
      <c r="P178" s="147" t="str">
        <f>IF(F178&gt;'депозитный калькулятор'!$D$8," ",IF(EOMONTH(F177,0)=F177,0,IF(G178&gt;='депозитный калькулятор'!$G$19,P177,P177+1)))</f>
        <v xml:space="preserve"> </v>
      </c>
      <c r="Q178" s="138" t="str">
        <f>IF(F178=" "," ",IF(AND(OR('депозитный калькулятор'!$G$7="30/365",'депозитный калькулятор'!$G$7="30/360"),AND(MONTH(F178)=2,EOMONTH(F178,0)=F178)),IF(DAY(F178)=28,3,2),1)*IF(G178&gt;='депозитный калькулятор'!$G$11,IF(AND('депозитный калькулятор'!$G$7="факт/факт",MOD(YEAR(F178),4)=0),G178*'депозитный калькулятор'!$D$11/366,G178*'депозитный калькулятор'!$G$8),0))</f>
        <v xml:space="preserve"> </v>
      </c>
      <c r="R178" s="148"/>
      <c r="S178" s="62" t="str">
        <f t="shared" ca="1" si="12"/>
        <v xml:space="preserve"> </v>
      </c>
      <c r="T178" s="149" t="str">
        <f ca="1">IF(S178=" "," ",IF('депозитный калькулятор'!$G$7="30/360",DAYS360(U177,IF(DAY(U178)=31,U178-1,U178))+IF(AND(MONTH(U178)=2,U178=EOMONTH(U178,0)),30-DAY(EOMONTH(U178,0)))+T177,VLOOKUP(S178,$C$22:$F$1023,2,0)))</f>
        <v xml:space="preserve"> </v>
      </c>
      <c r="U178" s="64" t="str">
        <f t="shared" ca="1" si="10"/>
        <v xml:space="preserve"> </v>
      </c>
      <c r="V178" s="150" t="str">
        <f t="shared" ca="1" si="13"/>
        <v xml:space="preserve"> </v>
      </c>
      <c r="W178" s="62" t="str">
        <f t="shared" ca="1" si="14"/>
        <v xml:space="preserve"> </v>
      </c>
      <c r="X178" s="141" t="str">
        <f ca="1">IF(S178=" "," ",IFERROR(VLOOKUP(U178,$F$23:$N$1023,7)+VLOOKUP(U178,$F$23:$N$1023,9)+IF(AND('депозитный калькулятор'!$G$13="нет",U178&lt;&gt;'депозитный калькулятор'!$D$8),VLOOKUP(U178,$F$23:$N$1023,4),0),0)+IF(U178='депозитный калькулятор'!$D$8,VLOOKUP(U178,$F$23:$N$1023,2)+VLOOKUP(U178,$F$23:$N$1023,4),0))</f>
        <v xml:space="preserve"> </v>
      </c>
      <c r="Y178" s="142" t="str">
        <f ca="1">IF(S178=" "," ",W178/(1+'депозитный калькулятор'!$K$8)^(T178/IF('депозитный калькулятор'!$G$7="30/360",360,365)))</f>
        <v xml:space="preserve"> </v>
      </c>
      <c r="Z178" s="142" t="str">
        <f ca="1">IF(S178=" "," ",X178/(1+'депозитный калькулятор'!$K$8)^(T178/IF('депозитный калькулятор'!$G$7="30/360",360,365)))</f>
        <v xml:space="preserve"> </v>
      </c>
      <c r="AA178" s="151"/>
      <c r="AB178" s="151"/>
      <c r="AC178" s="155"/>
      <c r="AD178" s="155"/>
    </row>
    <row r="179" spans="1:30" s="2" customFormat="1" ht="15.5" x14ac:dyDescent="0.35">
      <c r="A179" s="41" t="str">
        <f>IF(F179=" "," ",IF(OR('депозитный калькулятор'!$G$7="30/365",'депозитный калькулятор'!$G$7="30/360"),IF(AND(MONTH(F179)=2,DAY(F179)=DAY(EOMONTH(F179,0))),30-DAY(EOMONTH(F179,0)),IF(DAY(F179)=31,1," "))," "))</f>
        <v xml:space="preserve"> </v>
      </c>
      <c r="B179" s="130" t="str">
        <f t="shared" si="11"/>
        <v xml:space="preserve"> </v>
      </c>
      <c r="C179" s="130" t="str">
        <f>IF(OR(B179=0,B179=" ")," ",SUM($B$23:B179))</f>
        <v xml:space="preserve"> </v>
      </c>
      <c r="D179" s="62" t="str">
        <f>IF(D178=" "," ",IF(OR(F178='депозитный калькулятор'!$D$8,F178=" ")," ",D178+1))</f>
        <v xml:space="preserve"> </v>
      </c>
      <c r="E179" s="130" t="str">
        <f>IF(OR(F178='депозитный калькулятор'!$D$8,F178=" ")," ",IF(EOMONTH(F178,0)=F178,1,E178+1))</f>
        <v xml:space="preserve"> </v>
      </c>
      <c r="F179" s="64" t="str">
        <f>IF(F178=" "," ",IF(F178='депозитный калькулятор'!$D$8," ",F178+1))</f>
        <v xml:space="preserve"> </v>
      </c>
      <c r="G179" s="145" t="str">
        <f xml:space="preserve"> IF(F179&gt;'депозитный калькулятор'!$D$8," ",IF('депозитный калькулятор'!$G$13="есть",IF('депозитный калькулятор'!$G$14="есть",G178+IF(I178=" ",0,I178)-J179-K179+L179+M179-N179,G178+IF(I178=" ",0,I178)-J179-K179+M179-N179),IF('депозитный калькулятор'!$G$14="есть",G178-J179-K179+L179+M179-N179,G178-J179-K179+M179-N179)))</f>
        <v xml:space="preserve"> </v>
      </c>
      <c r="H179" s="133" t="str">
        <f>IF(F179&gt;'депозитный калькулятор'!$D$8," ",IF(AND(OR('депозитный калькулятор'!$G$7="30/365",'депозитный калькулятор'!$G$7="30/360"),AND(MONTH(F179)=2,EOMONTH(F179,0)=F179)),IF(DAY(F179)=28,3*G179*'депозитный калькулятор'!$G$8,2*G179*'депозитный калькулятор'!$G$8),IF(AND(OR('депозитный калькулятор'!$G$7="30/365",'депозитный калькулятор'!$G$7="30/360"),DAY(F179)=31)," ",IF(AND('депозитный калькулятор'!$G$7="факт/факт",MOD(YEAR(F179),4)=0),G179*'депозитный калькулятор'!$D$11/366,G179*'депозитный калькулятор'!$G$8))))</f>
        <v xml:space="preserve"> </v>
      </c>
      <c r="I179" s="134" t="str">
        <f ca="1">IF(F179=" "," ",IF('депозитный калькулятор'!$G$10="ежедневное",H179,IF(AND('депозитный калькулятор'!$G$10="еженедельное",WEEKDAY(F179,2)=7),SUM(OFFSET(H179,-6,0):H179),IF(AND('депозитный калькулятор'!$G$10="еженедельное",F179='депозитный калькулятор'!$D$8),SUM($H$23:H179)-SUM($I$23:I178),IF(AND('депозитный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недели",WEEKDAY(F179,2)=7),MIN(OFFSET(H179,-6,0):H179)*(COUNTIF(OFFSET(H179,-6,0):H179,"&gt;0")+SUMIF(OFFSET(A179,-WEEKDAY(F179,2),0):A179,"=2",OFFSET(A179,-WEEKDAY(F179,2),0):A179)),IF(AND('депозитный калькулятор'!$G$10="еженедельное, на минимальную сумму зафиксированную в течение недели",F179='депозитный калькулятор'!$D$8,WEEKDAY(F179,2)&lt;&gt;7),MIN(OFFSET(H179,-WEEKDAY(F179,2),0):H179)*(COUNTIF(OFFSET(H179,-WEEKDAY(F179,2)+1,0):H179,"&gt;0")+SUM(OFFSET(A179,-WEEKDAY(F179,2),0):A179)),IF(AND('депозитный калькулятор'!$G$10="ежемесячное (в конце месяца)",F179='депозитный калькулятор'!$D$8,EOMONTH(F179,0)&lt;&gt;F179),IF('депозитный калькулятор'!$F$1=1,$H$24,SUM($H$23:H179)-SUM($I$23:I178)),IF(AND('депозитный калькулятор'!$G$10="ежемесячное (в конце месяца)",EOMONTH(F179,0)=F179),SUM($H$23:H179)-SUM($I$23:I178),IF(AND('депозитный калькулятор'!$G$10="ежемесячное (по дням открытия вклада)",F179='депозитный калькулятор'!$D$8,DAY('депозитный калькулятор'!$D$7)&lt;&gt;DAY(F179)),IF('депозитный калькулятор'!$F$1=1,$H$24,SUM($H$23:H179)-SUM($I$23:I178)),IF(AND('депозитный калькулятор'!$G$10="ежемесячное (по дням открытия вклада)",DAY('депозитный калькулятор'!$D$7)=DAY(F179)),SUM($H$23:H179)-SUM($I$23:I178),IF(AND('депозитный калькулятор'!$G$10="ежемесячное, на минимальную сумму зафиксированную в течение месяца",F179='депозитный калькулятор'!$D$8,EOMONTH(F179,0)&lt;&gt;F179),IF('депозитный калькулятор'!$F$1=1,$H$24,IF(AND(OR('депозитный калькулятор'!$G$7="30/365",'депозитный калькулятор'!$G$7="30/360"),DAY(F179)=31),0,MIN(OFFSET(H179,-E179+1,0):H179)*(E179+SUMIF(OFFSET(A179,-E179+1,0):A179,"=2",OFFSET(A179,-E179+1,0):A179)))),IF(AND('депозитный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калькулятор'!$G$7="30/360"),DAY(EOMONTH(F179,0))=31),EOMONTH(F179,0)-1=F179,EOMONTH(F179,0)=F179)),IF(IF(AND(OR('депозитный калькулятор'!$G$7="30/365",'депозитный калькулятор'!$G$7="30/360"),DAY(EOMONTH($F$23,0))=31),F179=EOMONTH($F$23,0)-1,F179=EOMONTH($F$23,0)),MIN(OFFSET(H179,-(DAY(F179)-DAY($F$23)),0):H179)*E179,MIN(OFFSET(H179,-(DAY(F179)-1),0):H179)*IF(AND(OR('депозитный калькулятор'!$G$7="30/365",'депозитный калькулятор'!$G$7="30/360"),DAY(F179)&lt;30),30,DAY(F179))),IF(AND('депозитный калькулятор'!$G$10="ежемесячное, на средний остаток в течение месяца, при условии что остаток больше чем ограничение",F179='депозитный калькулятор'!$D$8,EOMONTH(F179,0)&lt;&gt;F179),IF('депозитный калькулятор'!$F$1=1,$H$24,SUM(OFFSET(Q179,-E179+1,0):Q179)),IF(AND('депозитный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калькулятор'!$G$7="30/360"),DAY(EOMONTH(F179,0))=31),EOMONTH(F179,0)-1=F179,EOMONTH(F179,0)=F179)),IF(IF(AND(OR('депозитный калькулятор'!$G$7="30/365",'депозитный калькулятор'!$G$7="30/360"),DAY(EOMONTH($F$24,0))=31),F179=EOMONTH($F$24,0)-1,F179=EOMONTH($F$24,0)),SUM(OFFSET(Q179,-E179+1,0):Q179),SUM(OFFSET(Q179,-E179+1,0):Q179)),IF('депозитный калькулятор'!$G$10="ежеквартальное",IF(F179&gt;'депозитный калькулятор'!$D$8," ",IF(AND(EOMONTH(F179,0)=F179,OR(MONTH(F179)=3,MONTH(F179)=6,MONTH(F179)=9,MONTH(F179)=12)),IF(EDATE(F179,-3)&lt;'депозитный калькулятор'!$D$7,SUM($H$23:H179),IF(MOD(YEAR(F179),4)=0,IF(AND(EOMONTH(F179,0)=F179,OR(MONTH(F179)=3,MONTH(F179)=6)),SUM(OFFSET(H179,-90,0):H179),IF(AND(EOMONTH(F179,0)=F179,OR(MONTH(F179)=9,MONTH(F179)=12)),SUM(OFFSET(H179,-91,0):H179))),IF(AND(EOMONTH(F179,0)=F179,MONTH(F179)=3),SUM(OFFSET(H179,-89,0):H179),IF(AND(EOMONTH(F179,0)=F179,MONTH(F179)=6),SUM(OFFSET(H179,-90,0):H179),IF(AND(EOMONTH(F179,0)=F179,OR(MONTH(F179)=9,MONTH(F179)=12)),SUM(OFFSET(H179,-91,0):H179)))))),IF(F179='депозитный калькулятор'!$D$8,SUM($H$23:H179)-SUM($I$23:I178),0))),IF('депозитный калькулятор'!$G$10="ежегодное",IF(F179&gt;'депозитный калькулятор'!$D$8," ",IF(F179='депозитный калькулятор'!$D$8,SUM($H$23:H179)-SUM($I$23:I178),IF(AND(EOMONTH(F179,0)=F179,MONTH(F179)=12),IF(MOD(YEAR(F178),4)=0,IF(F179-'депозитный калькулятор'!$D$7&lt;366,SUM($H$23:H179),SUM(OFFSET(H179,-365,0):H179)),IF(F179-'депозитный калькулятор'!$D$7&lt;365,SUM($H$23:H179),SUM(OFFSET(H179,-364,0):H179))),0))),IF(AND('депозитный калькулятор'!$G$10="в конце срока",'депозитный калькулятор'!$D$8=F179),SUM($H$23:H179),0))))))))))))))))))</f>
        <v xml:space="preserve"> </v>
      </c>
      <c r="J179" s="59" t="str">
        <f>IF(F179&gt;'депозитный калькулятор'!$D$8," ",IF('депозитный калькулятор'!$G$16="нет",0,IF(AND('депозитный калькулятор'!$G$17="разовая (в конце срока)",F179='депозитный калькулятор'!$D$8),'депозитный калькулятор'!$G$18,IF(AND('депозитный калькулятор'!$G$17="ежемесячная",EOMONTH(F178,0)=F178),'депозитный калькулятор'!$G$18,IF(AND('депозитный калькулятор'!$G$17="ежегодная",DAY(F178)=31,MONTH(F178)=12),'депозитный калькулятор'!$G$18,IF(AND('депозитный калькулятор'!$G$17="ежемесячная в зависимости от остатка",EOMONTH(F178,0)=F178,P178&gt;0),'депозитный калькулятор'!$G$18,IF(AND('депозитный калькулятор'!$G$17="ежегодная в зависимости от остатка",DAY(F178)=31,MONTH(F178)=12,P178&gt;0),'депозитный калькулятор'!$G$18,0)))))))</f>
        <v xml:space="preserve"> </v>
      </c>
      <c r="K179" s="135" t="str">
        <f>IF($F179=" "," ",IFERROR(VLOOKUP($F179,'депозитный калькулятор'!$B$26:$F$70,2,0),0))</f>
        <v xml:space="preserve"> </v>
      </c>
      <c r="L179" s="135" t="str">
        <f>IF($F179=" "," ",IFERROR(VLOOKUP($F179,'депозитный калькулятор'!$B$26:$F$70,3,0),0))</f>
        <v xml:space="preserve"> </v>
      </c>
      <c r="M179" s="135" t="str">
        <f>IF($F179=" "," ",IFERROR(VLOOKUP($F179,'депозитный калькулятор'!$B$26:$F$70,4,0),0))</f>
        <v xml:space="preserve"> </v>
      </c>
      <c r="N179" s="135" t="str">
        <f>IF($F179=" "," ",IFERROR(VLOOKUP($F179,'депозитный калькулятор'!$B$26:$F$70,5,0),0))</f>
        <v xml:space="preserve"> </v>
      </c>
      <c r="O179" s="146" t="str">
        <f>IF(F179&gt;'депозитный калькулятор'!$D$8," ",IF(F179='депозитный калькулятор'!$D$8,IF(AND($F$24='депозитный калькулятор'!$D$8,'депозитный калькулятор'!$G$13="нет"),-G179-IF(I179=" ",0,I179)-IF(AND(OR('депозитный калькулятор'!$G$7="30/365",'депозитный калькулятор'!$G$7="30/360"),'депозитный калькулятор'!$G$10="в начале срока"),I178,0)-L179+M179-N179,-G179-IF(I179=" ",0,I179)-L179+M179-N179),IF('депозитный калькулятор'!$G$13="есть",M179-N179+IF('депозитный калькулятор'!$G$14="есть",0,-L179),-IF(I179=" ",0,I179)-IF(AND(OR('депозитный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срока"),I178,0)+M179-N179+IF('депозитный калькулятор'!$G$14="есть",0,-L179))))</f>
        <v xml:space="preserve"> </v>
      </c>
      <c r="P179" s="147" t="str">
        <f>IF(F179&gt;'депозитный калькулятор'!$D$8," ",IF(EOMONTH(F178,0)=F178,0,IF(G179&gt;='депозитный калькулятор'!$G$19,P178,P178+1)))</f>
        <v xml:space="preserve"> </v>
      </c>
      <c r="Q179" s="138" t="str">
        <f>IF(F179=" "," ",IF(AND(OR('депозитный калькулятор'!$G$7="30/365",'депозитный калькулятор'!$G$7="30/360"),AND(MONTH(F179)=2,EOMONTH(F179,0)=F179)),IF(DAY(F179)=28,3,2),1)*IF(G179&gt;='депозитный калькулятор'!$G$11,IF(AND('депозитный калькулятор'!$G$7="факт/факт",MOD(YEAR(F179),4)=0),G179*'депозитный калькулятор'!$D$11/366,G179*'депозитный калькулятор'!$G$8),0))</f>
        <v xml:space="preserve"> </v>
      </c>
      <c r="R179" s="148"/>
      <c r="S179" s="62" t="str">
        <f t="shared" ca="1" si="12"/>
        <v xml:space="preserve"> </v>
      </c>
      <c r="T179" s="149" t="str">
        <f ca="1">IF(S179=" "," ",IF('депозитный калькулятор'!$G$7="30/360",DAYS360(U178,IF(DAY(U179)=31,U179-1,U179))+IF(AND(MONTH(U179)=2,U179=EOMONTH(U179,0)),30-DAY(EOMONTH(U179,0)))+T178,VLOOKUP(S179,$C$22:$F$1023,2,0)))</f>
        <v xml:space="preserve"> </v>
      </c>
      <c r="U179" s="64" t="str">
        <f t="shared" ca="1" si="10"/>
        <v xml:space="preserve"> </v>
      </c>
      <c r="V179" s="150" t="str">
        <f t="shared" ca="1" si="13"/>
        <v xml:space="preserve"> </v>
      </c>
      <c r="W179" s="62" t="str">
        <f t="shared" ca="1" si="14"/>
        <v xml:space="preserve"> </v>
      </c>
      <c r="X179" s="141" t="str">
        <f ca="1">IF(S179=" "," ",IFERROR(VLOOKUP(U179,$F$23:$N$1023,7)+VLOOKUP(U179,$F$23:$N$1023,9)+IF(AND('депозитный калькулятор'!$G$13="нет",U179&lt;&gt;'депозитный калькулятор'!$D$8),VLOOKUP(U179,$F$23:$N$1023,4),0),0)+IF(U179='депозитный калькулятор'!$D$8,VLOOKUP(U179,$F$23:$N$1023,2)+VLOOKUP(U179,$F$23:$N$1023,4),0))</f>
        <v xml:space="preserve"> </v>
      </c>
      <c r="Y179" s="142" t="str">
        <f ca="1">IF(S179=" "," ",W179/(1+'депозитный калькулятор'!$K$8)^(T179/IF('депозитный калькулятор'!$G$7="30/360",360,365)))</f>
        <v xml:space="preserve"> </v>
      </c>
      <c r="Z179" s="142" t="str">
        <f ca="1">IF(S179=" "," ",X179/(1+'депозитный калькулятор'!$K$8)^(T179/IF('депозитный калькулятор'!$G$7="30/360",360,365)))</f>
        <v xml:space="preserve"> </v>
      </c>
      <c r="AA179" s="151"/>
      <c r="AB179" s="151"/>
      <c r="AC179" s="155"/>
      <c r="AD179" s="155"/>
    </row>
    <row r="180" spans="1:30" s="2" customFormat="1" ht="15.5" x14ac:dyDescent="0.35">
      <c r="A180" s="41" t="str">
        <f>IF(F180=" "," ",IF(OR('депозитный калькулятор'!$G$7="30/365",'депозитный калькулятор'!$G$7="30/360"),IF(AND(MONTH(F180)=2,DAY(F180)=DAY(EOMONTH(F180,0))),30-DAY(EOMONTH(F180,0)),IF(DAY(F180)=31,1," "))," "))</f>
        <v xml:space="preserve"> </v>
      </c>
      <c r="B180" s="130" t="str">
        <f t="shared" si="11"/>
        <v xml:space="preserve"> </v>
      </c>
      <c r="C180" s="130" t="str">
        <f>IF(OR(B180=0,B180=" ")," ",SUM($B$23:B180))</f>
        <v xml:space="preserve"> </v>
      </c>
      <c r="D180" s="62" t="str">
        <f>IF(D179=" "," ",IF(OR(F179='депозитный калькулятор'!$D$8,F179=" ")," ",D179+1))</f>
        <v xml:space="preserve"> </v>
      </c>
      <c r="E180" s="130" t="str">
        <f>IF(OR(F179='депозитный калькулятор'!$D$8,F179=" ")," ",IF(EOMONTH(F179,0)=F179,1,E179+1))</f>
        <v xml:space="preserve"> </v>
      </c>
      <c r="F180" s="64" t="str">
        <f>IF(F179=" "," ",IF(F179='депозитный калькулятор'!$D$8," ",F179+1))</f>
        <v xml:space="preserve"> </v>
      </c>
      <c r="G180" s="145" t="str">
        <f xml:space="preserve"> IF(F180&gt;'депозитный калькулятор'!$D$8," ",IF('депозитный калькулятор'!$G$13="есть",IF('депозитный калькулятор'!$G$14="есть",G179+IF(I179=" ",0,I179)-J180-K180+L180+M180-N180,G179+IF(I179=" ",0,I179)-J180-K180+M180-N180),IF('депозитный калькулятор'!$G$14="есть",G179-J180-K180+L180+M180-N180,G179-J180-K180+M180-N180)))</f>
        <v xml:space="preserve"> </v>
      </c>
      <c r="H180" s="133" t="str">
        <f>IF(F180&gt;'депозитный калькулятор'!$D$8," ",IF(AND(OR('депозитный калькулятор'!$G$7="30/365",'депозитный калькулятор'!$G$7="30/360"),AND(MONTH(F180)=2,EOMONTH(F180,0)=F180)),IF(DAY(F180)=28,3*G180*'депозитный калькулятор'!$G$8,2*G180*'депозитный калькулятор'!$G$8),IF(AND(OR('депозитный калькулятор'!$G$7="30/365",'депозитный калькулятор'!$G$7="30/360"),DAY(F180)=31)," ",IF(AND('депозитный калькулятор'!$G$7="факт/факт",MOD(YEAR(F180),4)=0),G180*'депозитный калькулятор'!$D$11/366,G180*'депозитный калькулятор'!$G$8))))</f>
        <v xml:space="preserve"> </v>
      </c>
      <c r="I180" s="134" t="str">
        <f ca="1">IF(F180=" "," ",IF('депозитный калькулятор'!$G$10="ежедневное",H180,IF(AND('депозитный калькулятор'!$G$10="еженедельное",WEEKDAY(F180,2)=7),SUM(OFFSET(H180,-6,0):H180),IF(AND('депозитный калькулятор'!$G$10="еженедельное",F180='депозитный калькулятор'!$D$8),SUM($H$23:H180)-SUM($I$23:I179),IF(AND('депозитный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недели",WEEKDAY(F180,2)=7),MIN(OFFSET(H180,-6,0):H180)*(COUNTIF(OFFSET(H180,-6,0):H180,"&gt;0")+SUMIF(OFFSET(A180,-WEEKDAY(F180,2),0):A180,"=2",OFFSET(A180,-WEEKDAY(F180,2),0):A180)),IF(AND('депозитный калькулятор'!$G$10="еженедельное, на минимальную сумму зафиксированную в течение недели",F180='депозитный калькулятор'!$D$8,WEEKDAY(F180,2)&lt;&gt;7),MIN(OFFSET(H180,-WEEKDAY(F180,2),0):H180)*(COUNTIF(OFFSET(H180,-WEEKDAY(F180,2)+1,0):H180,"&gt;0")+SUM(OFFSET(A180,-WEEKDAY(F180,2),0):A180)),IF(AND('депозитный калькулятор'!$G$10="ежемесячное (в конце месяца)",F180='депозитный калькулятор'!$D$8,EOMONTH(F180,0)&lt;&gt;F180),IF('депозитный калькулятор'!$F$1=1,$H$24,SUM($H$23:H180)-SUM($I$23:I179)),IF(AND('депозитный калькулятор'!$G$10="ежемесячное (в конце месяца)",EOMONTH(F180,0)=F180),SUM($H$23:H180)-SUM($I$23:I179),IF(AND('депозитный калькулятор'!$G$10="ежемесячное (по дням открытия вклада)",F180='депозитный калькулятор'!$D$8,DAY('депозитный калькулятор'!$D$7)&lt;&gt;DAY(F180)),IF('депозитный калькулятор'!$F$1=1,$H$24,SUM($H$23:H180)-SUM($I$23:I179)),IF(AND('депозитный калькулятор'!$G$10="ежемесячное (по дням открытия вклада)",DAY('депозитный калькулятор'!$D$7)=DAY(F180)),SUM($H$23:H180)-SUM($I$23:I179),IF(AND('депозитный калькулятор'!$G$10="ежемесячное, на минимальную сумму зафиксированную в течение месяца",F180='депозитный калькулятор'!$D$8,EOMONTH(F180,0)&lt;&gt;F180),IF('депозитный калькулятор'!$F$1=1,$H$24,IF(AND(OR('депозитный калькулятор'!$G$7="30/365",'депозитный калькулятор'!$G$7="30/360"),DAY(F180)=31),0,MIN(OFFSET(H180,-E180+1,0):H180)*(E180+SUMIF(OFFSET(A180,-E180+1,0):A180,"=2",OFFSET(A180,-E180+1,0):A180)))),IF(AND('депозитный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калькулятор'!$G$7="30/360"),DAY(EOMONTH(F180,0))=31),EOMONTH(F180,0)-1=F180,EOMONTH(F180,0)=F180)),IF(IF(AND(OR('депозитный калькулятор'!$G$7="30/365",'депозитный калькулятор'!$G$7="30/360"),DAY(EOMONTH($F$23,0))=31),F180=EOMONTH($F$23,0)-1,F180=EOMONTH($F$23,0)),MIN(OFFSET(H180,-(DAY(F180)-DAY($F$23)),0):H180)*E180,MIN(OFFSET(H180,-(DAY(F180)-1),0):H180)*IF(AND(OR('депозитный калькулятор'!$G$7="30/365",'депозитный калькулятор'!$G$7="30/360"),DAY(F180)&lt;30),30,DAY(F180))),IF(AND('депозитный калькулятор'!$G$10="ежемесячное, на средний остаток в течение месяца, при условии что остаток больше чем ограничение",F180='депозитный калькулятор'!$D$8,EOMONTH(F180,0)&lt;&gt;F180),IF('депозитный калькулятор'!$F$1=1,$H$24,SUM(OFFSET(Q180,-E180+1,0):Q180)),IF(AND('депозитный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калькулятор'!$G$7="30/360"),DAY(EOMONTH(F180,0))=31),EOMONTH(F180,0)-1=F180,EOMONTH(F180,0)=F180)),IF(IF(AND(OR('депозитный калькулятор'!$G$7="30/365",'депозитный калькулятор'!$G$7="30/360"),DAY(EOMONTH($F$24,0))=31),F180=EOMONTH($F$24,0)-1,F180=EOMONTH($F$24,0)),SUM(OFFSET(Q180,-E180+1,0):Q180),SUM(OFFSET(Q180,-E180+1,0):Q180)),IF('депозитный калькулятор'!$G$10="ежеквартальное",IF(F180&gt;'депозитный калькулятор'!$D$8," ",IF(AND(EOMONTH(F180,0)=F180,OR(MONTH(F180)=3,MONTH(F180)=6,MONTH(F180)=9,MONTH(F180)=12)),IF(EDATE(F180,-3)&lt;'депозитный калькулятор'!$D$7,SUM($H$23:H180),IF(MOD(YEAR(F180),4)=0,IF(AND(EOMONTH(F180,0)=F180,OR(MONTH(F180)=3,MONTH(F180)=6)),SUM(OFFSET(H180,-90,0):H180),IF(AND(EOMONTH(F180,0)=F180,OR(MONTH(F180)=9,MONTH(F180)=12)),SUM(OFFSET(H180,-91,0):H180))),IF(AND(EOMONTH(F180,0)=F180,MONTH(F180)=3),SUM(OFFSET(H180,-89,0):H180),IF(AND(EOMONTH(F180,0)=F180,MONTH(F180)=6),SUM(OFFSET(H180,-90,0):H180),IF(AND(EOMONTH(F180,0)=F180,OR(MONTH(F180)=9,MONTH(F180)=12)),SUM(OFFSET(H180,-91,0):H180)))))),IF(F180='депозитный калькулятор'!$D$8,SUM($H$23:H180)-SUM($I$23:I179),0))),IF('депозитный калькулятор'!$G$10="ежегодное",IF(F180&gt;'депозитный калькулятор'!$D$8," ",IF(F180='депозитный калькулятор'!$D$8,SUM($H$23:H180)-SUM($I$23:I179),IF(AND(EOMONTH(F180,0)=F180,MONTH(F180)=12),IF(MOD(YEAR(F179),4)=0,IF(F180-'депозитный калькулятор'!$D$7&lt;366,SUM($H$23:H180),SUM(OFFSET(H180,-365,0):H180)),IF(F180-'депозитный калькулятор'!$D$7&lt;365,SUM($H$23:H180),SUM(OFFSET(H180,-364,0):H180))),0))),IF(AND('депозитный калькулятор'!$G$10="в конце срока",'депозитный калькулятор'!$D$8=F180),SUM($H$23:H180),0))))))))))))))))))</f>
        <v xml:space="preserve"> </v>
      </c>
      <c r="J180" s="59" t="str">
        <f>IF(F180&gt;'депозитный калькулятор'!$D$8," ",IF('депозитный калькулятор'!$G$16="нет",0,IF(AND('депозитный калькулятор'!$G$17="разовая (в конце срока)",F180='депозитный калькулятор'!$D$8),'депозитный калькулятор'!$G$18,IF(AND('депозитный калькулятор'!$G$17="ежемесячная",EOMONTH(F179,0)=F179),'депозитный калькулятор'!$G$18,IF(AND('депозитный калькулятор'!$G$17="ежегодная",DAY(F179)=31,MONTH(F179)=12),'депозитный калькулятор'!$G$18,IF(AND('депозитный калькулятор'!$G$17="ежемесячная в зависимости от остатка",EOMONTH(F179,0)=F179,P179&gt;0),'депозитный калькулятор'!$G$18,IF(AND('депозитный калькулятор'!$G$17="ежегодная в зависимости от остатка",DAY(F179)=31,MONTH(F179)=12,P179&gt;0),'депозитный калькулятор'!$G$18,0)))))))</f>
        <v xml:space="preserve"> </v>
      </c>
      <c r="K180" s="135" t="str">
        <f>IF($F180=" "," ",IFERROR(VLOOKUP($F180,'депозитный калькулятор'!$B$26:$F$70,2,0),0))</f>
        <v xml:space="preserve"> </v>
      </c>
      <c r="L180" s="135" t="str">
        <f>IF($F180=" "," ",IFERROR(VLOOKUP($F180,'депозитный калькулятор'!$B$26:$F$70,3,0),0))</f>
        <v xml:space="preserve"> </v>
      </c>
      <c r="M180" s="135" t="str">
        <f>IF($F180=" "," ",IFERROR(VLOOKUP($F180,'депозитный калькулятор'!$B$26:$F$70,4,0),0))</f>
        <v xml:space="preserve"> </v>
      </c>
      <c r="N180" s="135" t="str">
        <f>IF($F180=" "," ",IFERROR(VLOOKUP($F180,'депозитный калькулятор'!$B$26:$F$70,5,0),0))</f>
        <v xml:space="preserve"> </v>
      </c>
      <c r="O180" s="146" t="str">
        <f>IF(F180&gt;'депозитный калькулятор'!$D$8," ",IF(F180='депозитный калькулятор'!$D$8,IF(AND($F$24='депозитный калькулятор'!$D$8,'депозитный калькулятор'!$G$13="нет"),-G180-IF(I180=" ",0,I180)-IF(AND(OR('депозитный калькулятор'!$G$7="30/365",'депозитный калькулятор'!$G$7="30/360"),'депозитный калькулятор'!$G$10="в начале срока"),I179,0)-L180+M180-N180,-G180-IF(I180=" ",0,I180)-L180+M180-N180),IF('депозитный калькулятор'!$G$13="есть",M180-N180+IF('депозитный калькулятор'!$G$14="есть",0,-L180),-IF(I180=" ",0,I180)-IF(AND(OR('депозитный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срока"),I179,0)+M180-N180+IF('депозитный калькулятор'!$G$14="есть",0,-L180))))</f>
        <v xml:space="preserve"> </v>
      </c>
      <c r="P180" s="147" t="str">
        <f>IF(F180&gt;'депозитный калькулятор'!$D$8," ",IF(EOMONTH(F179,0)=F179,0,IF(G180&gt;='депозитный калькулятор'!$G$19,P179,P179+1)))</f>
        <v xml:space="preserve"> </v>
      </c>
      <c r="Q180" s="138" t="str">
        <f>IF(F180=" "," ",IF(AND(OR('депозитный калькулятор'!$G$7="30/365",'депозитный калькулятор'!$G$7="30/360"),AND(MONTH(F180)=2,EOMONTH(F180,0)=F180)),IF(DAY(F180)=28,3,2),1)*IF(G180&gt;='депозитный калькулятор'!$G$11,IF(AND('депозитный калькулятор'!$G$7="факт/факт",MOD(YEAR(F180),4)=0),G180*'депозитный калькулятор'!$D$11/366,G180*'депозитный калькулятор'!$G$8),0))</f>
        <v xml:space="preserve"> </v>
      </c>
      <c r="R180" s="148"/>
      <c r="S180" s="62" t="str">
        <f t="shared" ca="1" si="12"/>
        <v xml:space="preserve"> </v>
      </c>
      <c r="T180" s="149" t="str">
        <f ca="1">IF(S180=" "," ",IF('депозитный калькулятор'!$G$7="30/360",DAYS360(U179,IF(DAY(U180)=31,U180-1,U180))+IF(AND(MONTH(U180)=2,U180=EOMONTH(U180,0)),30-DAY(EOMONTH(U180,0)))+T179,VLOOKUP(S180,$C$22:$F$1023,2,0)))</f>
        <v xml:space="preserve"> </v>
      </c>
      <c r="U180" s="64" t="str">
        <f t="shared" ca="1" si="10"/>
        <v xml:space="preserve"> </v>
      </c>
      <c r="V180" s="150" t="str">
        <f t="shared" ca="1" si="13"/>
        <v xml:space="preserve"> </v>
      </c>
      <c r="W180" s="62" t="str">
        <f t="shared" ca="1" si="14"/>
        <v xml:space="preserve"> </v>
      </c>
      <c r="X180" s="141" t="str">
        <f ca="1">IF(S180=" "," ",IFERROR(VLOOKUP(U180,$F$23:$N$1023,7)+VLOOKUP(U180,$F$23:$N$1023,9)+IF(AND('депозитный калькулятор'!$G$13="нет",U180&lt;&gt;'депозитный калькулятор'!$D$8),VLOOKUP(U180,$F$23:$N$1023,4),0),0)+IF(U180='депозитный калькулятор'!$D$8,VLOOKUP(U180,$F$23:$N$1023,2)+VLOOKUP(U180,$F$23:$N$1023,4),0))</f>
        <v xml:space="preserve"> </v>
      </c>
      <c r="Y180" s="142" t="str">
        <f ca="1">IF(S180=" "," ",W180/(1+'депозитный калькулятор'!$K$8)^(T180/IF('депозитный калькулятор'!$G$7="30/360",360,365)))</f>
        <v xml:space="preserve"> </v>
      </c>
      <c r="Z180" s="142" t="str">
        <f ca="1">IF(S180=" "," ",X180/(1+'депозитный калькулятор'!$K$8)^(T180/IF('депозитный калькулятор'!$G$7="30/360",360,365)))</f>
        <v xml:space="preserve"> </v>
      </c>
      <c r="AA180" s="151"/>
      <c r="AB180" s="151"/>
      <c r="AC180" s="155"/>
      <c r="AD180" s="155"/>
    </row>
    <row r="181" spans="1:30" s="2" customFormat="1" ht="15.5" x14ac:dyDescent="0.35">
      <c r="A181" s="41" t="str">
        <f>IF(F181=" "," ",IF(OR('депозитный калькулятор'!$G$7="30/365",'депозитный калькулятор'!$G$7="30/360"),IF(AND(MONTH(F181)=2,DAY(F181)=DAY(EOMONTH(F181,0))),30-DAY(EOMONTH(F181,0)),IF(DAY(F181)=31,1," "))," "))</f>
        <v xml:space="preserve"> </v>
      </c>
      <c r="B181" s="130" t="str">
        <f t="shared" si="11"/>
        <v xml:space="preserve"> </v>
      </c>
      <c r="C181" s="130" t="str">
        <f>IF(OR(B181=0,B181=" ")," ",SUM($B$23:B181))</f>
        <v xml:space="preserve"> </v>
      </c>
      <c r="D181" s="62" t="str">
        <f>IF(D180=" "," ",IF(OR(F180='депозитный калькулятор'!$D$8,F180=" ")," ",D180+1))</f>
        <v xml:space="preserve"> </v>
      </c>
      <c r="E181" s="130" t="str">
        <f>IF(OR(F180='депозитный калькулятор'!$D$8,F180=" ")," ",IF(EOMONTH(F180,0)=F180,1,E180+1))</f>
        <v xml:space="preserve"> </v>
      </c>
      <c r="F181" s="64" t="str">
        <f>IF(F180=" "," ",IF(F180='депозитный калькулятор'!$D$8," ",F180+1))</f>
        <v xml:space="preserve"> </v>
      </c>
      <c r="G181" s="145" t="str">
        <f xml:space="preserve"> IF(F181&gt;'депозитный калькулятор'!$D$8," ",IF('депозитный калькулятор'!$G$13="есть",IF('депозитный калькулятор'!$G$14="есть",G180+IF(I180=" ",0,I180)-J181-K181+L181+M181-N181,G180+IF(I180=" ",0,I180)-J181-K181+M181-N181),IF('депозитный калькулятор'!$G$14="есть",G180-J181-K181+L181+M181-N181,G180-J181-K181+M181-N181)))</f>
        <v xml:space="preserve"> </v>
      </c>
      <c r="H181" s="133" t="str">
        <f>IF(F181&gt;'депозитный калькулятор'!$D$8," ",IF(AND(OR('депозитный калькулятор'!$G$7="30/365",'депозитный калькулятор'!$G$7="30/360"),AND(MONTH(F181)=2,EOMONTH(F181,0)=F181)),IF(DAY(F181)=28,3*G181*'депозитный калькулятор'!$G$8,2*G181*'депозитный калькулятор'!$G$8),IF(AND(OR('депозитный калькулятор'!$G$7="30/365",'депозитный калькулятор'!$G$7="30/360"),DAY(F181)=31)," ",IF(AND('депозитный калькулятор'!$G$7="факт/факт",MOD(YEAR(F181),4)=0),G181*'депозитный калькулятор'!$D$11/366,G181*'депозитный калькулятор'!$G$8))))</f>
        <v xml:space="preserve"> </v>
      </c>
      <c r="I181" s="134" t="str">
        <f ca="1">IF(F181=" "," ",IF('депозитный калькулятор'!$G$10="ежедневное",H181,IF(AND('депозитный калькулятор'!$G$10="еженедельное",WEEKDAY(F181,2)=7),SUM(OFFSET(H181,-6,0):H181),IF(AND('депозитный калькулятор'!$G$10="еженедельное",F181='депозитный калькулятор'!$D$8),SUM($H$23:H181)-SUM($I$23:I180),IF(AND('депозитный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недели",WEEKDAY(F181,2)=7),MIN(OFFSET(H181,-6,0):H181)*(COUNTIF(OFFSET(H181,-6,0):H181,"&gt;0")+SUMIF(OFFSET(A181,-WEEKDAY(F181,2),0):A181,"=2",OFFSET(A181,-WEEKDAY(F181,2),0):A181)),IF(AND('депозитный калькулятор'!$G$10="еженедельное, на минимальную сумму зафиксированную в течение недели",F181='депозитный калькулятор'!$D$8,WEEKDAY(F181,2)&lt;&gt;7),MIN(OFFSET(H181,-WEEKDAY(F181,2),0):H181)*(COUNTIF(OFFSET(H181,-WEEKDAY(F181,2)+1,0):H181,"&gt;0")+SUM(OFFSET(A181,-WEEKDAY(F181,2),0):A181)),IF(AND('депозитный калькулятор'!$G$10="ежемесячное (в конце месяца)",F181='депозитный калькулятор'!$D$8,EOMONTH(F181,0)&lt;&gt;F181),IF('депозитный калькулятор'!$F$1=1,$H$24,SUM($H$23:H181)-SUM($I$23:I180)),IF(AND('депозитный калькулятор'!$G$10="ежемесячное (в конце месяца)",EOMONTH(F181,0)=F181),SUM($H$23:H181)-SUM($I$23:I180),IF(AND('депозитный калькулятор'!$G$10="ежемесячное (по дням открытия вклада)",F181='депозитный калькулятор'!$D$8,DAY('депозитный калькулятор'!$D$7)&lt;&gt;DAY(F181)),IF('депозитный калькулятор'!$F$1=1,$H$24,SUM($H$23:H181)-SUM($I$23:I180)),IF(AND('депозитный калькулятор'!$G$10="ежемесячное (по дням открытия вклада)",DAY('депозитный калькулятор'!$D$7)=DAY(F181)),SUM($H$23:H181)-SUM($I$23:I180),IF(AND('депозитный калькулятор'!$G$10="ежемесячное, на минимальную сумму зафиксированную в течение месяца",F181='депозитный калькулятор'!$D$8,EOMONTH(F181,0)&lt;&gt;F181),IF('депозитный калькулятор'!$F$1=1,$H$24,IF(AND(OR('депозитный калькулятор'!$G$7="30/365",'депозитный калькулятор'!$G$7="30/360"),DAY(F181)=31),0,MIN(OFFSET(H181,-E181+1,0):H181)*(E181+SUMIF(OFFSET(A181,-E181+1,0):A181,"=2",OFFSET(A181,-E181+1,0):A181)))),IF(AND('депозитный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калькулятор'!$G$7="30/360"),DAY(EOMONTH(F181,0))=31),EOMONTH(F181,0)-1=F181,EOMONTH(F181,0)=F181)),IF(IF(AND(OR('депозитный калькулятор'!$G$7="30/365",'депозитный калькулятор'!$G$7="30/360"),DAY(EOMONTH($F$23,0))=31),F181=EOMONTH($F$23,0)-1,F181=EOMONTH($F$23,0)),MIN(OFFSET(H181,-(DAY(F181)-DAY($F$23)),0):H181)*E181,MIN(OFFSET(H181,-(DAY(F181)-1),0):H181)*IF(AND(OR('депозитный калькулятор'!$G$7="30/365",'депозитный калькулятор'!$G$7="30/360"),DAY(F181)&lt;30),30,DAY(F181))),IF(AND('депозитный калькулятор'!$G$10="ежемесячное, на средний остаток в течение месяца, при условии что остаток больше чем ограничение",F181='депозитный калькулятор'!$D$8,EOMONTH(F181,0)&lt;&gt;F181),IF('депозитный калькулятор'!$F$1=1,$H$24,SUM(OFFSET(Q181,-E181+1,0):Q181)),IF(AND('депозитный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калькулятор'!$G$7="30/360"),DAY(EOMONTH(F181,0))=31),EOMONTH(F181,0)-1=F181,EOMONTH(F181,0)=F181)),IF(IF(AND(OR('депозитный калькулятор'!$G$7="30/365",'депозитный калькулятор'!$G$7="30/360"),DAY(EOMONTH($F$24,0))=31),F181=EOMONTH($F$24,0)-1,F181=EOMONTH($F$24,0)),SUM(OFFSET(Q181,-E181+1,0):Q181),SUM(OFFSET(Q181,-E181+1,0):Q181)),IF('депозитный калькулятор'!$G$10="ежеквартальное",IF(F181&gt;'депозитный калькулятор'!$D$8," ",IF(AND(EOMONTH(F181,0)=F181,OR(MONTH(F181)=3,MONTH(F181)=6,MONTH(F181)=9,MONTH(F181)=12)),IF(EDATE(F181,-3)&lt;'депозитный калькулятор'!$D$7,SUM($H$23:H181),IF(MOD(YEAR(F181),4)=0,IF(AND(EOMONTH(F181,0)=F181,OR(MONTH(F181)=3,MONTH(F181)=6)),SUM(OFFSET(H181,-90,0):H181),IF(AND(EOMONTH(F181,0)=F181,OR(MONTH(F181)=9,MONTH(F181)=12)),SUM(OFFSET(H181,-91,0):H181))),IF(AND(EOMONTH(F181,0)=F181,MONTH(F181)=3),SUM(OFFSET(H181,-89,0):H181),IF(AND(EOMONTH(F181,0)=F181,MONTH(F181)=6),SUM(OFFSET(H181,-90,0):H181),IF(AND(EOMONTH(F181,0)=F181,OR(MONTH(F181)=9,MONTH(F181)=12)),SUM(OFFSET(H181,-91,0):H181)))))),IF(F181='депозитный калькулятор'!$D$8,SUM($H$23:H181)-SUM($I$23:I180),0))),IF('депозитный калькулятор'!$G$10="ежегодное",IF(F181&gt;'депозитный калькулятор'!$D$8," ",IF(F181='депозитный калькулятор'!$D$8,SUM($H$23:H181)-SUM($I$23:I180),IF(AND(EOMONTH(F181,0)=F181,MONTH(F181)=12),IF(MOD(YEAR(F180),4)=0,IF(F181-'депозитный калькулятор'!$D$7&lt;366,SUM($H$23:H181),SUM(OFFSET(H181,-365,0):H181)),IF(F181-'депозитный калькулятор'!$D$7&lt;365,SUM($H$23:H181),SUM(OFFSET(H181,-364,0):H181))),0))),IF(AND('депозитный калькулятор'!$G$10="в конце срока",'депозитный калькулятор'!$D$8=F181),SUM($H$23:H181),0))))))))))))))))))</f>
        <v xml:space="preserve"> </v>
      </c>
      <c r="J181" s="59" t="str">
        <f>IF(F181&gt;'депозитный калькулятор'!$D$8," ",IF('депозитный калькулятор'!$G$16="нет",0,IF(AND('депозитный калькулятор'!$G$17="разовая (в конце срока)",F181='депозитный калькулятор'!$D$8),'депозитный калькулятор'!$G$18,IF(AND('депозитный калькулятор'!$G$17="ежемесячная",EOMONTH(F180,0)=F180),'депозитный калькулятор'!$G$18,IF(AND('депозитный калькулятор'!$G$17="ежегодная",DAY(F180)=31,MONTH(F180)=12),'депозитный калькулятор'!$G$18,IF(AND('депозитный калькулятор'!$G$17="ежемесячная в зависимости от остатка",EOMONTH(F180,0)=F180,P180&gt;0),'депозитный калькулятор'!$G$18,IF(AND('депозитный калькулятор'!$G$17="ежегодная в зависимости от остатка",DAY(F180)=31,MONTH(F180)=12,P180&gt;0),'депозитный калькулятор'!$G$18,0)))))))</f>
        <v xml:space="preserve"> </v>
      </c>
      <c r="K181" s="135" t="str">
        <f>IF($F181=" "," ",IFERROR(VLOOKUP($F181,'депозитный калькулятор'!$B$26:$F$70,2,0),0))</f>
        <v xml:space="preserve"> </v>
      </c>
      <c r="L181" s="135" t="str">
        <f>IF($F181=" "," ",IFERROR(VLOOKUP($F181,'депозитный калькулятор'!$B$26:$F$70,3,0),0))</f>
        <v xml:space="preserve"> </v>
      </c>
      <c r="M181" s="135" t="str">
        <f>IF($F181=" "," ",IFERROR(VLOOKUP($F181,'депозитный калькулятор'!$B$26:$F$70,4,0),0))</f>
        <v xml:space="preserve"> </v>
      </c>
      <c r="N181" s="135" t="str">
        <f>IF($F181=" "," ",IFERROR(VLOOKUP($F181,'депозитный калькулятор'!$B$26:$F$70,5,0),0))</f>
        <v xml:space="preserve"> </v>
      </c>
      <c r="O181" s="146" t="str">
        <f>IF(F181&gt;'депозитный калькулятор'!$D$8," ",IF(F181='депозитный калькулятор'!$D$8,IF(AND($F$24='депозитный калькулятор'!$D$8,'депозитный калькулятор'!$G$13="нет"),-G181-IF(I181=" ",0,I181)-IF(AND(OR('депозитный калькулятор'!$G$7="30/365",'депозитный калькулятор'!$G$7="30/360"),'депозитный калькулятор'!$G$10="в начале срока"),I180,0)-L181+M181-N181,-G181-IF(I181=" ",0,I181)-L181+M181-N181),IF('депозитный калькулятор'!$G$13="есть",M181-N181+IF('депозитный калькулятор'!$G$14="есть",0,-L181),-IF(I181=" ",0,I181)-IF(AND(OR('депозитный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срока"),I180,0)+M181-N181+IF('депозитный калькулятор'!$G$14="есть",0,-L181))))</f>
        <v xml:space="preserve"> </v>
      </c>
      <c r="P181" s="147" t="str">
        <f>IF(F181&gt;'депозитный калькулятор'!$D$8," ",IF(EOMONTH(F180,0)=F180,0,IF(G181&gt;='депозитный калькулятор'!$G$19,P180,P180+1)))</f>
        <v xml:space="preserve"> </v>
      </c>
      <c r="Q181" s="138" t="str">
        <f>IF(F181=" "," ",IF(AND(OR('депозитный калькулятор'!$G$7="30/365",'депозитный калькулятор'!$G$7="30/360"),AND(MONTH(F181)=2,EOMONTH(F181,0)=F181)),IF(DAY(F181)=28,3,2),1)*IF(G181&gt;='депозитный калькулятор'!$G$11,IF(AND('депозитный калькулятор'!$G$7="факт/факт",MOD(YEAR(F181),4)=0),G181*'депозитный калькулятор'!$D$11/366,G181*'депозитный калькулятор'!$G$8),0))</f>
        <v xml:space="preserve"> </v>
      </c>
      <c r="R181" s="148"/>
      <c r="S181" s="62" t="str">
        <f t="shared" ca="1" si="12"/>
        <v xml:space="preserve"> </v>
      </c>
      <c r="T181" s="149" t="str">
        <f ca="1">IF(S181=" "," ",IF('депозитный калькулятор'!$G$7="30/360",DAYS360(U180,IF(DAY(U181)=31,U181-1,U181))+IF(AND(MONTH(U181)=2,U181=EOMONTH(U181,0)),30-DAY(EOMONTH(U181,0)))+T180,VLOOKUP(S181,$C$22:$F$1023,2,0)))</f>
        <v xml:space="preserve"> </v>
      </c>
      <c r="U181" s="64" t="str">
        <f t="shared" ca="1" si="10"/>
        <v xml:space="preserve"> </v>
      </c>
      <c r="V181" s="150" t="str">
        <f t="shared" ca="1" si="13"/>
        <v xml:space="preserve"> </v>
      </c>
      <c r="W181" s="62" t="str">
        <f t="shared" ca="1" si="14"/>
        <v xml:space="preserve"> </v>
      </c>
      <c r="X181" s="141" t="str">
        <f ca="1">IF(S181=" "," ",IFERROR(VLOOKUP(U181,$F$23:$N$1023,7)+VLOOKUP(U181,$F$23:$N$1023,9)+IF(AND('депозитный калькулятор'!$G$13="нет",U181&lt;&gt;'депозитный калькулятор'!$D$8),VLOOKUP(U181,$F$23:$N$1023,4),0),0)+IF(U181='депозитный калькулятор'!$D$8,VLOOKUP(U181,$F$23:$N$1023,2)+VLOOKUP(U181,$F$23:$N$1023,4),0))</f>
        <v xml:space="preserve"> </v>
      </c>
      <c r="Y181" s="142" t="str">
        <f ca="1">IF(S181=" "," ",W181/(1+'депозитный калькулятор'!$K$8)^(T181/IF('депозитный калькулятор'!$G$7="30/360",360,365)))</f>
        <v xml:space="preserve"> </v>
      </c>
      <c r="Z181" s="142" t="str">
        <f ca="1">IF(S181=" "," ",X181/(1+'депозитный калькулятор'!$K$8)^(T181/IF('депозитный калькулятор'!$G$7="30/360",360,365)))</f>
        <v xml:space="preserve"> </v>
      </c>
      <c r="AA181" s="151"/>
      <c r="AB181" s="151"/>
      <c r="AC181" s="155"/>
      <c r="AD181" s="155"/>
    </row>
    <row r="182" spans="1:30" s="2" customFormat="1" ht="15.5" x14ac:dyDescent="0.35">
      <c r="A182" s="41" t="str">
        <f>IF(F182=" "," ",IF(OR('депозитный калькулятор'!$G$7="30/365",'депозитный калькулятор'!$G$7="30/360"),IF(AND(MONTH(F182)=2,DAY(F182)=DAY(EOMONTH(F182,0))),30-DAY(EOMONTH(F182,0)),IF(DAY(F182)=31,1," "))," "))</f>
        <v xml:space="preserve"> </v>
      </c>
      <c r="B182" s="130" t="str">
        <f t="shared" si="11"/>
        <v xml:space="preserve"> </v>
      </c>
      <c r="C182" s="130" t="str">
        <f>IF(OR(B182=0,B182=" ")," ",SUM($B$23:B182))</f>
        <v xml:space="preserve"> </v>
      </c>
      <c r="D182" s="62" t="str">
        <f>IF(D181=" "," ",IF(OR(F181='депозитный калькулятор'!$D$8,F181=" ")," ",D181+1))</f>
        <v xml:space="preserve"> </v>
      </c>
      <c r="E182" s="130" t="str">
        <f>IF(OR(F181='депозитный калькулятор'!$D$8,F181=" ")," ",IF(EOMONTH(F181,0)=F181,1,E181+1))</f>
        <v xml:space="preserve"> </v>
      </c>
      <c r="F182" s="64" t="str">
        <f>IF(F181=" "," ",IF(F181='депозитный калькулятор'!$D$8," ",F181+1))</f>
        <v xml:space="preserve"> </v>
      </c>
      <c r="G182" s="145" t="str">
        <f xml:space="preserve"> IF(F182&gt;'депозитный калькулятор'!$D$8," ",IF('депозитный калькулятор'!$G$13="есть",IF('депозитный калькулятор'!$G$14="есть",G181+IF(I181=" ",0,I181)-J182-K182+L182+M182-N182,G181+IF(I181=" ",0,I181)-J182-K182+M182-N182),IF('депозитный калькулятор'!$G$14="есть",G181-J182-K182+L182+M182-N182,G181-J182-K182+M182-N182)))</f>
        <v xml:space="preserve"> </v>
      </c>
      <c r="H182" s="133" t="str">
        <f>IF(F182&gt;'депозитный калькулятор'!$D$8," ",IF(AND(OR('депозитный калькулятор'!$G$7="30/365",'депозитный калькулятор'!$G$7="30/360"),AND(MONTH(F182)=2,EOMONTH(F182,0)=F182)),IF(DAY(F182)=28,3*G182*'депозитный калькулятор'!$G$8,2*G182*'депозитный калькулятор'!$G$8),IF(AND(OR('депозитный калькулятор'!$G$7="30/365",'депозитный калькулятор'!$G$7="30/360"),DAY(F182)=31)," ",IF(AND('депозитный калькулятор'!$G$7="факт/факт",MOD(YEAR(F182),4)=0),G182*'депозитный калькулятор'!$D$11/366,G182*'депозитный калькулятор'!$G$8))))</f>
        <v xml:space="preserve"> </v>
      </c>
      <c r="I182" s="134" t="str">
        <f ca="1">IF(F182=" "," ",IF('депозитный калькулятор'!$G$10="ежедневное",H182,IF(AND('депозитный калькулятор'!$G$10="еженедельное",WEEKDAY(F182,2)=7),SUM(OFFSET(H182,-6,0):H182),IF(AND('депозитный калькулятор'!$G$10="еженедельное",F182='депозитный калькулятор'!$D$8),SUM($H$23:H182)-SUM($I$23:I181),IF(AND('депозитный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недели",WEEKDAY(F182,2)=7),MIN(OFFSET(H182,-6,0):H182)*(COUNTIF(OFFSET(H182,-6,0):H182,"&gt;0")+SUMIF(OFFSET(A182,-WEEKDAY(F182,2),0):A182,"=2",OFFSET(A182,-WEEKDAY(F182,2),0):A182)),IF(AND('депозитный калькулятор'!$G$10="еженедельное, на минимальную сумму зафиксированную в течение недели",F182='депозитный калькулятор'!$D$8,WEEKDAY(F182,2)&lt;&gt;7),MIN(OFFSET(H182,-WEEKDAY(F182,2),0):H182)*(COUNTIF(OFFSET(H182,-WEEKDAY(F182,2)+1,0):H182,"&gt;0")+SUM(OFFSET(A182,-WEEKDAY(F182,2),0):A182)),IF(AND('депозитный калькулятор'!$G$10="ежемесячное (в конце месяца)",F182='депозитный калькулятор'!$D$8,EOMONTH(F182,0)&lt;&gt;F182),IF('депозитный калькулятор'!$F$1=1,$H$24,SUM($H$23:H182)-SUM($I$23:I181)),IF(AND('депозитный калькулятор'!$G$10="ежемесячное (в конце месяца)",EOMONTH(F182,0)=F182),SUM($H$23:H182)-SUM($I$23:I181),IF(AND('депозитный калькулятор'!$G$10="ежемесячное (по дням открытия вклада)",F182='депозитный калькулятор'!$D$8,DAY('депозитный калькулятор'!$D$7)&lt;&gt;DAY(F182)),IF('депозитный калькулятор'!$F$1=1,$H$24,SUM($H$23:H182)-SUM($I$23:I181)),IF(AND('депозитный калькулятор'!$G$10="ежемесячное (по дням открытия вклада)",DAY('депозитный калькулятор'!$D$7)=DAY(F182)),SUM($H$23:H182)-SUM($I$23:I181),IF(AND('депозитный калькулятор'!$G$10="ежемесячное, на минимальную сумму зафиксированную в течение месяца",F182='депозитный калькулятор'!$D$8,EOMONTH(F182,0)&lt;&gt;F182),IF('депозитный калькулятор'!$F$1=1,$H$24,IF(AND(OR('депозитный калькулятор'!$G$7="30/365",'депозитный калькулятор'!$G$7="30/360"),DAY(F182)=31),0,MIN(OFFSET(H182,-E182+1,0):H182)*(E182+SUMIF(OFFSET(A182,-E182+1,0):A182,"=2",OFFSET(A182,-E182+1,0):A182)))),IF(AND('депозитный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калькулятор'!$G$7="30/360"),DAY(EOMONTH(F182,0))=31),EOMONTH(F182,0)-1=F182,EOMONTH(F182,0)=F182)),IF(IF(AND(OR('депозитный калькулятор'!$G$7="30/365",'депозитный калькулятор'!$G$7="30/360"),DAY(EOMONTH($F$23,0))=31),F182=EOMONTH($F$23,0)-1,F182=EOMONTH($F$23,0)),MIN(OFFSET(H182,-(DAY(F182)-DAY($F$23)),0):H182)*E182,MIN(OFFSET(H182,-(DAY(F182)-1),0):H182)*IF(AND(OR('депозитный калькулятор'!$G$7="30/365",'депозитный калькулятор'!$G$7="30/360"),DAY(F182)&lt;30),30,DAY(F182))),IF(AND('депозитный калькулятор'!$G$10="ежемесячное, на средний остаток в течение месяца, при условии что остаток больше чем ограничение",F182='депозитный калькулятор'!$D$8,EOMONTH(F182,0)&lt;&gt;F182),IF('депозитный калькулятор'!$F$1=1,$H$24,SUM(OFFSET(Q182,-E182+1,0):Q182)),IF(AND('депозитный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калькулятор'!$G$7="30/360"),DAY(EOMONTH(F182,0))=31),EOMONTH(F182,0)-1=F182,EOMONTH(F182,0)=F182)),IF(IF(AND(OR('депозитный калькулятор'!$G$7="30/365",'депозитный калькулятор'!$G$7="30/360"),DAY(EOMONTH($F$24,0))=31),F182=EOMONTH($F$24,0)-1,F182=EOMONTH($F$24,0)),SUM(OFFSET(Q182,-E182+1,0):Q182),SUM(OFFSET(Q182,-E182+1,0):Q182)),IF('депозитный калькулятор'!$G$10="ежеквартальное",IF(F182&gt;'депозитный калькулятор'!$D$8," ",IF(AND(EOMONTH(F182,0)=F182,OR(MONTH(F182)=3,MONTH(F182)=6,MONTH(F182)=9,MONTH(F182)=12)),IF(EDATE(F182,-3)&lt;'депозитный калькулятор'!$D$7,SUM($H$23:H182),IF(MOD(YEAR(F182),4)=0,IF(AND(EOMONTH(F182,0)=F182,OR(MONTH(F182)=3,MONTH(F182)=6)),SUM(OFFSET(H182,-90,0):H182),IF(AND(EOMONTH(F182,0)=F182,OR(MONTH(F182)=9,MONTH(F182)=12)),SUM(OFFSET(H182,-91,0):H182))),IF(AND(EOMONTH(F182,0)=F182,MONTH(F182)=3),SUM(OFFSET(H182,-89,0):H182),IF(AND(EOMONTH(F182,0)=F182,MONTH(F182)=6),SUM(OFFSET(H182,-90,0):H182),IF(AND(EOMONTH(F182,0)=F182,OR(MONTH(F182)=9,MONTH(F182)=12)),SUM(OFFSET(H182,-91,0):H182)))))),IF(F182='депозитный калькулятор'!$D$8,SUM($H$23:H182)-SUM($I$23:I181),0))),IF('депозитный калькулятор'!$G$10="ежегодное",IF(F182&gt;'депозитный калькулятор'!$D$8," ",IF(F182='депозитный калькулятор'!$D$8,SUM($H$23:H182)-SUM($I$23:I181),IF(AND(EOMONTH(F182,0)=F182,MONTH(F182)=12),IF(MOD(YEAR(F181),4)=0,IF(F182-'депозитный калькулятор'!$D$7&lt;366,SUM($H$23:H182),SUM(OFFSET(H182,-365,0):H182)),IF(F182-'депозитный калькулятор'!$D$7&lt;365,SUM($H$23:H182),SUM(OFFSET(H182,-364,0):H182))),0))),IF(AND('депозитный калькулятор'!$G$10="в конце срока",'депозитный калькулятор'!$D$8=F182),SUM($H$23:H182),0))))))))))))))))))</f>
        <v xml:space="preserve"> </v>
      </c>
      <c r="J182" s="59" t="str">
        <f>IF(F182&gt;'депозитный калькулятор'!$D$8," ",IF('депозитный калькулятор'!$G$16="нет",0,IF(AND('депозитный калькулятор'!$G$17="разовая (в конце срока)",F182='депозитный калькулятор'!$D$8),'депозитный калькулятор'!$G$18,IF(AND('депозитный калькулятор'!$G$17="ежемесячная",EOMONTH(F181,0)=F181),'депозитный калькулятор'!$G$18,IF(AND('депозитный калькулятор'!$G$17="ежегодная",DAY(F181)=31,MONTH(F181)=12),'депозитный калькулятор'!$G$18,IF(AND('депозитный калькулятор'!$G$17="ежемесячная в зависимости от остатка",EOMONTH(F181,0)=F181,P181&gt;0),'депозитный калькулятор'!$G$18,IF(AND('депозитный калькулятор'!$G$17="ежегодная в зависимости от остатка",DAY(F181)=31,MONTH(F181)=12,P181&gt;0),'депозитный калькулятор'!$G$18,0)))))))</f>
        <v xml:space="preserve"> </v>
      </c>
      <c r="K182" s="135" t="str">
        <f>IF($F182=" "," ",IFERROR(VLOOKUP($F182,'депозитный калькулятор'!$B$26:$F$70,2,0),0))</f>
        <v xml:space="preserve"> </v>
      </c>
      <c r="L182" s="135" t="str">
        <f>IF($F182=" "," ",IFERROR(VLOOKUP($F182,'депозитный калькулятор'!$B$26:$F$70,3,0),0))</f>
        <v xml:space="preserve"> </v>
      </c>
      <c r="M182" s="135" t="str">
        <f>IF($F182=" "," ",IFERROR(VLOOKUP($F182,'депозитный калькулятор'!$B$26:$F$70,4,0),0))</f>
        <v xml:space="preserve"> </v>
      </c>
      <c r="N182" s="135" t="str">
        <f>IF($F182=" "," ",IFERROR(VLOOKUP($F182,'депозитный калькулятор'!$B$26:$F$70,5,0),0))</f>
        <v xml:space="preserve"> </v>
      </c>
      <c r="O182" s="146" t="str">
        <f>IF(F182&gt;'депозитный калькулятор'!$D$8," ",IF(F182='депозитный калькулятор'!$D$8,IF(AND($F$24='депозитный калькулятор'!$D$8,'депозитный калькулятор'!$G$13="нет"),-G182-IF(I182=" ",0,I182)-IF(AND(OR('депозитный калькулятор'!$G$7="30/365",'депозитный калькулятор'!$G$7="30/360"),'депозитный калькулятор'!$G$10="в начале срока"),I181,0)-L182+M182-N182,-G182-IF(I182=" ",0,I182)-L182+M182-N182),IF('депозитный калькулятор'!$G$13="есть",M182-N182+IF('депозитный калькулятор'!$G$14="есть",0,-L182),-IF(I182=" ",0,I182)-IF(AND(OR('депозитный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срока"),I181,0)+M182-N182+IF('депозитный калькулятор'!$G$14="есть",0,-L182))))</f>
        <v xml:space="preserve"> </v>
      </c>
      <c r="P182" s="147" t="str">
        <f>IF(F182&gt;'депозитный калькулятор'!$D$8," ",IF(EOMONTH(F181,0)=F181,0,IF(G182&gt;='депозитный калькулятор'!$G$19,P181,P181+1)))</f>
        <v xml:space="preserve"> </v>
      </c>
      <c r="Q182" s="138" t="str">
        <f>IF(F182=" "," ",IF(AND(OR('депозитный калькулятор'!$G$7="30/365",'депозитный калькулятор'!$G$7="30/360"),AND(MONTH(F182)=2,EOMONTH(F182,0)=F182)),IF(DAY(F182)=28,3,2),1)*IF(G182&gt;='депозитный калькулятор'!$G$11,IF(AND('депозитный калькулятор'!$G$7="факт/факт",MOD(YEAR(F182),4)=0),G182*'депозитный калькулятор'!$D$11/366,G182*'депозитный калькулятор'!$G$8),0))</f>
        <v xml:space="preserve"> </v>
      </c>
      <c r="R182" s="148"/>
      <c r="S182" s="62" t="str">
        <f t="shared" ca="1" si="12"/>
        <v xml:space="preserve"> </v>
      </c>
      <c r="T182" s="149" t="str">
        <f ca="1">IF(S182=" "," ",IF('депозитный калькулятор'!$G$7="30/360",DAYS360(U181,IF(DAY(U182)=31,U182-1,U182))+IF(AND(MONTH(U182)=2,U182=EOMONTH(U182,0)),30-DAY(EOMONTH(U182,0)))+T181,VLOOKUP(S182,$C$22:$F$1023,2,0)))</f>
        <v xml:space="preserve"> </v>
      </c>
      <c r="U182" s="64" t="str">
        <f t="shared" ca="1" si="10"/>
        <v xml:space="preserve"> </v>
      </c>
      <c r="V182" s="150" t="str">
        <f t="shared" ca="1" si="13"/>
        <v xml:space="preserve"> </v>
      </c>
      <c r="W182" s="62" t="str">
        <f t="shared" ca="1" si="14"/>
        <v xml:space="preserve"> </v>
      </c>
      <c r="X182" s="141" t="str">
        <f ca="1">IF(S182=" "," ",IFERROR(VLOOKUP(U182,$F$23:$N$1023,7)+VLOOKUP(U182,$F$23:$N$1023,9)+IF(AND('депозитный калькулятор'!$G$13="нет",U182&lt;&gt;'депозитный калькулятор'!$D$8),VLOOKUP(U182,$F$23:$N$1023,4),0),0)+IF(U182='депозитный калькулятор'!$D$8,VLOOKUP(U182,$F$23:$N$1023,2)+VLOOKUP(U182,$F$23:$N$1023,4),0))</f>
        <v xml:space="preserve"> </v>
      </c>
      <c r="Y182" s="142" t="str">
        <f ca="1">IF(S182=" "," ",W182/(1+'депозитный калькулятор'!$K$8)^(T182/IF('депозитный калькулятор'!$G$7="30/360",360,365)))</f>
        <v xml:space="preserve"> </v>
      </c>
      <c r="Z182" s="142" t="str">
        <f ca="1">IF(S182=" "," ",X182/(1+'депозитный калькулятор'!$K$8)^(T182/IF('депозитный калькулятор'!$G$7="30/360",360,365)))</f>
        <v xml:space="preserve"> </v>
      </c>
      <c r="AA182" s="151"/>
      <c r="AB182" s="151"/>
      <c r="AC182" s="155"/>
      <c r="AD182" s="155"/>
    </row>
    <row r="183" spans="1:30" s="2" customFormat="1" ht="15.5" x14ac:dyDescent="0.35">
      <c r="A183" s="41" t="str">
        <f>IF(F183=" "," ",IF(OR('депозитный калькулятор'!$G$7="30/365",'депозитный калькулятор'!$G$7="30/360"),IF(AND(MONTH(F183)=2,DAY(F183)=DAY(EOMONTH(F183,0))),30-DAY(EOMONTH(F183,0)),IF(DAY(F183)=31,1," "))," "))</f>
        <v xml:space="preserve"> </v>
      </c>
      <c r="B183" s="130" t="str">
        <f t="shared" si="11"/>
        <v xml:space="preserve"> </v>
      </c>
      <c r="C183" s="130" t="str">
        <f>IF(OR(B183=0,B183=" ")," ",SUM($B$23:B183))</f>
        <v xml:space="preserve"> </v>
      </c>
      <c r="D183" s="62" t="str">
        <f>IF(D182=" "," ",IF(OR(F182='депозитный калькулятор'!$D$8,F182=" ")," ",D182+1))</f>
        <v xml:space="preserve"> </v>
      </c>
      <c r="E183" s="130" t="str">
        <f>IF(OR(F182='депозитный калькулятор'!$D$8,F182=" ")," ",IF(EOMONTH(F182,0)=F182,1,E182+1))</f>
        <v xml:space="preserve"> </v>
      </c>
      <c r="F183" s="64" t="str">
        <f>IF(F182=" "," ",IF(F182='депозитный калькулятор'!$D$8," ",F182+1))</f>
        <v xml:space="preserve"> </v>
      </c>
      <c r="G183" s="145" t="str">
        <f xml:space="preserve"> IF(F183&gt;'депозитный калькулятор'!$D$8," ",IF('депозитный калькулятор'!$G$13="есть",IF('депозитный калькулятор'!$G$14="есть",G182+IF(I182=" ",0,I182)-J183-K183+L183+M183-N183,G182+IF(I182=" ",0,I182)-J183-K183+M183-N183),IF('депозитный калькулятор'!$G$14="есть",G182-J183-K183+L183+M183-N183,G182-J183-K183+M183-N183)))</f>
        <v xml:space="preserve"> </v>
      </c>
      <c r="H183" s="133" t="str">
        <f>IF(F183&gt;'депозитный калькулятор'!$D$8," ",IF(AND(OR('депозитный калькулятор'!$G$7="30/365",'депозитный калькулятор'!$G$7="30/360"),AND(MONTH(F183)=2,EOMONTH(F183,0)=F183)),IF(DAY(F183)=28,3*G183*'депозитный калькулятор'!$G$8,2*G183*'депозитный калькулятор'!$G$8),IF(AND(OR('депозитный калькулятор'!$G$7="30/365",'депозитный калькулятор'!$G$7="30/360"),DAY(F183)=31)," ",IF(AND('депозитный калькулятор'!$G$7="факт/факт",MOD(YEAR(F183),4)=0),G183*'депозитный калькулятор'!$D$11/366,G183*'депозитный калькулятор'!$G$8))))</f>
        <v xml:space="preserve"> </v>
      </c>
      <c r="I183" s="134" t="str">
        <f ca="1">IF(F183=" "," ",IF('депозитный калькулятор'!$G$10="ежедневное",H183,IF(AND('депозитный калькулятор'!$G$10="еженедельное",WEEKDAY(F183,2)=7),SUM(OFFSET(H183,-6,0):H183),IF(AND('депозитный калькулятор'!$G$10="еженедельное",F183='депозитный калькулятор'!$D$8),SUM($H$23:H183)-SUM($I$23:I182),IF(AND('депозитный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недели",WEEKDAY(F183,2)=7),MIN(OFFSET(H183,-6,0):H183)*(COUNTIF(OFFSET(H183,-6,0):H183,"&gt;0")+SUMIF(OFFSET(A183,-WEEKDAY(F183,2),0):A183,"=2",OFFSET(A183,-WEEKDAY(F183,2),0):A183)),IF(AND('депозитный калькулятор'!$G$10="еженедельное, на минимальную сумму зафиксированную в течение недели",F183='депозитный калькулятор'!$D$8,WEEKDAY(F183,2)&lt;&gt;7),MIN(OFFSET(H183,-WEEKDAY(F183,2),0):H183)*(COUNTIF(OFFSET(H183,-WEEKDAY(F183,2)+1,0):H183,"&gt;0")+SUM(OFFSET(A183,-WEEKDAY(F183,2),0):A183)),IF(AND('депозитный калькулятор'!$G$10="ежемесячное (в конце месяца)",F183='депозитный калькулятор'!$D$8,EOMONTH(F183,0)&lt;&gt;F183),IF('депозитный калькулятор'!$F$1=1,$H$24,SUM($H$23:H183)-SUM($I$23:I182)),IF(AND('депозитный калькулятор'!$G$10="ежемесячное (в конце месяца)",EOMONTH(F183,0)=F183),SUM($H$23:H183)-SUM($I$23:I182),IF(AND('депозитный калькулятор'!$G$10="ежемесячное (по дням открытия вклада)",F183='депозитный калькулятор'!$D$8,DAY('депозитный калькулятор'!$D$7)&lt;&gt;DAY(F183)),IF('депозитный калькулятор'!$F$1=1,$H$24,SUM($H$23:H183)-SUM($I$23:I182)),IF(AND('депозитный калькулятор'!$G$10="ежемесячное (по дням открытия вклада)",DAY('депозитный калькулятор'!$D$7)=DAY(F183)),SUM($H$23:H183)-SUM($I$23:I182),IF(AND('депозитный калькулятор'!$G$10="ежемесячное, на минимальную сумму зафиксированную в течение месяца",F183='депозитный калькулятор'!$D$8,EOMONTH(F183,0)&lt;&gt;F183),IF('депозитный калькулятор'!$F$1=1,$H$24,IF(AND(OR('депозитный калькулятор'!$G$7="30/365",'депозитный калькулятор'!$G$7="30/360"),DAY(F183)=31),0,MIN(OFFSET(H183,-E183+1,0):H183)*(E183+SUMIF(OFFSET(A183,-E183+1,0):A183,"=2",OFFSET(A183,-E183+1,0):A183)))),IF(AND('депозитный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калькулятор'!$G$7="30/360"),DAY(EOMONTH(F183,0))=31),EOMONTH(F183,0)-1=F183,EOMONTH(F183,0)=F183)),IF(IF(AND(OR('депозитный калькулятор'!$G$7="30/365",'депозитный калькулятор'!$G$7="30/360"),DAY(EOMONTH($F$23,0))=31),F183=EOMONTH($F$23,0)-1,F183=EOMONTH($F$23,0)),MIN(OFFSET(H183,-(DAY(F183)-DAY($F$23)),0):H183)*E183,MIN(OFFSET(H183,-(DAY(F183)-1),0):H183)*IF(AND(OR('депозитный калькулятор'!$G$7="30/365",'депозитный калькулятор'!$G$7="30/360"),DAY(F183)&lt;30),30,DAY(F183))),IF(AND('депозитный калькулятор'!$G$10="ежемесячное, на средний остаток в течение месяца, при условии что остаток больше чем ограничение",F183='депозитный калькулятор'!$D$8,EOMONTH(F183,0)&lt;&gt;F183),IF('депозитный калькулятор'!$F$1=1,$H$24,SUM(OFFSET(Q183,-E183+1,0):Q183)),IF(AND('депозитный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калькулятор'!$G$7="30/360"),DAY(EOMONTH(F183,0))=31),EOMONTH(F183,0)-1=F183,EOMONTH(F183,0)=F183)),IF(IF(AND(OR('депозитный калькулятор'!$G$7="30/365",'депозитный калькулятор'!$G$7="30/360"),DAY(EOMONTH($F$24,0))=31),F183=EOMONTH($F$24,0)-1,F183=EOMONTH($F$24,0)),SUM(OFFSET(Q183,-E183+1,0):Q183),SUM(OFFSET(Q183,-E183+1,0):Q183)),IF('депозитный калькулятор'!$G$10="ежеквартальное",IF(F183&gt;'депозитный калькулятор'!$D$8," ",IF(AND(EOMONTH(F183,0)=F183,OR(MONTH(F183)=3,MONTH(F183)=6,MONTH(F183)=9,MONTH(F183)=12)),IF(EDATE(F183,-3)&lt;'депозитный калькулятор'!$D$7,SUM($H$23:H183),IF(MOD(YEAR(F183),4)=0,IF(AND(EOMONTH(F183,0)=F183,OR(MONTH(F183)=3,MONTH(F183)=6)),SUM(OFFSET(H183,-90,0):H183),IF(AND(EOMONTH(F183,0)=F183,OR(MONTH(F183)=9,MONTH(F183)=12)),SUM(OFFSET(H183,-91,0):H183))),IF(AND(EOMONTH(F183,0)=F183,MONTH(F183)=3),SUM(OFFSET(H183,-89,0):H183),IF(AND(EOMONTH(F183,0)=F183,MONTH(F183)=6),SUM(OFFSET(H183,-90,0):H183),IF(AND(EOMONTH(F183,0)=F183,OR(MONTH(F183)=9,MONTH(F183)=12)),SUM(OFFSET(H183,-91,0):H183)))))),IF(F183='депозитный калькулятор'!$D$8,SUM($H$23:H183)-SUM($I$23:I182),0))),IF('депозитный калькулятор'!$G$10="ежегодное",IF(F183&gt;'депозитный калькулятор'!$D$8," ",IF(F183='депозитный калькулятор'!$D$8,SUM($H$23:H183)-SUM($I$23:I182),IF(AND(EOMONTH(F183,0)=F183,MONTH(F183)=12),IF(MOD(YEAR(F182),4)=0,IF(F183-'депозитный калькулятор'!$D$7&lt;366,SUM($H$23:H183),SUM(OFFSET(H183,-365,0):H183)),IF(F183-'депозитный калькулятор'!$D$7&lt;365,SUM($H$23:H183),SUM(OFFSET(H183,-364,0):H183))),0))),IF(AND('депозитный калькулятор'!$G$10="в конце срока",'депозитный калькулятор'!$D$8=F183),SUM($H$23:H183),0))))))))))))))))))</f>
        <v xml:space="preserve"> </v>
      </c>
      <c r="J183" s="59" t="str">
        <f>IF(F183&gt;'депозитный калькулятор'!$D$8," ",IF('депозитный калькулятор'!$G$16="нет",0,IF(AND('депозитный калькулятор'!$G$17="разовая (в конце срока)",F183='депозитный калькулятор'!$D$8),'депозитный калькулятор'!$G$18,IF(AND('депозитный калькулятор'!$G$17="ежемесячная",EOMONTH(F182,0)=F182),'депозитный калькулятор'!$G$18,IF(AND('депозитный калькулятор'!$G$17="ежегодная",DAY(F182)=31,MONTH(F182)=12),'депозитный калькулятор'!$G$18,IF(AND('депозитный калькулятор'!$G$17="ежемесячная в зависимости от остатка",EOMONTH(F182,0)=F182,P182&gt;0),'депозитный калькулятор'!$G$18,IF(AND('депозитный калькулятор'!$G$17="ежегодная в зависимости от остатка",DAY(F182)=31,MONTH(F182)=12,P182&gt;0),'депозитный калькулятор'!$G$18,0)))))))</f>
        <v xml:space="preserve"> </v>
      </c>
      <c r="K183" s="135" t="str">
        <f>IF($F183=" "," ",IFERROR(VLOOKUP($F183,'депозитный калькулятор'!$B$26:$F$70,2,0),0))</f>
        <v xml:space="preserve"> </v>
      </c>
      <c r="L183" s="135" t="str">
        <f>IF($F183=" "," ",IFERROR(VLOOKUP($F183,'депозитный калькулятор'!$B$26:$F$70,3,0),0))</f>
        <v xml:space="preserve"> </v>
      </c>
      <c r="M183" s="135" t="str">
        <f>IF($F183=" "," ",IFERROR(VLOOKUP($F183,'депозитный калькулятор'!$B$26:$F$70,4,0),0))</f>
        <v xml:space="preserve"> </v>
      </c>
      <c r="N183" s="135" t="str">
        <f>IF($F183=" "," ",IFERROR(VLOOKUP($F183,'депозитный калькулятор'!$B$26:$F$70,5,0),0))</f>
        <v xml:space="preserve"> </v>
      </c>
      <c r="O183" s="146" t="str">
        <f>IF(F183&gt;'депозитный калькулятор'!$D$8," ",IF(F183='депозитный калькулятор'!$D$8,IF(AND($F$24='депозитный калькулятор'!$D$8,'депозитный калькулятор'!$G$13="нет"),-G183-IF(I183=" ",0,I183)-IF(AND(OR('депозитный калькулятор'!$G$7="30/365",'депозитный калькулятор'!$G$7="30/360"),'депозитный калькулятор'!$G$10="в начале срока"),I182,0)-L183+M183-N183,-G183-IF(I183=" ",0,I183)-L183+M183-N183),IF('депозитный калькулятор'!$G$13="есть",M183-N183+IF('депозитный калькулятор'!$G$14="есть",0,-L183),-IF(I183=" ",0,I183)-IF(AND(OR('депозитный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срока"),I182,0)+M183-N183+IF('депозитный калькулятор'!$G$14="есть",0,-L183))))</f>
        <v xml:space="preserve"> </v>
      </c>
      <c r="P183" s="147" t="str">
        <f>IF(F183&gt;'депозитный калькулятор'!$D$8," ",IF(EOMONTH(F182,0)=F182,0,IF(G183&gt;='депозитный калькулятор'!$G$19,P182,P182+1)))</f>
        <v xml:space="preserve"> </v>
      </c>
      <c r="Q183" s="138" t="str">
        <f>IF(F183=" "," ",IF(AND(OR('депозитный калькулятор'!$G$7="30/365",'депозитный калькулятор'!$G$7="30/360"),AND(MONTH(F183)=2,EOMONTH(F183,0)=F183)),IF(DAY(F183)=28,3,2),1)*IF(G183&gt;='депозитный калькулятор'!$G$11,IF(AND('депозитный калькулятор'!$G$7="факт/факт",MOD(YEAR(F183),4)=0),G183*'депозитный калькулятор'!$D$11/366,G183*'депозитный калькулятор'!$G$8),0))</f>
        <v xml:space="preserve"> </v>
      </c>
      <c r="R183" s="148"/>
      <c r="S183" s="62" t="str">
        <f t="shared" ca="1" si="12"/>
        <v xml:space="preserve"> </v>
      </c>
      <c r="T183" s="149" t="str">
        <f ca="1">IF(S183=" "," ",IF('депозитный калькулятор'!$G$7="30/360",DAYS360(U182,IF(DAY(U183)=31,U183-1,U183))+IF(AND(MONTH(U183)=2,U183=EOMONTH(U183,0)),30-DAY(EOMONTH(U183,0)))+T182,VLOOKUP(S183,$C$22:$F$1023,2,0)))</f>
        <v xml:space="preserve"> </v>
      </c>
      <c r="U183" s="64" t="str">
        <f t="shared" ca="1" si="10"/>
        <v xml:space="preserve"> </v>
      </c>
      <c r="V183" s="150" t="str">
        <f t="shared" ca="1" si="13"/>
        <v xml:space="preserve"> </v>
      </c>
      <c r="W183" s="62" t="str">
        <f t="shared" ca="1" si="14"/>
        <v xml:space="preserve"> </v>
      </c>
      <c r="X183" s="141" t="str">
        <f ca="1">IF(S183=" "," ",IFERROR(VLOOKUP(U183,$F$23:$N$1023,7)+VLOOKUP(U183,$F$23:$N$1023,9)+IF(AND('депозитный калькулятор'!$G$13="нет",U183&lt;&gt;'депозитный калькулятор'!$D$8),VLOOKUP(U183,$F$23:$N$1023,4),0),0)+IF(U183='депозитный калькулятор'!$D$8,VLOOKUP(U183,$F$23:$N$1023,2)+VLOOKUP(U183,$F$23:$N$1023,4),0))</f>
        <v xml:space="preserve"> </v>
      </c>
      <c r="Y183" s="142" t="str">
        <f ca="1">IF(S183=" "," ",W183/(1+'депозитный калькулятор'!$K$8)^(T183/IF('депозитный калькулятор'!$G$7="30/360",360,365)))</f>
        <v xml:space="preserve"> </v>
      </c>
      <c r="Z183" s="142" t="str">
        <f ca="1">IF(S183=" "," ",X183/(1+'депозитный калькулятор'!$K$8)^(T183/IF('депозитный калькулятор'!$G$7="30/360",360,365)))</f>
        <v xml:space="preserve"> </v>
      </c>
      <c r="AA183" s="151"/>
      <c r="AB183" s="151"/>
      <c r="AC183" s="155"/>
      <c r="AD183" s="155"/>
    </row>
    <row r="184" spans="1:30" s="2" customFormat="1" ht="15.5" x14ac:dyDescent="0.35">
      <c r="A184" s="41" t="str">
        <f>IF(F184=" "," ",IF(OR('депозитный калькулятор'!$G$7="30/365",'депозитный калькулятор'!$G$7="30/360"),IF(AND(MONTH(F184)=2,DAY(F184)=DAY(EOMONTH(F184,0))),30-DAY(EOMONTH(F184,0)),IF(DAY(F184)=31,1," "))," "))</f>
        <v xml:space="preserve"> </v>
      </c>
      <c r="B184" s="130" t="str">
        <f t="shared" si="11"/>
        <v xml:space="preserve"> </v>
      </c>
      <c r="C184" s="130" t="str">
        <f>IF(OR(B184=0,B184=" ")," ",SUM($B$23:B184))</f>
        <v xml:space="preserve"> </v>
      </c>
      <c r="D184" s="62" t="str">
        <f>IF(D183=" "," ",IF(OR(F183='депозитный калькулятор'!$D$8,F183=" ")," ",D183+1))</f>
        <v xml:space="preserve"> </v>
      </c>
      <c r="E184" s="130" t="str">
        <f>IF(OR(F183='депозитный калькулятор'!$D$8,F183=" ")," ",IF(EOMONTH(F183,0)=F183,1,E183+1))</f>
        <v xml:space="preserve"> </v>
      </c>
      <c r="F184" s="64" t="str">
        <f>IF(F183=" "," ",IF(F183='депозитный калькулятор'!$D$8," ",F183+1))</f>
        <v xml:space="preserve"> </v>
      </c>
      <c r="G184" s="145" t="str">
        <f xml:space="preserve"> IF(F184&gt;'депозитный калькулятор'!$D$8," ",IF('депозитный калькулятор'!$G$13="есть",IF('депозитный калькулятор'!$G$14="есть",G183+IF(I183=" ",0,I183)-J184-K184+L184+M184-N184,G183+IF(I183=" ",0,I183)-J184-K184+M184-N184),IF('депозитный калькулятор'!$G$14="есть",G183-J184-K184+L184+M184-N184,G183-J184-K184+M184-N184)))</f>
        <v xml:space="preserve"> </v>
      </c>
      <c r="H184" s="133" t="str">
        <f>IF(F184&gt;'депозитный калькулятор'!$D$8," ",IF(AND(OR('депозитный калькулятор'!$G$7="30/365",'депозитный калькулятор'!$G$7="30/360"),AND(MONTH(F184)=2,EOMONTH(F184,0)=F184)),IF(DAY(F184)=28,3*G184*'депозитный калькулятор'!$G$8,2*G184*'депозитный калькулятор'!$G$8),IF(AND(OR('депозитный калькулятор'!$G$7="30/365",'депозитный калькулятор'!$G$7="30/360"),DAY(F184)=31)," ",IF(AND('депозитный калькулятор'!$G$7="факт/факт",MOD(YEAR(F184),4)=0),G184*'депозитный калькулятор'!$D$11/366,G184*'депозитный калькулятор'!$G$8))))</f>
        <v xml:space="preserve"> </v>
      </c>
      <c r="I184" s="134" t="str">
        <f ca="1">IF(F184=" "," ",IF('депозитный калькулятор'!$G$10="ежедневное",H184,IF(AND('депозитный калькулятор'!$G$10="еженедельное",WEEKDAY(F184,2)=7),SUM(OFFSET(H184,-6,0):H184),IF(AND('депозитный калькулятор'!$G$10="еженедельное",F184='депозитный калькулятор'!$D$8),SUM($H$23:H184)-SUM($I$23:I183),IF(AND('депозитный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недели",WEEKDAY(F184,2)=7),MIN(OFFSET(H184,-6,0):H184)*(COUNTIF(OFFSET(H184,-6,0):H184,"&gt;0")+SUMIF(OFFSET(A184,-WEEKDAY(F184,2),0):A184,"=2",OFFSET(A184,-WEEKDAY(F184,2),0):A184)),IF(AND('депозитный калькулятор'!$G$10="еженедельное, на минимальную сумму зафиксированную в течение недели",F184='депозитный калькулятор'!$D$8,WEEKDAY(F184,2)&lt;&gt;7),MIN(OFFSET(H184,-WEEKDAY(F184,2),0):H184)*(COUNTIF(OFFSET(H184,-WEEKDAY(F184,2)+1,0):H184,"&gt;0")+SUM(OFFSET(A184,-WEEKDAY(F184,2),0):A184)),IF(AND('депозитный калькулятор'!$G$10="ежемесячное (в конце месяца)",F184='депозитный калькулятор'!$D$8,EOMONTH(F184,0)&lt;&gt;F184),IF('депозитный калькулятор'!$F$1=1,$H$24,SUM($H$23:H184)-SUM($I$23:I183)),IF(AND('депозитный калькулятор'!$G$10="ежемесячное (в конце месяца)",EOMONTH(F184,0)=F184),SUM($H$23:H184)-SUM($I$23:I183),IF(AND('депозитный калькулятор'!$G$10="ежемесячное (по дням открытия вклада)",F184='депозитный калькулятор'!$D$8,DAY('депозитный калькулятор'!$D$7)&lt;&gt;DAY(F184)),IF('депозитный калькулятор'!$F$1=1,$H$24,SUM($H$23:H184)-SUM($I$23:I183)),IF(AND('депозитный калькулятор'!$G$10="ежемесячное (по дням открытия вклада)",DAY('депозитный калькулятор'!$D$7)=DAY(F184)),SUM($H$23:H184)-SUM($I$23:I183),IF(AND('депозитный калькулятор'!$G$10="ежемесячное, на минимальную сумму зафиксированную в течение месяца",F184='депозитный калькулятор'!$D$8,EOMONTH(F184,0)&lt;&gt;F184),IF('депозитный калькулятор'!$F$1=1,$H$24,IF(AND(OR('депозитный калькулятор'!$G$7="30/365",'депозитный калькулятор'!$G$7="30/360"),DAY(F184)=31),0,MIN(OFFSET(H184,-E184+1,0):H184)*(E184+SUMIF(OFFSET(A184,-E184+1,0):A184,"=2",OFFSET(A184,-E184+1,0):A184)))),IF(AND('депозитный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калькулятор'!$G$7="30/360"),DAY(EOMONTH(F184,0))=31),EOMONTH(F184,0)-1=F184,EOMONTH(F184,0)=F184)),IF(IF(AND(OR('депозитный калькулятор'!$G$7="30/365",'депозитный калькулятор'!$G$7="30/360"),DAY(EOMONTH($F$23,0))=31),F184=EOMONTH($F$23,0)-1,F184=EOMONTH($F$23,0)),MIN(OFFSET(H184,-(DAY(F184)-DAY($F$23)),0):H184)*E184,MIN(OFFSET(H184,-(DAY(F184)-1),0):H184)*IF(AND(OR('депозитный калькулятор'!$G$7="30/365",'депозитный калькулятор'!$G$7="30/360"),DAY(F184)&lt;30),30,DAY(F184))),IF(AND('депозитный калькулятор'!$G$10="ежемесячное, на средний остаток в течение месяца, при условии что остаток больше чем ограничение",F184='депозитный калькулятор'!$D$8,EOMONTH(F184,0)&lt;&gt;F184),IF('депозитный калькулятор'!$F$1=1,$H$24,SUM(OFFSET(Q184,-E184+1,0):Q184)),IF(AND('депозитный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калькулятор'!$G$7="30/360"),DAY(EOMONTH(F184,0))=31),EOMONTH(F184,0)-1=F184,EOMONTH(F184,0)=F184)),IF(IF(AND(OR('депозитный калькулятор'!$G$7="30/365",'депозитный калькулятор'!$G$7="30/360"),DAY(EOMONTH($F$24,0))=31),F184=EOMONTH($F$24,0)-1,F184=EOMONTH($F$24,0)),SUM(OFFSET(Q184,-E184+1,0):Q184),SUM(OFFSET(Q184,-E184+1,0):Q184)),IF('депозитный калькулятор'!$G$10="ежеквартальное",IF(F184&gt;'депозитный калькулятор'!$D$8," ",IF(AND(EOMONTH(F184,0)=F184,OR(MONTH(F184)=3,MONTH(F184)=6,MONTH(F184)=9,MONTH(F184)=12)),IF(EDATE(F184,-3)&lt;'депозитный калькулятор'!$D$7,SUM($H$23:H184),IF(MOD(YEAR(F184),4)=0,IF(AND(EOMONTH(F184,0)=F184,OR(MONTH(F184)=3,MONTH(F184)=6)),SUM(OFFSET(H184,-90,0):H184),IF(AND(EOMONTH(F184,0)=F184,OR(MONTH(F184)=9,MONTH(F184)=12)),SUM(OFFSET(H184,-91,0):H184))),IF(AND(EOMONTH(F184,0)=F184,MONTH(F184)=3),SUM(OFFSET(H184,-89,0):H184),IF(AND(EOMONTH(F184,0)=F184,MONTH(F184)=6),SUM(OFFSET(H184,-90,0):H184),IF(AND(EOMONTH(F184,0)=F184,OR(MONTH(F184)=9,MONTH(F184)=12)),SUM(OFFSET(H184,-91,0):H184)))))),IF(F184='депозитный калькулятор'!$D$8,SUM($H$23:H184)-SUM($I$23:I183),0))),IF('депозитный калькулятор'!$G$10="ежегодное",IF(F184&gt;'депозитный калькулятор'!$D$8," ",IF(F184='депозитный калькулятор'!$D$8,SUM($H$23:H184)-SUM($I$23:I183),IF(AND(EOMONTH(F184,0)=F184,MONTH(F184)=12),IF(MOD(YEAR(F183),4)=0,IF(F184-'депозитный калькулятор'!$D$7&lt;366,SUM($H$23:H184),SUM(OFFSET(H184,-365,0):H184)),IF(F184-'депозитный калькулятор'!$D$7&lt;365,SUM($H$23:H184),SUM(OFFSET(H184,-364,0):H184))),0))),IF(AND('депозитный калькулятор'!$G$10="в конце срока",'депозитный калькулятор'!$D$8=F184),SUM($H$23:H184),0))))))))))))))))))</f>
        <v xml:space="preserve"> </v>
      </c>
      <c r="J184" s="59" t="str">
        <f>IF(F184&gt;'депозитный калькулятор'!$D$8," ",IF('депозитный калькулятор'!$G$16="нет",0,IF(AND('депозитный калькулятор'!$G$17="разовая (в конце срока)",F184='депозитный калькулятор'!$D$8),'депозитный калькулятор'!$G$18,IF(AND('депозитный калькулятор'!$G$17="ежемесячная",EOMONTH(F183,0)=F183),'депозитный калькулятор'!$G$18,IF(AND('депозитный калькулятор'!$G$17="ежегодная",DAY(F183)=31,MONTH(F183)=12),'депозитный калькулятор'!$G$18,IF(AND('депозитный калькулятор'!$G$17="ежемесячная в зависимости от остатка",EOMONTH(F183,0)=F183,P183&gt;0),'депозитный калькулятор'!$G$18,IF(AND('депозитный калькулятор'!$G$17="ежегодная в зависимости от остатка",DAY(F183)=31,MONTH(F183)=12,P183&gt;0),'депозитный калькулятор'!$G$18,0)))))))</f>
        <v xml:space="preserve"> </v>
      </c>
      <c r="K184" s="135" t="str">
        <f>IF($F184=" "," ",IFERROR(VLOOKUP($F184,'депозитный калькулятор'!$B$26:$F$70,2,0),0))</f>
        <v xml:space="preserve"> </v>
      </c>
      <c r="L184" s="135" t="str">
        <f>IF($F184=" "," ",IFERROR(VLOOKUP($F184,'депозитный калькулятор'!$B$26:$F$70,3,0),0))</f>
        <v xml:space="preserve"> </v>
      </c>
      <c r="M184" s="135" t="str">
        <f>IF($F184=" "," ",IFERROR(VLOOKUP($F184,'депозитный калькулятор'!$B$26:$F$70,4,0),0))</f>
        <v xml:space="preserve"> </v>
      </c>
      <c r="N184" s="135" t="str">
        <f>IF($F184=" "," ",IFERROR(VLOOKUP($F184,'депозитный калькулятор'!$B$26:$F$70,5,0),0))</f>
        <v xml:space="preserve"> </v>
      </c>
      <c r="O184" s="146" t="str">
        <f>IF(F184&gt;'депозитный калькулятор'!$D$8," ",IF(F184='депозитный калькулятор'!$D$8,IF(AND($F$24='депозитный калькулятор'!$D$8,'депозитный калькулятор'!$G$13="нет"),-G184-IF(I184=" ",0,I184)-IF(AND(OR('депозитный калькулятор'!$G$7="30/365",'депозитный калькулятор'!$G$7="30/360"),'депозитный калькулятор'!$G$10="в начале срока"),I183,0)-L184+M184-N184,-G184-IF(I184=" ",0,I184)-L184+M184-N184),IF('депозитный калькулятор'!$G$13="есть",M184-N184+IF('депозитный калькулятор'!$G$14="есть",0,-L184),-IF(I184=" ",0,I184)-IF(AND(OR('депозитный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срока"),I183,0)+M184-N184+IF('депозитный калькулятор'!$G$14="есть",0,-L184))))</f>
        <v xml:space="preserve"> </v>
      </c>
      <c r="P184" s="147" t="str">
        <f>IF(F184&gt;'депозитный калькулятор'!$D$8," ",IF(EOMONTH(F183,0)=F183,0,IF(G184&gt;='депозитный калькулятор'!$G$19,P183,P183+1)))</f>
        <v xml:space="preserve"> </v>
      </c>
      <c r="Q184" s="138" t="str">
        <f>IF(F184=" "," ",IF(AND(OR('депозитный калькулятор'!$G$7="30/365",'депозитный калькулятор'!$G$7="30/360"),AND(MONTH(F184)=2,EOMONTH(F184,0)=F184)),IF(DAY(F184)=28,3,2),1)*IF(G184&gt;='депозитный калькулятор'!$G$11,IF(AND('депозитный калькулятор'!$G$7="факт/факт",MOD(YEAR(F184),4)=0),G184*'депозитный калькулятор'!$D$11/366,G184*'депозитный калькулятор'!$G$8),0))</f>
        <v xml:space="preserve"> </v>
      </c>
      <c r="R184" s="148"/>
      <c r="S184" s="62" t="str">
        <f t="shared" ca="1" si="12"/>
        <v xml:space="preserve"> </v>
      </c>
      <c r="T184" s="149" t="str">
        <f ca="1">IF(S184=" "," ",IF('депозитный калькулятор'!$G$7="30/360",DAYS360(U183,IF(DAY(U184)=31,U184-1,U184))+IF(AND(MONTH(U184)=2,U184=EOMONTH(U184,0)),30-DAY(EOMONTH(U184,0)))+T183,VLOOKUP(S184,$C$22:$F$1023,2,0)))</f>
        <v xml:space="preserve"> </v>
      </c>
      <c r="U184" s="64" t="str">
        <f t="shared" ca="1" si="10"/>
        <v xml:space="preserve"> </v>
      </c>
      <c r="V184" s="150" t="str">
        <f t="shared" ca="1" si="13"/>
        <v xml:space="preserve"> </v>
      </c>
      <c r="W184" s="62" t="str">
        <f t="shared" ca="1" si="14"/>
        <v xml:space="preserve"> </v>
      </c>
      <c r="X184" s="141" t="str">
        <f ca="1">IF(S184=" "," ",IFERROR(VLOOKUP(U184,$F$23:$N$1023,7)+VLOOKUP(U184,$F$23:$N$1023,9)+IF(AND('депозитный калькулятор'!$G$13="нет",U184&lt;&gt;'депозитный калькулятор'!$D$8),VLOOKUP(U184,$F$23:$N$1023,4),0),0)+IF(U184='депозитный калькулятор'!$D$8,VLOOKUP(U184,$F$23:$N$1023,2)+VLOOKUP(U184,$F$23:$N$1023,4),0))</f>
        <v xml:space="preserve"> </v>
      </c>
      <c r="Y184" s="142" t="str">
        <f ca="1">IF(S184=" "," ",W184/(1+'депозитный калькулятор'!$K$8)^(T184/IF('депозитный калькулятор'!$G$7="30/360",360,365)))</f>
        <v xml:space="preserve"> </v>
      </c>
      <c r="Z184" s="142" t="str">
        <f ca="1">IF(S184=" "," ",X184/(1+'депозитный калькулятор'!$K$8)^(T184/IF('депозитный калькулятор'!$G$7="30/360",360,365)))</f>
        <v xml:space="preserve"> </v>
      </c>
      <c r="AA184" s="151"/>
      <c r="AB184" s="151"/>
      <c r="AC184" s="155"/>
      <c r="AD184" s="155"/>
    </row>
    <row r="185" spans="1:30" s="2" customFormat="1" ht="15.5" x14ac:dyDescent="0.35">
      <c r="A185" s="41" t="str">
        <f>IF(F185=" "," ",IF(OR('депозитный калькулятор'!$G$7="30/365",'депозитный калькулятор'!$G$7="30/360"),IF(AND(MONTH(F185)=2,DAY(F185)=DAY(EOMONTH(F185,0))),30-DAY(EOMONTH(F185,0)),IF(DAY(F185)=31,1," "))," "))</f>
        <v xml:space="preserve"> </v>
      </c>
      <c r="B185" s="130" t="str">
        <f t="shared" si="11"/>
        <v xml:space="preserve"> </v>
      </c>
      <c r="C185" s="130" t="str">
        <f>IF(OR(B185=0,B185=" ")," ",SUM($B$23:B185))</f>
        <v xml:space="preserve"> </v>
      </c>
      <c r="D185" s="62" t="str">
        <f>IF(D184=" "," ",IF(OR(F184='депозитный калькулятор'!$D$8,F184=" ")," ",D184+1))</f>
        <v xml:space="preserve"> </v>
      </c>
      <c r="E185" s="130" t="str">
        <f>IF(OR(F184='депозитный калькулятор'!$D$8,F184=" ")," ",IF(EOMONTH(F184,0)=F184,1,E184+1))</f>
        <v xml:space="preserve"> </v>
      </c>
      <c r="F185" s="64" t="str">
        <f>IF(F184=" "," ",IF(F184='депозитный калькулятор'!$D$8," ",F184+1))</f>
        <v xml:space="preserve"> </v>
      </c>
      <c r="G185" s="145" t="str">
        <f xml:space="preserve"> IF(F185&gt;'депозитный калькулятор'!$D$8," ",IF('депозитный калькулятор'!$G$13="есть",IF('депозитный калькулятор'!$G$14="есть",G184+IF(I184=" ",0,I184)-J185-K185+L185+M185-N185,G184+IF(I184=" ",0,I184)-J185-K185+M185-N185),IF('депозитный калькулятор'!$G$14="есть",G184-J185-K185+L185+M185-N185,G184-J185-K185+M185-N185)))</f>
        <v xml:space="preserve"> </v>
      </c>
      <c r="H185" s="133" t="str">
        <f>IF(F185&gt;'депозитный калькулятор'!$D$8," ",IF(AND(OR('депозитный калькулятор'!$G$7="30/365",'депозитный калькулятор'!$G$7="30/360"),AND(MONTH(F185)=2,EOMONTH(F185,0)=F185)),IF(DAY(F185)=28,3*G185*'депозитный калькулятор'!$G$8,2*G185*'депозитный калькулятор'!$G$8),IF(AND(OR('депозитный калькулятор'!$G$7="30/365",'депозитный калькулятор'!$G$7="30/360"),DAY(F185)=31)," ",IF(AND('депозитный калькулятор'!$G$7="факт/факт",MOD(YEAR(F185),4)=0),G185*'депозитный калькулятор'!$D$11/366,G185*'депозитный калькулятор'!$G$8))))</f>
        <v xml:space="preserve"> </v>
      </c>
      <c r="I185" s="134" t="str">
        <f ca="1">IF(F185=" "," ",IF('депозитный калькулятор'!$G$10="ежедневное",H185,IF(AND('депозитный калькулятор'!$G$10="еженедельное",WEEKDAY(F185,2)=7),SUM(OFFSET(H185,-6,0):H185),IF(AND('депозитный калькулятор'!$G$10="еженедельное",F185='депозитный калькулятор'!$D$8),SUM($H$23:H185)-SUM($I$23:I184),IF(AND('депозитный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недели",WEEKDAY(F185,2)=7),MIN(OFFSET(H185,-6,0):H185)*(COUNTIF(OFFSET(H185,-6,0):H185,"&gt;0")+SUMIF(OFFSET(A185,-WEEKDAY(F185,2),0):A185,"=2",OFFSET(A185,-WEEKDAY(F185,2),0):A185)),IF(AND('депозитный калькулятор'!$G$10="еженедельное, на минимальную сумму зафиксированную в течение недели",F185='депозитный калькулятор'!$D$8,WEEKDAY(F185,2)&lt;&gt;7),MIN(OFFSET(H185,-WEEKDAY(F185,2),0):H185)*(COUNTIF(OFFSET(H185,-WEEKDAY(F185,2)+1,0):H185,"&gt;0")+SUM(OFFSET(A185,-WEEKDAY(F185,2),0):A185)),IF(AND('депозитный калькулятор'!$G$10="ежемесячное (в конце месяца)",F185='депозитный калькулятор'!$D$8,EOMONTH(F185,0)&lt;&gt;F185),IF('депозитный калькулятор'!$F$1=1,$H$24,SUM($H$23:H185)-SUM($I$23:I184)),IF(AND('депозитный калькулятор'!$G$10="ежемесячное (в конце месяца)",EOMONTH(F185,0)=F185),SUM($H$23:H185)-SUM($I$23:I184),IF(AND('депозитный калькулятор'!$G$10="ежемесячное (по дням открытия вклада)",F185='депозитный калькулятор'!$D$8,DAY('депозитный калькулятор'!$D$7)&lt;&gt;DAY(F185)),IF('депозитный калькулятор'!$F$1=1,$H$24,SUM($H$23:H185)-SUM($I$23:I184)),IF(AND('депозитный калькулятор'!$G$10="ежемесячное (по дням открытия вклада)",DAY('депозитный калькулятор'!$D$7)=DAY(F185)),SUM($H$23:H185)-SUM($I$23:I184),IF(AND('депозитный калькулятор'!$G$10="ежемесячное, на минимальную сумму зафиксированную в течение месяца",F185='депозитный калькулятор'!$D$8,EOMONTH(F185,0)&lt;&gt;F185),IF('депозитный калькулятор'!$F$1=1,$H$24,IF(AND(OR('депозитный калькулятор'!$G$7="30/365",'депозитный калькулятор'!$G$7="30/360"),DAY(F185)=31),0,MIN(OFFSET(H185,-E185+1,0):H185)*(E185+SUMIF(OFFSET(A185,-E185+1,0):A185,"=2",OFFSET(A185,-E185+1,0):A185)))),IF(AND('депозитный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калькулятор'!$G$7="30/360"),DAY(EOMONTH(F185,0))=31),EOMONTH(F185,0)-1=F185,EOMONTH(F185,0)=F185)),IF(IF(AND(OR('депозитный калькулятор'!$G$7="30/365",'депозитный калькулятор'!$G$7="30/360"),DAY(EOMONTH($F$23,0))=31),F185=EOMONTH($F$23,0)-1,F185=EOMONTH($F$23,0)),MIN(OFFSET(H185,-(DAY(F185)-DAY($F$23)),0):H185)*E185,MIN(OFFSET(H185,-(DAY(F185)-1),0):H185)*IF(AND(OR('депозитный калькулятор'!$G$7="30/365",'депозитный калькулятор'!$G$7="30/360"),DAY(F185)&lt;30),30,DAY(F185))),IF(AND('депозитный калькулятор'!$G$10="ежемесячное, на средний остаток в течение месяца, при условии что остаток больше чем ограничение",F185='депозитный калькулятор'!$D$8,EOMONTH(F185,0)&lt;&gt;F185),IF('депозитный калькулятор'!$F$1=1,$H$24,SUM(OFFSET(Q185,-E185+1,0):Q185)),IF(AND('депозитный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калькулятор'!$G$7="30/360"),DAY(EOMONTH(F185,0))=31),EOMONTH(F185,0)-1=F185,EOMONTH(F185,0)=F185)),IF(IF(AND(OR('депозитный калькулятор'!$G$7="30/365",'депозитный калькулятор'!$G$7="30/360"),DAY(EOMONTH($F$24,0))=31),F185=EOMONTH($F$24,0)-1,F185=EOMONTH($F$24,0)),SUM(OFFSET(Q185,-E185+1,0):Q185),SUM(OFFSET(Q185,-E185+1,0):Q185)),IF('депозитный калькулятор'!$G$10="ежеквартальное",IF(F185&gt;'депозитный калькулятор'!$D$8," ",IF(AND(EOMONTH(F185,0)=F185,OR(MONTH(F185)=3,MONTH(F185)=6,MONTH(F185)=9,MONTH(F185)=12)),IF(EDATE(F185,-3)&lt;'депозитный калькулятор'!$D$7,SUM($H$23:H185),IF(MOD(YEAR(F185),4)=0,IF(AND(EOMONTH(F185,0)=F185,OR(MONTH(F185)=3,MONTH(F185)=6)),SUM(OFFSET(H185,-90,0):H185),IF(AND(EOMONTH(F185,0)=F185,OR(MONTH(F185)=9,MONTH(F185)=12)),SUM(OFFSET(H185,-91,0):H185))),IF(AND(EOMONTH(F185,0)=F185,MONTH(F185)=3),SUM(OFFSET(H185,-89,0):H185),IF(AND(EOMONTH(F185,0)=F185,MONTH(F185)=6),SUM(OFFSET(H185,-90,0):H185),IF(AND(EOMONTH(F185,0)=F185,OR(MONTH(F185)=9,MONTH(F185)=12)),SUM(OFFSET(H185,-91,0):H185)))))),IF(F185='депозитный калькулятор'!$D$8,SUM($H$23:H185)-SUM($I$23:I184),0))),IF('депозитный калькулятор'!$G$10="ежегодное",IF(F185&gt;'депозитный калькулятор'!$D$8," ",IF(F185='депозитный калькулятор'!$D$8,SUM($H$23:H185)-SUM($I$23:I184),IF(AND(EOMONTH(F185,0)=F185,MONTH(F185)=12),IF(MOD(YEAR(F184),4)=0,IF(F185-'депозитный калькулятор'!$D$7&lt;366,SUM($H$23:H185),SUM(OFFSET(H185,-365,0):H185)),IF(F185-'депозитный калькулятор'!$D$7&lt;365,SUM($H$23:H185),SUM(OFFSET(H185,-364,0):H185))),0))),IF(AND('депозитный калькулятор'!$G$10="в конце срока",'депозитный калькулятор'!$D$8=F185),SUM($H$23:H185),0))))))))))))))))))</f>
        <v xml:space="preserve"> </v>
      </c>
      <c r="J185" s="59" t="str">
        <f>IF(F185&gt;'депозитный калькулятор'!$D$8," ",IF('депозитный калькулятор'!$G$16="нет",0,IF(AND('депозитный калькулятор'!$G$17="разовая (в конце срока)",F185='депозитный калькулятор'!$D$8),'депозитный калькулятор'!$G$18,IF(AND('депозитный калькулятор'!$G$17="ежемесячная",EOMONTH(F184,0)=F184),'депозитный калькулятор'!$G$18,IF(AND('депозитный калькулятор'!$G$17="ежегодная",DAY(F184)=31,MONTH(F184)=12),'депозитный калькулятор'!$G$18,IF(AND('депозитный калькулятор'!$G$17="ежемесячная в зависимости от остатка",EOMONTH(F184,0)=F184,P184&gt;0),'депозитный калькулятор'!$G$18,IF(AND('депозитный калькулятор'!$G$17="ежегодная в зависимости от остатка",DAY(F184)=31,MONTH(F184)=12,P184&gt;0),'депозитный калькулятор'!$G$18,0)))))))</f>
        <v xml:space="preserve"> </v>
      </c>
      <c r="K185" s="135" t="str">
        <f>IF($F185=" "," ",IFERROR(VLOOKUP($F185,'депозитный калькулятор'!$B$26:$F$70,2,0),0))</f>
        <v xml:space="preserve"> </v>
      </c>
      <c r="L185" s="135" t="str">
        <f>IF($F185=" "," ",IFERROR(VLOOKUP($F185,'депозитный калькулятор'!$B$26:$F$70,3,0),0))</f>
        <v xml:space="preserve"> </v>
      </c>
      <c r="M185" s="135" t="str">
        <f>IF($F185=" "," ",IFERROR(VLOOKUP($F185,'депозитный калькулятор'!$B$26:$F$70,4,0),0))</f>
        <v xml:space="preserve"> </v>
      </c>
      <c r="N185" s="135" t="str">
        <f>IF($F185=" "," ",IFERROR(VLOOKUP($F185,'депозитный калькулятор'!$B$26:$F$70,5,0),0))</f>
        <v xml:space="preserve"> </v>
      </c>
      <c r="O185" s="146" t="str">
        <f>IF(F185&gt;'депозитный калькулятор'!$D$8," ",IF(F185='депозитный калькулятор'!$D$8,IF(AND($F$24='депозитный калькулятор'!$D$8,'депозитный калькулятор'!$G$13="нет"),-G185-IF(I185=" ",0,I185)-IF(AND(OR('депозитный калькулятор'!$G$7="30/365",'депозитный калькулятор'!$G$7="30/360"),'депозитный калькулятор'!$G$10="в начале срока"),I184,0)-L185+M185-N185,-G185-IF(I185=" ",0,I185)-L185+M185-N185),IF('депозитный калькулятор'!$G$13="есть",M185-N185+IF('депозитный калькулятор'!$G$14="есть",0,-L185),-IF(I185=" ",0,I185)-IF(AND(OR('депозитный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срока"),I184,0)+M185-N185+IF('депозитный калькулятор'!$G$14="есть",0,-L185))))</f>
        <v xml:space="preserve"> </v>
      </c>
      <c r="P185" s="147" t="str">
        <f>IF(F185&gt;'депозитный калькулятор'!$D$8," ",IF(EOMONTH(F184,0)=F184,0,IF(G185&gt;='депозитный калькулятор'!$G$19,P184,P184+1)))</f>
        <v xml:space="preserve"> </v>
      </c>
      <c r="Q185" s="138" t="str">
        <f>IF(F185=" "," ",IF(AND(OR('депозитный калькулятор'!$G$7="30/365",'депозитный калькулятор'!$G$7="30/360"),AND(MONTH(F185)=2,EOMONTH(F185,0)=F185)),IF(DAY(F185)=28,3,2),1)*IF(G185&gt;='депозитный калькулятор'!$G$11,IF(AND('депозитный калькулятор'!$G$7="факт/факт",MOD(YEAR(F185),4)=0),G185*'депозитный калькулятор'!$D$11/366,G185*'депозитный калькулятор'!$G$8),0))</f>
        <v xml:space="preserve"> </v>
      </c>
      <c r="R185" s="148"/>
      <c r="S185" s="62" t="str">
        <f t="shared" ca="1" si="12"/>
        <v xml:space="preserve"> </v>
      </c>
      <c r="T185" s="149" t="str">
        <f ca="1">IF(S185=" "," ",IF('депозитный калькулятор'!$G$7="30/360",DAYS360(U184,IF(DAY(U185)=31,U185-1,U185))+IF(AND(MONTH(U185)=2,U185=EOMONTH(U185,0)),30-DAY(EOMONTH(U185,0)))+T184,VLOOKUP(S185,$C$22:$F$1023,2,0)))</f>
        <v xml:space="preserve"> </v>
      </c>
      <c r="U185" s="64" t="str">
        <f t="shared" ca="1" si="10"/>
        <v xml:space="preserve"> </v>
      </c>
      <c r="V185" s="150" t="str">
        <f t="shared" ca="1" si="13"/>
        <v xml:space="preserve"> </v>
      </c>
      <c r="W185" s="62" t="str">
        <f t="shared" ca="1" si="14"/>
        <v xml:space="preserve"> </v>
      </c>
      <c r="X185" s="141" t="str">
        <f ca="1">IF(S185=" "," ",IFERROR(VLOOKUP(U185,$F$23:$N$1023,7)+VLOOKUP(U185,$F$23:$N$1023,9)+IF(AND('депозитный калькулятор'!$G$13="нет",U185&lt;&gt;'депозитный калькулятор'!$D$8),VLOOKUP(U185,$F$23:$N$1023,4),0),0)+IF(U185='депозитный калькулятор'!$D$8,VLOOKUP(U185,$F$23:$N$1023,2)+VLOOKUP(U185,$F$23:$N$1023,4),0))</f>
        <v xml:space="preserve"> </v>
      </c>
      <c r="Y185" s="142" t="str">
        <f ca="1">IF(S185=" "," ",W185/(1+'депозитный калькулятор'!$K$8)^(T185/IF('депозитный калькулятор'!$G$7="30/360",360,365)))</f>
        <v xml:space="preserve"> </v>
      </c>
      <c r="Z185" s="142" t="str">
        <f ca="1">IF(S185=" "," ",X185/(1+'депозитный калькулятор'!$K$8)^(T185/IF('депозитный калькулятор'!$G$7="30/360",360,365)))</f>
        <v xml:space="preserve"> </v>
      </c>
      <c r="AA185" s="151"/>
      <c r="AB185" s="151"/>
      <c r="AC185" s="155"/>
      <c r="AD185" s="155"/>
    </row>
    <row r="186" spans="1:30" s="2" customFormat="1" ht="15.5" x14ac:dyDescent="0.35">
      <c r="A186" s="41" t="str">
        <f>IF(F186=" "," ",IF(OR('депозитный калькулятор'!$G$7="30/365",'депозитный калькулятор'!$G$7="30/360"),IF(AND(MONTH(F186)=2,DAY(F186)=DAY(EOMONTH(F186,0))),30-DAY(EOMONTH(F186,0)),IF(DAY(F186)=31,1," "))," "))</f>
        <v xml:space="preserve"> </v>
      </c>
      <c r="B186" s="130" t="str">
        <f t="shared" si="11"/>
        <v xml:space="preserve"> </v>
      </c>
      <c r="C186" s="130" t="str">
        <f>IF(OR(B186=0,B186=" ")," ",SUM($B$23:B186))</f>
        <v xml:space="preserve"> </v>
      </c>
      <c r="D186" s="62" t="str">
        <f>IF(D185=" "," ",IF(OR(F185='депозитный калькулятор'!$D$8,F185=" ")," ",D185+1))</f>
        <v xml:space="preserve"> </v>
      </c>
      <c r="E186" s="130" t="str">
        <f>IF(OR(F185='депозитный калькулятор'!$D$8,F185=" ")," ",IF(EOMONTH(F185,0)=F185,1,E185+1))</f>
        <v xml:space="preserve"> </v>
      </c>
      <c r="F186" s="64" t="str">
        <f>IF(F185=" "," ",IF(F185='депозитный калькулятор'!$D$8," ",F185+1))</f>
        <v xml:space="preserve"> </v>
      </c>
      <c r="G186" s="145" t="str">
        <f xml:space="preserve"> IF(F186&gt;'депозитный калькулятор'!$D$8," ",IF('депозитный калькулятор'!$G$13="есть",IF('депозитный калькулятор'!$G$14="есть",G185+IF(I185=" ",0,I185)-J186-K186+L186+M186-N186,G185+IF(I185=" ",0,I185)-J186-K186+M186-N186),IF('депозитный калькулятор'!$G$14="есть",G185-J186-K186+L186+M186-N186,G185-J186-K186+M186-N186)))</f>
        <v xml:space="preserve"> </v>
      </c>
      <c r="H186" s="133" t="str">
        <f>IF(F186&gt;'депозитный калькулятор'!$D$8," ",IF(AND(OR('депозитный калькулятор'!$G$7="30/365",'депозитный калькулятор'!$G$7="30/360"),AND(MONTH(F186)=2,EOMONTH(F186,0)=F186)),IF(DAY(F186)=28,3*G186*'депозитный калькулятор'!$G$8,2*G186*'депозитный калькулятор'!$G$8),IF(AND(OR('депозитный калькулятор'!$G$7="30/365",'депозитный калькулятор'!$G$7="30/360"),DAY(F186)=31)," ",IF(AND('депозитный калькулятор'!$G$7="факт/факт",MOD(YEAR(F186),4)=0),G186*'депозитный калькулятор'!$D$11/366,G186*'депозитный калькулятор'!$G$8))))</f>
        <v xml:space="preserve"> </v>
      </c>
      <c r="I186" s="134" t="str">
        <f ca="1">IF(F186=" "," ",IF('депозитный калькулятор'!$G$10="ежедневное",H186,IF(AND('депозитный калькулятор'!$G$10="еженедельное",WEEKDAY(F186,2)=7),SUM(OFFSET(H186,-6,0):H186),IF(AND('депозитный калькулятор'!$G$10="еженедельное",F186='депозитный калькулятор'!$D$8),SUM($H$23:H186)-SUM($I$23:I185),IF(AND('депозитный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недели",WEEKDAY(F186,2)=7),MIN(OFFSET(H186,-6,0):H186)*(COUNTIF(OFFSET(H186,-6,0):H186,"&gt;0")+SUMIF(OFFSET(A186,-WEEKDAY(F186,2),0):A186,"=2",OFFSET(A186,-WEEKDAY(F186,2),0):A186)),IF(AND('депозитный калькулятор'!$G$10="еженедельное, на минимальную сумму зафиксированную в течение недели",F186='депозитный калькулятор'!$D$8,WEEKDAY(F186,2)&lt;&gt;7),MIN(OFFSET(H186,-WEEKDAY(F186,2),0):H186)*(COUNTIF(OFFSET(H186,-WEEKDAY(F186,2)+1,0):H186,"&gt;0")+SUM(OFFSET(A186,-WEEKDAY(F186,2),0):A186)),IF(AND('депозитный калькулятор'!$G$10="ежемесячное (в конце месяца)",F186='депозитный калькулятор'!$D$8,EOMONTH(F186,0)&lt;&gt;F186),IF('депозитный калькулятор'!$F$1=1,$H$24,SUM($H$23:H186)-SUM($I$23:I185)),IF(AND('депозитный калькулятор'!$G$10="ежемесячное (в конце месяца)",EOMONTH(F186,0)=F186),SUM($H$23:H186)-SUM($I$23:I185),IF(AND('депозитный калькулятор'!$G$10="ежемесячное (по дням открытия вклада)",F186='депозитный калькулятор'!$D$8,DAY('депозитный калькулятор'!$D$7)&lt;&gt;DAY(F186)),IF('депозитный калькулятор'!$F$1=1,$H$24,SUM($H$23:H186)-SUM($I$23:I185)),IF(AND('депозитный калькулятор'!$G$10="ежемесячное (по дням открытия вклада)",DAY('депозитный калькулятор'!$D$7)=DAY(F186)),SUM($H$23:H186)-SUM($I$23:I185),IF(AND('депозитный калькулятор'!$G$10="ежемесячное, на минимальную сумму зафиксированную в течение месяца",F186='депозитный калькулятор'!$D$8,EOMONTH(F186,0)&lt;&gt;F186),IF('депозитный калькулятор'!$F$1=1,$H$24,IF(AND(OR('депозитный калькулятор'!$G$7="30/365",'депозитный калькулятор'!$G$7="30/360"),DAY(F186)=31),0,MIN(OFFSET(H186,-E186+1,0):H186)*(E186+SUMIF(OFFSET(A186,-E186+1,0):A186,"=2",OFFSET(A186,-E186+1,0):A186)))),IF(AND('депозитный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калькулятор'!$G$7="30/360"),DAY(EOMONTH(F186,0))=31),EOMONTH(F186,0)-1=F186,EOMONTH(F186,0)=F186)),IF(IF(AND(OR('депозитный калькулятор'!$G$7="30/365",'депозитный калькулятор'!$G$7="30/360"),DAY(EOMONTH($F$23,0))=31),F186=EOMONTH($F$23,0)-1,F186=EOMONTH($F$23,0)),MIN(OFFSET(H186,-(DAY(F186)-DAY($F$23)),0):H186)*E186,MIN(OFFSET(H186,-(DAY(F186)-1),0):H186)*IF(AND(OR('депозитный калькулятор'!$G$7="30/365",'депозитный калькулятор'!$G$7="30/360"),DAY(F186)&lt;30),30,DAY(F186))),IF(AND('депозитный калькулятор'!$G$10="ежемесячное, на средний остаток в течение месяца, при условии что остаток больше чем ограничение",F186='депозитный калькулятор'!$D$8,EOMONTH(F186,0)&lt;&gt;F186),IF('депозитный калькулятор'!$F$1=1,$H$24,SUM(OFFSET(Q186,-E186+1,0):Q186)),IF(AND('депозитный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калькулятор'!$G$7="30/360"),DAY(EOMONTH(F186,0))=31),EOMONTH(F186,0)-1=F186,EOMONTH(F186,0)=F186)),IF(IF(AND(OR('депозитный калькулятор'!$G$7="30/365",'депозитный калькулятор'!$G$7="30/360"),DAY(EOMONTH($F$24,0))=31),F186=EOMONTH($F$24,0)-1,F186=EOMONTH($F$24,0)),SUM(OFFSET(Q186,-E186+1,0):Q186),SUM(OFFSET(Q186,-E186+1,0):Q186)),IF('депозитный калькулятор'!$G$10="ежеквартальное",IF(F186&gt;'депозитный калькулятор'!$D$8," ",IF(AND(EOMONTH(F186,0)=F186,OR(MONTH(F186)=3,MONTH(F186)=6,MONTH(F186)=9,MONTH(F186)=12)),IF(EDATE(F186,-3)&lt;'депозитный калькулятор'!$D$7,SUM($H$23:H186),IF(MOD(YEAR(F186),4)=0,IF(AND(EOMONTH(F186,0)=F186,OR(MONTH(F186)=3,MONTH(F186)=6)),SUM(OFFSET(H186,-90,0):H186),IF(AND(EOMONTH(F186,0)=F186,OR(MONTH(F186)=9,MONTH(F186)=12)),SUM(OFFSET(H186,-91,0):H186))),IF(AND(EOMONTH(F186,0)=F186,MONTH(F186)=3),SUM(OFFSET(H186,-89,0):H186),IF(AND(EOMONTH(F186,0)=F186,MONTH(F186)=6),SUM(OFFSET(H186,-90,0):H186),IF(AND(EOMONTH(F186,0)=F186,OR(MONTH(F186)=9,MONTH(F186)=12)),SUM(OFFSET(H186,-91,0):H186)))))),IF(F186='депозитный калькулятор'!$D$8,SUM($H$23:H186)-SUM($I$23:I185),0))),IF('депозитный калькулятор'!$G$10="ежегодное",IF(F186&gt;'депозитный калькулятор'!$D$8," ",IF(F186='депозитный калькулятор'!$D$8,SUM($H$23:H186)-SUM($I$23:I185),IF(AND(EOMONTH(F186,0)=F186,MONTH(F186)=12),IF(MOD(YEAR(F185),4)=0,IF(F186-'депозитный калькулятор'!$D$7&lt;366,SUM($H$23:H186),SUM(OFFSET(H186,-365,0):H186)),IF(F186-'депозитный калькулятор'!$D$7&lt;365,SUM($H$23:H186),SUM(OFFSET(H186,-364,0):H186))),0))),IF(AND('депозитный калькулятор'!$G$10="в конце срока",'депозитный калькулятор'!$D$8=F186),SUM($H$23:H186),0))))))))))))))))))</f>
        <v xml:space="preserve"> </v>
      </c>
      <c r="J186" s="59" t="str">
        <f>IF(F186&gt;'депозитный калькулятор'!$D$8," ",IF('депозитный калькулятор'!$G$16="нет",0,IF(AND('депозитный калькулятор'!$G$17="разовая (в конце срока)",F186='депозитный калькулятор'!$D$8),'депозитный калькулятор'!$G$18,IF(AND('депозитный калькулятор'!$G$17="ежемесячная",EOMONTH(F185,0)=F185),'депозитный калькулятор'!$G$18,IF(AND('депозитный калькулятор'!$G$17="ежегодная",DAY(F185)=31,MONTH(F185)=12),'депозитный калькулятор'!$G$18,IF(AND('депозитный калькулятор'!$G$17="ежемесячная в зависимости от остатка",EOMONTH(F185,0)=F185,P185&gt;0),'депозитный калькулятор'!$G$18,IF(AND('депозитный калькулятор'!$G$17="ежегодная в зависимости от остатка",DAY(F185)=31,MONTH(F185)=12,P185&gt;0),'депозитный калькулятор'!$G$18,0)))))))</f>
        <v xml:space="preserve"> </v>
      </c>
      <c r="K186" s="135" t="str">
        <f>IF($F186=" "," ",IFERROR(VLOOKUP($F186,'депозитный калькулятор'!$B$26:$F$70,2,0),0))</f>
        <v xml:space="preserve"> </v>
      </c>
      <c r="L186" s="135" t="str">
        <f>IF($F186=" "," ",IFERROR(VLOOKUP($F186,'депозитный калькулятор'!$B$26:$F$70,3,0),0))</f>
        <v xml:space="preserve"> </v>
      </c>
      <c r="M186" s="135" t="str">
        <f>IF($F186=" "," ",IFERROR(VLOOKUP($F186,'депозитный калькулятор'!$B$26:$F$70,4,0),0))</f>
        <v xml:space="preserve"> </v>
      </c>
      <c r="N186" s="135" t="str">
        <f>IF($F186=" "," ",IFERROR(VLOOKUP($F186,'депозитный калькулятор'!$B$26:$F$70,5,0),0))</f>
        <v xml:space="preserve"> </v>
      </c>
      <c r="O186" s="146" t="str">
        <f>IF(F186&gt;'депозитный калькулятор'!$D$8," ",IF(F186='депозитный калькулятор'!$D$8,IF(AND($F$24='депозитный калькулятор'!$D$8,'депозитный калькулятор'!$G$13="нет"),-G186-IF(I186=" ",0,I186)-IF(AND(OR('депозитный калькулятор'!$G$7="30/365",'депозитный калькулятор'!$G$7="30/360"),'депозитный калькулятор'!$G$10="в начале срока"),I185,0)-L186+M186-N186,-G186-IF(I186=" ",0,I186)-L186+M186-N186),IF('депозитный калькулятор'!$G$13="есть",M186-N186+IF('депозитный калькулятор'!$G$14="есть",0,-L186),-IF(I186=" ",0,I186)-IF(AND(OR('депозитный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срока"),I185,0)+M186-N186+IF('депозитный калькулятор'!$G$14="есть",0,-L186))))</f>
        <v xml:space="preserve"> </v>
      </c>
      <c r="P186" s="147" t="str">
        <f>IF(F186&gt;'депозитный калькулятор'!$D$8," ",IF(EOMONTH(F185,0)=F185,0,IF(G186&gt;='депозитный калькулятор'!$G$19,P185,P185+1)))</f>
        <v xml:space="preserve"> </v>
      </c>
      <c r="Q186" s="138" t="str">
        <f>IF(F186=" "," ",IF(AND(OR('депозитный калькулятор'!$G$7="30/365",'депозитный калькулятор'!$G$7="30/360"),AND(MONTH(F186)=2,EOMONTH(F186,0)=F186)),IF(DAY(F186)=28,3,2),1)*IF(G186&gt;='депозитный калькулятор'!$G$11,IF(AND('депозитный калькулятор'!$G$7="факт/факт",MOD(YEAR(F186),4)=0),G186*'депозитный калькулятор'!$D$11/366,G186*'депозитный калькулятор'!$G$8),0))</f>
        <v xml:space="preserve"> </v>
      </c>
      <c r="R186" s="148"/>
      <c r="S186" s="62" t="str">
        <f t="shared" ca="1" si="12"/>
        <v xml:space="preserve"> </v>
      </c>
      <c r="T186" s="149" t="str">
        <f ca="1">IF(S186=" "," ",IF('депозитный калькулятор'!$G$7="30/360",DAYS360(U185,IF(DAY(U186)=31,U186-1,U186))+IF(AND(MONTH(U186)=2,U186=EOMONTH(U186,0)),30-DAY(EOMONTH(U186,0)))+T185,VLOOKUP(S186,$C$22:$F$1023,2,0)))</f>
        <v xml:space="preserve"> </v>
      </c>
      <c r="U186" s="64" t="str">
        <f t="shared" ca="1" si="10"/>
        <v xml:space="preserve"> </v>
      </c>
      <c r="V186" s="150" t="str">
        <f t="shared" ca="1" si="13"/>
        <v xml:space="preserve"> </v>
      </c>
      <c r="W186" s="62" t="str">
        <f t="shared" ca="1" si="14"/>
        <v xml:space="preserve"> </v>
      </c>
      <c r="X186" s="141" t="str">
        <f ca="1">IF(S186=" "," ",IFERROR(VLOOKUP(U186,$F$23:$N$1023,7)+VLOOKUP(U186,$F$23:$N$1023,9)+IF(AND('депозитный калькулятор'!$G$13="нет",U186&lt;&gt;'депозитный калькулятор'!$D$8),VLOOKUP(U186,$F$23:$N$1023,4),0),0)+IF(U186='депозитный калькулятор'!$D$8,VLOOKUP(U186,$F$23:$N$1023,2)+VLOOKUP(U186,$F$23:$N$1023,4),0))</f>
        <v xml:space="preserve"> </v>
      </c>
      <c r="Y186" s="142" t="str">
        <f ca="1">IF(S186=" "," ",W186/(1+'депозитный калькулятор'!$K$8)^(T186/IF('депозитный калькулятор'!$G$7="30/360",360,365)))</f>
        <v xml:space="preserve"> </v>
      </c>
      <c r="Z186" s="142" t="str">
        <f ca="1">IF(S186=" "," ",X186/(1+'депозитный калькулятор'!$K$8)^(T186/IF('депозитный калькулятор'!$G$7="30/360",360,365)))</f>
        <v xml:space="preserve"> </v>
      </c>
      <c r="AA186" s="151"/>
      <c r="AB186" s="151"/>
      <c r="AC186" s="155"/>
      <c r="AD186" s="155"/>
    </row>
    <row r="187" spans="1:30" s="2" customFormat="1" ht="15.5" x14ac:dyDescent="0.35">
      <c r="A187" s="41" t="str">
        <f>IF(F187=" "," ",IF(OR('депозитный калькулятор'!$G$7="30/365",'депозитный калькулятор'!$G$7="30/360"),IF(AND(MONTH(F187)=2,DAY(F187)=DAY(EOMONTH(F187,0))),30-DAY(EOMONTH(F187,0)),IF(DAY(F187)=31,1," "))," "))</f>
        <v xml:space="preserve"> </v>
      </c>
      <c r="B187" s="130" t="str">
        <f t="shared" si="11"/>
        <v xml:space="preserve"> </v>
      </c>
      <c r="C187" s="130" t="str">
        <f>IF(OR(B187=0,B187=" ")," ",SUM($B$23:B187))</f>
        <v xml:space="preserve"> </v>
      </c>
      <c r="D187" s="62" t="str">
        <f>IF(D186=" "," ",IF(OR(F186='депозитный калькулятор'!$D$8,F186=" ")," ",D186+1))</f>
        <v xml:space="preserve"> </v>
      </c>
      <c r="E187" s="130" t="str">
        <f>IF(OR(F186='депозитный калькулятор'!$D$8,F186=" ")," ",IF(EOMONTH(F186,0)=F186,1,E186+1))</f>
        <v xml:space="preserve"> </v>
      </c>
      <c r="F187" s="64" t="str">
        <f>IF(F186=" "," ",IF(F186='депозитный калькулятор'!$D$8," ",F186+1))</f>
        <v xml:space="preserve"> </v>
      </c>
      <c r="G187" s="145" t="str">
        <f xml:space="preserve"> IF(F187&gt;'депозитный калькулятор'!$D$8," ",IF('депозитный калькулятор'!$G$13="есть",IF('депозитный калькулятор'!$G$14="есть",G186+IF(I186=" ",0,I186)-J187-K187+L187+M187-N187,G186+IF(I186=" ",0,I186)-J187-K187+M187-N187),IF('депозитный калькулятор'!$G$14="есть",G186-J187-K187+L187+M187-N187,G186-J187-K187+M187-N187)))</f>
        <v xml:space="preserve"> </v>
      </c>
      <c r="H187" s="133" t="str">
        <f>IF(F187&gt;'депозитный калькулятор'!$D$8," ",IF(AND(OR('депозитный калькулятор'!$G$7="30/365",'депозитный калькулятор'!$G$7="30/360"),AND(MONTH(F187)=2,EOMONTH(F187,0)=F187)),IF(DAY(F187)=28,3*G187*'депозитный калькулятор'!$G$8,2*G187*'депозитный калькулятор'!$G$8),IF(AND(OR('депозитный калькулятор'!$G$7="30/365",'депозитный калькулятор'!$G$7="30/360"),DAY(F187)=31)," ",IF(AND('депозитный калькулятор'!$G$7="факт/факт",MOD(YEAR(F187),4)=0),G187*'депозитный калькулятор'!$D$11/366,G187*'депозитный калькулятор'!$G$8))))</f>
        <v xml:space="preserve"> </v>
      </c>
      <c r="I187" s="134" t="str">
        <f ca="1">IF(F187=" "," ",IF('депозитный калькулятор'!$G$10="ежедневное",H187,IF(AND('депозитный калькулятор'!$G$10="еженедельное",WEEKDAY(F187,2)=7),SUM(OFFSET(H187,-6,0):H187),IF(AND('депозитный калькулятор'!$G$10="еженедельное",F187='депозитный калькулятор'!$D$8),SUM($H$23:H187)-SUM($I$23:I186),IF(AND('депозитный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недели",WEEKDAY(F187,2)=7),MIN(OFFSET(H187,-6,0):H187)*(COUNTIF(OFFSET(H187,-6,0):H187,"&gt;0")+SUMIF(OFFSET(A187,-WEEKDAY(F187,2),0):A187,"=2",OFFSET(A187,-WEEKDAY(F187,2),0):A187)),IF(AND('депозитный калькулятор'!$G$10="еженедельное, на минимальную сумму зафиксированную в течение недели",F187='депозитный калькулятор'!$D$8,WEEKDAY(F187,2)&lt;&gt;7),MIN(OFFSET(H187,-WEEKDAY(F187,2),0):H187)*(COUNTIF(OFFSET(H187,-WEEKDAY(F187,2)+1,0):H187,"&gt;0")+SUM(OFFSET(A187,-WEEKDAY(F187,2),0):A187)),IF(AND('депозитный калькулятор'!$G$10="ежемесячное (в конце месяца)",F187='депозитный калькулятор'!$D$8,EOMONTH(F187,0)&lt;&gt;F187),IF('депозитный калькулятор'!$F$1=1,$H$24,SUM($H$23:H187)-SUM($I$23:I186)),IF(AND('депозитный калькулятор'!$G$10="ежемесячное (в конце месяца)",EOMONTH(F187,0)=F187),SUM($H$23:H187)-SUM($I$23:I186),IF(AND('депозитный калькулятор'!$G$10="ежемесячное (по дням открытия вклада)",F187='депозитный калькулятор'!$D$8,DAY('депозитный калькулятор'!$D$7)&lt;&gt;DAY(F187)),IF('депозитный калькулятор'!$F$1=1,$H$24,SUM($H$23:H187)-SUM($I$23:I186)),IF(AND('депозитный калькулятор'!$G$10="ежемесячное (по дням открытия вклада)",DAY('депозитный калькулятор'!$D$7)=DAY(F187)),SUM($H$23:H187)-SUM($I$23:I186),IF(AND('депозитный калькулятор'!$G$10="ежемесячное, на минимальную сумму зафиксированную в течение месяца",F187='депозитный калькулятор'!$D$8,EOMONTH(F187,0)&lt;&gt;F187),IF('депозитный калькулятор'!$F$1=1,$H$24,IF(AND(OR('депозитный калькулятор'!$G$7="30/365",'депозитный калькулятор'!$G$7="30/360"),DAY(F187)=31),0,MIN(OFFSET(H187,-E187+1,0):H187)*(E187+SUMIF(OFFSET(A187,-E187+1,0):A187,"=2",OFFSET(A187,-E187+1,0):A187)))),IF(AND('депозитный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калькулятор'!$G$7="30/360"),DAY(EOMONTH(F187,0))=31),EOMONTH(F187,0)-1=F187,EOMONTH(F187,0)=F187)),IF(IF(AND(OR('депозитный калькулятор'!$G$7="30/365",'депозитный калькулятор'!$G$7="30/360"),DAY(EOMONTH($F$23,0))=31),F187=EOMONTH($F$23,0)-1,F187=EOMONTH($F$23,0)),MIN(OFFSET(H187,-(DAY(F187)-DAY($F$23)),0):H187)*E187,MIN(OFFSET(H187,-(DAY(F187)-1),0):H187)*IF(AND(OR('депозитный калькулятор'!$G$7="30/365",'депозитный калькулятор'!$G$7="30/360"),DAY(F187)&lt;30),30,DAY(F187))),IF(AND('депозитный калькулятор'!$G$10="ежемесячное, на средний остаток в течение месяца, при условии что остаток больше чем ограничение",F187='депозитный калькулятор'!$D$8,EOMONTH(F187,0)&lt;&gt;F187),IF('депозитный калькулятор'!$F$1=1,$H$24,SUM(OFFSET(Q187,-E187+1,0):Q187)),IF(AND('депозитный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калькулятор'!$G$7="30/360"),DAY(EOMONTH(F187,0))=31),EOMONTH(F187,0)-1=F187,EOMONTH(F187,0)=F187)),IF(IF(AND(OR('депозитный калькулятор'!$G$7="30/365",'депозитный калькулятор'!$G$7="30/360"),DAY(EOMONTH($F$24,0))=31),F187=EOMONTH($F$24,0)-1,F187=EOMONTH($F$24,0)),SUM(OFFSET(Q187,-E187+1,0):Q187),SUM(OFFSET(Q187,-E187+1,0):Q187)),IF('депозитный калькулятор'!$G$10="ежеквартальное",IF(F187&gt;'депозитный калькулятор'!$D$8," ",IF(AND(EOMONTH(F187,0)=F187,OR(MONTH(F187)=3,MONTH(F187)=6,MONTH(F187)=9,MONTH(F187)=12)),IF(EDATE(F187,-3)&lt;'депозитный калькулятор'!$D$7,SUM($H$23:H187),IF(MOD(YEAR(F187),4)=0,IF(AND(EOMONTH(F187,0)=F187,OR(MONTH(F187)=3,MONTH(F187)=6)),SUM(OFFSET(H187,-90,0):H187),IF(AND(EOMONTH(F187,0)=F187,OR(MONTH(F187)=9,MONTH(F187)=12)),SUM(OFFSET(H187,-91,0):H187))),IF(AND(EOMONTH(F187,0)=F187,MONTH(F187)=3),SUM(OFFSET(H187,-89,0):H187),IF(AND(EOMONTH(F187,0)=F187,MONTH(F187)=6),SUM(OFFSET(H187,-90,0):H187),IF(AND(EOMONTH(F187,0)=F187,OR(MONTH(F187)=9,MONTH(F187)=12)),SUM(OFFSET(H187,-91,0):H187)))))),IF(F187='депозитный калькулятор'!$D$8,SUM($H$23:H187)-SUM($I$23:I186),0))),IF('депозитный калькулятор'!$G$10="ежегодное",IF(F187&gt;'депозитный калькулятор'!$D$8," ",IF(F187='депозитный калькулятор'!$D$8,SUM($H$23:H187)-SUM($I$23:I186),IF(AND(EOMONTH(F187,0)=F187,MONTH(F187)=12),IF(MOD(YEAR(F186),4)=0,IF(F187-'депозитный калькулятор'!$D$7&lt;366,SUM($H$23:H187),SUM(OFFSET(H187,-365,0):H187)),IF(F187-'депозитный калькулятор'!$D$7&lt;365,SUM($H$23:H187),SUM(OFFSET(H187,-364,0):H187))),0))),IF(AND('депозитный калькулятор'!$G$10="в конце срока",'депозитный калькулятор'!$D$8=F187),SUM($H$23:H187),0))))))))))))))))))</f>
        <v xml:space="preserve"> </v>
      </c>
      <c r="J187" s="59" t="str">
        <f>IF(F187&gt;'депозитный калькулятор'!$D$8," ",IF('депозитный калькулятор'!$G$16="нет",0,IF(AND('депозитный калькулятор'!$G$17="разовая (в конце срока)",F187='депозитный калькулятор'!$D$8),'депозитный калькулятор'!$G$18,IF(AND('депозитный калькулятор'!$G$17="ежемесячная",EOMONTH(F186,0)=F186),'депозитный калькулятор'!$G$18,IF(AND('депозитный калькулятор'!$G$17="ежегодная",DAY(F186)=31,MONTH(F186)=12),'депозитный калькулятор'!$G$18,IF(AND('депозитный калькулятор'!$G$17="ежемесячная в зависимости от остатка",EOMONTH(F186,0)=F186,P186&gt;0),'депозитный калькулятор'!$G$18,IF(AND('депозитный калькулятор'!$G$17="ежегодная в зависимости от остатка",DAY(F186)=31,MONTH(F186)=12,P186&gt;0),'депозитный калькулятор'!$G$18,0)))))))</f>
        <v xml:space="preserve"> </v>
      </c>
      <c r="K187" s="135" t="str">
        <f>IF($F187=" "," ",IFERROR(VLOOKUP($F187,'депозитный калькулятор'!$B$26:$F$70,2,0),0))</f>
        <v xml:space="preserve"> </v>
      </c>
      <c r="L187" s="135" t="str">
        <f>IF($F187=" "," ",IFERROR(VLOOKUP($F187,'депозитный калькулятор'!$B$26:$F$70,3,0),0))</f>
        <v xml:space="preserve"> </v>
      </c>
      <c r="M187" s="135" t="str">
        <f>IF($F187=" "," ",IFERROR(VLOOKUP($F187,'депозитный калькулятор'!$B$26:$F$70,4,0),0))</f>
        <v xml:space="preserve"> </v>
      </c>
      <c r="N187" s="135" t="str">
        <f>IF($F187=" "," ",IFERROR(VLOOKUP($F187,'депозитный калькулятор'!$B$26:$F$70,5,0),0))</f>
        <v xml:space="preserve"> </v>
      </c>
      <c r="O187" s="146" t="str">
        <f>IF(F187&gt;'депозитный калькулятор'!$D$8," ",IF(F187='депозитный калькулятор'!$D$8,IF(AND($F$24='депозитный калькулятор'!$D$8,'депозитный калькулятор'!$G$13="нет"),-G187-IF(I187=" ",0,I187)-IF(AND(OR('депозитный калькулятор'!$G$7="30/365",'депозитный калькулятор'!$G$7="30/360"),'депозитный калькулятор'!$G$10="в начале срока"),I186,0)-L187+M187-N187,-G187-IF(I187=" ",0,I187)-L187+M187-N187),IF('депозитный калькулятор'!$G$13="есть",M187-N187+IF('депозитный калькулятор'!$G$14="есть",0,-L187),-IF(I187=" ",0,I187)-IF(AND(OR('депозитный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срока"),I186,0)+M187-N187+IF('депозитный калькулятор'!$G$14="есть",0,-L187))))</f>
        <v xml:space="preserve"> </v>
      </c>
      <c r="P187" s="147" t="str">
        <f>IF(F187&gt;'депозитный калькулятор'!$D$8," ",IF(EOMONTH(F186,0)=F186,0,IF(G187&gt;='депозитный калькулятор'!$G$19,P186,P186+1)))</f>
        <v xml:space="preserve"> </v>
      </c>
      <c r="Q187" s="138" t="str">
        <f>IF(F187=" "," ",IF(AND(OR('депозитный калькулятор'!$G$7="30/365",'депозитный калькулятор'!$G$7="30/360"),AND(MONTH(F187)=2,EOMONTH(F187,0)=F187)),IF(DAY(F187)=28,3,2),1)*IF(G187&gt;='депозитный калькулятор'!$G$11,IF(AND('депозитный калькулятор'!$G$7="факт/факт",MOD(YEAR(F187),4)=0),G187*'депозитный калькулятор'!$D$11/366,G187*'депозитный калькулятор'!$G$8),0))</f>
        <v xml:space="preserve"> </v>
      </c>
      <c r="R187" s="148"/>
      <c r="S187" s="62" t="str">
        <f t="shared" ca="1" si="12"/>
        <v xml:space="preserve"> </v>
      </c>
      <c r="T187" s="149" t="str">
        <f ca="1">IF(S187=" "," ",IF('депозитный калькулятор'!$G$7="30/360",DAYS360(U186,IF(DAY(U187)=31,U187-1,U187))+IF(AND(MONTH(U187)=2,U187=EOMONTH(U187,0)),30-DAY(EOMONTH(U187,0)))+T186,VLOOKUP(S187,$C$22:$F$1023,2,0)))</f>
        <v xml:space="preserve"> </v>
      </c>
      <c r="U187" s="64" t="str">
        <f t="shared" ca="1" si="10"/>
        <v xml:space="preserve"> </v>
      </c>
      <c r="V187" s="150" t="str">
        <f t="shared" ca="1" si="13"/>
        <v xml:space="preserve"> </v>
      </c>
      <c r="W187" s="62" t="str">
        <f t="shared" ca="1" si="14"/>
        <v xml:space="preserve"> </v>
      </c>
      <c r="X187" s="141" t="str">
        <f ca="1">IF(S187=" "," ",IFERROR(VLOOKUP(U187,$F$23:$N$1023,7)+VLOOKUP(U187,$F$23:$N$1023,9)+IF(AND('депозитный калькулятор'!$G$13="нет",U187&lt;&gt;'депозитный калькулятор'!$D$8),VLOOKUP(U187,$F$23:$N$1023,4),0),0)+IF(U187='депозитный калькулятор'!$D$8,VLOOKUP(U187,$F$23:$N$1023,2)+VLOOKUP(U187,$F$23:$N$1023,4),0))</f>
        <v xml:space="preserve"> </v>
      </c>
      <c r="Y187" s="142" t="str">
        <f ca="1">IF(S187=" "," ",W187/(1+'депозитный калькулятор'!$K$8)^(T187/IF('депозитный калькулятор'!$G$7="30/360",360,365)))</f>
        <v xml:space="preserve"> </v>
      </c>
      <c r="Z187" s="142" t="str">
        <f ca="1">IF(S187=" "," ",X187/(1+'депозитный калькулятор'!$K$8)^(T187/IF('депозитный калькулятор'!$G$7="30/360",360,365)))</f>
        <v xml:space="preserve"> </v>
      </c>
      <c r="AA187" s="151"/>
      <c r="AB187" s="151"/>
      <c r="AC187" s="155"/>
      <c r="AD187" s="155"/>
    </row>
    <row r="188" spans="1:30" s="2" customFormat="1" ht="15.5" x14ac:dyDescent="0.35">
      <c r="A188" s="41" t="str">
        <f>IF(F188=" "," ",IF(OR('депозитный калькулятор'!$G$7="30/365",'депозитный калькулятор'!$G$7="30/360"),IF(AND(MONTH(F188)=2,DAY(F188)=DAY(EOMONTH(F188,0))),30-DAY(EOMONTH(F188,0)),IF(DAY(F188)=31,1," "))," "))</f>
        <v xml:space="preserve"> </v>
      </c>
      <c r="B188" s="130" t="str">
        <f t="shared" si="11"/>
        <v xml:space="preserve"> </v>
      </c>
      <c r="C188" s="130" t="str">
        <f>IF(OR(B188=0,B188=" ")," ",SUM($B$23:B188))</f>
        <v xml:space="preserve"> </v>
      </c>
      <c r="D188" s="62" t="str">
        <f>IF(D187=" "," ",IF(OR(F187='депозитный калькулятор'!$D$8,F187=" ")," ",D187+1))</f>
        <v xml:space="preserve"> </v>
      </c>
      <c r="E188" s="130" t="str">
        <f>IF(OR(F187='депозитный калькулятор'!$D$8,F187=" ")," ",IF(EOMONTH(F187,0)=F187,1,E187+1))</f>
        <v xml:space="preserve"> </v>
      </c>
      <c r="F188" s="64" t="str">
        <f>IF(F187=" "," ",IF(F187='депозитный калькулятор'!$D$8," ",F187+1))</f>
        <v xml:space="preserve"> </v>
      </c>
      <c r="G188" s="145" t="str">
        <f xml:space="preserve"> IF(F188&gt;'депозитный калькулятор'!$D$8," ",IF('депозитный калькулятор'!$G$13="есть",IF('депозитный калькулятор'!$G$14="есть",G187+IF(I187=" ",0,I187)-J188-K188+L188+M188-N188,G187+IF(I187=" ",0,I187)-J188-K188+M188-N188),IF('депозитный калькулятор'!$G$14="есть",G187-J188-K188+L188+M188-N188,G187-J188-K188+M188-N188)))</f>
        <v xml:space="preserve"> </v>
      </c>
      <c r="H188" s="133" t="str">
        <f>IF(F188&gt;'депозитный калькулятор'!$D$8," ",IF(AND(OR('депозитный калькулятор'!$G$7="30/365",'депозитный калькулятор'!$G$7="30/360"),AND(MONTH(F188)=2,EOMONTH(F188,0)=F188)),IF(DAY(F188)=28,3*G188*'депозитный калькулятор'!$G$8,2*G188*'депозитный калькулятор'!$G$8),IF(AND(OR('депозитный калькулятор'!$G$7="30/365",'депозитный калькулятор'!$G$7="30/360"),DAY(F188)=31)," ",IF(AND('депозитный калькулятор'!$G$7="факт/факт",MOD(YEAR(F188),4)=0),G188*'депозитный калькулятор'!$D$11/366,G188*'депозитный калькулятор'!$G$8))))</f>
        <v xml:space="preserve"> </v>
      </c>
      <c r="I188" s="134" t="str">
        <f ca="1">IF(F188=" "," ",IF('депозитный калькулятор'!$G$10="ежедневное",H188,IF(AND('депозитный калькулятор'!$G$10="еженедельное",WEEKDAY(F188,2)=7),SUM(OFFSET(H188,-6,0):H188),IF(AND('депозитный калькулятор'!$G$10="еженедельное",F188='депозитный калькулятор'!$D$8),SUM($H$23:H188)-SUM($I$23:I187),IF(AND('депозитный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недели",WEEKDAY(F188,2)=7),MIN(OFFSET(H188,-6,0):H188)*(COUNTIF(OFFSET(H188,-6,0):H188,"&gt;0")+SUMIF(OFFSET(A188,-WEEKDAY(F188,2),0):A188,"=2",OFFSET(A188,-WEEKDAY(F188,2),0):A188)),IF(AND('депозитный калькулятор'!$G$10="еженедельное, на минимальную сумму зафиксированную в течение недели",F188='депозитный калькулятор'!$D$8,WEEKDAY(F188,2)&lt;&gt;7),MIN(OFFSET(H188,-WEEKDAY(F188,2),0):H188)*(COUNTIF(OFFSET(H188,-WEEKDAY(F188,2)+1,0):H188,"&gt;0")+SUM(OFFSET(A188,-WEEKDAY(F188,2),0):A188)),IF(AND('депозитный калькулятор'!$G$10="ежемесячное (в конце месяца)",F188='депозитный калькулятор'!$D$8,EOMONTH(F188,0)&lt;&gt;F188),IF('депозитный калькулятор'!$F$1=1,$H$24,SUM($H$23:H188)-SUM($I$23:I187)),IF(AND('депозитный калькулятор'!$G$10="ежемесячное (в конце месяца)",EOMONTH(F188,0)=F188),SUM($H$23:H188)-SUM($I$23:I187),IF(AND('депозитный калькулятор'!$G$10="ежемесячное (по дням открытия вклада)",F188='депозитный калькулятор'!$D$8,DAY('депозитный калькулятор'!$D$7)&lt;&gt;DAY(F188)),IF('депозитный калькулятор'!$F$1=1,$H$24,SUM($H$23:H188)-SUM($I$23:I187)),IF(AND('депозитный калькулятор'!$G$10="ежемесячное (по дням открытия вклада)",DAY('депозитный калькулятор'!$D$7)=DAY(F188)),SUM($H$23:H188)-SUM($I$23:I187),IF(AND('депозитный калькулятор'!$G$10="ежемесячное, на минимальную сумму зафиксированную в течение месяца",F188='депозитный калькулятор'!$D$8,EOMONTH(F188,0)&lt;&gt;F188),IF('депозитный калькулятор'!$F$1=1,$H$24,IF(AND(OR('депозитный калькулятор'!$G$7="30/365",'депозитный калькулятор'!$G$7="30/360"),DAY(F188)=31),0,MIN(OFFSET(H188,-E188+1,0):H188)*(E188+SUMIF(OFFSET(A188,-E188+1,0):A188,"=2",OFFSET(A188,-E188+1,0):A188)))),IF(AND('депозитный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калькулятор'!$G$7="30/360"),DAY(EOMONTH(F188,0))=31),EOMONTH(F188,0)-1=F188,EOMONTH(F188,0)=F188)),IF(IF(AND(OR('депозитный калькулятор'!$G$7="30/365",'депозитный калькулятор'!$G$7="30/360"),DAY(EOMONTH($F$23,0))=31),F188=EOMONTH($F$23,0)-1,F188=EOMONTH($F$23,0)),MIN(OFFSET(H188,-(DAY(F188)-DAY($F$23)),0):H188)*E188,MIN(OFFSET(H188,-(DAY(F188)-1),0):H188)*IF(AND(OR('депозитный калькулятор'!$G$7="30/365",'депозитный калькулятор'!$G$7="30/360"),DAY(F188)&lt;30),30,DAY(F188))),IF(AND('депозитный калькулятор'!$G$10="ежемесячное, на средний остаток в течение месяца, при условии что остаток больше чем ограничение",F188='депозитный калькулятор'!$D$8,EOMONTH(F188,0)&lt;&gt;F188),IF('депозитный калькулятор'!$F$1=1,$H$24,SUM(OFFSET(Q188,-E188+1,0):Q188)),IF(AND('депозитный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калькулятор'!$G$7="30/360"),DAY(EOMONTH(F188,0))=31),EOMONTH(F188,0)-1=F188,EOMONTH(F188,0)=F188)),IF(IF(AND(OR('депозитный калькулятор'!$G$7="30/365",'депозитный калькулятор'!$G$7="30/360"),DAY(EOMONTH($F$24,0))=31),F188=EOMONTH($F$24,0)-1,F188=EOMONTH($F$24,0)),SUM(OFFSET(Q188,-E188+1,0):Q188),SUM(OFFSET(Q188,-E188+1,0):Q188)),IF('депозитный калькулятор'!$G$10="ежеквартальное",IF(F188&gt;'депозитный калькулятор'!$D$8," ",IF(AND(EOMONTH(F188,0)=F188,OR(MONTH(F188)=3,MONTH(F188)=6,MONTH(F188)=9,MONTH(F188)=12)),IF(EDATE(F188,-3)&lt;'депозитный калькулятор'!$D$7,SUM($H$23:H188),IF(MOD(YEAR(F188),4)=0,IF(AND(EOMONTH(F188,0)=F188,OR(MONTH(F188)=3,MONTH(F188)=6)),SUM(OFFSET(H188,-90,0):H188),IF(AND(EOMONTH(F188,0)=F188,OR(MONTH(F188)=9,MONTH(F188)=12)),SUM(OFFSET(H188,-91,0):H188))),IF(AND(EOMONTH(F188,0)=F188,MONTH(F188)=3),SUM(OFFSET(H188,-89,0):H188),IF(AND(EOMONTH(F188,0)=F188,MONTH(F188)=6),SUM(OFFSET(H188,-90,0):H188),IF(AND(EOMONTH(F188,0)=F188,OR(MONTH(F188)=9,MONTH(F188)=12)),SUM(OFFSET(H188,-91,0):H188)))))),IF(F188='депозитный калькулятор'!$D$8,SUM($H$23:H188)-SUM($I$23:I187),0))),IF('депозитный калькулятор'!$G$10="ежегодное",IF(F188&gt;'депозитный калькулятор'!$D$8," ",IF(F188='депозитный калькулятор'!$D$8,SUM($H$23:H188)-SUM($I$23:I187),IF(AND(EOMONTH(F188,0)=F188,MONTH(F188)=12),IF(MOD(YEAR(F187),4)=0,IF(F188-'депозитный калькулятор'!$D$7&lt;366,SUM($H$23:H188),SUM(OFFSET(H188,-365,0):H188)),IF(F188-'депозитный калькулятор'!$D$7&lt;365,SUM($H$23:H188),SUM(OFFSET(H188,-364,0):H188))),0))),IF(AND('депозитный калькулятор'!$G$10="в конце срока",'депозитный калькулятор'!$D$8=F188),SUM($H$23:H188),0))))))))))))))))))</f>
        <v xml:space="preserve"> </v>
      </c>
      <c r="J188" s="59" t="str">
        <f>IF(F188&gt;'депозитный калькулятор'!$D$8," ",IF('депозитный калькулятор'!$G$16="нет",0,IF(AND('депозитный калькулятор'!$G$17="разовая (в конце срока)",F188='депозитный калькулятор'!$D$8),'депозитный калькулятор'!$G$18,IF(AND('депозитный калькулятор'!$G$17="ежемесячная",EOMONTH(F187,0)=F187),'депозитный калькулятор'!$G$18,IF(AND('депозитный калькулятор'!$G$17="ежегодная",DAY(F187)=31,MONTH(F187)=12),'депозитный калькулятор'!$G$18,IF(AND('депозитный калькулятор'!$G$17="ежемесячная в зависимости от остатка",EOMONTH(F187,0)=F187,P187&gt;0),'депозитный калькулятор'!$G$18,IF(AND('депозитный калькулятор'!$G$17="ежегодная в зависимости от остатка",DAY(F187)=31,MONTH(F187)=12,P187&gt;0),'депозитный калькулятор'!$G$18,0)))))))</f>
        <v xml:space="preserve"> </v>
      </c>
      <c r="K188" s="135" t="str">
        <f>IF($F188=" "," ",IFERROR(VLOOKUP($F188,'депозитный калькулятор'!$B$26:$F$70,2,0),0))</f>
        <v xml:space="preserve"> </v>
      </c>
      <c r="L188" s="135" t="str">
        <f>IF($F188=" "," ",IFERROR(VLOOKUP($F188,'депозитный калькулятор'!$B$26:$F$70,3,0),0))</f>
        <v xml:space="preserve"> </v>
      </c>
      <c r="M188" s="135" t="str">
        <f>IF($F188=" "," ",IFERROR(VLOOKUP($F188,'депозитный калькулятор'!$B$26:$F$70,4,0),0))</f>
        <v xml:space="preserve"> </v>
      </c>
      <c r="N188" s="135" t="str">
        <f>IF($F188=" "," ",IFERROR(VLOOKUP($F188,'депозитный калькулятор'!$B$26:$F$70,5,0),0))</f>
        <v xml:space="preserve"> </v>
      </c>
      <c r="O188" s="146" t="str">
        <f>IF(F188&gt;'депозитный калькулятор'!$D$8," ",IF(F188='депозитный калькулятор'!$D$8,IF(AND($F$24='депозитный калькулятор'!$D$8,'депозитный калькулятор'!$G$13="нет"),-G188-IF(I188=" ",0,I188)-IF(AND(OR('депозитный калькулятор'!$G$7="30/365",'депозитный калькулятор'!$G$7="30/360"),'депозитный калькулятор'!$G$10="в начале срока"),I187,0)-L188+M188-N188,-G188-IF(I188=" ",0,I188)-L188+M188-N188),IF('депозитный калькулятор'!$G$13="есть",M188-N188+IF('депозитный калькулятор'!$G$14="есть",0,-L188),-IF(I188=" ",0,I188)-IF(AND(OR('депозитный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срока"),I187,0)+M188-N188+IF('депозитный калькулятор'!$G$14="есть",0,-L188))))</f>
        <v xml:space="preserve"> </v>
      </c>
      <c r="P188" s="147" t="str">
        <f>IF(F188&gt;'депозитный калькулятор'!$D$8," ",IF(EOMONTH(F187,0)=F187,0,IF(G188&gt;='депозитный калькулятор'!$G$19,P187,P187+1)))</f>
        <v xml:space="preserve"> </v>
      </c>
      <c r="Q188" s="138" t="str">
        <f>IF(F188=" "," ",IF(AND(OR('депозитный калькулятор'!$G$7="30/365",'депозитный калькулятор'!$G$7="30/360"),AND(MONTH(F188)=2,EOMONTH(F188,0)=F188)),IF(DAY(F188)=28,3,2),1)*IF(G188&gt;='депозитный калькулятор'!$G$11,IF(AND('депозитный калькулятор'!$G$7="факт/факт",MOD(YEAR(F188),4)=0),G188*'депозитный калькулятор'!$D$11/366,G188*'депозитный калькулятор'!$G$8),0))</f>
        <v xml:space="preserve"> </v>
      </c>
      <c r="R188" s="148"/>
      <c r="S188" s="62" t="str">
        <f t="shared" ca="1" si="12"/>
        <v xml:space="preserve"> </v>
      </c>
      <c r="T188" s="149" t="str">
        <f ca="1">IF(S188=" "," ",IF('депозитный калькулятор'!$G$7="30/360",DAYS360(U187,IF(DAY(U188)=31,U188-1,U188))+IF(AND(MONTH(U188)=2,U188=EOMONTH(U188,0)),30-DAY(EOMONTH(U188,0)))+T187,VLOOKUP(S188,$C$22:$F$1023,2,0)))</f>
        <v xml:space="preserve"> </v>
      </c>
      <c r="U188" s="64" t="str">
        <f t="shared" ca="1" si="10"/>
        <v xml:space="preserve"> </v>
      </c>
      <c r="V188" s="150" t="str">
        <f t="shared" ca="1" si="13"/>
        <v xml:space="preserve"> </v>
      </c>
      <c r="W188" s="62" t="str">
        <f t="shared" ca="1" si="14"/>
        <v xml:space="preserve"> </v>
      </c>
      <c r="X188" s="141" t="str">
        <f ca="1">IF(S188=" "," ",IFERROR(VLOOKUP(U188,$F$23:$N$1023,7)+VLOOKUP(U188,$F$23:$N$1023,9)+IF(AND('депозитный калькулятор'!$G$13="нет",U188&lt;&gt;'депозитный калькулятор'!$D$8),VLOOKUP(U188,$F$23:$N$1023,4),0),0)+IF(U188='депозитный калькулятор'!$D$8,VLOOKUP(U188,$F$23:$N$1023,2)+VLOOKUP(U188,$F$23:$N$1023,4),0))</f>
        <v xml:space="preserve"> </v>
      </c>
      <c r="Y188" s="142" t="str">
        <f ca="1">IF(S188=" "," ",W188/(1+'депозитный калькулятор'!$K$8)^(T188/IF('депозитный калькулятор'!$G$7="30/360",360,365)))</f>
        <v xml:space="preserve"> </v>
      </c>
      <c r="Z188" s="142" t="str">
        <f ca="1">IF(S188=" "," ",X188/(1+'депозитный калькулятор'!$K$8)^(T188/IF('депозитный калькулятор'!$G$7="30/360",360,365)))</f>
        <v xml:space="preserve"> </v>
      </c>
      <c r="AA188" s="151"/>
      <c r="AB188" s="151"/>
      <c r="AC188" s="155"/>
      <c r="AD188" s="155"/>
    </row>
    <row r="189" spans="1:30" s="2" customFormat="1" ht="15.5" x14ac:dyDescent="0.35">
      <c r="A189" s="41" t="str">
        <f>IF(F189=" "," ",IF(OR('депозитный калькулятор'!$G$7="30/365",'депозитный калькулятор'!$G$7="30/360"),IF(AND(MONTH(F189)=2,DAY(F189)=DAY(EOMONTH(F189,0))),30-DAY(EOMONTH(F189,0)),IF(DAY(F189)=31,1," "))," "))</f>
        <v xml:space="preserve"> </v>
      </c>
      <c r="B189" s="130" t="str">
        <f t="shared" si="11"/>
        <v xml:space="preserve"> </v>
      </c>
      <c r="C189" s="130" t="str">
        <f>IF(OR(B189=0,B189=" ")," ",SUM($B$23:B189))</f>
        <v xml:space="preserve"> </v>
      </c>
      <c r="D189" s="62" t="str">
        <f>IF(D188=" "," ",IF(OR(F188='депозитный калькулятор'!$D$8,F188=" ")," ",D188+1))</f>
        <v xml:space="preserve"> </v>
      </c>
      <c r="E189" s="130" t="str">
        <f>IF(OR(F188='депозитный калькулятор'!$D$8,F188=" ")," ",IF(EOMONTH(F188,0)=F188,1,E188+1))</f>
        <v xml:space="preserve"> </v>
      </c>
      <c r="F189" s="64" t="str">
        <f>IF(F188=" "," ",IF(F188='депозитный калькулятор'!$D$8," ",F188+1))</f>
        <v xml:space="preserve"> </v>
      </c>
      <c r="G189" s="145" t="str">
        <f xml:space="preserve"> IF(F189&gt;'депозитный калькулятор'!$D$8," ",IF('депозитный калькулятор'!$G$13="есть",IF('депозитный калькулятор'!$G$14="есть",G188+IF(I188=" ",0,I188)-J189-K189+L189+M189-N189,G188+IF(I188=" ",0,I188)-J189-K189+M189-N189),IF('депозитный калькулятор'!$G$14="есть",G188-J189-K189+L189+M189-N189,G188-J189-K189+M189-N189)))</f>
        <v xml:space="preserve"> </v>
      </c>
      <c r="H189" s="133" t="str">
        <f>IF(F189&gt;'депозитный калькулятор'!$D$8," ",IF(AND(OR('депозитный калькулятор'!$G$7="30/365",'депозитный калькулятор'!$G$7="30/360"),AND(MONTH(F189)=2,EOMONTH(F189,0)=F189)),IF(DAY(F189)=28,3*G189*'депозитный калькулятор'!$G$8,2*G189*'депозитный калькулятор'!$G$8),IF(AND(OR('депозитный калькулятор'!$G$7="30/365",'депозитный калькулятор'!$G$7="30/360"),DAY(F189)=31)," ",IF(AND('депозитный калькулятор'!$G$7="факт/факт",MOD(YEAR(F189),4)=0),G189*'депозитный калькулятор'!$D$11/366,G189*'депозитный калькулятор'!$G$8))))</f>
        <v xml:space="preserve"> </v>
      </c>
      <c r="I189" s="134" t="str">
        <f ca="1">IF(F189=" "," ",IF('депозитный калькулятор'!$G$10="ежедневное",H189,IF(AND('депозитный калькулятор'!$G$10="еженедельное",WEEKDAY(F189,2)=7),SUM(OFFSET(H189,-6,0):H189),IF(AND('депозитный калькулятор'!$G$10="еженедельное",F189='депозитный калькулятор'!$D$8),SUM($H$23:H189)-SUM($I$23:I188),IF(AND('депозитный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недели",WEEKDAY(F189,2)=7),MIN(OFFSET(H189,-6,0):H189)*(COUNTIF(OFFSET(H189,-6,0):H189,"&gt;0")+SUMIF(OFFSET(A189,-WEEKDAY(F189,2),0):A189,"=2",OFFSET(A189,-WEEKDAY(F189,2),0):A189)),IF(AND('депозитный калькулятор'!$G$10="еженедельное, на минимальную сумму зафиксированную в течение недели",F189='депозитный калькулятор'!$D$8,WEEKDAY(F189,2)&lt;&gt;7),MIN(OFFSET(H189,-WEEKDAY(F189,2),0):H189)*(COUNTIF(OFFSET(H189,-WEEKDAY(F189,2)+1,0):H189,"&gt;0")+SUM(OFFSET(A189,-WEEKDAY(F189,2),0):A189)),IF(AND('депозитный калькулятор'!$G$10="ежемесячное (в конце месяца)",F189='депозитный калькулятор'!$D$8,EOMONTH(F189,0)&lt;&gt;F189),IF('депозитный калькулятор'!$F$1=1,$H$24,SUM($H$23:H189)-SUM($I$23:I188)),IF(AND('депозитный калькулятор'!$G$10="ежемесячное (в конце месяца)",EOMONTH(F189,0)=F189),SUM($H$23:H189)-SUM($I$23:I188),IF(AND('депозитный калькулятор'!$G$10="ежемесячное (по дням открытия вклада)",F189='депозитный калькулятор'!$D$8,DAY('депозитный калькулятор'!$D$7)&lt;&gt;DAY(F189)),IF('депозитный калькулятор'!$F$1=1,$H$24,SUM($H$23:H189)-SUM($I$23:I188)),IF(AND('депозитный калькулятор'!$G$10="ежемесячное (по дням открытия вклада)",DAY('депозитный калькулятор'!$D$7)=DAY(F189)),SUM($H$23:H189)-SUM($I$23:I188),IF(AND('депозитный калькулятор'!$G$10="ежемесячное, на минимальную сумму зафиксированную в течение месяца",F189='депозитный калькулятор'!$D$8,EOMONTH(F189,0)&lt;&gt;F189),IF('депозитный калькулятор'!$F$1=1,$H$24,IF(AND(OR('депозитный калькулятор'!$G$7="30/365",'депозитный калькулятор'!$G$7="30/360"),DAY(F189)=31),0,MIN(OFFSET(H189,-E189+1,0):H189)*(E189+SUMIF(OFFSET(A189,-E189+1,0):A189,"=2",OFFSET(A189,-E189+1,0):A189)))),IF(AND('депозитный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калькулятор'!$G$7="30/360"),DAY(EOMONTH(F189,0))=31),EOMONTH(F189,0)-1=F189,EOMONTH(F189,0)=F189)),IF(IF(AND(OR('депозитный калькулятор'!$G$7="30/365",'депозитный калькулятор'!$G$7="30/360"),DAY(EOMONTH($F$23,0))=31),F189=EOMONTH($F$23,0)-1,F189=EOMONTH($F$23,0)),MIN(OFFSET(H189,-(DAY(F189)-DAY($F$23)),0):H189)*E189,MIN(OFFSET(H189,-(DAY(F189)-1),0):H189)*IF(AND(OR('депозитный калькулятор'!$G$7="30/365",'депозитный калькулятор'!$G$7="30/360"),DAY(F189)&lt;30),30,DAY(F189))),IF(AND('депозитный калькулятор'!$G$10="ежемесячное, на средний остаток в течение месяца, при условии что остаток больше чем ограничение",F189='депозитный калькулятор'!$D$8,EOMONTH(F189,0)&lt;&gt;F189),IF('депозитный калькулятор'!$F$1=1,$H$24,SUM(OFFSET(Q189,-E189+1,0):Q189)),IF(AND('депозитный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калькулятор'!$G$7="30/360"),DAY(EOMONTH(F189,0))=31),EOMONTH(F189,0)-1=F189,EOMONTH(F189,0)=F189)),IF(IF(AND(OR('депозитный калькулятор'!$G$7="30/365",'депозитный калькулятор'!$G$7="30/360"),DAY(EOMONTH($F$24,0))=31),F189=EOMONTH($F$24,0)-1,F189=EOMONTH($F$24,0)),SUM(OFFSET(Q189,-E189+1,0):Q189),SUM(OFFSET(Q189,-E189+1,0):Q189)),IF('депозитный калькулятор'!$G$10="ежеквартальное",IF(F189&gt;'депозитный калькулятор'!$D$8," ",IF(AND(EOMONTH(F189,0)=F189,OR(MONTH(F189)=3,MONTH(F189)=6,MONTH(F189)=9,MONTH(F189)=12)),IF(EDATE(F189,-3)&lt;'депозитный калькулятор'!$D$7,SUM($H$23:H189),IF(MOD(YEAR(F189),4)=0,IF(AND(EOMONTH(F189,0)=F189,OR(MONTH(F189)=3,MONTH(F189)=6)),SUM(OFFSET(H189,-90,0):H189),IF(AND(EOMONTH(F189,0)=F189,OR(MONTH(F189)=9,MONTH(F189)=12)),SUM(OFFSET(H189,-91,0):H189))),IF(AND(EOMONTH(F189,0)=F189,MONTH(F189)=3),SUM(OFFSET(H189,-89,0):H189),IF(AND(EOMONTH(F189,0)=F189,MONTH(F189)=6),SUM(OFFSET(H189,-90,0):H189),IF(AND(EOMONTH(F189,0)=F189,OR(MONTH(F189)=9,MONTH(F189)=12)),SUM(OFFSET(H189,-91,0):H189)))))),IF(F189='депозитный калькулятор'!$D$8,SUM($H$23:H189)-SUM($I$23:I188),0))),IF('депозитный калькулятор'!$G$10="ежегодное",IF(F189&gt;'депозитный калькулятор'!$D$8," ",IF(F189='депозитный калькулятор'!$D$8,SUM($H$23:H189)-SUM($I$23:I188),IF(AND(EOMONTH(F189,0)=F189,MONTH(F189)=12),IF(MOD(YEAR(F188),4)=0,IF(F189-'депозитный калькулятор'!$D$7&lt;366,SUM($H$23:H189),SUM(OFFSET(H189,-365,0):H189)),IF(F189-'депозитный калькулятор'!$D$7&lt;365,SUM($H$23:H189),SUM(OFFSET(H189,-364,0):H189))),0))),IF(AND('депозитный калькулятор'!$G$10="в конце срока",'депозитный калькулятор'!$D$8=F189),SUM($H$23:H189),0))))))))))))))))))</f>
        <v xml:space="preserve"> </v>
      </c>
      <c r="J189" s="59" t="str">
        <f>IF(F189&gt;'депозитный калькулятор'!$D$8," ",IF('депозитный калькулятор'!$G$16="нет",0,IF(AND('депозитный калькулятор'!$G$17="разовая (в конце срока)",F189='депозитный калькулятор'!$D$8),'депозитный калькулятор'!$G$18,IF(AND('депозитный калькулятор'!$G$17="ежемесячная",EOMONTH(F188,0)=F188),'депозитный калькулятор'!$G$18,IF(AND('депозитный калькулятор'!$G$17="ежегодная",DAY(F188)=31,MONTH(F188)=12),'депозитный калькулятор'!$G$18,IF(AND('депозитный калькулятор'!$G$17="ежемесячная в зависимости от остатка",EOMONTH(F188,0)=F188,P188&gt;0),'депозитный калькулятор'!$G$18,IF(AND('депозитный калькулятор'!$G$17="ежегодная в зависимости от остатка",DAY(F188)=31,MONTH(F188)=12,P188&gt;0),'депозитный калькулятор'!$G$18,0)))))))</f>
        <v xml:space="preserve"> </v>
      </c>
      <c r="K189" s="135" t="str">
        <f>IF($F189=" "," ",IFERROR(VLOOKUP($F189,'депозитный калькулятор'!$B$26:$F$70,2,0),0))</f>
        <v xml:space="preserve"> </v>
      </c>
      <c r="L189" s="135" t="str">
        <f>IF($F189=" "," ",IFERROR(VLOOKUP($F189,'депозитный калькулятор'!$B$26:$F$70,3,0),0))</f>
        <v xml:space="preserve"> </v>
      </c>
      <c r="M189" s="135" t="str">
        <f>IF($F189=" "," ",IFERROR(VLOOKUP($F189,'депозитный калькулятор'!$B$26:$F$70,4,0),0))</f>
        <v xml:space="preserve"> </v>
      </c>
      <c r="N189" s="135" t="str">
        <f>IF($F189=" "," ",IFERROR(VLOOKUP($F189,'депозитный калькулятор'!$B$26:$F$70,5,0),0))</f>
        <v xml:space="preserve"> </v>
      </c>
      <c r="O189" s="146" t="str">
        <f>IF(F189&gt;'депозитный калькулятор'!$D$8," ",IF(F189='депозитный калькулятор'!$D$8,IF(AND($F$24='депозитный калькулятор'!$D$8,'депозитный калькулятор'!$G$13="нет"),-G189-IF(I189=" ",0,I189)-IF(AND(OR('депозитный калькулятор'!$G$7="30/365",'депозитный калькулятор'!$G$7="30/360"),'депозитный калькулятор'!$G$10="в начале срока"),I188,0)-L189+M189-N189,-G189-IF(I189=" ",0,I189)-L189+M189-N189),IF('депозитный калькулятор'!$G$13="есть",M189-N189+IF('депозитный калькулятор'!$G$14="есть",0,-L189),-IF(I189=" ",0,I189)-IF(AND(OR('депозитный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срока"),I188,0)+M189-N189+IF('депозитный калькулятор'!$G$14="есть",0,-L189))))</f>
        <v xml:space="preserve"> </v>
      </c>
      <c r="P189" s="147" t="str">
        <f>IF(F189&gt;'депозитный калькулятор'!$D$8," ",IF(EOMONTH(F188,0)=F188,0,IF(G189&gt;='депозитный калькулятор'!$G$19,P188,P188+1)))</f>
        <v xml:space="preserve"> </v>
      </c>
      <c r="Q189" s="138" t="str">
        <f>IF(F189=" "," ",IF(AND(OR('депозитный калькулятор'!$G$7="30/365",'депозитный калькулятор'!$G$7="30/360"),AND(MONTH(F189)=2,EOMONTH(F189,0)=F189)),IF(DAY(F189)=28,3,2),1)*IF(G189&gt;='депозитный калькулятор'!$G$11,IF(AND('депозитный калькулятор'!$G$7="факт/факт",MOD(YEAR(F189),4)=0),G189*'депозитный калькулятор'!$D$11/366,G189*'депозитный калькулятор'!$G$8),0))</f>
        <v xml:space="preserve"> </v>
      </c>
      <c r="R189" s="148"/>
      <c r="S189" s="62" t="str">
        <f t="shared" ca="1" si="12"/>
        <v xml:space="preserve"> </v>
      </c>
      <c r="T189" s="149" t="str">
        <f ca="1">IF(S189=" "," ",IF('депозитный калькулятор'!$G$7="30/360",DAYS360(U188,IF(DAY(U189)=31,U189-1,U189))+IF(AND(MONTH(U189)=2,U189=EOMONTH(U189,0)),30-DAY(EOMONTH(U189,0)))+T188,VLOOKUP(S189,$C$22:$F$1023,2,0)))</f>
        <v xml:space="preserve"> </v>
      </c>
      <c r="U189" s="64" t="str">
        <f t="shared" ca="1" si="10"/>
        <v xml:space="preserve"> </v>
      </c>
      <c r="V189" s="150" t="str">
        <f t="shared" ca="1" si="13"/>
        <v xml:space="preserve"> </v>
      </c>
      <c r="W189" s="62" t="str">
        <f t="shared" ca="1" si="14"/>
        <v xml:space="preserve"> </v>
      </c>
      <c r="X189" s="141" t="str">
        <f ca="1">IF(S189=" "," ",IFERROR(VLOOKUP(U189,$F$23:$N$1023,7)+VLOOKUP(U189,$F$23:$N$1023,9)+IF(AND('депозитный калькулятор'!$G$13="нет",U189&lt;&gt;'депозитный калькулятор'!$D$8),VLOOKUP(U189,$F$23:$N$1023,4),0),0)+IF(U189='депозитный калькулятор'!$D$8,VLOOKUP(U189,$F$23:$N$1023,2)+VLOOKUP(U189,$F$23:$N$1023,4),0))</f>
        <v xml:space="preserve"> </v>
      </c>
      <c r="Y189" s="142" t="str">
        <f ca="1">IF(S189=" "," ",W189/(1+'депозитный калькулятор'!$K$8)^(T189/IF('депозитный калькулятор'!$G$7="30/360",360,365)))</f>
        <v xml:space="preserve"> </v>
      </c>
      <c r="Z189" s="142" t="str">
        <f ca="1">IF(S189=" "," ",X189/(1+'депозитный калькулятор'!$K$8)^(T189/IF('депозитный калькулятор'!$G$7="30/360",360,365)))</f>
        <v xml:space="preserve"> </v>
      </c>
      <c r="AA189" s="151"/>
      <c r="AB189" s="151"/>
      <c r="AC189" s="155"/>
      <c r="AD189" s="155"/>
    </row>
    <row r="190" spans="1:30" s="2" customFormat="1" ht="15.5" x14ac:dyDescent="0.35">
      <c r="A190" s="41" t="str">
        <f>IF(F190=" "," ",IF(OR('депозитный калькулятор'!$G$7="30/365",'депозитный калькулятор'!$G$7="30/360"),IF(AND(MONTH(F190)=2,DAY(F190)=DAY(EOMONTH(F190,0))),30-DAY(EOMONTH(F190,0)),IF(DAY(F190)=31,1," "))," "))</f>
        <v xml:space="preserve"> </v>
      </c>
      <c r="B190" s="130" t="str">
        <f t="shared" si="11"/>
        <v xml:space="preserve"> </v>
      </c>
      <c r="C190" s="130" t="str">
        <f>IF(OR(B190=0,B190=" ")," ",SUM($B$23:B190))</f>
        <v xml:space="preserve"> </v>
      </c>
      <c r="D190" s="62" t="str">
        <f>IF(D189=" "," ",IF(OR(F189='депозитный калькулятор'!$D$8,F189=" ")," ",D189+1))</f>
        <v xml:space="preserve"> </v>
      </c>
      <c r="E190" s="130" t="str">
        <f>IF(OR(F189='депозитный калькулятор'!$D$8,F189=" ")," ",IF(EOMONTH(F189,0)=F189,1,E189+1))</f>
        <v xml:space="preserve"> </v>
      </c>
      <c r="F190" s="64" t="str">
        <f>IF(F189=" "," ",IF(F189='депозитный калькулятор'!$D$8," ",F189+1))</f>
        <v xml:space="preserve"> </v>
      </c>
      <c r="G190" s="145" t="str">
        <f xml:space="preserve"> IF(F190&gt;'депозитный калькулятор'!$D$8," ",IF('депозитный калькулятор'!$G$13="есть",IF('депозитный калькулятор'!$G$14="есть",G189+IF(I189=" ",0,I189)-J190-K190+L190+M190-N190,G189+IF(I189=" ",0,I189)-J190-K190+M190-N190),IF('депозитный калькулятор'!$G$14="есть",G189-J190-K190+L190+M190-N190,G189-J190-K190+M190-N190)))</f>
        <v xml:space="preserve"> </v>
      </c>
      <c r="H190" s="133" t="str">
        <f>IF(F190&gt;'депозитный калькулятор'!$D$8," ",IF(AND(OR('депозитный калькулятор'!$G$7="30/365",'депозитный калькулятор'!$G$7="30/360"),AND(MONTH(F190)=2,EOMONTH(F190,0)=F190)),IF(DAY(F190)=28,3*G190*'депозитный калькулятор'!$G$8,2*G190*'депозитный калькулятор'!$G$8),IF(AND(OR('депозитный калькулятор'!$G$7="30/365",'депозитный калькулятор'!$G$7="30/360"),DAY(F190)=31)," ",IF(AND('депозитный калькулятор'!$G$7="факт/факт",MOD(YEAR(F190),4)=0),G190*'депозитный калькулятор'!$D$11/366,G190*'депозитный калькулятор'!$G$8))))</f>
        <v xml:space="preserve"> </v>
      </c>
      <c r="I190" s="134" t="str">
        <f ca="1">IF(F190=" "," ",IF('депозитный калькулятор'!$G$10="ежедневное",H190,IF(AND('депозитный калькулятор'!$G$10="еженедельное",WEEKDAY(F190,2)=7),SUM(OFFSET(H190,-6,0):H190),IF(AND('депозитный калькулятор'!$G$10="еженедельное",F190='депозитный калькулятор'!$D$8),SUM($H$23:H190)-SUM($I$23:I189),IF(AND('депозитный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недели",WEEKDAY(F190,2)=7),MIN(OFFSET(H190,-6,0):H190)*(COUNTIF(OFFSET(H190,-6,0):H190,"&gt;0")+SUMIF(OFFSET(A190,-WEEKDAY(F190,2),0):A190,"=2",OFFSET(A190,-WEEKDAY(F190,2),0):A190)),IF(AND('депозитный калькулятор'!$G$10="еженедельное, на минимальную сумму зафиксированную в течение недели",F190='депозитный калькулятор'!$D$8,WEEKDAY(F190,2)&lt;&gt;7),MIN(OFFSET(H190,-WEEKDAY(F190,2),0):H190)*(COUNTIF(OFFSET(H190,-WEEKDAY(F190,2)+1,0):H190,"&gt;0")+SUM(OFFSET(A190,-WEEKDAY(F190,2),0):A190)),IF(AND('депозитный калькулятор'!$G$10="ежемесячное (в конце месяца)",F190='депозитный калькулятор'!$D$8,EOMONTH(F190,0)&lt;&gt;F190),IF('депозитный калькулятор'!$F$1=1,$H$24,SUM($H$23:H190)-SUM($I$23:I189)),IF(AND('депозитный калькулятор'!$G$10="ежемесячное (в конце месяца)",EOMONTH(F190,0)=F190),SUM($H$23:H190)-SUM($I$23:I189),IF(AND('депозитный калькулятор'!$G$10="ежемесячное (по дням открытия вклада)",F190='депозитный калькулятор'!$D$8,DAY('депозитный калькулятор'!$D$7)&lt;&gt;DAY(F190)),IF('депозитный калькулятор'!$F$1=1,$H$24,SUM($H$23:H190)-SUM($I$23:I189)),IF(AND('депозитный калькулятор'!$G$10="ежемесячное (по дням открытия вклада)",DAY('депозитный калькулятор'!$D$7)=DAY(F190)),SUM($H$23:H190)-SUM($I$23:I189),IF(AND('депозитный калькулятор'!$G$10="ежемесячное, на минимальную сумму зафиксированную в течение месяца",F190='депозитный калькулятор'!$D$8,EOMONTH(F190,0)&lt;&gt;F190),IF('депозитный калькулятор'!$F$1=1,$H$24,IF(AND(OR('депозитный калькулятор'!$G$7="30/365",'депозитный калькулятор'!$G$7="30/360"),DAY(F190)=31),0,MIN(OFFSET(H190,-E190+1,0):H190)*(E190+SUMIF(OFFSET(A190,-E190+1,0):A190,"=2",OFFSET(A190,-E190+1,0):A190)))),IF(AND('депозитный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калькулятор'!$G$7="30/360"),DAY(EOMONTH(F190,0))=31),EOMONTH(F190,0)-1=F190,EOMONTH(F190,0)=F190)),IF(IF(AND(OR('депозитный калькулятор'!$G$7="30/365",'депозитный калькулятор'!$G$7="30/360"),DAY(EOMONTH($F$23,0))=31),F190=EOMONTH($F$23,0)-1,F190=EOMONTH($F$23,0)),MIN(OFFSET(H190,-(DAY(F190)-DAY($F$23)),0):H190)*E190,MIN(OFFSET(H190,-(DAY(F190)-1),0):H190)*IF(AND(OR('депозитный калькулятор'!$G$7="30/365",'депозитный калькулятор'!$G$7="30/360"),DAY(F190)&lt;30),30,DAY(F190))),IF(AND('депозитный калькулятор'!$G$10="ежемесячное, на средний остаток в течение месяца, при условии что остаток больше чем ограничение",F190='депозитный калькулятор'!$D$8,EOMONTH(F190,0)&lt;&gt;F190),IF('депозитный калькулятор'!$F$1=1,$H$24,SUM(OFFSET(Q190,-E190+1,0):Q190)),IF(AND('депозитный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калькулятор'!$G$7="30/360"),DAY(EOMONTH(F190,0))=31),EOMONTH(F190,0)-1=F190,EOMONTH(F190,0)=F190)),IF(IF(AND(OR('депозитный калькулятор'!$G$7="30/365",'депозитный калькулятор'!$G$7="30/360"),DAY(EOMONTH($F$24,0))=31),F190=EOMONTH($F$24,0)-1,F190=EOMONTH($F$24,0)),SUM(OFFSET(Q190,-E190+1,0):Q190),SUM(OFFSET(Q190,-E190+1,0):Q190)),IF('депозитный калькулятор'!$G$10="ежеквартальное",IF(F190&gt;'депозитный калькулятор'!$D$8," ",IF(AND(EOMONTH(F190,0)=F190,OR(MONTH(F190)=3,MONTH(F190)=6,MONTH(F190)=9,MONTH(F190)=12)),IF(EDATE(F190,-3)&lt;'депозитный калькулятор'!$D$7,SUM($H$23:H190),IF(MOD(YEAR(F190),4)=0,IF(AND(EOMONTH(F190,0)=F190,OR(MONTH(F190)=3,MONTH(F190)=6)),SUM(OFFSET(H190,-90,0):H190),IF(AND(EOMONTH(F190,0)=F190,OR(MONTH(F190)=9,MONTH(F190)=12)),SUM(OFFSET(H190,-91,0):H190))),IF(AND(EOMONTH(F190,0)=F190,MONTH(F190)=3),SUM(OFFSET(H190,-89,0):H190),IF(AND(EOMONTH(F190,0)=F190,MONTH(F190)=6),SUM(OFFSET(H190,-90,0):H190),IF(AND(EOMONTH(F190,0)=F190,OR(MONTH(F190)=9,MONTH(F190)=12)),SUM(OFFSET(H190,-91,0):H190)))))),IF(F190='депозитный калькулятор'!$D$8,SUM($H$23:H190)-SUM($I$23:I189),0))),IF('депозитный калькулятор'!$G$10="ежегодное",IF(F190&gt;'депозитный калькулятор'!$D$8," ",IF(F190='депозитный калькулятор'!$D$8,SUM($H$23:H190)-SUM($I$23:I189),IF(AND(EOMONTH(F190,0)=F190,MONTH(F190)=12),IF(MOD(YEAR(F189),4)=0,IF(F190-'депозитный калькулятор'!$D$7&lt;366,SUM($H$23:H190),SUM(OFFSET(H190,-365,0):H190)),IF(F190-'депозитный калькулятор'!$D$7&lt;365,SUM($H$23:H190),SUM(OFFSET(H190,-364,0):H190))),0))),IF(AND('депозитный калькулятор'!$G$10="в конце срока",'депозитный калькулятор'!$D$8=F190),SUM($H$23:H190),0))))))))))))))))))</f>
        <v xml:space="preserve"> </v>
      </c>
      <c r="J190" s="59" t="str">
        <f>IF(F190&gt;'депозитный калькулятор'!$D$8," ",IF('депозитный калькулятор'!$G$16="нет",0,IF(AND('депозитный калькулятор'!$G$17="разовая (в конце срока)",F190='депозитный калькулятор'!$D$8),'депозитный калькулятор'!$G$18,IF(AND('депозитный калькулятор'!$G$17="ежемесячная",EOMONTH(F189,0)=F189),'депозитный калькулятор'!$G$18,IF(AND('депозитный калькулятор'!$G$17="ежегодная",DAY(F189)=31,MONTH(F189)=12),'депозитный калькулятор'!$G$18,IF(AND('депозитный калькулятор'!$G$17="ежемесячная в зависимости от остатка",EOMONTH(F189,0)=F189,P189&gt;0),'депозитный калькулятор'!$G$18,IF(AND('депозитный калькулятор'!$G$17="ежегодная в зависимости от остатка",DAY(F189)=31,MONTH(F189)=12,P189&gt;0),'депозитный калькулятор'!$G$18,0)))))))</f>
        <v xml:space="preserve"> </v>
      </c>
      <c r="K190" s="135" t="str">
        <f>IF($F190=" "," ",IFERROR(VLOOKUP($F190,'депозитный калькулятор'!$B$26:$F$70,2,0),0))</f>
        <v xml:space="preserve"> </v>
      </c>
      <c r="L190" s="135" t="str">
        <f>IF($F190=" "," ",IFERROR(VLOOKUP($F190,'депозитный калькулятор'!$B$26:$F$70,3,0),0))</f>
        <v xml:space="preserve"> </v>
      </c>
      <c r="M190" s="135" t="str">
        <f>IF($F190=" "," ",IFERROR(VLOOKUP($F190,'депозитный калькулятор'!$B$26:$F$70,4,0),0))</f>
        <v xml:space="preserve"> </v>
      </c>
      <c r="N190" s="135" t="str">
        <f>IF($F190=" "," ",IFERROR(VLOOKUP($F190,'депозитный калькулятор'!$B$26:$F$70,5,0),0))</f>
        <v xml:space="preserve"> </v>
      </c>
      <c r="O190" s="146" t="str">
        <f>IF(F190&gt;'депозитный калькулятор'!$D$8," ",IF(F190='депозитный калькулятор'!$D$8,IF(AND($F$24='депозитный калькулятор'!$D$8,'депозитный калькулятор'!$G$13="нет"),-G190-IF(I190=" ",0,I190)-IF(AND(OR('депозитный калькулятор'!$G$7="30/365",'депозитный калькулятор'!$G$7="30/360"),'депозитный калькулятор'!$G$10="в начале срока"),I189,0)-L190+M190-N190,-G190-IF(I190=" ",0,I190)-L190+M190-N190),IF('депозитный калькулятор'!$G$13="есть",M190-N190+IF('депозитный калькулятор'!$G$14="есть",0,-L190),-IF(I190=" ",0,I190)-IF(AND(OR('депозитный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срока"),I189,0)+M190-N190+IF('депозитный калькулятор'!$G$14="есть",0,-L190))))</f>
        <v xml:space="preserve"> </v>
      </c>
      <c r="P190" s="147" t="str">
        <f>IF(F190&gt;'депозитный калькулятор'!$D$8," ",IF(EOMONTH(F189,0)=F189,0,IF(G190&gt;='депозитный калькулятор'!$G$19,P189,P189+1)))</f>
        <v xml:space="preserve"> </v>
      </c>
      <c r="Q190" s="138" t="str">
        <f>IF(F190=" "," ",IF(AND(OR('депозитный калькулятор'!$G$7="30/365",'депозитный калькулятор'!$G$7="30/360"),AND(MONTH(F190)=2,EOMONTH(F190,0)=F190)),IF(DAY(F190)=28,3,2),1)*IF(G190&gt;='депозитный калькулятор'!$G$11,IF(AND('депозитный калькулятор'!$G$7="факт/факт",MOD(YEAR(F190),4)=0),G190*'депозитный калькулятор'!$D$11/366,G190*'депозитный калькулятор'!$G$8),0))</f>
        <v xml:space="preserve"> </v>
      </c>
      <c r="R190" s="148"/>
      <c r="S190" s="62" t="str">
        <f t="shared" ca="1" si="12"/>
        <v xml:space="preserve"> </v>
      </c>
      <c r="T190" s="149" t="str">
        <f ca="1">IF(S190=" "," ",IF('депозитный калькулятор'!$G$7="30/360",DAYS360(U189,IF(DAY(U190)=31,U190-1,U190))+IF(AND(MONTH(U190)=2,U190=EOMONTH(U190,0)),30-DAY(EOMONTH(U190,0)))+T189,VLOOKUP(S190,$C$22:$F$1023,2,0)))</f>
        <v xml:space="preserve"> </v>
      </c>
      <c r="U190" s="64" t="str">
        <f t="shared" ca="1" si="10"/>
        <v xml:space="preserve"> </v>
      </c>
      <c r="V190" s="150" t="str">
        <f t="shared" ca="1" si="13"/>
        <v xml:space="preserve"> </v>
      </c>
      <c r="W190" s="62" t="str">
        <f t="shared" ca="1" si="14"/>
        <v xml:space="preserve"> </v>
      </c>
      <c r="X190" s="141" t="str">
        <f ca="1">IF(S190=" "," ",IFERROR(VLOOKUP(U190,$F$23:$N$1023,7)+VLOOKUP(U190,$F$23:$N$1023,9)+IF(AND('депозитный калькулятор'!$G$13="нет",U190&lt;&gt;'депозитный калькулятор'!$D$8),VLOOKUP(U190,$F$23:$N$1023,4),0),0)+IF(U190='депозитный калькулятор'!$D$8,VLOOKUP(U190,$F$23:$N$1023,2)+VLOOKUP(U190,$F$23:$N$1023,4),0))</f>
        <v xml:space="preserve"> </v>
      </c>
      <c r="Y190" s="142" t="str">
        <f ca="1">IF(S190=" "," ",W190/(1+'депозитный калькулятор'!$K$8)^(T190/IF('депозитный калькулятор'!$G$7="30/360",360,365)))</f>
        <v xml:space="preserve"> </v>
      </c>
      <c r="Z190" s="142" t="str">
        <f ca="1">IF(S190=" "," ",X190/(1+'депозитный калькулятор'!$K$8)^(T190/IF('депозитный калькулятор'!$G$7="30/360",360,365)))</f>
        <v xml:space="preserve"> </v>
      </c>
      <c r="AA190" s="151"/>
      <c r="AB190" s="151"/>
      <c r="AC190" s="155"/>
      <c r="AD190" s="155"/>
    </row>
    <row r="191" spans="1:30" s="2" customFormat="1" ht="15.5" x14ac:dyDescent="0.35">
      <c r="A191" s="41" t="str">
        <f>IF(F191=" "," ",IF(OR('депозитный калькулятор'!$G$7="30/365",'депозитный калькулятор'!$G$7="30/360"),IF(AND(MONTH(F191)=2,DAY(F191)=DAY(EOMONTH(F191,0))),30-DAY(EOMONTH(F191,0)),IF(DAY(F191)=31,1," "))," "))</f>
        <v xml:space="preserve"> </v>
      </c>
      <c r="B191" s="130" t="str">
        <f t="shared" si="11"/>
        <v xml:space="preserve"> </v>
      </c>
      <c r="C191" s="130" t="str">
        <f>IF(OR(B191=0,B191=" ")," ",SUM($B$23:B191))</f>
        <v xml:space="preserve"> </v>
      </c>
      <c r="D191" s="62" t="str">
        <f>IF(D190=" "," ",IF(OR(F190='депозитный калькулятор'!$D$8,F190=" ")," ",D190+1))</f>
        <v xml:space="preserve"> </v>
      </c>
      <c r="E191" s="130" t="str">
        <f>IF(OR(F190='депозитный калькулятор'!$D$8,F190=" ")," ",IF(EOMONTH(F190,0)=F190,1,E190+1))</f>
        <v xml:space="preserve"> </v>
      </c>
      <c r="F191" s="64" t="str">
        <f>IF(F190=" "," ",IF(F190='депозитный калькулятор'!$D$8," ",F190+1))</f>
        <v xml:space="preserve"> </v>
      </c>
      <c r="G191" s="145" t="str">
        <f xml:space="preserve"> IF(F191&gt;'депозитный калькулятор'!$D$8," ",IF('депозитный калькулятор'!$G$13="есть",IF('депозитный калькулятор'!$G$14="есть",G190+IF(I190=" ",0,I190)-J191-K191+L191+M191-N191,G190+IF(I190=" ",0,I190)-J191-K191+M191-N191),IF('депозитный калькулятор'!$G$14="есть",G190-J191-K191+L191+M191-N191,G190-J191-K191+M191-N191)))</f>
        <v xml:space="preserve"> </v>
      </c>
      <c r="H191" s="133" t="str">
        <f>IF(F191&gt;'депозитный калькулятор'!$D$8," ",IF(AND(OR('депозитный калькулятор'!$G$7="30/365",'депозитный калькулятор'!$G$7="30/360"),AND(MONTH(F191)=2,EOMONTH(F191,0)=F191)),IF(DAY(F191)=28,3*G191*'депозитный калькулятор'!$G$8,2*G191*'депозитный калькулятор'!$G$8),IF(AND(OR('депозитный калькулятор'!$G$7="30/365",'депозитный калькулятор'!$G$7="30/360"),DAY(F191)=31)," ",IF(AND('депозитный калькулятор'!$G$7="факт/факт",MOD(YEAR(F191),4)=0),G191*'депозитный калькулятор'!$D$11/366,G191*'депозитный калькулятор'!$G$8))))</f>
        <v xml:space="preserve"> </v>
      </c>
      <c r="I191" s="134" t="str">
        <f ca="1">IF(F191=" "," ",IF('депозитный калькулятор'!$G$10="ежедневное",H191,IF(AND('депозитный калькулятор'!$G$10="еженедельное",WEEKDAY(F191,2)=7),SUM(OFFSET(H191,-6,0):H191),IF(AND('депозитный калькулятор'!$G$10="еженедельное",F191='депозитный калькулятор'!$D$8),SUM($H$23:H191)-SUM($I$23:I190),IF(AND('депозитный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недели",WEEKDAY(F191,2)=7),MIN(OFFSET(H191,-6,0):H191)*(COUNTIF(OFFSET(H191,-6,0):H191,"&gt;0")+SUMIF(OFFSET(A191,-WEEKDAY(F191,2),0):A191,"=2",OFFSET(A191,-WEEKDAY(F191,2),0):A191)),IF(AND('депозитный калькулятор'!$G$10="еженедельное, на минимальную сумму зафиксированную в течение недели",F191='депозитный калькулятор'!$D$8,WEEKDAY(F191,2)&lt;&gt;7),MIN(OFFSET(H191,-WEEKDAY(F191,2),0):H191)*(COUNTIF(OFFSET(H191,-WEEKDAY(F191,2)+1,0):H191,"&gt;0")+SUM(OFFSET(A191,-WEEKDAY(F191,2),0):A191)),IF(AND('депозитный калькулятор'!$G$10="ежемесячное (в конце месяца)",F191='депозитный калькулятор'!$D$8,EOMONTH(F191,0)&lt;&gt;F191),IF('депозитный калькулятор'!$F$1=1,$H$24,SUM($H$23:H191)-SUM($I$23:I190)),IF(AND('депозитный калькулятор'!$G$10="ежемесячное (в конце месяца)",EOMONTH(F191,0)=F191),SUM($H$23:H191)-SUM($I$23:I190),IF(AND('депозитный калькулятор'!$G$10="ежемесячное (по дням открытия вклада)",F191='депозитный калькулятор'!$D$8,DAY('депозитный калькулятор'!$D$7)&lt;&gt;DAY(F191)),IF('депозитный калькулятор'!$F$1=1,$H$24,SUM($H$23:H191)-SUM($I$23:I190)),IF(AND('депозитный калькулятор'!$G$10="ежемесячное (по дням открытия вклада)",DAY('депозитный калькулятор'!$D$7)=DAY(F191)),SUM($H$23:H191)-SUM($I$23:I190),IF(AND('депозитный калькулятор'!$G$10="ежемесячное, на минимальную сумму зафиксированную в течение месяца",F191='депозитный калькулятор'!$D$8,EOMONTH(F191,0)&lt;&gt;F191),IF('депозитный калькулятор'!$F$1=1,$H$24,IF(AND(OR('депозитный калькулятор'!$G$7="30/365",'депозитный калькулятор'!$G$7="30/360"),DAY(F191)=31),0,MIN(OFFSET(H191,-E191+1,0):H191)*(E191+SUMIF(OFFSET(A191,-E191+1,0):A191,"=2",OFFSET(A191,-E191+1,0):A191)))),IF(AND('депозитный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калькулятор'!$G$7="30/360"),DAY(EOMONTH(F191,0))=31),EOMONTH(F191,0)-1=F191,EOMONTH(F191,0)=F191)),IF(IF(AND(OR('депозитный калькулятор'!$G$7="30/365",'депозитный калькулятор'!$G$7="30/360"),DAY(EOMONTH($F$23,0))=31),F191=EOMONTH($F$23,0)-1,F191=EOMONTH($F$23,0)),MIN(OFFSET(H191,-(DAY(F191)-DAY($F$23)),0):H191)*E191,MIN(OFFSET(H191,-(DAY(F191)-1),0):H191)*IF(AND(OR('депозитный калькулятор'!$G$7="30/365",'депозитный калькулятор'!$G$7="30/360"),DAY(F191)&lt;30),30,DAY(F191))),IF(AND('депозитный калькулятор'!$G$10="ежемесячное, на средний остаток в течение месяца, при условии что остаток больше чем ограничение",F191='депозитный калькулятор'!$D$8,EOMONTH(F191,0)&lt;&gt;F191),IF('депозитный калькулятор'!$F$1=1,$H$24,SUM(OFFSET(Q191,-E191+1,0):Q191)),IF(AND('депозитный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калькулятор'!$G$7="30/360"),DAY(EOMONTH(F191,0))=31),EOMONTH(F191,0)-1=F191,EOMONTH(F191,0)=F191)),IF(IF(AND(OR('депозитный калькулятор'!$G$7="30/365",'депозитный калькулятор'!$G$7="30/360"),DAY(EOMONTH($F$24,0))=31),F191=EOMONTH($F$24,0)-1,F191=EOMONTH($F$24,0)),SUM(OFFSET(Q191,-E191+1,0):Q191),SUM(OFFSET(Q191,-E191+1,0):Q191)),IF('депозитный калькулятор'!$G$10="ежеквартальное",IF(F191&gt;'депозитный калькулятор'!$D$8," ",IF(AND(EOMONTH(F191,0)=F191,OR(MONTH(F191)=3,MONTH(F191)=6,MONTH(F191)=9,MONTH(F191)=12)),IF(EDATE(F191,-3)&lt;'депозитный калькулятор'!$D$7,SUM($H$23:H191),IF(MOD(YEAR(F191),4)=0,IF(AND(EOMONTH(F191,0)=F191,OR(MONTH(F191)=3,MONTH(F191)=6)),SUM(OFFSET(H191,-90,0):H191),IF(AND(EOMONTH(F191,0)=F191,OR(MONTH(F191)=9,MONTH(F191)=12)),SUM(OFFSET(H191,-91,0):H191))),IF(AND(EOMONTH(F191,0)=F191,MONTH(F191)=3),SUM(OFFSET(H191,-89,0):H191),IF(AND(EOMONTH(F191,0)=F191,MONTH(F191)=6),SUM(OFFSET(H191,-90,0):H191),IF(AND(EOMONTH(F191,0)=F191,OR(MONTH(F191)=9,MONTH(F191)=12)),SUM(OFFSET(H191,-91,0):H191)))))),IF(F191='депозитный калькулятор'!$D$8,SUM($H$23:H191)-SUM($I$23:I190),0))),IF('депозитный калькулятор'!$G$10="ежегодное",IF(F191&gt;'депозитный калькулятор'!$D$8," ",IF(F191='депозитный калькулятор'!$D$8,SUM($H$23:H191)-SUM($I$23:I190),IF(AND(EOMONTH(F191,0)=F191,MONTH(F191)=12),IF(MOD(YEAR(F190),4)=0,IF(F191-'депозитный калькулятор'!$D$7&lt;366,SUM($H$23:H191),SUM(OFFSET(H191,-365,0):H191)),IF(F191-'депозитный калькулятор'!$D$7&lt;365,SUM($H$23:H191),SUM(OFFSET(H191,-364,0):H191))),0))),IF(AND('депозитный калькулятор'!$G$10="в конце срока",'депозитный калькулятор'!$D$8=F191),SUM($H$23:H191),0))))))))))))))))))</f>
        <v xml:space="preserve"> </v>
      </c>
      <c r="J191" s="59" t="str">
        <f>IF(F191&gt;'депозитный калькулятор'!$D$8," ",IF('депозитный калькулятор'!$G$16="нет",0,IF(AND('депозитный калькулятор'!$G$17="разовая (в конце срока)",F191='депозитный калькулятор'!$D$8),'депозитный калькулятор'!$G$18,IF(AND('депозитный калькулятор'!$G$17="ежемесячная",EOMONTH(F190,0)=F190),'депозитный калькулятор'!$G$18,IF(AND('депозитный калькулятор'!$G$17="ежегодная",DAY(F190)=31,MONTH(F190)=12),'депозитный калькулятор'!$G$18,IF(AND('депозитный калькулятор'!$G$17="ежемесячная в зависимости от остатка",EOMONTH(F190,0)=F190,P190&gt;0),'депозитный калькулятор'!$G$18,IF(AND('депозитный калькулятор'!$G$17="ежегодная в зависимости от остатка",DAY(F190)=31,MONTH(F190)=12,P190&gt;0),'депозитный калькулятор'!$G$18,0)))))))</f>
        <v xml:space="preserve"> </v>
      </c>
      <c r="K191" s="135" t="str">
        <f>IF($F191=" "," ",IFERROR(VLOOKUP($F191,'депозитный калькулятор'!$B$26:$F$70,2,0),0))</f>
        <v xml:space="preserve"> </v>
      </c>
      <c r="L191" s="135" t="str">
        <f>IF($F191=" "," ",IFERROR(VLOOKUP($F191,'депозитный калькулятор'!$B$26:$F$70,3,0),0))</f>
        <v xml:space="preserve"> </v>
      </c>
      <c r="M191" s="135" t="str">
        <f>IF($F191=" "," ",IFERROR(VLOOKUP($F191,'депозитный калькулятор'!$B$26:$F$70,4,0),0))</f>
        <v xml:space="preserve"> </v>
      </c>
      <c r="N191" s="135" t="str">
        <f>IF($F191=" "," ",IFERROR(VLOOKUP($F191,'депозитный калькулятор'!$B$26:$F$70,5,0),0))</f>
        <v xml:space="preserve"> </v>
      </c>
      <c r="O191" s="146" t="str">
        <f>IF(F191&gt;'депозитный калькулятор'!$D$8," ",IF(F191='депозитный калькулятор'!$D$8,IF(AND($F$24='депозитный калькулятор'!$D$8,'депозитный калькулятор'!$G$13="нет"),-G191-IF(I191=" ",0,I191)-IF(AND(OR('депозитный калькулятор'!$G$7="30/365",'депозитный калькулятор'!$G$7="30/360"),'депозитный калькулятор'!$G$10="в начале срока"),I190,0)-L191+M191-N191,-G191-IF(I191=" ",0,I191)-L191+M191-N191),IF('депозитный калькулятор'!$G$13="есть",M191-N191+IF('депозитный калькулятор'!$G$14="есть",0,-L191),-IF(I191=" ",0,I191)-IF(AND(OR('депозитный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срока"),I190,0)+M191-N191+IF('депозитный калькулятор'!$G$14="есть",0,-L191))))</f>
        <v xml:space="preserve"> </v>
      </c>
      <c r="P191" s="147" t="str">
        <f>IF(F191&gt;'депозитный калькулятор'!$D$8," ",IF(EOMONTH(F190,0)=F190,0,IF(G191&gt;='депозитный калькулятор'!$G$19,P190,P190+1)))</f>
        <v xml:space="preserve"> </v>
      </c>
      <c r="Q191" s="138" t="str">
        <f>IF(F191=" "," ",IF(AND(OR('депозитный калькулятор'!$G$7="30/365",'депозитный калькулятор'!$G$7="30/360"),AND(MONTH(F191)=2,EOMONTH(F191,0)=F191)),IF(DAY(F191)=28,3,2),1)*IF(G191&gt;='депозитный калькулятор'!$G$11,IF(AND('депозитный калькулятор'!$G$7="факт/факт",MOD(YEAR(F191),4)=0),G191*'депозитный калькулятор'!$D$11/366,G191*'депозитный калькулятор'!$G$8),0))</f>
        <v xml:space="preserve"> </v>
      </c>
      <c r="R191" s="148"/>
      <c r="S191" s="62" t="str">
        <f t="shared" ca="1" si="12"/>
        <v xml:space="preserve"> </v>
      </c>
      <c r="T191" s="149" t="str">
        <f ca="1">IF(S191=" "," ",IF('депозитный калькулятор'!$G$7="30/360",DAYS360(U190,IF(DAY(U191)=31,U191-1,U191))+IF(AND(MONTH(U191)=2,U191=EOMONTH(U191,0)),30-DAY(EOMONTH(U191,0)))+T190,VLOOKUP(S191,$C$22:$F$1023,2,0)))</f>
        <v xml:space="preserve"> </v>
      </c>
      <c r="U191" s="64" t="str">
        <f t="shared" ca="1" si="10"/>
        <v xml:space="preserve"> </v>
      </c>
      <c r="V191" s="150" t="str">
        <f t="shared" ca="1" si="13"/>
        <v xml:space="preserve"> </v>
      </c>
      <c r="W191" s="62" t="str">
        <f t="shared" ca="1" si="14"/>
        <v xml:space="preserve"> </v>
      </c>
      <c r="X191" s="141" t="str">
        <f ca="1">IF(S191=" "," ",IFERROR(VLOOKUP(U191,$F$23:$N$1023,7)+VLOOKUP(U191,$F$23:$N$1023,9)+IF(AND('депозитный калькулятор'!$G$13="нет",U191&lt;&gt;'депозитный калькулятор'!$D$8),VLOOKUP(U191,$F$23:$N$1023,4),0),0)+IF(U191='депозитный калькулятор'!$D$8,VLOOKUP(U191,$F$23:$N$1023,2)+VLOOKUP(U191,$F$23:$N$1023,4),0))</f>
        <v xml:space="preserve"> </v>
      </c>
      <c r="Y191" s="142" t="str">
        <f ca="1">IF(S191=" "," ",W191/(1+'депозитный калькулятор'!$K$8)^(T191/IF('депозитный калькулятор'!$G$7="30/360",360,365)))</f>
        <v xml:space="preserve"> </v>
      </c>
      <c r="Z191" s="142" t="str">
        <f ca="1">IF(S191=" "," ",X191/(1+'депозитный калькулятор'!$K$8)^(T191/IF('депозитный калькулятор'!$G$7="30/360",360,365)))</f>
        <v xml:space="preserve"> </v>
      </c>
      <c r="AA191" s="151"/>
      <c r="AB191" s="151"/>
      <c r="AC191" s="155"/>
      <c r="AD191" s="155"/>
    </row>
    <row r="192" spans="1:30" s="2" customFormat="1" ht="15.5" x14ac:dyDescent="0.35">
      <c r="A192" s="41" t="str">
        <f>IF(F192=" "," ",IF(OR('депозитный калькулятор'!$G$7="30/365",'депозитный калькулятор'!$G$7="30/360"),IF(AND(MONTH(F192)=2,DAY(F192)=DAY(EOMONTH(F192,0))),30-DAY(EOMONTH(F192,0)),IF(DAY(F192)=31,1," "))," "))</f>
        <v xml:space="preserve"> </v>
      </c>
      <c r="B192" s="130" t="str">
        <f t="shared" si="11"/>
        <v xml:space="preserve"> </v>
      </c>
      <c r="C192" s="130" t="str">
        <f>IF(OR(B192=0,B192=" ")," ",SUM($B$23:B192))</f>
        <v xml:space="preserve"> </v>
      </c>
      <c r="D192" s="62" t="str">
        <f>IF(D191=" "," ",IF(OR(F191='депозитный калькулятор'!$D$8,F191=" ")," ",D191+1))</f>
        <v xml:space="preserve"> </v>
      </c>
      <c r="E192" s="130" t="str">
        <f>IF(OR(F191='депозитный калькулятор'!$D$8,F191=" ")," ",IF(EOMONTH(F191,0)=F191,1,E191+1))</f>
        <v xml:space="preserve"> </v>
      </c>
      <c r="F192" s="64" t="str">
        <f>IF(F191=" "," ",IF(F191='депозитный калькулятор'!$D$8," ",F191+1))</f>
        <v xml:space="preserve"> </v>
      </c>
      <c r="G192" s="145" t="str">
        <f xml:space="preserve"> IF(F192&gt;'депозитный калькулятор'!$D$8," ",IF('депозитный калькулятор'!$G$13="есть",IF('депозитный калькулятор'!$G$14="есть",G191+IF(I191=" ",0,I191)-J192-K192+L192+M192-N192,G191+IF(I191=" ",0,I191)-J192-K192+M192-N192),IF('депозитный калькулятор'!$G$14="есть",G191-J192-K192+L192+M192-N192,G191-J192-K192+M192-N192)))</f>
        <v xml:space="preserve"> </v>
      </c>
      <c r="H192" s="133" t="str">
        <f>IF(F192&gt;'депозитный калькулятор'!$D$8," ",IF(AND(OR('депозитный калькулятор'!$G$7="30/365",'депозитный калькулятор'!$G$7="30/360"),AND(MONTH(F192)=2,EOMONTH(F192,0)=F192)),IF(DAY(F192)=28,3*G192*'депозитный калькулятор'!$G$8,2*G192*'депозитный калькулятор'!$G$8),IF(AND(OR('депозитный калькулятор'!$G$7="30/365",'депозитный калькулятор'!$G$7="30/360"),DAY(F192)=31)," ",IF(AND('депозитный калькулятор'!$G$7="факт/факт",MOD(YEAR(F192),4)=0),G192*'депозитный калькулятор'!$D$11/366,G192*'депозитный калькулятор'!$G$8))))</f>
        <v xml:space="preserve"> </v>
      </c>
      <c r="I192" s="134" t="str">
        <f ca="1">IF(F192=" "," ",IF('депозитный калькулятор'!$G$10="ежедневное",H192,IF(AND('депозитный калькулятор'!$G$10="еженедельное",WEEKDAY(F192,2)=7),SUM(OFFSET(H192,-6,0):H192),IF(AND('депозитный калькулятор'!$G$10="еженедельное",F192='депозитный калькулятор'!$D$8),SUM($H$23:H192)-SUM($I$23:I191),IF(AND('депозитный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недели",WEEKDAY(F192,2)=7),MIN(OFFSET(H192,-6,0):H192)*(COUNTIF(OFFSET(H192,-6,0):H192,"&gt;0")+SUMIF(OFFSET(A192,-WEEKDAY(F192,2),0):A192,"=2",OFFSET(A192,-WEEKDAY(F192,2),0):A192)),IF(AND('депозитный калькулятор'!$G$10="еженедельное, на минимальную сумму зафиксированную в течение недели",F192='депозитный калькулятор'!$D$8,WEEKDAY(F192,2)&lt;&gt;7),MIN(OFFSET(H192,-WEEKDAY(F192,2),0):H192)*(COUNTIF(OFFSET(H192,-WEEKDAY(F192,2)+1,0):H192,"&gt;0")+SUM(OFFSET(A192,-WEEKDAY(F192,2),0):A192)),IF(AND('депозитный калькулятор'!$G$10="ежемесячное (в конце месяца)",F192='депозитный калькулятор'!$D$8,EOMONTH(F192,0)&lt;&gt;F192),IF('депозитный калькулятор'!$F$1=1,$H$24,SUM($H$23:H192)-SUM($I$23:I191)),IF(AND('депозитный калькулятор'!$G$10="ежемесячное (в конце месяца)",EOMONTH(F192,0)=F192),SUM($H$23:H192)-SUM($I$23:I191),IF(AND('депозитный калькулятор'!$G$10="ежемесячное (по дням открытия вклада)",F192='депозитный калькулятор'!$D$8,DAY('депозитный калькулятор'!$D$7)&lt;&gt;DAY(F192)),IF('депозитный калькулятор'!$F$1=1,$H$24,SUM($H$23:H192)-SUM($I$23:I191)),IF(AND('депозитный калькулятор'!$G$10="ежемесячное (по дням открытия вклада)",DAY('депозитный калькулятор'!$D$7)=DAY(F192)),SUM($H$23:H192)-SUM($I$23:I191),IF(AND('депозитный калькулятор'!$G$10="ежемесячное, на минимальную сумму зафиксированную в течение месяца",F192='депозитный калькулятор'!$D$8,EOMONTH(F192,0)&lt;&gt;F192),IF('депозитный калькулятор'!$F$1=1,$H$24,IF(AND(OR('депозитный калькулятор'!$G$7="30/365",'депозитный калькулятор'!$G$7="30/360"),DAY(F192)=31),0,MIN(OFFSET(H192,-E192+1,0):H192)*(E192+SUMIF(OFFSET(A192,-E192+1,0):A192,"=2",OFFSET(A192,-E192+1,0):A192)))),IF(AND('депозитный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калькулятор'!$G$7="30/360"),DAY(EOMONTH(F192,0))=31),EOMONTH(F192,0)-1=F192,EOMONTH(F192,0)=F192)),IF(IF(AND(OR('депозитный калькулятор'!$G$7="30/365",'депозитный калькулятор'!$G$7="30/360"),DAY(EOMONTH($F$23,0))=31),F192=EOMONTH($F$23,0)-1,F192=EOMONTH($F$23,0)),MIN(OFFSET(H192,-(DAY(F192)-DAY($F$23)),0):H192)*E192,MIN(OFFSET(H192,-(DAY(F192)-1),0):H192)*IF(AND(OR('депозитный калькулятор'!$G$7="30/365",'депозитный калькулятор'!$G$7="30/360"),DAY(F192)&lt;30),30,DAY(F192))),IF(AND('депозитный калькулятор'!$G$10="ежемесячное, на средний остаток в течение месяца, при условии что остаток больше чем ограничение",F192='депозитный калькулятор'!$D$8,EOMONTH(F192,0)&lt;&gt;F192),IF('депозитный калькулятор'!$F$1=1,$H$24,SUM(OFFSET(Q192,-E192+1,0):Q192)),IF(AND('депозитный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калькулятор'!$G$7="30/360"),DAY(EOMONTH(F192,0))=31),EOMONTH(F192,0)-1=F192,EOMONTH(F192,0)=F192)),IF(IF(AND(OR('депозитный калькулятор'!$G$7="30/365",'депозитный калькулятор'!$G$7="30/360"),DAY(EOMONTH($F$24,0))=31),F192=EOMONTH($F$24,0)-1,F192=EOMONTH($F$24,0)),SUM(OFFSET(Q192,-E192+1,0):Q192),SUM(OFFSET(Q192,-E192+1,0):Q192)),IF('депозитный калькулятор'!$G$10="ежеквартальное",IF(F192&gt;'депозитный калькулятор'!$D$8," ",IF(AND(EOMONTH(F192,0)=F192,OR(MONTH(F192)=3,MONTH(F192)=6,MONTH(F192)=9,MONTH(F192)=12)),IF(EDATE(F192,-3)&lt;'депозитный калькулятор'!$D$7,SUM($H$23:H192),IF(MOD(YEAR(F192),4)=0,IF(AND(EOMONTH(F192,0)=F192,OR(MONTH(F192)=3,MONTH(F192)=6)),SUM(OFFSET(H192,-90,0):H192),IF(AND(EOMONTH(F192,0)=F192,OR(MONTH(F192)=9,MONTH(F192)=12)),SUM(OFFSET(H192,-91,0):H192))),IF(AND(EOMONTH(F192,0)=F192,MONTH(F192)=3),SUM(OFFSET(H192,-89,0):H192),IF(AND(EOMONTH(F192,0)=F192,MONTH(F192)=6),SUM(OFFSET(H192,-90,0):H192),IF(AND(EOMONTH(F192,0)=F192,OR(MONTH(F192)=9,MONTH(F192)=12)),SUM(OFFSET(H192,-91,0):H192)))))),IF(F192='депозитный калькулятор'!$D$8,SUM($H$23:H192)-SUM($I$23:I191),0))),IF('депозитный калькулятор'!$G$10="ежегодное",IF(F192&gt;'депозитный калькулятор'!$D$8," ",IF(F192='депозитный калькулятор'!$D$8,SUM($H$23:H192)-SUM($I$23:I191),IF(AND(EOMONTH(F192,0)=F192,MONTH(F192)=12),IF(MOD(YEAR(F191),4)=0,IF(F192-'депозитный калькулятор'!$D$7&lt;366,SUM($H$23:H192),SUM(OFFSET(H192,-365,0):H192)),IF(F192-'депозитный калькулятор'!$D$7&lt;365,SUM($H$23:H192),SUM(OFFSET(H192,-364,0):H192))),0))),IF(AND('депозитный калькулятор'!$G$10="в конце срока",'депозитный калькулятор'!$D$8=F192),SUM($H$23:H192),0))))))))))))))))))</f>
        <v xml:space="preserve"> </v>
      </c>
      <c r="J192" s="59" t="str">
        <f>IF(F192&gt;'депозитный калькулятор'!$D$8," ",IF('депозитный калькулятор'!$G$16="нет",0,IF(AND('депозитный калькулятор'!$G$17="разовая (в конце срока)",F192='депозитный калькулятор'!$D$8),'депозитный калькулятор'!$G$18,IF(AND('депозитный калькулятор'!$G$17="ежемесячная",EOMONTH(F191,0)=F191),'депозитный калькулятор'!$G$18,IF(AND('депозитный калькулятор'!$G$17="ежегодная",DAY(F191)=31,MONTH(F191)=12),'депозитный калькулятор'!$G$18,IF(AND('депозитный калькулятор'!$G$17="ежемесячная в зависимости от остатка",EOMONTH(F191,0)=F191,P191&gt;0),'депозитный калькулятор'!$G$18,IF(AND('депозитный калькулятор'!$G$17="ежегодная в зависимости от остатка",DAY(F191)=31,MONTH(F191)=12,P191&gt;0),'депозитный калькулятор'!$G$18,0)))))))</f>
        <v xml:space="preserve"> </v>
      </c>
      <c r="K192" s="135" t="str">
        <f>IF($F192=" "," ",IFERROR(VLOOKUP($F192,'депозитный калькулятор'!$B$26:$F$70,2,0),0))</f>
        <v xml:space="preserve"> </v>
      </c>
      <c r="L192" s="135" t="str">
        <f>IF($F192=" "," ",IFERROR(VLOOKUP($F192,'депозитный калькулятор'!$B$26:$F$70,3,0),0))</f>
        <v xml:space="preserve"> </v>
      </c>
      <c r="M192" s="135" t="str">
        <f>IF($F192=" "," ",IFERROR(VLOOKUP($F192,'депозитный калькулятор'!$B$26:$F$70,4,0),0))</f>
        <v xml:space="preserve"> </v>
      </c>
      <c r="N192" s="135" t="str">
        <f>IF($F192=" "," ",IFERROR(VLOOKUP($F192,'депозитный калькулятор'!$B$26:$F$70,5,0),0))</f>
        <v xml:space="preserve"> </v>
      </c>
      <c r="O192" s="146" t="str">
        <f>IF(F192&gt;'депозитный калькулятор'!$D$8," ",IF(F192='депозитный калькулятор'!$D$8,IF(AND($F$24='депозитный калькулятор'!$D$8,'депозитный калькулятор'!$G$13="нет"),-G192-IF(I192=" ",0,I192)-IF(AND(OR('депозитный калькулятор'!$G$7="30/365",'депозитный калькулятор'!$G$7="30/360"),'депозитный калькулятор'!$G$10="в начале срока"),I191,0)-L192+M192-N192,-G192-IF(I192=" ",0,I192)-L192+M192-N192),IF('депозитный калькулятор'!$G$13="есть",M192-N192+IF('депозитный калькулятор'!$G$14="есть",0,-L192),-IF(I192=" ",0,I192)-IF(AND(OR('депозитный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срока"),I191,0)+M192-N192+IF('депозитный калькулятор'!$G$14="есть",0,-L192))))</f>
        <v xml:space="preserve"> </v>
      </c>
      <c r="P192" s="147" t="str">
        <f>IF(F192&gt;'депозитный калькулятор'!$D$8," ",IF(EOMONTH(F191,0)=F191,0,IF(G192&gt;='депозитный калькулятор'!$G$19,P191,P191+1)))</f>
        <v xml:space="preserve"> </v>
      </c>
      <c r="Q192" s="138" t="str">
        <f>IF(F192=" "," ",IF(AND(OR('депозитный калькулятор'!$G$7="30/365",'депозитный калькулятор'!$G$7="30/360"),AND(MONTH(F192)=2,EOMONTH(F192,0)=F192)),IF(DAY(F192)=28,3,2),1)*IF(G192&gt;='депозитный калькулятор'!$G$11,IF(AND('депозитный калькулятор'!$G$7="факт/факт",MOD(YEAR(F192),4)=0),G192*'депозитный калькулятор'!$D$11/366,G192*'депозитный калькулятор'!$G$8),0))</f>
        <v xml:space="preserve"> </v>
      </c>
      <c r="R192" s="148"/>
      <c r="S192" s="62" t="str">
        <f t="shared" ca="1" si="12"/>
        <v xml:space="preserve"> </v>
      </c>
      <c r="T192" s="149" t="str">
        <f ca="1">IF(S192=" "," ",IF('депозитный калькулятор'!$G$7="30/360",DAYS360(U191,IF(DAY(U192)=31,U192-1,U192))+IF(AND(MONTH(U192)=2,U192=EOMONTH(U192,0)),30-DAY(EOMONTH(U192,0)))+T191,VLOOKUP(S192,$C$22:$F$1023,2,0)))</f>
        <v xml:space="preserve"> </v>
      </c>
      <c r="U192" s="64" t="str">
        <f t="shared" ca="1" si="10"/>
        <v xml:space="preserve"> </v>
      </c>
      <c r="V192" s="150" t="str">
        <f t="shared" ca="1" si="13"/>
        <v xml:space="preserve"> </v>
      </c>
      <c r="W192" s="62" t="str">
        <f t="shared" ca="1" si="14"/>
        <v xml:space="preserve"> </v>
      </c>
      <c r="X192" s="141" t="str">
        <f ca="1">IF(S192=" "," ",IFERROR(VLOOKUP(U192,$F$23:$N$1023,7)+VLOOKUP(U192,$F$23:$N$1023,9)+IF(AND('депозитный калькулятор'!$G$13="нет",U192&lt;&gt;'депозитный калькулятор'!$D$8),VLOOKUP(U192,$F$23:$N$1023,4),0),0)+IF(U192='депозитный калькулятор'!$D$8,VLOOKUP(U192,$F$23:$N$1023,2)+VLOOKUP(U192,$F$23:$N$1023,4),0))</f>
        <v xml:space="preserve"> </v>
      </c>
      <c r="Y192" s="142" t="str">
        <f ca="1">IF(S192=" "," ",W192/(1+'депозитный калькулятор'!$K$8)^(T192/IF('депозитный калькулятор'!$G$7="30/360",360,365)))</f>
        <v xml:space="preserve"> </v>
      </c>
      <c r="Z192" s="142" t="str">
        <f ca="1">IF(S192=" "," ",X192/(1+'депозитный калькулятор'!$K$8)^(T192/IF('депозитный калькулятор'!$G$7="30/360",360,365)))</f>
        <v xml:space="preserve"> </v>
      </c>
      <c r="AA192" s="151"/>
      <c r="AB192" s="151"/>
      <c r="AC192" s="155"/>
      <c r="AD192" s="155"/>
    </row>
    <row r="193" spans="1:30" s="2" customFormat="1" ht="15.5" x14ac:dyDescent="0.35">
      <c r="A193" s="41" t="str">
        <f>IF(F193=" "," ",IF(OR('депозитный калькулятор'!$G$7="30/365",'депозитный калькулятор'!$G$7="30/360"),IF(AND(MONTH(F193)=2,DAY(F193)=DAY(EOMONTH(F193,0))),30-DAY(EOMONTH(F193,0)),IF(DAY(F193)=31,1," "))," "))</f>
        <v xml:space="preserve"> </v>
      </c>
      <c r="B193" s="130" t="str">
        <f t="shared" si="11"/>
        <v xml:space="preserve"> </v>
      </c>
      <c r="C193" s="130" t="str">
        <f>IF(OR(B193=0,B193=" ")," ",SUM($B$23:B193))</f>
        <v xml:space="preserve"> </v>
      </c>
      <c r="D193" s="62" t="str">
        <f>IF(D192=" "," ",IF(OR(F192='депозитный калькулятор'!$D$8,F192=" ")," ",D192+1))</f>
        <v xml:space="preserve"> </v>
      </c>
      <c r="E193" s="130" t="str">
        <f>IF(OR(F192='депозитный калькулятор'!$D$8,F192=" ")," ",IF(EOMONTH(F192,0)=F192,1,E192+1))</f>
        <v xml:space="preserve"> </v>
      </c>
      <c r="F193" s="64" t="str">
        <f>IF(F192=" "," ",IF(F192='депозитный калькулятор'!$D$8," ",F192+1))</f>
        <v xml:space="preserve"> </v>
      </c>
      <c r="G193" s="145" t="str">
        <f xml:space="preserve"> IF(F193&gt;'депозитный калькулятор'!$D$8," ",IF('депозитный калькулятор'!$G$13="есть",IF('депозитный калькулятор'!$G$14="есть",G192+IF(I192=" ",0,I192)-J193-K193+L193+M193-N193,G192+IF(I192=" ",0,I192)-J193-K193+M193-N193),IF('депозитный калькулятор'!$G$14="есть",G192-J193-K193+L193+M193-N193,G192-J193-K193+M193-N193)))</f>
        <v xml:space="preserve"> </v>
      </c>
      <c r="H193" s="133" t="str">
        <f>IF(F193&gt;'депозитный калькулятор'!$D$8," ",IF(AND(OR('депозитный калькулятор'!$G$7="30/365",'депозитный калькулятор'!$G$7="30/360"),AND(MONTH(F193)=2,EOMONTH(F193,0)=F193)),IF(DAY(F193)=28,3*G193*'депозитный калькулятор'!$G$8,2*G193*'депозитный калькулятор'!$G$8),IF(AND(OR('депозитный калькулятор'!$G$7="30/365",'депозитный калькулятор'!$G$7="30/360"),DAY(F193)=31)," ",IF(AND('депозитный калькулятор'!$G$7="факт/факт",MOD(YEAR(F193),4)=0),G193*'депозитный калькулятор'!$D$11/366,G193*'депозитный калькулятор'!$G$8))))</f>
        <v xml:space="preserve"> </v>
      </c>
      <c r="I193" s="134" t="str">
        <f ca="1">IF(F193=" "," ",IF('депозитный калькулятор'!$G$10="ежедневное",H193,IF(AND('депозитный калькулятор'!$G$10="еженедельное",WEEKDAY(F193,2)=7),SUM(OFFSET(H193,-6,0):H193),IF(AND('депозитный калькулятор'!$G$10="еженедельное",F193='депозитный калькулятор'!$D$8),SUM($H$23:H193)-SUM($I$23:I192),IF(AND('депозитный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недели",WEEKDAY(F193,2)=7),MIN(OFFSET(H193,-6,0):H193)*(COUNTIF(OFFSET(H193,-6,0):H193,"&gt;0")+SUMIF(OFFSET(A193,-WEEKDAY(F193,2),0):A193,"=2",OFFSET(A193,-WEEKDAY(F193,2),0):A193)),IF(AND('депозитный калькулятор'!$G$10="еженедельное, на минимальную сумму зафиксированную в течение недели",F193='депозитный калькулятор'!$D$8,WEEKDAY(F193,2)&lt;&gt;7),MIN(OFFSET(H193,-WEEKDAY(F193,2),0):H193)*(COUNTIF(OFFSET(H193,-WEEKDAY(F193,2)+1,0):H193,"&gt;0")+SUM(OFFSET(A193,-WEEKDAY(F193,2),0):A193)),IF(AND('депозитный калькулятор'!$G$10="ежемесячное (в конце месяца)",F193='депозитный калькулятор'!$D$8,EOMONTH(F193,0)&lt;&gt;F193),IF('депозитный калькулятор'!$F$1=1,$H$24,SUM($H$23:H193)-SUM($I$23:I192)),IF(AND('депозитный калькулятор'!$G$10="ежемесячное (в конце месяца)",EOMONTH(F193,0)=F193),SUM($H$23:H193)-SUM($I$23:I192),IF(AND('депозитный калькулятор'!$G$10="ежемесячное (по дням открытия вклада)",F193='депозитный калькулятор'!$D$8,DAY('депозитный калькулятор'!$D$7)&lt;&gt;DAY(F193)),IF('депозитный калькулятор'!$F$1=1,$H$24,SUM($H$23:H193)-SUM($I$23:I192)),IF(AND('депозитный калькулятор'!$G$10="ежемесячное (по дням открытия вклада)",DAY('депозитный калькулятор'!$D$7)=DAY(F193)),SUM($H$23:H193)-SUM($I$23:I192),IF(AND('депозитный калькулятор'!$G$10="ежемесячное, на минимальную сумму зафиксированную в течение месяца",F193='депозитный калькулятор'!$D$8,EOMONTH(F193,0)&lt;&gt;F193),IF('депозитный калькулятор'!$F$1=1,$H$24,IF(AND(OR('депозитный калькулятор'!$G$7="30/365",'депозитный калькулятор'!$G$7="30/360"),DAY(F193)=31),0,MIN(OFFSET(H193,-E193+1,0):H193)*(E193+SUMIF(OFFSET(A193,-E193+1,0):A193,"=2",OFFSET(A193,-E193+1,0):A193)))),IF(AND('депозитный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калькулятор'!$G$7="30/360"),DAY(EOMONTH(F193,0))=31),EOMONTH(F193,0)-1=F193,EOMONTH(F193,0)=F193)),IF(IF(AND(OR('депозитный калькулятор'!$G$7="30/365",'депозитный калькулятор'!$G$7="30/360"),DAY(EOMONTH($F$23,0))=31),F193=EOMONTH($F$23,0)-1,F193=EOMONTH($F$23,0)),MIN(OFFSET(H193,-(DAY(F193)-DAY($F$23)),0):H193)*E193,MIN(OFFSET(H193,-(DAY(F193)-1),0):H193)*IF(AND(OR('депозитный калькулятор'!$G$7="30/365",'депозитный калькулятор'!$G$7="30/360"),DAY(F193)&lt;30),30,DAY(F193))),IF(AND('депозитный калькулятор'!$G$10="ежемесячное, на средний остаток в течение месяца, при условии что остаток больше чем ограничение",F193='депозитный калькулятор'!$D$8,EOMONTH(F193,0)&lt;&gt;F193),IF('депозитный калькулятор'!$F$1=1,$H$24,SUM(OFFSET(Q193,-E193+1,0):Q193)),IF(AND('депозитный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калькулятор'!$G$7="30/360"),DAY(EOMONTH(F193,0))=31),EOMONTH(F193,0)-1=F193,EOMONTH(F193,0)=F193)),IF(IF(AND(OR('депозитный калькулятор'!$G$7="30/365",'депозитный калькулятор'!$G$7="30/360"),DAY(EOMONTH($F$24,0))=31),F193=EOMONTH($F$24,0)-1,F193=EOMONTH($F$24,0)),SUM(OFFSET(Q193,-E193+1,0):Q193),SUM(OFFSET(Q193,-E193+1,0):Q193)),IF('депозитный калькулятор'!$G$10="ежеквартальное",IF(F193&gt;'депозитный калькулятор'!$D$8," ",IF(AND(EOMONTH(F193,0)=F193,OR(MONTH(F193)=3,MONTH(F193)=6,MONTH(F193)=9,MONTH(F193)=12)),IF(EDATE(F193,-3)&lt;'депозитный калькулятор'!$D$7,SUM($H$23:H193),IF(MOD(YEAR(F193),4)=0,IF(AND(EOMONTH(F193,0)=F193,OR(MONTH(F193)=3,MONTH(F193)=6)),SUM(OFFSET(H193,-90,0):H193),IF(AND(EOMONTH(F193,0)=F193,OR(MONTH(F193)=9,MONTH(F193)=12)),SUM(OFFSET(H193,-91,0):H193))),IF(AND(EOMONTH(F193,0)=F193,MONTH(F193)=3),SUM(OFFSET(H193,-89,0):H193),IF(AND(EOMONTH(F193,0)=F193,MONTH(F193)=6),SUM(OFFSET(H193,-90,0):H193),IF(AND(EOMONTH(F193,0)=F193,OR(MONTH(F193)=9,MONTH(F193)=12)),SUM(OFFSET(H193,-91,0):H193)))))),IF(F193='депозитный калькулятор'!$D$8,SUM($H$23:H193)-SUM($I$23:I192),0))),IF('депозитный калькулятор'!$G$10="ежегодное",IF(F193&gt;'депозитный калькулятор'!$D$8," ",IF(F193='депозитный калькулятор'!$D$8,SUM($H$23:H193)-SUM($I$23:I192),IF(AND(EOMONTH(F193,0)=F193,MONTH(F193)=12),IF(MOD(YEAR(F192),4)=0,IF(F193-'депозитный калькулятор'!$D$7&lt;366,SUM($H$23:H193),SUM(OFFSET(H193,-365,0):H193)),IF(F193-'депозитный калькулятор'!$D$7&lt;365,SUM($H$23:H193),SUM(OFFSET(H193,-364,0):H193))),0))),IF(AND('депозитный калькулятор'!$G$10="в конце срока",'депозитный калькулятор'!$D$8=F193),SUM($H$23:H193),0))))))))))))))))))</f>
        <v xml:space="preserve"> </v>
      </c>
      <c r="J193" s="59" t="str">
        <f>IF(F193&gt;'депозитный калькулятор'!$D$8," ",IF('депозитный калькулятор'!$G$16="нет",0,IF(AND('депозитный калькулятор'!$G$17="разовая (в конце срока)",F193='депозитный калькулятор'!$D$8),'депозитный калькулятор'!$G$18,IF(AND('депозитный калькулятор'!$G$17="ежемесячная",EOMONTH(F192,0)=F192),'депозитный калькулятор'!$G$18,IF(AND('депозитный калькулятор'!$G$17="ежегодная",DAY(F192)=31,MONTH(F192)=12),'депозитный калькулятор'!$G$18,IF(AND('депозитный калькулятор'!$G$17="ежемесячная в зависимости от остатка",EOMONTH(F192,0)=F192,P192&gt;0),'депозитный калькулятор'!$G$18,IF(AND('депозитный калькулятор'!$G$17="ежегодная в зависимости от остатка",DAY(F192)=31,MONTH(F192)=12,P192&gt;0),'депозитный калькулятор'!$G$18,0)))))))</f>
        <v xml:space="preserve"> </v>
      </c>
      <c r="K193" s="135" t="str">
        <f>IF($F193=" "," ",IFERROR(VLOOKUP($F193,'депозитный калькулятор'!$B$26:$F$70,2,0),0))</f>
        <v xml:space="preserve"> </v>
      </c>
      <c r="L193" s="135" t="str">
        <f>IF($F193=" "," ",IFERROR(VLOOKUP($F193,'депозитный калькулятор'!$B$26:$F$70,3,0),0))</f>
        <v xml:space="preserve"> </v>
      </c>
      <c r="M193" s="135" t="str">
        <f>IF($F193=" "," ",IFERROR(VLOOKUP($F193,'депозитный калькулятор'!$B$26:$F$70,4,0),0))</f>
        <v xml:space="preserve"> </v>
      </c>
      <c r="N193" s="135" t="str">
        <f>IF($F193=" "," ",IFERROR(VLOOKUP($F193,'депозитный калькулятор'!$B$26:$F$70,5,0),0))</f>
        <v xml:space="preserve"> </v>
      </c>
      <c r="O193" s="146" t="str">
        <f>IF(F193&gt;'депозитный калькулятор'!$D$8," ",IF(F193='депозитный калькулятор'!$D$8,IF(AND($F$24='депозитный калькулятор'!$D$8,'депозитный калькулятор'!$G$13="нет"),-G193-IF(I193=" ",0,I193)-IF(AND(OR('депозитный калькулятор'!$G$7="30/365",'депозитный калькулятор'!$G$7="30/360"),'депозитный калькулятор'!$G$10="в начале срока"),I192,0)-L193+M193-N193,-G193-IF(I193=" ",0,I193)-L193+M193-N193),IF('депозитный калькулятор'!$G$13="есть",M193-N193+IF('депозитный калькулятор'!$G$14="есть",0,-L193),-IF(I193=" ",0,I193)-IF(AND(OR('депозитный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срока"),I192,0)+M193-N193+IF('депозитный калькулятор'!$G$14="есть",0,-L193))))</f>
        <v xml:space="preserve"> </v>
      </c>
      <c r="P193" s="147" t="str">
        <f>IF(F193&gt;'депозитный калькулятор'!$D$8," ",IF(EOMONTH(F192,0)=F192,0,IF(G193&gt;='депозитный калькулятор'!$G$19,P192,P192+1)))</f>
        <v xml:space="preserve"> </v>
      </c>
      <c r="Q193" s="138" t="str">
        <f>IF(F193=" "," ",IF(AND(OR('депозитный калькулятор'!$G$7="30/365",'депозитный калькулятор'!$G$7="30/360"),AND(MONTH(F193)=2,EOMONTH(F193,0)=F193)),IF(DAY(F193)=28,3,2),1)*IF(G193&gt;='депозитный калькулятор'!$G$11,IF(AND('депозитный калькулятор'!$G$7="факт/факт",MOD(YEAR(F193),4)=0),G193*'депозитный калькулятор'!$D$11/366,G193*'депозитный калькулятор'!$G$8),0))</f>
        <v xml:space="preserve"> </v>
      </c>
      <c r="R193" s="148"/>
      <c r="S193" s="62" t="str">
        <f t="shared" ca="1" si="12"/>
        <v xml:space="preserve"> </v>
      </c>
      <c r="T193" s="149" t="str">
        <f ca="1">IF(S193=" "," ",IF('депозитный калькулятор'!$G$7="30/360",DAYS360(U192,IF(DAY(U193)=31,U193-1,U193))+IF(AND(MONTH(U193)=2,U193=EOMONTH(U193,0)),30-DAY(EOMONTH(U193,0)))+T192,VLOOKUP(S193,$C$22:$F$1023,2,0)))</f>
        <v xml:space="preserve"> </v>
      </c>
      <c r="U193" s="64" t="str">
        <f t="shared" ca="1" si="10"/>
        <v xml:space="preserve"> </v>
      </c>
      <c r="V193" s="150" t="str">
        <f t="shared" ca="1" si="13"/>
        <v xml:space="preserve"> </v>
      </c>
      <c r="W193" s="62" t="str">
        <f t="shared" ca="1" si="14"/>
        <v xml:space="preserve"> </v>
      </c>
      <c r="X193" s="141" t="str">
        <f ca="1">IF(S193=" "," ",IFERROR(VLOOKUP(U193,$F$23:$N$1023,7)+VLOOKUP(U193,$F$23:$N$1023,9)+IF(AND('депозитный калькулятор'!$G$13="нет",U193&lt;&gt;'депозитный калькулятор'!$D$8),VLOOKUP(U193,$F$23:$N$1023,4),0),0)+IF(U193='депозитный калькулятор'!$D$8,VLOOKUP(U193,$F$23:$N$1023,2)+VLOOKUP(U193,$F$23:$N$1023,4),0))</f>
        <v xml:space="preserve"> </v>
      </c>
      <c r="Y193" s="142" t="str">
        <f ca="1">IF(S193=" "," ",W193/(1+'депозитный калькулятор'!$K$8)^(T193/IF('депозитный калькулятор'!$G$7="30/360",360,365)))</f>
        <v xml:space="preserve"> </v>
      </c>
      <c r="Z193" s="142" t="str">
        <f ca="1">IF(S193=" "," ",X193/(1+'депозитный калькулятор'!$K$8)^(T193/IF('депозитный калькулятор'!$G$7="30/360",360,365)))</f>
        <v xml:space="preserve"> </v>
      </c>
      <c r="AA193" s="151"/>
      <c r="AB193" s="151"/>
      <c r="AC193" s="155"/>
      <c r="AD193" s="155"/>
    </row>
    <row r="194" spans="1:30" s="2" customFormat="1" ht="15.5" x14ac:dyDescent="0.35">
      <c r="A194" s="41" t="str">
        <f>IF(F194=" "," ",IF(OR('депозитный калькулятор'!$G$7="30/365",'депозитный калькулятор'!$G$7="30/360"),IF(AND(MONTH(F194)=2,DAY(F194)=DAY(EOMONTH(F194,0))),30-DAY(EOMONTH(F194,0)),IF(DAY(F194)=31,1," "))," "))</f>
        <v xml:space="preserve"> </v>
      </c>
      <c r="B194" s="130" t="str">
        <f t="shared" si="11"/>
        <v xml:space="preserve"> </v>
      </c>
      <c r="C194" s="130" t="str">
        <f>IF(OR(B194=0,B194=" ")," ",SUM($B$23:B194))</f>
        <v xml:space="preserve"> </v>
      </c>
      <c r="D194" s="62" t="str">
        <f>IF(D193=" "," ",IF(OR(F193='депозитный калькулятор'!$D$8,F193=" ")," ",D193+1))</f>
        <v xml:space="preserve"> </v>
      </c>
      <c r="E194" s="130" t="str">
        <f>IF(OR(F193='депозитный калькулятор'!$D$8,F193=" ")," ",IF(EOMONTH(F193,0)=F193,1,E193+1))</f>
        <v xml:space="preserve"> </v>
      </c>
      <c r="F194" s="64" t="str">
        <f>IF(F193=" "," ",IF(F193='депозитный калькулятор'!$D$8," ",F193+1))</f>
        <v xml:space="preserve"> </v>
      </c>
      <c r="G194" s="145" t="str">
        <f xml:space="preserve"> IF(F194&gt;'депозитный калькулятор'!$D$8," ",IF('депозитный калькулятор'!$G$13="есть",IF('депозитный калькулятор'!$G$14="есть",G193+IF(I193=" ",0,I193)-J194-K194+L194+M194-N194,G193+IF(I193=" ",0,I193)-J194-K194+M194-N194),IF('депозитный калькулятор'!$G$14="есть",G193-J194-K194+L194+M194-N194,G193-J194-K194+M194-N194)))</f>
        <v xml:space="preserve"> </v>
      </c>
      <c r="H194" s="133" t="str">
        <f>IF(F194&gt;'депозитный калькулятор'!$D$8," ",IF(AND(OR('депозитный калькулятор'!$G$7="30/365",'депозитный калькулятор'!$G$7="30/360"),AND(MONTH(F194)=2,EOMONTH(F194,0)=F194)),IF(DAY(F194)=28,3*G194*'депозитный калькулятор'!$G$8,2*G194*'депозитный калькулятор'!$G$8),IF(AND(OR('депозитный калькулятор'!$G$7="30/365",'депозитный калькулятор'!$G$7="30/360"),DAY(F194)=31)," ",IF(AND('депозитный калькулятор'!$G$7="факт/факт",MOD(YEAR(F194),4)=0),G194*'депозитный калькулятор'!$D$11/366,G194*'депозитный калькулятор'!$G$8))))</f>
        <v xml:space="preserve"> </v>
      </c>
      <c r="I194" s="134" t="str">
        <f ca="1">IF(F194=" "," ",IF('депозитный калькулятор'!$G$10="ежедневное",H194,IF(AND('депозитный калькулятор'!$G$10="еженедельное",WEEKDAY(F194,2)=7),SUM(OFFSET(H194,-6,0):H194),IF(AND('депозитный калькулятор'!$G$10="еженедельное",F194='депозитный калькулятор'!$D$8),SUM($H$23:H194)-SUM($I$23:I193),IF(AND('депозитный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недели",WEEKDAY(F194,2)=7),MIN(OFFSET(H194,-6,0):H194)*(COUNTIF(OFFSET(H194,-6,0):H194,"&gt;0")+SUMIF(OFFSET(A194,-WEEKDAY(F194,2),0):A194,"=2",OFFSET(A194,-WEEKDAY(F194,2),0):A194)),IF(AND('депозитный калькулятор'!$G$10="еженедельное, на минимальную сумму зафиксированную в течение недели",F194='депозитный калькулятор'!$D$8,WEEKDAY(F194,2)&lt;&gt;7),MIN(OFFSET(H194,-WEEKDAY(F194,2),0):H194)*(COUNTIF(OFFSET(H194,-WEEKDAY(F194,2)+1,0):H194,"&gt;0")+SUM(OFFSET(A194,-WEEKDAY(F194,2),0):A194)),IF(AND('депозитный калькулятор'!$G$10="ежемесячное (в конце месяца)",F194='депозитный калькулятор'!$D$8,EOMONTH(F194,0)&lt;&gt;F194),IF('депозитный калькулятор'!$F$1=1,$H$24,SUM($H$23:H194)-SUM($I$23:I193)),IF(AND('депозитный калькулятор'!$G$10="ежемесячное (в конце месяца)",EOMONTH(F194,0)=F194),SUM($H$23:H194)-SUM($I$23:I193),IF(AND('депозитный калькулятор'!$G$10="ежемесячное (по дням открытия вклада)",F194='депозитный калькулятор'!$D$8,DAY('депозитный калькулятор'!$D$7)&lt;&gt;DAY(F194)),IF('депозитный калькулятор'!$F$1=1,$H$24,SUM($H$23:H194)-SUM($I$23:I193)),IF(AND('депозитный калькулятор'!$G$10="ежемесячное (по дням открытия вклада)",DAY('депозитный калькулятор'!$D$7)=DAY(F194)),SUM($H$23:H194)-SUM($I$23:I193),IF(AND('депозитный калькулятор'!$G$10="ежемесячное, на минимальную сумму зафиксированную в течение месяца",F194='депозитный калькулятор'!$D$8,EOMONTH(F194,0)&lt;&gt;F194),IF('депозитный калькулятор'!$F$1=1,$H$24,IF(AND(OR('депозитный калькулятор'!$G$7="30/365",'депозитный калькулятор'!$G$7="30/360"),DAY(F194)=31),0,MIN(OFFSET(H194,-E194+1,0):H194)*(E194+SUMIF(OFFSET(A194,-E194+1,0):A194,"=2",OFFSET(A194,-E194+1,0):A194)))),IF(AND('депозитный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калькулятор'!$G$7="30/360"),DAY(EOMONTH(F194,0))=31),EOMONTH(F194,0)-1=F194,EOMONTH(F194,0)=F194)),IF(IF(AND(OR('депозитный калькулятор'!$G$7="30/365",'депозитный калькулятор'!$G$7="30/360"),DAY(EOMONTH($F$23,0))=31),F194=EOMONTH($F$23,0)-1,F194=EOMONTH($F$23,0)),MIN(OFFSET(H194,-(DAY(F194)-DAY($F$23)),0):H194)*E194,MIN(OFFSET(H194,-(DAY(F194)-1),0):H194)*IF(AND(OR('депозитный калькулятор'!$G$7="30/365",'депозитный калькулятор'!$G$7="30/360"),DAY(F194)&lt;30),30,DAY(F194))),IF(AND('депозитный калькулятор'!$G$10="ежемесячное, на средний остаток в течение месяца, при условии что остаток больше чем ограничение",F194='депозитный калькулятор'!$D$8,EOMONTH(F194,0)&lt;&gt;F194),IF('депозитный калькулятор'!$F$1=1,$H$24,SUM(OFFSET(Q194,-E194+1,0):Q194)),IF(AND('депозитный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калькулятор'!$G$7="30/360"),DAY(EOMONTH(F194,0))=31),EOMONTH(F194,0)-1=F194,EOMONTH(F194,0)=F194)),IF(IF(AND(OR('депозитный калькулятор'!$G$7="30/365",'депозитный калькулятор'!$G$7="30/360"),DAY(EOMONTH($F$24,0))=31),F194=EOMONTH($F$24,0)-1,F194=EOMONTH($F$24,0)),SUM(OFFSET(Q194,-E194+1,0):Q194),SUM(OFFSET(Q194,-E194+1,0):Q194)),IF('депозитный калькулятор'!$G$10="ежеквартальное",IF(F194&gt;'депозитный калькулятор'!$D$8," ",IF(AND(EOMONTH(F194,0)=F194,OR(MONTH(F194)=3,MONTH(F194)=6,MONTH(F194)=9,MONTH(F194)=12)),IF(EDATE(F194,-3)&lt;'депозитный калькулятор'!$D$7,SUM($H$23:H194),IF(MOD(YEAR(F194),4)=0,IF(AND(EOMONTH(F194,0)=F194,OR(MONTH(F194)=3,MONTH(F194)=6)),SUM(OFFSET(H194,-90,0):H194),IF(AND(EOMONTH(F194,0)=F194,OR(MONTH(F194)=9,MONTH(F194)=12)),SUM(OFFSET(H194,-91,0):H194))),IF(AND(EOMONTH(F194,0)=F194,MONTH(F194)=3),SUM(OFFSET(H194,-89,0):H194),IF(AND(EOMONTH(F194,0)=F194,MONTH(F194)=6),SUM(OFFSET(H194,-90,0):H194),IF(AND(EOMONTH(F194,0)=F194,OR(MONTH(F194)=9,MONTH(F194)=12)),SUM(OFFSET(H194,-91,0):H194)))))),IF(F194='депозитный калькулятор'!$D$8,SUM($H$23:H194)-SUM($I$23:I193),0))),IF('депозитный калькулятор'!$G$10="ежегодное",IF(F194&gt;'депозитный калькулятор'!$D$8," ",IF(F194='депозитный калькулятор'!$D$8,SUM($H$23:H194)-SUM($I$23:I193),IF(AND(EOMONTH(F194,0)=F194,MONTH(F194)=12),IF(MOD(YEAR(F193),4)=0,IF(F194-'депозитный калькулятор'!$D$7&lt;366,SUM($H$23:H194),SUM(OFFSET(H194,-365,0):H194)),IF(F194-'депозитный калькулятор'!$D$7&lt;365,SUM($H$23:H194),SUM(OFFSET(H194,-364,0):H194))),0))),IF(AND('депозитный калькулятор'!$G$10="в конце срока",'депозитный калькулятор'!$D$8=F194),SUM($H$23:H194),0))))))))))))))))))</f>
        <v xml:space="preserve"> </v>
      </c>
      <c r="J194" s="59" t="str">
        <f>IF(F194&gt;'депозитный калькулятор'!$D$8," ",IF('депозитный калькулятор'!$G$16="нет",0,IF(AND('депозитный калькулятор'!$G$17="разовая (в конце срока)",F194='депозитный калькулятор'!$D$8),'депозитный калькулятор'!$G$18,IF(AND('депозитный калькулятор'!$G$17="ежемесячная",EOMONTH(F193,0)=F193),'депозитный калькулятор'!$G$18,IF(AND('депозитный калькулятор'!$G$17="ежегодная",DAY(F193)=31,MONTH(F193)=12),'депозитный калькулятор'!$G$18,IF(AND('депозитный калькулятор'!$G$17="ежемесячная в зависимости от остатка",EOMONTH(F193,0)=F193,P193&gt;0),'депозитный калькулятор'!$G$18,IF(AND('депозитный калькулятор'!$G$17="ежегодная в зависимости от остатка",DAY(F193)=31,MONTH(F193)=12,P193&gt;0),'депозитный калькулятор'!$G$18,0)))))))</f>
        <v xml:space="preserve"> </v>
      </c>
      <c r="K194" s="135" t="str">
        <f>IF($F194=" "," ",IFERROR(VLOOKUP($F194,'депозитный калькулятор'!$B$26:$F$70,2,0),0))</f>
        <v xml:space="preserve"> </v>
      </c>
      <c r="L194" s="135" t="str">
        <f>IF($F194=" "," ",IFERROR(VLOOKUP($F194,'депозитный калькулятор'!$B$26:$F$70,3,0),0))</f>
        <v xml:space="preserve"> </v>
      </c>
      <c r="M194" s="135" t="str">
        <f>IF($F194=" "," ",IFERROR(VLOOKUP($F194,'депозитный калькулятор'!$B$26:$F$70,4,0),0))</f>
        <v xml:space="preserve"> </v>
      </c>
      <c r="N194" s="135" t="str">
        <f>IF($F194=" "," ",IFERROR(VLOOKUP($F194,'депозитный калькулятор'!$B$26:$F$70,5,0),0))</f>
        <v xml:space="preserve"> </v>
      </c>
      <c r="O194" s="146" t="str">
        <f>IF(F194&gt;'депозитный калькулятор'!$D$8," ",IF(F194='депозитный калькулятор'!$D$8,IF(AND($F$24='депозитный калькулятор'!$D$8,'депозитный калькулятор'!$G$13="нет"),-G194-IF(I194=" ",0,I194)-IF(AND(OR('депозитный калькулятор'!$G$7="30/365",'депозитный калькулятор'!$G$7="30/360"),'депозитный калькулятор'!$G$10="в начале срока"),I193,0)-L194+M194-N194,-G194-IF(I194=" ",0,I194)-L194+M194-N194),IF('депозитный калькулятор'!$G$13="есть",M194-N194+IF('депозитный калькулятор'!$G$14="есть",0,-L194),-IF(I194=" ",0,I194)-IF(AND(OR('депозитный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срока"),I193,0)+M194-N194+IF('депозитный калькулятор'!$G$14="есть",0,-L194))))</f>
        <v xml:space="preserve"> </v>
      </c>
      <c r="P194" s="147" t="str">
        <f>IF(F194&gt;'депозитный калькулятор'!$D$8," ",IF(EOMONTH(F193,0)=F193,0,IF(G194&gt;='депозитный калькулятор'!$G$19,P193,P193+1)))</f>
        <v xml:space="preserve"> </v>
      </c>
      <c r="Q194" s="138" t="str">
        <f>IF(F194=" "," ",IF(AND(OR('депозитный калькулятор'!$G$7="30/365",'депозитный калькулятор'!$G$7="30/360"),AND(MONTH(F194)=2,EOMONTH(F194,0)=F194)),IF(DAY(F194)=28,3,2),1)*IF(G194&gt;='депозитный калькулятор'!$G$11,IF(AND('депозитный калькулятор'!$G$7="факт/факт",MOD(YEAR(F194),4)=0),G194*'депозитный калькулятор'!$D$11/366,G194*'депозитный калькулятор'!$G$8),0))</f>
        <v xml:space="preserve"> </v>
      </c>
      <c r="R194" s="148"/>
      <c r="S194" s="62" t="str">
        <f t="shared" ca="1" si="12"/>
        <v xml:space="preserve"> </v>
      </c>
      <c r="T194" s="149" t="str">
        <f ca="1">IF(S194=" "," ",IF('депозитный калькулятор'!$G$7="30/360",DAYS360(U193,IF(DAY(U194)=31,U194-1,U194))+IF(AND(MONTH(U194)=2,U194=EOMONTH(U194,0)),30-DAY(EOMONTH(U194,0)))+T193,VLOOKUP(S194,$C$22:$F$1023,2,0)))</f>
        <v xml:space="preserve"> </v>
      </c>
      <c r="U194" s="64" t="str">
        <f t="shared" ca="1" si="10"/>
        <v xml:space="preserve"> </v>
      </c>
      <c r="V194" s="150" t="str">
        <f t="shared" ca="1" si="13"/>
        <v xml:space="preserve"> </v>
      </c>
      <c r="W194" s="62" t="str">
        <f t="shared" ca="1" si="14"/>
        <v xml:space="preserve"> </v>
      </c>
      <c r="X194" s="141" t="str">
        <f ca="1">IF(S194=" "," ",IFERROR(VLOOKUP(U194,$F$23:$N$1023,7)+VLOOKUP(U194,$F$23:$N$1023,9)+IF(AND('депозитный калькулятор'!$G$13="нет",U194&lt;&gt;'депозитный калькулятор'!$D$8),VLOOKUP(U194,$F$23:$N$1023,4),0),0)+IF(U194='депозитный калькулятор'!$D$8,VLOOKUP(U194,$F$23:$N$1023,2)+VLOOKUP(U194,$F$23:$N$1023,4),0))</f>
        <v xml:space="preserve"> </v>
      </c>
      <c r="Y194" s="142" t="str">
        <f ca="1">IF(S194=" "," ",W194/(1+'депозитный калькулятор'!$K$8)^(T194/IF('депозитный калькулятор'!$G$7="30/360",360,365)))</f>
        <v xml:space="preserve"> </v>
      </c>
      <c r="Z194" s="142" t="str">
        <f ca="1">IF(S194=" "," ",X194/(1+'депозитный калькулятор'!$K$8)^(T194/IF('депозитный калькулятор'!$G$7="30/360",360,365)))</f>
        <v xml:space="preserve"> </v>
      </c>
      <c r="AA194" s="151"/>
      <c r="AB194" s="151"/>
      <c r="AC194" s="155"/>
      <c r="AD194" s="155"/>
    </row>
    <row r="195" spans="1:30" s="2" customFormat="1" ht="15.5" x14ac:dyDescent="0.35">
      <c r="A195" s="41" t="str">
        <f>IF(F195=" "," ",IF(OR('депозитный калькулятор'!$G$7="30/365",'депозитный калькулятор'!$G$7="30/360"),IF(AND(MONTH(F195)=2,DAY(F195)=DAY(EOMONTH(F195,0))),30-DAY(EOMONTH(F195,0)),IF(DAY(F195)=31,1," "))," "))</f>
        <v xml:space="preserve"> </v>
      </c>
      <c r="B195" s="130" t="str">
        <f t="shared" si="11"/>
        <v xml:space="preserve"> </v>
      </c>
      <c r="C195" s="130" t="str">
        <f>IF(OR(B195=0,B195=" ")," ",SUM($B$23:B195))</f>
        <v xml:space="preserve"> </v>
      </c>
      <c r="D195" s="62" t="str">
        <f>IF(D194=" "," ",IF(OR(F194='депозитный калькулятор'!$D$8,F194=" ")," ",D194+1))</f>
        <v xml:space="preserve"> </v>
      </c>
      <c r="E195" s="130" t="str">
        <f>IF(OR(F194='депозитный калькулятор'!$D$8,F194=" ")," ",IF(EOMONTH(F194,0)=F194,1,E194+1))</f>
        <v xml:space="preserve"> </v>
      </c>
      <c r="F195" s="64" t="str">
        <f>IF(F194=" "," ",IF(F194='депозитный калькулятор'!$D$8," ",F194+1))</f>
        <v xml:space="preserve"> </v>
      </c>
      <c r="G195" s="145" t="str">
        <f xml:space="preserve"> IF(F195&gt;'депозитный калькулятор'!$D$8," ",IF('депозитный калькулятор'!$G$13="есть",IF('депозитный калькулятор'!$G$14="есть",G194+IF(I194=" ",0,I194)-J195-K195+L195+M195-N195,G194+IF(I194=" ",0,I194)-J195-K195+M195-N195),IF('депозитный калькулятор'!$G$14="есть",G194-J195-K195+L195+M195-N195,G194-J195-K195+M195-N195)))</f>
        <v xml:space="preserve"> </v>
      </c>
      <c r="H195" s="133" t="str">
        <f>IF(F195&gt;'депозитный калькулятор'!$D$8," ",IF(AND(OR('депозитный калькулятор'!$G$7="30/365",'депозитный калькулятор'!$G$7="30/360"),AND(MONTH(F195)=2,EOMONTH(F195,0)=F195)),IF(DAY(F195)=28,3*G195*'депозитный калькулятор'!$G$8,2*G195*'депозитный калькулятор'!$G$8),IF(AND(OR('депозитный калькулятор'!$G$7="30/365",'депозитный калькулятор'!$G$7="30/360"),DAY(F195)=31)," ",IF(AND('депозитный калькулятор'!$G$7="факт/факт",MOD(YEAR(F195),4)=0),G195*'депозитный калькулятор'!$D$11/366,G195*'депозитный калькулятор'!$G$8))))</f>
        <v xml:space="preserve"> </v>
      </c>
      <c r="I195" s="134" t="str">
        <f ca="1">IF(F195=" "," ",IF('депозитный калькулятор'!$G$10="ежедневное",H195,IF(AND('депозитный калькулятор'!$G$10="еженедельное",WEEKDAY(F195,2)=7),SUM(OFFSET(H195,-6,0):H195),IF(AND('депозитный калькулятор'!$G$10="еженедельное",F195='депозитный калькулятор'!$D$8),SUM($H$23:H195)-SUM($I$23:I194),IF(AND('депозитный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недели",WEEKDAY(F195,2)=7),MIN(OFFSET(H195,-6,0):H195)*(COUNTIF(OFFSET(H195,-6,0):H195,"&gt;0")+SUMIF(OFFSET(A195,-WEEKDAY(F195,2),0):A195,"=2",OFFSET(A195,-WEEKDAY(F195,2),0):A195)),IF(AND('депозитный калькулятор'!$G$10="еженедельное, на минимальную сумму зафиксированную в течение недели",F195='депозитный калькулятор'!$D$8,WEEKDAY(F195,2)&lt;&gt;7),MIN(OFFSET(H195,-WEEKDAY(F195,2),0):H195)*(COUNTIF(OFFSET(H195,-WEEKDAY(F195,2)+1,0):H195,"&gt;0")+SUM(OFFSET(A195,-WEEKDAY(F195,2),0):A195)),IF(AND('депозитный калькулятор'!$G$10="ежемесячное (в конце месяца)",F195='депозитный калькулятор'!$D$8,EOMONTH(F195,0)&lt;&gt;F195),IF('депозитный калькулятор'!$F$1=1,$H$24,SUM($H$23:H195)-SUM($I$23:I194)),IF(AND('депозитный калькулятор'!$G$10="ежемесячное (в конце месяца)",EOMONTH(F195,0)=F195),SUM($H$23:H195)-SUM($I$23:I194),IF(AND('депозитный калькулятор'!$G$10="ежемесячное (по дням открытия вклада)",F195='депозитный калькулятор'!$D$8,DAY('депозитный калькулятор'!$D$7)&lt;&gt;DAY(F195)),IF('депозитный калькулятор'!$F$1=1,$H$24,SUM($H$23:H195)-SUM($I$23:I194)),IF(AND('депозитный калькулятор'!$G$10="ежемесячное (по дням открытия вклада)",DAY('депозитный калькулятор'!$D$7)=DAY(F195)),SUM($H$23:H195)-SUM($I$23:I194),IF(AND('депозитный калькулятор'!$G$10="ежемесячное, на минимальную сумму зафиксированную в течение месяца",F195='депозитный калькулятор'!$D$8,EOMONTH(F195,0)&lt;&gt;F195),IF('депозитный калькулятор'!$F$1=1,$H$24,IF(AND(OR('депозитный калькулятор'!$G$7="30/365",'депозитный калькулятор'!$G$7="30/360"),DAY(F195)=31),0,MIN(OFFSET(H195,-E195+1,0):H195)*(E195+SUMIF(OFFSET(A195,-E195+1,0):A195,"=2",OFFSET(A195,-E195+1,0):A195)))),IF(AND('депозитный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калькулятор'!$G$7="30/360"),DAY(EOMONTH(F195,0))=31),EOMONTH(F195,0)-1=F195,EOMONTH(F195,0)=F195)),IF(IF(AND(OR('депозитный калькулятор'!$G$7="30/365",'депозитный калькулятор'!$G$7="30/360"),DAY(EOMONTH($F$23,0))=31),F195=EOMONTH($F$23,0)-1,F195=EOMONTH($F$23,0)),MIN(OFFSET(H195,-(DAY(F195)-DAY($F$23)),0):H195)*E195,MIN(OFFSET(H195,-(DAY(F195)-1),0):H195)*IF(AND(OR('депозитный калькулятор'!$G$7="30/365",'депозитный калькулятор'!$G$7="30/360"),DAY(F195)&lt;30),30,DAY(F195))),IF(AND('депозитный калькулятор'!$G$10="ежемесячное, на средний остаток в течение месяца, при условии что остаток больше чем ограничение",F195='депозитный калькулятор'!$D$8,EOMONTH(F195,0)&lt;&gt;F195),IF('депозитный калькулятор'!$F$1=1,$H$24,SUM(OFFSET(Q195,-E195+1,0):Q195)),IF(AND('депозитный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калькулятор'!$G$7="30/360"),DAY(EOMONTH(F195,0))=31),EOMONTH(F195,0)-1=F195,EOMONTH(F195,0)=F195)),IF(IF(AND(OR('депозитный калькулятор'!$G$7="30/365",'депозитный калькулятор'!$G$7="30/360"),DAY(EOMONTH($F$24,0))=31),F195=EOMONTH($F$24,0)-1,F195=EOMONTH($F$24,0)),SUM(OFFSET(Q195,-E195+1,0):Q195),SUM(OFFSET(Q195,-E195+1,0):Q195)),IF('депозитный калькулятор'!$G$10="ежеквартальное",IF(F195&gt;'депозитный калькулятор'!$D$8," ",IF(AND(EOMONTH(F195,0)=F195,OR(MONTH(F195)=3,MONTH(F195)=6,MONTH(F195)=9,MONTH(F195)=12)),IF(EDATE(F195,-3)&lt;'депозитный калькулятор'!$D$7,SUM($H$23:H195),IF(MOD(YEAR(F195),4)=0,IF(AND(EOMONTH(F195,0)=F195,OR(MONTH(F195)=3,MONTH(F195)=6)),SUM(OFFSET(H195,-90,0):H195),IF(AND(EOMONTH(F195,0)=F195,OR(MONTH(F195)=9,MONTH(F195)=12)),SUM(OFFSET(H195,-91,0):H195))),IF(AND(EOMONTH(F195,0)=F195,MONTH(F195)=3),SUM(OFFSET(H195,-89,0):H195),IF(AND(EOMONTH(F195,0)=F195,MONTH(F195)=6),SUM(OFFSET(H195,-90,0):H195),IF(AND(EOMONTH(F195,0)=F195,OR(MONTH(F195)=9,MONTH(F195)=12)),SUM(OFFSET(H195,-91,0):H195)))))),IF(F195='депозитный калькулятор'!$D$8,SUM($H$23:H195)-SUM($I$23:I194),0))),IF('депозитный калькулятор'!$G$10="ежегодное",IF(F195&gt;'депозитный калькулятор'!$D$8," ",IF(F195='депозитный калькулятор'!$D$8,SUM($H$23:H195)-SUM($I$23:I194),IF(AND(EOMONTH(F195,0)=F195,MONTH(F195)=12),IF(MOD(YEAR(F194),4)=0,IF(F195-'депозитный калькулятор'!$D$7&lt;366,SUM($H$23:H195),SUM(OFFSET(H195,-365,0):H195)),IF(F195-'депозитный калькулятор'!$D$7&lt;365,SUM($H$23:H195),SUM(OFFSET(H195,-364,0):H195))),0))),IF(AND('депозитный калькулятор'!$G$10="в конце срока",'депозитный калькулятор'!$D$8=F195),SUM($H$23:H195),0))))))))))))))))))</f>
        <v xml:space="preserve"> </v>
      </c>
      <c r="J195" s="59" t="str">
        <f>IF(F195&gt;'депозитный калькулятор'!$D$8," ",IF('депозитный калькулятор'!$G$16="нет",0,IF(AND('депозитный калькулятор'!$G$17="разовая (в конце срока)",F195='депозитный калькулятор'!$D$8),'депозитный калькулятор'!$G$18,IF(AND('депозитный калькулятор'!$G$17="ежемесячная",EOMONTH(F194,0)=F194),'депозитный калькулятор'!$G$18,IF(AND('депозитный калькулятор'!$G$17="ежегодная",DAY(F194)=31,MONTH(F194)=12),'депозитный калькулятор'!$G$18,IF(AND('депозитный калькулятор'!$G$17="ежемесячная в зависимости от остатка",EOMONTH(F194,0)=F194,P194&gt;0),'депозитный калькулятор'!$G$18,IF(AND('депозитный калькулятор'!$G$17="ежегодная в зависимости от остатка",DAY(F194)=31,MONTH(F194)=12,P194&gt;0),'депозитный калькулятор'!$G$18,0)))))))</f>
        <v xml:space="preserve"> </v>
      </c>
      <c r="K195" s="135" t="str">
        <f>IF($F195=" "," ",IFERROR(VLOOKUP($F195,'депозитный калькулятор'!$B$26:$F$70,2,0),0))</f>
        <v xml:space="preserve"> </v>
      </c>
      <c r="L195" s="135" t="str">
        <f>IF($F195=" "," ",IFERROR(VLOOKUP($F195,'депозитный калькулятор'!$B$26:$F$70,3,0),0))</f>
        <v xml:space="preserve"> </v>
      </c>
      <c r="M195" s="135" t="str">
        <f>IF($F195=" "," ",IFERROR(VLOOKUP($F195,'депозитный калькулятор'!$B$26:$F$70,4,0),0))</f>
        <v xml:space="preserve"> </v>
      </c>
      <c r="N195" s="135" t="str">
        <f>IF($F195=" "," ",IFERROR(VLOOKUP($F195,'депозитный калькулятор'!$B$26:$F$70,5,0),0))</f>
        <v xml:space="preserve"> </v>
      </c>
      <c r="O195" s="146" t="str">
        <f>IF(F195&gt;'депозитный калькулятор'!$D$8," ",IF(F195='депозитный калькулятор'!$D$8,IF(AND($F$24='депозитный калькулятор'!$D$8,'депозитный калькулятор'!$G$13="нет"),-G195-IF(I195=" ",0,I195)-IF(AND(OR('депозитный калькулятор'!$G$7="30/365",'депозитный калькулятор'!$G$7="30/360"),'депозитный калькулятор'!$G$10="в начале срока"),I194,0)-L195+M195-N195,-G195-IF(I195=" ",0,I195)-L195+M195-N195),IF('депозитный калькулятор'!$G$13="есть",M195-N195+IF('депозитный калькулятор'!$G$14="есть",0,-L195),-IF(I195=" ",0,I195)-IF(AND(OR('депозитный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срока"),I194,0)+M195-N195+IF('депозитный калькулятор'!$G$14="есть",0,-L195))))</f>
        <v xml:space="preserve"> </v>
      </c>
      <c r="P195" s="147" t="str">
        <f>IF(F195&gt;'депозитный калькулятор'!$D$8," ",IF(EOMONTH(F194,0)=F194,0,IF(G195&gt;='депозитный калькулятор'!$G$19,P194,P194+1)))</f>
        <v xml:space="preserve"> </v>
      </c>
      <c r="Q195" s="138" t="str">
        <f>IF(F195=" "," ",IF(AND(OR('депозитный калькулятор'!$G$7="30/365",'депозитный калькулятор'!$G$7="30/360"),AND(MONTH(F195)=2,EOMONTH(F195,0)=F195)),IF(DAY(F195)=28,3,2),1)*IF(G195&gt;='депозитный калькулятор'!$G$11,IF(AND('депозитный калькулятор'!$G$7="факт/факт",MOD(YEAR(F195),4)=0),G195*'депозитный калькулятор'!$D$11/366,G195*'депозитный калькулятор'!$G$8),0))</f>
        <v xml:space="preserve"> </v>
      </c>
      <c r="R195" s="148"/>
      <c r="S195" s="62" t="str">
        <f t="shared" ca="1" si="12"/>
        <v xml:space="preserve"> </v>
      </c>
      <c r="T195" s="149" t="str">
        <f ca="1">IF(S195=" "," ",IF('депозитный калькулятор'!$G$7="30/360",DAYS360(U194,IF(DAY(U195)=31,U195-1,U195))+IF(AND(MONTH(U195)=2,U195=EOMONTH(U195,0)),30-DAY(EOMONTH(U195,0)))+T194,VLOOKUP(S195,$C$22:$F$1023,2,0)))</f>
        <v xml:space="preserve"> </v>
      </c>
      <c r="U195" s="64" t="str">
        <f t="shared" ca="1" si="10"/>
        <v xml:space="preserve"> </v>
      </c>
      <c r="V195" s="150" t="str">
        <f t="shared" ca="1" si="13"/>
        <v xml:space="preserve"> </v>
      </c>
      <c r="W195" s="62" t="str">
        <f t="shared" ca="1" si="14"/>
        <v xml:space="preserve"> </v>
      </c>
      <c r="X195" s="141" t="str">
        <f ca="1">IF(S195=" "," ",IFERROR(VLOOKUP(U195,$F$23:$N$1023,7)+VLOOKUP(U195,$F$23:$N$1023,9)+IF(AND('депозитный калькулятор'!$G$13="нет",U195&lt;&gt;'депозитный калькулятор'!$D$8),VLOOKUP(U195,$F$23:$N$1023,4),0),0)+IF(U195='депозитный калькулятор'!$D$8,VLOOKUP(U195,$F$23:$N$1023,2)+VLOOKUP(U195,$F$23:$N$1023,4),0))</f>
        <v xml:space="preserve"> </v>
      </c>
      <c r="Y195" s="142" t="str">
        <f ca="1">IF(S195=" "," ",W195/(1+'депозитный калькулятор'!$K$8)^(T195/IF('депозитный калькулятор'!$G$7="30/360",360,365)))</f>
        <v xml:space="preserve"> </v>
      </c>
      <c r="Z195" s="142" t="str">
        <f ca="1">IF(S195=" "," ",X195/(1+'депозитный калькулятор'!$K$8)^(T195/IF('депозитный калькулятор'!$G$7="30/360",360,365)))</f>
        <v xml:space="preserve"> </v>
      </c>
      <c r="AA195" s="151"/>
      <c r="AB195" s="151"/>
      <c r="AC195" s="155"/>
      <c r="AD195" s="155"/>
    </row>
    <row r="196" spans="1:30" s="2" customFormat="1" ht="15.5" x14ac:dyDescent="0.35">
      <c r="A196" s="41" t="str">
        <f>IF(F196=" "," ",IF(OR('депозитный калькулятор'!$G$7="30/365",'депозитный калькулятор'!$G$7="30/360"),IF(AND(MONTH(F196)=2,DAY(F196)=DAY(EOMONTH(F196,0))),30-DAY(EOMONTH(F196,0)),IF(DAY(F196)=31,1," "))," "))</f>
        <v xml:space="preserve"> </v>
      </c>
      <c r="B196" s="130" t="str">
        <f t="shared" si="11"/>
        <v xml:space="preserve"> </v>
      </c>
      <c r="C196" s="130" t="str">
        <f>IF(OR(B196=0,B196=" ")," ",SUM($B$23:B196))</f>
        <v xml:space="preserve"> </v>
      </c>
      <c r="D196" s="62" t="str">
        <f>IF(D195=" "," ",IF(OR(F195='депозитный калькулятор'!$D$8,F195=" ")," ",D195+1))</f>
        <v xml:space="preserve"> </v>
      </c>
      <c r="E196" s="130" t="str">
        <f>IF(OR(F195='депозитный калькулятор'!$D$8,F195=" ")," ",IF(EOMONTH(F195,0)=F195,1,E195+1))</f>
        <v xml:space="preserve"> </v>
      </c>
      <c r="F196" s="64" t="str">
        <f>IF(F195=" "," ",IF(F195='депозитный калькулятор'!$D$8," ",F195+1))</f>
        <v xml:space="preserve"> </v>
      </c>
      <c r="G196" s="145" t="str">
        <f xml:space="preserve"> IF(F196&gt;'депозитный калькулятор'!$D$8," ",IF('депозитный калькулятор'!$G$13="есть",IF('депозитный калькулятор'!$G$14="есть",G195+IF(I195=" ",0,I195)-J196-K196+L196+M196-N196,G195+IF(I195=" ",0,I195)-J196-K196+M196-N196),IF('депозитный калькулятор'!$G$14="есть",G195-J196-K196+L196+M196-N196,G195-J196-K196+M196-N196)))</f>
        <v xml:space="preserve"> </v>
      </c>
      <c r="H196" s="133" t="str">
        <f>IF(F196&gt;'депозитный калькулятор'!$D$8," ",IF(AND(OR('депозитный калькулятор'!$G$7="30/365",'депозитный калькулятор'!$G$7="30/360"),AND(MONTH(F196)=2,EOMONTH(F196,0)=F196)),IF(DAY(F196)=28,3*G196*'депозитный калькулятор'!$G$8,2*G196*'депозитный калькулятор'!$G$8),IF(AND(OR('депозитный калькулятор'!$G$7="30/365",'депозитный калькулятор'!$G$7="30/360"),DAY(F196)=31)," ",IF(AND('депозитный калькулятор'!$G$7="факт/факт",MOD(YEAR(F196),4)=0),G196*'депозитный калькулятор'!$D$11/366,G196*'депозитный калькулятор'!$G$8))))</f>
        <v xml:space="preserve"> </v>
      </c>
      <c r="I196" s="134" t="str">
        <f ca="1">IF(F196=" "," ",IF('депозитный калькулятор'!$G$10="ежедневное",H196,IF(AND('депозитный калькулятор'!$G$10="еженедельное",WEEKDAY(F196,2)=7),SUM(OFFSET(H196,-6,0):H196),IF(AND('депозитный калькулятор'!$G$10="еженедельное",F196='депозитный калькулятор'!$D$8),SUM($H$23:H196)-SUM($I$23:I195),IF(AND('депозитный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недели",WEEKDAY(F196,2)=7),MIN(OFFSET(H196,-6,0):H196)*(COUNTIF(OFFSET(H196,-6,0):H196,"&gt;0")+SUMIF(OFFSET(A196,-WEEKDAY(F196,2),0):A196,"=2",OFFSET(A196,-WEEKDAY(F196,2),0):A196)),IF(AND('депозитный калькулятор'!$G$10="еженедельное, на минимальную сумму зафиксированную в течение недели",F196='депозитный калькулятор'!$D$8,WEEKDAY(F196,2)&lt;&gt;7),MIN(OFFSET(H196,-WEEKDAY(F196,2),0):H196)*(COUNTIF(OFFSET(H196,-WEEKDAY(F196,2)+1,0):H196,"&gt;0")+SUM(OFFSET(A196,-WEEKDAY(F196,2),0):A196)),IF(AND('депозитный калькулятор'!$G$10="ежемесячное (в конце месяца)",F196='депозитный калькулятор'!$D$8,EOMONTH(F196,0)&lt;&gt;F196),IF('депозитный калькулятор'!$F$1=1,$H$24,SUM($H$23:H196)-SUM($I$23:I195)),IF(AND('депозитный калькулятор'!$G$10="ежемесячное (в конце месяца)",EOMONTH(F196,0)=F196),SUM($H$23:H196)-SUM($I$23:I195),IF(AND('депозитный калькулятор'!$G$10="ежемесячное (по дням открытия вклада)",F196='депозитный калькулятор'!$D$8,DAY('депозитный калькулятор'!$D$7)&lt;&gt;DAY(F196)),IF('депозитный калькулятор'!$F$1=1,$H$24,SUM($H$23:H196)-SUM($I$23:I195)),IF(AND('депозитный калькулятор'!$G$10="ежемесячное (по дням открытия вклада)",DAY('депозитный калькулятор'!$D$7)=DAY(F196)),SUM($H$23:H196)-SUM($I$23:I195),IF(AND('депозитный калькулятор'!$G$10="ежемесячное, на минимальную сумму зафиксированную в течение месяца",F196='депозитный калькулятор'!$D$8,EOMONTH(F196,0)&lt;&gt;F196),IF('депозитный калькулятор'!$F$1=1,$H$24,IF(AND(OR('депозитный калькулятор'!$G$7="30/365",'депозитный калькулятор'!$G$7="30/360"),DAY(F196)=31),0,MIN(OFFSET(H196,-E196+1,0):H196)*(E196+SUMIF(OFFSET(A196,-E196+1,0):A196,"=2",OFFSET(A196,-E196+1,0):A196)))),IF(AND('депозитный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калькулятор'!$G$7="30/360"),DAY(EOMONTH(F196,0))=31),EOMONTH(F196,0)-1=F196,EOMONTH(F196,0)=F196)),IF(IF(AND(OR('депозитный калькулятор'!$G$7="30/365",'депозитный калькулятор'!$G$7="30/360"),DAY(EOMONTH($F$23,0))=31),F196=EOMONTH($F$23,0)-1,F196=EOMONTH($F$23,0)),MIN(OFFSET(H196,-(DAY(F196)-DAY($F$23)),0):H196)*E196,MIN(OFFSET(H196,-(DAY(F196)-1),0):H196)*IF(AND(OR('депозитный калькулятор'!$G$7="30/365",'депозитный калькулятор'!$G$7="30/360"),DAY(F196)&lt;30),30,DAY(F196))),IF(AND('депозитный калькулятор'!$G$10="ежемесячное, на средний остаток в течение месяца, при условии что остаток больше чем ограничение",F196='депозитный калькулятор'!$D$8,EOMONTH(F196,0)&lt;&gt;F196),IF('депозитный калькулятор'!$F$1=1,$H$24,SUM(OFFSET(Q196,-E196+1,0):Q196)),IF(AND('депозитный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калькулятор'!$G$7="30/360"),DAY(EOMONTH(F196,0))=31),EOMONTH(F196,0)-1=F196,EOMONTH(F196,0)=F196)),IF(IF(AND(OR('депозитный калькулятор'!$G$7="30/365",'депозитный калькулятор'!$G$7="30/360"),DAY(EOMONTH($F$24,0))=31),F196=EOMONTH($F$24,0)-1,F196=EOMONTH($F$24,0)),SUM(OFFSET(Q196,-E196+1,0):Q196),SUM(OFFSET(Q196,-E196+1,0):Q196)),IF('депозитный калькулятор'!$G$10="ежеквартальное",IF(F196&gt;'депозитный калькулятор'!$D$8," ",IF(AND(EOMONTH(F196,0)=F196,OR(MONTH(F196)=3,MONTH(F196)=6,MONTH(F196)=9,MONTH(F196)=12)),IF(EDATE(F196,-3)&lt;'депозитный калькулятор'!$D$7,SUM($H$23:H196),IF(MOD(YEAR(F196),4)=0,IF(AND(EOMONTH(F196,0)=F196,OR(MONTH(F196)=3,MONTH(F196)=6)),SUM(OFFSET(H196,-90,0):H196),IF(AND(EOMONTH(F196,0)=F196,OR(MONTH(F196)=9,MONTH(F196)=12)),SUM(OFFSET(H196,-91,0):H196))),IF(AND(EOMONTH(F196,0)=F196,MONTH(F196)=3),SUM(OFFSET(H196,-89,0):H196),IF(AND(EOMONTH(F196,0)=F196,MONTH(F196)=6),SUM(OFFSET(H196,-90,0):H196),IF(AND(EOMONTH(F196,0)=F196,OR(MONTH(F196)=9,MONTH(F196)=12)),SUM(OFFSET(H196,-91,0):H196)))))),IF(F196='депозитный калькулятор'!$D$8,SUM($H$23:H196)-SUM($I$23:I195),0))),IF('депозитный калькулятор'!$G$10="ежегодное",IF(F196&gt;'депозитный калькулятор'!$D$8," ",IF(F196='депозитный калькулятор'!$D$8,SUM($H$23:H196)-SUM($I$23:I195),IF(AND(EOMONTH(F196,0)=F196,MONTH(F196)=12),IF(MOD(YEAR(F195),4)=0,IF(F196-'депозитный калькулятор'!$D$7&lt;366,SUM($H$23:H196),SUM(OFFSET(H196,-365,0):H196)),IF(F196-'депозитный калькулятор'!$D$7&lt;365,SUM($H$23:H196),SUM(OFFSET(H196,-364,0):H196))),0))),IF(AND('депозитный калькулятор'!$G$10="в конце срока",'депозитный калькулятор'!$D$8=F196),SUM($H$23:H196),0))))))))))))))))))</f>
        <v xml:space="preserve"> </v>
      </c>
      <c r="J196" s="59" t="str">
        <f>IF(F196&gt;'депозитный калькулятор'!$D$8," ",IF('депозитный калькулятор'!$G$16="нет",0,IF(AND('депозитный калькулятор'!$G$17="разовая (в конце срока)",F196='депозитный калькулятор'!$D$8),'депозитный калькулятор'!$G$18,IF(AND('депозитный калькулятор'!$G$17="ежемесячная",EOMONTH(F195,0)=F195),'депозитный калькулятор'!$G$18,IF(AND('депозитный калькулятор'!$G$17="ежегодная",DAY(F195)=31,MONTH(F195)=12),'депозитный калькулятор'!$G$18,IF(AND('депозитный калькулятор'!$G$17="ежемесячная в зависимости от остатка",EOMONTH(F195,0)=F195,P195&gt;0),'депозитный калькулятор'!$G$18,IF(AND('депозитный калькулятор'!$G$17="ежегодная в зависимости от остатка",DAY(F195)=31,MONTH(F195)=12,P195&gt;0),'депозитный калькулятор'!$G$18,0)))))))</f>
        <v xml:space="preserve"> </v>
      </c>
      <c r="K196" s="135" t="str">
        <f>IF($F196=" "," ",IFERROR(VLOOKUP($F196,'депозитный калькулятор'!$B$26:$F$70,2,0),0))</f>
        <v xml:space="preserve"> </v>
      </c>
      <c r="L196" s="135" t="str">
        <f>IF($F196=" "," ",IFERROR(VLOOKUP($F196,'депозитный калькулятор'!$B$26:$F$70,3,0),0))</f>
        <v xml:space="preserve"> </v>
      </c>
      <c r="M196" s="135" t="str">
        <f>IF($F196=" "," ",IFERROR(VLOOKUP($F196,'депозитный калькулятор'!$B$26:$F$70,4,0),0))</f>
        <v xml:space="preserve"> </v>
      </c>
      <c r="N196" s="135" t="str">
        <f>IF($F196=" "," ",IFERROR(VLOOKUP($F196,'депозитный калькулятор'!$B$26:$F$70,5,0),0))</f>
        <v xml:space="preserve"> </v>
      </c>
      <c r="O196" s="146" t="str">
        <f>IF(F196&gt;'депозитный калькулятор'!$D$8," ",IF(F196='депозитный калькулятор'!$D$8,IF(AND($F$24='депозитный калькулятор'!$D$8,'депозитный калькулятор'!$G$13="нет"),-G196-IF(I196=" ",0,I196)-IF(AND(OR('депозитный калькулятор'!$G$7="30/365",'депозитный калькулятор'!$G$7="30/360"),'депозитный калькулятор'!$G$10="в начале срока"),I195,0)-L196+M196-N196,-G196-IF(I196=" ",0,I196)-L196+M196-N196),IF('депозитный калькулятор'!$G$13="есть",M196-N196+IF('депозитный калькулятор'!$G$14="есть",0,-L196),-IF(I196=" ",0,I196)-IF(AND(OR('депозитный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срока"),I195,0)+M196-N196+IF('депозитный калькулятор'!$G$14="есть",0,-L196))))</f>
        <v xml:space="preserve"> </v>
      </c>
      <c r="P196" s="147" t="str">
        <f>IF(F196&gt;'депозитный калькулятор'!$D$8," ",IF(EOMONTH(F195,0)=F195,0,IF(G196&gt;='депозитный калькулятор'!$G$19,P195,P195+1)))</f>
        <v xml:space="preserve"> </v>
      </c>
      <c r="Q196" s="138" t="str">
        <f>IF(F196=" "," ",IF(AND(OR('депозитный калькулятор'!$G$7="30/365",'депозитный калькулятор'!$G$7="30/360"),AND(MONTH(F196)=2,EOMONTH(F196,0)=F196)),IF(DAY(F196)=28,3,2),1)*IF(G196&gt;='депозитный калькулятор'!$G$11,IF(AND('депозитный калькулятор'!$G$7="факт/факт",MOD(YEAR(F196),4)=0),G196*'депозитный калькулятор'!$D$11/366,G196*'депозитный калькулятор'!$G$8),0))</f>
        <v xml:space="preserve"> </v>
      </c>
      <c r="R196" s="148"/>
      <c r="S196" s="62" t="str">
        <f t="shared" ca="1" si="12"/>
        <v xml:space="preserve"> </v>
      </c>
      <c r="T196" s="149" t="str">
        <f ca="1">IF(S196=" "," ",IF('депозитный калькулятор'!$G$7="30/360",DAYS360(U195,IF(DAY(U196)=31,U196-1,U196))+IF(AND(MONTH(U196)=2,U196=EOMONTH(U196,0)),30-DAY(EOMONTH(U196,0)))+T195,VLOOKUP(S196,$C$22:$F$1023,2,0)))</f>
        <v xml:space="preserve"> </v>
      </c>
      <c r="U196" s="64" t="str">
        <f t="shared" ca="1" si="10"/>
        <v xml:space="preserve"> </v>
      </c>
      <c r="V196" s="150" t="str">
        <f t="shared" ca="1" si="13"/>
        <v xml:space="preserve"> </v>
      </c>
      <c r="W196" s="62" t="str">
        <f t="shared" ca="1" si="14"/>
        <v xml:space="preserve"> </v>
      </c>
      <c r="X196" s="141" t="str">
        <f ca="1">IF(S196=" "," ",IFERROR(VLOOKUP(U196,$F$23:$N$1023,7)+VLOOKUP(U196,$F$23:$N$1023,9)+IF(AND('депозитный калькулятор'!$G$13="нет",U196&lt;&gt;'депозитный калькулятор'!$D$8),VLOOKUP(U196,$F$23:$N$1023,4),0),0)+IF(U196='депозитный калькулятор'!$D$8,VLOOKUP(U196,$F$23:$N$1023,2)+VLOOKUP(U196,$F$23:$N$1023,4),0))</f>
        <v xml:space="preserve"> </v>
      </c>
      <c r="Y196" s="142" t="str">
        <f ca="1">IF(S196=" "," ",W196/(1+'депозитный калькулятор'!$K$8)^(T196/IF('депозитный калькулятор'!$G$7="30/360",360,365)))</f>
        <v xml:space="preserve"> </v>
      </c>
      <c r="Z196" s="142" t="str">
        <f ca="1">IF(S196=" "," ",X196/(1+'депозитный калькулятор'!$K$8)^(T196/IF('депозитный калькулятор'!$G$7="30/360",360,365)))</f>
        <v xml:space="preserve"> </v>
      </c>
      <c r="AA196" s="151"/>
      <c r="AB196" s="151"/>
      <c r="AC196" s="155"/>
      <c r="AD196" s="155"/>
    </row>
    <row r="197" spans="1:30" s="2" customFormat="1" ht="15.5" x14ac:dyDescent="0.35">
      <c r="A197" s="41" t="str">
        <f>IF(F197=" "," ",IF(OR('депозитный калькулятор'!$G$7="30/365",'депозитный калькулятор'!$G$7="30/360"),IF(AND(MONTH(F197)=2,DAY(F197)=DAY(EOMONTH(F197,0))),30-DAY(EOMONTH(F197,0)),IF(DAY(F197)=31,1," "))," "))</f>
        <v xml:space="preserve"> </v>
      </c>
      <c r="B197" s="130" t="str">
        <f t="shared" si="11"/>
        <v xml:space="preserve"> </v>
      </c>
      <c r="C197" s="130" t="str">
        <f>IF(OR(B197=0,B197=" ")," ",SUM($B$23:B197))</f>
        <v xml:space="preserve"> </v>
      </c>
      <c r="D197" s="62" t="str">
        <f>IF(D196=" "," ",IF(OR(F196='депозитный калькулятор'!$D$8,F196=" ")," ",D196+1))</f>
        <v xml:space="preserve"> </v>
      </c>
      <c r="E197" s="130" t="str">
        <f>IF(OR(F196='депозитный калькулятор'!$D$8,F196=" ")," ",IF(EOMONTH(F196,0)=F196,1,E196+1))</f>
        <v xml:space="preserve"> </v>
      </c>
      <c r="F197" s="64" t="str">
        <f>IF(F196=" "," ",IF(F196='депозитный калькулятор'!$D$8," ",F196+1))</f>
        <v xml:space="preserve"> </v>
      </c>
      <c r="G197" s="145" t="str">
        <f xml:space="preserve"> IF(F197&gt;'депозитный калькулятор'!$D$8," ",IF('депозитный калькулятор'!$G$13="есть",IF('депозитный калькулятор'!$G$14="есть",G196+IF(I196=" ",0,I196)-J197-K197+L197+M197-N197,G196+IF(I196=" ",0,I196)-J197-K197+M197-N197),IF('депозитный калькулятор'!$G$14="есть",G196-J197-K197+L197+M197-N197,G196-J197-K197+M197-N197)))</f>
        <v xml:space="preserve"> </v>
      </c>
      <c r="H197" s="133" t="str">
        <f>IF(F197&gt;'депозитный калькулятор'!$D$8," ",IF(AND(OR('депозитный калькулятор'!$G$7="30/365",'депозитный калькулятор'!$G$7="30/360"),AND(MONTH(F197)=2,EOMONTH(F197,0)=F197)),IF(DAY(F197)=28,3*G197*'депозитный калькулятор'!$G$8,2*G197*'депозитный калькулятор'!$G$8),IF(AND(OR('депозитный калькулятор'!$G$7="30/365",'депозитный калькулятор'!$G$7="30/360"),DAY(F197)=31)," ",IF(AND('депозитный калькулятор'!$G$7="факт/факт",MOD(YEAR(F197),4)=0),G197*'депозитный калькулятор'!$D$11/366,G197*'депозитный калькулятор'!$G$8))))</f>
        <v xml:space="preserve"> </v>
      </c>
      <c r="I197" s="134" t="str">
        <f ca="1">IF(F197=" "," ",IF('депозитный калькулятор'!$G$10="ежедневное",H197,IF(AND('депозитный калькулятор'!$G$10="еженедельное",WEEKDAY(F197,2)=7),SUM(OFFSET(H197,-6,0):H197),IF(AND('депозитный калькулятор'!$G$10="еженедельное",F197='депозитный калькулятор'!$D$8),SUM($H$23:H197)-SUM($I$23:I196),IF(AND('депозитный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недели",WEEKDAY(F197,2)=7),MIN(OFFSET(H197,-6,0):H197)*(COUNTIF(OFFSET(H197,-6,0):H197,"&gt;0")+SUMIF(OFFSET(A197,-WEEKDAY(F197,2),0):A197,"=2",OFFSET(A197,-WEEKDAY(F197,2),0):A197)),IF(AND('депозитный калькулятор'!$G$10="еженедельное, на минимальную сумму зафиксированную в течение недели",F197='депозитный калькулятор'!$D$8,WEEKDAY(F197,2)&lt;&gt;7),MIN(OFFSET(H197,-WEEKDAY(F197,2),0):H197)*(COUNTIF(OFFSET(H197,-WEEKDAY(F197,2)+1,0):H197,"&gt;0")+SUM(OFFSET(A197,-WEEKDAY(F197,2),0):A197)),IF(AND('депозитный калькулятор'!$G$10="ежемесячное (в конце месяца)",F197='депозитный калькулятор'!$D$8,EOMONTH(F197,0)&lt;&gt;F197),IF('депозитный калькулятор'!$F$1=1,$H$24,SUM($H$23:H197)-SUM($I$23:I196)),IF(AND('депозитный калькулятор'!$G$10="ежемесячное (в конце месяца)",EOMONTH(F197,0)=F197),SUM($H$23:H197)-SUM($I$23:I196),IF(AND('депозитный калькулятор'!$G$10="ежемесячное (по дням открытия вклада)",F197='депозитный калькулятор'!$D$8,DAY('депозитный калькулятор'!$D$7)&lt;&gt;DAY(F197)),IF('депозитный калькулятор'!$F$1=1,$H$24,SUM($H$23:H197)-SUM($I$23:I196)),IF(AND('депозитный калькулятор'!$G$10="ежемесячное (по дням открытия вклада)",DAY('депозитный калькулятор'!$D$7)=DAY(F197)),SUM($H$23:H197)-SUM($I$23:I196),IF(AND('депозитный калькулятор'!$G$10="ежемесячное, на минимальную сумму зафиксированную в течение месяца",F197='депозитный калькулятор'!$D$8,EOMONTH(F197,0)&lt;&gt;F197),IF('депозитный калькулятор'!$F$1=1,$H$24,IF(AND(OR('депозитный калькулятор'!$G$7="30/365",'депозитный калькулятор'!$G$7="30/360"),DAY(F197)=31),0,MIN(OFFSET(H197,-E197+1,0):H197)*(E197+SUMIF(OFFSET(A197,-E197+1,0):A197,"=2",OFFSET(A197,-E197+1,0):A197)))),IF(AND('депозитный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калькулятор'!$G$7="30/360"),DAY(EOMONTH(F197,0))=31),EOMONTH(F197,0)-1=F197,EOMONTH(F197,0)=F197)),IF(IF(AND(OR('депозитный калькулятор'!$G$7="30/365",'депозитный калькулятор'!$G$7="30/360"),DAY(EOMONTH($F$23,0))=31),F197=EOMONTH($F$23,0)-1,F197=EOMONTH($F$23,0)),MIN(OFFSET(H197,-(DAY(F197)-DAY($F$23)),0):H197)*E197,MIN(OFFSET(H197,-(DAY(F197)-1),0):H197)*IF(AND(OR('депозитный калькулятор'!$G$7="30/365",'депозитный калькулятор'!$G$7="30/360"),DAY(F197)&lt;30),30,DAY(F197))),IF(AND('депозитный калькулятор'!$G$10="ежемесячное, на средний остаток в течение месяца, при условии что остаток больше чем ограничение",F197='депозитный калькулятор'!$D$8,EOMONTH(F197,0)&lt;&gt;F197),IF('депозитный калькулятор'!$F$1=1,$H$24,SUM(OFFSET(Q197,-E197+1,0):Q197)),IF(AND('депозитный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калькулятор'!$G$7="30/360"),DAY(EOMONTH(F197,0))=31),EOMONTH(F197,0)-1=F197,EOMONTH(F197,0)=F197)),IF(IF(AND(OR('депозитный калькулятор'!$G$7="30/365",'депозитный калькулятор'!$G$7="30/360"),DAY(EOMONTH($F$24,0))=31),F197=EOMONTH($F$24,0)-1,F197=EOMONTH($F$24,0)),SUM(OFFSET(Q197,-E197+1,0):Q197),SUM(OFFSET(Q197,-E197+1,0):Q197)),IF('депозитный калькулятор'!$G$10="ежеквартальное",IF(F197&gt;'депозитный калькулятор'!$D$8," ",IF(AND(EOMONTH(F197,0)=F197,OR(MONTH(F197)=3,MONTH(F197)=6,MONTH(F197)=9,MONTH(F197)=12)),IF(EDATE(F197,-3)&lt;'депозитный калькулятор'!$D$7,SUM($H$23:H197),IF(MOD(YEAR(F197),4)=0,IF(AND(EOMONTH(F197,0)=F197,OR(MONTH(F197)=3,MONTH(F197)=6)),SUM(OFFSET(H197,-90,0):H197),IF(AND(EOMONTH(F197,0)=F197,OR(MONTH(F197)=9,MONTH(F197)=12)),SUM(OFFSET(H197,-91,0):H197))),IF(AND(EOMONTH(F197,0)=F197,MONTH(F197)=3),SUM(OFFSET(H197,-89,0):H197),IF(AND(EOMONTH(F197,0)=F197,MONTH(F197)=6),SUM(OFFSET(H197,-90,0):H197),IF(AND(EOMONTH(F197,0)=F197,OR(MONTH(F197)=9,MONTH(F197)=12)),SUM(OFFSET(H197,-91,0):H197)))))),IF(F197='депозитный калькулятор'!$D$8,SUM($H$23:H197)-SUM($I$23:I196),0))),IF('депозитный калькулятор'!$G$10="ежегодное",IF(F197&gt;'депозитный калькулятор'!$D$8," ",IF(F197='депозитный калькулятор'!$D$8,SUM($H$23:H197)-SUM($I$23:I196),IF(AND(EOMONTH(F197,0)=F197,MONTH(F197)=12),IF(MOD(YEAR(F196),4)=0,IF(F197-'депозитный калькулятор'!$D$7&lt;366,SUM($H$23:H197),SUM(OFFSET(H197,-365,0):H197)),IF(F197-'депозитный калькулятор'!$D$7&lt;365,SUM($H$23:H197),SUM(OFFSET(H197,-364,0):H197))),0))),IF(AND('депозитный калькулятор'!$G$10="в конце срока",'депозитный калькулятор'!$D$8=F197),SUM($H$23:H197),0))))))))))))))))))</f>
        <v xml:space="preserve"> </v>
      </c>
      <c r="J197" s="59" t="str">
        <f>IF(F197&gt;'депозитный калькулятор'!$D$8," ",IF('депозитный калькулятор'!$G$16="нет",0,IF(AND('депозитный калькулятор'!$G$17="разовая (в конце срока)",F197='депозитный калькулятор'!$D$8),'депозитный калькулятор'!$G$18,IF(AND('депозитный калькулятор'!$G$17="ежемесячная",EOMONTH(F196,0)=F196),'депозитный калькулятор'!$G$18,IF(AND('депозитный калькулятор'!$G$17="ежегодная",DAY(F196)=31,MONTH(F196)=12),'депозитный калькулятор'!$G$18,IF(AND('депозитный калькулятор'!$G$17="ежемесячная в зависимости от остатка",EOMONTH(F196,0)=F196,P196&gt;0),'депозитный калькулятор'!$G$18,IF(AND('депозитный калькулятор'!$G$17="ежегодная в зависимости от остатка",DAY(F196)=31,MONTH(F196)=12,P196&gt;0),'депозитный калькулятор'!$G$18,0)))))))</f>
        <v xml:space="preserve"> </v>
      </c>
      <c r="K197" s="135" t="str">
        <f>IF($F197=" "," ",IFERROR(VLOOKUP($F197,'депозитный калькулятор'!$B$26:$F$70,2,0),0))</f>
        <v xml:space="preserve"> </v>
      </c>
      <c r="L197" s="135" t="str">
        <f>IF($F197=" "," ",IFERROR(VLOOKUP($F197,'депозитный калькулятор'!$B$26:$F$70,3,0),0))</f>
        <v xml:space="preserve"> </v>
      </c>
      <c r="M197" s="135" t="str">
        <f>IF($F197=" "," ",IFERROR(VLOOKUP($F197,'депозитный калькулятор'!$B$26:$F$70,4,0),0))</f>
        <v xml:space="preserve"> </v>
      </c>
      <c r="N197" s="135" t="str">
        <f>IF($F197=" "," ",IFERROR(VLOOKUP($F197,'депозитный калькулятор'!$B$26:$F$70,5,0),0))</f>
        <v xml:space="preserve"> </v>
      </c>
      <c r="O197" s="146" t="str">
        <f>IF(F197&gt;'депозитный калькулятор'!$D$8," ",IF(F197='депозитный калькулятор'!$D$8,IF(AND($F$24='депозитный калькулятор'!$D$8,'депозитный калькулятор'!$G$13="нет"),-G197-IF(I197=" ",0,I197)-IF(AND(OR('депозитный калькулятор'!$G$7="30/365",'депозитный калькулятор'!$G$7="30/360"),'депозитный калькулятор'!$G$10="в начале срока"),I196,0)-L197+M197-N197,-G197-IF(I197=" ",0,I197)-L197+M197-N197),IF('депозитный калькулятор'!$G$13="есть",M197-N197+IF('депозитный калькулятор'!$G$14="есть",0,-L197),-IF(I197=" ",0,I197)-IF(AND(OR('депозитный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срока"),I196,0)+M197-N197+IF('депозитный калькулятор'!$G$14="есть",0,-L197))))</f>
        <v xml:space="preserve"> </v>
      </c>
      <c r="P197" s="147" t="str">
        <f>IF(F197&gt;'депозитный калькулятор'!$D$8," ",IF(EOMONTH(F196,0)=F196,0,IF(G197&gt;='депозитный калькулятор'!$G$19,P196,P196+1)))</f>
        <v xml:space="preserve"> </v>
      </c>
      <c r="Q197" s="138" t="str">
        <f>IF(F197=" "," ",IF(AND(OR('депозитный калькулятор'!$G$7="30/365",'депозитный калькулятор'!$G$7="30/360"),AND(MONTH(F197)=2,EOMONTH(F197,0)=F197)),IF(DAY(F197)=28,3,2),1)*IF(G197&gt;='депозитный калькулятор'!$G$11,IF(AND('депозитный калькулятор'!$G$7="факт/факт",MOD(YEAR(F197),4)=0),G197*'депозитный калькулятор'!$D$11/366,G197*'депозитный калькулятор'!$G$8),0))</f>
        <v xml:space="preserve"> </v>
      </c>
      <c r="R197" s="148"/>
      <c r="S197" s="62" t="str">
        <f t="shared" ca="1" si="12"/>
        <v xml:space="preserve"> </v>
      </c>
      <c r="T197" s="149" t="str">
        <f ca="1">IF(S197=" "," ",IF('депозитный калькулятор'!$G$7="30/360",DAYS360(U196,IF(DAY(U197)=31,U197-1,U197))+IF(AND(MONTH(U197)=2,U197=EOMONTH(U197,0)),30-DAY(EOMONTH(U197,0)))+T196,VLOOKUP(S197,$C$22:$F$1023,2,0)))</f>
        <v xml:space="preserve"> </v>
      </c>
      <c r="U197" s="64" t="str">
        <f t="shared" ca="1" si="10"/>
        <v xml:space="preserve"> </v>
      </c>
      <c r="V197" s="150" t="str">
        <f t="shared" ca="1" si="13"/>
        <v xml:space="preserve"> </v>
      </c>
      <c r="W197" s="62" t="str">
        <f t="shared" ca="1" si="14"/>
        <v xml:space="preserve"> </v>
      </c>
      <c r="X197" s="141" t="str">
        <f ca="1">IF(S197=" "," ",IFERROR(VLOOKUP(U197,$F$23:$N$1023,7)+VLOOKUP(U197,$F$23:$N$1023,9)+IF(AND('депозитный калькулятор'!$G$13="нет",U197&lt;&gt;'депозитный калькулятор'!$D$8),VLOOKUP(U197,$F$23:$N$1023,4),0),0)+IF(U197='депозитный калькулятор'!$D$8,VLOOKUP(U197,$F$23:$N$1023,2)+VLOOKUP(U197,$F$23:$N$1023,4),0))</f>
        <v xml:space="preserve"> </v>
      </c>
      <c r="Y197" s="142" t="str">
        <f ca="1">IF(S197=" "," ",W197/(1+'депозитный калькулятор'!$K$8)^(T197/IF('депозитный калькулятор'!$G$7="30/360",360,365)))</f>
        <v xml:space="preserve"> </v>
      </c>
      <c r="Z197" s="142" t="str">
        <f ca="1">IF(S197=" "," ",X197/(1+'депозитный калькулятор'!$K$8)^(T197/IF('депозитный калькулятор'!$G$7="30/360",360,365)))</f>
        <v xml:space="preserve"> </v>
      </c>
      <c r="AA197" s="151"/>
      <c r="AB197" s="151"/>
      <c r="AC197" s="155"/>
      <c r="AD197" s="155"/>
    </row>
    <row r="198" spans="1:30" s="2" customFormat="1" ht="15.5" x14ac:dyDescent="0.35">
      <c r="A198" s="41" t="str">
        <f>IF(F198=" "," ",IF(OR('депозитный калькулятор'!$G$7="30/365",'депозитный калькулятор'!$G$7="30/360"),IF(AND(MONTH(F198)=2,DAY(F198)=DAY(EOMONTH(F198,0))),30-DAY(EOMONTH(F198,0)),IF(DAY(F198)=31,1," "))," "))</f>
        <v xml:space="preserve"> </v>
      </c>
      <c r="B198" s="130" t="str">
        <f t="shared" si="11"/>
        <v xml:space="preserve"> </v>
      </c>
      <c r="C198" s="130" t="str">
        <f>IF(OR(B198=0,B198=" ")," ",SUM($B$23:B198))</f>
        <v xml:space="preserve"> </v>
      </c>
      <c r="D198" s="62" t="str">
        <f>IF(D197=" "," ",IF(OR(F197='депозитный калькулятор'!$D$8,F197=" ")," ",D197+1))</f>
        <v xml:space="preserve"> </v>
      </c>
      <c r="E198" s="130" t="str">
        <f>IF(OR(F197='депозитный калькулятор'!$D$8,F197=" ")," ",IF(EOMONTH(F197,0)=F197,1,E197+1))</f>
        <v xml:space="preserve"> </v>
      </c>
      <c r="F198" s="64" t="str">
        <f>IF(F197=" "," ",IF(F197='депозитный калькулятор'!$D$8," ",F197+1))</f>
        <v xml:space="preserve"> </v>
      </c>
      <c r="G198" s="145" t="str">
        <f xml:space="preserve"> IF(F198&gt;'депозитный калькулятор'!$D$8," ",IF('депозитный калькулятор'!$G$13="есть",IF('депозитный калькулятор'!$G$14="есть",G197+IF(I197=" ",0,I197)-J198-K198+L198+M198-N198,G197+IF(I197=" ",0,I197)-J198-K198+M198-N198),IF('депозитный калькулятор'!$G$14="есть",G197-J198-K198+L198+M198-N198,G197-J198-K198+M198-N198)))</f>
        <v xml:space="preserve"> </v>
      </c>
      <c r="H198" s="133" t="str">
        <f>IF(F198&gt;'депозитный калькулятор'!$D$8," ",IF(AND(OR('депозитный калькулятор'!$G$7="30/365",'депозитный калькулятор'!$G$7="30/360"),AND(MONTH(F198)=2,EOMONTH(F198,0)=F198)),IF(DAY(F198)=28,3*G198*'депозитный калькулятор'!$G$8,2*G198*'депозитный калькулятор'!$G$8),IF(AND(OR('депозитный калькулятор'!$G$7="30/365",'депозитный калькулятор'!$G$7="30/360"),DAY(F198)=31)," ",IF(AND('депозитный калькулятор'!$G$7="факт/факт",MOD(YEAR(F198),4)=0),G198*'депозитный калькулятор'!$D$11/366,G198*'депозитный калькулятор'!$G$8))))</f>
        <v xml:space="preserve"> </v>
      </c>
      <c r="I198" s="134" t="str">
        <f ca="1">IF(F198=" "," ",IF('депозитный калькулятор'!$G$10="ежедневное",H198,IF(AND('депозитный калькулятор'!$G$10="еженедельное",WEEKDAY(F198,2)=7),SUM(OFFSET(H198,-6,0):H198),IF(AND('депозитный калькулятор'!$G$10="еженедельное",F198='депозитный калькулятор'!$D$8),SUM($H$23:H198)-SUM($I$23:I197),IF(AND('депозитный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недели",WEEKDAY(F198,2)=7),MIN(OFFSET(H198,-6,0):H198)*(COUNTIF(OFFSET(H198,-6,0):H198,"&gt;0")+SUMIF(OFFSET(A198,-WEEKDAY(F198,2),0):A198,"=2",OFFSET(A198,-WEEKDAY(F198,2),0):A198)),IF(AND('депозитный калькулятор'!$G$10="еженедельное, на минимальную сумму зафиксированную в течение недели",F198='депозитный калькулятор'!$D$8,WEEKDAY(F198,2)&lt;&gt;7),MIN(OFFSET(H198,-WEEKDAY(F198,2),0):H198)*(COUNTIF(OFFSET(H198,-WEEKDAY(F198,2)+1,0):H198,"&gt;0")+SUM(OFFSET(A198,-WEEKDAY(F198,2),0):A198)),IF(AND('депозитный калькулятор'!$G$10="ежемесячное (в конце месяца)",F198='депозитный калькулятор'!$D$8,EOMONTH(F198,0)&lt;&gt;F198),IF('депозитный калькулятор'!$F$1=1,$H$24,SUM($H$23:H198)-SUM($I$23:I197)),IF(AND('депозитный калькулятор'!$G$10="ежемесячное (в конце месяца)",EOMONTH(F198,0)=F198),SUM($H$23:H198)-SUM($I$23:I197),IF(AND('депозитный калькулятор'!$G$10="ежемесячное (по дням открытия вклада)",F198='депозитный калькулятор'!$D$8,DAY('депозитный калькулятор'!$D$7)&lt;&gt;DAY(F198)),IF('депозитный калькулятор'!$F$1=1,$H$24,SUM($H$23:H198)-SUM($I$23:I197)),IF(AND('депозитный калькулятор'!$G$10="ежемесячное (по дням открытия вклада)",DAY('депозитный калькулятор'!$D$7)=DAY(F198)),SUM($H$23:H198)-SUM($I$23:I197),IF(AND('депозитный калькулятор'!$G$10="ежемесячное, на минимальную сумму зафиксированную в течение месяца",F198='депозитный калькулятор'!$D$8,EOMONTH(F198,0)&lt;&gt;F198),IF('депозитный калькулятор'!$F$1=1,$H$24,IF(AND(OR('депозитный калькулятор'!$G$7="30/365",'депозитный калькулятор'!$G$7="30/360"),DAY(F198)=31),0,MIN(OFFSET(H198,-E198+1,0):H198)*(E198+SUMIF(OFFSET(A198,-E198+1,0):A198,"=2",OFFSET(A198,-E198+1,0):A198)))),IF(AND('депозитный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калькулятор'!$G$7="30/360"),DAY(EOMONTH(F198,0))=31),EOMONTH(F198,0)-1=F198,EOMONTH(F198,0)=F198)),IF(IF(AND(OR('депозитный калькулятор'!$G$7="30/365",'депозитный калькулятор'!$G$7="30/360"),DAY(EOMONTH($F$23,0))=31),F198=EOMONTH($F$23,0)-1,F198=EOMONTH($F$23,0)),MIN(OFFSET(H198,-(DAY(F198)-DAY($F$23)),0):H198)*E198,MIN(OFFSET(H198,-(DAY(F198)-1),0):H198)*IF(AND(OR('депозитный калькулятор'!$G$7="30/365",'депозитный калькулятор'!$G$7="30/360"),DAY(F198)&lt;30),30,DAY(F198))),IF(AND('депозитный калькулятор'!$G$10="ежемесячное, на средний остаток в течение месяца, при условии что остаток больше чем ограничение",F198='депозитный калькулятор'!$D$8,EOMONTH(F198,0)&lt;&gt;F198),IF('депозитный калькулятор'!$F$1=1,$H$24,SUM(OFFSET(Q198,-E198+1,0):Q198)),IF(AND('депозитный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калькулятор'!$G$7="30/360"),DAY(EOMONTH(F198,0))=31),EOMONTH(F198,0)-1=F198,EOMONTH(F198,0)=F198)),IF(IF(AND(OR('депозитный калькулятор'!$G$7="30/365",'депозитный калькулятор'!$G$7="30/360"),DAY(EOMONTH($F$24,0))=31),F198=EOMONTH($F$24,0)-1,F198=EOMONTH($F$24,0)),SUM(OFFSET(Q198,-E198+1,0):Q198),SUM(OFFSET(Q198,-E198+1,0):Q198)),IF('депозитный калькулятор'!$G$10="ежеквартальное",IF(F198&gt;'депозитный калькулятор'!$D$8," ",IF(AND(EOMONTH(F198,0)=F198,OR(MONTH(F198)=3,MONTH(F198)=6,MONTH(F198)=9,MONTH(F198)=12)),IF(EDATE(F198,-3)&lt;'депозитный калькулятор'!$D$7,SUM($H$23:H198),IF(MOD(YEAR(F198),4)=0,IF(AND(EOMONTH(F198,0)=F198,OR(MONTH(F198)=3,MONTH(F198)=6)),SUM(OFFSET(H198,-90,0):H198),IF(AND(EOMONTH(F198,0)=F198,OR(MONTH(F198)=9,MONTH(F198)=12)),SUM(OFFSET(H198,-91,0):H198))),IF(AND(EOMONTH(F198,0)=F198,MONTH(F198)=3),SUM(OFFSET(H198,-89,0):H198),IF(AND(EOMONTH(F198,0)=F198,MONTH(F198)=6),SUM(OFFSET(H198,-90,0):H198),IF(AND(EOMONTH(F198,0)=F198,OR(MONTH(F198)=9,MONTH(F198)=12)),SUM(OFFSET(H198,-91,0):H198)))))),IF(F198='депозитный калькулятор'!$D$8,SUM($H$23:H198)-SUM($I$23:I197),0))),IF('депозитный калькулятор'!$G$10="ежегодное",IF(F198&gt;'депозитный калькулятор'!$D$8," ",IF(F198='депозитный калькулятор'!$D$8,SUM($H$23:H198)-SUM($I$23:I197),IF(AND(EOMONTH(F198,0)=F198,MONTH(F198)=12),IF(MOD(YEAR(F197),4)=0,IF(F198-'депозитный калькулятор'!$D$7&lt;366,SUM($H$23:H198),SUM(OFFSET(H198,-365,0):H198)),IF(F198-'депозитный калькулятор'!$D$7&lt;365,SUM($H$23:H198),SUM(OFFSET(H198,-364,0):H198))),0))),IF(AND('депозитный калькулятор'!$G$10="в конце срока",'депозитный калькулятор'!$D$8=F198),SUM($H$23:H198),0))))))))))))))))))</f>
        <v xml:space="preserve"> </v>
      </c>
      <c r="J198" s="59" t="str">
        <f>IF(F198&gt;'депозитный калькулятор'!$D$8," ",IF('депозитный калькулятор'!$G$16="нет",0,IF(AND('депозитный калькулятор'!$G$17="разовая (в конце срока)",F198='депозитный калькулятор'!$D$8),'депозитный калькулятор'!$G$18,IF(AND('депозитный калькулятор'!$G$17="ежемесячная",EOMONTH(F197,0)=F197),'депозитный калькулятор'!$G$18,IF(AND('депозитный калькулятор'!$G$17="ежегодная",DAY(F197)=31,MONTH(F197)=12),'депозитный калькулятор'!$G$18,IF(AND('депозитный калькулятор'!$G$17="ежемесячная в зависимости от остатка",EOMONTH(F197,0)=F197,P197&gt;0),'депозитный калькулятор'!$G$18,IF(AND('депозитный калькулятор'!$G$17="ежегодная в зависимости от остатка",DAY(F197)=31,MONTH(F197)=12,P197&gt;0),'депозитный калькулятор'!$G$18,0)))))))</f>
        <v xml:space="preserve"> </v>
      </c>
      <c r="K198" s="135" t="str">
        <f>IF($F198=" "," ",IFERROR(VLOOKUP($F198,'депозитный калькулятор'!$B$26:$F$70,2,0),0))</f>
        <v xml:space="preserve"> </v>
      </c>
      <c r="L198" s="135" t="str">
        <f>IF($F198=" "," ",IFERROR(VLOOKUP($F198,'депозитный калькулятор'!$B$26:$F$70,3,0),0))</f>
        <v xml:space="preserve"> </v>
      </c>
      <c r="M198" s="135" t="str">
        <f>IF($F198=" "," ",IFERROR(VLOOKUP($F198,'депозитный калькулятор'!$B$26:$F$70,4,0),0))</f>
        <v xml:space="preserve"> </v>
      </c>
      <c r="N198" s="135" t="str">
        <f>IF($F198=" "," ",IFERROR(VLOOKUP($F198,'депозитный калькулятор'!$B$26:$F$70,5,0),0))</f>
        <v xml:space="preserve"> </v>
      </c>
      <c r="O198" s="146" t="str">
        <f>IF(F198&gt;'депозитный калькулятор'!$D$8," ",IF(F198='депозитный калькулятор'!$D$8,IF(AND($F$24='депозитный калькулятор'!$D$8,'депозитный калькулятор'!$G$13="нет"),-G198-IF(I198=" ",0,I198)-IF(AND(OR('депозитный калькулятор'!$G$7="30/365",'депозитный калькулятор'!$G$7="30/360"),'депозитный калькулятор'!$G$10="в начале срока"),I197,0)-L198+M198-N198,-G198-IF(I198=" ",0,I198)-L198+M198-N198),IF('депозитный калькулятор'!$G$13="есть",M198-N198+IF('депозитный калькулятор'!$G$14="есть",0,-L198),-IF(I198=" ",0,I198)-IF(AND(OR('депозитный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срока"),I197,0)+M198-N198+IF('депозитный калькулятор'!$G$14="есть",0,-L198))))</f>
        <v xml:space="preserve"> </v>
      </c>
      <c r="P198" s="147" t="str">
        <f>IF(F198&gt;'депозитный калькулятор'!$D$8," ",IF(EOMONTH(F197,0)=F197,0,IF(G198&gt;='депозитный калькулятор'!$G$19,P197,P197+1)))</f>
        <v xml:space="preserve"> </v>
      </c>
      <c r="Q198" s="138" t="str">
        <f>IF(F198=" "," ",IF(AND(OR('депозитный калькулятор'!$G$7="30/365",'депозитный калькулятор'!$G$7="30/360"),AND(MONTH(F198)=2,EOMONTH(F198,0)=F198)),IF(DAY(F198)=28,3,2),1)*IF(G198&gt;='депозитный калькулятор'!$G$11,IF(AND('депозитный калькулятор'!$G$7="факт/факт",MOD(YEAR(F198),4)=0),G198*'депозитный калькулятор'!$D$11/366,G198*'депозитный калькулятор'!$G$8),0))</f>
        <v xml:space="preserve"> </v>
      </c>
      <c r="R198" s="148"/>
      <c r="S198" s="62" t="str">
        <f t="shared" ca="1" si="12"/>
        <v xml:space="preserve"> </v>
      </c>
      <c r="T198" s="149" t="str">
        <f ca="1">IF(S198=" "," ",IF('депозитный калькулятор'!$G$7="30/360",DAYS360(U197,IF(DAY(U198)=31,U198-1,U198))+IF(AND(MONTH(U198)=2,U198=EOMONTH(U198,0)),30-DAY(EOMONTH(U198,0)))+T197,VLOOKUP(S198,$C$22:$F$1023,2,0)))</f>
        <v xml:space="preserve"> </v>
      </c>
      <c r="U198" s="64" t="str">
        <f t="shared" ca="1" si="10"/>
        <v xml:space="preserve"> </v>
      </c>
      <c r="V198" s="150" t="str">
        <f t="shared" ca="1" si="13"/>
        <v xml:space="preserve"> </v>
      </c>
      <c r="W198" s="62" t="str">
        <f t="shared" ca="1" si="14"/>
        <v xml:space="preserve"> </v>
      </c>
      <c r="X198" s="141" t="str">
        <f ca="1">IF(S198=" "," ",IFERROR(VLOOKUP(U198,$F$23:$N$1023,7)+VLOOKUP(U198,$F$23:$N$1023,9)+IF(AND('депозитный калькулятор'!$G$13="нет",U198&lt;&gt;'депозитный калькулятор'!$D$8),VLOOKUP(U198,$F$23:$N$1023,4),0),0)+IF(U198='депозитный калькулятор'!$D$8,VLOOKUP(U198,$F$23:$N$1023,2)+VLOOKUP(U198,$F$23:$N$1023,4),0))</f>
        <v xml:space="preserve"> </v>
      </c>
      <c r="Y198" s="142" t="str">
        <f ca="1">IF(S198=" "," ",W198/(1+'депозитный калькулятор'!$K$8)^(T198/IF('депозитный калькулятор'!$G$7="30/360",360,365)))</f>
        <v xml:space="preserve"> </v>
      </c>
      <c r="Z198" s="142" t="str">
        <f ca="1">IF(S198=" "," ",X198/(1+'депозитный калькулятор'!$K$8)^(T198/IF('депозитный калькулятор'!$G$7="30/360",360,365)))</f>
        <v xml:space="preserve"> </v>
      </c>
      <c r="AA198" s="151"/>
      <c r="AB198" s="151"/>
      <c r="AC198" s="155"/>
      <c r="AD198" s="155"/>
    </row>
    <row r="199" spans="1:30" s="2" customFormat="1" ht="15.5" x14ac:dyDescent="0.35">
      <c r="A199" s="41" t="str">
        <f>IF(F199=" "," ",IF(OR('депозитный калькулятор'!$G$7="30/365",'депозитный калькулятор'!$G$7="30/360"),IF(AND(MONTH(F199)=2,DAY(F199)=DAY(EOMONTH(F199,0))),30-DAY(EOMONTH(F199,0)),IF(DAY(F199)=31,1," "))," "))</f>
        <v xml:space="preserve"> </v>
      </c>
      <c r="B199" s="130" t="str">
        <f t="shared" si="11"/>
        <v xml:space="preserve"> </v>
      </c>
      <c r="C199" s="130" t="str">
        <f>IF(OR(B199=0,B199=" ")," ",SUM($B$23:B199))</f>
        <v xml:space="preserve"> </v>
      </c>
      <c r="D199" s="62" t="str">
        <f>IF(D198=" "," ",IF(OR(F198='депозитный калькулятор'!$D$8,F198=" ")," ",D198+1))</f>
        <v xml:space="preserve"> </v>
      </c>
      <c r="E199" s="130" t="str">
        <f>IF(OR(F198='депозитный калькулятор'!$D$8,F198=" ")," ",IF(EOMONTH(F198,0)=F198,1,E198+1))</f>
        <v xml:space="preserve"> </v>
      </c>
      <c r="F199" s="64" t="str">
        <f>IF(F198=" "," ",IF(F198='депозитный калькулятор'!$D$8," ",F198+1))</f>
        <v xml:space="preserve"> </v>
      </c>
      <c r="G199" s="145" t="str">
        <f xml:space="preserve"> IF(F199&gt;'депозитный калькулятор'!$D$8," ",IF('депозитный калькулятор'!$G$13="есть",IF('депозитный калькулятор'!$G$14="есть",G198+IF(I198=" ",0,I198)-J199-K199+L199+M199-N199,G198+IF(I198=" ",0,I198)-J199-K199+M199-N199),IF('депозитный калькулятор'!$G$14="есть",G198-J199-K199+L199+M199-N199,G198-J199-K199+M199-N199)))</f>
        <v xml:space="preserve"> </v>
      </c>
      <c r="H199" s="133" t="str">
        <f>IF(F199&gt;'депозитный калькулятор'!$D$8," ",IF(AND(OR('депозитный калькулятор'!$G$7="30/365",'депозитный калькулятор'!$G$7="30/360"),AND(MONTH(F199)=2,EOMONTH(F199,0)=F199)),IF(DAY(F199)=28,3*G199*'депозитный калькулятор'!$G$8,2*G199*'депозитный калькулятор'!$G$8),IF(AND(OR('депозитный калькулятор'!$G$7="30/365",'депозитный калькулятор'!$G$7="30/360"),DAY(F199)=31)," ",IF(AND('депозитный калькулятор'!$G$7="факт/факт",MOD(YEAR(F199),4)=0),G199*'депозитный калькулятор'!$D$11/366,G199*'депозитный калькулятор'!$G$8))))</f>
        <v xml:space="preserve"> </v>
      </c>
      <c r="I199" s="134" t="str">
        <f ca="1">IF(F199=" "," ",IF('депозитный калькулятор'!$G$10="ежедневное",H199,IF(AND('депозитный калькулятор'!$G$10="еженедельное",WEEKDAY(F199,2)=7),SUM(OFFSET(H199,-6,0):H199),IF(AND('депозитный калькулятор'!$G$10="еженедельное",F199='депозитный калькулятор'!$D$8),SUM($H$23:H199)-SUM($I$23:I198),IF(AND('депозитный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недели",WEEKDAY(F199,2)=7),MIN(OFFSET(H199,-6,0):H199)*(COUNTIF(OFFSET(H199,-6,0):H199,"&gt;0")+SUMIF(OFFSET(A199,-WEEKDAY(F199,2),0):A199,"=2",OFFSET(A199,-WEEKDAY(F199,2),0):A199)),IF(AND('депозитный калькулятор'!$G$10="еженедельное, на минимальную сумму зафиксированную в течение недели",F199='депозитный калькулятор'!$D$8,WEEKDAY(F199,2)&lt;&gt;7),MIN(OFFSET(H199,-WEEKDAY(F199,2),0):H199)*(COUNTIF(OFFSET(H199,-WEEKDAY(F199,2)+1,0):H199,"&gt;0")+SUM(OFFSET(A199,-WEEKDAY(F199,2),0):A199)),IF(AND('депозитный калькулятор'!$G$10="ежемесячное (в конце месяца)",F199='депозитный калькулятор'!$D$8,EOMONTH(F199,0)&lt;&gt;F199),IF('депозитный калькулятор'!$F$1=1,$H$24,SUM($H$23:H199)-SUM($I$23:I198)),IF(AND('депозитный калькулятор'!$G$10="ежемесячное (в конце месяца)",EOMONTH(F199,0)=F199),SUM($H$23:H199)-SUM($I$23:I198),IF(AND('депозитный калькулятор'!$G$10="ежемесячное (по дням открытия вклада)",F199='депозитный калькулятор'!$D$8,DAY('депозитный калькулятор'!$D$7)&lt;&gt;DAY(F199)),IF('депозитный калькулятор'!$F$1=1,$H$24,SUM($H$23:H199)-SUM($I$23:I198)),IF(AND('депозитный калькулятор'!$G$10="ежемесячное (по дням открытия вклада)",DAY('депозитный калькулятор'!$D$7)=DAY(F199)),SUM($H$23:H199)-SUM($I$23:I198),IF(AND('депозитный калькулятор'!$G$10="ежемесячное, на минимальную сумму зафиксированную в течение месяца",F199='депозитный калькулятор'!$D$8,EOMONTH(F199,0)&lt;&gt;F199),IF('депозитный калькулятор'!$F$1=1,$H$24,IF(AND(OR('депозитный калькулятор'!$G$7="30/365",'депозитный калькулятор'!$G$7="30/360"),DAY(F199)=31),0,MIN(OFFSET(H199,-E199+1,0):H199)*(E199+SUMIF(OFFSET(A199,-E199+1,0):A199,"=2",OFFSET(A199,-E199+1,0):A199)))),IF(AND('депозитный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калькулятор'!$G$7="30/360"),DAY(EOMONTH(F199,0))=31),EOMONTH(F199,0)-1=F199,EOMONTH(F199,0)=F199)),IF(IF(AND(OR('депозитный калькулятор'!$G$7="30/365",'депозитный калькулятор'!$G$7="30/360"),DAY(EOMONTH($F$23,0))=31),F199=EOMONTH($F$23,0)-1,F199=EOMONTH($F$23,0)),MIN(OFFSET(H199,-(DAY(F199)-DAY($F$23)),0):H199)*E199,MIN(OFFSET(H199,-(DAY(F199)-1),0):H199)*IF(AND(OR('депозитный калькулятор'!$G$7="30/365",'депозитный калькулятор'!$G$7="30/360"),DAY(F199)&lt;30),30,DAY(F199))),IF(AND('депозитный калькулятор'!$G$10="ежемесячное, на средний остаток в течение месяца, при условии что остаток больше чем ограничение",F199='депозитный калькулятор'!$D$8,EOMONTH(F199,0)&lt;&gt;F199),IF('депозитный калькулятор'!$F$1=1,$H$24,SUM(OFFSET(Q199,-E199+1,0):Q199)),IF(AND('депозитный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калькулятор'!$G$7="30/360"),DAY(EOMONTH(F199,0))=31),EOMONTH(F199,0)-1=F199,EOMONTH(F199,0)=F199)),IF(IF(AND(OR('депозитный калькулятор'!$G$7="30/365",'депозитный калькулятор'!$G$7="30/360"),DAY(EOMONTH($F$24,0))=31),F199=EOMONTH($F$24,0)-1,F199=EOMONTH($F$24,0)),SUM(OFFSET(Q199,-E199+1,0):Q199),SUM(OFFSET(Q199,-E199+1,0):Q199)),IF('депозитный калькулятор'!$G$10="ежеквартальное",IF(F199&gt;'депозитный калькулятор'!$D$8," ",IF(AND(EOMONTH(F199,0)=F199,OR(MONTH(F199)=3,MONTH(F199)=6,MONTH(F199)=9,MONTH(F199)=12)),IF(EDATE(F199,-3)&lt;'депозитный калькулятор'!$D$7,SUM($H$23:H199),IF(MOD(YEAR(F199),4)=0,IF(AND(EOMONTH(F199,0)=F199,OR(MONTH(F199)=3,MONTH(F199)=6)),SUM(OFFSET(H199,-90,0):H199),IF(AND(EOMONTH(F199,0)=F199,OR(MONTH(F199)=9,MONTH(F199)=12)),SUM(OFFSET(H199,-91,0):H199))),IF(AND(EOMONTH(F199,0)=F199,MONTH(F199)=3),SUM(OFFSET(H199,-89,0):H199),IF(AND(EOMONTH(F199,0)=F199,MONTH(F199)=6),SUM(OFFSET(H199,-90,0):H199),IF(AND(EOMONTH(F199,0)=F199,OR(MONTH(F199)=9,MONTH(F199)=12)),SUM(OFFSET(H199,-91,0):H199)))))),IF(F199='депозитный калькулятор'!$D$8,SUM($H$23:H199)-SUM($I$23:I198),0))),IF('депозитный калькулятор'!$G$10="ежегодное",IF(F199&gt;'депозитный калькулятор'!$D$8," ",IF(F199='депозитный калькулятор'!$D$8,SUM($H$23:H199)-SUM($I$23:I198),IF(AND(EOMONTH(F199,0)=F199,MONTH(F199)=12),IF(MOD(YEAR(F198),4)=0,IF(F199-'депозитный калькулятор'!$D$7&lt;366,SUM($H$23:H199),SUM(OFFSET(H199,-365,0):H199)),IF(F199-'депозитный калькулятор'!$D$7&lt;365,SUM($H$23:H199),SUM(OFFSET(H199,-364,0):H199))),0))),IF(AND('депозитный калькулятор'!$G$10="в конце срока",'депозитный калькулятор'!$D$8=F199),SUM($H$23:H199),0))))))))))))))))))</f>
        <v xml:space="preserve"> </v>
      </c>
      <c r="J199" s="59" t="str">
        <f>IF(F199&gt;'депозитный калькулятор'!$D$8," ",IF('депозитный калькулятор'!$G$16="нет",0,IF(AND('депозитный калькулятор'!$G$17="разовая (в конце срока)",F199='депозитный калькулятор'!$D$8),'депозитный калькулятор'!$G$18,IF(AND('депозитный калькулятор'!$G$17="ежемесячная",EOMONTH(F198,0)=F198),'депозитный калькулятор'!$G$18,IF(AND('депозитный калькулятор'!$G$17="ежегодная",DAY(F198)=31,MONTH(F198)=12),'депозитный калькулятор'!$G$18,IF(AND('депозитный калькулятор'!$G$17="ежемесячная в зависимости от остатка",EOMONTH(F198,0)=F198,P198&gt;0),'депозитный калькулятор'!$G$18,IF(AND('депозитный калькулятор'!$G$17="ежегодная в зависимости от остатка",DAY(F198)=31,MONTH(F198)=12,P198&gt;0),'депозитный калькулятор'!$G$18,0)))))))</f>
        <v xml:space="preserve"> </v>
      </c>
      <c r="K199" s="135" t="str">
        <f>IF($F199=" "," ",IFERROR(VLOOKUP($F199,'депозитный калькулятор'!$B$26:$F$70,2,0),0))</f>
        <v xml:space="preserve"> </v>
      </c>
      <c r="L199" s="135" t="str">
        <f>IF($F199=" "," ",IFERROR(VLOOKUP($F199,'депозитный калькулятор'!$B$26:$F$70,3,0),0))</f>
        <v xml:space="preserve"> </v>
      </c>
      <c r="M199" s="135" t="str">
        <f>IF($F199=" "," ",IFERROR(VLOOKUP($F199,'депозитный калькулятор'!$B$26:$F$70,4,0),0))</f>
        <v xml:space="preserve"> </v>
      </c>
      <c r="N199" s="135" t="str">
        <f>IF($F199=" "," ",IFERROR(VLOOKUP($F199,'депозитный калькулятор'!$B$26:$F$70,5,0),0))</f>
        <v xml:space="preserve"> </v>
      </c>
      <c r="O199" s="146" t="str">
        <f>IF(F199&gt;'депозитный калькулятор'!$D$8," ",IF(F199='депозитный калькулятор'!$D$8,IF(AND($F$24='депозитный калькулятор'!$D$8,'депозитный калькулятор'!$G$13="нет"),-G199-IF(I199=" ",0,I199)-IF(AND(OR('депозитный калькулятор'!$G$7="30/365",'депозитный калькулятор'!$G$7="30/360"),'депозитный калькулятор'!$G$10="в начале срока"),I198,0)-L199+M199-N199,-G199-IF(I199=" ",0,I199)-L199+M199-N199),IF('депозитный калькулятор'!$G$13="есть",M199-N199+IF('депозитный калькулятор'!$G$14="есть",0,-L199),-IF(I199=" ",0,I199)-IF(AND(OR('депозитный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срока"),I198,0)+M199-N199+IF('депозитный калькулятор'!$G$14="есть",0,-L199))))</f>
        <v xml:space="preserve"> </v>
      </c>
      <c r="P199" s="147" t="str">
        <f>IF(F199&gt;'депозитный калькулятор'!$D$8," ",IF(EOMONTH(F198,0)=F198,0,IF(G199&gt;='депозитный калькулятор'!$G$19,P198,P198+1)))</f>
        <v xml:space="preserve"> </v>
      </c>
      <c r="Q199" s="138" t="str">
        <f>IF(F199=" "," ",IF(AND(OR('депозитный калькулятор'!$G$7="30/365",'депозитный калькулятор'!$G$7="30/360"),AND(MONTH(F199)=2,EOMONTH(F199,0)=F199)),IF(DAY(F199)=28,3,2),1)*IF(G199&gt;='депозитный калькулятор'!$G$11,IF(AND('депозитный калькулятор'!$G$7="факт/факт",MOD(YEAR(F199),4)=0),G199*'депозитный калькулятор'!$D$11/366,G199*'депозитный калькулятор'!$G$8),0))</f>
        <v xml:space="preserve"> </v>
      </c>
      <c r="R199" s="148"/>
      <c r="S199" s="62" t="str">
        <f t="shared" ca="1" si="12"/>
        <v xml:space="preserve"> </v>
      </c>
      <c r="T199" s="149" t="str">
        <f ca="1">IF(S199=" "," ",IF('депозитный калькулятор'!$G$7="30/360",DAYS360(U198,IF(DAY(U199)=31,U199-1,U199))+IF(AND(MONTH(U199)=2,U199=EOMONTH(U199,0)),30-DAY(EOMONTH(U199,0)))+T198,VLOOKUP(S199,$C$22:$F$1023,2,0)))</f>
        <v xml:space="preserve"> </v>
      </c>
      <c r="U199" s="64" t="str">
        <f t="shared" ca="1" si="10"/>
        <v xml:space="preserve"> </v>
      </c>
      <c r="V199" s="150" t="str">
        <f t="shared" ca="1" si="13"/>
        <v xml:space="preserve"> </v>
      </c>
      <c r="W199" s="62" t="str">
        <f t="shared" ca="1" si="14"/>
        <v xml:space="preserve"> </v>
      </c>
      <c r="X199" s="141" t="str">
        <f ca="1">IF(S199=" "," ",IFERROR(VLOOKUP(U199,$F$23:$N$1023,7)+VLOOKUP(U199,$F$23:$N$1023,9)+IF(AND('депозитный калькулятор'!$G$13="нет",U199&lt;&gt;'депозитный калькулятор'!$D$8),VLOOKUP(U199,$F$23:$N$1023,4),0),0)+IF(U199='депозитный калькулятор'!$D$8,VLOOKUP(U199,$F$23:$N$1023,2)+VLOOKUP(U199,$F$23:$N$1023,4),0))</f>
        <v xml:space="preserve"> </v>
      </c>
      <c r="Y199" s="142" t="str">
        <f ca="1">IF(S199=" "," ",W199/(1+'депозитный калькулятор'!$K$8)^(T199/IF('депозитный калькулятор'!$G$7="30/360",360,365)))</f>
        <v xml:space="preserve"> </v>
      </c>
      <c r="Z199" s="142" t="str">
        <f ca="1">IF(S199=" "," ",X199/(1+'депозитный калькулятор'!$K$8)^(T199/IF('депозитный калькулятор'!$G$7="30/360",360,365)))</f>
        <v xml:space="preserve"> </v>
      </c>
      <c r="AA199" s="151"/>
      <c r="AB199" s="151"/>
      <c r="AC199" s="155"/>
      <c r="AD199" s="155"/>
    </row>
    <row r="200" spans="1:30" s="2" customFormat="1" ht="15.5" x14ac:dyDescent="0.35">
      <c r="A200" s="41" t="str">
        <f>IF(F200=" "," ",IF(OR('депозитный калькулятор'!$G$7="30/365",'депозитный калькулятор'!$G$7="30/360"),IF(AND(MONTH(F200)=2,DAY(F200)=DAY(EOMONTH(F200,0))),30-DAY(EOMONTH(F200,0)),IF(DAY(F200)=31,1," "))," "))</f>
        <v xml:space="preserve"> </v>
      </c>
      <c r="B200" s="130" t="str">
        <f t="shared" si="11"/>
        <v xml:space="preserve"> </v>
      </c>
      <c r="C200" s="130" t="str">
        <f>IF(OR(B200=0,B200=" ")," ",SUM($B$23:B200))</f>
        <v xml:space="preserve"> </v>
      </c>
      <c r="D200" s="62" t="str">
        <f>IF(D199=" "," ",IF(OR(F199='депозитный калькулятор'!$D$8,F199=" ")," ",D199+1))</f>
        <v xml:space="preserve"> </v>
      </c>
      <c r="E200" s="130" t="str">
        <f>IF(OR(F199='депозитный калькулятор'!$D$8,F199=" ")," ",IF(EOMONTH(F199,0)=F199,1,E199+1))</f>
        <v xml:space="preserve"> </v>
      </c>
      <c r="F200" s="64" t="str">
        <f>IF(F199=" "," ",IF(F199='депозитный калькулятор'!$D$8," ",F199+1))</f>
        <v xml:space="preserve"> </v>
      </c>
      <c r="G200" s="145" t="str">
        <f xml:space="preserve"> IF(F200&gt;'депозитный калькулятор'!$D$8," ",IF('депозитный калькулятор'!$G$13="есть",IF('депозитный калькулятор'!$G$14="есть",G199+IF(I199=" ",0,I199)-J200-K200+L200+M200-N200,G199+IF(I199=" ",0,I199)-J200-K200+M200-N200),IF('депозитный калькулятор'!$G$14="есть",G199-J200-K200+L200+M200-N200,G199-J200-K200+M200-N200)))</f>
        <v xml:space="preserve"> </v>
      </c>
      <c r="H200" s="133" t="str">
        <f>IF(F200&gt;'депозитный калькулятор'!$D$8," ",IF(AND(OR('депозитный калькулятор'!$G$7="30/365",'депозитный калькулятор'!$G$7="30/360"),AND(MONTH(F200)=2,EOMONTH(F200,0)=F200)),IF(DAY(F200)=28,3*G200*'депозитный калькулятор'!$G$8,2*G200*'депозитный калькулятор'!$G$8),IF(AND(OR('депозитный калькулятор'!$G$7="30/365",'депозитный калькулятор'!$G$7="30/360"),DAY(F200)=31)," ",IF(AND('депозитный калькулятор'!$G$7="факт/факт",MOD(YEAR(F200),4)=0),G200*'депозитный калькулятор'!$D$11/366,G200*'депозитный калькулятор'!$G$8))))</f>
        <v xml:space="preserve"> </v>
      </c>
      <c r="I200" s="134" t="str">
        <f ca="1">IF(F200=" "," ",IF('депозитный калькулятор'!$G$10="ежедневное",H200,IF(AND('депозитный калькулятор'!$G$10="еженедельное",WEEKDAY(F200,2)=7),SUM(OFFSET(H200,-6,0):H200),IF(AND('депозитный калькулятор'!$G$10="еженедельное",F200='депозитный калькулятор'!$D$8),SUM($H$23:H200)-SUM($I$23:I199),IF(AND('депозитный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недели",WEEKDAY(F200,2)=7),MIN(OFFSET(H200,-6,0):H200)*(COUNTIF(OFFSET(H200,-6,0):H200,"&gt;0")+SUMIF(OFFSET(A200,-WEEKDAY(F200,2),0):A200,"=2",OFFSET(A200,-WEEKDAY(F200,2),0):A200)),IF(AND('депозитный калькулятор'!$G$10="еженедельное, на минимальную сумму зафиксированную в течение недели",F200='депозитный калькулятор'!$D$8,WEEKDAY(F200,2)&lt;&gt;7),MIN(OFFSET(H200,-WEEKDAY(F200,2),0):H200)*(COUNTIF(OFFSET(H200,-WEEKDAY(F200,2)+1,0):H200,"&gt;0")+SUM(OFFSET(A200,-WEEKDAY(F200,2),0):A200)),IF(AND('депозитный калькулятор'!$G$10="ежемесячное (в конце месяца)",F200='депозитный калькулятор'!$D$8,EOMONTH(F200,0)&lt;&gt;F200),IF('депозитный калькулятор'!$F$1=1,$H$24,SUM($H$23:H200)-SUM($I$23:I199)),IF(AND('депозитный калькулятор'!$G$10="ежемесячное (в конце месяца)",EOMONTH(F200,0)=F200),SUM($H$23:H200)-SUM($I$23:I199),IF(AND('депозитный калькулятор'!$G$10="ежемесячное (по дням открытия вклада)",F200='депозитный калькулятор'!$D$8,DAY('депозитный калькулятор'!$D$7)&lt;&gt;DAY(F200)),IF('депозитный калькулятор'!$F$1=1,$H$24,SUM($H$23:H200)-SUM($I$23:I199)),IF(AND('депозитный калькулятор'!$G$10="ежемесячное (по дням открытия вклада)",DAY('депозитный калькулятор'!$D$7)=DAY(F200)),SUM($H$23:H200)-SUM($I$23:I199),IF(AND('депозитный калькулятор'!$G$10="ежемесячное, на минимальную сумму зафиксированную в течение месяца",F200='депозитный калькулятор'!$D$8,EOMONTH(F200,0)&lt;&gt;F200),IF('депозитный калькулятор'!$F$1=1,$H$24,IF(AND(OR('депозитный калькулятор'!$G$7="30/365",'депозитный калькулятор'!$G$7="30/360"),DAY(F200)=31),0,MIN(OFFSET(H200,-E200+1,0):H200)*(E200+SUMIF(OFFSET(A200,-E200+1,0):A200,"=2",OFFSET(A200,-E200+1,0):A200)))),IF(AND('депозитный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калькулятор'!$G$7="30/360"),DAY(EOMONTH(F200,0))=31),EOMONTH(F200,0)-1=F200,EOMONTH(F200,0)=F200)),IF(IF(AND(OR('депозитный калькулятор'!$G$7="30/365",'депозитный калькулятор'!$G$7="30/360"),DAY(EOMONTH($F$23,0))=31),F200=EOMONTH($F$23,0)-1,F200=EOMONTH($F$23,0)),MIN(OFFSET(H200,-(DAY(F200)-DAY($F$23)),0):H200)*E200,MIN(OFFSET(H200,-(DAY(F200)-1),0):H200)*IF(AND(OR('депозитный калькулятор'!$G$7="30/365",'депозитный калькулятор'!$G$7="30/360"),DAY(F200)&lt;30),30,DAY(F200))),IF(AND('депозитный калькулятор'!$G$10="ежемесячное, на средний остаток в течение месяца, при условии что остаток больше чем ограничение",F200='депозитный калькулятор'!$D$8,EOMONTH(F200,0)&lt;&gt;F200),IF('депозитный калькулятор'!$F$1=1,$H$24,SUM(OFFSET(Q200,-E200+1,0):Q200)),IF(AND('депозитный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калькулятор'!$G$7="30/360"),DAY(EOMONTH(F200,0))=31),EOMONTH(F200,0)-1=F200,EOMONTH(F200,0)=F200)),IF(IF(AND(OR('депозитный калькулятор'!$G$7="30/365",'депозитный калькулятор'!$G$7="30/360"),DAY(EOMONTH($F$24,0))=31),F200=EOMONTH($F$24,0)-1,F200=EOMONTH($F$24,0)),SUM(OFFSET(Q200,-E200+1,0):Q200),SUM(OFFSET(Q200,-E200+1,0):Q200)),IF('депозитный калькулятор'!$G$10="ежеквартальное",IF(F200&gt;'депозитный калькулятор'!$D$8," ",IF(AND(EOMONTH(F200,0)=F200,OR(MONTH(F200)=3,MONTH(F200)=6,MONTH(F200)=9,MONTH(F200)=12)),IF(EDATE(F200,-3)&lt;'депозитный калькулятор'!$D$7,SUM($H$23:H200),IF(MOD(YEAR(F200),4)=0,IF(AND(EOMONTH(F200,0)=F200,OR(MONTH(F200)=3,MONTH(F200)=6)),SUM(OFFSET(H200,-90,0):H200),IF(AND(EOMONTH(F200,0)=F200,OR(MONTH(F200)=9,MONTH(F200)=12)),SUM(OFFSET(H200,-91,0):H200))),IF(AND(EOMONTH(F200,0)=F200,MONTH(F200)=3),SUM(OFFSET(H200,-89,0):H200),IF(AND(EOMONTH(F200,0)=F200,MONTH(F200)=6),SUM(OFFSET(H200,-90,0):H200),IF(AND(EOMONTH(F200,0)=F200,OR(MONTH(F200)=9,MONTH(F200)=12)),SUM(OFFSET(H200,-91,0):H200)))))),IF(F200='депозитный калькулятор'!$D$8,SUM($H$23:H200)-SUM($I$23:I199),0))),IF('депозитный калькулятор'!$G$10="ежегодное",IF(F200&gt;'депозитный калькулятор'!$D$8," ",IF(F200='депозитный калькулятор'!$D$8,SUM($H$23:H200)-SUM($I$23:I199),IF(AND(EOMONTH(F200,0)=F200,MONTH(F200)=12),IF(MOD(YEAR(F199),4)=0,IF(F200-'депозитный калькулятор'!$D$7&lt;366,SUM($H$23:H200),SUM(OFFSET(H200,-365,0):H200)),IF(F200-'депозитный калькулятор'!$D$7&lt;365,SUM($H$23:H200),SUM(OFFSET(H200,-364,0):H200))),0))),IF(AND('депозитный калькулятор'!$G$10="в конце срока",'депозитный калькулятор'!$D$8=F200),SUM($H$23:H200),0))))))))))))))))))</f>
        <v xml:space="preserve"> </v>
      </c>
      <c r="J200" s="59" t="str">
        <f>IF(F200&gt;'депозитный калькулятор'!$D$8," ",IF('депозитный калькулятор'!$G$16="нет",0,IF(AND('депозитный калькулятор'!$G$17="разовая (в конце срока)",F200='депозитный калькулятор'!$D$8),'депозитный калькулятор'!$G$18,IF(AND('депозитный калькулятор'!$G$17="ежемесячная",EOMONTH(F199,0)=F199),'депозитный калькулятор'!$G$18,IF(AND('депозитный калькулятор'!$G$17="ежегодная",DAY(F199)=31,MONTH(F199)=12),'депозитный калькулятор'!$G$18,IF(AND('депозитный калькулятор'!$G$17="ежемесячная в зависимости от остатка",EOMONTH(F199,0)=F199,P199&gt;0),'депозитный калькулятор'!$G$18,IF(AND('депозитный калькулятор'!$G$17="ежегодная в зависимости от остатка",DAY(F199)=31,MONTH(F199)=12,P199&gt;0),'депозитный калькулятор'!$G$18,0)))))))</f>
        <v xml:space="preserve"> </v>
      </c>
      <c r="K200" s="135" t="str">
        <f>IF($F200=" "," ",IFERROR(VLOOKUP($F200,'депозитный калькулятор'!$B$26:$F$70,2,0),0))</f>
        <v xml:space="preserve"> </v>
      </c>
      <c r="L200" s="135" t="str">
        <f>IF($F200=" "," ",IFERROR(VLOOKUP($F200,'депозитный калькулятор'!$B$26:$F$70,3,0),0))</f>
        <v xml:space="preserve"> </v>
      </c>
      <c r="M200" s="135" t="str">
        <f>IF($F200=" "," ",IFERROR(VLOOKUP($F200,'депозитный калькулятор'!$B$26:$F$70,4,0),0))</f>
        <v xml:space="preserve"> </v>
      </c>
      <c r="N200" s="135" t="str">
        <f>IF($F200=" "," ",IFERROR(VLOOKUP($F200,'депозитный калькулятор'!$B$26:$F$70,5,0),0))</f>
        <v xml:space="preserve"> </v>
      </c>
      <c r="O200" s="146" t="str">
        <f>IF(F200&gt;'депозитный калькулятор'!$D$8," ",IF(F200='депозитный калькулятор'!$D$8,IF(AND($F$24='депозитный калькулятор'!$D$8,'депозитный калькулятор'!$G$13="нет"),-G200-IF(I200=" ",0,I200)-IF(AND(OR('депозитный калькулятор'!$G$7="30/365",'депозитный калькулятор'!$G$7="30/360"),'депозитный калькулятор'!$G$10="в начале срока"),I199,0)-L200+M200-N200,-G200-IF(I200=" ",0,I200)-L200+M200-N200),IF('депозитный калькулятор'!$G$13="есть",M200-N200+IF('депозитный калькулятор'!$G$14="есть",0,-L200),-IF(I200=" ",0,I200)-IF(AND(OR('депозитный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срока"),I199,0)+M200-N200+IF('депозитный калькулятор'!$G$14="есть",0,-L200))))</f>
        <v xml:space="preserve"> </v>
      </c>
      <c r="P200" s="147" t="str">
        <f>IF(F200&gt;'депозитный калькулятор'!$D$8," ",IF(EOMONTH(F199,0)=F199,0,IF(G200&gt;='депозитный калькулятор'!$G$19,P199,P199+1)))</f>
        <v xml:space="preserve"> </v>
      </c>
      <c r="Q200" s="138" t="str">
        <f>IF(F200=" "," ",IF(AND(OR('депозитный калькулятор'!$G$7="30/365",'депозитный калькулятор'!$G$7="30/360"),AND(MONTH(F200)=2,EOMONTH(F200,0)=F200)),IF(DAY(F200)=28,3,2),1)*IF(G200&gt;='депозитный калькулятор'!$G$11,IF(AND('депозитный калькулятор'!$G$7="факт/факт",MOD(YEAR(F200),4)=0),G200*'депозитный калькулятор'!$D$11/366,G200*'депозитный калькулятор'!$G$8),0))</f>
        <v xml:space="preserve"> </v>
      </c>
      <c r="R200" s="148"/>
      <c r="S200" s="62" t="str">
        <f t="shared" ca="1" si="12"/>
        <v xml:space="preserve"> </v>
      </c>
      <c r="T200" s="149" t="str">
        <f ca="1">IF(S200=" "," ",IF('депозитный калькулятор'!$G$7="30/360",DAYS360(U199,IF(DAY(U200)=31,U200-1,U200))+IF(AND(MONTH(U200)=2,U200=EOMONTH(U200,0)),30-DAY(EOMONTH(U200,0)))+T199,VLOOKUP(S200,$C$22:$F$1023,2,0)))</f>
        <v xml:space="preserve"> </v>
      </c>
      <c r="U200" s="64" t="str">
        <f t="shared" ca="1" si="10"/>
        <v xml:space="preserve"> </v>
      </c>
      <c r="V200" s="150" t="str">
        <f t="shared" ca="1" si="13"/>
        <v xml:space="preserve"> </v>
      </c>
      <c r="W200" s="62" t="str">
        <f t="shared" ca="1" si="14"/>
        <v xml:space="preserve"> </v>
      </c>
      <c r="X200" s="141" t="str">
        <f ca="1">IF(S200=" "," ",IFERROR(VLOOKUP(U200,$F$23:$N$1023,7)+VLOOKUP(U200,$F$23:$N$1023,9)+IF(AND('депозитный калькулятор'!$G$13="нет",U200&lt;&gt;'депозитный калькулятор'!$D$8),VLOOKUP(U200,$F$23:$N$1023,4),0),0)+IF(U200='депозитный калькулятор'!$D$8,VLOOKUP(U200,$F$23:$N$1023,2)+VLOOKUP(U200,$F$23:$N$1023,4),0))</f>
        <v xml:space="preserve"> </v>
      </c>
      <c r="Y200" s="142" t="str">
        <f ca="1">IF(S200=" "," ",W200/(1+'депозитный калькулятор'!$K$8)^(T200/IF('депозитный калькулятор'!$G$7="30/360",360,365)))</f>
        <v xml:space="preserve"> </v>
      </c>
      <c r="Z200" s="142" t="str">
        <f ca="1">IF(S200=" "," ",X200/(1+'депозитный калькулятор'!$K$8)^(T200/IF('депозитный калькулятор'!$G$7="30/360",360,365)))</f>
        <v xml:space="preserve"> </v>
      </c>
      <c r="AA200" s="151"/>
      <c r="AB200" s="151"/>
      <c r="AC200" s="155"/>
      <c r="AD200" s="155"/>
    </row>
    <row r="201" spans="1:30" s="2" customFormat="1" ht="15.5" x14ac:dyDescent="0.35">
      <c r="A201" s="41" t="str">
        <f>IF(F201=" "," ",IF(OR('депозитный калькулятор'!$G$7="30/365",'депозитный калькулятор'!$G$7="30/360"),IF(AND(MONTH(F201)=2,DAY(F201)=DAY(EOMONTH(F201,0))),30-DAY(EOMONTH(F201,0)),IF(DAY(F201)=31,1," "))," "))</f>
        <v xml:space="preserve"> </v>
      </c>
      <c r="B201" s="130" t="str">
        <f t="shared" si="11"/>
        <v xml:space="preserve"> </v>
      </c>
      <c r="C201" s="130" t="str">
        <f>IF(OR(B201=0,B201=" ")," ",SUM($B$23:B201))</f>
        <v xml:space="preserve"> </v>
      </c>
      <c r="D201" s="62" t="str">
        <f>IF(D200=" "," ",IF(OR(F200='депозитный калькулятор'!$D$8,F200=" ")," ",D200+1))</f>
        <v xml:space="preserve"> </v>
      </c>
      <c r="E201" s="130" t="str">
        <f>IF(OR(F200='депозитный калькулятор'!$D$8,F200=" ")," ",IF(EOMONTH(F200,0)=F200,1,E200+1))</f>
        <v xml:space="preserve"> </v>
      </c>
      <c r="F201" s="64" t="str">
        <f>IF(F200=" "," ",IF(F200='депозитный калькулятор'!$D$8," ",F200+1))</f>
        <v xml:space="preserve"> </v>
      </c>
      <c r="G201" s="145" t="str">
        <f xml:space="preserve"> IF(F201&gt;'депозитный калькулятор'!$D$8," ",IF('депозитный калькулятор'!$G$13="есть",IF('депозитный калькулятор'!$G$14="есть",G200+IF(I200=" ",0,I200)-J201-K201+L201+M201-N201,G200+IF(I200=" ",0,I200)-J201-K201+M201-N201),IF('депозитный калькулятор'!$G$14="есть",G200-J201-K201+L201+M201-N201,G200-J201-K201+M201-N201)))</f>
        <v xml:space="preserve"> </v>
      </c>
      <c r="H201" s="133" t="str">
        <f>IF(F201&gt;'депозитный калькулятор'!$D$8," ",IF(AND(OR('депозитный калькулятор'!$G$7="30/365",'депозитный калькулятор'!$G$7="30/360"),AND(MONTH(F201)=2,EOMONTH(F201,0)=F201)),IF(DAY(F201)=28,3*G201*'депозитный калькулятор'!$G$8,2*G201*'депозитный калькулятор'!$G$8),IF(AND(OR('депозитный калькулятор'!$G$7="30/365",'депозитный калькулятор'!$G$7="30/360"),DAY(F201)=31)," ",IF(AND('депозитный калькулятор'!$G$7="факт/факт",MOD(YEAR(F201),4)=0),G201*'депозитный калькулятор'!$D$11/366,G201*'депозитный калькулятор'!$G$8))))</f>
        <v xml:space="preserve"> </v>
      </c>
      <c r="I201" s="134" t="str">
        <f ca="1">IF(F201=" "," ",IF('депозитный калькулятор'!$G$10="ежедневное",H201,IF(AND('депозитный калькулятор'!$G$10="еженедельное",WEEKDAY(F201,2)=7),SUM(OFFSET(H201,-6,0):H201),IF(AND('депозитный калькулятор'!$G$10="еженедельное",F201='депозитный калькулятор'!$D$8),SUM($H$23:H201)-SUM($I$23:I200),IF(AND('депозитный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недели",WEEKDAY(F201,2)=7),MIN(OFFSET(H201,-6,0):H201)*(COUNTIF(OFFSET(H201,-6,0):H201,"&gt;0")+SUMIF(OFFSET(A201,-WEEKDAY(F201,2),0):A201,"=2",OFFSET(A201,-WEEKDAY(F201,2),0):A201)),IF(AND('депозитный калькулятор'!$G$10="еженедельное, на минимальную сумму зафиксированную в течение недели",F201='депозитный калькулятор'!$D$8,WEEKDAY(F201,2)&lt;&gt;7),MIN(OFFSET(H201,-WEEKDAY(F201,2),0):H201)*(COUNTIF(OFFSET(H201,-WEEKDAY(F201,2)+1,0):H201,"&gt;0")+SUM(OFFSET(A201,-WEEKDAY(F201,2),0):A201)),IF(AND('депозитный калькулятор'!$G$10="ежемесячное (в конце месяца)",F201='депозитный калькулятор'!$D$8,EOMONTH(F201,0)&lt;&gt;F201),IF('депозитный калькулятор'!$F$1=1,$H$24,SUM($H$23:H201)-SUM($I$23:I200)),IF(AND('депозитный калькулятор'!$G$10="ежемесячное (в конце месяца)",EOMONTH(F201,0)=F201),SUM($H$23:H201)-SUM($I$23:I200),IF(AND('депозитный калькулятор'!$G$10="ежемесячное (по дням открытия вклада)",F201='депозитный калькулятор'!$D$8,DAY('депозитный калькулятор'!$D$7)&lt;&gt;DAY(F201)),IF('депозитный калькулятор'!$F$1=1,$H$24,SUM($H$23:H201)-SUM($I$23:I200)),IF(AND('депозитный калькулятор'!$G$10="ежемесячное (по дням открытия вклада)",DAY('депозитный калькулятор'!$D$7)=DAY(F201)),SUM($H$23:H201)-SUM($I$23:I200),IF(AND('депозитный калькулятор'!$G$10="ежемесячное, на минимальную сумму зафиксированную в течение месяца",F201='депозитный калькулятор'!$D$8,EOMONTH(F201,0)&lt;&gt;F201),IF('депозитный калькулятор'!$F$1=1,$H$24,IF(AND(OR('депозитный калькулятор'!$G$7="30/365",'депозитный калькулятор'!$G$7="30/360"),DAY(F201)=31),0,MIN(OFFSET(H201,-E201+1,0):H201)*(E201+SUMIF(OFFSET(A201,-E201+1,0):A201,"=2",OFFSET(A201,-E201+1,0):A201)))),IF(AND('депозитный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калькулятор'!$G$7="30/360"),DAY(EOMONTH(F201,0))=31),EOMONTH(F201,0)-1=F201,EOMONTH(F201,0)=F201)),IF(IF(AND(OR('депозитный калькулятор'!$G$7="30/365",'депозитный калькулятор'!$G$7="30/360"),DAY(EOMONTH($F$23,0))=31),F201=EOMONTH($F$23,0)-1,F201=EOMONTH($F$23,0)),MIN(OFFSET(H201,-(DAY(F201)-DAY($F$23)),0):H201)*E201,MIN(OFFSET(H201,-(DAY(F201)-1),0):H201)*IF(AND(OR('депозитный калькулятор'!$G$7="30/365",'депозитный калькулятор'!$G$7="30/360"),DAY(F201)&lt;30),30,DAY(F201))),IF(AND('депозитный калькулятор'!$G$10="ежемесячное, на средний остаток в течение месяца, при условии что остаток больше чем ограничение",F201='депозитный калькулятор'!$D$8,EOMONTH(F201,0)&lt;&gt;F201),IF('депозитный калькулятор'!$F$1=1,$H$24,SUM(OFFSET(Q201,-E201+1,0):Q201)),IF(AND('депозитный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калькулятор'!$G$7="30/360"),DAY(EOMONTH(F201,0))=31),EOMONTH(F201,0)-1=F201,EOMONTH(F201,0)=F201)),IF(IF(AND(OR('депозитный калькулятор'!$G$7="30/365",'депозитный калькулятор'!$G$7="30/360"),DAY(EOMONTH($F$24,0))=31),F201=EOMONTH($F$24,0)-1,F201=EOMONTH($F$24,0)),SUM(OFFSET(Q201,-E201+1,0):Q201),SUM(OFFSET(Q201,-E201+1,0):Q201)),IF('депозитный калькулятор'!$G$10="ежеквартальное",IF(F201&gt;'депозитный калькулятор'!$D$8," ",IF(AND(EOMONTH(F201,0)=F201,OR(MONTH(F201)=3,MONTH(F201)=6,MONTH(F201)=9,MONTH(F201)=12)),IF(EDATE(F201,-3)&lt;'депозитный калькулятор'!$D$7,SUM($H$23:H201),IF(MOD(YEAR(F201),4)=0,IF(AND(EOMONTH(F201,0)=F201,OR(MONTH(F201)=3,MONTH(F201)=6)),SUM(OFFSET(H201,-90,0):H201),IF(AND(EOMONTH(F201,0)=F201,OR(MONTH(F201)=9,MONTH(F201)=12)),SUM(OFFSET(H201,-91,0):H201))),IF(AND(EOMONTH(F201,0)=F201,MONTH(F201)=3),SUM(OFFSET(H201,-89,0):H201),IF(AND(EOMONTH(F201,0)=F201,MONTH(F201)=6),SUM(OFFSET(H201,-90,0):H201),IF(AND(EOMONTH(F201,0)=F201,OR(MONTH(F201)=9,MONTH(F201)=12)),SUM(OFFSET(H201,-91,0):H201)))))),IF(F201='депозитный калькулятор'!$D$8,SUM($H$23:H201)-SUM($I$23:I200),0))),IF('депозитный калькулятор'!$G$10="ежегодное",IF(F201&gt;'депозитный калькулятор'!$D$8," ",IF(F201='депозитный калькулятор'!$D$8,SUM($H$23:H201)-SUM($I$23:I200),IF(AND(EOMONTH(F201,0)=F201,MONTH(F201)=12),IF(MOD(YEAR(F200),4)=0,IF(F201-'депозитный калькулятор'!$D$7&lt;366,SUM($H$23:H201),SUM(OFFSET(H201,-365,0):H201)),IF(F201-'депозитный калькулятор'!$D$7&lt;365,SUM($H$23:H201),SUM(OFFSET(H201,-364,0):H201))),0))),IF(AND('депозитный калькулятор'!$G$10="в конце срока",'депозитный калькулятор'!$D$8=F201),SUM($H$23:H201),0))))))))))))))))))</f>
        <v xml:space="preserve"> </v>
      </c>
      <c r="J201" s="59" t="str">
        <f>IF(F201&gt;'депозитный калькулятор'!$D$8," ",IF('депозитный калькулятор'!$G$16="нет",0,IF(AND('депозитный калькулятор'!$G$17="разовая (в конце срока)",F201='депозитный калькулятор'!$D$8),'депозитный калькулятор'!$G$18,IF(AND('депозитный калькулятор'!$G$17="ежемесячная",EOMONTH(F200,0)=F200),'депозитный калькулятор'!$G$18,IF(AND('депозитный калькулятор'!$G$17="ежегодная",DAY(F200)=31,MONTH(F200)=12),'депозитный калькулятор'!$G$18,IF(AND('депозитный калькулятор'!$G$17="ежемесячная в зависимости от остатка",EOMONTH(F200,0)=F200,P200&gt;0),'депозитный калькулятор'!$G$18,IF(AND('депозитный калькулятор'!$G$17="ежегодная в зависимости от остатка",DAY(F200)=31,MONTH(F200)=12,P200&gt;0),'депозитный калькулятор'!$G$18,0)))))))</f>
        <v xml:space="preserve"> </v>
      </c>
      <c r="K201" s="135" t="str">
        <f>IF($F201=" "," ",IFERROR(VLOOKUP($F201,'депозитный калькулятор'!$B$26:$F$70,2,0),0))</f>
        <v xml:space="preserve"> </v>
      </c>
      <c r="L201" s="135" t="str">
        <f>IF($F201=" "," ",IFERROR(VLOOKUP($F201,'депозитный калькулятор'!$B$26:$F$70,3,0),0))</f>
        <v xml:space="preserve"> </v>
      </c>
      <c r="M201" s="135" t="str">
        <f>IF($F201=" "," ",IFERROR(VLOOKUP($F201,'депозитный калькулятор'!$B$26:$F$70,4,0),0))</f>
        <v xml:space="preserve"> </v>
      </c>
      <c r="N201" s="135" t="str">
        <f>IF($F201=" "," ",IFERROR(VLOOKUP($F201,'депозитный калькулятор'!$B$26:$F$70,5,0),0))</f>
        <v xml:space="preserve"> </v>
      </c>
      <c r="O201" s="146" t="str">
        <f>IF(F201&gt;'депозитный калькулятор'!$D$8," ",IF(F201='депозитный калькулятор'!$D$8,IF(AND($F$24='депозитный калькулятор'!$D$8,'депозитный калькулятор'!$G$13="нет"),-G201-IF(I201=" ",0,I201)-IF(AND(OR('депозитный калькулятор'!$G$7="30/365",'депозитный калькулятор'!$G$7="30/360"),'депозитный калькулятор'!$G$10="в начале срока"),I200,0)-L201+M201-N201,-G201-IF(I201=" ",0,I201)-L201+M201-N201),IF('депозитный калькулятор'!$G$13="есть",M201-N201+IF('депозитный калькулятор'!$G$14="есть",0,-L201),-IF(I201=" ",0,I201)-IF(AND(OR('депозитный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срока"),I200,0)+M201-N201+IF('депозитный калькулятор'!$G$14="есть",0,-L201))))</f>
        <v xml:space="preserve"> </v>
      </c>
      <c r="P201" s="147" t="str">
        <f>IF(F201&gt;'депозитный калькулятор'!$D$8," ",IF(EOMONTH(F200,0)=F200,0,IF(G201&gt;='депозитный калькулятор'!$G$19,P200,P200+1)))</f>
        <v xml:space="preserve"> </v>
      </c>
      <c r="Q201" s="138" t="str">
        <f>IF(F201=" "," ",IF(AND(OR('депозитный калькулятор'!$G$7="30/365",'депозитный калькулятор'!$G$7="30/360"),AND(MONTH(F201)=2,EOMONTH(F201,0)=F201)),IF(DAY(F201)=28,3,2),1)*IF(G201&gt;='депозитный калькулятор'!$G$11,IF(AND('депозитный калькулятор'!$G$7="факт/факт",MOD(YEAR(F201),4)=0),G201*'депозитный калькулятор'!$D$11/366,G201*'депозитный калькулятор'!$G$8),0))</f>
        <v xml:space="preserve"> </v>
      </c>
      <c r="R201" s="148"/>
      <c r="S201" s="62" t="str">
        <f t="shared" ca="1" si="12"/>
        <v xml:space="preserve"> </v>
      </c>
      <c r="T201" s="149" t="str">
        <f ca="1">IF(S201=" "," ",IF('депозитный калькулятор'!$G$7="30/360",DAYS360(U200,IF(DAY(U201)=31,U201-1,U201))+IF(AND(MONTH(U201)=2,U201=EOMONTH(U201,0)),30-DAY(EOMONTH(U201,0)))+T200,VLOOKUP(S201,$C$22:$F$1023,2,0)))</f>
        <v xml:space="preserve"> </v>
      </c>
      <c r="U201" s="64" t="str">
        <f t="shared" ca="1" si="10"/>
        <v xml:space="preserve"> </v>
      </c>
      <c r="V201" s="150" t="str">
        <f t="shared" ca="1" si="13"/>
        <v xml:space="preserve"> </v>
      </c>
      <c r="W201" s="62" t="str">
        <f t="shared" ca="1" si="14"/>
        <v xml:space="preserve"> </v>
      </c>
      <c r="X201" s="141" t="str">
        <f ca="1">IF(S201=" "," ",IFERROR(VLOOKUP(U201,$F$23:$N$1023,7)+VLOOKUP(U201,$F$23:$N$1023,9)+IF(AND('депозитный калькулятор'!$G$13="нет",U201&lt;&gt;'депозитный калькулятор'!$D$8),VLOOKUP(U201,$F$23:$N$1023,4),0),0)+IF(U201='депозитный калькулятор'!$D$8,VLOOKUP(U201,$F$23:$N$1023,2)+VLOOKUP(U201,$F$23:$N$1023,4),0))</f>
        <v xml:space="preserve"> </v>
      </c>
      <c r="Y201" s="142" t="str">
        <f ca="1">IF(S201=" "," ",W201/(1+'депозитный калькулятор'!$K$8)^(T201/IF('депозитный калькулятор'!$G$7="30/360",360,365)))</f>
        <v xml:space="preserve"> </v>
      </c>
      <c r="Z201" s="142" t="str">
        <f ca="1">IF(S201=" "," ",X201/(1+'депозитный калькулятор'!$K$8)^(T201/IF('депозитный калькулятор'!$G$7="30/360",360,365)))</f>
        <v xml:space="preserve"> </v>
      </c>
      <c r="AA201" s="151"/>
      <c r="AB201" s="151"/>
      <c r="AC201" s="155"/>
      <c r="AD201" s="155"/>
    </row>
    <row r="202" spans="1:30" s="2" customFormat="1" ht="15.5" x14ac:dyDescent="0.35">
      <c r="A202" s="41" t="str">
        <f>IF(F202=" "," ",IF(OR('депозитный калькулятор'!$G$7="30/365",'депозитный калькулятор'!$G$7="30/360"),IF(AND(MONTH(F202)=2,DAY(F202)=DAY(EOMONTH(F202,0))),30-DAY(EOMONTH(F202,0)),IF(DAY(F202)=31,1," "))," "))</f>
        <v xml:space="preserve"> </v>
      </c>
      <c r="B202" s="130" t="str">
        <f t="shared" si="11"/>
        <v xml:space="preserve"> </v>
      </c>
      <c r="C202" s="130" t="str">
        <f>IF(OR(B202=0,B202=" ")," ",SUM($B$23:B202))</f>
        <v xml:space="preserve"> </v>
      </c>
      <c r="D202" s="62" t="str">
        <f>IF(D201=" "," ",IF(OR(F201='депозитный калькулятор'!$D$8,F201=" ")," ",D201+1))</f>
        <v xml:space="preserve"> </v>
      </c>
      <c r="E202" s="130" t="str">
        <f>IF(OR(F201='депозитный калькулятор'!$D$8,F201=" ")," ",IF(EOMONTH(F201,0)=F201,1,E201+1))</f>
        <v xml:space="preserve"> </v>
      </c>
      <c r="F202" s="64" t="str">
        <f>IF(F201=" "," ",IF(F201='депозитный калькулятор'!$D$8," ",F201+1))</f>
        <v xml:space="preserve"> </v>
      </c>
      <c r="G202" s="145" t="str">
        <f xml:space="preserve"> IF(F202&gt;'депозитный калькулятор'!$D$8," ",IF('депозитный калькулятор'!$G$13="есть",IF('депозитный калькулятор'!$G$14="есть",G201+IF(I201=" ",0,I201)-J202-K202+L202+M202-N202,G201+IF(I201=" ",0,I201)-J202-K202+M202-N202),IF('депозитный калькулятор'!$G$14="есть",G201-J202-K202+L202+M202-N202,G201-J202-K202+M202-N202)))</f>
        <v xml:space="preserve"> </v>
      </c>
      <c r="H202" s="133" t="str">
        <f>IF(F202&gt;'депозитный калькулятор'!$D$8," ",IF(AND(OR('депозитный калькулятор'!$G$7="30/365",'депозитный калькулятор'!$G$7="30/360"),AND(MONTH(F202)=2,EOMONTH(F202,0)=F202)),IF(DAY(F202)=28,3*G202*'депозитный калькулятор'!$G$8,2*G202*'депозитный калькулятор'!$G$8),IF(AND(OR('депозитный калькулятор'!$G$7="30/365",'депозитный калькулятор'!$G$7="30/360"),DAY(F202)=31)," ",IF(AND('депозитный калькулятор'!$G$7="факт/факт",MOD(YEAR(F202),4)=0),G202*'депозитный калькулятор'!$D$11/366,G202*'депозитный калькулятор'!$G$8))))</f>
        <v xml:space="preserve"> </v>
      </c>
      <c r="I202" s="134" t="str">
        <f ca="1">IF(F202=" "," ",IF('депозитный калькулятор'!$G$10="ежедневное",H202,IF(AND('депозитный калькулятор'!$G$10="еженедельное",WEEKDAY(F202,2)=7),SUM(OFFSET(H202,-6,0):H202),IF(AND('депозитный калькулятор'!$G$10="еженедельное",F202='депозитный калькулятор'!$D$8),SUM($H$23:H202)-SUM($I$23:I201),IF(AND('депозитный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недели",WEEKDAY(F202,2)=7),MIN(OFFSET(H202,-6,0):H202)*(COUNTIF(OFFSET(H202,-6,0):H202,"&gt;0")+SUMIF(OFFSET(A202,-WEEKDAY(F202,2),0):A202,"=2",OFFSET(A202,-WEEKDAY(F202,2),0):A202)),IF(AND('депозитный калькулятор'!$G$10="еженедельное, на минимальную сумму зафиксированную в течение недели",F202='депозитный калькулятор'!$D$8,WEEKDAY(F202,2)&lt;&gt;7),MIN(OFFSET(H202,-WEEKDAY(F202,2),0):H202)*(COUNTIF(OFFSET(H202,-WEEKDAY(F202,2)+1,0):H202,"&gt;0")+SUM(OFFSET(A202,-WEEKDAY(F202,2),0):A202)),IF(AND('депозитный калькулятор'!$G$10="ежемесячное (в конце месяца)",F202='депозитный калькулятор'!$D$8,EOMONTH(F202,0)&lt;&gt;F202),IF('депозитный калькулятор'!$F$1=1,$H$24,SUM($H$23:H202)-SUM($I$23:I201)),IF(AND('депозитный калькулятор'!$G$10="ежемесячное (в конце месяца)",EOMONTH(F202,0)=F202),SUM($H$23:H202)-SUM($I$23:I201),IF(AND('депозитный калькулятор'!$G$10="ежемесячное (по дням открытия вклада)",F202='депозитный калькулятор'!$D$8,DAY('депозитный калькулятор'!$D$7)&lt;&gt;DAY(F202)),IF('депозитный калькулятор'!$F$1=1,$H$24,SUM($H$23:H202)-SUM($I$23:I201)),IF(AND('депозитный калькулятор'!$G$10="ежемесячное (по дням открытия вклада)",DAY('депозитный калькулятор'!$D$7)=DAY(F202)),SUM($H$23:H202)-SUM($I$23:I201),IF(AND('депозитный калькулятор'!$G$10="ежемесячное, на минимальную сумму зафиксированную в течение месяца",F202='депозитный калькулятор'!$D$8,EOMONTH(F202,0)&lt;&gt;F202),IF('депозитный калькулятор'!$F$1=1,$H$24,IF(AND(OR('депозитный калькулятор'!$G$7="30/365",'депозитный калькулятор'!$G$7="30/360"),DAY(F202)=31),0,MIN(OFFSET(H202,-E202+1,0):H202)*(E202+SUMIF(OFFSET(A202,-E202+1,0):A202,"=2",OFFSET(A202,-E202+1,0):A202)))),IF(AND('депозитный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калькулятор'!$G$7="30/360"),DAY(EOMONTH(F202,0))=31),EOMONTH(F202,0)-1=F202,EOMONTH(F202,0)=F202)),IF(IF(AND(OR('депозитный калькулятор'!$G$7="30/365",'депозитный калькулятор'!$G$7="30/360"),DAY(EOMONTH($F$23,0))=31),F202=EOMONTH($F$23,0)-1,F202=EOMONTH($F$23,0)),MIN(OFFSET(H202,-(DAY(F202)-DAY($F$23)),0):H202)*E202,MIN(OFFSET(H202,-(DAY(F202)-1),0):H202)*IF(AND(OR('депозитный калькулятор'!$G$7="30/365",'депозитный калькулятор'!$G$7="30/360"),DAY(F202)&lt;30),30,DAY(F202))),IF(AND('депозитный калькулятор'!$G$10="ежемесячное, на средний остаток в течение месяца, при условии что остаток больше чем ограничение",F202='депозитный калькулятор'!$D$8,EOMONTH(F202,0)&lt;&gt;F202),IF('депозитный калькулятор'!$F$1=1,$H$24,SUM(OFFSET(Q202,-E202+1,0):Q202)),IF(AND('депозитный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калькулятор'!$G$7="30/360"),DAY(EOMONTH(F202,0))=31),EOMONTH(F202,0)-1=F202,EOMONTH(F202,0)=F202)),IF(IF(AND(OR('депозитный калькулятор'!$G$7="30/365",'депозитный калькулятор'!$G$7="30/360"),DAY(EOMONTH($F$24,0))=31),F202=EOMONTH($F$24,0)-1,F202=EOMONTH($F$24,0)),SUM(OFFSET(Q202,-E202+1,0):Q202),SUM(OFFSET(Q202,-E202+1,0):Q202)),IF('депозитный калькулятор'!$G$10="ежеквартальное",IF(F202&gt;'депозитный калькулятор'!$D$8," ",IF(AND(EOMONTH(F202,0)=F202,OR(MONTH(F202)=3,MONTH(F202)=6,MONTH(F202)=9,MONTH(F202)=12)),IF(EDATE(F202,-3)&lt;'депозитный калькулятор'!$D$7,SUM($H$23:H202),IF(MOD(YEAR(F202),4)=0,IF(AND(EOMONTH(F202,0)=F202,OR(MONTH(F202)=3,MONTH(F202)=6)),SUM(OFFSET(H202,-90,0):H202),IF(AND(EOMONTH(F202,0)=F202,OR(MONTH(F202)=9,MONTH(F202)=12)),SUM(OFFSET(H202,-91,0):H202))),IF(AND(EOMONTH(F202,0)=F202,MONTH(F202)=3),SUM(OFFSET(H202,-89,0):H202),IF(AND(EOMONTH(F202,0)=F202,MONTH(F202)=6),SUM(OFFSET(H202,-90,0):H202),IF(AND(EOMONTH(F202,0)=F202,OR(MONTH(F202)=9,MONTH(F202)=12)),SUM(OFFSET(H202,-91,0):H202)))))),IF(F202='депозитный калькулятор'!$D$8,SUM($H$23:H202)-SUM($I$23:I201),0))),IF('депозитный калькулятор'!$G$10="ежегодное",IF(F202&gt;'депозитный калькулятор'!$D$8," ",IF(F202='депозитный калькулятор'!$D$8,SUM($H$23:H202)-SUM($I$23:I201),IF(AND(EOMONTH(F202,0)=F202,MONTH(F202)=12),IF(MOD(YEAR(F201),4)=0,IF(F202-'депозитный калькулятор'!$D$7&lt;366,SUM($H$23:H202),SUM(OFFSET(H202,-365,0):H202)),IF(F202-'депозитный калькулятор'!$D$7&lt;365,SUM($H$23:H202),SUM(OFFSET(H202,-364,0):H202))),0))),IF(AND('депозитный калькулятор'!$G$10="в конце срока",'депозитный калькулятор'!$D$8=F202),SUM($H$23:H202),0))))))))))))))))))</f>
        <v xml:space="preserve"> </v>
      </c>
      <c r="J202" s="59" t="str">
        <f>IF(F202&gt;'депозитный калькулятор'!$D$8," ",IF('депозитный калькулятор'!$G$16="нет",0,IF(AND('депозитный калькулятор'!$G$17="разовая (в конце срока)",F202='депозитный калькулятор'!$D$8),'депозитный калькулятор'!$G$18,IF(AND('депозитный калькулятор'!$G$17="ежемесячная",EOMONTH(F201,0)=F201),'депозитный калькулятор'!$G$18,IF(AND('депозитный калькулятор'!$G$17="ежегодная",DAY(F201)=31,MONTH(F201)=12),'депозитный калькулятор'!$G$18,IF(AND('депозитный калькулятор'!$G$17="ежемесячная в зависимости от остатка",EOMONTH(F201,0)=F201,P201&gt;0),'депозитный калькулятор'!$G$18,IF(AND('депозитный калькулятор'!$G$17="ежегодная в зависимости от остатка",DAY(F201)=31,MONTH(F201)=12,P201&gt;0),'депозитный калькулятор'!$G$18,0)))))))</f>
        <v xml:space="preserve"> </v>
      </c>
      <c r="K202" s="135" t="str">
        <f>IF($F202=" "," ",IFERROR(VLOOKUP($F202,'депозитный калькулятор'!$B$26:$F$70,2,0),0))</f>
        <v xml:space="preserve"> </v>
      </c>
      <c r="L202" s="135" t="str">
        <f>IF($F202=" "," ",IFERROR(VLOOKUP($F202,'депозитный калькулятор'!$B$26:$F$70,3,0),0))</f>
        <v xml:space="preserve"> </v>
      </c>
      <c r="M202" s="135" t="str">
        <f>IF($F202=" "," ",IFERROR(VLOOKUP($F202,'депозитный калькулятор'!$B$26:$F$70,4,0),0))</f>
        <v xml:space="preserve"> </v>
      </c>
      <c r="N202" s="135" t="str">
        <f>IF($F202=" "," ",IFERROR(VLOOKUP($F202,'депозитный калькулятор'!$B$26:$F$70,5,0),0))</f>
        <v xml:space="preserve"> </v>
      </c>
      <c r="O202" s="146" t="str">
        <f>IF(F202&gt;'депозитный калькулятор'!$D$8," ",IF(F202='депозитный калькулятор'!$D$8,IF(AND($F$24='депозитный калькулятор'!$D$8,'депозитный калькулятор'!$G$13="нет"),-G202-IF(I202=" ",0,I202)-IF(AND(OR('депозитный калькулятор'!$G$7="30/365",'депозитный калькулятор'!$G$7="30/360"),'депозитный калькулятор'!$G$10="в начале срока"),I201,0)-L202+M202-N202,-G202-IF(I202=" ",0,I202)-L202+M202-N202),IF('депозитный калькулятор'!$G$13="есть",M202-N202+IF('депозитный калькулятор'!$G$14="есть",0,-L202),-IF(I202=" ",0,I202)-IF(AND(OR('депозитный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срока"),I201,0)+M202-N202+IF('депозитный калькулятор'!$G$14="есть",0,-L202))))</f>
        <v xml:space="preserve"> </v>
      </c>
      <c r="P202" s="147" t="str">
        <f>IF(F202&gt;'депозитный калькулятор'!$D$8," ",IF(EOMONTH(F201,0)=F201,0,IF(G202&gt;='депозитный калькулятор'!$G$19,P201,P201+1)))</f>
        <v xml:space="preserve"> </v>
      </c>
      <c r="Q202" s="138" t="str">
        <f>IF(F202=" "," ",IF(AND(OR('депозитный калькулятор'!$G$7="30/365",'депозитный калькулятор'!$G$7="30/360"),AND(MONTH(F202)=2,EOMONTH(F202,0)=F202)),IF(DAY(F202)=28,3,2),1)*IF(G202&gt;='депозитный калькулятор'!$G$11,IF(AND('депозитный калькулятор'!$G$7="факт/факт",MOD(YEAR(F202),4)=0),G202*'депозитный калькулятор'!$D$11/366,G202*'депозитный калькулятор'!$G$8),0))</f>
        <v xml:space="preserve"> </v>
      </c>
      <c r="R202" s="148"/>
      <c r="S202" s="62" t="str">
        <f t="shared" ca="1" si="12"/>
        <v xml:space="preserve"> </v>
      </c>
      <c r="T202" s="149" t="str">
        <f ca="1">IF(S202=" "," ",IF('депозитный калькулятор'!$G$7="30/360",DAYS360(U201,IF(DAY(U202)=31,U202-1,U202))+IF(AND(MONTH(U202)=2,U202=EOMONTH(U202,0)),30-DAY(EOMONTH(U202,0)))+T201,VLOOKUP(S202,$C$22:$F$1023,2,0)))</f>
        <v xml:space="preserve"> </v>
      </c>
      <c r="U202" s="64" t="str">
        <f t="shared" ca="1" si="10"/>
        <v xml:space="preserve"> </v>
      </c>
      <c r="V202" s="150" t="str">
        <f t="shared" ca="1" si="13"/>
        <v xml:space="preserve"> </v>
      </c>
      <c r="W202" s="62" t="str">
        <f t="shared" ca="1" si="14"/>
        <v xml:space="preserve"> </v>
      </c>
      <c r="X202" s="141" t="str">
        <f ca="1">IF(S202=" "," ",IFERROR(VLOOKUP(U202,$F$23:$N$1023,7)+VLOOKUP(U202,$F$23:$N$1023,9)+IF(AND('депозитный калькулятор'!$G$13="нет",U202&lt;&gt;'депозитный калькулятор'!$D$8),VLOOKUP(U202,$F$23:$N$1023,4),0),0)+IF(U202='депозитный калькулятор'!$D$8,VLOOKUP(U202,$F$23:$N$1023,2)+VLOOKUP(U202,$F$23:$N$1023,4),0))</f>
        <v xml:space="preserve"> </v>
      </c>
      <c r="Y202" s="142" t="str">
        <f ca="1">IF(S202=" "," ",W202/(1+'депозитный калькулятор'!$K$8)^(T202/IF('депозитный калькулятор'!$G$7="30/360",360,365)))</f>
        <v xml:space="preserve"> </v>
      </c>
      <c r="Z202" s="142" t="str">
        <f ca="1">IF(S202=" "," ",X202/(1+'депозитный калькулятор'!$K$8)^(T202/IF('депозитный калькулятор'!$G$7="30/360",360,365)))</f>
        <v xml:space="preserve"> </v>
      </c>
      <c r="AA202" s="151"/>
      <c r="AB202" s="151"/>
      <c r="AC202" s="155"/>
      <c r="AD202" s="155"/>
    </row>
    <row r="203" spans="1:30" s="2" customFormat="1" ht="15.5" x14ac:dyDescent="0.35">
      <c r="A203" s="41" t="str">
        <f>IF(F203=" "," ",IF(OR('депозитный калькулятор'!$G$7="30/365",'депозитный калькулятор'!$G$7="30/360"),IF(AND(MONTH(F203)=2,DAY(F203)=DAY(EOMONTH(F203,0))),30-DAY(EOMONTH(F203,0)),IF(DAY(F203)=31,1," "))," "))</f>
        <v xml:space="preserve"> </v>
      </c>
      <c r="B203" s="130" t="str">
        <f t="shared" si="11"/>
        <v xml:space="preserve"> </v>
      </c>
      <c r="C203" s="130" t="str">
        <f>IF(OR(B203=0,B203=" ")," ",SUM($B$23:B203))</f>
        <v xml:space="preserve"> </v>
      </c>
      <c r="D203" s="62" t="str">
        <f>IF(D202=" "," ",IF(OR(F202='депозитный калькулятор'!$D$8,F202=" ")," ",D202+1))</f>
        <v xml:space="preserve"> </v>
      </c>
      <c r="E203" s="130" t="str">
        <f>IF(OR(F202='депозитный калькулятор'!$D$8,F202=" ")," ",IF(EOMONTH(F202,0)=F202,1,E202+1))</f>
        <v xml:space="preserve"> </v>
      </c>
      <c r="F203" s="64" t="str">
        <f>IF(F202=" "," ",IF(F202='депозитный калькулятор'!$D$8," ",F202+1))</f>
        <v xml:space="preserve"> </v>
      </c>
      <c r="G203" s="145" t="str">
        <f xml:space="preserve"> IF(F203&gt;'депозитный калькулятор'!$D$8," ",IF('депозитный калькулятор'!$G$13="есть",IF('депозитный калькулятор'!$G$14="есть",G202+IF(I202=" ",0,I202)-J203-K203+L203+M203-N203,G202+IF(I202=" ",0,I202)-J203-K203+M203-N203),IF('депозитный калькулятор'!$G$14="есть",G202-J203-K203+L203+M203-N203,G202-J203-K203+M203-N203)))</f>
        <v xml:space="preserve"> </v>
      </c>
      <c r="H203" s="133" t="str">
        <f>IF(F203&gt;'депозитный калькулятор'!$D$8," ",IF(AND(OR('депозитный калькулятор'!$G$7="30/365",'депозитный калькулятор'!$G$7="30/360"),AND(MONTH(F203)=2,EOMONTH(F203,0)=F203)),IF(DAY(F203)=28,3*G203*'депозитный калькулятор'!$G$8,2*G203*'депозитный калькулятор'!$G$8),IF(AND(OR('депозитный калькулятор'!$G$7="30/365",'депозитный калькулятор'!$G$7="30/360"),DAY(F203)=31)," ",IF(AND('депозитный калькулятор'!$G$7="факт/факт",MOD(YEAR(F203),4)=0),G203*'депозитный калькулятор'!$D$11/366,G203*'депозитный калькулятор'!$G$8))))</f>
        <v xml:space="preserve"> </v>
      </c>
      <c r="I203" s="134" t="str">
        <f ca="1">IF(F203=" "," ",IF('депозитный калькулятор'!$G$10="ежедневное",H203,IF(AND('депозитный калькулятор'!$G$10="еженедельное",WEEKDAY(F203,2)=7),SUM(OFFSET(H203,-6,0):H203),IF(AND('депозитный калькулятор'!$G$10="еженедельное",F203='депозитный калькулятор'!$D$8),SUM($H$23:H203)-SUM($I$23:I202),IF(AND('депозитный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недели",WEEKDAY(F203,2)=7),MIN(OFFSET(H203,-6,0):H203)*(COUNTIF(OFFSET(H203,-6,0):H203,"&gt;0")+SUMIF(OFFSET(A203,-WEEKDAY(F203,2),0):A203,"=2",OFFSET(A203,-WEEKDAY(F203,2),0):A203)),IF(AND('депозитный калькулятор'!$G$10="еженедельное, на минимальную сумму зафиксированную в течение недели",F203='депозитный калькулятор'!$D$8,WEEKDAY(F203,2)&lt;&gt;7),MIN(OFFSET(H203,-WEEKDAY(F203,2),0):H203)*(COUNTIF(OFFSET(H203,-WEEKDAY(F203,2)+1,0):H203,"&gt;0")+SUM(OFFSET(A203,-WEEKDAY(F203,2),0):A203)),IF(AND('депозитный калькулятор'!$G$10="ежемесячное (в конце месяца)",F203='депозитный калькулятор'!$D$8,EOMONTH(F203,0)&lt;&gt;F203),IF('депозитный калькулятор'!$F$1=1,$H$24,SUM($H$23:H203)-SUM($I$23:I202)),IF(AND('депозитный калькулятор'!$G$10="ежемесячное (в конце месяца)",EOMONTH(F203,0)=F203),SUM($H$23:H203)-SUM($I$23:I202),IF(AND('депозитный калькулятор'!$G$10="ежемесячное (по дням открытия вклада)",F203='депозитный калькулятор'!$D$8,DAY('депозитный калькулятор'!$D$7)&lt;&gt;DAY(F203)),IF('депозитный калькулятор'!$F$1=1,$H$24,SUM($H$23:H203)-SUM($I$23:I202)),IF(AND('депозитный калькулятор'!$G$10="ежемесячное (по дням открытия вклада)",DAY('депозитный калькулятор'!$D$7)=DAY(F203)),SUM($H$23:H203)-SUM($I$23:I202),IF(AND('депозитный калькулятор'!$G$10="ежемесячное, на минимальную сумму зафиксированную в течение месяца",F203='депозитный калькулятор'!$D$8,EOMONTH(F203,0)&lt;&gt;F203),IF('депозитный калькулятор'!$F$1=1,$H$24,IF(AND(OR('депозитный калькулятор'!$G$7="30/365",'депозитный калькулятор'!$G$7="30/360"),DAY(F203)=31),0,MIN(OFFSET(H203,-E203+1,0):H203)*(E203+SUMIF(OFFSET(A203,-E203+1,0):A203,"=2",OFFSET(A203,-E203+1,0):A203)))),IF(AND('депозитный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калькулятор'!$G$7="30/360"),DAY(EOMONTH(F203,0))=31),EOMONTH(F203,0)-1=F203,EOMONTH(F203,0)=F203)),IF(IF(AND(OR('депозитный калькулятор'!$G$7="30/365",'депозитный калькулятор'!$G$7="30/360"),DAY(EOMONTH($F$23,0))=31),F203=EOMONTH($F$23,0)-1,F203=EOMONTH($F$23,0)),MIN(OFFSET(H203,-(DAY(F203)-DAY($F$23)),0):H203)*E203,MIN(OFFSET(H203,-(DAY(F203)-1),0):H203)*IF(AND(OR('депозитный калькулятор'!$G$7="30/365",'депозитный калькулятор'!$G$7="30/360"),DAY(F203)&lt;30),30,DAY(F203))),IF(AND('депозитный калькулятор'!$G$10="ежемесячное, на средний остаток в течение месяца, при условии что остаток больше чем ограничение",F203='депозитный калькулятор'!$D$8,EOMONTH(F203,0)&lt;&gt;F203),IF('депозитный калькулятор'!$F$1=1,$H$24,SUM(OFFSET(Q203,-E203+1,0):Q203)),IF(AND('депозитный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калькулятор'!$G$7="30/360"),DAY(EOMONTH(F203,0))=31),EOMONTH(F203,0)-1=F203,EOMONTH(F203,0)=F203)),IF(IF(AND(OR('депозитный калькулятор'!$G$7="30/365",'депозитный калькулятор'!$G$7="30/360"),DAY(EOMONTH($F$24,0))=31),F203=EOMONTH($F$24,0)-1,F203=EOMONTH($F$24,0)),SUM(OFFSET(Q203,-E203+1,0):Q203),SUM(OFFSET(Q203,-E203+1,0):Q203)),IF('депозитный калькулятор'!$G$10="ежеквартальное",IF(F203&gt;'депозитный калькулятор'!$D$8," ",IF(AND(EOMONTH(F203,0)=F203,OR(MONTH(F203)=3,MONTH(F203)=6,MONTH(F203)=9,MONTH(F203)=12)),IF(EDATE(F203,-3)&lt;'депозитный калькулятор'!$D$7,SUM($H$23:H203),IF(MOD(YEAR(F203),4)=0,IF(AND(EOMONTH(F203,0)=F203,OR(MONTH(F203)=3,MONTH(F203)=6)),SUM(OFFSET(H203,-90,0):H203),IF(AND(EOMONTH(F203,0)=F203,OR(MONTH(F203)=9,MONTH(F203)=12)),SUM(OFFSET(H203,-91,0):H203))),IF(AND(EOMONTH(F203,0)=F203,MONTH(F203)=3),SUM(OFFSET(H203,-89,0):H203),IF(AND(EOMONTH(F203,0)=F203,MONTH(F203)=6),SUM(OFFSET(H203,-90,0):H203),IF(AND(EOMONTH(F203,0)=F203,OR(MONTH(F203)=9,MONTH(F203)=12)),SUM(OFFSET(H203,-91,0):H203)))))),IF(F203='депозитный калькулятор'!$D$8,SUM($H$23:H203)-SUM($I$23:I202),0))),IF('депозитный калькулятор'!$G$10="ежегодное",IF(F203&gt;'депозитный калькулятор'!$D$8," ",IF(F203='депозитный калькулятор'!$D$8,SUM($H$23:H203)-SUM($I$23:I202),IF(AND(EOMONTH(F203,0)=F203,MONTH(F203)=12),IF(MOD(YEAR(F202),4)=0,IF(F203-'депозитный калькулятор'!$D$7&lt;366,SUM($H$23:H203),SUM(OFFSET(H203,-365,0):H203)),IF(F203-'депозитный калькулятор'!$D$7&lt;365,SUM($H$23:H203),SUM(OFFSET(H203,-364,0):H203))),0))),IF(AND('депозитный калькулятор'!$G$10="в конце срока",'депозитный калькулятор'!$D$8=F203),SUM($H$23:H203),0))))))))))))))))))</f>
        <v xml:space="preserve"> </v>
      </c>
      <c r="J203" s="59" t="str">
        <f>IF(F203&gt;'депозитный калькулятор'!$D$8," ",IF('депозитный калькулятор'!$G$16="нет",0,IF(AND('депозитный калькулятор'!$G$17="разовая (в конце срока)",F203='депозитный калькулятор'!$D$8),'депозитный калькулятор'!$G$18,IF(AND('депозитный калькулятор'!$G$17="ежемесячная",EOMONTH(F202,0)=F202),'депозитный калькулятор'!$G$18,IF(AND('депозитный калькулятор'!$G$17="ежегодная",DAY(F202)=31,MONTH(F202)=12),'депозитный калькулятор'!$G$18,IF(AND('депозитный калькулятор'!$G$17="ежемесячная в зависимости от остатка",EOMONTH(F202,0)=F202,P202&gt;0),'депозитный калькулятор'!$G$18,IF(AND('депозитный калькулятор'!$G$17="ежегодная в зависимости от остатка",DAY(F202)=31,MONTH(F202)=12,P202&gt;0),'депозитный калькулятор'!$G$18,0)))))))</f>
        <v xml:space="preserve"> </v>
      </c>
      <c r="K203" s="135" t="str">
        <f>IF($F203=" "," ",IFERROR(VLOOKUP($F203,'депозитный калькулятор'!$B$26:$F$70,2,0),0))</f>
        <v xml:space="preserve"> </v>
      </c>
      <c r="L203" s="135" t="str">
        <f>IF($F203=" "," ",IFERROR(VLOOKUP($F203,'депозитный калькулятор'!$B$26:$F$70,3,0),0))</f>
        <v xml:space="preserve"> </v>
      </c>
      <c r="M203" s="135" t="str">
        <f>IF($F203=" "," ",IFERROR(VLOOKUP($F203,'депозитный калькулятор'!$B$26:$F$70,4,0),0))</f>
        <v xml:space="preserve"> </v>
      </c>
      <c r="N203" s="135" t="str">
        <f>IF($F203=" "," ",IFERROR(VLOOKUP($F203,'депозитный калькулятор'!$B$26:$F$70,5,0),0))</f>
        <v xml:space="preserve"> </v>
      </c>
      <c r="O203" s="146" t="str">
        <f>IF(F203&gt;'депозитный калькулятор'!$D$8," ",IF(F203='депозитный калькулятор'!$D$8,IF(AND($F$24='депозитный калькулятор'!$D$8,'депозитный калькулятор'!$G$13="нет"),-G203-IF(I203=" ",0,I203)-IF(AND(OR('депозитный калькулятор'!$G$7="30/365",'депозитный калькулятор'!$G$7="30/360"),'депозитный калькулятор'!$G$10="в начале срока"),I202,0)-L203+M203-N203,-G203-IF(I203=" ",0,I203)-L203+M203-N203),IF('депозитный калькулятор'!$G$13="есть",M203-N203+IF('депозитный калькулятор'!$G$14="есть",0,-L203),-IF(I203=" ",0,I203)-IF(AND(OR('депозитный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срока"),I202,0)+M203-N203+IF('депозитный калькулятор'!$G$14="есть",0,-L203))))</f>
        <v xml:space="preserve"> </v>
      </c>
      <c r="P203" s="147" t="str">
        <f>IF(F203&gt;'депозитный калькулятор'!$D$8," ",IF(EOMONTH(F202,0)=F202,0,IF(G203&gt;='депозитный калькулятор'!$G$19,P202,P202+1)))</f>
        <v xml:space="preserve"> </v>
      </c>
      <c r="Q203" s="138" t="str">
        <f>IF(F203=" "," ",IF(AND(OR('депозитный калькулятор'!$G$7="30/365",'депозитный калькулятор'!$G$7="30/360"),AND(MONTH(F203)=2,EOMONTH(F203,0)=F203)),IF(DAY(F203)=28,3,2),1)*IF(G203&gt;='депозитный калькулятор'!$G$11,IF(AND('депозитный калькулятор'!$G$7="факт/факт",MOD(YEAR(F203),4)=0),G203*'депозитный калькулятор'!$D$11/366,G203*'депозитный калькулятор'!$G$8),0))</f>
        <v xml:space="preserve"> </v>
      </c>
      <c r="R203" s="148"/>
      <c r="S203" s="62" t="str">
        <f t="shared" ca="1" si="12"/>
        <v xml:space="preserve"> </v>
      </c>
      <c r="T203" s="149" t="str">
        <f ca="1">IF(S203=" "," ",IF('депозитный калькулятор'!$G$7="30/360",DAYS360(U202,IF(DAY(U203)=31,U203-1,U203))+IF(AND(MONTH(U203)=2,U203=EOMONTH(U203,0)),30-DAY(EOMONTH(U203,0)))+T202,VLOOKUP(S203,$C$22:$F$1023,2,0)))</f>
        <v xml:space="preserve"> </v>
      </c>
      <c r="U203" s="64" t="str">
        <f t="shared" ca="1" si="10"/>
        <v xml:space="preserve"> </v>
      </c>
      <c r="V203" s="150" t="str">
        <f t="shared" ca="1" si="13"/>
        <v xml:space="preserve"> </v>
      </c>
      <c r="W203" s="62" t="str">
        <f t="shared" ca="1" si="14"/>
        <v xml:space="preserve"> </v>
      </c>
      <c r="X203" s="141" t="str">
        <f ca="1">IF(S203=" "," ",IFERROR(VLOOKUP(U203,$F$23:$N$1023,7)+VLOOKUP(U203,$F$23:$N$1023,9)+IF(AND('депозитный калькулятор'!$G$13="нет",U203&lt;&gt;'депозитный калькулятор'!$D$8),VLOOKUP(U203,$F$23:$N$1023,4),0),0)+IF(U203='депозитный калькулятор'!$D$8,VLOOKUP(U203,$F$23:$N$1023,2)+VLOOKUP(U203,$F$23:$N$1023,4),0))</f>
        <v xml:space="preserve"> </v>
      </c>
      <c r="Y203" s="142" t="str">
        <f ca="1">IF(S203=" "," ",W203/(1+'депозитный калькулятор'!$K$8)^(T203/IF('депозитный калькулятор'!$G$7="30/360",360,365)))</f>
        <v xml:space="preserve"> </v>
      </c>
      <c r="Z203" s="142" t="str">
        <f ca="1">IF(S203=" "," ",X203/(1+'депозитный калькулятор'!$K$8)^(T203/IF('депозитный калькулятор'!$G$7="30/360",360,365)))</f>
        <v xml:space="preserve"> </v>
      </c>
      <c r="AA203" s="151"/>
      <c r="AB203" s="151"/>
      <c r="AC203" s="155"/>
      <c r="AD203" s="155"/>
    </row>
    <row r="204" spans="1:30" s="2" customFormat="1" ht="15.5" x14ac:dyDescent="0.35">
      <c r="A204" s="41" t="str">
        <f>IF(F204=" "," ",IF(OR('депозитный калькулятор'!$G$7="30/365",'депозитный калькулятор'!$G$7="30/360"),IF(AND(MONTH(F204)=2,DAY(F204)=DAY(EOMONTH(F204,0))),30-DAY(EOMONTH(F204,0)),IF(DAY(F204)=31,1," "))," "))</f>
        <v xml:space="preserve"> </v>
      </c>
      <c r="B204" s="130" t="str">
        <f t="shared" si="11"/>
        <v xml:space="preserve"> </v>
      </c>
      <c r="C204" s="130" t="str">
        <f>IF(OR(B204=0,B204=" ")," ",SUM($B$23:B204))</f>
        <v xml:space="preserve"> </v>
      </c>
      <c r="D204" s="62" t="str">
        <f>IF(D203=" "," ",IF(OR(F203='депозитный калькулятор'!$D$8,F203=" ")," ",D203+1))</f>
        <v xml:space="preserve"> </v>
      </c>
      <c r="E204" s="130" t="str">
        <f>IF(OR(F203='депозитный калькулятор'!$D$8,F203=" ")," ",IF(EOMONTH(F203,0)=F203,1,E203+1))</f>
        <v xml:space="preserve"> </v>
      </c>
      <c r="F204" s="64" t="str">
        <f>IF(F203=" "," ",IF(F203='депозитный калькулятор'!$D$8," ",F203+1))</f>
        <v xml:space="preserve"> </v>
      </c>
      <c r="G204" s="145" t="str">
        <f xml:space="preserve"> IF(F204&gt;'депозитный калькулятор'!$D$8," ",IF('депозитный калькулятор'!$G$13="есть",IF('депозитный калькулятор'!$G$14="есть",G203+IF(I203=" ",0,I203)-J204-K204+L204+M204-N204,G203+IF(I203=" ",0,I203)-J204-K204+M204-N204),IF('депозитный калькулятор'!$G$14="есть",G203-J204-K204+L204+M204-N204,G203-J204-K204+M204-N204)))</f>
        <v xml:space="preserve"> </v>
      </c>
      <c r="H204" s="133" t="str">
        <f>IF(F204&gt;'депозитный калькулятор'!$D$8," ",IF(AND(OR('депозитный калькулятор'!$G$7="30/365",'депозитный калькулятор'!$G$7="30/360"),AND(MONTH(F204)=2,EOMONTH(F204,0)=F204)),IF(DAY(F204)=28,3*G204*'депозитный калькулятор'!$G$8,2*G204*'депозитный калькулятор'!$G$8),IF(AND(OR('депозитный калькулятор'!$G$7="30/365",'депозитный калькулятор'!$G$7="30/360"),DAY(F204)=31)," ",IF(AND('депозитный калькулятор'!$G$7="факт/факт",MOD(YEAR(F204),4)=0),G204*'депозитный калькулятор'!$D$11/366,G204*'депозитный калькулятор'!$G$8))))</f>
        <v xml:space="preserve"> </v>
      </c>
      <c r="I204" s="134" t="str">
        <f ca="1">IF(F204=" "," ",IF('депозитный калькулятор'!$G$10="ежедневное",H204,IF(AND('депозитный калькулятор'!$G$10="еженедельное",WEEKDAY(F204,2)=7),SUM(OFFSET(H204,-6,0):H204),IF(AND('депозитный калькулятор'!$G$10="еженедельное",F204='депозитный калькулятор'!$D$8),SUM($H$23:H204)-SUM($I$23:I203),IF(AND('депозитный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недели",WEEKDAY(F204,2)=7),MIN(OFFSET(H204,-6,0):H204)*(COUNTIF(OFFSET(H204,-6,0):H204,"&gt;0")+SUMIF(OFFSET(A204,-WEEKDAY(F204,2),0):A204,"=2",OFFSET(A204,-WEEKDAY(F204,2),0):A204)),IF(AND('депозитный калькулятор'!$G$10="еженедельное, на минимальную сумму зафиксированную в течение недели",F204='депозитный калькулятор'!$D$8,WEEKDAY(F204,2)&lt;&gt;7),MIN(OFFSET(H204,-WEEKDAY(F204,2),0):H204)*(COUNTIF(OFFSET(H204,-WEEKDAY(F204,2)+1,0):H204,"&gt;0")+SUM(OFFSET(A204,-WEEKDAY(F204,2),0):A204)),IF(AND('депозитный калькулятор'!$G$10="ежемесячное (в конце месяца)",F204='депозитный калькулятор'!$D$8,EOMONTH(F204,0)&lt;&gt;F204),IF('депозитный калькулятор'!$F$1=1,$H$24,SUM($H$23:H204)-SUM($I$23:I203)),IF(AND('депозитный калькулятор'!$G$10="ежемесячное (в конце месяца)",EOMONTH(F204,0)=F204),SUM($H$23:H204)-SUM($I$23:I203),IF(AND('депозитный калькулятор'!$G$10="ежемесячное (по дням открытия вклада)",F204='депозитный калькулятор'!$D$8,DAY('депозитный калькулятор'!$D$7)&lt;&gt;DAY(F204)),IF('депозитный калькулятор'!$F$1=1,$H$24,SUM($H$23:H204)-SUM($I$23:I203)),IF(AND('депозитный калькулятор'!$G$10="ежемесячное (по дням открытия вклада)",DAY('депозитный калькулятор'!$D$7)=DAY(F204)),SUM($H$23:H204)-SUM($I$23:I203),IF(AND('депозитный калькулятор'!$G$10="ежемесячное, на минимальную сумму зафиксированную в течение месяца",F204='депозитный калькулятор'!$D$8,EOMONTH(F204,0)&lt;&gt;F204),IF('депозитный калькулятор'!$F$1=1,$H$24,IF(AND(OR('депозитный калькулятор'!$G$7="30/365",'депозитный калькулятор'!$G$7="30/360"),DAY(F204)=31),0,MIN(OFFSET(H204,-E204+1,0):H204)*(E204+SUMIF(OFFSET(A204,-E204+1,0):A204,"=2",OFFSET(A204,-E204+1,0):A204)))),IF(AND('депозитный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калькулятор'!$G$7="30/360"),DAY(EOMONTH(F204,0))=31),EOMONTH(F204,0)-1=F204,EOMONTH(F204,0)=F204)),IF(IF(AND(OR('депозитный калькулятор'!$G$7="30/365",'депозитный калькулятор'!$G$7="30/360"),DAY(EOMONTH($F$23,0))=31),F204=EOMONTH($F$23,0)-1,F204=EOMONTH($F$23,0)),MIN(OFFSET(H204,-(DAY(F204)-DAY($F$23)),0):H204)*E204,MIN(OFFSET(H204,-(DAY(F204)-1),0):H204)*IF(AND(OR('депозитный калькулятор'!$G$7="30/365",'депозитный калькулятор'!$G$7="30/360"),DAY(F204)&lt;30),30,DAY(F204))),IF(AND('депозитный калькулятор'!$G$10="ежемесячное, на средний остаток в течение месяца, при условии что остаток больше чем ограничение",F204='депозитный калькулятор'!$D$8,EOMONTH(F204,0)&lt;&gt;F204),IF('депозитный калькулятор'!$F$1=1,$H$24,SUM(OFFSET(Q204,-E204+1,0):Q204)),IF(AND('депозитный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калькулятор'!$G$7="30/360"),DAY(EOMONTH(F204,0))=31),EOMONTH(F204,0)-1=F204,EOMONTH(F204,0)=F204)),IF(IF(AND(OR('депозитный калькулятор'!$G$7="30/365",'депозитный калькулятор'!$G$7="30/360"),DAY(EOMONTH($F$24,0))=31),F204=EOMONTH($F$24,0)-1,F204=EOMONTH($F$24,0)),SUM(OFFSET(Q204,-E204+1,0):Q204),SUM(OFFSET(Q204,-E204+1,0):Q204)),IF('депозитный калькулятор'!$G$10="ежеквартальное",IF(F204&gt;'депозитный калькулятор'!$D$8," ",IF(AND(EOMONTH(F204,0)=F204,OR(MONTH(F204)=3,MONTH(F204)=6,MONTH(F204)=9,MONTH(F204)=12)),IF(EDATE(F204,-3)&lt;'депозитный калькулятор'!$D$7,SUM($H$23:H204),IF(MOD(YEAR(F204),4)=0,IF(AND(EOMONTH(F204,0)=F204,OR(MONTH(F204)=3,MONTH(F204)=6)),SUM(OFFSET(H204,-90,0):H204),IF(AND(EOMONTH(F204,0)=F204,OR(MONTH(F204)=9,MONTH(F204)=12)),SUM(OFFSET(H204,-91,0):H204))),IF(AND(EOMONTH(F204,0)=F204,MONTH(F204)=3),SUM(OFFSET(H204,-89,0):H204),IF(AND(EOMONTH(F204,0)=F204,MONTH(F204)=6),SUM(OFFSET(H204,-90,0):H204),IF(AND(EOMONTH(F204,0)=F204,OR(MONTH(F204)=9,MONTH(F204)=12)),SUM(OFFSET(H204,-91,0):H204)))))),IF(F204='депозитный калькулятор'!$D$8,SUM($H$23:H204)-SUM($I$23:I203),0))),IF('депозитный калькулятор'!$G$10="ежегодное",IF(F204&gt;'депозитный калькулятор'!$D$8," ",IF(F204='депозитный калькулятор'!$D$8,SUM($H$23:H204)-SUM($I$23:I203),IF(AND(EOMONTH(F204,0)=F204,MONTH(F204)=12),IF(MOD(YEAR(F203),4)=0,IF(F204-'депозитный калькулятор'!$D$7&lt;366,SUM($H$23:H204),SUM(OFFSET(H204,-365,0):H204)),IF(F204-'депозитный калькулятор'!$D$7&lt;365,SUM($H$23:H204),SUM(OFFSET(H204,-364,0):H204))),0))),IF(AND('депозитный калькулятор'!$G$10="в конце срока",'депозитный калькулятор'!$D$8=F204),SUM($H$23:H204),0))))))))))))))))))</f>
        <v xml:space="preserve"> </v>
      </c>
      <c r="J204" s="59" t="str">
        <f>IF(F204&gt;'депозитный калькулятор'!$D$8," ",IF('депозитный калькулятор'!$G$16="нет",0,IF(AND('депозитный калькулятор'!$G$17="разовая (в конце срока)",F204='депозитный калькулятор'!$D$8),'депозитный калькулятор'!$G$18,IF(AND('депозитный калькулятор'!$G$17="ежемесячная",EOMONTH(F203,0)=F203),'депозитный калькулятор'!$G$18,IF(AND('депозитный калькулятор'!$G$17="ежегодная",DAY(F203)=31,MONTH(F203)=12),'депозитный калькулятор'!$G$18,IF(AND('депозитный калькулятор'!$G$17="ежемесячная в зависимости от остатка",EOMONTH(F203,0)=F203,P203&gt;0),'депозитный калькулятор'!$G$18,IF(AND('депозитный калькулятор'!$G$17="ежегодная в зависимости от остатка",DAY(F203)=31,MONTH(F203)=12,P203&gt;0),'депозитный калькулятор'!$G$18,0)))))))</f>
        <v xml:space="preserve"> </v>
      </c>
      <c r="K204" s="135" t="str">
        <f>IF($F204=" "," ",IFERROR(VLOOKUP($F204,'депозитный калькулятор'!$B$26:$F$70,2,0),0))</f>
        <v xml:space="preserve"> </v>
      </c>
      <c r="L204" s="135" t="str">
        <f>IF($F204=" "," ",IFERROR(VLOOKUP($F204,'депозитный калькулятор'!$B$26:$F$70,3,0),0))</f>
        <v xml:space="preserve"> </v>
      </c>
      <c r="M204" s="135" t="str">
        <f>IF($F204=" "," ",IFERROR(VLOOKUP($F204,'депозитный калькулятор'!$B$26:$F$70,4,0),0))</f>
        <v xml:space="preserve"> </v>
      </c>
      <c r="N204" s="135" t="str">
        <f>IF($F204=" "," ",IFERROR(VLOOKUP($F204,'депозитный калькулятор'!$B$26:$F$70,5,0),0))</f>
        <v xml:space="preserve"> </v>
      </c>
      <c r="O204" s="146" t="str">
        <f>IF(F204&gt;'депозитный калькулятор'!$D$8," ",IF(F204='депозитный калькулятор'!$D$8,IF(AND($F$24='депозитный калькулятор'!$D$8,'депозитный калькулятор'!$G$13="нет"),-G204-IF(I204=" ",0,I204)-IF(AND(OR('депозитный калькулятор'!$G$7="30/365",'депозитный калькулятор'!$G$7="30/360"),'депозитный калькулятор'!$G$10="в начале срока"),I203,0)-L204+M204-N204,-G204-IF(I204=" ",0,I204)-L204+M204-N204),IF('депозитный калькулятор'!$G$13="есть",M204-N204+IF('депозитный калькулятор'!$G$14="есть",0,-L204),-IF(I204=" ",0,I204)-IF(AND(OR('депозитный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срока"),I203,0)+M204-N204+IF('депозитный калькулятор'!$G$14="есть",0,-L204))))</f>
        <v xml:space="preserve"> </v>
      </c>
      <c r="P204" s="147" t="str">
        <f>IF(F204&gt;'депозитный калькулятор'!$D$8," ",IF(EOMONTH(F203,0)=F203,0,IF(G204&gt;='депозитный калькулятор'!$G$19,P203,P203+1)))</f>
        <v xml:space="preserve"> </v>
      </c>
      <c r="Q204" s="138" t="str">
        <f>IF(F204=" "," ",IF(AND(OR('депозитный калькулятор'!$G$7="30/365",'депозитный калькулятор'!$G$7="30/360"),AND(MONTH(F204)=2,EOMONTH(F204,0)=F204)),IF(DAY(F204)=28,3,2),1)*IF(G204&gt;='депозитный калькулятор'!$G$11,IF(AND('депозитный калькулятор'!$G$7="факт/факт",MOD(YEAR(F204),4)=0),G204*'депозитный калькулятор'!$D$11/366,G204*'депозитный калькулятор'!$G$8),0))</f>
        <v xml:space="preserve"> </v>
      </c>
      <c r="R204" s="148"/>
      <c r="S204" s="62" t="str">
        <f t="shared" ca="1" si="12"/>
        <v xml:space="preserve"> </v>
      </c>
      <c r="T204" s="149" t="str">
        <f ca="1">IF(S204=" "," ",IF('депозитный калькулятор'!$G$7="30/360",DAYS360(U203,IF(DAY(U204)=31,U204-1,U204))+IF(AND(MONTH(U204)=2,U204=EOMONTH(U204,0)),30-DAY(EOMONTH(U204,0)))+T203,VLOOKUP(S204,$C$22:$F$1023,2,0)))</f>
        <v xml:space="preserve"> </v>
      </c>
      <c r="U204" s="64" t="str">
        <f t="shared" ca="1" si="10"/>
        <v xml:space="preserve"> </v>
      </c>
      <c r="V204" s="150" t="str">
        <f t="shared" ca="1" si="13"/>
        <v xml:space="preserve"> </v>
      </c>
      <c r="W204" s="62" t="str">
        <f t="shared" ca="1" si="14"/>
        <v xml:space="preserve"> </v>
      </c>
      <c r="X204" s="141" t="str">
        <f ca="1">IF(S204=" "," ",IFERROR(VLOOKUP(U204,$F$23:$N$1023,7)+VLOOKUP(U204,$F$23:$N$1023,9)+IF(AND('депозитный калькулятор'!$G$13="нет",U204&lt;&gt;'депозитный калькулятор'!$D$8),VLOOKUP(U204,$F$23:$N$1023,4),0),0)+IF(U204='депозитный калькулятор'!$D$8,VLOOKUP(U204,$F$23:$N$1023,2)+VLOOKUP(U204,$F$23:$N$1023,4),0))</f>
        <v xml:space="preserve"> </v>
      </c>
      <c r="Y204" s="142" t="str">
        <f ca="1">IF(S204=" "," ",W204/(1+'депозитный калькулятор'!$K$8)^(T204/IF('депозитный калькулятор'!$G$7="30/360",360,365)))</f>
        <v xml:space="preserve"> </v>
      </c>
      <c r="Z204" s="142" t="str">
        <f ca="1">IF(S204=" "," ",X204/(1+'депозитный калькулятор'!$K$8)^(T204/IF('депозитный калькулятор'!$G$7="30/360",360,365)))</f>
        <v xml:space="preserve"> </v>
      </c>
      <c r="AA204" s="151"/>
      <c r="AB204" s="151"/>
      <c r="AC204" s="155"/>
      <c r="AD204" s="155"/>
    </row>
    <row r="205" spans="1:30" s="2" customFormat="1" ht="15.5" x14ac:dyDescent="0.35">
      <c r="A205" s="41" t="str">
        <f>IF(F205=" "," ",IF(OR('депозитный калькулятор'!$G$7="30/365",'депозитный калькулятор'!$G$7="30/360"),IF(AND(MONTH(F205)=2,DAY(F205)=DAY(EOMONTH(F205,0))),30-DAY(EOMONTH(F205,0)),IF(DAY(F205)=31,1," "))," "))</f>
        <v xml:space="preserve"> </v>
      </c>
      <c r="B205" s="130" t="str">
        <f t="shared" si="11"/>
        <v xml:space="preserve"> </v>
      </c>
      <c r="C205" s="130" t="str">
        <f>IF(OR(B205=0,B205=" ")," ",SUM($B$23:B205))</f>
        <v xml:space="preserve"> </v>
      </c>
      <c r="D205" s="62" t="str">
        <f>IF(D204=" "," ",IF(OR(F204='депозитный калькулятор'!$D$8,F204=" ")," ",D204+1))</f>
        <v xml:space="preserve"> </v>
      </c>
      <c r="E205" s="130" t="str">
        <f>IF(OR(F204='депозитный калькулятор'!$D$8,F204=" ")," ",IF(EOMONTH(F204,0)=F204,1,E204+1))</f>
        <v xml:space="preserve"> </v>
      </c>
      <c r="F205" s="64" t="str">
        <f>IF(F204=" "," ",IF(F204='депозитный калькулятор'!$D$8," ",F204+1))</f>
        <v xml:space="preserve"> </v>
      </c>
      <c r="G205" s="145" t="str">
        <f xml:space="preserve"> IF(F205&gt;'депозитный калькулятор'!$D$8," ",IF('депозитный калькулятор'!$G$13="есть",IF('депозитный калькулятор'!$G$14="есть",G204+IF(I204=" ",0,I204)-J205-K205+L205+M205-N205,G204+IF(I204=" ",0,I204)-J205-K205+M205-N205),IF('депозитный калькулятор'!$G$14="есть",G204-J205-K205+L205+M205-N205,G204-J205-K205+M205-N205)))</f>
        <v xml:space="preserve"> </v>
      </c>
      <c r="H205" s="133" t="str">
        <f>IF(F205&gt;'депозитный калькулятор'!$D$8," ",IF(AND(OR('депозитный калькулятор'!$G$7="30/365",'депозитный калькулятор'!$G$7="30/360"),AND(MONTH(F205)=2,EOMONTH(F205,0)=F205)),IF(DAY(F205)=28,3*G205*'депозитный калькулятор'!$G$8,2*G205*'депозитный калькулятор'!$G$8),IF(AND(OR('депозитный калькулятор'!$G$7="30/365",'депозитный калькулятор'!$G$7="30/360"),DAY(F205)=31)," ",IF(AND('депозитный калькулятор'!$G$7="факт/факт",MOD(YEAR(F205),4)=0),G205*'депозитный калькулятор'!$D$11/366,G205*'депозитный калькулятор'!$G$8))))</f>
        <v xml:space="preserve"> </v>
      </c>
      <c r="I205" s="134" t="str">
        <f ca="1">IF(F205=" "," ",IF('депозитный калькулятор'!$G$10="ежедневное",H205,IF(AND('депозитный калькулятор'!$G$10="еженедельное",WEEKDAY(F205,2)=7),SUM(OFFSET(H205,-6,0):H205),IF(AND('депозитный калькулятор'!$G$10="еженедельное",F205='депозитный калькулятор'!$D$8),SUM($H$23:H205)-SUM($I$23:I204),IF(AND('депозитный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недели",WEEKDAY(F205,2)=7),MIN(OFFSET(H205,-6,0):H205)*(COUNTIF(OFFSET(H205,-6,0):H205,"&gt;0")+SUMIF(OFFSET(A205,-WEEKDAY(F205,2),0):A205,"=2",OFFSET(A205,-WEEKDAY(F205,2),0):A205)),IF(AND('депозитный калькулятор'!$G$10="еженедельное, на минимальную сумму зафиксированную в течение недели",F205='депозитный калькулятор'!$D$8,WEEKDAY(F205,2)&lt;&gt;7),MIN(OFFSET(H205,-WEEKDAY(F205,2),0):H205)*(COUNTIF(OFFSET(H205,-WEEKDAY(F205,2)+1,0):H205,"&gt;0")+SUM(OFFSET(A205,-WEEKDAY(F205,2),0):A205)),IF(AND('депозитный калькулятор'!$G$10="ежемесячное (в конце месяца)",F205='депозитный калькулятор'!$D$8,EOMONTH(F205,0)&lt;&gt;F205),IF('депозитный калькулятор'!$F$1=1,$H$24,SUM($H$23:H205)-SUM($I$23:I204)),IF(AND('депозитный калькулятор'!$G$10="ежемесячное (в конце месяца)",EOMONTH(F205,0)=F205),SUM($H$23:H205)-SUM($I$23:I204),IF(AND('депозитный калькулятор'!$G$10="ежемесячное (по дням открытия вклада)",F205='депозитный калькулятор'!$D$8,DAY('депозитный калькулятор'!$D$7)&lt;&gt;DAY(F205)),IF('депозитный калькулятор'!$F$1=1,$H$24,SUM($H$23:H205)-SUM($I$23:I204)),IF(AND('депозитный калькулятор'!$G$10="ежемесячное (по дням открытия вклада)",DAY('депозитный калькулятор'!$D$7)=DAY(F205)),SUM($H$23:H205)-SUM($I$23:I204),IF(AND('депозитный калькулятор'!$G$10="ежемесячное, на минимальную сумму зафиксированную в течение месяца",F205='депозитный калькулятор'!$D$8,EOMONTH(F205,0)&lt;&gt;F205),IF('депозитный калькулятор'!$F$1=1,$H$24,IF(AND(OR('депозитный калькулятор'!$G$7="30/365",'депозитный калькулятор'!$G$7="30/360"),DAY(F205)=31),0,MIN(OFFSET(H205,-E205+1,0):H205)*(E205+SUMIF(OFFSET(A205,-E205+1,0):A205,"=2",OFFSET(A205,-E205+1,0):A205)))),IF(AND('депозитный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калькулятор'!$G$7="30/360"),DAY(EOMONTH(F205,0))=31),EOMONTH(F205,0)-1=F205,EOMONTH(F205,0)=F205)),IF(IF(AND(OR('депозитный калькулятор'!$G$7="30/365",'депозитный калькулятор'!$G$7="30/360"),DAY(EOMONTH($F$23,0))=31),F205=EOMONTH($F$23,0)-1,F205=EOMONTH($F$23,0)),MIN(OFFSET(H205,-(DAY(F205)-DAY($F$23)),0):H205)*E205,MIN(OFFSET(H205,-(DAY(F205)-1),0):H205)*IF(AND(OR('депозитный калькулятор'!$G$7="30/365",'депозитный калькулятор'!$G$7="30/360"),DAY(F205)&lt;30),30,DAY(F205))),IF(AND('депозитный калькулятор'!$G$10="ежемесячное, на средний остаток в течение месяца, при условии что остаток больше чем ограничение",F205='депозитный калькулятор'!$D$8,EOMONTH(F205,0)&lt;&gt;F205),IF('депозитный калькулятор'!$F$1=1,$H$24,SUM(OFFSET(Q205,-E205+1,0):Q205)),IF(AND('депозитный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калькулятор'!$G$7="30/360"),DAY(EOMONTH(F205,0))=31),EOMONTH(F205,0)-1=F205,EOMONTH(F205,0)=F205)),IF(IF(AND(OR('депозитный калькулятор'!$G$7="30/365",'депозитный калькулятор'!$G$7="30/360"),DAY(EOMONTH($F$24,0))=31),F205=EOMONTH($F$24,0)-1,F205=EOMONTH($F$24,0)),SUM(OFFSET(Q205,-E205+1,0):Q205),SUM(OFFSET(Q205,-E205+1,0):Q205)),IF('депозитный калькулятор'!$G$10="ежеквартальное",IF(F205&gt;'депозитный калькулятор'!$D$8," ",IF(AND(EOMONTH(F205,0)=F205,OR(MONTH(F205)=3,MONTH(F205)=6,MONTH(F205)=9,MONTH(F205)=12)),IF(EDATE(F205,-3)&lt;'депозитный калькулятор'!$D$7,SUM($H$23:H205),IF(MOD(YEAR(F205),4)=0,IF(AND(EOMONTH(F205,0)=F205,OR(MONTH(F205)=3,MONTH(F205)=6)),SUM(OFFSET(H205,-90,0):H205),IF(AND(EOMONTH(F205,0)=F205,OR(MONTH(F205)=9,MONTH(F205)=12)),SUM(OFFSET(H205,-91,0):H205))),IF(AND(EOMONTH(F205,0)=F205,MONTH(F205)=3),SUM(OFFSET(H205,-89,0):H205),IF(AND(EOMONTH(F205,0)=F205,MONTH(F205)=6),SUM(OFFSET(H205,-90,0):H205),IF(AND(EOMONTH(F205,0)=F205,OR(MONTH(F205)=9,MONTH(F205)=12)),SUM(OFFSET(H205,-91,0):H205)))))),IF(F205='депозитный калькулятор'!$D$8,SUM($H$23:H205)-SUM($I$23:I204),0))),IF('депозитный калькулятор'!$G$10="ежегодное",IF(F205&gt;'депозитный калькулятор'!$D$8," ",IF(F205='депозитный калькулятор'!$D$8,SUM($H$23:H205)-SUM($I$23:I204),IF(AND(EOMONTH(F205,0)=F205,MONTH(F205)=12),IF(MOD(YEAR(F204),4)=0,IF(F205-'депозитный калькулятор'!$D$7&lt;366,SUM($H$23:H205),SUM(OFFSET(H205,-365,0):H205)),IF(F205-'депозитный калькулятор'!$D$7&lt;365,SUM($H$23:H205),SUM(OFFSET(H205,-364,0):H205))),0))),IF(AND('депозитный калькулятор'!$G$10="в конце срока",'депозитный калькулятор'!$D$8=F205),SUM($H$23:H205),0))))))))))))))))))</f>
        <v xml:space="preserve"> </v>
      </c>
      <c r="J205" s="59" t="str">
        <f>IF(F205&gt;'депозитный калькулятор'!$D$8," ",IF('депозитный калькулятор'!$G$16="нет",0,IF(AND('депозитный калькулятор'!$G$17="разовая (в конце срока)",F205='депозитный калькулятор'!$D$8),'депозитный калькулятор'!$G$18,IF(AND('депозитный калькулятор'!$G$17="ежемесячная",EOMONTH(F204,0)=F204),'депозитный калькулятор'!$G$18,IF(AND('депозитный калькулятор'!$G$17="ежегодная",DAY(F204)=31,MONTH(F204)=12),'депозитный калькулятор'!$G$18,IF(AND('депозитный калькулятор'!$G$17="ежемесячная в зависимости от остатка",EOMONTH(F204,0)=F204,P204&gt;0),'депозитный калькулятор'!$G$18,IF(AND('депозитный калькулятор'!$G$17="ежегодная в зависимости от остатка",DAY(F204)=31,MONTH(F204)=12,P204&gt;0),'депозитный калькулятор'!$G$18,0)))))))</f>
        <v xml:space="preserve"> </v>
      </c>
      <c r="K205" s="135" t="str">
        <f>IF($F205=" "," ",IFERROR(VLOOKUP($F205,'депозитный калькулятор'!$B$26:$F$70,2,0),0))</f>
        <v xml:space="preserve"> </v>
      </c>
      <c r="L205" s="135" t="str">
        <f>IF($F205=" "," ",IFERROR(VLOOKUP($F205,'депозитный калькулятор'!$B$26:$F$70,3,0),0))</f>
        <v xml:space="preserve"> </v>
      </c>
      <c r="M205" s="135" t="str">
        <f>IF($F205=" "," ",IFERROR(VLOOKUP($F205,'депозитный калькулятор'!$B$26:$F$70,4,0),0))</f>
        <v xml:space="preserve"> </v>
      </c>
      <c r="N205" s="135" t="str">
        <f>IF($F205=" "," ",IFERROR(VLOOKUP($F205,'депозитный калькулятор'!$B$26:$F$70,5,0),0))</f>
        <v xml:space="preserve"> </v>
      </c>
      <c r="O205" s="146" t="str">
        <f>IF(F205&gt;'депозитный калькулятор'!$D$8," ",IF(F205='депозитный калькулятор'!$D$8,IF(AND($F$24='депозитный калькулятор'!$D$8,'депозитный калькулятор'!$G$13="нет"),-G205-IF(I205=" ",0,I205)-IF(AND(OR('депозитный калькулятор'!$G$7="30/365",'депозитный калькулятор'!$G$7="30/360"),'депозитный калькулятор'!$G$10="в начале срока"),I204,0)-L205+M205-N205,-G205-IF(I205=" ",0,I205)-L205+M205-N205),IF('депозитный калькулятор'!$G$13="есть",M205-N205+IF('депозитный калькулятор'!$G$14="есть",0,-L205),-IF(I205=" ",0,I205)-IF(AND(OR('депозитный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срока"),I204,0)+M205-N205+IF('депозитный калькулятор'!$G$14="есть",0,-L205))))</f>
        <v xml:space="preserve"> </v>
      </c>
      <c r="P205" s="147" t="str">
        <f>IF(F205&gt;'депозитный калькулятор'!$D$8," ",IF(EOMONTH(F204,0)=F204,0,IF(G205&gt;='депозитный калькулятор'!$G$19,P204,P204+1)))</f>
        <v xml:space="preserve"> </v>
      </c>
      <c r="Q205" s="138" t="str">
        <f>IF(F205=" "," ",IF(AND(OR('депозитный калькулятор'!$G$7="30/365",'депозитный калькулятор'!$G$7="30/360"),AND(MONTH(F205)=2,EOMONTH(F205,0)=F205)),IF(DAY(F205)=28,3,2),1)*IF(G205&gt;='депозитный калькулятор'!$G$11,IF(AND('депозитный калькулятор'!$G$7="факт/факт",MOD(YEAR(F205),4)=0),G205*'депозитный калькулятор'!$D$11/366,G205*'депозитный калькулятор'!$G$8),0))</f>
        <v xml:space="preserve"> </v>
      </c>
      <c r="R205" s="148"/>
      <c r="S205" s="62" t="str">
        <f t="shared" ca="1" si="12"/>
        <v xml:space="preserve"> </v>
      </c>
      <c r="T205" s="149" t="str">
        <f ca="1">IF(S205=" "," ",IF('депозитный калькулятор'!$G$7="30/360",DAYS360(U204,IF(DAY(U205)=31,U205-1,U205))+IF(AND(MONTH(U205)=2,U205=EOMONTH(U205,0)),30-DAY(EOMONTH(U205,0)))+T204,VLOOKUP(S205,$C$22:$F$1023,2,0)))</f>
        <v xml:space="preserve"> </v>
      </c>
      <c r="U205" s="64" t="str">
        <f t="shared" ca="1" si="10"/>
        <v xml:space="preserve"> </v>
      </c>
      <c r="V205" s="150" t="str">
        <f t="shared" ca="1" si="13"/>
        <v xml:space="preserve"> </v>
      </c>
      <c r="W205" s="62" t="str">
        <f t="shared" ca="1" si="14"/>
        <v xml:space="preserve"> </v>
      </c>
      <c r="X205" s="141" t="str">
        <f ca="1">IF(S205=" "," ",IFERROR(VLOOKUP(U205,$F$23:$N$1023,7)+VLOOKUP(U205,$F$23:$N$1023,9)+IF(AND('депозитный калькулятор'!$G$13="нет",U205&lt;&gt;'депозитный калькулятор'!$D$8),VLOOKUP(U205,$F$23:$N$1023,4),0),0)+IF(U205='депозитный калькулятор'!$D$8,VLOOKUP(U205,$F$23:$N$1023,2)+VLOOKUP(U205,$F$23:$N$1023,4),0))</f>
        <v xml:space="preserve"> </v>
      </c>
      <c r="Y205" s="142" t="str">
        <f ca="1">IF(S205=" "," ",W205/(1+'депозитный калькулятор'!$K$8)^(T205/IF('депозитный калькулятор'!$G$7="30/360",360,365)))</f>
        <v xml:space="preserve"> </v>
      </c>
      <c r="Z205" s="142" t="str">
        <f ca="1">IF(S205=" "," ",X205/(1+'депозитный калькулятор'!$K$8)^(T205/IF('депозитный калькулятор'!$G$7="30/360",360,365)))</f>
        <v xml:space="preserve"> </v>
      </c>
      <c r="AA205" s="151"/>
      <c r="AB205" s="151"/>
      <c r="AC205" s="155"/>
      <c r="AD205" s="155"/>
    </row>
    <row r="206" spans="1:30" s="2" customFormat="1" ht="15.5" x14ac:dyDescent="0.35">
      <c r="A206" s="41" t="str">
        <f>IF(F206=" "," ",IF(OR('депозитный калькулятор'!$G$7="30/365",'депозитный калькулятор'!$G$7="30/360"),IF(AND(MONTH(F206)=2,DAY(F206)=DAY(EOMONTH(F206,0))),30-DAY(EOMONTH(F206,0)),IF(DAY(F206)=31,1," "))," "))</f>
        <v xml:space="preserve"> </v>
      </c>
      <c r="B206" s="130" t="str">
        <f t="shared" si="11"/>
        <v xml:space="preserve"> </v>
      </c>
      <c r="C206" s="130" t="str">
        <f>IF(OR(B206=0,B206=" ")," ",SUM($B$23:B206))</f>
        <v xml:space="preserve"> </v>
      </c>
      <c r="D206" s="62" t="str">
        <f>IF(D205=" "," ",IF(OR(F205='депозитный калькулятор'!$D$8,F205=" ")," ",D205+1))</f>
        <v xml:space="preserve"> </v>
      </c>
      <c r="E206" s="130" t="str">
        <f>IF(OR(F205='депозитный калькулятор'!$D$8,F205=" ")," ",IF(EOMONTH(F205,0)=F205,1,E205+1))</f>
        <v xml:space="preserve"> </v>
      </c>
      <c r="F206" s="64" t="str">
        <f>IF(F205=" "," ",IF(F205='депозитный калькулятор'!$D$8," ",F205+1))</f>
        <v xml:space="preserve"> </v>
      </c>
      <c r="G206" s="145" t="str">
        <f xml:space="preserve"> IF(F206&gt;'депозитный калькулятор'!$D$8," ",IF('депозитный калькулятор'!$G$13="есть",IF('депозитный калькулятор'!$G$14="есть",G205+IF(I205=" ",0,I205)-J206-K206+L206+M206-N206,G205+IF(I205=" ",0,I205)-J206-K206+M206-N206),IF('депозитный калькулятор'!$G$14="есть",G205-J206-K206+L206+M206-N206,G205-J206-K206+M206-N206)))</f>
        <v xml:space="preserve"> </v>
      </c>
      <c r="H206" s="133" t="str">
        <f>IF(F206&gt;'депозитный калькулятор'!$D$8," ",IF(AND(OR('депозитный калькулятор'!$G$7="30/365",'депозитный калькулятор'!$G$7="30/360"),AND(MONTH(F206)=2,EOMONTH(F206,0)=F206)),IF(DAY(F206)=28,3*G206*'депозитный калькулятор'!$G$8,2*G206*'депозитный калькулятор'!$G$8),IF(AND(OR('депозитный калькулятор'!$G$7="30/365",'депозитный калькулятор'!$G$7="30/360"),DAY(F206)=31)," ",IF(AND('депозитный калькулятор'!$G$7="факт/факт",MOD(YEAR(F206),4)=0),G206*'депозитный калькулятор'!$D$11/366,G206*'депозитный калькулятор'!$G$8))))</f>
        <v xml:space="preserve"> </v>
      </c>
      <c r="I206" s="134" t="str">
        <f ca="1">IF(F206=" "," ",IF('депозитный калькулятор'!$G$10="ежедневное",H206,IF(AND('депозитный калькулятор'!$G$10="еженедельное",WEEKDAY(F206,2)=7),SUM(OFFSET(H206,-6,0):H206),IF(AND('депозитный калькулятор'!$G$10="еженедельное",F206='депозитный калькулятор'!$D$8),SUM($H$23:H206)-SUM($I$23:I205),IF(AND('депозитный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недели",WEEKDAY(F206,2)=7),MIN(OFFSET(H206,-6,0):H206)*(COUNTIF(OFFSET(H206,-6,0):H206,"&gt;0")+SUMIF(OFFSET(A206,-WEEKDAY(F206,2),0):A206,"=2",OFFSET(A206,-WEEKDAY(F206,2),0):A206)),IF(AND('депозитный калькулятор'!$G$10="еженедельное, на минимальную сумму зафиксированную в течение недели",F206='депозитный калькулятор'!$D$8,WEEKDAY(F206,2)&lt;&gt;7),MIN(OFFSET(H206,-WEEKDAY(F206,2),0):H206)*(COUNTIF(OFFSET(H206,-WEEKDAY(F206,2)+1,0):H206,"&gt;0")+SUM(OFFSET(A206,-WEEKDAY(F206,2),0):A206)),IF(AND('депозитный калькулятор'!$G$10="ежемесячное (в конце месяца)",F206='депозитный калькулятор'!$D$8,EOMONTH(F206,0)&lt;&gt;F206),IF('депозитный калькулятор'!$F$1=1,$H$24,SUM($H$23:H206)-SUM($I$23:I205)),IF(AND('депозитный калькулятор'!$G$10="ежемесячное (в конце месяца)",EOMONTH(F206,0)=F206),SUM($H$23:H206)-SUM($I$23:I205),IF(AND('депозитный калькулятор'!$G$10="ежемесячное (по дням открытия вклада)",F206='депозитный калькулятор'!$D$8,DAY('депозитный калькулятор'!$D$7)&lt;&gt;DAY(F206)),IF('депозитный калькулятор'!$F$1=1,$H$24,SUM($H$23:H206)-SUM($I$23:I205)),IF(AND('депозитный калькулятор'!$G$10="ежемесячное (по дням открытия вклада)",DAY('депозитный калькулятор'!$D$7)=DAY(F206)),SUM($H$23:H206)-SUM($I$23:I205),IF(AND('депозитный калькулятор'!$G$10="ежемесячное, на минимальную сумму зафиксированную в течение месяца",F206='депозитный калькулятор'!$D$8,EOMONTH(F206,0)&lt;&gt;F206),IF('депозитный калькулятор'!$F$1=1,$H$24,IF(AND(OR('депозитный калькулятор'!$G$7="30/365",'депозитный калькулятор'!$G$7="30/360"),DAY(F206)=31),0,MIN(OFFSET(H206,-E206+1,0):H206)*(E206+SUMIF(OFFSET(A206,-E206+1,0):A206,"=2",OFFSET(A206,-E206+1,0):A206)))),IF(AND('депозитный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калькулятор'!$G$7="30/360"),DAY(EOMONTH(F206,0))=31),EOMONTH(F206,0)-1=F206,EOMONTH(F206,0)=F206)),IF(IF(AND(OR('депозитный калькулятор'!$G$7="30/365",'депозитный калькулятор'!$G$7="30/360"),DAY(EOMONTH($F$23,0))=31),F206=EOMONTH($F$23,0)-1,F206=EOMONTH($F$23,0)),MIN(OFFSET(H206,-(DAY(F206)-DAY($F$23)),0):H206)*E206,MIN(OFFSET(H206,-(DAY(F206)-1),0):H206)*IF(AND(OR('депозитный калькулятор'!$G$7="30/365",'депозитный калькулятор'!$G$7="30/360"),DAY(F206)&lt;30),30,DAY(F206))),IF(AND('депозитный калькулятор'!$G$10="ежемесячное, на средний остаток в течение месяца, при условии что остаток больше чем ограничение",F206='депозитный калькулятор'!$D$8,EOMONTH(F206,0)&lt;&gt;F206),IF('депозитный калькулятор'!$F$1=1,$H$24,SUM(OFFSET(Q206,-E206+1,0):Q206)),IF(AND('депозитный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калькулятор'!$G$7="30/360"),DAY(EOMONTH(F206,0))=31),EOMONTH(F206,0)-1=F206,EOMONTH(F206,0)=F206)),IF(IF(AND(OR('депозитный калькулятор'!$G$7="30/365",'депозитный калькулятор'!$G$7="30/360"),DAY(EOMONTH($F$24,0))=31),F206=EOMONTH($F$24,0)-1,F206=EOMONTH($F$24,0)),SUM(OFFSET(Q206,-E206+1,0):Q206),SUM(OFFSET(Q206,-E206+1,0):Q206)),IF('депозитный калькулятор'!$G$10="ежеквартальное",IF(F206&gt;'депозитный калькулятор'!$D$8," ",IF(AND(EOMONTH(F206,0)=F206,OR(MONTH(F206)=3,MONTH(F206)=6,MONTH(F206)=9,MONTH(F206)=12)),IF(EDATE(F206,-3)&lt;'депозитный калькулятор'!$D$7,SUM($H$23:H206),IF(MOD(YEAR(F206),4)=0,IF(AND(EOMONTH(F206,0)=F206,OR(MONTH(F206)=3,MONTH(F206)=6)),SUM(OFFSET(H206,-90,0):H206),IF(AND(EOMONTH(F206,0)=F206,OR(MONTH(F206)=9,MONTH(F206)=12)),SUM(OFFSET(H206,-91,0):H206))),IF(AND(EOMONTH(F206,0)=F206,MONTH(F206)=3),SUM(OFFSET(H206,-89,0):H206),IF(AND(EOMONTH(F206,0)=F206,MONTH(F206)=6),SUM(OFFSET(H206,-90,0):H206),IF(AND(EOMONTH(F206,0)=F206,OR(MONTH(F206)=9,MONTH(F206)=12)),SUM(OFFSET(H206,-91,0):H206)))))),IF(F206='депозитный калькулятор'!$D$8,SUM($H$23:H206)-SUM($I$23:I205),0))),IF('депозитный калькулятор'!$G$10="ежегодное",IF(F206&gt;'депозитный калькулятор'!$D$8," ",IF(F206='депозитный калькулятор'!$D$8,SUM($H$23:H206)-SUM($I$23:I205),IF(AND(EOMONTH(F206,0)=F206,MONTH(F206)=12),IF(MOD(YEAR(F205),4)=0,IF(F206-'депозитный калькулятор'!$D$7&lt;366,SUM($H$23:H206),SUM(OFFSET(H206,-365,0):H206)),IF(F206-'депозитный калькулятор'!$D$7&lt;365,SUM($H$23:H206),SUM(OFFSET(H206,-364,0):H206))),0))),IF(AND('депозитный калькулятор'!$G$10="в конце срока",'депозитный калькулятор'!$D$8=F206),SUM($H$23:H206),0))))))))))))))))))</f>
        <v xml:space="preserve"> </v>
      </c>
      <c r="J206" s="59" t="str">
        <f>IF(F206&gt;'депозитный калькулятор'!$D$8," ",IF('депозитный калькулятор'!$G$16="нет",0,IF(AND('депозитный калькулятор'!$G$17="разовая (в конце срока)",F206='депозитный калькулятор'!$D$8),'депозитный калькулятор'!$G$18,IF(AND('депозитный калькулятор'!$G$17="ежемесячная",EOMONTH(F205,0)=F205),'депозитный калькулятор'!$G$18,IF(AND('депозитный калькулятор'!$G$17="ежегодная",DAY(F205)=31,MONTH(F205)=12),'депозитный калькулятор'!$G$18,IF(AND('депозитный калькулятор'!$G$17="ежемесячная в зависимости от остатка",EOMONTH(F205,0)=F205,P205&gt;0),'депозитный калькулятор'!$G$18,IF(AND('депозитный калькулятор'!$G$17="ежегодная в зависимости от остатка",DAY(F205)=31,MONTH(F205)=12,P205&gt;0),'депозитный калькулятор'!$G$18,0)))))))</f>
        <v xml:space="preserve"> </v>
      </c>
      <c r="K206" s="135" t="str">
        <f>IF($F206=" "," ",IFERROR(VLOOKUP($F206,'депозитный калькулятор'!$B$26:$F$70,2,0),0))</f>
        <v xml:space="preserve"> </v>
      </c>
      <c r="L206" s="135" t="str">
        <f>IF($F206=" "," ",IFERROR(VLOOKUP($F206,'депозитный калькулятор'!$B$26:$F$70,3,0),0))</f>
        <v xml:space="preserve"> </v>
      </c>
      <c r="M206" s="135" t="str">
        <f>IF($F206=" "," ",IFERROR(VLOOKUP($F206,'депозитный калькулятор'!$B$26:$F$70,4,0),0))</f>
        <v xml:space="preserve"> </v>
      </c>
      <c r="N206" s="135" t="str">
        <f>IF($F206=" "," ",IFERROR(VLOOKUP($F206,'депозитный калькулятор'!$B$26:$F$70,5,0),0))</f>
        <v xml:space="preserve"> </v>
      </c>
      <c r="O206" s="146" t="str">
        <f>IF(F206&gt;'депозитный калькулятор'!$D$8," ",IF(F206='депозитный калькулятор'!$D$8,IF(AND($F$24='депозитный калькулятор'!$D$8,'депозитный калькулятор'!$G$13="нет"),-G206-IF(I206=" ",0,I206)-IF(AND(OR('депозитный калькулятор'!$G$7="30/365",'депозитный калькулятор'!$G$7="30/360"),'депозитный калькулятор'!$G$10="в начале срока"),I205,0)-L206+M206-N206,-G206-IF(I206=" ",0,I206)-L206+M206-N206),IF('депозитный калькулятор'!$G$13="есть",M206-N206+IF('депозитный калькулятор'!$G$14="есть",0,-L206),-IF(I206=" ",0,I206)-IF(AND(OR('депозитный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срока"),I205,0)+M206-N206+IF('депозитный калькулятор'!$G$14="есть",0,-L206))))</f>
        <v xml:space="preserve"> </v>
      </c>
      <c r="P206" s="147" t="str">
        <f>IF(F206&gt;'депозитный калькулятор'!$D$8," ",IF(EOMONTH(F205,0)=F205,0,IF(G206&gt;='депозитный калькулятор'!$G$19,P205,P205+1)))</f>
        <v xml:space="preserve"> </v>
      </c>
      <c r="Q206" s="138" t="str">
        <f>IF(F206=" "," ",IF(AND(OR('депозитный калькулятор'!$G$7="30/365",'депозитный калькулятор'!$G$7="30/360"),AND(MONTH(F206)=2,EOMONTH(F206,0)=F206)),IF(DAY(F206)=28,3,2),1)*IF(G206&gt;='депозитный калькулятор'!$G$11,IF(AND('депозитный калькулятор'!$G$7="факт/факт",MOD(YEAR(F206),4)=0),G206*'депозитный калькулятор'!$D$11/366,G206*'депозитный калькулятор'!$G$8),0))</f>
        <v xml:space="preserve"> </v>
      </c>
      <c r="R206" s="148"/>
      <c r="S206" s="62" t="str">
        <f t="shared" ca="1" si="12"/>
        <v xml:space="preserve"> </v>
      </c>
      <c r="T206" s="149" t="str">
        <f ca="1">IF(S206=" "," ",IF('депозитный калькулятор'!$G$7="30/360",DAYS360(U205,IF(DAY(U206)=31,U206-1,U206))+IF(AND(MONTH(U206)=2,U206=EOMONTH(U206,0)),30-DAY(EOMONTH(U206,0)))+T205,VLOOKUP(S206,$C$22:$F$1023,2,0)))</f>
        <v xml:space="preserve"> </v>
      </c>
      <c r="U206" s="64" t="str">
        <f t="shared" ca="1" si="10"/>
        <v xml:space="preserve"> </v>
      </c>
      <c r="V206" s="150" t="str">
        <f t="shared" ca="1" si="13"/>
        <v xml:space="preserve"> </v>
      </c>
      <c r="W206" s="62" t="str">
        <f t="shared" ca="1" si="14"/>
        <v xml:space="preserve"> </v>
      </c>
      <c r="X206" s="141" t="str">
        <f ca="1">IF(S206=" "," ",IFERROR(VLOOKUP(U206,$F$23:$N$1023,7)+VLOOKUP(U206,$F$23:$N$1023,9)+IF(AND('депозитный калькулятор'!$G$13="нет",U206&lt;&gt;'депозитный калькулятор'!$D$8),VLOOKUP(U206,$F$23:$N$1023,4),0),0)+IF(U206='депозитный калькулятор'!$D$8,VLOOKUP(U206,$F$23:$N$1023,2)+VLOOKUP(U206,$F$23:$N$1023,4),0))</f>
        <v xml:space="preserve"> </v>
      </c>
      <c r="Y206" s="142" t="str">
        <f ca="1">IF(S206=" "," ",W206/(1+'депозитный калькулятор'!$K$8)^(T206/IF('депозитный калькулятор'!$G$7="30/360",360,365)))</f>
        <v xml:space="preserve"> </v>
      </c>
      <c r="Z206" s="142" t="str">
        <f ca="1">IF(S206=" "," ",X206/(1+'депозитный калькулятор'!$K$8)^(T206/IF('депозитный калькулятор'!$G$7="30/360",360,365)))</f>
        <v xml:space="preserve"> </v>
      </c>
      <c r="AA206" s="151"/>
      <c r="AB206" s="151"/>
      <c r="AC206" s="155"/>
      <c r="AD206" s="155"/>
    </row>
    <row r="207" spans="1:30" s="2" customFormat="1" ht="15.5" x14ac:dyDescent="0.35">
      <c r="A207" s="41" t="str">
        <f>IF(F207=" "," ",IF(OR('депозитный калькулятор'!$G$7="30/365",'депозитный калькулятор'!$G$7="30/360"),IF(AND(MONTH(F207)=2,DAY(F207)=DAY(EOMONTH(F207,0))),30-DAY(EOMONTH(F207,0)),IF(DAY(F207)=31,1," "))," "))</f>
        <v xml:space="preserve"> </v>
      </c>
      <c r="B207" s="130" t="str">
        <f t="shared" si="11"/>
        <v xml:space="preserve"> </v>
      </c>
      <c r="C207" s="130" t="str">
        <f>IF(OR(B207=0,B207=" ")," ",SUM($B$23:B207))</f>
        <v xml:space="preserve"> </v>
      </c>
      <c r="D207" s="62" t="str">
        <f>IF(D206=" "," ",IF(OR(F206='депозитный калькулятор'!$D$8,F206=" ")," ",D206+1))</f>
        <v xml:space="preserve"> </v>
      </c>
      <c r="E207" s="130" t="str">
        <f>IF(OR(F206='депозитный калькулятор'!$D$8,F206=" ")," ",IF(EOMONTH(F206,0)=F206,1,E206+1))</f>
        <v xml:space="preserve"> </v>
      </c>
      <c r="F207" s="64" t="str">
        <f>IF(F206=" "," ",IF(F206='депозитный калькулятор'!$D$8," ",F206+1))</f>
        <v xml:space="preserve"> </v>
      </c>
      <c r="G207" s="145" t="str">
        <f xml:space="preserve"> IF(F207&gt;'депозитный калькулятор'!$D$8," ",IF('депозитный калькулятор'!$G$13="есть",IF('депозитный калькулятор'!$G$14="есть",G206+IF(I206=" ",0,I206)-J207-K207+L207+M207-N207,G206+IF(I206=" ",0,I206)-J207-K207+M207-N207),IF('депозитный калькулятор'!$G$14="есть",G206-J207-K207+L207+M207-N207,G206-J207-K207+M207-N207)))</f>
        <v xml:space="preserve"> </v>
      </c>
      <c r="H207" s="133" t="str">
        <f>IF(F207&gt;'депозитный калькулятор'!$D$8," ",IF(AND(OR('депозитный калькулятор'!$G$7="30/365",'депозитный калькулятор'!$G$7="30/360"),AND(MONTH(F207)=2,EOMONTH(F207,0)=F207)),IF(DAY(F207)=28,3*G207*'депозитный калькулятор'!$G$8,2*G207*'депозитный калькулятор'!$G$8),IF(AND(OR('депозитный калькулятор'!$G$7="30/365",'депозитный калькулятор'!$G$7="30/360"),DAY(F207)=31)," ",IF(AND('депозитный калькулятор'!$G$7="факт/факт",MOD(YEAR(F207),4)=0),G207*'депозитный калькулятор'!$D$11/366,G207*'депозитный калькулятор'!$G$8))))</f>
        <v xml:space="preserve"> </v>
      </c>
      <c r="I207" s="134" t="str">
        <f ca="1">IF(F207=" "," ",IF('депозитный калькулятор'!$G$10="ежедневное",H207,IF(AND('депозитный калькулятор'!$G$10="еженедельное",WEEKDAY(F207,2)=7),SUM(OFFSET(H207,-6,0):H207),IF(AND('депозитный калькулятор'!$G$10="еженедельное",F207='депозитный калькулятор'!$D$8),SUM($H$23:H207)-SUM($I$23:I206),IF(AND('депозитный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недели",WEEKDAY(F207,2)=7),MIN(OFFSET(H207,-6,0):H207)*(COUNTIF(OFFSET(H207,-6,0):H207,"&gt;0")+SUMIF(OFFSET(A207,-WEEKDAY(F207,2),0):A207,"=2",OFFSET(A207,-WEEKDAY(F207,2),0):A207)),IF(AND('депозитный калькулятор'!$G$10="еженедельное, на минимальную сумму зафиксированную в течение недели",F207='депозитный калькулятор'!$D$8,WEEKDAY(F207,2)&lt;&gt;7),MIN(OFFSET(H207,-WEEKDAY(F207,2),0):H207)*(COUNTIF(OFFSET(H207,-WEEKDAY(F207,2)+1,0):H207,"&gt;0")+SUM(OFFSET(A207,-WEEKDAY(F207,2),0):A207)),IF(AND('депозитный калькулятор'!$G$10="ежемесячное (в конце месяца)",F207='депозитный калькулятор'!$D$8,EOMONTH(F207,0)&lt;&gt;F207),IF('депозитный калькулятор'!$F$1=1,$H$24,SUM($H$23:H207)-SUM($I$23:I206)),IF(AND('депозитный калькулятор'!$G$10="ежемесячное (в конце месяца)",EOMONTH(F207,0)=F207),SUM($H$23:H207)-SUM($I$23:I206),IF(AND('депозитный калькулятор'!$G$10="ежемесячное (по дням открытия вклада)",F207='депозитный калькулятор'!$D$8,DAY('депозитный калькулятор'!$D$7)&lt;&gt;DAY(F207)),IF('депозитный калькулятор'!$F$1=1,$H$24,SUM($H$23:H207)-SUM($I$23:I206)),IF(AND('депозитный калькулятор'!$G$10="ежемесячное (по дням открытия вклада)",DAY('депозитный калькулятор'!$D$7)=DAY(F207)),SUM($H$23:H207)-SUM($I$23:I206),IF(AND('депозитный калькулятор'!$G$10="ежемесячное, на минимальную сумму зафиксированную в течение месяца",F207='депозитный калькулятор'!$D$8,EOMONTH(F207,0)&lt;&gt;F207),IF('депозитный калькулятор'!$F$1=1,$H$24,IF(AND(OR('депозитный калькулятор'!$G$7="30/365",'депозитный калькулятор'!$G$7="30/360"),DAY(F207)=31),0,MIN(OFFSET(H207,-E207+1,0):H207)*(E207+SUMIF(OFFSET(A207,-E207+1,0):A207,"=2",OFFSET(A207,-E207+1,0):A207)))),IF(AND('депозитный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калькулятор'!$G$7="30/360"),DAY(EOMONTH(F207,0))=31),EOMONTH(F207,0)-1=F207,EOMONTH(F207,0)=F207)),IF(IF(AND(OR('депозитный калькулятор'!$G$7="30/365",'депозитный калькулятор'!$G$7="30/360"),DAY(EOMONTH($F$23,0))=31),F207=EOMONTH($F$23,0)-1,F207=EOMONTH($F$23,0)),MIN(OFFSET(H207,-(DAY(F207)-DAY($F$23)),0):H207)*E207,MIN(OFFSET(H207,-(DAY(F207)-1),0):H207)*IF(AND(OR('депозитный калькулятор'!$G$7="30/365",'депозитный калькулятор'!$G$7="30/360"),DAY(F207)&lt;30),30,DAY(F207))),IF(AND('депозитный калькулятор'!$G$10="ежемесячное, на средний остаток в течение месяца, при условии что остаток больше чем ограничение",F207='депозитный калькулятор'!$D$8,EOMONTH(F207,0)&lt;&gt;F207),IF('депозитный калькулятор'!$F$1=1,$H$24,SUM(OFFSET(Q207,-E207+1,0):Q207)),IF(AND('депозитный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калькулятор'!$G$7="30/360"),DAY(EOMONTH(F207,0))=31),EOMONTH(F207,0)-1=F207,EOMONTH(F207,0)=F207)),IF(IF(AND(OR('депозитный калькулятор'!$G$7="30/365",'депозитный калькулятор'!$G$7="30/360"),DAY(EOMONTH($F$24,0))=31),F207=EOMONTH($F$24,0)-1,F207=EOMONTH($F$24,0)),SUM(OFFSET(Q207,-E207+1,0):Q207),SUM(OFFSET(Q207,-E207+1,0):Q207)),IF('депозитный калькулятор'!$G$10="ежеквартальное",IF(F207&gt;'депозитный калькулятор'!$D$8," ",IF(AND(EOMONTH(F207,0)=F207,OR(MONTH(F207)=3,MONTH(F207)=6,MONTH(F207)=9,MONTH(F207)=12)),IF(EDATE(F207,-3)&lt;'депозитный калькулятор'!$D$7,SUM($H$23:H207),IF(MOD(YEAR(F207),4)=0,IF(AND(EOMONTH(F207,0)=F207,OR(MONTH(F207)=3,MONTH(F207)=6)),SUM(OFFSET(H207,-90,0):H207),IF(AND(EOMONTH(F207,0)=F207,OR(MONTH(F207)=9,MONTH(F207)=12)),SUM(OFFSET(H207,-91,0):H207))),IF(AND(EOMONTH(F207,0)=F207,MONTH(F207)=3),SUM(OFFSET(H207,-89,0):H207),IF(AND(EOMONTH(F207,0)=F207,MONTH(F207)=6),SUM(OFFSET(H207,-90,0):H207),IF(AND(EOMONTH(F207,0)=F207,OR(MONTH(F207)=9,MONTH(F207)=12)),SUM(OFFSET(H207,-91,0):H207)))))),IF(F207='депозитный калькулятор'!$D$8,SUM($H$23:H207)-SUM($I$23:I206),0))),IF('депозитный калькулятор'!$G$10="ежегодное",IF(F207&gt;'депозитный калькулятор'!$D$8," ",IF(F207='депозитный калькулятор'!$D$8,SUM($H$23:H207)-SUM($I$23:I206),IF(AND(EOMONTH(F207,0)=F207,MONTH(F207)=12),IF(MOD(YEAR(F206),4)=0,IF(F207-'депозитный калькулятор'!$D$7&lt;366,SUM($H$23:H207),SUM(OFFSET(H207,-365,0):H207)),IF(F207-'депозитный калькулятор'!$D$7&lt;365,SUM($H$23:H207),SUM(OFFSET(H207,-364,0):H207))),0))),IF(AND('депозитный калькулятор'!$G$10="в конце срока",'депозитный калькулятор'!$D$8=F207),SUM($H$23:H207),0))))))))))))))))))</f>
        <v xml:space="preserve"> </v>
      </c>
      <c r="J207" s="59" t="str">
        <f>IF(F207&gt;'депозитный калькулятор'!$D$8," ",IF('депозитный калькулятор'!$G$16="нет",0,IF(AND('депозитный калькулятор'!$G$17="разовая (в конце срока)",F207='депозитный калькулятор'!$D$8),'депозитный калькулятор'!$G$18,IF(AND('депозитный калькулятор'!$G$17="ежемесячная",EOMONTH(F206,0)=F206),'депозитный калькулятор'!$G$18,IF(AND('депозитный калькулятор'!$G$17="ежегодная",DAY(F206)=31,MONTH(F206)=12),'депозитный калькулятор'!$G$18,IF(AND('депозитный калькулятор'!$G$17="ежемесячная в зависимости от остатка",EOMONTH(F206,0)=F206,P206&gt;0),'депозитный калькулятор'!$G$18,IF(AND('депозитный калькулятор'!$G$17="ежегодная в зависимости от остатка",DAY(F206)=31,MONTH(F206)=12,P206&gt;0),'депозитный калькулятор'!$G$18,0)))))))</f>
        <v xml:space="preserve"> </v>
      </c>
      <c r="K207" s="135" t="str">
        <f>IF($F207=" "," ",IFERROR(VLOOKUP($F207,'депозитный калькулятор'!$B$26:$F$70,2,0),0))</f>
        <v xml:space="preserve"> </v>
      </c>
      <c r="L207" s="135" t="str">
        <f>IF($F207=" "," ",IFERROR(VLOOKUP($F207,'депозитный калькулятор'!$B$26:$F$70,3,0),0))</f>
        <v xml:space="preserve"> </v>
      </c>
      <c r="M207" s="135" t="str">
        <f>IF($F207=" "," ",IFERROR(VLOOKUP($F207,'депозитный калькулятор'!$B$26:$F$70,4,0),0))</f>
        <v xml:space="preserve"> </v>
      </c>
      <c r="N207" s="135" t="str">
        <f>IF($F207=" "," ",IFERROR(VLOOKUP($F207,'депозитный калькулятор'!$B$26:$F$70,5,0),0))</f>
        <v xml:space="preserve"> </v>
      </c>
      <c r="O207" s="146" t="str">
        <f>IF(F207&gt;'депозитный калькулятор'!$D$8," ",IF(F207='депозитный калькулятор'!$D$8,IF(AND($F$24='депозитный калькулятор'!$D$8,'депозитный калькулятор'!$G$13="нет"),-G207-IF(I207=" ",0,I207)-IF(AND(OR('депозитный калькулятор'!$G$7="30/365",'депозитный калькулятор'!$G$7="30/360"),'депозитный калькулятор'!$G$10="в начале срока"),I206,0)-L207+M207-N207,-G207-IF(I207=" ",0,I207)-L207+M207-N207),IF('депозитный калькулятор'!$G$13="есть",M207-N207+IF('депозитный калькулятор'!$G$14="есть",0,-L207),-IF(I207=" ",0,I207)-IF(AND(OR('депозитный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срока"),I206,0)+M207-N207+IF('депозитный калькулятор'!$G$14="есть",0,-L207))))</f>
        <v xml:space="preserve"> </v>
      </c>
      <c r="P207" s="147" t="str">
        <f>IF(F207&gt;'депозитный калькулятор'!$D$8," ",IF(EOMONTH(F206,0)=F206,0,IF(G207&gt;='депозитный калькулятор'!$G$19,P206,P206+1)))</f>
        <v xml:space="preserve"> </v>
      </c>
      <c r="Q207" s="138" t="str">
        <f>IF(F207=" "," ",IF(AND(OR('депозитный калькулятор'!$G$7="30/365",'депозитный калькулятор'!$G$7="30/360"),AND(MONTH(F207)=2,EOMONTH(F207,0)=F207)),IF(DAY(F207)=28,3,2),1)*IF(G207&gt;='депозитный калькулятор'!$G$11,IF(AND('депозитный калькулятор'!$G$7="факт/факт",MOD(YEAR(F207),4)=0),G207*'депозитный калькулятор'!$D$11/366,G207*'депозитный калькулятор'!$G$8),0))</f>
        <v xml:space="preserve"> </v>
      </c>
      <c r="R207" s="148"/>
      <c r="S207" s="62" t="str">
        <f t="shared" ca="1" si="12"/>
        <v xml:space="preserve"> </v>
      </c>
      <c r="T207" s="149" t="str">
        <f ca="1">IF(S207=" "," ",IF('депозитный калькулятор'!$G$7="30/360",DAYS360(U206,IF(DAY(U207)=31,U207-1,U207))+IF(AND(MONTH(U207)=2,U207=EOMONTH(U207,0)),30-DAY(EOMONTH(U207,0)))+T206,VLOOKUP(S207,$C$22:$F$1023,2,0)))</f>
        <v xml:space="preserve"> </v>
      </c>
      <c r="U207" s="64" t="str">
        <f t="shared" ca="1" si="10"/>
        <v xml:space="preserve"> </v>
      </c>
      <c r="V207" s="150" t="str">
        <f t="shared" ca="1" si="13"/>
        <v xml:space="preserve"> </v>
      </c>
      <c r="W207" s="62" t="str">
        <f t="shared" ca="1" si="14"/>
        <v xml:space="preserve"> </v>
      </c>
      <c r="X207" s="141" t="str">
        <f ca="1">IF(S207=" "," ",IFERROR(VLOOKUP(U207,$F$23:$N$1023,7)+VLOOKUP(U207,$F$23:$N$1023,9)+IF(AND('депозитный калькулятор'!$G$13="нет",U207&lt;&gt;'депозитный калькулятор'!$D$8),VLOOKUP(U207,$F$23:$N$1023,4),0),0)+IF(U207='депозитный калькулятор'!$D$8,VLOOKUP(U207,$F$23:$N$1023,2)+VLOOKUP(U207,$F$23:$N$1023,4),0))</f>
        <v xml:space="preserve"> </v>
      </c>
      <c r="Y207" s="142" t="str">
        <f ca="1">IF(S207=" "," ",W207/(1+'депозитный калькулятор'!$K$8)^(T207/IF('депозитный калькулятор'!$G$7="30/360",360,365)))</f>
        <v xml:space="preserve"> </v>
      </c>
      <c r="Z207" s="142" t="str">
        <f ca="1">IF(S207=" "," ",X207/(1+'депозитный калькулятор'!$K$8)^(T207/IF('депозитный калькулятор'!$G$7="30/360",360,365)))</f>
        <v xml:space="preserve"> </v>
      </c>
      <c r="AA207" s="151"/>
      <c r="AB207" s="151"/>
      <c r="AC207" s="155"/>
      <c r="AD207" s="155"/>
    </row>
    <row r="208" spans="1:30" s="2" customFormat="1" ht="15.5" x14ac:dyDescent="0.35">
      <c r="A208" s="41" t="str">
        <f>IF(F208=" "," ",IF(OR('депозитный калькулятор'!$G$7="30/365",'депозитный калькулятор'!$G$7="30/360"),IF(AND(MONTH(F208)=2,DAY(F208)=DAY(EOMONTH(F208,0))),30-DAY(EOMONTH(F208,0)),IF(DAY(F208)=31,1," "))," "))</f>
        <v xml:space="preserve"> </v>
      </c>
      <c r="B208" s="130" t="str">
        <f t="shared" si="11"/>
        <v xml:space="preserve"> </v>
      </c>
      <c r="C208" s="130" t="str">
        <f>IF(OR(B208=0,B208=" ")," ",SUM($B$23:B208))</f>
        <v xml:space="preserve"> </v>
      </c>
      <c r="D208" s="62" t="str">
        <f>IF(D207=" "," ",IF(OR(F207='депозитный калькулятор'!$D$8,F207=" ")," ",D207+1))</f>
        <v xml:space="preserve"> </v>
      </c>
      <c r="E208" s="130" t="str">
        <f>IF(OR(F207='депозитный калькулятор'!$D$8,F207=" ")," ",IF(EOMONTH(F207,0)=F207,1,E207+1))</f>
        <v xml:space="preserve"> </v>
      </c>
      <c r="F208" s="64" t="str">
        <f>IF(F207=" "," ",IF(F207='депозитный калькулятор'!$D$8," ",F207+1))</f>
        <v xml:space="preserve"> </v>
      </c>
      <c r="G208" s="145" t="str">
        <f xml:space="preserve"> IF(F208&gt;'депозитный калькулятор'!$D$8," ",IF('депозитный калькулятор'!$G$13="есть",IF('депозитный калькулятор'!$G$14="есть",G207+IF(I207=" ",0,I207)-J208-K208+L208+M208-N208,G207+IF(I207=" ",0,I207)-J208-K208+M208-N208),IF('депозитный калькулятор'!$G$14="есть",G207-J208-K208+L208+M208-N208,G207-J208-K208+M208-N208)))</f>
        <v xml:space="preserve"> </v>
      </c>
      <c r="H208" s="133" t="str">
        <f>IF(F208&gt;'депозитный калькулятор'!$D$8," ",IF(AND(OR('депозитный калькулятор'!$G$7="30/365",'депозитный калькулятор'!$G$7="30/360"),AND(MONTH(F208)=2,EOMONTH(F208,0)=F208)),IF(DAY(F208)=28,3*G208*'депозитный калькулятор'!$G$8,2*G208*'депозитный калькулятор'!$G$8),IF(AND(OR('депозитный калькулятор'!$G$7="30/365",'депозитный калькулятор'!$G$7="30/360"),DAY(F208)=31)," ",IF(AND('депозитный калькулятор'!$G$7="факт/факт",MOD(YEAR(F208),4)=0),G208*'депозитный калькулятор'!$D$11/366,G208*'депозитный калькулятор'!$G$8))))</f>
        <v xml:space="preserve"> </v>
      </c>
      <c r="I208" s="134" t="str">
        <f ca="1">IF(F208=" "," ",IF('депозитный калькулятор'!$G$10="ежедневное",H208,IF(AND('депозитный калькулятор'!$G$10="еженедельное",WEEKDAY(F208,2)=7),SUM(OFFSET(H208,-6,0):H208),IF(AND('депозитный калькулятор'!$G$10="еженедельное",F208='депозитный калькулятор'!$D$8),SUM($H$23:H208)-SUM($I$23:I207),IF(AND('депозитный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недели",WEEKDAY(F208,2)=7),MIN(OFFSET(H208,-6,0):H208)*(COUNTIF(OFFSET(H208,-6,0):H208,"&gt;0")+SUMIF(OFFSET(A208,-WEEKDAY(F208,2),0):A208,"=2",OFFSET(A208,-WEEKDAY(F208,2),0):A208)),IF(AND('депозитный калькулятор'!$G$10="еженедельное, на минимальную сумму зафиксированную в течение недели",F208='депозитный калькулятор'!$D$8,WEEKDAY(F208,2)&lt;&gt;7),MIN(OFFSET(H208,-WEEKDAY(F208,2),0):H208)*(COUNTIF(OFFSET(H208,-WEEKDAY(F208,2)+1,0):H208,"&gt;0")+SUM(OFFSET(A208,-WEEKDAY(F208,2),0):A208)),IF(AND('депозитный калькулятор'!$G$10="ежемесячное (в конце месяца)",F208='депозитный калькулятор'!$D$8,EOMONTH(F208,0)&lt;&gt;F208),IF('депозитный калькулятор'!$F$1=1,$H$24,SUM($H$23:H208)-SUM($I$23:I207)),IF(AND('депозитный калькулятор'!$G$10="ежемесячное (в конце месяца)",EOMONTH(F208,0)=F208),SUM($H$23:H208)-SUM($I$23:I207),IF(AND('депозитный калькулятор'!$G$10="ежемесячное (по дням открытия вклада)",F208='депозитный калькулятор'!$D$8,DAY('депозитный калькулятор'!$D$7)&lt;&gt;DAY(F208)),IF('депозитный калькулятор'!$F$1=1,$H$24,SUM($H$23:H208)-SUM($I$23:I207)),IF(AND('депозитный калькулятор'!$G$10="ежемесячное (по дням открытия вклада)",DAY('депозитный калькулятор'!$D$7)=DAY(F208)),SUM($H$23:H208)-SUM($I$23:I207),IF(AND('депозитный калькулятор'!$G$10="ежемесячное, на минимальную сумму зафиксированную в течение месяца",F208='депозитный калькулятор'!$D$8,EOMONTH(F208,0)&lt;&gt;F208),IF('депозитный калькулятор'!$F$1=1,$H$24,IF(AND(OR('депозитный калькулятор'!$G$7="30/365",'депозитный калькулятор'!$G$7="30/360"),DAY(F208)=31),0,MIN(OFFSET(H208,-E208+1,0):H208)*(E208+SUMIF(OFFSET(A208,-E208+1,0):A208,"=2",OFFSET(A208,-E208+1,0):A208)))),IF(AND('депозитный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калькулятор'!$G$7="30/360"),DAY(EOMONTH(F208,0))=31),EOMONTH(F208,0)-1=F208,EOMONTH(F208,0)=F208)),IF(IF(AND(OR('депозитный калькулятор'!$G$7="30/365",'депозитный калькулятор'!$G$7="30/360"),DAY(EOMONTH($F$23,0))=31),F208=EOMONTH($F$23,0)-1,F208=EOMONTH($F$23,0)),MIN(OFFSET(H208,-(DAY(F208)-DAY($F$23)),0):H208)*E208,MIN(OFFSET(H208,-(DAY(F208)-1),0):H208)*IF(AND(OR('депозитный калькулятор'!$G$7="30/365",'депозитный калькулятор'!$G$7="30/360"),DAY(F208)&lt;30),30,DAY(F208))),IF(AND('депозитный калькулятор'!$G$10="ежемесячное, на средний остаток в течение месяца, при условии что остаток больше чем ограничение",F208='депозитный калькулятор'!$D$8,EOMONTH(F208,0)&lt;&gt;F208),IF('депозитный калькулятор'!$F$1=1,$H$24,SUM(OFFSET(Q208,-E208+1,0):Q208)),IF(AND('депозитный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калькулятор'!$G$7="30/360"),DAY(EOMONTH(F208,0))=31),EOMONTH(F208,0)-1=F208,EOMONTH(F208,0)=F208)),IF(IF(AND(OR('депозитный калькулятор'!$G$7="30/365",'депозитный калькулятор'!$G$7="30/360"),DAY(EOMONTH($F$24,0))=31),F208=EOMONTH($F$24,0)-1,F208=EOMONTH($F$24,0)),SUM(OFFSET(Q208,-E208+1,0):Q208),SUM(OFFSET(Q208,-E208+1,0):Q208)),IF('депозитный калькулятор'!$G$10="ежеквартальное",IF(F208&gt;'депозитный калькулятор'!$D$8," ",IF(AND(EOMONTH(F208,0)=F208,OR(MONTH(F208)=3,MONTH(F208)=6,MONTH(F208)=9,MONTH(F208)=12)),IF(EDATE(F208,-3)&lt;'депозитный калькулятор'!$D$7,SUM($H$23:H208),IF(MOD(YEAR(F208),4)=0,IF(AND(EOMONTH(F208,0)=F208,OR(MONTH(F208)=3,MONTH(F208)=6)),SUM(OFFSET(H208,-90,0):H208),IF(AND(EOMONTH(F208,0)=F208,OR(MONTH(F208)=9,MONTH(F208)=12)),SUM(OFFSET(H208,-91,0):H208))),IF(AND(EOMONTH(F208,0)=F208,MONTH(F208)=3),SUM(OFFSET(H208,-89,0):H208),IF(AND(EOMONTH(F208,0)=F208,MONTH(F208)=6),SUM(OFFSET(H208,-90,0):H208),IF(AND(EOMONTH(F208,0)=F208,OR(MONTH(F208)=9,MONTH(F208)=12)),SUM(OFFSET(H208,-91,0):H208)))))),IF(F208='депозитный калькулятор'!$D$8,SUM($H$23:H208)-SUM($I$23:I207),0))),IF('депозитный калькулятор'!$G$10="ежегодное",IF(F208&gt;'депозитный калькулятор'!$D$8," ",IF(F208='депозитный калькулятор'!$D$8,SUM($H$23:H208)-SUM($I$23:I207),IF(AND(EOMONTH(F208,0)=F208,MONTH(F208)=12),IF(MOD(YEAR(F207),4)=0,IF(F208-'депозитный калькулятор'!$D$7&lt;366,SUM($H$23:H208),SUM(OFFSET(H208,-365,0):H208)),IF(F208-'депозитный калькулятор'!$D$7&lt;365,SUM($H$23:H208),SUM(OFFSET(H208,-364,0):H208))),0))),IF(AND('депозитный калькулятор'!$G$10="в конце срока",'депозитный калькулятор'!$D$8=F208),SUM($H$23:H208),0))))))))))))))))))</f>
        <v xml:space="preserve"> </v>
      </c>
      <c r="J208" s="59" t="str">
        <f>IF(F208&gt;'депозитный калькулятор'!$D$8," ",IF('депозитный калькулятор'!$G$16="нет",0,IF(AND('депозитный калькулятор'!$G$17="разовая (в конце срока)",F208='депозитный калькулятор'!$D$8),'депозитный калькулятор'!$G$18,IF(AND('депозитный калькулятор'!$G$17="ежемесячная",EOMONTH(F207,0)=F207),'депозитный калькулятор'!$G$18,IF(AND('депозитный калькулятор'!$G$17="ежегодная",DAY(F207)=31,MONTH(F207)=12),'депозитный калькулятор'!$G$18,IF(AND('депозитный калькулятор'!$G$17="ежемесячная в зависимости от остатка",EOMONTH(F207,0)=F207,P207&gt;0),'депозитный калькулятор'!$G$18,IF(AND('депозитный калькулятор'!$G$17="ежегодная в зависимости от остатка",DAY(F207)=31,MONTH(F207)=12,P207&gt;0),'депозитный калькулятор'!$G$18,0)))))))</f>
        <v xml:space="preserve"> </v>
      </c>
      <c r="K208" s="135" t="str">
        <f>IF($F208=" "," ",IFERROR(VLOOKUP($F208,'депозитный калькулятор'!$B$26:$F$70,2,0),0))</f>
        <v xml:space="preserve"> </v>
      </c>
      <c r="L208" s="135" t="str">
        <f>IF($F208=" "," ",IFERROR(VLOOKUP($F208,'депозитный калькулятор'!$B$26:$F$70,3,0),0))</f>
        <v xml:space="preserve"> </v>
      </c>
      <c r="M208" s="135" t="str">
        <f>IF($F208=" "," ",IFERROR(VLOOKUP($F208,'депозитный калькулятор'!$B$26:$F$70,4,0),0))</f>
        <v xml:space="preserve"> </v>
      </c>
      <c r="N208" s="135" t="str">
        <f>IF($F208=" "," ",IFERROR(VLOOKUP($F208,'депозитный калькулятор'!$B$26:$F$70,5,0),0))</f>
        <v xml:space="preserve"> </v>
      </c>
      <c r="O208" s="146" t="str">
        <f>IF(F208&gt;'депозитный калькулятор'!$D$8," ",IF(F208='депозитный калькулятор'!$D$8,IF(AND($F$24='депозитный калькулятор'!$D$8,'депозитный калькулятор'!$G$13="нет"),-G208-IF(I208=" ",0,I208)-IF(AND(OR('депозитный калькулятор'!$G$7="30/365",'депозитный калькулятор'!$G$7="30/360"),'депозитный калькулятор'!$G$10="в начале срока"),I207,0)-L208+M208-N208,-G208-IF(I208=" ",0,I208)-L208+M208-N208),IF('депозитный калькулятор'!$G$13="есть",M208-N208+IF('депозитный калькулятор'!$G$14="есть",0,-L208),-IF(I208=" ",0,I208)-IF(AND(OR('депозитный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срока"),I207,0)+M208-N208+IF('депозитный калькулятор'!$G$14="есть",0,-L208))))</f>
        <v xml:space="preserve"> </v>
      </c>
      <c r="P208" s="147" t="str">
        <f>IF(F208&gt;'депозитный калькулятор'!$D$8," ",IF(EOMONTH(F207,0)=F207,0,IF(G208&gt;='депозитный калькулятор'!$G$19,P207,P207+1)))</f>
        <v xml:space="preserve"> </v>
      </c>
      <c r="Q208" s="138" t="str">
        <f>IF(F208=" "," ",IF(AND(OR('депозитный калькулятор'!$G$7="30/365",'депозитный калькулятор'!$G$7="30/360"),AND(MONTH(F208)=2,EOMONTH(F208,0)=F208)),IF(DAY(F208)=28,3,2),1)*IF(G208&gt;='депозитный калькулятор'!$G$11,IF(AND('депозитный калькулятор'!$G$7="факт/факт",MOD(YEAR(F208),4)=0),G208*'депозитный калькулятор'!$D$11/366,G208*'депозитный калькулятор'!$G$8),0))</f>
        <v xml:space="preserve"> </v>
      </c>
      <c r="R208" s="148"/>
      <c r="S208" s="62" t="str">
        <f t="shared" ca="1" si="12"/>
        <v xml:space="preserve"> </v>
      </c>
      <c r="T208" s="149" t="str">
        <f ca="1">IF(S208=" "," ",IF('депозитный калькулятор'!$G$7="30/360",DAYS360(U207,IF(DAY(U208)=31,U208-1,U208))+IF(AND(MONTH(U208)=2,U208=EOMONTH(U208,0)),30-DAY(EOMONTH(U208,0)))+T207,VLOOKUP(S208,$C$22:$F$1023,2,0)))</f>
        <v xml:space="preserve"> </v>
      </c>
      <c r="U208" s="64" t="str">
        <f t="shared" ca="1" si="10"/>
        <v xml:space="preserve"> </v>
      </c>
      <c r="V208" s="150" t="str">
        <f t="shared" ca="1" si="13"/>
        <v xml:space="preserve"> </v>
      </c>
      <c r="W208" s="62" t="str">
        <f t="shared" ca="1" si="14"/>
        <v xml:space="preserve"> </v>
      </c>
      <c r="X208" s="141" t="str">
        <f ca="1">IF(S208=" "," ",IFERROR(VLOOKUP(U208,$F$23:$N$1023,7)+VLOOKUP(U208,$F$23:$N$1023,9)+IF(AND('депозитный калькулятор'!$G$13="нет",U208&lt;&gt;'депозитный калькулятор'!$D$8),VLOOKUP(U208,$F$23:$N$1023,4),0),0)+IF(U208='депозитный калькулятор'!$D$8,VLOOKUP(U208,$F$23:$N$1023,2)+VLOOKUP(U208,$F$23:$N$1023,4),0))</f>
        <v xml:space="preserve"> </v>
      </c>
      <c r="Y208" s="142" t="str">
        <f ca="1">IF(S208=" "," ",W208/(1+'депозитный калькулятор'!$K$8)^(T208/IF('депозитный калькулятор'!$G$7="30/360",360,365)))</f>
        <v xml:space="preserve"> </v>
      </c>
      <c r="Z208" s="142" t="str">
        <f ca="1">IF(S208=" "," ",X208/(1+'депозитный калькулятор'!$K$8)^(T208/IF('депозитный калькулятор'!$G$7="30/360",360,365)))</f>
        <v xml:space="preserve"> </v>
      </c>
      <c r="AA208" s="151"/>
      <c r="AB208" s="151"/>
      <c r="AC208" s="155"/>
      <c r="AD208" s="155"/>
    </row>
    <row r="209" spans="1:30" s="2" customFormat="1" ht="15.5" x14ac:dyDescent="0.35">
      <c r="A209" s="41" t="str">
        <f>IF(F209=" "," ",IF(OR('депозитный калькулятор'!$G$7="30/365",'депозитный калькулятор'!$G$7="30/360"),IF(AND(MONTH(F209)=2,DAY(F209)=DAY(EOMONTH(F209,0))),30-DAY(EOMONTH(F209,0)),IF(DAY(F209)=31,1," "))," "))</f>
        <v xml:space="preserve"> </v>
      </c>
      <c r="B209" s="130" t="str">
        <f t="shared" si="11"/>
        <v xml:space="preserve"> </v>
      </c>
      <c r="C209" s="130" t="str">
        <f>IF(OR(B209=0,B209=" ")," ",SUM($B$23:B209))</f>
        <v xml:space="preserve"> </v>
      </c>
      <c r="D209" s="62" t="str">
        <f>IF(D208=" "," ",IF(OR(F208='депозитный калькулятор'!$D$8,F208=" ")," ",D208+1))</f>
        <v xml:space="preserve"> </v>
      </c>
      <c r="E209" s="130" t="str">
        <f>IF(OR(F208='депозитный калькулятор'!$D$8,F208=" ")," ",IF(EOMONTH(F208,0)=F208,1,E208+1))</f>
        <v xml:space="preserve"> </v>
      </c>
      <c r="F209" s="64" t="str">
        <f>IF(F208=" "," ",IF(F208='депозитный калькулятор'!$D$8," ",F208+1))</f>
        <v xml:space="preserve"> </v>
      </c>
      <c r="G209" s="145" t="str">
        <f xml:space="preserve"> IF(F209&gt;'депозитный калькулятор'!$D$8," ",IF('депозитный калькулятор'!$G$13="есть",IF('депозитный калькулятор'!$G$14="есть",G208+IF(I208=" ",0,I208)-J209-K209+L209+M209-N209,G208+IF(I208=" ",0,I208)-J209-K209+M209-N209),IF('депозитный калькулятор'!$G$14="есть",G208-J209-K209+L209+M209-N209,G208-J209-K209+M209-N209)))</f>
        <v xml:space="preserve"> </v>
      </c>
      <c r="H209" s="133" t="str">
        <f>IF(F209&gt;'депозитный калькулятор'!$D$8," ",IF(AND(OR('депозитный калькулятор'!$G$7="30/365",'депозитный калькулятор'!$G$7="30/360"),AND(MONTH(F209)=2,EOMONTH(F209,0)=F209)),IF(DAY(F209)=28,3*G209*'депозитный калькулятор'!$G$8,2*G209*'депозитный калькулятор'!$G$8),IF(AND(OR('депозитный калькулятор'!$G$7="30/365",'депозитный калькулятор'!$G$7="30/360"),DAY(F209)=31)," ",IF(AND('депозитный калькулятор'!$G$7="факт/факт",MOD(YEAR(F209),4)=0),G209*'депозитный калькулятор'!$D$11/366,G209*'депозитный калькулятор'!$G$8))))</f>
        <v xml:space="preserve"> </v>
      </c>
      <c r="I209" s="134" t="str">
        <f ca="1">IF(F209=" "," ",IF('депозитный калькулятор'!$G$10="ежедневное",H209,IF(AND('депозитный калькулятор'!$G$10="еженедельное",WEEKDAY(F209,2)=7),SUM(OFFSET(H209,-6,0):H209),IF(AND('депозитный калькулятор'!$G$10="еженедельное",F209='депозитный калькулятор'!$D$8),SUM($H$23:H209)-SUM($I$23:I208),IF(AND('депозитный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недели",WEEKDAY(F209,2)=7),MIN(OFFSET(H209,-6,0):H209)*(COUNTIF(OFFSET(H209,-6,0):H209,"&gt;0")+SUMIF(OFFSET(A209,-WEEKDAY(F209,2),0):A209,"=2",OFFSET(A209,-WEEKDAY(F209,2),0):A209)),IF(AND('депозитный калькулятор'!$G$10="еженедельное, на минимальную сумму зафиксированную в течение недели",F209='депозитный калькулятор'!$D$8,WEEKDAY(F209,2)&lt;&gt;7),MIN(OFFSET(H209,-WEEKDAY(F209,2),0):H209)*(COUNTIF(OFFSET(H209,-WEEKDAY(F209,2)+1,0):H209,"&gt;0")+SUM(OFFSET(A209,-WEEKDAY(F209,2),0):A209)),IF(AND('депозитный калькулятор'!$G$10="ежемесячное (в конце месяца)",F209='депозитный калькулятор'!$D$8,EOMONTH(F209,0)&lt;&gt;F209),IF('депозитный калькулятор'!$F$1=1,$H$24,SUM($H$23:H209)-SUM($I$23:I208)),IF(AND('депозитный калькулятор'!$G$10="ежемесячное (в конце месяца)",EOMONTH(F209,0)=F209),SUM($H$23:H209)-SUM($I$23:I208),IF(AND('депозитный калькулятор'!$G$10="ежемесячное (по дням открытия вклада)",F209='депозитный калькулятор'!$D$8,DAY('депозитный калькулятор'!$D$7)&lt;&gt;DAY(F209)),IF('депозитный калькулятор'!$F$1=1,$H$24,SUM($H$23:H209)-SUM($I$23:I208)),IF(AND('депозитный калькулятор'!$G$10="ежемесячное (по дням открытия вклада)",DAY('депозитный калькулятор'!$D$7)=DAY(F209)),SUM($H$23:H209)-SUM($I$23:I208),IF(AND('депозитный калькулятор'!$G$10="ежемесячное, на минимальную сумму зафиксированную в течение месяца",F209='депозитный калькулятор'!$D$8,EOMONTH(F209,0)&lt;&gt;F209),IF('депозитный калькулятор'!$F$1=1,$H$24,IF(AND(OR('депозитный калькулятор'!$G$7="30/365",'депозитный калькулятор'!$G$7="30/360"),DAY(F209)=31),0,MIN(OFFSET(H209,-E209+1,0):H209)*(E209+SUMIF(OFFSET(A209,-E209+1,0):A209,"=2",OFFSET(A209,-E209+1,0):A209)))),IF(AND('депозитный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калькулятор'!$G$7="30/360"),DAY(EOMONTH(F209,0))=31),EOMONTH(F209,0)-1=F209,EOMONTH(F209,0)=F209)),IF(IF(AND(OR('депозитный калькулятор'!$G$7="30/365",'депозитный калькулятор'!$G$7="30/360"),DAY(EOMONTH($F$23,0))=31),F209=EOMONTH($F$23,0)-1,F209=EOMONTH($F$23,0)),MIN(OFFSET(H209,-(DAY(F209)-DAY($F$23)),0):H209)*E209,MIN(OFFSET(H209,-(DAY(F209)-1),0):H209)*IF(AND(OR('депозитный калькулятор'!$G$7="30/365",'депозитный калькулятор'!$G$7="30/360"),DAY(F209)&lt;30),30,DAY(F209))),IF(AND('депозитный калькулятор'!$G$10="ежемесячное, на средний остаток в течение месяца, при условии что остаток больше чем ограничение",F209='депозитный калькулятор'!$D$8,EOMONTH(F209,0)&lt;&gt;F209),IF('депозитный калькулятор'!$F$1=1,$H$24,SUM(OFFSET(Q209,-E209+1,0):Q209)),IF(AND('депозитный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калькулятор'!$G$7="30/360"),DAY(EOMONTH(F209,0))=31),EOMONTH(F209,0)-1=F209,EOMONTH(F209,0)=F209)),IF(IF(AND(OR('депозитный калькулятор'!$G$7="30/365",'депозитный калькулятор'!$G$7="30/360"),DAY(EOMONTH($F$24,0))=31),F209=EOMONTH($F$24,0)-1,F209=EOMONTH($F$24,0)),SUM(OFFSET(Q209,-E209+1,0):Q209),SUM(OFFSET(Q209,-E209+1,0):Q209)),IF('депозитный калькулятор'!$G$10="ежеквартальное",IF(F209&gt;'депозитный калькулятор'!$D$8," ",IF(AND(EOMONTH(F209,0)=F209,OR(MONTH(F209)=3,MONTH(F209)=6,MONTH(F209)=9,MONTH(F209)=12)),IF(EDATE(F209,-3)&lt;'депозитный калькулятор'!$D$7,SUM($H$23:H209),IF(MOD(YEAR(F209),4)=0,IF(AND(EOMONTH(F209,0)=F209,OR(MONTH(F209)=3,MONTH(F209)=6)),SUM(OFFSET(H209,-90,0):H209),IF(AND(EOMONTH(F209,0)=F209,OR(MONTH(F209)=9,MONTH(F209)=12)),SUM(OFFSET(H209,-91,0):H209))),IF(AND(EOMONTH(F209,0)=F209,MONTH(F209)=3),SUM(OFFSET(H209,-89,0):H209),IF(AND(EOMONTH(F209,0)=F209,MONTH(F209)=6),SUM(OFFSET(H209,-90,0):H209),IF(AND(EOMONTH(F209,0)=F209,OR(MONTH(F209)=9,MONTH(F209)=12)),SUM(OFFSET(H209,-91,0):H209)))))),IF(F209='депозитный калькулятор'!$D$8,SUM($H$23:H209)-SUM($I$23:I208),0))),IF('депозитный калькулятор'!$G$10="ежегодное",IF(F209&gt;'депозитный калькулятор'!$D$8," ",IF(F209='депозитный калькулятор'!$D$8,SUM($H$23:H209)-SUM($I$23:I208),IF(AND(EOMONTH(F209,0)=F209,MONTH(F209)=12),IF(MOD(YEAR(F208),4)=0,IF(F209-'депозитный калькулятор'!$D$7&lt;366,SUM($H$23:H209),SUM(OFFSET(H209,-365,0):H209)),IF(F209-'депозитный калькулятор'!$D$7&lt;365,SUM($H$23:H209),SUM(OFFSET(H209,-364,0):H209))),0))),IF(AND('депозитный калькулятор'!$G$10="в конце срока",'депозитный калькулятор'!$D$8=F209),SUM($H$23:H209),0))))))))))))))))))</f>
        <v xml:space="preserve"> </v>
      </c>
      <c r="J209" s="59" t="str">
        <f>IF(F209&gt;'депозитный калькулятор'!$D$8," ",IF('депозитный калькулятор'!$G$16="нет",0,IF(AND('депозитный калькулятор'!$G$17="разовая (в конце срока)",F209='депозитный калькулятор'!$D$8),'депозитный калькулятор'!$G$18,IF(AND('депозитный калькулятор'!$G$17="ежемесячная",EOMONTH(F208,0)=F208),'депозитный калькулятор'!$G$18,IF(AND('депозитный калькулятор'!$G$17="ежегодная",DAY(F208)=31,MONTH(F208)=12),'депозитный калькулятор'!$G$18,IF(AND('депозитный калькулятор'!$G$17="ежемесячная в зависимости от остатка",EOMONTH(F208,0)=F208,P208&gt;0),'депозитный калькулятор'!$G$18,IF(AND('депозитный калькулятор'!$G$17="ежегодная в зависимости от остатка",DAY(F208)=31,MONTH(F208)=12,P208&gt;0),'депозитный калькулятор'!$G$18,0)))))))</f>
        <v xml:space="preserve"> </v>
      </c>
      <c r="K209" s="135" t="str">
        <f>IF($F209=" "," ",IFERROR(VLOOKUP($F209,'депозитный калькулятор'!$B$26:$F$70,2,0),0))</f>
        <v xml:space="preserve"> </v>
      </c>
      <c r="L209" s="135" t="str">
        <f>IF($F209=" "," ",IFERROR(VLOOKUP($F209,'депозитный калькулятор'!$B$26:$F$70,3,0),0))</f>
        <v xml:space="preserve"> </v>
      </c>
      <c r="M209" s="135" t="str">
        <f>IF($F209=" "," ",IFERROR(VLOOKUP($F209,'депозитный калькулятор'!$B$26:$F$70,4,0),0))</f>
        <v xml:space="preserve"> </v>
      </c>
      <c r="N209" s="135" t="str">
        <f>IF($F209=" "," ",IFERROR(VLOOKUP($F209,'депозитный калькулятор'!$B$26:$F$70,5,0),0))</f>
        <v xml:space="preserve"> </v>
      </c>
      <c r="O209" s="146" t="str">
        <f>IF(F209&gt;'депозитный калькулятор'!$D$8," ",IF(F209='депозитный калькулятор'!$D$8,IF(AND($F$24='депозитный калькулятор'!$D$8,'депозитный калькулятор'!$G$13="нет"),-G209-IF(I209=" ",0,I209)-IF(AND(OR('депозитный калькулятор'!$G$7="30/365",'депозитный калькулятор'!$G$7="30/360"),'депозитный калькулятор'!$G$10="в начале срока"),I208,0)-L209+M209-N209,-G209-IF(I209=" ",0,I209)-L209+M209-N209),IF('депозитный калькулятор'!$G$13="есть",M209-N209+IF('депозитный калькулятор'!$G$14="есть",0,-L209),-IF(I209=" ",0,I209)-IF(AND(OR('депозитный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срока"),I208,0)+M209-N209+IF('депозитный калькулятор'!$G$14="есть",0,-L209))))</f>
        <v xml:space="preserve"> </v>
      </c>
      <c r="P209" s="147" t="str">
        <f>IF(F209&gt;'депозитный калькулятор'!$D$8," ",IF(EOMONTH(F208,0)=F208,0,IF(G209&gt;='депозитный калькулятор'!$G$19,P208,P208+1)))</f>
        <v xml:space="preserve"> </v>
      </c>
      <c r="Q209" s="138" t="str">
        <f>IF(F209=" "," ",IF(AND(OR('депозитный калькулятор'!$G$7="30/365",'депозитный калькулятор'!$G$7="30/360"),AND(MONTH(F209)=2,EOMONTH(F209,0)=F209)),IF(DAY(F209)=28,3,2),1)*IF(G209&gt;='депозитный калькулятор'!$G$11,IF(AND('депозитный калькулятор'!$G$7="факт/факт",MOD(YEAR(F209),4)=0),G209*'депозитный калькулятор'!$D$11/366,G209*'депозитный калькулятор'!$G$8),0))</f>
        <v xml:space="preserve"> </v>
      </c>
      <c r="R209" s="148"/>
      <c r="S209" s="62" t="str">
        <f t="shared" ca="1" si="12"/>
        <v xml:space="preserve"> </v>
      </c>
      <c r="T209" s="149" t="str">
        <f ca="1">IF(S209=" "," ",IF('депозитный калькулятор'!$G$7="30/360",DAYS360(U208,IF(DAY(U209)=31,U209-1,U209))+IF(AND(MONTH(U209)=2,U209=EOMONTH(U209,0)),30-DAY(EOMONTH(U209,0)))+T208,VLOOKUP(S209,$C$22:$F$1023,2,0)))</f>
        <v xml:space="preserve"> </v>
      </c>
      <c r="U209" s="64" t="str">
        <f t="shared" ca="1" si="10"/>
        <v xml:space="preserve"> </v>
      </c>
      <c r="V209" s="150" t="str">
        <f t="shared" ca="1" si="13"/>
        <v xml:space="preserve"> </v>
      </c>
      <c r="W209" s="62" t="str">
        <f t="shared" ca="1" si="14"/>
        <v xml:space="preserve"> </v>
      </c>
      <c r="X209" s="141" t="str">
        <f ca="1">IF(S209=" "," ",IFERROR(VLOOKUP(U209,$F$23:$N$1023,7)+VLOOKUP(U209,$F$23:$N$1023,9)+IF(AND('депозитный калькулятор'!$G$13="нет",U209&lt;&gt;'депозитный калькулятор'!$D$8),VLOOKUP(U209,$F$23:$N$1023,4),0),0)+IF(U209='депозитный калькулятор'!$D$8,VLOOKUP(U209,$F$23:$N$1023,2)+VLOOKUP(U209,$F$23:$N$1023,4),0))</f>
        <v xml:space="preserve"> </v>
      </c>
      <c r="Y209" s="142" t="str">
        <f ca="1">IF(S209=" "," ",W209/(1+'депозитный калькулятор'!$K$8)^(T209/IF('депозитный калькулятор'!$G$7="30/360",360,365)))</f>
        <v xml:space="preserve"> </v>
      </c>
      <c r="Z209" s="142" t="str">
        <f ca="1">IF(S209=" "," ",X209/(1+'депозитный калькулятор'!$K$8)^(T209/IF('депозитный калькулятор'!$G$7="30/360",360,365)))</f>
        <v xml:space="preserve"> </v>
      </c>
      <c r="AA209" s="151"/>
      <c r="AB209" s="151"/>
      <c r="AC209" s="155"/>
      <c r="AD209" s="155"/>
    </row>
    <row r="210" spans="1:30" s="2" customFormat="1" ht="15.5" x14ac:dyDescent="0.35">
      <c r="A210" s="41" t="str">
        <f>IF(F210=" "," ",IF(OR('депозитный калькулятор'!$G$7="30/365",'депозитный калькулятор'!$G$7="30/360"),IF(AND(MONTH(F210)=2,DAY(F210)=DAY(EOMONTH(F210,0))),30-DAY(EOMONTH(F210,0)),IF(DAY(F210)=31,1," "))," "))</f>
        <v xml:space="preserve"> </v>
      </c>
      <c r="B210" s="130" t="str">
        <f t="shared" si="11"/>
        <v xml:space="preserve"> </v>
      </c>
      <c r="C210" s="130" t="str">
        <f>IF(OR(B210=0,B210=" ")," ",SUM($B$23:B210))</f>
        <v xml:space="preserve"> </v>
      </c>
      <c r="D210" s="62" t="str">
        <f>IF(D209=" "," ",IF(OR(F209='депозитный калькулятор'!$D$8,F209=" ")," ",D209+1))</f>
        <v xml:space="preserve"> </v>
      </c>
      <c r="E210" s="130" t="str">
        <f>IF(OR(F209='депозитный калькулятор'!$D$8,F209=" ")," ",IF(EOMONTH(F209,0)=F209,1,E209+1))</f>
        <v xml:space="preserve"> </v>
      </c>
      <c r="F210" s="64" t="str">
        <f>IF(F209=" "," ",IF(F209='депозитный калькулятор'!$D$8," ",F209+1))</f>
        <v xml:space="preserve"> </v>
      </c>
      <c r="G210" s="145" t="str">
        <f xml:space="preserve"> IF(F210&gt;'депозитный калькулятор'!$D$8," ",IF('депозитный калькулятор'!$G$13="есть",IF('депозитный калькулятор'!$G$14="есть",G209+IF(I209=" ",0,I209)-J210-K210+L210+M210-N210,G209+IF(I209=" ",0,I209)-J210-K210+M210-N210),IF('депозитный калькулятор'!$G$14="есть",G209-J210-K210+L210+M210-N210,G209-J210-K210+M210-N210)))</f>
        <v xml:space="preserve"> </v>
      </c>
      <c r="H210" s="133" t="str">
        <f>IF(F210&gt;'депозитный калькулятор'!$D$8," ",IF(AND(OR('депозитный калькулятор'!$G$7="30/365",'депозитный калькулятор'!$G$7="30/360"),AND(MONTH(F210)=2,EOMONTH(F210,0)=F210)),IF(DAY(F210)=28,3*G210*'депозитный калькулятор'!$G$8,2*G210*'депозитный калькулятор'!$G$8),IF(AND(OR('депозитный калькулятор'!$G$7="30/365",'депозитный калькулятор'!$G$7="30/360"),DAY(F210)=31)," ",IF(AND('депозитный калькулятор'!$G$7="факт/факт",MOD(YEAR(F210),4)=0),G210*'депозитный калькулятор'!$D$11/366,G210*'депозитный калькулятор'!$G$8))))</f>
        <v xml:space="preserve"> </v>
      </c>
      <c r="I210" s="134" t="str">
        <f ca="1">IF(F210=" "," ",IF('депозитный калькулятор'!$G$10="ежедневное",H210,IF(AND('депозитный калькулятор'!$G$10="еженедельное",WEEKDAY(F210,2)=7),SUM(OFFSET(H210,-6,0):H210),IF(AND('депозитный калькулятор'!$G$10="еженедельное",F210='депозитный калькулятор'!$D$8),SUM($H$23:H210)-SUM($I$23:I209),IF(AND('депозитный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недели",WEEKDAY(F210,2)=7),MIN(OFFSET(H210,-6,0):H210)*(COUNTIF(OFFSET(H210,-6,0):H210,"&gt;0")+SUMIF(OFFSET(A210,-WEEKDAY(F210,2),0):A210,"=2",OFFSET(A210,-WEEKDAY(F210,2),0):A210)),IF(AND('депозитный калькулятор'!$G$10="еженедельное, на минимальную сумму зафиксированную в течение недели",F210='депозитный калькулятор'!$D$8,WEEKDAY(F210,2)&lt;&gt;7),MIN(OFFSET(H210,-WEEKDAY(F210,2),0):H210)*(COUNTIF(OFFSET(H210,-WEEKDAY(F210,2)+1,0):H210,"&gt;0")+SUM(OFFSET(A210,-WEEKDAY(F210,2),0):A210)),IF(AND('депозитный калькулятор'!$G$10="ежемесячное (в конце месяца)",F210='депозитный калькулятор'!$D$8,EOMONTH(F210,0)&lt;&gt;F210),IF('депозитный калькулятор'!$F$1=1,$H$24,SUM($H$23:H210)-SUM($I$23:I209)),IF(AND('депозитный калькулятор'!$G$10="ежемесячное (в конце месяца)",EOMONTH(F210,0)=F210),SUM($H$23:H210)-SUM($I$23:I209),IF(AND('депозитный калькулятор'!$G$10="ежемесячное (по дням открытия вклада)",F210='депозитный калькулятор'!$D$8,DAY('депозитный калькулятор'!$D$7)&lt;&gt;DAY(F210)),IF('депозитный калькулятор'!$F$1=1,$H$24,SUM($H$23:H210)-SUM($I$23:I209)),IF(AND('депозитный калькулятор'!$G$10="ежемесячное (по дням открытия вклада)",DAY('депозитный калькулятор'!$D$7)=DAY(F210)),SUM($H$23:H210)-SUM($I$23:I209),IF(AND('депозитный калькулятор'!$G$10="ежемесячное, на минимальную сумму зафиксированную в течение месяца",F210='депозитный калькулятор'!$D$8,EOMONTH(F210,0)&lt;&gt;F210),IF('депозитный калькулятор'!$F$1=1,$H$24,IF(AND(OR('депозитный калькулятор'!$G$7="30/365",'депозитный калькулятор'!$G$7="30/360"),DAY(F210)=31),0,MIN(OFFSET(H210,-E210+1,0):H210)*(E210+SUMIF(OFFSET(A210,-E210+1,0):A210,"=2",OFFSET(A210,-E210+1,0):A210)))),IF(AND('депозитный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калькулятор'!$G$7="30/360"),DAY(EOMONTH(F210,0))=31),EOMONTH(F210,0)-1=F210,EOMONTH(F210,0)=F210)),IF(IF(AND(OR('депозитный калькулятор'!$G$7="30/365",'депозитный калькулятор'!$G$7="30/360"),DAY(EOMONTH($F$23,0))=31),F210=EOMONTH($F$23,0)-1,F210=EOMONTH($F$23,0)),MIN(OFFSET(H210,-(DAY(F210)-DAY($F$23)),0):H210)*E210,MIN(OFFSET(H210,-(DAY(F210)-1),0):H210)*IF(AND(OR('депозитный калькулятор'!$G$7="30/365",'депозитный калькулятор'!$G$7="30/360"),DAY(F210)&lt;30),30,DAY(F210))),IF(AND('депозитный калькулятор'!$G$10="ежемесячное, на средний остаток в течение месяца, при условии что остаток больше чем ограничение",F210='депозитный калькулятор'!$D$8,EOMONTH(F210,0)&lt;&gt;F210),IF('депозитный калькулятор'!$F$1=1,$H$24,SUM(OFFSET(Q210,-E210+1,0):Q210)),IF(AND('депозитный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калькулятор'!$G$7="30/360"),DAY(EOMONTH(F210,0))=31),EOMONTH(F210,0)-1=F210,EOMONTH(F210,0)=F210)),IF(IF(AND(OR('депозитный калькулятор'!$G$7="30/365",'депозитный калькулятор'!$G$7="30/360"),DAY(EOMONTH($F$24,0))=31),F210=EOMONTH($F$24,0)-1,F210=EOMONTH($F$24,0)),SUM(OFFSET(Q210,-E210+1,0):Q210),SUM(OFFSET(Q210,-E210+1,0):Q210)),IF('депозитный калькулятор'!$G$10="ежеквартальное",IF(F210&gt;'депозитный калькулятор'!$D$8," ",IF(AND(EOMONTH(F210,0)=F210,OR(MONTH(F210)=3,MONTH(F210)=6,MONTH(F210)=9,MONTH(F210)=12)),IF(EDATE(F210,-3)&lt;'депозитный калькулятор'!$D$7,SUM($H$23:H210),IF(MOD(YEAR(F210),4)=0,IF(AND(EOMONTH(F210,0)=F210,OR(MONTH(F210)=3,MONTH(F210)=6)),SUM(OFFSET(H210,-90,0):H210),IF(AND(EOMONTH(F210,0)=F210,OR(MONTH(F210)=9,MONTH(F210)=12)),SUM(OFFSET(H210,-91,0):H210))),IF(AND(EOMONTH(F210,0)=F210,MONTH(F210)=3),SUM(OFFSET(H210,-89,0):H210),IF(AND(EOMONTH(F210,0)=F210,MONTH(F210)=6),SUM(OFFSET(H210,-90,0):H210),IF(AND(EOMONTH(F210,0)=F210,OR(MONTH(F210)=9,MONTH(F210)=12)),SUM(OFFSET(H210,-91,0):H210)))))),IF(F210='депозитный калькулятор'!$D$8,SUM($H$23:H210)-SUM($I$23:I209),0))),IF('депозитный калькулятор'!$G$10="ежегодное",IF(F210&gt;'депозитный калькулятор'!$D$8," ",IF(F210='депозитный калькулятор'!$D$8,SUM($H$23:H210)-SUM($I$23:I209),IF(AND(EOMONTH(F210,0)=F210,MONTH(F210)=12),IF(MOD(YEAR(F209),4)=0,IF(F210-'депозитный калькулятор'!$D$7&lt;366,SUM($H$23:H210),SUM(OFFSET(H210,-365,0):H210)),IF(F210-'депозитный калькулятор'!$D$7&lt;365,SUM($H$23:H210),SUM(OFFSET(H210,-364,0):H210))),0))),IF(AND('депозитный калькулятор'!$G$10="в конце срока",'депозитный калькулятор'!$D$8=F210),SUM($H$23:H210),0))))))))))))))))))</f>
        <v xml:space="preserve"> </v>
      </c>
      <c r="J210" s="59" t="str">
        <f>IF(F210&gt;'депозитный калькулятор'!$D$8," ",IF('депозитный калькулятор'!$G$16="нет",0,IF(AND('депозитный калькулятор'!$G$17="разовая (в конце срока)",F210='депозитный калькулятор'!$D$8),'депозитный калькулятор'!$G$18,IF(AND('депозитный калькулятор'!$G$17="ежемесячная",EOMONTH(F209,0)=F209),'депозитный калькулятор'!$G$18,IF(AND('депозитный калькулятор'!$G$17="ежегодная",DAY(F209)=31,MONTH(F209)=12),'депозитный калькулятор'!$G$18,IF(AND('депозитный калькулятор'!$G$17="ежемесячная в зависимости от остатка",EOMONTH(F209,0)=F209,P209&gt;0),'депозитный калькулятор'!$G$18,IF(AND('депозитный калькулятор'!$G$17="ежегодная в зависимости от остатка",DAY(F209)=31,MONTH(F209)=12,P209&gt;0),'депозитный калькулятор'!$G$18,0)))))))</f>
        <v xml:space="preserve"> </v>
      </c>
      <c r="K210" s="135" t="str">
        <f>IF($F210=" "," ",IFERROR(VLOOKUP($F210,'депозитный калькулятор'!$B$26:$F$70,2,0),0))</f>
        <v xml:space="preserve"> </v>
      </c>
      <c r="L210" s="135" t="str">
        <f>IF($F210=" "," ",IFERROR(VLOOKUP($F210,'депозитный калькулятор'!$B$26:$F$70,3,0),0))</f>
        <v xml:space="preserve"> </v>
      </c>
      <c r="M210" s="135" t="str">
        <f>IF($F210=" "," ",IFERROR(VLOOKUP($F210,'депозитный калькулятор'!$B$26:$F$70,4,0),0))</f>
        <v xml:space="preserve"> </v>
      </c>
      <c r="N210" s="135" t="str">
        <f>IF($F210=" "," ",IFERROR(VLOOKUP($F210,'депозитный калькулятор'!$B$26:$F$70,5,0),0))</f>
        <v xml:space="preserve"> </v>
      </c>
      <c r="O210" s="146" t="str">
        <f>IF(F210&gt;'депозитный калькулятор'!$D$8," ",IF(F210='депозитный калькулятор'!$D$8,IF(AND($F$24='депозитный калькулятор'!$D$8,'депозитный калькулятор'!$G$13="нет"),-G210-IF(I210=" ",0,I210)-IF(AND(OR('депозитный калькулятор'!$G$7="30/365",'депозитный калькулятор'!$G$7="30/360"),'депозитный калькулятор'!$G$10="в начале срока"),I209,0)-L210+M210-N210,-G210-IF(I210=" ",0,I210)-L210+M210-N210),IF('депозитный калькулятор'!$G$13="есть",M210-N210+IF('депозитный калькулятор'!$G$14="есть",0,-L210),-IF(I210=" ",0,I210)-IF(AND(OR('депозитный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срока"),I209,0)+M210-N210+IF('депозитный калькулятор'!$G$14="есть",0,-L210))))</f>
        <v xml:space="preserve"> </v>
      </c>
      <c r="P210" s="147" t="str">
        <f>IF(F210&gt;'депозитный калькулятор'!$D$8," ",IF(EOMONTH(F209,0)=F209,0,IF(G210&gt;='депозитный калькулятор'!$G$19,P209,P209+1)))</f>
        <v xml:space="preserve"> </v>
      </c>
      <c r="Q210" s="138" t="str">
        <f>IF(F210=" "," ",IF(AND(OR('депозитный калькулятор'!$G$7="30/365",'депозитный калькулятор'!$G$7="30/360"),AND(MONTH(F210)=2,EOMONTH(F210,0)=F210)),IF(DAY(F210)=28,3,2),1)*IF(G210&gt;='депозитный калькулятор'!$G$11,IF(AND('депозитный калькулятор'!$G$7="факт/факт",MOD(YEAR(F210),4)=0),G210*'депозитный калькулятор'!$D$11/366,G210*'депозитный калькулятор'!$G$8),0))</f>
        <v xml:space="preserve"> </v>
      </c>
      <c r="R210" s="148"/>
      <c r="S210" s="62" t="str">
        <f t="shared" ca="1" si="12"/>
        <v xml:space="preserve"> </v>
      </c>
      <c r="T210" s="149" t="str">
        <f ca="1">IF(S210=" "," ",IF('депозитный калькулятор'!$G$7="30/360",DAYS360(U209,IF(DAY(U210)=31,U210-1,U210))+IF(AND(MONTH(U210)=2,U210=EOMONTH(U210,0)),30-DAY(EOMONTH(U210,0)))+T209,VLOOKUP(S210,$C$22:$F$1023,2,0)))</f>
        <v xml:space="preserve"> </v>
      </c>
      <c r="U210" s="64" t="str">
        <f t="shared" ca="1" si="10"/>
        <v xml:space="preserve"> </v>
      </c>
      <c r="V210" s="150" t="str">
        <f t="shared" ca="1" si="13"/>
        <v xml:space="preserve"> </v>
      </c>
      <c r="W210" s="62" t="str">
        <f t="shared" ca="1" si="14"/>
        <v xml:space="preserve"> </v>
      </c>
      <c r="X210" s="141" t="str">
        <f ca="1">IF(S210=" "," ",IFERROR(VLOOKUP(U210,$F$23:$N$1023,7)+VLOOKUP(U210,$F$23:$N$1023,9)+IF(AND('депозитный калькулятор'!$G$13="нет",U210&lt;&gt;'депозитный калькулятор'!$D$8),VLOOKUP(U210,$F$23:$N$1023,4),0),0)+IF(U210='депозитный калькулятор'!$D$8,VLOOKUP(U210,$F$23:$N$1023,2)+VLOOKUP(U210,$F$23:$N$1023,4),0))</f>
        <v xml:space="preserve"> </v>
      </c>
      <c r="Y210" s="142" t="str">
        <f ca="1">IF(S210=" "," ",W210/(1+'депозитный калькулятор'!$K$8)^(T210/IF('депозитный калькулятор'!$G$7="30/360",360,365)))</f>
        <v xml:space="preserve"> </v>
      </c>
      <c r="Z210" s="142" t="str">
        <f ca="1">IF(S210=" "," ",X210/(1+'депозитный калькулятор'!$K$8)^(T210/IF('депозитный калькулятор'!$G$7="30/360",360,365)))</f>
        <v xml:space="preserve"> </v>
      </c>
      <c r="AA210" s="151"/>
      <c r="AB210" s="151"/>
      <c r="AC210" s="155"/>
      <c r="AD210" s="155"/>
    </row>
    <row r="211" spans="1:30" s="2" customFormat="1" ht="15.5" x14ac:dyDescent="0.35">
      <c r="A211" s="41" t="str">
        <f>IF(F211=" "," ",IF(OR('депозитный калькулятор'!$G$7="30/365",'депозитный калькулятор'!$G$7="30/360"),IF(AND(MONTH(F211)=2,DAY(F211)=DAY(EOMONTH(F211,0))),30-DAY(EOMONTH(F211,0)),IF(DAY(F211)=31,1," "))," "))</f>
        <v xml:space="preserve"> </v>
      </c>
      <c r="B211" s="130" t="str">
        <f t="shared" si="11"/>
        <v xml:space="preserve"> </v>
      </c>
      <c r="C211" s="130" t="str">
        <f>IF(OR(B211=0,B211=" ")," ",SUM($B$23:B211))</f>
        <v xml:space="preserve"> </v>
      </c>
      <c r="D211" s="62" t="str">
        <f>IF(D210=" "," ",IF(OR(F210='депозитный калькулятор'!$D$8,F210=" ")," ",D210+1))</f>
        <v xml:space="preserve"> </v>
      </c>
      <c r="E211" s="130" t="str">
        <f>IF(OR(F210='депозитный калькулятор'!$D$8,F210=" ")," ",IF(EOMONTH(F210,0)=F210,1,E210+1))</f>
        <v xml:space="preserve"> </v>
      </c>
      <c r="F211" s="64" t="str">
        <f>IF(F210=" "," ",IF(F210='депозитный калькулятор'!$D$8," ",F210+1))</f>
        <v xml:space="preserve"> </v>
      </c>
      <c r="G211" s="145" t="str">
        <f xml:space="preserve"> IF(F211&gt;'депозитный калькулятор'!$D$8," ",IF('депозитный калькулятор'!$G$13="есть",IF('депозитный калькулятор'!$G$14="есть",G210+IF(I210=" ",0,I210)-J211-K211+L211+M211-N211,G210+IF(I210=" ",0,I210)-J211-K211+M211-N211),IF('депозитный калькулятор'!$G$14="есть",G210-J211-K211+L211+M211-N211,G210-J211-K211+M211-N211)))</f>
        <v xml:space="preserve"> </v>
      </c>
      <c r="H211" s="133" t="str">
        <f>IF(F211&gt;'депозитный калькулятор'!$D$8," ",IF(AND(OR('депозитный калькулятор'!$G$7="30/365",'депозитный калькулятор'!$G$7="30/360"),AND(MONTH(F211)=2,EOMONTH(F211,0)=F211)),IF(DAY(F211)=28,3*G211*'депозитный калькулятор'!$G$8,2*G211*'депозитный калькулятор'!$G$8),IF(AND(OR('депозитный калькулятор'!$G$7="30/365",'депозитный калькулятор'!$G$7="30/360"),DAY(F211)=31)," ",IF(AND('депозитный калькулятор'!$G$7="факт/факт",MOD(YEAR(F211),4)=0),G211*'депозитный калькулятор'!$D$11/366,G211*'депозитный калькулятор'!$G$8))))</f>
        <v xml:space="preserve"> </v>
      </c>
      <c r="I211" s="134" t="str">
        <f ca="1">IF(F211=" "," ",IF('депозитный калькулятор'!$G$10="ежедневное",H211,IF(AND('депозитный калькулятор'!$G$10="еженедельное",WEEKDAY(F211,2)=7),SUM(OFFSET(H211,-6,0):H211),IF(AND('депозитный калькулятор'!$G$10="еженедельное",F211='депозитный калькулятор'!$D$8),SUM($H$23:H211)-SUM($I$23:I210),IF(AND('депозитный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недели",WEEKDAY(F211,2)=7),MIN(OFFSET(H211,-6,0):H211)*(COUNTIF(OFFSET(H211,-6,0):H211,"&gt;0")+SUMIF(OFFSET(A211,-WEEKDAY(F211,2),0):A211,"=2",OFFSET(A211,-WEEKDAY(F211,2),0):A211)),IF(AND('депозитный калькулятор'!$G$10="еженедельное, на минимальную сумму зафиксированную в течение недели",F211='депозитный калькулятор'!$D$8,WEEKDAY(F211,2)&lt;&gt;7),MIN(OFFSET(H211,-WEEKDAY(F211,2),0):H211)*(COUNTIF(OFFSET(H211,-WEEKDAY(F211,2)+1,0):H211,"&gt;0")+SUM(OFFSET(A211,-WEEKDAY(F211,2),0):A211)),IF(AND('депозитный калькулятор'!$G$10="ежемесячное (в конце месяца)",F211='депозитный калькулятор'!$D$8,EOMONTH(F211,0)&lt;&gt;F211),IF('депозитный калькулятор'!$F$1=1,$H$24,SUM($H$23:H211)-SUM($I$23:I210)),IF(AND('депозитный калькулятор'!$G$10="ежемесячное (в конце месяца)",EOMONTH(F211,0)=F211),SUM($H$23:H211)-SUM($I$23:I210),IF(AND('депозитный калькулятор'!$G$10="ежемесячное (по дням открытия вклада)",F211='депозитный калькулятор'!$D$8,DAY('депозитный калькулятор'!$D$7)&lt;&gt;DAY(F211)),IF('депозитный калькулятор'!$F$1=1,$H$24,SUM($H$23:H211)-SUM($I$23:I210)),IF(AND('депозитный калькулятор'!$G$10="ежемесячное (по дням открытия вклада)",DAY('депозитный калькулятор'!$D$7)=DAY(F211)),SUM($H$23:H211)-SUM($I$23:I210),IF(AND('депозитный калькулятор'!$G$10="ежемесячное, на минимальную сумму зафиксированную в течение месяца",F211='депозитный калькулятор'!$D$8,EOMONTH(F211,0)&lt;&gt;F211),IF('депозитный калькулятор'!$F$1=1,$H$24,IF(AND(OR('депозитный калькулятор'!$G$7="30/365",'депозитный калькулятор'!$G$7="30/360"),DAY(F211)=31),0,MIN(OFFSET(H211,-E211+1,0):H211)*(E211+SUMIF(OFFSET(A211,-E211+1,0):A211,"=2",OFFSET(A211,-E211+1,0):A211)))),IF(AND('депозитный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калькулятор'!$G$7="30/360"),DAY(EOMONTH(F211,0))=31),EOMONTH(F211,0)-1=F211,EOMONTH(F211,0)=F211)),IF(IF(AND(OR('депозитный калькулятор'!$G$7="30/365",'депозитный калькулятор'!$G$7="30/360"),DAY(EOMONTH($F$23,0))=31),F211=EOMONTH($F$23,0)-1,F211=EOMONTH($F$23,0)),MIN(OFFSET(H211,-(DAY(F211)-DAY($F$23)),0):H211)*E211,MIN(OFFSET(H211,-(DAY(F211)-1),0):H211)*IF(AND(OR('депозитный калькулятор'!$G$7="30/365",'депозитный калькулятор'!$G$7="30/360"),DAY(F211)&lt;30),30,DAY(F211))),IF(AND('депозитный калькулятор'!$G$10="ежемесячное, на средний остаток в течение месяца, при условии что остаток больше чем ограничение",F211='депозитный калькулятор'!$D$8,EOMONTH(F211,0)&lt;&gt;F211),IF('депозитный калькулятор'!$F$1=1,$H$24,SUM(OFFSET(Q211,-E211+1,0):Q211)),IF(AND('депозитный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калькулятор'!$G$7="30/360"),DAY(EOMONTH(F211,0))=31),EOMONTH(F211,0)-1=F211,EOMONTH(F211,0)=F211)),IF(IF(AND(OR('депозитный калькулятор'!$G$7="30/365",'депозитный калькулятор'!$G$7="30/360"),DAY(EOMONTH($F$24,0))=31),F211=EOMONTH($F$24,0)-1,F211=EOMONTH($F$24,0)),SUM(OFFSET(Q211,-E211+1,0):Q211),SUM(OFFSET(Q211,-E211+1,0):Q211)),IF('депозитный калькулятор'!$G$10="ежеквартальное",IF(F211&gt;'депозитный калькулятор'!$D$8," ",IF(AND(EOMONTH(F211,0)=F211,OR(MONTH(F211)=3,MONTH(F211)=6,MONTH(F211)=9,MONTH(F211)=12)),IF(EDATE(F211,-3)&lt;'депозитный калькулятор'!$D$7,SUM($H$23:H211),IF(MOD(YEAR(F211),4)=0,IF(AND(EOMONTH(F211,0)=F211,OR(MONTH(F211)=3,MONTH(F211)=6)),SUM(OFFSET(H211,-90,0):H211),IF(AND(EOMONTH(F211,0)=F211,OR(MONTH(F211)=9,MONTH(F211)=12)),SUM(OFFSET(H211,-91,0):H211))),IF(AND(EOMONTH(F211,0)=F211,MONTH(F211)=3),SUM(OFFSET(H211,-89,0):H211),IF(AND(EOMONTH(F211,0)=F211,MONTH(F211)=6),SUM(OFFSET(H211,-90,0):H211),IF(AND(EOMONTH(F211,0)=F211,OR(MONTH(F211)=9,MONTH(F211)=12)),SUM(OFFSET(H211,-91,0):H211)))))),IF(F211='депозитный калькулятор'!$D$8,SUM($H$23:H211)-SUM($I$23:I210),0))),IF('депозитный калькулятор'!$G$10="ежегодное",IF(F211&gt;'депозитный калькулятор'!$D$8," ",IF(F211='депозитный калькулятор'!$D$8,SUM($H$23:H211)-SUM($I$23:I210),IF(AND(EOMONTH(F211,0)=F211,MONTH(F211)=12),IF(MOD(YEAR(F210),4)=0,IF(F211-'депозитный калькулятор'!$D$7&lt;366,SUM($H$23:H211),SUM(OFFSET(H211,-365,0):H211)),IF(F211-'депозитный калькулятор'!$D$7&lt;365,SUM($H$23:H211),SUM(OFFSET(H211,-364,0):H211))),0))),IF(AND('депозитный калькулятор'!$G$10="в конце срока",'депозитный калькулятор'!$D$8=F211),SUM($H$23:H211),0))))))))))))))))))</f>
        <v xml:space="preserve"> </v>
      </c>
      <c r="J211" s="59" t="str">
        <f>IF(F211&gt;'депозитный калькулятор'!$D$8," ",IF('депозитный калькулятор'!$G$16="нет",0,IF(AND('депозитный калькулятор'!$G$17="разовая (в конце срока)",F211='депозитный калькулятор'!$D$8),'депозитный калькулятор'!$G$18,IF(AND('депозитный калькулятор'!$G$17="ежемесячная",EOMONTH(F210,0)=F210),'депозитный калькулятор'!$G$18,IF(AND('депозитный калькулятор'!$G$17="ежегодная",DAY(F210)=31,MONTH(F210)=12),'депозитный калькулятор'!$G$18,IF(AND('депозитный калькулятор'!$G$17="ежемесячная в зависимости от остатка",EOMONTH(F210,0)=F210,P210&gt;0),'депозитный калькулятор'!$G$18,IF(AND('депозитный калькулятор'!$G$17="ежегодная в зависимости от остатка",DAY(F210)=31,MONTH(F210)=12,P210&gt;0),'депозитный калькулятор'!$G$18,0)))))))</f>
        <v xml:space="preserve"> </v>
      </c>
      <c r="K211" s="135" t="str">
        <f>IF($F211=" "," ",IFERROR(VLOOKUP($F211,'депозитный калькулятор'!$B$26:$F$70,2,0),0))</f>
        <v xml:space="preserve"> </v>
      </c>
      <c r="L211" s="135" t="str">
        <f>IF($F211=" "," ",IFERROR(VLOOKUP($F211,'депозитный калькулятор'!$B$26:$F$70,3,0),0))</f>
        <v xml:space="preserve"> </v>
      </c>
      <c r="M211" s="135" t="str">
        <f>IF($F211=" "," ",IFERROR(VLOOKUP($F211,'депозитный калькулятор'!$B$26:$F$70,4,0),0))</f>
        <v xml:space="preserve"> </v>
      </c>
      <c r="N211" s="135" t="str">
        <f>IF($F211=" "," ",IFERROR(VLOOKUP($F211,'депозитный калькулятор'!$B$26:$F$70,5,0),0))</f>
        <v xml:space="preserve"> </v>
      </c>
      <c r="O211" s="146" t="str">
        <f>IF(F211&gt;'депозитный калькулятор'!$D$8," ",IF(F211='депозитный калькулятор'!$D$8,IF(AND($F$24='депозитный калькулятор'!$D$8,'депозитный калькулятор'!$G$13="нет"),-G211-IF(I211=" ",0,I211)-IF(AND(OR('депозитный калькулятор'!$G$7="30/365",'депозитный калькулятор'!$G$7="30/360"),'депозитный калькулятор'!$G$10="в начале срока"),I210,0)-L211+M211-N211,-G211-IF(I211=" ",0,I211)-L211+M211-N211),IF('депозитный калькулятор'!$G$13="есть",M211-N211+IF('депозитный калькулятор'!$G$14="есть",0,-L211),-IF(I211=" ",0,I211)-IF(AND(OR('депозитный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срока"),I210,0)+M211-N211+IF('депозитный калькулятор'!$G$14="есть",0,-L211))))</f>
        <v xml:space="preserve"> </v>
      </c>
      <c r="P211" s="147" t="str">
        <f>IF(F211&gt;'депозитный калькулятор'!$D$8," ",IF(EOMONTH(F210,0)=F210,0,IF(G211&gt;='депозитный калькулятор'!$G$19,P210,P210+1)))</f>
        <v xml:space="preserve"> </v>
      </c>
      <c r="Q211" s="138" t="str">
        <f>IF(F211=" "," ",IF(AND(OR('депозитный калькулятор'!$G$7="30/365",'депозитный калькулятор'!$G$7="30/360"),AND(MONTH(F211)=2,EOMONTH(F211,0)=F211)),IF(DAY(F211)=28,3,2),1)*IF(G211&gt;='депозитный калькулятор'!$G$11,IF(AND('депозитный калькулятор'!$G$7="факт/факт",MOD(YEAR(F211),4)=0),G211*'депозитный калькулятор'!$D$11/366,G211*'депозитный калькулятор'!$G$8),0))</f>
        <v xml:space="preserve"> </v>
      </c>
      <c r="R211" s="148"/>
      <c r="S211" s="62" t="str">
        <f t="shared" ca="1" si="12"/>
        <v xml:space="preserve"> </v>
      </c>
      <c r="T211" s="149" t="str">
        <f ca="1">IF(S211=" "," ",IF('депозитный калькулятор'!$G$7="30/360",DAYS360(U210,IF(DAY(U211)=31,U211-1,U211))+IF(AND(MONTH(U211)=2,U211=EOMONTH(U211,0)),30-DAY(EOMONTH(U211,0)))+T210,VLOOKUP(S211,$C$22:$F$1023,2,0)))</f>
        <v xml:space="preserve"> </v>
      </c>
      <c r="U211" s="64" t="str">
        <f t="shared" ca="1" si="10"/>
        <v xml:space="preserve"> </v>
      </c>
      <c r="V211" s="150" t="str">
        <f t="shared" ca="1" si="13"/>
        <v xml:space="preserve"> </v>
      </c>
      <c r="W211" s="62" t="str">
        <f t="shared" ca="1" si="14"/>
        <v xml:space="preserve"> </v>
      </c>
      <c r="X211" s="141" t="str">
        <f ca="1">IF(S211=" "," ",IFERROR(VLOOKUP(U211,$F$23:$N$1023,7)+VLOOKUP(U211,$F$23:$N$1023,9)+IF(AND('депозитный калькулятор'!$G$13="нет",U211&lt;&gt;'депозитный калькулятор'!$D$8),VLOOKUP(U211,$F$23:$N$1023,4),0),0)+IF(U211='депозитный калькулятор'!$D$8,VLOOKUP(U211,$F$23:$N$1023,2)+VLOOKUP(U211,$F$23:$N$1023,4),0))</f>
        <v xml:space="preserve"> </v>
      </c>
      <c r="Y211" s="142" t="str">
        <f ca="1">IF(S211=" "," ",W211/(1+'депозитный калькулятор'!$K$8)^(T211/IF('депозитный калькулятор'!$G$7="30/360",360,365)))</f>
        <v xml:space="preserve"> </v>
      </c>
      <c r="Z211" s="142" t="str">
        <f ca="1">IF(S211=" "," ",X211/(1+'депозитный калькулятор'!$K$8)^(T211/IF('депозитный калькулятор'!$G$7="30/360",360,365)))</f>
        <v xml:space="preserve"> </v>
      </c>
      <c r="AA211" s="151"/>
      <c r="AB211" s="151"/>
      <c r="AC211" s="155"/>
      <c r="AD211" s="155"/>
    </row>
    <row r="212" spans="1:30" s="2" customFormat="1" ht="15.5" x14ac:dyDescent="0.35">
      <c r="A212" s="41" t="str">
        <f>IF(F212=" "," ",IF(OR('депозитный калькулятор'!$G$7="30/365",'депозитный калькулятор'!$G$7="30/360"),IF(AND(MONTH(F212)=2,DAY(F212)=DAY(EOMONTH(F212,0))),30-DAY(EOMONTH(F212,0)),IF(DAY(F212)=31,1," "))," "))</f>
        <v xml:space="preserve"> </v>
      </c>
      <c r="B212" s="130" t="str">
        <f t="shared" si="11"/>
        <v xml:space="preserve"> </v>
      </c>
      <c r="C212" s="130" t="str">
        <f>IF(OR(B212=0,B212=" ")," ",SUM($B$23:B212))</f>
        <v xml:space="preserve"> </v>
      </c>
      <c r="D212" s="62" t="str">
        <f>IF(D211=" "," ",IF(OR(F211='депозитный калькулятор'!$D$8,F211=" ")," ",D211+1))</f>
        <v xml:space="preserve"> </v>
      </c>
      <c r="E212" s="130" t="str">
        <f>IF(OR(F211='депозитный калькулятор'!$D$8,F211=" ")," ",IF(EOMONTH(F211,0)=F211,1,E211+1))</f>
        <v xml:space="preserve"> </v>
      </c>
      <c r="F212" s="64" t="str">
        <f>IF(F211=" "," ",IF(F211='депозитный калькулятор'!$D$8," ",F211+1))</f>
        <v xml:space="preserve"> </v>
      </c>
      <c r="G212" s="145" t="str">
        <f xml:space="preserve"> IF(F212&gt;'депозитный калькулятор'!$D$8," ",IF('депозитный калькулятор'!$G$13="есть",IF('депозитный калькулятор'!$G$14="есть",G211+IF(I211=" ",0,I211)-J212-K212+L212+M212-N212,G211+IF(I211=" ",0,I211)-J212-K212+M212-N212),IF('депозитный калькулятор'!$G$14="есть",G211-J212-K212+L212+M212-N212,G211-J212-K212+M212-N212)))</f>
        <v xml:space="preserve"> </v>
      </c>
      <c r="H212" s="133" t="str">
        <f>IF(F212&gt;'депозитный калькулятор'!$D$8," ",IF(AND(OR('депозитный калькулятор'!$G$7="30/365",'депозитный калькулятор'!$G$7="30/360"),AND(MONTH(F212)=2,EOMONTH(F212,0)=F212)),IF(DAY(F212)=28,3*G212*'депозитный калькулятор'!$G$8,2*G212*'депозитный калькулятор'!$G$8),IF(AND(OR('депозитный калькулятор'!$G$7="30/365",'депозитный калькулятор'!$G$7="30/360"),DAY(F212)=31)," ",IF(AND('депозитный калькулятор'!$G$7="факт/факт",MOD(YEAR(F212),4)=0),G212*'депозитный калькулятор'!$D$11/366,G212*'депозитный калькулятор'!$G$8))))</f>
        <v xml:space="preserve"> </v>
      </c>
      <c r="I212" s="134" t="str">
        <f ca="1">IF(F212=" "," ",IF('депозитный калькулятор'!$G$10="ежедневное",H212,IF(AND('депозитный калькулятор'!$G$10="еженедельное",WEEKDAY(F212,2)=7),SUM(OFFSET(H212,-6,0):H212),IF(AND('депозитный калькулятор'!$G$10="еженедельное",F212='депозитный калькулятор'!$D$8),SUM($H$23:H212)-SUM($I$23:I211),IF(AND('депозитный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недели",WEEKDAY(F212,2)=7),MIN(OFFSET(H212,-6,0):H212)*(COUNTIF(OFFSET(H212,-6,0):H212,"&gt;0")+SUMIF(OFFSET(A212,-WEEKDAY(F212,2),0):A212,"=2",OFFSET(A212,-WEEKDAY(F212,2),0):A212)),IF(AND('депозитный калькулятор'!$G$10="еженедельное, на минимальную сумму зафиксированную в течение недели",F212='депозитный калькулятор'!$D$8,WEEKDAY(F212,2)&lt;&gt;7),MIN(OFFSET(H212,-WEEKDAY(F212,2),0):H212)*(COUNTIF(OFFSET(H212,-WEEKDAY(F212,2)+1,0):H212,"&gt;0")+SUM(OFFSET(A212,-WEEKDAY(F212,2),0):A212)),IF(AND('депозитный калькулятор'!$G$10="ежемесячное (в конце месяца)",F212='депозитный калькулятор'!$D$8,EOMONTH(F212,0)&lt;&gt;F212),IF('депозитный калькулятор'!$F$1=1,$H$24,SUM($H$23:H212)-SUM($I$23:I211)),IF(AND('депозитный калькулятор'!$G$10="ежемесячное (в конце месяца)",EOMONTH(F212,0)=F212),SUM($H$23:H212)-SUM($I$23:I211),IF(AND('депозитный калькулятор'!$G$10="ежемесячное (по дням открытия вклада)",F212='депозитный калькулятор'!$D$8,DAY('депозитный калькулятор'!$D$7)&lt;&gt;DAY(F212)),IF('депозитный калькулятор'!$F$1=1,$H$24,SUM($H$23:H212)-SUM($I$23:I211)),IF(AND('депозитный калькулятор'!$G$10="ежемесячное (по дням открытия вклада)",DAY('депозитный калькулятор'!$D$7)=DAY(F212)),SUM($H$23:H212)-SUM($I$23:I211),IF(AND('депозитный калькулятор'!$G$10="ежемесячное, на минимальную сумму зафиксированную в течение месяца",F212='депозитный калькулятор'!$D$8,EOMONTH(F212,0)&lt;&gt;F212),IF('депозитный калькулятор'!$F$1=1,$H$24,IF(AND(OR('депозитный калькулятор'!$G$7="30/365",'депозитный калькулятор'!$G$7="30/360"),DAY(F212)=31),0,MIN(OFFSET(H212,-E212+1,0):H212)*(E212+SUMIF(OFFSET(A212,-E212+1,0):A212,"=2",OFFSET(A212,-E212+1,0):A212)))),IF(AND('депозитный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калькулятор'!$G$7="30/360"),DAY(EOMONTH(F212,0))=31),EOMONTH(F212,0)-1=F212,EOMONTH(F212,0)=F212)),IF(IF(AND(OR('депозитный калькулятор'!$G$7="30/365",'депозитный калькулятор'!$G$7="30/360"),DAY(EOMONTH($F$23,0))=31),F212=EOMONTH($F$23,0)-1,F212=EOMONTH($F$23,0)),MIN(OFFSET(H212,-(DAY(F212)-DAY($F$23)),0):H212)*E212,MIN(OFFSET(H212,-(DAY(F212)-1),0):H212)*IF(AND(OR('депозитный калькулятор'!$G$7="30/365",'депозитный калькулятор'!$G$7="30/360"),DAY(F212)&lt;30),30,DAY(F212))),IF(AND('депозитный калькулятор'!$G$10="ежемесячное, на средний остаток в течение месяца, при условии что остаток больше чем ограничение",F212='депозитный калькулятор'!$D$8,EOMONTH(F212,0)&lt;&gt;F212),IF('депозитный калькулятор'!$F$1=1,$H$24,SUM(OFFSET(Q212,-E212+1,0):Q212)),IF(AND('депозитный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калькулятор'!$G$7="30/360"),DAY(EOMONTH(F212,0))=31),EOMONTH(F212,0)-1=F212,EOMONTH(F212,0)=F212)),IF(IF(AND(OR('депозитный калькулятор'!$G$7="30/365",'депозитный калькулятор'!$G$7="30/360"),DAY(EOMONTH($F$24,0))=31),F212=EOMONTH($F$24,0)-1,F212=EOMONTH($F$24,0)),SUM(OFFSET(Q212,-E212+1,0):Q212),SUM(OFFSET(Q212,-E212+1,0):Q212)),IF('депозитный калькулятор'!$G$10="ежеквартальное",IF(F212&gt;'депозитный калькулятор'!$D$8," ",IF(AND(EOMONTH(F212,0)=F212,OR(MONTH(F212)=3,MONTH(F212)=6,MONTH(F212)=9,MONTH(F212)=12)),IF(EDATE(F212,-3)&lt;'депозитный калькулятор'!$D$7,SUM($H$23:H212),IF(MOD(YEAR(F212),4)=0,IF(AND(EOMONTH(F212,0)=F212,OR(MONTH(F212)=3,MONTH(F212)=6)),SUM(OFFSET(H212,-90,0):H212),IF(AND(EOMONTH(F212,0)=F212,OR(MONTH(F212)=9,MONTH(F212)=12)),SUM(OFFSET(H212,-91,0):H212))),IF(AND(EOMONTH(F212,0)=F212,MONTH(F212)=3),SUM(OFFSET(H212,-89,0):H212),IF(AND(EOMONTH(F212,0)=F212,MONTH(F212)=6),SUM(OFFSET(H212,-90,0):H212),IF(AND(EOMONTH(F212,0)=F212,OR(MONTH(F212)=9,MONTH(F212)=12)),SUM(OFFSET(H212,-91,0):H212)))))),IF(F212='депозитный калькулятор'!$D$8,SUM($H$23:H212)-SUM($I$23:I211),0))),IF('депозитный калькулятор'!$G$10="ежегодное",IF(F212&gt;'депозитный калькулятор'!$D$8," ",IF(F212='депозитный калькулятор'!$D$8,SUM($H$23:H212)-SUM($I$23:I211),IF(AND(EOMONTH(F212,0)=F212,MONTH(F212)=12),IF(MOD(YEAR(F211),4)=0,IF(F212-'депозитный калькулятор'!$D$7&lt;366,SUM($H$23:H212),SUM(OFFSET(H212,-365,0):H212)),IF(F212-'депозитный калькулятор'!$D$7&lt;365,SUM($H$23:H212),SUM(OFFSET(H212,-364,0):H212))),0))),IF(AND('депозитный калькулятор'!$G$10="в конце срока",'депозитный калькулятор'!$D$8=F212),SUM($H$23:H212),0))))))))))))))))))</f>
        <v xml:space="preserve"> </v>
      </c>
      <c r="J212" s="59" t="str">
        <f>IF(F212&gt;'депозитный калькулятор'!$D$8," ",IF('депозитный калькулятор'!$G$16="нет",0,IF(AND('депозитный калькулятор'!$G$17="разовая (в конце срока)",F212='депозитный калькулятор'!$D$8),'депозитный калькулятор'!$G$18,IF(AND('депозитный калькулятор'!$G$17="ежемесячная",EOMONTH(F211,0)=F211),'депозитный калькулятор'!$G$18,IF(AND('депозитный калькулятор'!$G$17="ежегодная",DAY(F211)=31,MONTH(F211)=12),'депозитный калькулятор'!$G$18,IF(AND('депозитный калькулятор'!$G$17="ежемесячная в зависимости от остатка",EOMONTH(F211,0)=F211,P211&gt;0),'депозитный калькулятор'!$G$18,IF(AND('депозитный калькулятор'!$G$17="ежегодная в зависимости от остатка",DAY(F211)=31,MONTH(F211)=12,P211&gt;0),'депозитный калькулятор'!$G$18,0)))))))</f>
        <v xml:space="preserve"> </v>
      </c>
      <c r="K212" s="135" t="str">
        <f>IF($F212=" "," ",IFERROR(VLOOKUP($F212,'депозитный калькулятор'!$B$26:$F$70,2,0),0))</f>
        <v xml:space="preserve"> </v>
      </c>
      <c r="L212" s="135" t="str">
        <f>IF($F212=" "," ",IFERROR(VLOOKUP($F212,'депозитный калькулятор'!$B$26:$F$70,3,0),0))</f>
        <v xml:space="preserve"> </v>
      </c>
      <c r="M212" s="135" t="str">
        <f>IF($F212=" "," ",IFERROR(VLOOKUP($F212,'депозитный калькулятор'!$B$26:$F$70,4,0),0))</f>
        <v xml:space="preserve"> </v>
      </c>
      <c r="N212" s="135" t="str">
        <f>IF($F212=" "," ",IFERROR(VLOOKUP($F212,'депозитный калькулятор'!$B$26:$F$70,5,0),0))</f>
        <v xml:space="preserve"> </v>
      </c>
      <c r="O212" s="146" t="str">
        <f>IF(F212&gt;'депозитный калькулятор'!$D$8," ",IF(F212='депозитный калькулятор'!$D$8,IF(AND($F$24='депозитный калькулятор'!$D$8,'депозитный калькулятор'!$G$13="нет"),-G212-IF(I212=" ",0,I212)-IF(AND(OR('депозитный калькулятор'!$G$7="30/365",'депозитный калькулятор'!$G$7="30/360"),'депозитный калькулятор'!$G$10="в начале срока"),I211,0)-L212+M212-N212,-G212-IF(I212=" ",0,I212)-L212+M212-N212),IF('депозитный калькулятор'!$G$13="есть",M212-N212+IF('депозитный калькулятор'!$G$14="есть",0,-L212),-IF(I212=" ",0,I212)-IF(AND(OR('депозитный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срока"),I211,0)+M212-N212+IF('депозитный калькулятор'!$G$14="есть",0,-L212))))</f>
        <v xml:space="preserve"> </v>
      </c>
      <c r="P212" s="147" t="str">
        <f>IF(F212&gt;'депозитный калькулятор'!$D$8," ",IF(EOMONTH(F211,0)=F211,0,IF(G212&gt;='депозитный калькулятор'!$G$19,P211,P211+1)))</f>
        <v xml:space="preserve"> </v>
      </c>
      <c r="Q212" s="138" t="str">
        <f>IF(F212=" "," ",IF(AND(OR('депозитный калькулятор'!$G$7="30/365",'депозитный калькулятор'!$G$7="30/360"),AND(MONTH(F212)=2,EOMONTH(F212,0)=F212)),IF(DAY(F212)=28,3,2),1)*IF(G212&gt;='депозитный калькулятор'!$G$11,IF(AND('депозитный калькулятор'!$G$7="факт/факт",MOD(YEAR(F212),4)=0),G212*'депозитный калькулятор'!$D$11/366,G212*'депозитный калькулятор'!$G$8),0))</f>
        <v xml:space="preserve"> </v>
      </c>
      <c r="R212" s="148"/>
      <c r="S212" s="62" t="str">
        <f t="shared" ca="1" si="12"/>
        <v xml:space="preserve"> </v>
      </c>
      <c r="T212" s="149" t="str">
        <f ca="1">IF(S212=" "," ",IF('депозитный калькулятор'!$G$7="30/360",DAYS360(U211,IF(DAY(U212)=31,U212-1,U212))+IF(AND(MONTH(U212)=2,U212=EOMONTH(U212,0)),30-DAY(EOMONTH(U212,0)))+T211,VLOOKUP(S212,$C$22:$F$1023,2,0)))</f>
        <v xml:space="preserve"> </v>
      </c>
      <c r="U212" s="64" t="str">
        <f t="shared" ca="1" si="10"/>
        <v xml:space="preserve"> </v>
      </c>
      <c r="V212" s="150" t="str">
        <f t="shared" ca="1" si="13"/>
        <v xml:space="preserve"> </v>
      </c>
      <c r="W212" s="62" t="str">
        <f t="shared" ca="1" si="14"/>
        <v xml:space="preserve"> </v>
      </c>
      <c r="X212" s="141" t="str">
        <f ca="1">IF(S212=" "," ",IFERROR(VLOOKUP(U212,$F$23:$N$1023,7)+VLOOKUP(U212,$F$23:$N$1023,9)+IF(AND('депозитный калькулятор'!$G$13="нет",U212&lt;&gt;'депозитный калькулятор'!$D$8),VLOOKUP(U212,$F$23:$N$1023,4),0),0)+IF(U212='депозитный калькулятор'!$D$8,VLOOKUP(U212,$F$23:$N$1023,2)+VLOOKUP(U212,$F$23:$N$1023,4),0))</f>
        <v xml:space="preserve"> </v>
      </c>
      <c r="Y212" s="142" t="str">
        <f ca="1">IF(S212=" "," ",W212/(1+'депозитный калькулятор'!$K$8)^(T212/IF('депозитный калькулятор'!$G$7="30/360",360,365)))</f>
        <v xml:space="preserve"> </v>
      </c>
      <c r="Z212" s="142" t="str">
        <f ca="1">IF(S212=" "," ",X212/(1+'депозитный калькулятор'!$K$8)^(T212/IF('депозитный калькулятор'!$G$7="30/360",360,365)))</f>
        <v xml:space="preserve"> </v>
      </c>
      <c r="AA212" s="151"/>
      <c r="AB212" s="151"/>
      <c r="AC212" s="155"/>
      <c r="AD212" s="155"/>
    </row>
    <row r="213" spans="1:30" s="2" customFormat="1" ht="15.5" x14ac:dyDescent="0.35">
      <c r="A213" s="41" t="str">
        <f>IF(F213=" "," ",IF(OR('депозитный калькулятор'!$G$7="30/365",'депозитный калькулятор'!$G$7="30/360"),IF(AND(MONTH(F213)=2,DAY(F213)=DAY(EOMONTH(F213,0))),30-DAY(EOMONTH(F213,0)),IF(DAY(F213)=31,1," "))," "))</f>
        <v xml:space="preserve"> </v>
      </c>
      <c r="B213" s="130" t="str">
        <f t="shared" si="11"/>
        <v xml:space="preserve"> </v>
      </c>
      <c r="C213" s="130" t="str">
        <f>IF(OR(B213=0,B213=" ")," ",SUM($B$23:B213))</f>
        <v xml:space="preserve"> </v>
      </c>
      <c r="D213" s="62" t="str">
        <f>IF(D212=" "," ",IF(OR(F212='депозитный калькулятор'!$D$8,F212=" ")," ",D212+1))</f>
        <v xml:space="preserve"> </v>
      </c>
      <c r="E213" s="130" t="str">
        <f>IF(OR(F212='депозитный калькулятор'!$D$8,F212=" ")," ",IF(EOMONTH(F212,0)=F212,1,E212+1))</f>
        <v xml:space="preserve"> </v>
      </c>
      <c r="F213" s="64" t="str">
        <f>IF(F212=" "," ",IF(F212='депозитный калькулятор'!$D$8," ",F212+1))</f>
        <v xml:space="preserve"> </v>
      </c>
      <c r="G213" s="145" t="str">
        <f xml:space="preserve"> IF(F213&gt;'депозитный калькулятор'!$D$8," ",IF('депозитный калькулятор'!$G$13="есть",IF('депозитный калькулятор'!$G$14="есть",G212+IF(I212=" ",0,I212)-J213-K213+L213+M213-N213,G212+IF(I212=" ",0,I212)-J213-K213+M213-N213),IF('депозитный калькулятор'!$G$14="есть",G212-J213-K213+L213+M213-N213,G212-J213-K213+M213-N213)))</f>
        <v xml:space="preserve"> </v>
      </c>
      <c r="H213" s="133" t="str">
        <f>IF(F213&gt;'депозитный калькулятор'!$D$8," ",IF(AND(OR('депозитный калькулятор'!$G$7="30/365",'депозитный калькулятор'!$G$7="30/360"),AND(MONTH(F213)=2,EOMONTH(F213,0)=F213)),IF(DAY(F213)=28,3*G213*'депозитный калькулятор'!$G$8,2*G213*'депозитный калькулятор'!$G$8),IF(AND(OR('депозитный калькулятор'!$G$7="30/365",'депозитный калькулятор'!$G$7="30/360"),DAY(F213)=31)," ",IF(AND('депозитный калькулятор'!$G$7="факт/факт",MOD(YEAR(F213),4)=0),G213*'депозитный калькулятор'!$D$11/366,G213*'депозитный калькулятор'!$G$8))))</f>
        <v xml:space="preserve"> </v>
      </c>
      <c r="I213" s="134" t="str">
        <f ca="1">IF(F213=" "," ",IF('депозитный калькулятор'!$G$10="ежедневное",H213,IF(AND('депозитный калькулятор'!$G$10="еженедельное",WEEKDAY(F213,2)=7),SUM(OFFSET(H213,-6,0):H213),IF(AND('депозитный калькулятор'!$G$10="еженедельное",F213='депозитный калькулятор'!$D$8),SUM($H$23:H213)-SUM($I$23:I212),IF(AND('депозитный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недели",WEEKDAY(F213,2)=7),MIN(OFFSET(H213,-6,0):H213)*(COUNTIF(OFFSET(H213,-6,0):H213,"&gt;0")+SUMIF(OFFSET(A213,-WEEKDAY(F213,2),0):A213,"=2",OFFSET(A213,-WEEKDAY(F213,2),0):A213)),IF(AND('депозитный калькулятор'!$G$10="еженедельное, на минимальную сумму зафиксированную в течение недели",F213='депозитный калькулятор'!$D$8,WEEKDAY(F213,2)&lt;&gt;7),MIN(OFFSET(H213,-WEEKDAY(F213,2),0):H213)*(COUNTIF(OFFSET(H213,-WEEKDAY(F213,2)+1,0):H213,"&gt;0")+SUM(OFFSET(A213,-WEEKDAY(F213,2),0):A213)),IF(AND('депозитный калькулятор'!$G$10="ежемесячное (в конце месяца)",F213='депозитный калькулятор'!$D$8,EOMONTH(F213,0)&lt;&gt;F213),IF('депозитный калькулятор'!$F$1=1,$H$24,SUM($H$23:H213)-SUM($I$23:I212)),IF(AND('депозитный калькулятор'!$G$10="ежемесячное (в конце месяца)",EOMONTH(F213,0)=F213),SUM($H$23:H213)-SUM($I$23:I212),IF(AND('депозитный калькулятор'!$G$10="ежемесячное (по дням открытия вклада)",F213='депозитный калькулятор'!$D$8,DAY('депозитный калькулятор'!$D$7)&lt;&gt;DAY(F213)),IF('депозитный калькулятор'!$F$1=1,$H$24,SUM($H$23:H213)-SUM($I$23:I212)),IF(AND('депозитный калькулятор'!$G$10="ежемесячное (по дням открытия вклада)",DAY('депозитный калькулятор'!$D$7)=DAY(F213)),SUM($H$23:H213)-SUM($I$23:I212),IF(AND('депозитный калькулятор'!$G$10="ежемесячное, на минимальную сумму зафиксированную в течение месяца",F213='депозитный калькулятор'!$D$8,EOMONTH(F213,0)&lt;&gt;F213),IF('депозитный калькулятор'!$F$1=1,$H$24,IF(AND(OR('депозитный калькулятор'!$G$7="30/365",'депозитный калькулятор'!$G$7="30/360"),DAY(F213)=31),0,MIN(OFFSET(H213,-E213+1,0):H213)*(E213+SUMIF(OFFSET(A213,-E213+1,0):A213,"=2",OFFSET(A213,-E213+1,0):A213)))),IF(AND('депозитный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калькулятор'!$G$7="30/360"),DAY(EOMONTH(F213,0))=31),EOMONTH(F213,0)-1=F213,EOMONTH(F213,0)=F213)),IF(IF(AND(OR('депозитный калькулятор'!$G$7="30/365",'депозитный калькулятор'!$G$7="30/360"),DAY(EOMONTH($F$23,0))=31),F213=EOMONTH($F$23,0)-1,F213=EOMONTH($F$23,0)),MIN(OFFSET(H213,-(DAY(F213)-DAY($F$23)),0):H213)*E213,MIN(OFFSET(H213,-(DAY(F213)-1),0):H213)*IF(AND(OR('депозитный калькулятор'!$G$7="30/365",'депозитный калькулятор'!$G$7="30/360"),DAY(F213)&lt;30),30,DAY(F213))),IF(AND('депозитный калькулятор'!$G$10="ежемесячное, на средний остаток в течение месяца, при условии что остаток больше чем ограничение",F213='депозитный калькулятор'!$D$8,EOMONTH(F213,0)&lt;&gt;F213),IF('депозитный калькулятор'!$F$1=1,$H$24,SUM(OFFSET(Q213,-E213+1,0):Q213)),IF(AND('депозитный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калькулятор'!$G$7="30/360"),DAY(EOMONTH(F213,0))=31),EOMONTH(F213,0)-1=F213,EOMONTH(F213,0)=F213)),IF(IF(AND(OR('депозитный калькулятор'!$G$7="30/365",'депозитный калькулятор'!$G$7="30/360"),DAY(EOMONTH($F$24,0))=31),F213=EOMONTH($F$24,0)-1,F213=EOMONTH($F$24,0)),SUM(OFFSET(Q213,-E213+1,0):Q213),SUM(OFFSET(Q213,-E213+1,0):Q213)),IF('депозитный калькулятор'!$G$10="ежеквартальное",IF(F213&gt;'депозитный калькулятор'!$D$8," ",IF(AND(EOMONTH(F213,0)=F213,OR(MONTH(F213)=3,MONTH(F213)=6,MONTH(F213)=9,MONTH(F213)=12)),IF(EDATE(F213,-3)&lt;'депозитный калькулятор'!$D$7,SUM($H$23:H213),IF(MOD(YEAR(F213),4)=0,IF(AND(EOMONTH(F213,0)=F213,OR(MONTH(F213)=3,MONTH(F213)=6)),SUM(OFFSET(H213,-90,0):H213),IF(AND(EOMONTH(F213,0)=F213,OR(MONTH(F213)=9,MONTH(F213)=12)),SUM(OFFSET(H213,-91,0):H213))),IF(AND(EOMONTH(F213,0)=F213,MONTH(F213)=3),SUM(OFFSET(H213,-89,0):H213),IF(AND(EOMONTH(F213,0)=F213,MONTH(F213)=6),SUM(OFFSET(H213,-90,0):H213),IF(AND(EOMONTH(F213,0)=F213,OR(MONTH(F213)=9,MONTH(F213)=12)),SUM(OFFSET(H213,-91,0):H213)))))),IF(F213='депозитный калькулятор'!$D$8,SUM($H$23:H213)-SUM($I$23:I212),0))),IF('депозитный калькулятор'!$G$10="ежегодное",IF(F213&gt;'депозитный калькулятор'!$D$8," ",IF(F213='депозитный калькулятор'!$D$8,SUM($H$23:H213)-SUM($I$23:I212),IF(AND(EOMONTH(F213,0)=F213,MONTH(F213)=12),IF(MOD(YEAR(F212),4)=0,IF(F213-'депозитный калькулятор'!$D$7&lt;366,SUM($H$23:H213),SUM(OFFSET(H213,-365,0):H213)),IF(F213-'депозитный калькулятор'!$D$7&lt;365,SUM($H$23:H213),SUM(OFFSET(H213,-364,0):H213))),0))),IF(AND('депозитный калькулятор'!$G$10="в конце срока",'депозитный калькулятор'!$D$8=F213),SUM($H$23:H213),0))))))))))))))))))</f>
        <v xml:space="preserve"> </v>
      </c>
      <c r="J213" s="59" t="str">
        <f>IF(F213&gt;'депозитный калькулятор'!$D$8," ",IF('депозитный калькулятор'!$G$16="нет",0,IF(AND('депозитный калькулятор'!$G$17="разовая (в конце срока)",F213='депозитный калькулятор'!$D$8),'депозитный калькулятор'!$G$18,IF(AND('депозитный калькулятор'!$G$17="ежемесячная",EOMONTH(F212,0)=F212),'депозитный калькулятор'!$G$18,IF(AND('депозитный калькулятор'!$G$17="ежегодная",DAY(F212)=31,MONTH(F212)=12),'депозитный калькулятор'!$G$18,IF(AND('депозитный калькулятор'!$G$17="ежемесячная в зависимости от остатка",EOMONTH(F212,0)=F212,P212&gt;0),'депозитный калькулятор'!$G$18,IF(AND('депозитный калькулятор'!$G$17="ежегодная в зависимости от остатка",DAY(F212)=31,MONTH(F212)=12,P212&gt;0),'депозитный калькулятор'!$G$18,0)))))))</f>
        <v xml:space="preserve"> </v>
      </c>
      <c r="K213" s="135" t="str">
        <f>IF($F213=" "," ",IFERROR(VLOOKUP($F213,'депозитный калькулятор'!$B$26:$F$70,2,0),0))</f>
        <v xml:space="preserve"> </v>
      </c>
      <c r="L213" s="135" t="str">
        <f>IF($F213=" "," ",IFERROR(VLOOKUP($F213,'депозитный калькулятор'!$B$26:$F$70,3,0),0))</f>
        <v xml:space="preserve"> </v>
      </c>
      <c r="M213" s="135" t="str">
        <f>IF($F213=" "," ",IFERROR(VLOOKUP($F213,'депозитный калькулятор'!$B$26:$F$70,4,0),0))</f>
        <v xml:space="preserve"> </v>
      </c>
      <c r="N213" s="135" t="str">
        <f>IF($F213=" "," ",IFERROR(VLOOKUP($F213,'депозитный калькулятор'!$B$26:$F$70,5,0),0))</f>
        <v xml:space="preserve"> </v>
      </c>
      <c r="O213" s="146" t="str">
        <f>IF(F213&gt;'депозитный калькулятор'!$D$8," ",IF(F213='депозитный калькулятор'!$D$8,IF(AND($F$24='депозитный калькулятор'!$D$8,'депозитный калькулятор'!$G$13="нет"),-G213-IF(I213=" ",0,I213)-IF(AND(OR('депозитный калькулятор'!$G$7="30/365",'депозитный калькулятор'!$G$7="30/360"),'депозитный калькулятор'!$G$10="в начале срока"),I212,0)-L213+M213-N213,-G213-IF(I213=" ",0,I213)-L213+M213-N213),IF('депозитный калькулятор'!$G$13="есть",M213-N213+IF('депозитный калькулятор'!$G$14="есть",0,-L213),-IF(I213=" ",0,I213)-IF(AND(OR('депозитный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срока"),I212,0)+M213-N213+IF('депозитный калькулятор'!$G$14="есть",0,-L213))))</f>
        <v xml:space="preserve"> </v>
      </c>
      <c r="P213" s="147" t="str">
        <f>IF(F213&gt;'депозитный калькулятор'!$D$8," ",IF(EOMONTH(F212,0)=F212,0,IF(G213&gt;='депозитный калькулятор'!$G$19,P212,P212+1)))</f>
        <v xml:space="preserve"> </v>
      </c>
      <c r="Q213" s="138" t="str">
        <f>IF(F213=" "," ",IF(AND(OR('депозитный калькулятор'!$G$7="30/365",'депозитный калькулятор'!$G$7="30/360"),AND(MONTH(F213)=2,EOMONTH(F213,0)=F213)),IF(DAY(F213)=28,3,2),1)*IF(G213&gt;='депозитный калькулятор'!$G$11,IF(AND('депозитный калькулятор'!$G$7="факт/факт",MOD(YEAR(F213),4)=0),G213*'депозитный калькулятор'!$D$11/366,G213*'депозитный калькулятор'!$G$8),0))</f>
        <v xml:space="preserve"> </v>
      </c>
      <c r="R213" s="148"/>
      <c r="S213" s="62" t="str">
        <f t="shared" ca="1" si="12"/>
        <v xml:space="preserve"> </v>
      </c>
      <c r="T213" s="149" t="str">
        <f ca="1">IF(S213=" "," ",IF('депозитный калькулятор'!$G$7="30/360",DAYS360(U212,IF(DAY(U213)=31,U213-1,U213))+IF(AND(MONTH(U213)=2,U213=EOMONTH(U213,0)),30-DAY(EOMONTH(U213,0)))+T212,VLOOKUP(S213,$C$22:$F$1023,2,0)))</f>
        <v xml:space="preserve"> </v>
      </c>
      <c r="U213" s="64" t="str">
        <f t="shared" ca="1" si="10"/>
        <v xml:space="preserve"> </v>
      </c>
      <c r="V213" s="150" t="str">
        <f t="shared" ca="1" si="13"/>
        <v xml:space="preserve"> </v>
      </c>
      <c r="W213" s="62" t="str">
        <f t="shared" ca="1" si="14"/>
        <v xml:space="preserve"> </v>
      </c>
      <c r="X213" s="141" t="str">
        <f ca="1">IF(S213=" "," ",IFERROR(VLOOKUP(U213,$F$23:$N$1023,7)+VLOOKUP(U213,$F$23:$N$1023,9)+IF(AND('депозитный калькулятор'!$G$13="нет",U213&lt;&gt;'депозитный калькулятор'!$D$8),VLOOKUP(U213,$F$23:$N$1023,4),0),0)+IF(U213='депозитный калькулятор'!$D$8,VLOOKUP(U213,$F$23:$N$1023,2)+VLOOKUP(U213,$F$23:$N$1023,4),0))</f>
        <v xml:space="preserve"> </v>
      </c>
      <c r="Y213" s="142" t="str">
        <f ca="1">IF(S213=" "," ",W213/(1+'депозитный калькулятор'!$K$8)^(T213/IF('депозитный калькулятор'!$G$7="30/360",360,365)))</f>
        <v xml:space="preserve"> </v>
      </c>
      <c r="Z213" s="142" t="str">
        <f ca="1">IF(S213=" "," ",X213/(1+'депозитный калькулятор'!$K$8)^(T213/IF('депозитный калькулятор'!$G$7="30/360",360,365)))</f>
        <v xml:space="preserve"> </v>
      </c>
      <c r="AA213" s="151"/>
      <c r="AB213" s="151"/>
      <c r="AC213" s="155"/>
      <c r="AD213" s="155"/>
    </row>
    <row r="214" spans="1:30" s="2" customFormat="1" ht="15.5" x14ac:dyDescent="0.35">
      <c r="A214" s="41" t="str">
        <f>IF(F214=" "," ",IF(OR('депозитный калькулятор'!$G$7="30/365",'депозитный калькулятор'!$G$7="30/360"),IF(AND(MONTH(F214)=2,DAY(F214)=DAY(EOMONTH(F214,0))),30-DAY(EOMONTH(F214,0)),IF(DAY(F214)=31,1," "))," "))</f>
        <v xml:space="preserve"> </v>
      </c>
      <c r="B214" s="130" t="str">
        <f t="shared" si="11"/>
        <v xml:space="preserve"> </v>
      </c>
      <c r="C214" s="130" t="str">
        <f>IF(OR(B214=0,B214=" ")," ",SUM($B$23:B214))</f>
        <v xml:space="preserve"> </v>
      </c>
      <c r="D214" s="62" t="str">
        <f>IF(D213=" "," ",IF(OR(F213='депозитный калькулятор'!$D$8,F213=" ")," ",D213+1))</f>
        <v xml:space="preserve"> </v>
      </c>
      <c r="E214" s="130" t="str">
        <f>IF(OR(F213='депозитный калькулятор'!$D$8,F213=" ")," ",IF(EOMONTH(F213,0)=F213,1,E213+1))</f>
        <v xml:space="preserve"> </v>
      </c>
      <c r="F214" s="64" t="str">
        <f>IF(F213=" "," ",IF(F213='депозитный калькулятор'!$D$8," ",F213+1))</f>
        <v xml:space="preserve"> </v>
      </c>
      <c r="G214" s="145" t="str">
        <f xml:space="preserve"> IF(F214&gt;'депозитный калькулятор'!$D$8," ",IF('депозитный калькулятор'!$G$13="есть",IF('депозитный калькулятор'!$G$14="есть",G213+IF(I213=" ",0,I213)-J214-K214+L214+M214-N214,G213+IF(I213=" ",0,I213)-J214-K214+M214-N214),IF('депозитный калькулятор'!$G$14="есть",G213-J214-K214+L214+M214-N214,G213-J214-K214+M214-N214)))</f>
        <v xml:space="preserve"> </v>
      </c>
      <c r="H214" s="133" t="str">
        <f>IF(F214&gt;'депозитный калькулятор'!$D$8," ",IF(AND(OR('депозитный калькулятор'!$G$7="30/365",'депозитный калькулятор'!$G$7="30/360"),AND(MONTH(F214)=2,EOMONTH(F214,0)=F214)),IF(DAY(F214)=28,3*G214*'депозитный калькулятор'!$G$8,2*G214*'депозитный калькулятор'!$G$8),IF(AND(OR('депозитный калькулятор'!$G$7="30/365",'депозитный калькулятор'!$G$7="30/360"),DAY(F214)=31)," ",IF(AND('депозитный калькулятор'!$G$7="факт/факт",MOD(YEAR(F214),4)=0),G214*'депозитный калькулятор'!$D$11/366,G214*'депозитный калькулятор'!$G$8))))</f>
        <v xml:space="preserve"> </v>
      </c>
      <c r="I214" s="134" t="str">
        <f ca="1">IF(F214=" "," ",IF('депозитный калькулятор'!$G$10="ежедневное",H214,IF(AND('депозитный калькулятор'!$G$10="еженедельное",WEEKDAY(F214,2)=7),SUM(OFFSET(H214,-6,0):H214),IF(AND('депозитный калькулятор'!$G$10="еженедельное",F214='депозитный калькулятор'!$D$8),SUM($H$23:H214)-SUM($I$23:I213),IF(AND('депозитный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недели",WEEKDAY(F214,2)=7),MIN(OFFSET(H214,-6,0):H214)*(COUNTIF(OFFSET(H214,-6,0):H214,"&gt;0")+SUMIF(OFFSET(A214,-WEEKDAY(F214,2),0):A214,"=2",OFFSET(A214,-WEEKDAY(F214,2),0):A214)),IF(AND('депозитный калькулятор'!$G$10="еженедельное, на минимальную сумму зафиксированную в течение недели",F214='депозитный калькулятор'!$D$8,WEEKDAY(F214,2)&lt;&gt;7),MIN(OFFSET(H214,-WEEKDAY(F214,2),0):H214)*(COUNTIF(OFFSET(H214,-WEEKDAY(F214,2)+1,0):H214,"&gt;0")+SUM(OFFSET(A214,-WEEKDAY(F214,2),0):A214)),IF(AND('депозитный калькулятор'!$G$10="ежемесячное (в конце месяца)",F214='депозитный калькулятор'!$D$8,EOMONTH(F214,0)&lt;&gt;F214),IF('депозитный калькулятор'!$F$1=1,$H$24,SUM($H$23:H214)-SUM($I$23:I213)),IF(AND('депозитный калькулятор'!$G$10="ежемесячное (в конце месяца)",EOMONTH(F214,0)=F214),SUM($H$23:H214)-SUM($I$23:I213),IF(AND('депозитный калькулятор'!$G$10="ежемесячное (по дням открытия вклада)",F214='депозитный калькулятор'!$D$8,DAY('депозитный калькулятор'!$D$7)&lt;&gt;DAY(F214)),IF('депозитный калькулятор'!$F$1=1,$H$24,SUM($H$23:H214)-SUM($I$23:I213)),IF(AND('депозитный калькулятор'!$G$10="ежемесячное (по дням открытия вклада)",DAY('депозитный калькулятор'!$D$7)=DAY(F214)),SUM($H$23:H214)-SUM($I$23:I213),IF(AND('депозитный калькулятор'!$G$10="ежемесячное, на минимальную сумму зафиксированную в течение месяца",F214='депозитный калькулятор'!$D$8,EOMONTH(F214,0)&lt;&gt;F214),IF('депозитный калькулятор'!$F$1=1,$H$24,IF(AND(OR('депозитный калькулятор'!$G$7="30/365",'депозитный калькулятор'!$G$7="30/360"),DAY(F214)=31),0,MIN(OFFSET(H214,-E214+1,0):H214)*(E214+SUMIF(OFFSET(A214,-E214+1,0):A214,"=2",OFFSET(A214,-E214+1,0):A214)))),IF(AND('депозитный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калькулятор'!$G$7="30/360"),DAY(EOMONTH(F214,0))=31),EOMONTH(F214,0)-1=F214,EOMONTH(F214,0)=F214)),IF(IF(AND(OR('депозитный калькулятор'!$G$7="30/365",'депозитный калькулятор'!$G$7="30/360"),DAY(EOMONTH($F$23,0))=31),F214=EOMONTH($F$23,0)-1,F214=EOMONTH($F$23,0)),MIN(OFFSET(H214,-(DAY(F214)-DAY($F$23)),0):H214)*E214,MIN(OFFSET(H214,-(DAY(F214)-1),0):H214)*IF(AND(OR('депозитный калькулятор'!$G$7="30/365",'депозитный калькулятор'!$G$7="30/360"),DAY(F214)&lt;30),30,DAY(F214))),IF(AND('депозитный калькулятор'!$G$10="ежемесячное, на средний остаток в течение месяца, при условии что остаток больше чем ограничение",F214='депозитный калькулятор'!$D$8,EOMONTH(F214,0)&lt;&gt;F214),IF('депозитный калькулятор'!$F$1=1,$H$24,SUM(OFFSET(Q214,-E214+1,0):Q214)),IF(AND('депозитный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калькулятор'!$G$7="30/360"),DAY(EOMONTH(F214,0))=31),EOMONTH(F214,0)-1=F214,EOMONTH(F214,0)=F214)),IF(IF(AND(OR('депозитный калькулятор'!$G$7="30/365",'депозитный калькулятор'!$G$7="30/360"),DAY(EOMONTH($F$24,0))=31),F214=EOMONTH($F$24,0)-1,F214=EOMONTH($F$24,0)),SUM(OFFSET(Q214,-E214+1,0):Q214),SUM(OFFSET(Q214,-E214+1,0):Q214)),IF('депозитный калькулятор'!$G$10="ежеквартальное",IF(F214&gt;'депозитный калькулятор'!$D$8," ",IF(AND(EOMONTH(F214,0)=F214,OR(MONTH(F214)=3,MONTH(F214)=6,MONTH(F214)=9,MONTH(F214)=12)),IF(EDATE(F214,-3)&lt;'депозитный калькулятор'!$D$7,SUM($H$23:H214),IF(MOD(YEAR(F214),4)=0,IF(AND(EOMONTH(F214,0)=F214,OR(MONTH(F214)=3,MONTH(F214)=6)),SUM(OFFSET(H214,-90,0):H214),IF(AND(EOMONTH(F214,0)=F214,OR(MONTH(F214)=9,MONTH(F214)=12)),SUM(OFFSET(H214,-91,0):H214))),IF(AND(EOMONTH(F214,0)=F214,MONTH(F214)=3),SUM(OFFSET(H214,-89,0):H214),IF(AND(EOMONTH(F214,0)=F214,MONTH(F214)=6),SUM(OFFSET(H214,-90,0):H214),IF(AND(EOMONTH(F214,0)=F214,OR(MONTH(F214)=9,MONTH(F214)=12)),SUM(OFFSET(H214,-91,0):H214)))))),IF(F214='депозитный калькулятор'!$D$8,SUM($H$23:H214)-SUM($I$23:I213),0))),IF('депозитный калькулятор'!$G$10="ежегодное",IF(F214&gt;'депозитный калькулятор'!$D$8," ",IF(F214='депозитный калькулятор'!$D$8,SUM($H$23:H214)-SUM($I$23:I213),IF(AND(EOMONTH(F214,0)=F214,MONTH(F214)=12),IF(MOD(YEAR(F213),4)=0,IF(F214-'депозитный калькулятор'!$D$7&lt;366,SUM($H$23:H214),SUM(OFFSET(H214,-365,0):H214)),IF(F214-'депозитный калькулятор'!$D$7&lt;365,SUM($H$23:H214),SUM(OFFSET(H214,-364,0):H214))),0))),IF(AND('депозитный калькулятор'!$G$10="в конце срока",'депозитный калькулятор'!$D$8=F214),SUM($H$23:H214),0))))))))))))))))))</f>
        <v xml:space="preserve"> </v>
      </c>
      <c r="J214" s="59" t="str">
        <f>IF(F214&gt;'депозитный калькулятор'!$D$8," ",IF('депозитный калькулятор'!$G$16="нет",0,IF(AND('депозитный калькулятор'!$G$17="разовая (в конце срока)",F214='депозитный калькулятор'!$D$8),'депозитный калькулятор'!$G$18,IF(AND('депозитный калькулятор'!$G$17="ежемесячная",EOMONTH(F213,0)=F213),'депозитный калькулятор'!$G$18,IF(AND('депозитный калькулятор'!$G$17="ежегодная",DAY(F213)=31,MONTH(F213)=12),'депозитный калькулятор'!$G$18,IF(AND('депозитный калькулятор'!$G$17="ежемесячная в зависимости от остатка",EOMONTH(F213,0)=F213,P213&gt;0),'депозитный калькулятор'!$G$18,IF(AND('депозитный калькулятор'!$G$17="ежегодная в зависимости от остатка",DAY(F213)=31,MONTH(F213)=12,P213&gt;0),'депозитный калькулятор'!$G$18,0)))))))</f>
        <v xml:space="preserve"> </v>
      </c>
      <c r="K214" s="135" t="str">
        <f>IF($F214=" "," ",IFERROR(VLOOKUP($F214,'депозитный калькулятор'!$B$26:$F$70,2,0),0))</f>
        <v xml:space="preserve"> </v>
      </c>
      <c r="L214" s="135" t="str">
        <f>IF($F214=" "," ",IFERROR(VLOOKUP($F214,'депозитный калькулятор'!$B$26:$F$70,3,0),0))</f>
        <v xml:space="preserve"> </v>
      </c>
      <c r="M214" s="135" t="str">
        <f>IF($F214=" "," ",IFERROR(VLOOKUP($F214,'депозитный калькулятор'!$B$26:$F$70,4,0),0))</f>
        <v xml:space="preserve"> </v>
      </c>
      <c r="N214" s="135" t="str">
        <f>IF($F214=" "," ",IFERROR(VLOOKUP($F214,'депозитный калькулятор'!$B$26:$F$70,5,0),0))</f>
        <v xml:space="preserve"> </v>
      </c>
      <c r="O214" s="146" t="str">
        <f>IF(F214&gt;'депозитный калькулятор'!$D$8," ",IF(F214='депозитный калькулятор'!$D$8,IF(AND($F$24='депозитный калькулятор'!$D$8,'депозитный калькулятор'!$G$13="нет"),-G214-IF(I214=" ",0,I214)-IF(AND(OR('депозитный калькулятор'!$G$7="30/365",'депозитный калькулятор'!$G$7="30/360"),'депозитный калькулятор'!$G$10="в начале срока"),I213,0)-L214+M214-N214,-G214-IF(I214=" ",0,I214)-L214+M214-N214),IF('депозитный калькулятор'!$G$13="есть",M214-N214+IF('депозитный калькулятор'!$G$14="есть",0,-L214),-IF(I214=" ",0,I214)-IF(AND(OR('депозитный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срока"),I213,0)+M214-N214+IF('депозитный калькулятор'!$G$14="есть",0,-L214))))</f>
        <v xml:space="preserve"> </v>
      </c>
      <c r="P214" s="147" t="str">
        <f>IF(F214&gt;'депозитный калькулятор'!$D$8," ",IF(EOMONTH(F213,0)=F213,0,IF(G214&gt;='депозитный калькулятор'!$G$19,P213,P213+1)))</f>
        <v xml:space="preserve"> </v>
      </c>
      <c r="Q214" s="138" t="str">
        <f>IF(F214=" "," ",IF(AND(OR('депозитный калькулятор'!$G$7="30/365",'депозитный калькулятор'!$G$7="30/360"),AND(MONTH(F214)=2,EOMONTH(F214,0)=F214)),IF(DAY(F214)=28,3,2),1)*IF(G214&gt;='депозитный калькулятор'!$G$11,IF(AND('депозитный калькулятор'!$G$7="факт/факт",MOD(YEAR(F214),4)=0),G214*'депозитный калькулятор'!$D$11/366,G214*'депозитный калькулятор'!$G$8),0))</f>
        <v xml:space="preserve"> </v>
      </c>
      <c r="R214" s="148"/>
      <c r="S214" s="62" t="str">
        <f t="shared" ca="1" si="12"/>
        <v xml:space="preserve"> </v>
      </c>
      <c r="T214" s="149" t="str">
        <f ca="1">IF(S214=" "," ",IF('депозитный калькулятор'!$G$7="30/360",DAYS360(U213,IF(DAY(U214)=31,U214-1,U214))+IF(AND(MONTH(U214)=2,U214=EOMONTH(U214,0)),30-DAY(EOMONTH(U214,0)))+T213,VLOOKUP(S214,$C$22:$F$1023,2,0)))</f>
        <v xml:space="preserve"> </v>
      </c>
      <c r="U214" s="64" t="str">
        <f t="shared" ca="1" si="10"/>
        <v xml:space="preserve"> </v>
      </c>
      <c r="V214" s="150" t="str">
        <f t="shared" ca="1" si="13"/>
        <v xml:space="preserve"> </v>
      </c>
      <c r="W214" s="62" t="str">
        <f t="shared" ca="1" si="14"/>
        <v xml:space="preserve"> </v>
      </c>
      <c r="X214" s="141" t="str">
        <f ca="1">IF(S214=" "," ",IFERROR(VLOOKUP(U214,$F$23:$N$1023,7)+VLOOKUP(U214,$F$23:$N$1023,9)+IF(AND('депозитный калькулятор'!$G$13="нет",U214&lt;&gt;'депозитный калькулятор'!$D$8),VLOOKUP(U214,$F$23:$N$1023,4),0),0)+IF(U214='депозитный калькулятор'!$D$8,VLOOKUP(U214,$F$23:$N$1023,2)+VLOOKUP(U214,$F$23:$N$1023,4),0))</f>
        <v xml:space="preserve"> </v>
      </c>
      <c r="Y214" s="142" t="str">
        <f ca="1">IF(S214=" "," ",W214/(1+'депозитный калькулятор'!$K$8)^(T214/IF('депозитный калькулятор'!$G$7="30/360",360,365)))</f>
        <v xml:space="preserve"> </v>
      </c>
      <c r="Z214" s="142" t="str">
        <f ca="1">IF(S214=" "," ",X214/(1+'депозитный калькулятор'!$K$8)^(T214/IF('депозитный калькулятор'!$G$7="30/360",360,365)))</f>
        <v xml:space="preserve"> </v>
      </c>
      <c r="AA214" s="151"/>
      <c r="AB214" s="151"/>
      <c r="AC214" s="155"/>
      <c r="AD214" s="155"/>
    </row>
    <row r="215" spans="1:30" s="2" customFormat="1" ht="15.5" x14ac:dyDescent="0.35">
      <c r="A215" s="41" t="str">
        <f>IF(F215=" "," ",IF(OR('депозитный калькулятор'!$G$7="30/365",'депозитный калькулятор'!$G$7="30/360"),IF(AND(MONTH(F215)=2,DAY(F215)=DAY(EOMONTH(F215,0))),30-DAY(EOMONTH(F215,0)),IF(DAY(F215)=31,1," "))," "))</f>
        <v xml:space="preserve"> </v>
      </c>
      <c r="B215" s="130" t="str">
        <f t="shared" si="11"/>
        <v xml:space="preserve"> </v>
      </c>
      <c r="C215" s="130" t="str">
        <f>IF(OR(B215=0,B215=" ")," ",SUM($B$23:B215))</f>
        <v xml:space="preserve"> </v>
      </c>
      <c r="D215" s="62" t="str">
        <f>IF(D214=" "," ",IF(OR(F214='депозитный калькулятор'!$D$8,F214=" ")," ",D214+1))</f>
        <v xml:space="preserve"> </v>
      </c>
      <c r="E215" s="130" t="str">
        <f>IF(OR(F214='депозитный калькулятор'!$D$8,F214=" ")," ",IF(EOMONTH(F214,0)=F214,1,E214+1))</f>
        <v xml:space="preserve"> </v>
      </c>
      <c r="F215" s="64" t="str">
        <f>IF(F214=" "," ",IF(F214='депозитный калькулятор'!$D$8," ",F214+1))</f>
        <v xml:space="preserve"> </v>
      </c>
      <c r="G215" s="145" t="str">
        <f xml:space="preserve"> IF(F215&gt;'депозитный калькулятор'!$D$8," ",IF('депозитный калькулятор'!$G$13="есть",IF('депозитный калькулятор'!$G$14="есть",G214+IF(I214=" ",0,I214)-J215-K215+L215+M215-N215,G214+IF(I214=" ",0,I214)-J215-K215+M215-N215),IF('депозитный калькулятор'!$G$14="есть",G214-J215-K215+L215+M215-N215,G214-J215-K215+M215-N215)))</f>
        <v xml:space="preserve"> </v>
      </c>
      <c r="H215" s="133" t="str">
        <f>IF(F215&gt;'депозитный калькулятор'!$D$8," ",IF(AND(OR('депозитный калькулятор'!$G$7="30/365",'депозитный калькулятор'!$G$7="30/360"),AND(MONTH(F215)=2,EOMONTH(F215,0)=F215)),IF(DAY(F215)=28,3*G215*'депозитный калькулятор'!$G$8,2*G215*'депозитный калькулятор'!$G$8),IF(AND(OR('депозитный калькулятор'!$G$7="30/365",'депозитный калькулятор'!$G$7="30/360"),DAY(F215)=31)," ",IF(AND('депозитный калькулятор'!$G$7="факт/факт",MOD(YEAR(F215),4)=0),G215*'депозитный калькулятор'!$D$11/366,G215*'депозитный калькулятор'!$G$8))))</f>
        <v xml:space="preserve"> </v>
      </c>
      <c r="I215" s="134" t="str">
        <f ca="1">IF(F215=" "," ",IF('депозитный калькулятор'!$G$10="ежедневное",H215,IF(AND('депозитный калькулятор'!$G$10="еженедельное",WEEKDAY(F215,2)=7),SUM(OFFSET(H215,-6,0):H215),IF(AND('депозитный калькулятор'!$G$10="еженедельное",F215='депозитный калькулятор'!$D$8),SUM($H$23:H215)-SUM($I$23:I214),IF(AND('депозитный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недели",WEEKDAY(F215,2)=7),MIN(OFFSET(H215,-6,0):H215)*(COUNTIF(OFFSET(H215,-6,0):H215,"&gt;0")+SUMIF(OFFSET(A215,-WEEKDAY(F215,2),0):A215,"=2",OFFSET(A215,-WEEKDAY(F215,2),0):A215)),IF(AND('депозитный калькулятор'!$G$10="еженедельное, на минимальную сумму зафиксированную в течение недели",F215='депозитный калькулятор'!$D$8,WEEKDAY(F215,2)&lt;&gt;7),MIN(OFFSET(H215,-WEEKDAY(F215,2),0):H215)*(COUNTIF(OFFSET(H215,-WEEKDAY(F215,2)+1,0):H215,"&gt;0")+SUM(OFFSET(A215,-WEEKDAY(F215,2),0):A215)),IF(AND('депозитный калькулятор'!$G$10="ежемесячное (в конце месяца)",F215='депозитный калькулятор'!$D$8,EOMONTH(F215,0)&lt;&gt;F215),IF('депозитный калькулятор'!$F$1=1,$H$24,SUM($H$23:H215)-SUM($I$23:I214)),IF(AND('депозитный калькулятор'!$G$10="ежемесячное (в конце месяца)",EOMONTH(F215,0)=F215),SUM($H$23:H215)-SUM($I$23:I214),IF(AND('депозитный калькулятор'!$G$10="ежемесячное (по дням открытия вклада)",F215='депозитный калькулятор'!$D$8,DAY('депозитный калькулятор'!$D$7)&lt;&gt;DAY(F215)),IF('депозитный калькулятор'!$F$1=1,$H$24,SUM($H$23:H215)-SUM($I$23:I214)),IF(AND('депозитный калькулятор'!$G$10="ежемесячное (по дням открытия вклада)",DAY('депозитный калькулятор'!$D$7)=DAY(F215)),SUM($H$23:H215)-SUM($I$23:I214),IF(AND('депозитный калькулятор'!$G$10="ежемесячное, на минимальную сумму зафиксированную в течение месяца",F215='депозитный калькулятор'!$D$8,EOMONTH(F215,0)&lt;&gt;F215),IF('депозитный калькулятор'!$F$1=1,$H$24,IF(AND(OR('депозитный калькулятор'!$G$7="30/365",'депозитный калькулятор'!$G$7="30/360"),DAY(F215)=31),0,MIN(OFFSET(H215,-E215+1,0):H215)*(E215+SUMIF(OFFSET(A215,-E215+1,0):A215,"=2",OFFSET(A215,-E215+1,0):A215)))),IF(AND('депозитный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калькулятор'!$G$7="30/360"),DAY(EOMONTH(F215,0))=31),EOMONTH(F215,0)-1=F215,EOMONTH(F215,0)=F215)),IF(IF(AND(OR('депозитный калькулятор'!$G$7="30/365",'депозитный калькулятор'!$G$7="30/360"),DAY(EOMONTH($F$23,0))=31),F215=EOMONTH($F$23,0)-1,F215=EOMONTH($F$23,0)),MIN(OFFSET(H215,-(DAY(F215)-DAY($F$23)),0):H215)*E215,MIN(OFFSET(H215,-(DAY(F215)-1),0):H215)*IF(AND(OR('депозитный калькулятор'!$G$7="30/365",'депозитный калькулятор'!$G$7="30/360"),DAY(F215)&lt;30),30,DAY(F215))),IF(AND('депозитный калькулятор'!$G$10="ежемесячное, на средний остаток в течение месяца, при условии что остаток больше чем ограничение",F215='депозитный калькулятор'!$D$8,EOMONTH(F215,0)&lt;&gt;F215),IF('депозитный калькулятор'!$F$1=1,$H$24,SUM(OFFSET(Q215,-E215+1,0):Q215)),IF(AND('депозитный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калькулятор'!$G$7="30/360"),DAY(EOMONTH(F215,0))=31),EOMONTH(F215,0)-1=F215,EOMONTH(F215,0)=F215)),IF(IF(AND(OR('депозитный калькулятор'!$G$7="30/365",'депозитный калькулятор'!$G$7="30/360"),DAY(EOMONTH($F$24,0))=31),F215=EOMONTH($F$24,0)-1,F215=EOMONTH($F$24,0)),SUM(OFFSET(Q215,-E215+1,0):Q215),SUM(OFFSET(Q215,-E215+1,0):Q215)),IF('депозитный калькулятор'!$G$10="ежеквартальное",IF(F215&gt;'депозитный калькулятор'!$D$8," ",IF(AND(EOMONTH(F215,0)=F215,OR(MONTH(F215)=3,MONTH(F215)=6,MONTH(F215)=9,MONTH(F215)=12)),IF(EDATE(F215,-3)&lt;'депозитный калькулятор'!$D$7,SUM($H$23:H215),IF(MOD(YEAR(F215),4)=0,IF(AND(EOMONTH(F215,0)=F215,OR(MONTH(F215)=3,MONTH(F215)=6)),SUM(OFFSET(H215,-90,0):H215),IF(AND(EOMONTH(F215,0)=F215,OR(MONTH(F215)=9,MONTH(F215)=12)),SUM(OFFSET(H215,-91,0):H215))),IF(AND(EOMONTH(F215,0)=F215,MONTH(F215)=3),SUM(OFFSET(H215,-89,0):H215),IF(AND(EOMONTH(F215,0)=F215,MONTH(F215)=6),SUM(OFFSET(H215,-90,0):H215),IF(AND(EOMONTH(F215,0)=F215,OR(MONTH(F215)=9,MONTH(F215)=12)),SUM(OFFSET(H215,-91,0):H215)))))),IF(F215='депозитный калькулятор'!$D$8,SUM($H$23:H215)-SUM($I$23:I214),0))),IF('депозитный калькулятор'!$G$10="ежегодное",IF(F215&gt;'депозитный калькулятор'!$D$8," ",IF(F215='депозитный калькулятор'!$D$8,SUM($H$23:H215)-SUM($I$23:I214),IF(AND(EOMONTH(F215,0)=F215,MONTH(F215)=12),IF(MOD(YEAR(F214),4)=0,IF(F215-'депозитный калькулятор'!$D$7&lt;366,SUM($H$23:H215),SUM(OFFSET(H215,-365,0):H215)),IF(F215-'депозитный калькулятор'!$D$7&lt;365,SUM($H$23:H215),SUM(OFFSET(H215,-364,0):H215))),0))),IF(AND('депозитный калькулятор'!$G$10="в конце срока",'депозитный калькулятор'!$D$8=F215),SUM($H$23:H215),0))))))))))))))))))</f>
        <v xml:space="preserve"> </v>
      </c>
      <c r="J215" s="59" t="str">
        <f>IF(F215&gt;'депозитный калькулятор'!$D$8," ",IF('депозитный калькулятор'!$G$16="нет",0,IF(AND('депозитный калькулятор'!$G$17="разовая (в конце срока)",F215='депозитный калькулятор'!$D$8),'депозитный калькулятор'!$G$18,IF(AND('депозитный калькулятор'!$G$17="ежемесячная",EOMONTH(F214,0)=F214),'депозитный калькулятор'!$G$18,IF(AND('депозитный калькулятор'!$G$17="ежегодная",DAY(F214)=31,MONTH(F214)=12),'депозитный калькулятор'!$G$18,IF(AND('депозитный калькулятор'!$G$17="ежемесячная в зависимости от остатка",EOMONTH(F214,0)=F214,P214&gt;0),'депозитный калькулятор'!$G$18,IF(AND('депозитный калькулятор'!$G$17="ежегодная в зависимости от остатка",DAY(F214)=31,MONTH(F214)=12,P214&gt;0),'депозитный калькулятор'!$G$18,0)))))))</f>
        <v xml:space="preserve"> </v>
      </c>
      <c r="K215" s="135" t="str">
        <f>IF($F215=" "," ",IFERROR(VLOOKUP($F215,'депозитный калькулятор'!$B$26:$F$70,2,0),0))</f>
        <v xml:space="preserve"> </v>
      </c>
      <c r="L215" s="135" t="str">
        <f>IF($F215=" "," ",IFERROR(VLOOKUP($F215,'депозитный калькулятор'!$B$26:$F$70,3,0),0))</f>
        <v xml:space="preserve"> </v>
      </c>
      <c r="M215" s="135" t="str">
        <f>IF($F215=" "," ",IFERROR(VLOOKUP($F215,'депозитный калькулятор'!$B$26:$F$70,4,0),0))</f>
        <v xml:space="preserve"> </v>
      </c>
      <c r="N215" s="135" t="str">
        <f>IF($F215=" "," ",IFERROR(VLOOKUP($F215,'депозитный калькулятор'!$B$26:$F$70,5,0),0))</f>
        <v xml:space="preserve"> </v>
      </c>
      <c r="O215" s="146" t="str">
        <f>IF(F215&gt;'депозитный калькулятор'!$D$8," ",IF(F215='депозитный калькулятор'!$D$8,IF(AND($F$24='депозитный калькулятор'!$D$8,'депозитный калькулятор'!$G$13="нет"),-G215-IF(I215=" ",0,I215)-IF(AND(OR('депозитный калькулятор'!$G$7="30/365",'депозитный калькулятор'!$G$7="30/360"),'депозитный калькулятор'!$G$10="в начале срока"),I214,0)-L215+M215-N215,-G215-IF(I215=" ",0,I215)-L215+M215-N215),IF('депозитный калькулятор'!$G$13="есть",M215-N215+IF('депозитный калькулятор'!$G$14="есть",0,-L215),-IF(I215=" ",0,I215)-IF(AND(OR('депозитный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срока"),I214,0)+M215-N215+IF('депозитный калькулятор'!$G$14="есть",0,-L215))))</f>
        <v xml:space="preserve"> </v>
      </c>
      <c r="P215" s="147" t="str">
        <f>IF(F215&gt;'депозитный калькулятор'!$D$8," ",IF(EOMONTH(F214,0)=F214,0,IF(G215&gt;='депозитный калькулятор'!$G$19,P214,P214+1)))</f>
        <v xml:space="preserve"> </v>
      </c>
      <c r="Q215" s="138" t="str">
        <f>IF(F215=" "," ",IF(AND(OR('депозитный калькулятор'!$G$7="30/365",'депозитный калькулятор'!$G$7="30/360"),AND(MONTH(F215)=2,EOMONTH(F215,0)=F215)),IF(DAY(F215)=28,3,2),1)*IF(G215&gt;='депозитный калькулятор'!$G$11,IF(AND('депозитный калькулятор'!$G$7="факт/факт",MOD(YEAR(F215),4)=0),G215*'депозитный калькулятор'!$D$11/366,G215*'депозитный калькулятор'!$G$8),0))</f>
        <v xml:space="preserve"> </v>
      </c>
      <c r="R215" s="148"/>
      <c r="S215" s="62" t="str">
        <f t="shared" ca="1" si="12"/>
        <v xml:space="preserve"> </v>
      </c>
      <c r="T215" s="149" t="str">
        <f ca="1">IF(S215=" "," ",IF('депозитный калькулятор'!$G$7="30/360",DAYS360(U214,IF(DAY(U215)=31,U215-1,U215))+IF(AND(MONTH(U215)=2,U215=EOMONTH(U215,0)),30-DAY(EOMONTH(U215,0)))+T214,VLOOKUP(S215,$C$22:$F$1023,2,0)))</f>
        <v xml:space="preserve"> </v>
      </c>
      <c r="U215" s="64" t="str">
        <f t="shared" ref="U215:U278" ca="1" si="15">IF(S215=" "," ",VLOOKUP(S215,$C$22:$F$1023,4,0))</f>
        <v xml:space="preserve"> </v>
      </c>
      <c r="V215" s="150" t="str">
        <f t="shared" ca="1" si="13"/>
        <v xml:space="preserve"> </v>
      </c>
      <c r="W215" s="62" t="str">
        <f t="shared" ca="1" si="14"/>
        <v xml:space="preserve"> </v>
      </c>
      <c r="X215" s="141" t="str">
        <f ca="1">IF(S215=" "," ",IFERROR(VLOOKUP(U215,$F$23:$N$1023,7)+VLOOKUP(U215,$F$23:$N$1023,9)+IF(AND('депозитный калькулятор'!$G$13="нет",U215&lt;&gt;'депозитный калькулятор'!$D$8),VLOOKUP(U215,$F$23:$N$1023,4),0),0)+IF(U215='депозитный калькулятор'!$D$8,VLOOKUP(U215,$F$23:$N$1023,2)+VLOOKUP(U215,$F$23:$N$1023,4),0))</f>
        <v xml:space="preserve"> </v>
      </c>
      <c r="Y215" s="142" t="str">
        <f ca="1">IF(S215=" "," ",W215/(1+'депозитный калькулятор'!$K$8)^(T215/IF('депозитный калькулятор'!$G$7="30/360",360,365)))</f>
        <v xml:space="preserve"> </v>
      </c>
      <c r="Z215" s="142" t="str">
        <f ca="1">IF(S215=" "," ",X215/(1+'депозитный калькулятор'!$K$8)^(T215/IF('депозитный калькулятор'!$G$7="30/360",360,365)))</f>
        <v xml:space="preserve"> </v>
      </c>
      <c r="AA215" s="151"/>
      <c r="AB215" s="151"/>
      <c r="AC215" s="155"/>
      <c r="AD215" s="155"/>
    </row>
    <row r="216" spans="1:30" s="2" customFormat="1" ht="15.5" x14ac:dyDescent="0.35">
      <c r="A216" s="41" t="str">
        <f>IF(F216=" "," ",IF(OR('депозитный калькулятор'!$G$7="30/365",'депозитный калькулятор'!$G$7="30/360"),IF(AND(MONTH(F216)=2,DAY(F216)=DAY(EOMONTH(F216,0))),30-DAY(EOMONTH(F216,0)),IF(DAY(F216)=31,1," "))," "))</f>
        <v xml:space="preserve"> </v>
      </c>
      <c r="B216" s="130" t="str">
        <f t="shared" ref="B216:B279" si="16">IF(F216=" "," ",IF(O216&lt;&gt;0,1,0))</f>
        <v xml:space="preserve"> </v>
      </c>
      <c r="C216" s="130" t="str">
        <f>IF(OR(B216=0,B216=" ")," ",SUM($B$23:B216))</f>
        <v xml:space="preserve"> </v>
      </c>
      <c r="D216" s="62" t="str">
        <f>IF(D215=" "," ",IF(OR(F215='депозитный калькулятор'!$D$8,F215=" ")," ",D215+1))</f>
        <v xml:space="preserve"> </v>
      </c>
      <c r="E216" s="130" t="str">
        <f>IF(OR(F215='депозитный калькулятор'!$D$8,F215=" ")," ",IF(EOMONTH(F215,0)=F215,1,E215+1))</f>
        <v xml:space="preserve"> </v>
      </c>
      <c r="F216" s="64" t="str">
        <f>IF(F215=" "," ",IF(F215='депозитный калькулятор'!$D$8," ",F215+1))</f>
        <v xml:space="preserve"> </v>
      </c>
      <c r="G216" s="145" t="str">
        <f xml:space="preserve"> IF(F216&gt;'депозитный калькулятор'!$D$8," ",IF('депозитный калькулятор'!$G$13="есть",IF('депозитный калькулятор'!$G$14="есть",G215+IF(I215=" ",0,I215)-J216-K216+L216+M216-N216,G215+IF(I215=" ",0,I215)-J216-K216+M216-N216),IF('депозитный калькулятор'!$G$14="есть",G215-J216-K216+L216+M216-N216,G215-J216-K216+M216-N216)))</f>
        <v xml:space="preserve"> </v>
      </c>
      <c r="H216" s="133" t="str">
        <f>IF(F216&gt;'депозитный калькулятор'!$D$8," ",IF(AND(OR('депозитный калькулятор'!$G$7="30/365",'депозитный калькулятор'!$G$7="30/360"),AND(MONTH(F216)=2,EOMONTH(F216,0)=F216)),IF(DAY(F216)=28,3*G216*'депозитный калькулятор'!$G$8,2*G216*'депозитный калькулятор'!$G$8),IF(AND(OR('депозитный калькулятор'!$G$7="30/365",'депозитный калькулятор'!$G$7="30/360"),DAY(F216)=31)," ",IF(AND('депозитный калькулятор'!$G$7="факт/факт",MOD(YEAR(F216),4)=0),G216*'депозитный калькулятор'!$D$11/366,G216*'депозитный калькулятор'!$G$8))))</f>
        <v xml:space="preserve"> </v>
      </c>
      <c r="I216" s="134" t="str">
        <f ca="1">IF(F216=" "," ",IF('депозитный калькулятор'!$G$10="ежедневное",H216,IF(AND('депозитный калькулятор'!$G$10="еженедельное",WEEKDAY(F216,2)=7),SUM(OFFSET(H216,-6,0):H216),IF(AND('депозитный калькулятор'!$G$10="еженедельное",F216='депозитный калькулятор'!$D$8),SUM($H$23:H216)-SUM($I$23:I215),IF(AND('депозитный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недели",WEEKDAY(F216,2)=7),MIN(OFFSET(H216,-6,0):H216)*(COUNTIF(OFFSET(H216,-6,0):H216,"&gt;0")+SUMIF(OFFSET(A216,-WEEKDAY(F216,2),0):A216,"=2",OFFSET(A216,-WEEKDAY(F216,2),0):A216)),IF(AND('депозитный калькулятор'!$G$10="еженедельное, на минимальную сумму зафиксированную в течение недели",F216='депозитный калькулятор'!$D$8,WEEKDAY(F216,2)&lt;&gt;7),MIN(OFFSET(H216,-WEEKDAY(F216,2),0):H216)*(COUNTIF(OFFSET(H216,-WEEKDAY(F216,2)+1,0):H216,"&gt;0")+SUM(OFFSET(A216,-WEEKDAY(F216,2),0):A216)),IF(AND('депозитный калькулятор'!$G$10="ежемесячное (в конце месяца)",F216='депозитный калькулятор'!$D$8,EOMONTH(F216,0)&lt;&gt;F216),IF('депозитный калькулятор'!$F$1=1,$H$24,SUM($H$23:H216)-SUM($I$23:I215)),IF(AND('депозитный калькулятор'!$G$10="ежемесячное (в конце месяца)",EOMONTH(F216,0)=F216),SUM($H$23:H216)-SUM($I$23:I215),IF(AND('депозитный калькулятор'!$G$10="ежемесячное (по дням открытия вклада)",F216='депозитный калькулятор'!$D$8,DAY('депозитный калькулятор'!$D$7)&lt;&gt;DAY(F216)),IF('депозитный калькулятор'!$F$1=1,$H$24,SUM($H$23:H216)-SUM($I$23:I215)),IF(AND('депозитный калькулятор'!$G$10="ежемесячное (по дням открытия вклада)",DAY('депозитный калькулятор'!$D$7)=DAY(F216)),SUM($H$23:H216)-SUM($I$23:I215),IF(AND('депозитный калькулятор'!$G$10="ежемесячное, на минимальную сумму зафиксированную в течение месяца",F216='депозитный калькулятор'!$D$8,EOMONTH(F216,0)&lt;&gt;F216),IF('депозитный калькулятор'!$F$1=1,$H$24,IF(AND(OR('депозитный калькулятор'!$G$7="30/365",'депозитный калькулятор'!$G$7="30/360"),DAY(F216)=31),0,MIN(OFFSET(H216,-E216+1,0):H216)*(E216+SUMIF(OFFSET(A216,-E216+1,0):A216,"=2",OFFSET(A216,-E216+1,0):A216)))),IF(AND('депозитный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калькулятор'!$G$7="30/360"),DAY(EOMONTH(F216,0))=31),EOMONTH(F216,0)-1=F216,EOMONTH(F216,0)=F216)),IF(IF(AND(OR('депозитный калькулятор'!$G$7="30/365",'депозитный калькулятор'!$G$7="30/360"),DAY(EOMONTH($F$23,0))=31),F216=EOMONTH($F$23,0)-1,F216=EOMONTH($F$23,0)),MIN(OFFSET(H216,-(DAY(F216)-DAY($F$23)),0):H216)*E216,MIN(OFFSET(H216,-(DAY(F216)-1),0):H216)*IF(AND(OR('депозитный калькулятор'!$G$7="30/365",'депозитный калькулятор'!$G$7="30/360"),DAY(F216)&lt;30),30,DAY(F216))),IF(AND('депозитный калькулятор'!$G$10="ежемесячное, на средний остаток в течение месяца, при условии что остаток больше чем ограничение",F216='депозитный калькулятор'!$D$8,EOMONTH(F216,0)&lt;&gt;F216),IF('депозитный калькулятор'!$F$1=1,$H$24,SUM(OFFSET(Q216,-E216+1,0):Q216)),IF(AND('депозитный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калькулятор'!$G$7="30/360"),DAY(EOMONTH(F216,0))=31),EOMONTH(F216,0)-1=F216,EOMONTH(F216,0)=F216)),IF(IF(AND(OR('депозитный калькулятор'!$G$7="30/365",'депозитный калькулятор'!$G$7="30/360"),DAY(EOMONTH($F$24,0))=31),F216=EOMONTH($F$24,0)-1,F216=EOMONTH($F$24,0)),SUM(OFFSET(Q216,-E216+1,0):Q216),SUM(OFFSET(Q216,-E216+1,0):Q216)),IF('депозитный калькулятор'!$G$10="ежеквартальное",IF(F216&gt;'депозитный калькулятор'!$D$8," ",IF(AND(EOMONTH(F216,0)=F216,OR(MONTH(F216)=3,MONTH(F216)=6,MONTH(F216)=9,MONTH(F216)=12)),IF(EDATE(F216,-3)&lt;'депозитный калькулятор'!$D$7,SUM($H$23:H216),IF(MOD(YEAR(F216),4)=0,IF(AND(EOMONTH(F216,0)=F216,OR(MONTH(F216)=3,MONTH(F216)=6)),SUM(OFFSET(H216,-90,0):H216),IF(AND(EOMONTH(F216,0)=F216,OR(MONTH(F216)=9,MONTH(F216)=12)),SUM(OFFSET(H216,-91,0):H216))),IF(AND(EOMONTH(F216,0)=F216,MONTH(F216)=3),SUM(OFFSET(H216,-89,0):H216),IF(AND(EOMONTH(F216,0)=F216,MONTH(F216)=6),SUM(OFFSET(H216,-90,0):H216),IF(AND(EOMONTH(F216,0)=F216,OR(MONTH(F216)=9,MONTH(F216)=12)),SUM(OFFSET(H216,-91,0):H216)))))),IF(F216='депозитный калькулятор'!$D$8,SUM($H$23:H216)-SUM($I$23:I215),0))),IF('депозитный калькулятор'!$G$10="ежегодное",IF(F216&gt;'депозитный калькулятор'!$D$8," ",IF(F216='депозитный калькулятор'!$D$8,SUM($H$23:H216)-SUM($I$23:I215),IF(AND(EOMONTH(F216,0)=F216,MONTH(F216)=12),IF(MOD(YEAR(F215),4)=0,IF(F216-'депозитный калькулятор'!$D$7&lt;366,SUM($H$23:H216),SUM(OFFSET(H216,-365,0):H216)),IF(F216-'депозитный калькулятор'!$D$7&lt;365,SUM($H$23:H216),SUM(OFFSET(H216,-364,0):H216))),0))),IF(AND('депозитный калькулятор'!$G$10="в конце срока",'депозитный калькулятор'!$D$8=F216),SUM($H$23:H216),0))))))))))))))))))</f>
        <v xml:space="preserve"> </v>
      </c>
      <c r="J216" s="59" t="str">
        <f>IF(F216&gt;'депозитный калькулятор'!$D$8," ",IF('депозитный калькулятор'!$G$16="нет",0,IF(AND('депозитный калькулятор'!$G$17="разовая (в конце срока)",F216='депозитный калькулятор'!$D$8),'депозитный калькулятор'!$G$18,IF(AND('депозитный калькулятор'!$G$17="ежемесячная",EOMONTH(F215,0)=F215),'депозитный калькулятор'!$G$18,IF(AND('депозитный калькулятор'!$G$17="ежегодная",DAY(F215)=31,MONTH(F215)=12),'депозитный калькулятор'!$G$18,IF(AND('депозитный калькулятор'!$G$17="ежемесячная в зависимости от остатка",EOMONTH(F215,0)=F215,P215&gt;0),'депозитный калькулятор'!$G$18,IF(AND('депозитный калькулятор'!$G$17="ежегодная в зависимости от остатка",DAY(F215)=31,MONTH(F215)=12,P215&gt;0),'депозитный калькулятор'!$G$18,0)))))))</f>
        <v xml:space="preserve"> </v>
      </c>
      <c r="K216" s="135" t="str">
        <f>IF($F216=" "," ",IFERROR(VLOOKUP($F216,'депозитный калькулятор'!$B$26:$F$70,2,0),0))</f>
        <v xml:space="preserve"> </v>
      </c>
      <c r="L216" s="135" t="str">
        <f>IF($F216=" "," ",IFERROR(VLOOKUP($F216,'депозитный калькулятор'!$B$26:$F$70,3,0),0))</f>
        <v xml:space="preserve"> </v>
      </c>
      <c r="M216" s="135" t="str">
        <f>IF($F216=" "," ",IFERROR(VLOOKUP($F216,'депозитный калькулятор'!$B$26:$F$70,4,0),0))</f>
        <v xml:space="preserve"> </v>
      </c>
      <c r="N216" s="135" t="str">
        <f>IF($F216=" "," ",IFERROR(VLOOKUP($F216,'депозитный калькулятор'!$B$26:$F$70,5,0),0))</f>
        <v xml:space="preserve"> </v>
      </c>
      <c r="O216" s="146" t="str">
        <f>IF(F216&gt;'депозитный калькулятор'!$D$8," ",IF(F216='депозитный калькулятор'!$D$8,IF(AND($F$24='депозитный калькулятор'!$D$8,'депозитный калькулятор'!$G$13="нет"),-G216-IF(I216=" ",0,I216)-IF(AND(OR('депозитный калькулятор'!$G$7="30/365",'депозитный калькулятор'!$G$7="30/360"),'депозитный калькулятор'!$G$10="в начале срока"),I215,0)-L216+M216-N216,-G216-IF(I216=" ",0,I216)-L216+M216-N216),IF('депозитный калькулятор'!$G$13="есть",M216-N216+IF('депозитный калькулятор'!$G$14="есть",0,-L216),-IF(I216=" ",0,I216)-IF(AND(OR('депозитный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срока"),I215,0)+M216-N216+IF('депозитный калькулятор'!$G$14="есть",0,-L216))))</f>
        <v xml:space="preserve"> </v>
      </c>
      <c r="P216" s="147" t="str">
        <f>IF(F216&gt;'депозитный калькулятор'!$D$8," ",IF(EOMONTH(F215,0)=F215,0,IF(G216&gt;='депозитный калькулятор'!$G$19,P215,P215+1)))</f>
        <v xml:space="preserve"> </v>
      </c>
      <c r="Q216" s="138" t="str">
        <f>IF(F216=" "," ",IF(AND(OR('депозитный калькулятор'!$G$7="30/365",'депозитный калькулятор'!$G$7="30/360"),AND(MONTH(F216)=2,EOMONTH(F216,0)=F216)),IF(DAY(F216)=28,3,2),1)*IF(G216&gt;='депозитный калькулятор'!$G$11,IF(AND('депозитный калькулятор'!$G$7="факт/факт",MOD(YEAR(F216),4)=0),G216*'депозитный калькулятор'!$D$11/366,G216*'депозитный калькулятор'!$G$8),0))</f>
        <v xml:space="preserve"> </v>
      </c>
      <c r="R216" s="148"/>
      <c r="S216" s="62" t="str">
        <f t="shared" ref="S216:S279" ca="1" si="17">IF(S215&lt;COUNTIFS($B$23:$B$1023,"&gt;0"),S215+1," ")</f>
        <v xml:space="preserve"> </v>
      </c>
      <c r="T216" s="149" t="str">
        <f ca="1">IF(S216=" "," ",IF('депозитный калькулятор'!$G$7="30/360",DAYS360(U215,IF(DAY(U216)=31,U216-1,U216))+IF(AND(MONTH(U216)=2,U216=EOMONTH(U216,0)),30-DAY(EOMONTH(U216,0)))+T215,VLOOKUP(S216,$C$22:$F$1023,2,0)))</f>
        <v xml:space="preserve"> </v>
      </c>
      <c r="U216" s="64" t="str">
        <f t="shared" ca="1" si="15"/>
        <v xml:space="preserve"> </v>
      </c>
      <c r="V216" s="150" t="str">
        <f t="shared" ref="V216:V279" ca="1" si="18">VLOOKUP(U216,$F$24:$O$1023,10)</f>
        <v xml:space="preserve"> </v>
      </c>
      <c r="W216" s="62" t="str">
        <f t="shared" ref="W216:W279" ca="1" si="19">IF(S216=" "," ",VLOOKUP(U216,$F$24:$N$1023,8))</f>
        <v xml:space="preserve"> </v>
      </c>
      <c r="X216" s="141" t="str">
        <f ca="1">IF(S216=" "," ",IFERROR(VLOOKUP(U216,$F$23:$N$1023,7)+VLOOKUP(U216,$F$23:$N$1023,9)+IF(AND('депозитный калькулятор'!$G$13="нет",U216&lt;&gt;'депозитный калькулятор'!$D$8),VLOOKUP(U216,$F$23:$N$1023,4),0),0)+IF(U216='депозитный калькулятор'!$D$8,VLOOKUP(U216,$F$23:$N$1023,2)+VLOOKUP(U216,$F$23:$N$1023,4),0))</f>
        <v xml:space="preserve"> </v>
      </c>
      <c r="Y216" s="142" t="str">
        <f ca="1">IF(S216=" "," ",W216/(1+'депозитный калькулятор'!$K$8)^(T216/IF('депозитный калькулятор'!$G$7="30/360",360,365)))</f>
        <v xml:space="preserve"> </v>
      </c>
      <c r="Z216" s="142" t="str">
        <f ca="1">IF(S216=" "," ",X216/(1+'депозитный калькулятор'!$K$8)^(T216/IF('депозитный калькулятор'!$G$7="30/360",360,365)))</f>
        <v xml:space="preserve"> </v>
      </c>
      <c r="AA216" s="151"/>
      <c r="AB216" s="151"/>
      <c r="AC216" s="155"/>
      <c r="AD216" s="155"/>
    </row>
    <row r="217" spans="1:30" s="2" customFormat="1" ht="15.5" x14ac:dyDescent="0.35">
      <c r="A217" s="41" t="str">
        <f>IF(F217=" "," ",IF(OR('депозитный калькулятор'!$G$7="30/365",'депозитный калькулятор'!$G$7="30/360"),IF(AND(MONTH(F217)=2,DAY(F217)=DAY(EOMONTH(F217,0))),30-DAY(EOMONTH(F217,0)),IF(DAY(F217)=31,1," "))," "))</f>
        <v xml:space="preserve"> </v>
      </c>
      <c r="B217" s="130" t="str">
        <f t="shared" si="16"/>
        <v xml:space="preserve"> </v>
      </c>
      <c r="C217" s="130" t="str">
        <f>IF(OR(B217=0,B217=" ")," ",SUM($B$23:B217))</f>
        <v xml:space="preserve"> </v>
      </c>
      <c r="D217" s="62" t="str">
        <f>IF(D216=" "," ",IF(OR(F216='депозитный калькулятор'!$D$8,F216=" ")," ",D216+1))</f>
        <v xml:space="preserve"> </v>
      </c>
      <c r="E217" s="130" t="str">
        <f>IF(OR(F216='депозитный калькулятор'!$D$8,F216=" ")," ",IF(EOMONTH(F216,0)=F216,1,E216+1))</f>
        <v xml:space="preserve"> </v>
      </c>
      <c r="F217" s="64" t="str">
        <f>IF(F216=" "," ",IF(F216='депозитный калькулятор'!$D$8," ",F216+1))</f>
        <v xml:space="preserve"> </v>
      </c>
      <c r="G217" s="145" t="str">
        <f xml:space="preserve"> IF(F217&gt;'депозитный калькулятор'!$D$8," ",IF('депозитный калькулятор'!$G$13="есть",IF('депозитный калькулятор'!$G$14="есть",G216+IF(I216=" ",0,I216)-J217-K217+L217+M217-N217,G216+IF(I216=" ",0,I216)-J217-K217+M217-N217),IF('депозитный калькулятор'!$G$14="есть",G216-J217-K217+L217+M217-N217,G216-J217-K217+M217-N217)))</f>
        <v xml:space="preserve"> </v>
      </c>
      <c r="H217" s="133" t="str">
        <f>IF(F217&gt;'депозитный калькулятор'!$D$8," ",IF(AND(OR('депозитный калькулятор'!$G$7="30/365",'депозитный калькулятор'!$G$7="30/360"),AND(MONTH(F217)=2,EOMONTH(F217,0)=F217)),IF(DAY(F217)=28,3*G217*'депозитный калькулятор'!$G$8,2*G217*'депозитный калькулятор'!$G$8),IF(AND(OR('депозитный калькулятор'!$G$7="30/365",'депозитный калькулятор'!$G$7="30/360"),DAY(F217)=31)," ",IF(AND('депозитный калькулятор'!$G$7="факт/факт",MOD(YEAR(F217),4)=0),G217*'депозитный калькулятор'!$D$11/366,G217*'депозитный калькулятор'!$G$8))))</f>
        <v xml:space="preserve"> </v>
      </c>
      <c r="I217" s="134" t="str">
        <f ca="1">IF(F217=" "," ",IF('депозитный калькулятор'!$G$10="ежедневное",H217,IF(AND('депозитный калькулятор'!$G$10="еженедельное",WEEKDAY(F217,2)=7),SUM(OFFSET(H217,-6,0):H217),IF(AND('депозитный калькулятор'!$G$10="еженедельное",F217='депозитный калькулятор'!$D$8),SUM($H$23:H217)-SUM($I$23:I216),IF(AND('депозитный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недели",WEEKDAY(F217,2)=7),MIN(OFFSET(H217,-6,0):H217)*(COUNTIF(OFFSET(H217,-6,0):H217,"&gt;0")+SUMIF(OFFSET(A217,-WEEKDAY(F217,2),0):A217,"=2",OFFSET(A217,-WEEKDAY(F217,2),0):A217)),IF(AND('депозитный калькулятор'!$G$10="еженедельное, на минимальную сумму зафиксированную в течение недели",F217='депозитный калькулятор'!$D$8,WEEKDAY(F217,2)&lt;&gt;7),MIN(OFFSET(H217,-WEEKDAY(F217,2),0):H217)*(COUNTIF(OFFSET(H217,-WEEKDAY(F217,2)+1,0):H217,"&gt;0")+SUM(OFFSET(A217,-WEEKDAY(F217,2),0):A217)),IF(AND('депозитный калькулятор'!$G$10="ежемесячное (в конце месяца)",F217='депозитный калькулятор'!$D$8,EOMONTH(F217,0)&lt;&gt;F217),IF('депозитный калькулятор'!$F$1=1,$H$24,SUM($H$23:H217)-SUM($I$23:I216)),IF(AND('депозитный калькулятор'!$G$10="ежемесячное (в конце месяца)",EOMONTH(F217,0)=F217),SUM($H$23:H217)-SUM($I$23:I216),IF(AND('депозитный калькулятор'!$G$10="ежемесячное (по дням открытия вклада)",F217='депозитный калькулятор'!$D$8,DAY('депозитный калькулятор'!$D$7)&lt;&gt;DAY(F217)),IF('депозитный калькулятор'!$F$1=1,$H$24,SUM($H$23:H217)-SUM($I$23:I216)),IF(AND('депозитный калькулятор'!$G$10="ежемесячное (по дням открытия вклада)",DAY('депозитный калькулятор'!$D$7)=DAY(F217)),SUM($H$23:H217)-SUM($I$23:I216),IF(AND('депозитный калькулятор'!$G$10="ежемесячное, на минимальную сумму зафиксированную в течение месяца",F217='депозитный калькулятор'!$D$8,EOMONTH(F217,0)&lt;&gt;F217),IF('депозитный калькулятор'!$F$1=1,$H$24,IF(AND(OR('депозитный калькулятор'!$G$7="30/365",'депозитный калькулятор'!$G$7="30/360"),DAY(F217)=31),0,MIN(OFFSET(H217,-E217+1,0):H217)*(E217+SUMIF(OFFSET(A217,-E217+1,0):A217,"=2",OFFSET(A217,-E217+1,0):A217)))),IF(AND('депозитный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калькулятор'!$G$7="30/360"),DAY(EOMONTH(F217,0))=31),EOMONTH(F217,0)-1=F217,EOMONTH(F217,0)=F217)),IF(IF(AND(OR('депозитный калькулятор'!$G$7="30/365",'депозитный калькулятор'!$G$7="30/360"),DAY(EOMONTH($F$23,0))=31),F217=EOMONTH($F$23,0)-1,F217=EOMONTH($F$23,0)),MIN(OFFSET(H217,-(DAY(F217)-DAY($F$23)),0):H217)*E217,MIN(OFFSET(H217,-(DAY(F217)-1),0):H217)*IF(AND(OR('депозитный калькулятор'!$G$7="30/365",'депозитный калькулятор'!$G$7="30/360"),DAY(F217)&lt;30),30,DAY(F217))),IF(AND('депозитный калькулятор'!$G$10="ежемесячное, на средний остаток в течение месяца, при условии что остаток больше чем ограничение",F217='депозитный калькулятор'!$D$8,EOMONTH(F217,0)&lt;&gt;F217),IF('депозитный калькулятор'!$F$1=1,$H$24,SUM(OFFSET(Q217,-E217+1,0):Q217)),IF(AND('депозитный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калькулятор'!$G$7="30/360"),DAY(EOMONTH(F217,0))=31),EOMONTH(F217,0)-1=F217,EOMONTH(F217,0)=F217)),IF(IF(AND(OR('депозитный калькулятор'!$G$7="30/365",'депозитный калькулятор'!$G$7="30/360"),DAY(EOMONTH($F$24,0))=31),F217=EOMONTH($F$24,0)-1,F217=EOMONTH($F$24,0)),SUM(OFFSET(Q217,-E217+1,0):Q217),SUM(OFFSET(Q217,-E217+1,0):Q217)),IF('депозитный калькулятор'!$G$10="ежеквартальное",IF(F217&gt;'депозитный калькулятор'!$D$8," ",IF(AND(EOMONTH(F217,0)=F217,OR(MONTH(F217)=3,MONTH(F217)=6,MONTH(F217)=9,MONTH(F217)=12)),IF(EDATE(F217,-3)&lt;'депозитный калькулятор'!$D$7,SUM($H$23:H217),IF(MOD(YEAR(F217),4)=0,IF(AND(EOMONTH(F217,0)=F217,OR(MONTH(F217)=3,MONTH(F217)=6)),SUM(OFFSET(H217,-90,0):H217),IF(AND(EOMONTH(F217,0)=F217,OR(MONTH(F217)=9,MONTH(F217)=12)),SUM(OFFSET(H217,-91,0):H217))),IF(AND(EOMONTH(F217,0)=F217,MONTH(F217)=3),SUM(OFFSET(H217,-89,0):H217),IF(AND(EOMONTH(F217,0)=F217,MONTH(F217)=6),SUM(OFFSET(H217,-90,0):H217),IF(AND(EOMONTH(F217,0)=F217,OR(MONTH(F217)=9,MONTH(F217)=12)),SUM(OFFSET(H217,-91,0):H217)))))),IF(F217='депозитный калькулятор'!$D$8,SUM($H$23:H217)-SUM($I$23:I216),0))),IF('депозитный калькулятор'!$G$10="ежегодное",IF(F217&gt;'депозитный калькулятор'!$D$8," ",IF(F217='депозитный калькулятор'!$D$8,SUM($H$23:H217)-SUM($I$23:I216),IF(AND(EOMONTH(F217,0)=F217,MONTH(F217)=12),IF(MOD(YEAR(F216),4)=0,IF(F217-'депозитный калькулятор'!$D$7&lt;366,SUM($H$23:H217),SUM(OFFSET(H217,-365,0):H217)),IF(F217-'депозитный калькулятор'!$D$7&lt;365,SUM($H$23:H217),SUM(OFFSET(H217,-364,0):H217))),0))),IF(AND('депозитный калькулятор'!$G$10="в конце срока",'депозитный калькулятор'!$D$8=F217),SUM($H$23:H217),0))))))))))))))))))</f>
        <v xml:space="preserve"> </v>
      </c>
      <c r="J217" s="59" t="str">
        <f>IF(F217&gt;'депозитный калькулятор'!$D$8," ",IF('депозитный калькулятор'!$G$16="нет",0,IF(AND('депозитный калькулятор'!$G$17="разовая (в конце срока)",F217='депозитный калькулятор'!$D$8),'депозитный калькулятор'!$G$18,IF(AND('депозитный калькулятор'!$G$17="ежемесячная",EOMONTH(F216,0)=F216),'депозитный калькулятор'!$G$18,IF(AND('депозитный калькулятор'!$G$17="ежегодная",DAY(F216)=31,MONTH(F216)=12),'депозитный калькулятор'!$G$18,IF(AND('депозитный калькулятор'!$G$17="ежемесячная в зависимости от остатка",EOMONTH(F216,0)=F216,P216&gt;0),'депозитный калькулятор'!$G$18,IF(AND('депозитный калькулятор'!$G$17="ежегодная в зависимости от остатка",DAY(F216)=31,MONTH(F216)=12,P216&gt;0),'депозитный калькулятор'!$G$18,0)))))))</f>
        <v xml:space="preserve"> </v>
      </c>
      <c r="K217" s="135" t="str">
        <f>IF($F217=" "," ",IFERROR(VLOOKUP($F217,'депозитный калькулятор'!$B$26:$F$70,2,0),0))</f>
        <v xml:space="preserve"> </v>
      </c>
      <c r="L217" s="135" t="str">
        <f>IF($F217=" "," ",IFERROR(VLOOKUP($F217,'депозитный калькулятор'!$B$26:$F$70,3,0),0))</f>
        <v xml:space="preserve"> </v>
      </c>
      <c r="M217" s="135" t="str">
        <f>IF($F217=" "," ",IFERROR(VLOOKUP($F217,'депозитный калькулятор'!$B$26:$F$70,4,0),0))</f>
        <v xml:space="preserve"> </v>
      </c>
      <c r="N217" s="135" t="str">
        <f>IF($F217=" "," ",IFERROR(VLOOKUP($F217,'депозитный калькулятор'!$B$26:$F$70,5,0),0))</f>
        <v xml:space="preserve"> </v>
      </c>
      <c r="O217" s="146" t="str">
        <f>IF(F217&gt;'депозитный калькулятор'!$D$8," ",IF(F217='депозитный калькулятор'!$D$8,IF(AND($F$24='депозитный калькулятор'!$D$8,'депозитный калькулятор'!$G$13="нет"),-G217-IF(I217=" ",0,I217)-IF(AND(OR('депозитный калькулятор'!$G$7="30/365",'депозитный калькулятор'!$G$7="30/360"),'депозитный калькулятор'!$G$10="в начале срока"),I216,0)-L217+M217-N217,-G217-IF(I217=" ",0,I217)-L217+M217-N217),IF('депозитный калькулятор'!$G$13="есть",M217-N217+IF('депозитный калькулятор'!$G$14="есть",0,-L217),-IF(I217=" ",0,I217)-IF(AND(OR('депозитный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срока"),I216,0)+M217-N217+IF('депозитный калькулятор'!$G$14="есть",0,-L217))))</f>
        <v xml:space="preserve"> </v>
      </c>
      <c r="P217" s="147" t="str">
        <f>IF(F217&gt;'депозитный калькулятор'!$D$8," ",IF(EOMONTH(F216,0)=F216,0,IF(G217&gt;='депозитный калькулятор'!$G$19,P216,P216+1)))</f>
        <v xml:space="preserve"> </v>
      </c>
      <c r="Q217" s="138" t="str">
        <f>IF(F217=" "," ",IF(AND(OR('депозитный калькулятор'!$G$7="30/365",'депозитный калькулятор'!$G$7="30/360"),AND(MONTH(F217)=2,EOMONTH(F217,0)=F217)),IF(DAY(F217)=28,3,2),1)*IF(G217&gt;='депозитный калькулятор'!$G$11,IF(AND('депозитный калькулятор'!$G$7="факт/факт",MOD(YEAR(F217),4)=0),G217*'депозитный калькулятор'!$D$11/366,G217*'депозитный калькулятор'!$G$8),0))</f>
        <v xml:space="preserve"> </v>
      </c>
      <c r="R217" s="148"/>
      <c r="S217" s="62" t="str">
        <f t="shared" ca="1" si="17"/>
        <v xml:space="preserve"> </v>
      </c>
      <c r="T217" s="149" t="str">
        <f ca="1">IF(S217=" "," ",IF('депозитный калькулятор'!$G$7="30/360",DAYS360(U216,IF(DAY(U217)=31,U217-1,U217))+IF(AND(MONTH(U217)=2,U217=EOMONTH(U217,0)),30-DAY(EOMONTH(U217,0)))+T216,VLOOKUP(S217,$C$22:$F$1023,2,0)))</f>
        <v xml:space="preserve"> </v>
      </c>
      <c r="U217" s="64" t="str">
        <f t="shared" ca="1" si="15"/>
        <v xml:space="preserve"> </v>
      </c>
      <c r="V217" s="150" t="str">
        <f t="shared" ca="1" si="18"/>
        <v xml:space="preserve"> </v>
      </c>
      <c r="W217" s="62" t="str">
        <f t="shared" ca="1" si="19"/>
        <v xml:space="preserve"> </v>
      </c>
      <c r="X217" s="141" t="str">
        <f ca="1">IF(S217=" "," ",IFERROR(VLOOKUP(U217,$F$23:$N$1023,7)+VLOOKUP(U217,$F$23:$N$1023,9)+IF(AND('депозитный калькулятор'!$G$13="нет",U217&lt;&gt;'депозитный калькулятор'!$D$8),VLOOKUP(U217,$F$23:$N$1023,4),0),0)+IF(U217='депозитный калькулятор'!$D$8,VLOOKUP(U217,$F$23:$N$1023,2)+VLOOKUP(U217,$F$23:$N$1023,4),0))</f>
        <v xml:space="preserve"> </v>
      </c>
      <c r="Y217" s="142" t="str">
        <f ca="1">IF(S217=" "," ",W217/(1+'депозитный калькулятор'!$K$8)^(T217/IF('депозитный калькулятор'!$G$7="30/360",360,365)))</f>
        <v xml:space="preserve"> </v>
      </c>
      <c r="Z217" s="142" t="str">
        <f ca="1">IF(S217=" "," ",X217/(1+'депозитный калькулятор'!$K$8)^(T217/IF('депозитный калькулятор'!$G$7="30/360",360,365)))</f>
        <v xml:space="preserve"> </v>
      </c>
      <c r="AA217" s="151"/>
      <c r="AB217" s="151"/>
      <c r="AC217" s="155"/>
      <c r="AD217" s="155"/>
    </row>
    <row r="218" spans="1:30" s="2" customFormat="1" ht="15.5" x14ac:dyDescent="0.35">
      <c r="A218" s="41" t="str">
        <f>IF(F218=" "," ",IF(OR('депозитный калькулятор'!$G$7="30/365",'депозитный калькулятор'!$G$7="30/360"),IF(AND(MONTH(F218)=2,DAY(F218)=DAY(EOMONTH(F218,0))),30-DAY(EOMONTH(F218,0)),IF(DAY(F218)=31,1," "))," "))</f>
        <v xml:space="preserve"> </v>
      </c>
      <c r="B218" s="130" t="str">
        <f t="shared" si="16"/>
        <v xml:space="preserve"> </v>
      </c>
      <c r="C218" s="130" t="str">
        <f>IF(OR(B218=0,B218=" ")," ",SUM($B$23:B218))</f>
        <v xml:space="preserve"> </v>
      </c>
      <c r="D218" s="62" t="str">
        <f>IF(D217=" "," ",IF(OR(F217='депозитный калькулятор'!$D$8,F217=" ")," ",D217+1))</f>
        <v xml:space="preserve"> </v>
      </c>
      <c r="E218" s="130" t="str">
        <f>IF(OR(F217='депозитный калькулятор'!$D$8,F217=" ")," ",IF(EOMONTH(F217,0)=F217,1,E217+1))</f>
        <v xml:space="preserve"> </v>
      </c>
      <c r="F218" s="64" t="str">
        <f>IF(F217=" "," ",IF(F217='депозитный калькулятор'!$D$8," ",F217+1))</f>
        <v xml:space="preserve"> </v>
      </c>
      <c r="G218" s="145" t="str">
        <f xml:space="preserve"> IF(F218&gt;'депозитный калькулятор'!$D$8," ",IF('депозитный калькулятор'!$G$13="есть",IF('депозитный калькулятор'!$G$14="есть",G217+IF(I217=" ",0,I217)-J218-K218+L218+M218-N218,G217+IF(I217=" ",0,I217)-J218-K218+M218-N218),IF('депозитный калькулятор'!$G$14="есть",G217-J218-K218+L218+M218-N218,G217-J218-K218+M218-N218)))</f>
        <v xml:space="preserve"> </v>
      </c>
      <c r="H218" s="133" t="str">
        <f>IF(F218&gt;'депозитный калькулятор'!$D$8," ",IF(AND(OR('депозитный калькулятор'!$G$7="30/365",'депозитный калькулятор'!$G$7="30/360"),AND(MONTH(F218)=2,EOMONTH(F218,0)=F218)),IF(DAY(F218)=28,3*G218*'депозитный калькулятор'!$G$8,2*G218*'депозитный калькулятор'!$G$8),IF(AND(OR('депозитный калькулятор'!$G$7="30/365",'депозитный калькулятор'!$G$7="30/360"),DAY(F218)=31)," ",IF(AND('депозитный калькулятор'!$G$7="факт/факт",MOD(YEAR(F218),4)=0),G218*'депозитный калькулятор'!$D$11/366,G218*'депозитный калькулятор'!$G$8))))</f>
        <v xml:space="preserve"> </v>
      </c>
      <c r="I218" s="134" t="str">
        <f ca="1">IF(F218=" "," ",IF('депозитный калькулятор'!$G$10="ежедневное",H218,IF(AND('депозитный калькулятор'!$G$10="еженедельное",WEEKDAY(F218,2)=7),SUM(OFFSET(H218,-6,0):H218),IF(AND('депозитный калькулятор'!$G$10="еженедельное",F218='депозитный калькулятор'!$D$8),SUM($H$23:H218)-SUM($I$23:I217),IF(AND('депозитный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недели",WEEKDAY(F218,2)=7),MIN(OFFSET(H218,-6,0):H218)*(COUNTIF(OFFSET(H218,-6,0):H218,"&gt;0")+SUMIF(OFFSET(A218,-WEEKDAY(F218,2),0):A218,"=2",OFFSET(A218,-WEEKDAY(F218,2),0):A218)),IF(AND('депозитный калькулятор'!$G$10="еженедельное, на минимальную сумму зафиксированную в течение недели",F218='депозитный калькулятор'!$D$8,WEEKDAY(F218,2)&lt;&gt;7),MIN(OFFSET(H218,-WEEKDAY(F218,2),0):H218)*(COUNTIF(OFFSET(H218,-WEEKDAY(F218,2)+1,0):H218,"&gt;0")+SUM(OFFSET(A218,-WEEKDAY(F218,2),0):A218)),IF(AND('депозитный калькулятор'!$G$10="ежемесячное (в конце месяца)",F218='депозитный калькулятор'!$D$8,EOMONTH(F218,0)&lt;&gt;F218),IF('депозитный калькулятор'!$F$1=1,$H$24,SUM($H$23:H218)-SUM($I$23:I217)),IF(AND('депозитный калькулятор'!$G$10="ежемесячное (в конце месяца)",EOMONTH(F218,0)=F218),SUM($H$23:H218)-SUM($I$23:I217),IF(AND('депозитный калькулятор'!$G$10="ежемесячное (по дням открытия вклада)",F218='депозитный калькулятор'!$D$8,DAY('депозитный калькулятор'!$D$7)&lt;&gt;DAY(F218)),IF('депозитный калькулятор'!$F$1=1,$H$24,SUM($H$23:H218)-SUM($I$23:I217)),IF(AND('депозитный калькулятор'!$G$10="ежемесячное (по дням открытия вклада)",DAY('депозитный калькулятор'!$D$7)=DAY(F218)),SUM($H$23:H218)-SUM($I$23:I217),IF(AND('депозитный калькулятор'!$G$10="ежемесячное, на минимальную сумму зафиксированную в течение месяца",F218='депозитный калькулятор'!$D$8,EOMONTH(F218,0)&lt;&gt;F218),IF('депозитный калькулятор'!$F$1=1,$H$24,IF(AND(OR('депозитный калькулятор'!$G$7="30/365",'депозитный калькулятор'!$G$7="30/360"),DAY(F218)=31),0,MIN(OFFSET(H218,-E218+1,0):H218)*(E218+SUMIF(OFFSET(A218,-E218+1,0):A218,"=2",OFFSET(A218,-E218+1,0):A218)))),IF(AND('депозитный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калькулятор'!$G$7="30/360"),DAY(EOMONTH(F218,0))=31),EOMONTH(F218,0)-1=F218,EOMONTH(F218,0)=F218)),IF(IF(AND(OR('депозитный калькулятор'!$G$7="30/365",'депозитный калькулятор'!$G$7="30/360"),DAY(EOMONTH($F$23,0))=31),F218=EOMONTH($F$23,0)-1,F218=EOMONTH($F$23,0)),MIN(OFFSET(H218,-(DAY(F218)-DAY($F$23)),0):H218)*E218,MIN(OFFSET(H218,-(DAY(F218)-1),0):H218)*IF(AND(OR('депозитный калькулятор'!$G$7="30/365",'депозитный калькулятор'!$G$7="30/360"),DAY(F218)&lt;30),30,DAY(F218))),IF(AND('депозитный калькулятор'!$G$10="ежемесячное, на средний остаток в течение месяца, при условии что остаток больше чем ограничение",F218='депозитный калькулятор'!$D$8,EOMONTH(F218,0)&lt;&gt;F218),IF('депозитный калькулятор'!$F$1=1,$H$24,SUM(OFFSET(Q218,-E218+1,0):Q218)),IF(AND('депозитный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калькулятор'!$G$7="30/360"),DAY(EOMONTH(F218,0))=31),EOMONTH(F218,0)-1=F218,EOMONTH(F218,0)=F218)),IF(IF(AND(OR('депозитный калькулятор'!$G$7="30/365",'депозитный калькулятор'!$G$7="30/360"),DAY(EOMONTH($F$24,0))=31),F218=EOMONTH($F$24,0)-1,F218=EOMONTH($F$24,0)),SUM(OFFSET(Q218,-E218+1,0):Q218),SUM(OFFSET(Q218,-E218+1,0):Q218)),IF('депозитный калькулятор'!$G$10="ежеквартальное",IF(F218&gt;'депозитный калькулятор'!$D$8," ",IF(AND(EOMONTH(F218,0)=F218,OR(MONTH(F218)=3,MONTH(F218)=6,MONTH(F218)=9,MONTH(F218)=12)),IF(EDATE(F218,-3)&lt;'депозитный калькулятор'!$D$7,SUM($H$23:H218),IF(MOD(YEAR(F218),4)=0,IF(AND(EOMONTH(F218,0)=F218,OR(MONTH(F218)=3,MONTH(F218)=6)),SUM(OFFSET(H218,-90,0):H218),IF(AND(EOMONTH(F218,0)=F218,OR(MONTH(F218)=9,MONTH(F218)=12)),SUM(OFFSET(H218,-91,0):H218))),IF(AND(EOMONTH(F218,0)=F218,MONTH(F218)=3),SUM(OFFSET(H218,-89,0):H218),IF(AND(EOMONTH(F218,0)=F218,MONTH(F218)=6),SUM(OFFSET(H218,-90,0):H218),IF(AND(EOMONTH(F218,0)=F218,OR(MONTH(F218)=9,MONTH(F218)=12)),SUM(OFFSET(H218,-91,0):H218)))))),IF(F218='депозитный калькулятор'!$D$8,SUM($H$23:H218)-SUM($I$23:I217),0))),IF('депозитный калькулятор'!$G$10="ежегодное",IF(F218&gt;'депозитный калькулятор'!$D$8," ",IF(F218='депозитный калькулятор'!$D$8,SUM($H$23:H218)-SUM($I$23:I217),IF(AND(EOMONTH(F218,0)=F218,MONTH(F218)=12),IF(MOD(YEAR(F217),4)=0,IF(F218-'депозитный калькулятор'!$D$7&lt;366,SUM($H$23:H218),SUM(OFFSET(H218,-365,0):H218)),IF(F218-'депозитный калькулятор'!$D$7&lt;365,SUM($H$23:H218),SUM(OFFSET(H218,-364,0):H218))),0))),IF(AND('депозитный калькулятор'!$G$10="в конце срока",'депозитный калькулятор'!$D$8=F218),SUM($H$23:H218),0))))))))))))))))))</f>
        <v xml:space="preserve"> </v>
      </c>
      <c r="J218" s="59" t="str">
        <f>IF(F218&gt;'депозитный калькулятор'!$D$8," ",IF('депозитный калькулятор'!$G$16="нет",0,IF(AND('депозитный калькулятор'!$G$17="разовая (в конце срока)",F218='депозитный калькулятор'!$D$8),'депозитный калькулятор'!$G$18,IF(AND('депозитный калькулятор'!$G$17="ежемесячная",EOMONTH(F217,0)=F217),'депозитный калькулятор'!$G$18,IF(AND('депозитный калькулятор'!$G$17="ежегодная",DAY(F217)=31,MONTH(F217)=12),'депозитный калькулятор'!$G$18,IF(AND('депозитный калькулятор'!$G$17="ежемесячная в зависимости от остатка",EOMONTH(F217,0)=F217,P217&gt;0),'депозитный калькулятор'!$G$18,IF(AND('депозитный калькулятор'!$G$17="ежегодная в зависимости от остатка",DAY(F217)=31,MONTH(F217)=12,P217&gt;0),'депозитный калькулятор'!$G$18,0)))))))</f>
        <v xml:space="preserve"> </v>
      </c>
      <c r="K218" s="135" t="str">
        <f>IF($F218=" "," ",IFERROR(VLOOKUP($F218,'депозитный калькулятор'!$B$26:$F$70,2,0),0))</f>
        <v xml:space="preserve"> </v>
      </c>
      <c r="L218" s="135" t="str">
        <f>IF($F218=" "," ",IFERROR(VLOOKUP($F218,'депозитный калькулятор'!$B$26:$F$70,3,0),0))</f>
        <v xml:space="preserve"> </v>
      </c>
      <c r="M218" s="135" t="str">
        <f>IF($F218=" "," ",IFERROR(VLOOKUP($F218,'депозитный калькулятор'!$B$26:$F$70,4,0),0))</f>
        <v xml:space="preserve"> </v>
      </c>
      <c r="N218" s="135" t="str">
        <f>IF($F218=" "," ",IFERROR(VLOOKUP($F218,'депозитный калькулятор'!$B$26:$F$70,5,0),0))</f>
        <v xml:space="preserve"> </v>
      </c>
      <c r="O218" s="146" t="str">
        <f>IF(F218&gt;'депозитный калькулятор'!$D$8," ",IF(F218='депозитный калькулятор'!$D$8,IF(AND($F$24='депозитный калькулятор'!$D$8,'депозитный калькулятор'!$G$13="нет"),-G218-IF(I218=" ",0,I218)-IF(AND(OR('депозитный калькулятор'!$G$7="30/365",'депозитный калькулятор'!$G$7="30/360"),'депозитный калькулятор'!$G$10="в начале срока"),I217,0)-L218+M218-N218,-G218-IF(I218=" ",0,I218)-L218+M218-N218),IF('депозитный калькулятор'!$G$13="есть",M218-N218+IF('депозитный калькулятор'!$G$14="есть",0,-L218),-IF(I218=" ",0,I218)-IF(AND(OR('депозитный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срока"),I217,0)+M218-N218+IF('депозитный калькулятор'!$G$14="есть",0,-L218))))</f>
        <v xml:space="preserve"> </v>
      </c>
      <c r="P218" s="147" t="str">
        <f>IF(F218&gt;'депозитный калькулятор'!$D$8," ",IF(EOMONTH(F217,0)=F217,0,IF(G218&gt;='депозитный калькулятор'!$G$19,P217,P217+1)))</f>
        <v xml:space="preserve"> </v>
      </c>
      <c r="Q218" s="138" t="str">
        <f>IF(F218=" "," ",IF(AND(OR('депозитный калькулятор'!$G$7="30/365",'депозитный калькулятор'!$G$7="30/360"),AND(MONTH(F218)=2,EOMONTH(F218,0)=F218)),IF(DAY(F218)=28,3,2),1)*IF(G218&gt;='депозитный калькулятор'!$G$11,IF(AND('депозитный калькулятор'!$G$7="факт/факт",MOD(YEAR(F218),4)=0),G218*'депозитный калькулятор'!$D$11/366,G218*'депозитный калькулятор'!$G$8),0))</f>
        <v xml:space="preserve"> </v>
      </c>
      <c r="R218" s="148"/>
      <c r="S218" s="62" t="str">
        <f t="shared" ca="1" si="17"/>
        <v xml:space="preserve"> </v>
      </c>
      <c r="T218" s="149" t="str">
        <f ca="1">IF(S218=" "," ",IF('депозитный калькулятор'!$G$7="30/360",DAYS360(U217,IF(DAY(U218)=31,U218-1,U218))+IF(AND(MONTH(U218)=2,U218=EOMONTH(U218,0)),30-DAY(EOMONTH(U218,0)))+T217,VLOOKUP(S218,$C$22:$F$1023,2,0)))</f>
        <v xml:space="preserve"> </v>
      </c>
      <c r="U218" s="64" t="str">
        <f t="shared" ca="1" si="15"/>
        <v xml:space="preserve"> </v>
      </c>
      <c r="V218" s="150" t="str">
        <f t="shared" ca="1" si="18"/>
        <v xml:space="preserve"> </v>
      </c>
      <c r="W218" s="62" t="str">
        <f t="shared" ca="1" si="19"/>
        <v xml:space="preserve"> </v>
      </c>
      <c r="X218" s="141" t="str">
        <f ca="1">IF(S218=" "," ",IFERROR(VLOOKUP(U218,$F$23:$N$1023,7)+VLOOKUP(U218,$F$23:$N$1023,9)+IF(AND('депозитный калькулятор'!$G$13="нет",U218&lt;&gt;'депозитный калькулятор'!$D$8),VLOOKUP(U218,$F$23:$N$1023,4),0),0)+IF(U218='депозитный калькулятор'!$D$8,VLOOKUP(U218,$F$23:$N$1023,2)+VLOOKUP(U218,$F$23:$N$1023,4),0))</f>
        <v xml:space="preserve"> </v>
      </c>
      <c r="Y218" s="142" t="str">
        <f ca="1">IF(S218=" "," ",W218/(1+'депозитный калькулятор'!$K$8)^(T218/IF('депозитный калькулятор'!$G$7="30/360",360,365)))</f>
        <v xml:space="preserve"> </v>
      </c>
      <c r="Z218" s="142" t="str">
        <f ca="1">IF(S218=" "," ",X218/(1+'депозитный калькулятор'!$K$8)^(T218/IF('депозитный калькулятор'!$G$7="30/360",360,365)))</f>
        <v xml:space="preserve"> </v>
      </c>
      <c r="AA218" s="151"/>
      <c r="AB218" s="151"/>
      <c r="AC218" s="155"/>
      <c r="AD218" s="155"/>
    </row>
    <row r="219" spans="1:30" s="2" customFormat="1" ht="15.5" x14ac:dyDescent="0.35">
      <c r="A219" s="41" t="str">
        <f>IF(F219=" "," ",IF(OR('депозитный калькулятор'!$G$7="30/365",'депозитный калькулятор'!$G$7="30/360"),IF(AND(MONTH(F219)=2,DAY(F219)=DAY(EOMONTH(F219,0))),30-DAY(EOMONTH(F219,0)),IF(DAY(F219)=31,1," "))," "))</f>
        <v xml:space="preserve"> </v>
      </c>
      <c r="B219" s="130" t="str">
        <f t="shared" si="16"/>
        <v xml:space="preserve"> </v>
      </c>
      <c r="C219" s="130" t="str">
        <f>IF(OR(B219=0,B219=" ")," ",SUM($B$23:B219))</f>
        <v xml:space="preserve"> </v>
      </c>
      <c r="D219" s="62" t="str">
        <f>IF(D218=" "," ",IF(OR(F218='депозитный калькулятор'!$D$8,F218=" ")," ",D218+1))</f>
        <v xml:space="preserve"> </v>
      </c>
      <c r="E219" s="130" t="str">
        <f>IF(OR(F218='депозитный калькулятор'!$D$8,F218=" ")," ",IF(EOMONTH(F218,0)=F218,1,E218+1))</f>
        <v xml:space="preserve"> </v>
      </c>
      <c r="F219" s="64" t="str">
        <f>IF(F218=" "," ",IF(F218='депозитный калькулятор'!$D$8," ",F218+1))</f>
        <v xml:space="preserve"> </v>
      </c>
      <c r="G219" s="145" t="str">
        <f xml:space="preserve"> IF(F219&gt;'депозитный калькулятор'!$D$8," ",IF('депозитный калькулятор'!$G$13="есть",IF('депозитный калькулятор'!$G$14="есть",G218+IF(I218=" ",0,I218)-J219-K219+L219+M219-N219,G218+IF(I218=" ",0,I218)-J219-K219+M219-N219),IF('депозитный калькулятор'!$G$14="есть",G218-J219-K219+L219+M219-N219,G218-J219-K219+M219-N219)))</f>
        <v xml:space="preserve"> </v>
      </c>
      <c r="H219" s="133" t="str">
        <f>IF(F219&gt;'депозитный калькулятор'!$D$8," ",IF(AND(OR('депозитный калькулятор'!$G$7="30/365",'депозитный калькулятор'!$G$7="30/360"),AND(MONTH(F219)=2,EOMONTH(F219,0)=F219)),IF(DAY(F219)=28,3*G219*'депозитный калькулятор'!$G$8,2*G219*'депозитный калькулятор'!$G$8),IF(AND(OR('депозитный калькулятор'!$G$7="30/365",'депозитный калькулятор'!$G$7="30/360"),DAY(F219)=31)," ",IF(AND('депозитный калькулятор'!$G$7="факт/факт",MOD(YEAR(F219),4)=0),G219*'депозитный калькулятор'!$D$11/366,G219*'депозитный калькулятор'!$G$8))))</f>
        <v xml:space="preserve"> </v>
      </c>
      <c r="I219" s="134" t="str">
        <f ca="1">IF(F219=" "," ",IF('депозитный калькулятор'!$G$10="ежедневное",H219,IF(AND('депозитный калькулятор'!$G$10="еженедельное",WEEKDAY(F219,2)=7),SUM(OFFSET(H219,-6,0):H219),IF(AND('депозитный калькулятор'!$G$10="еженедельное",F219='депозитный калькулятор'!$D$8),SUM($H$23:H219)-SUM($I$23:I218),IF(AND('депозитный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недели",WEEKDAY(F219,2)=7),MIN(OFFSET(H219,-6,0):H219)*(COUNTIF(OFFSET(H219,-6,0):H219,"&gt;0")+SUMIF(OFFSET(A219,-WEEKDAY(F219,2),0):A219,"=2",OFFSET(A219,-WEEKDAY(F219,2),0):A219)),IF(AND('депозитный калькулятор'!$G$10="еженедельное, на минимальную сумму зафиксированную в течение недели",F219='депозитный калькулятор'!$D$8,WEEKDAY(F219,2)&lt;&gt;7),MIN(OFFSET(H219,-WEEKDAY(F219,2),0):H219)*(COUNTIF(OFFSET(H219,-WEEKDAY(F219,2)+1,0):H219,"&gt;0")+SUM(OFFSET(A219,-WEEKDAY(F219,2),0):A219)),IF(AND('депозитный калькулятор'!$G$10="ежемесячное (в конце месяца)",F219='депозитный калькулятор'!$D$8,EOMONTH(F219,0)&lt;&gt;F219),IF('депозитный калькулятор'!$F$1=1,$H$24,SUM($H$23:H219)-SUM($I$23:I218)),IF(AND('депозитный калькулятор'!$G$10="ежемесячное (в конце месяца)",EOMONTH(F219,0)=F219),SUM($H$23:H219)-SUM($I$23:I218),IF(AND('депозитный калькулятор'!$G$10="ежемесячное (по дням открытия вклада)",F219='депозитный калькулятор'!$D$8,DAY('депозитный калькулятор'!$D$7)&lt;&gt;DAY(F219)),IF('депозитный калькулятор'!$F$1=1,$H$24,SUM($H$23:H219)-SUM($I$23:I218)),IF(AND('депозитный калькулятор'!$G$10="ежемесячное (по дням открытия вклада)",DAY('депозитный калькулятор'!$D$7)=DAY(F219)),SUM($H$23:H219)-SUM($I$23:I218),IF(AND('депозитный калькулятор'!$G$10="ежемесячное, на минимальную сумму зафиксированную в течение месяца",F219='депозитный калькулятор'!$D$8,EOMONTH(F219,0)&lt;&gt;F219),IF('депозитный калькулятор'!$F$1=1,$H$24,IF(AND(OR('депозитный калькулятор'!$G$7="30/365",'депозитный калькулятор'!$G$7="30/360"),DAY(F219)=31),0,MIN(OFFSET(H219,-E219+1,0):H219)*(E219+SUMIF(OFFSET(A219,-E219+1,0):A219,"=2",OFFSET(A219,-E219+1,0):A219)))),IF(AND('депозитный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калькулятор'!$G$7="30/360"),DAY(EOMONTH(F219,0))=31),EOMONTH(F219,0)-1=F219,EOMONTH(F219,0)=F219)),IF(IF(AND(OR('депозитный калькулятор'!$G$7="30/365",'депозитный калькулятор'!$G$7="30/360"),DAY(EOMONTH($F$23,0))=31),F219=EOMONTH($F$23,0)-1,F219=EOMONTH($F$23,0)),MIN(OFFSET(H219,-(DAY(F219)-DAY($F$23)),0):H219)*E219,MIN(OFFSET(H219,-(DAY(F219)-1),0):H219)*IF(AND(OR('депозитный калькулятор'!$G$7="30/365",'депозитный калькулятор'!$G$7="30/360"),DAY(F219)&lt;30),30,DAY(F219))),IF(AND('депозитный калькулятор'!$G$10="ежемесячное, на средний остаток в течение месяца, при условии что остаток больше чем ограничение",F219='депозитный калькулятор'!$D$8,EOMONTH(F219,0)&lt;&gt;F219),IF('депозитный калькулятор'!$F$1=1,$H$24,SUM(OFFSET(Q219,-E219+1,0):Q219)),IF(AND('депозитный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калькулятор'!$G$7="30/360"),DAY(EOMONTH(F219,0))=31),EOMONTH(F219,0)-1=F219,EOMONTH(F219,0)=F219)),IF(IF(AND(OR('депозитный калькулятор'!$G$7="30/365",'депозитный калькулятор'!$G$7="30/360"),DAY(EOMONTH($F$24,0))=31),F219=EOMONTH($F$24,0)-1,F219=EOMONTH($F$24,0)),SUM(OFFSET(Q219,-E219+1,0):Q219),SUM(OFFSET(Q219,-E219+1,0):Q219)),IF('депозитный калькулятор'!$G$10="ежеквартальное",IF(F219&gt;'депозитный калькулятор'!$D$8," ",IF(AND(EOMONTH(F219,0)=F219,OR(MONTH(F219)=3,MONTH(F219)=6,MONTH(F219)=9,MONTH(F219)=12)),IF(EDATE(F219,-3)&lt;'депозитный калькулятор'!$D$7,SUM($H$23:H219),IF(MOD(YEAR(F219),4)=0,IF(AND(EOMONTH(F219,0)=F219,OR(MONTH(F219)=3,MONTH(F219)=6)),SUM(OFFSET(H219,-90,0):H219),IF(AND(EOMONTH(F219,0)=F219,OR(MONTH(F219)=9,MONTH(F219)=12)),SUM(OFFSET(H219,-91,0):H219))),IF(AND(EOMONTH(F219,0)=F219,MONTH(F219)=3),SUM(OFFSET(H219,-89,0):H219),IF(AND(EOMONTH(F219,0)=F219,MONTH(F219)=6),SUM(OFFSET(H219,-90,0):H219),IF(AND(EOMONTH(F219,0)=F219,OR(MONTH(F219)=9,MONTH(F219)=12)),SUM(OFFSET(H219,-91,0):H219)))))),IF(F219='депозитный калькулятор'!$D$8,SUM($H$23:H219)-SUM($I$23:I218),0))),IF('депозитный калькулятор'!$G$10="ежегодное",IF(F219&gt;'депозитный калькулятор'!$D$8," ",IF(F219='депозитный калькулятор'!$D$8,SUM($H$23:H219)-SUM($I$23:I218),IF(AND(EOMONTH(F219,0)=F219,MONTH(F219)=12),IF(MOD(YEAR(F218),4)=0,IF(F219-'депозитный калькулятор'!$D$7&lt;366,SUM($H$23:H219),SUM(OFFSET(H219,-365,0):H219)),IF(F219-'депозитный калькулятор'!$D$7&lt;365,SUM($H$23:H219),SUM(OFFSET(H219,-364,0):H219))),0))),IF(AND('депозитный калькулятор'!$G$10="в конце срока",'депозитный калькулятор'!$D$8=F219),SUM($H$23:H219),0))))))))))))))))))</f>
        <v xml:space="preserve"> </v>
      </c>
      <c r="J219" s="59" t="str">
        <f>IF(F219&gt;'депозитный калькулятор'!$D$8," ",IF('депозитный калькулятор'!$G$16="нет",0,IF(AND('депозитный калькулятор'!$G$17="разовая (в конце срока)",F219='депозитный калькулятор'!$D$8),'депозитный калькулятор'!$G$18,IF(AND('депозитный калькулятор'!$G$17="ежемесячная",EOMONTH(F218,0)=F218),'депозитный калькулятор'!$G$18,IF(AND('депозитный калькулятор'!$G$17="ежегодная",DAY(F218)=31,MONTH(F218)=12),'депозитный калькулятор'!$G$18,IF(AND('депозитный калькулятор'!$G$17="ежемесячная в зависимости от остатка",EOMONTH(F218,0)=F218,P218&gt;0),'депозитный калькулятор'!$G$18,IF(AND('депозитный калькулятор'!$G$17="ежегодная в зависимости от остатка",DAY(F218)=31,MONTH(F218)=12,P218&gt;0),'депозитный калькулятор'!$G$18,0)))))))</f>
        <v xml:space="preserve"> </v>
      </c>
      <c r="K219" s="135" t="str">
        <f>IF($F219=" "," ",IFERROR(VLOOKUP($F219,'депозитный калькулятор'!$B$26:$F$70,2,0),0))</f>
        <v xml:space="preserve"> </v>
      </c>
      <c r="L219" s="135" t="str">
        <f>IF($F219=" "," ",IFERROR(VLOOKUP($F219,'депозитный калькулятор'!$B$26:$F$70,3,0),0))</f>
        <v xml:space="preserve"> </v>
      </c>
      <c r="M219" s="135" t="str">
        <f>IF($F219=" "," ",IFERROR(VLOOKUP($F219,'депозитный калькулятор'!$B$26:$F$70,4,0),0))</f>
        <v xml:space="preserve"> </v>
      </c>
      <c r="N219" s="135" t="str">
        <f>IF($F219=" "," ",IFERROR(VLOOKUP($F219,'депозитный калькулятор'!$B$26:$F$70,5,0),0))</f>
        <v xml:space="preserve"> </v>
      </c>
      <c r="O219" s="146" t="str">
        <f>IF(F219&gt;'депозитный калькулятор'!$D$8," ",IF(F219='депозитный калькулятор'!$D$8,IF(AND($F$24='депозитный калькулятор'!$D$8,'депозитный калькулятор'!$G$13="нет"),-G219-IF(I219=" ",0,I219)-IF(AND(OR('депозитный калькулятор'!$G$7="30/365",'депозитный калькулятор'!$G$7="30/360"),'депозитный калькулятор'!$G$10="в начале срока"),I218,0)-L219+M219-N219,-G219-IF(I219=" ",0,I219)-L219+M219-N219),IF('депозитный калькулятор'!$G$13="есть",M219-N219+IF('депозитный калькулятор'!$G$14="есть",0,-L219),-IF(I219=" ",0,I219)-IF(AND(OR('депозитный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срока"),I218,0)+M219-N219+IF('депозитный калькулятор'!$G$14="есть",0,-L219))))</f>
        <v xml:space="preserve"> </v>
      </c>
      <c r="P219" s="147" t="str">
        <f>IF(F219&gt;'депозитный калькулятор'!$D$8," ",IF(EOMONTH(F218,0)=F218,0,IF(G219&gt;='депозитный калькулятор'!$G$19,P218,P218+1)))</f>
        <v xml:space="preserve"> </v>
      </c>
      <c r="Q219" s="138" t="str">
        <f>IF(F219=" "," ",IF(AND(OR('депозитный калькулятор'!$G$7="30/365",'депозитный калькулятор'!$G$7="30/360"),AND(MONTH(F219)=2,EOMONTH(F219,0)=F219)),IF(DAY(F219)=28,3,2),1)*IF(G219&gt;='депозитный калькулятор'!$G$11,IF(AND('депозитный калькулятор'!$G$7="факт/факт",MOD(YEAR(F219),4)=0),G219*'депозитный калькулятор'!$D$11/366,G219*'депозитный калькулятор'!$G$8),0))</f>
        <v xml:space="preserve"> </v>
      </c>
      <c r="R219" s="148"/>
      <c r="S219" s="62" t="str">
        <f t="shared" ca="1" si="17"/>
        <v xml:space="preserve"> </v>
      </c>
      <c r="T219" s="149" t="str">
        <f ca="1">IF(S219=" "," ",IF('депозитный калькулятор'!$G$7="30/360",DAYS360(U218,IF(DAY(U219)=31,U219-1,U219))+IF(AND(MONTH(U219)=2,U219=EOMONTH(U219,0)),30-DAY(EOMONTH(U219,0)))+T218,VLOOKUP(S219,$C$22:$F$1023,2,0)))</f>
        <v xml:space="preserve"> </v>
      </c>
      <c r="U219" s="64" t="str">
        <f t="shared" ca="1" si="15"/>
        <v xml:space="preserve"> </v>
      </c>
      <c r="V219" s="150" t="str">
        <f t="shared" ca="1" si="18"/>
        <v xml:space="preserve"> </v>
      </c>
      <c r="W219" s="62" t="str">
        <f t="shared" ca="1" si="19"/>
        <v xml:space="preserve"> </v>
      </c>
      <c r="X219" s="141" t="str">
        <f ca="1">IF(S219=" "," ",IFERROR(VLOOKUP(U219,$F$23:$N$1023,7)+VLOOKUP(U219,$F$23:$N$1023,9)+IF(AND('депозитный калькулятор'!$G$13="нет",U219&lt;&gt;'депозитный калькулятор'!$D$8),VLOOKUP(U219,$F$23:$N$1023,4),0),0)+IF(U219='депозитный калькулятор'!$D$8,VLOOKUP(U219,$F$23:$N$1023,2)+VLOOKUP(U219,$F$23:$N$1023,4),0))</f>
        <v xml:space="preserve"> </v>
      </c>
      <c r="Y219" s="142" t="str">
        <f ca="1">IF(S219=" "," ",W219/(1+'депозитный калькулятор'!$K$8)^(T219/IF('депозитный калькулятор'!$G$7="30/360",360,365)))</f>
        <v xml:space="preserve"> </v>
      </c>
      <c r="Z219" s="142" t="str">
        <f ca="1">IF(S219=" "," ",X219/(1+'депозитный калькулятор'!$K$8)^(T219/IF('депозитный калькулятор'!$G$7="30/360",360,365)))</f>
        <v xml:space="preserve"> </v>
      </c>
      <c r="AA219" s="151"/>
      <c r="AB219" s="151"/>
      <c r="AC219" s="155"/>
      <c r="AD219" s="155"/>
    </row>
    <row r="220" spans="1:30" s="2" customFormat="1" ht="15.5" x14ac:dyDescent="0.35">
      <c r="A220" s="41" t="str">
        <f>IF(F220=" "," ",IF(OR('депозитный калькулятор'!$G$7="30/365",'депозитный калькулятор'!$G$7="30/360"),IF(AND(MONTH(F220)=2,DAY(F220)=DAY(EOMONTH(F220,0))),30-DAY(EOMONTH(F220,0)),IF(DAY(F220)=31,1," "))," "))</f>
        <v xml:space="preserve"> </v>
      </c>
      <c r="B220" s="130" t="str">
        <f t="shared" si="16"/>
        <v xml:space="preserve"> </v>
      </c>
      <c r="C220" s="130" t="str">
        <f>IF(OR(B220=0,B220=" ")," ",SUM($B$23:B220))</f>
        <v xml:space="preserve"> </v>
      </c>
      <c r="D220" s="62" t="str">
        <f>IF(D219=" "," ",IF(OR(F219='депозитный калькулятор'!$D$8,F219=" ")," ",D219+1))</f>
        <v xml:space="preserve"> </v>
      </c>
      <c r="E220" s="130" t="str">
        <f>IF(OR(F219='депозитный калькулятор'!$D$8,F219=" ")," ",IF(EOMONTH(F219,0)=F219,1,E219+1))</f>
        <v xml:space="preserve"> </v>
      </c>
      <c r="F220" s="64" t="str">
        <f>IF(F219=" "," ",IF(F219='депозитный калькулятор'!$D$8," ",F219+1))</f>
        <v xml:space="preserve"> </v>
      </c>
      <c r="G220" s="145" t="str">
        <f xml:space="preserve"> IF(F220&gt;'депозитный калькулятор'!$D$8," ",IF('депозитный калькулятор'!$G$13="есть",IF('депозитный калькулятор'!$G$14="есть",G219+IF(I219=" ",0,I219)-J220-K220+L220+M220-N220,G219+IF(I219=" ",0,I219)-J220-K220+M220-N220),IF('депозитный калькулятор'!$G$14="есть",G219-J220-K220+L220+M220-N220,G219-J220-K220+M220-N220)))</f>
        <v xml:space="preserve"> </v>
      </c>
      <c r="H220" s="133" t="str">
        <f>IF(F220&gt;'депозитный калькулятор'!$D$8," ",IF(AND(OR('депозитный калькулятор'!$G$7="30/365",'депозитный калькулятор'!$G$7="30/360"),AND(MONTH(F220)=2,EOMONTH(F220,0)=F220)),IF(DAY(F220)=28,3*G220*'депозитный калькулятор'!$G$8,2*G220*'депозитный калькулятор'!$G$8),IF(AND(OR('депозитный калькулятор'!$G$7="30/365",'депозитный калькулятор'!$G$7="30/360"),DAY(F220)=31)," ",IF(AND('депозитный калькулятор'!$G$7="факт/факт",MOD(YEAR(F220),4)=0),G220*'депозитный калькулятор'!$D$11/366,G220*'депозитный калькулятор'!$G$8))))</f>
        <v xml:space="preserve"> </v>
      </c>
      <c r="I220" s="134" t="str">
        <f ca="1">IF(F220=" "," ",IF('депозитный калькулятор'!$G$10="ежедневное",H220,IF(AND('депозитный калькулятор'!$G$10="еженедельное",WEEKDAY(F220,2)=7),SUM(OFFSET(H220,-6,0):H220),IF(AND('депозитный калькулятор'!$G$10="еженедельное",F220='депозитный калькулятор'!$D$8),SUM($H$23:H220)-SUM($I$23:I219),IF(AND('депозитный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недели",WEEKDAY(F220,2)=7),MIN(OFFSET(H220,-6,0):H220)*(COUNTIF(OFFSET(H220,-6,0):H220,"&gt;0")+SUMIF(OFFSET(A220,-WEEKDAY(F220,2),0):A220,"=2",OFFSET(A220,-WEEKDAY(F220,2),0):A220)),IF(AND('депозитный калькулятор'!$G$10="еженедельное, на минимальную сумму зафиксированную в течение недели",F220='депозитный калькулятор'!$D$8,WEEKDAY(F220,2)&lt;&gt;7),MIN(OFFSET(H220,-WEEKDAY(F220,2),0):H220)*(COUNTIF(OFFSET(H220,-WEEKDAY(F220,2)+1,0):H220,"&gt;0")+SUM(OFFSET(A220,-WEEKDAY(F220,2),0):A220)),IF(AND('депозитный калькулятор'!$G$10="ежемесячное (в конце месяца)",F220='депозитный калькулятор'!$D$8,EOMONTH(F220,0)&lt;&gt;F220),IF('депозитный калькулятор'!$F$1=1,$H$24,SUM($H$23:H220)-SUM($I$23:I219)),IF(AND('депозитный калькулятор'!$G$10="ежемесячное (в конце месяца)",EOMONTH(F220,0)=F220),SUM($H$23:H220)-SUM($I$23:I219),IF(AND('депозитный калькулятор'!$G$10="ежемесячное (по дням открытия вклада)",F220='депозитный калькулятор'!$D$8,DAY('депозитный калькулятор'!$D$7)&lt;&gt;DAY(F220)),IF('депозитный калькулятор'!$F$1=1,$H$24,SUM($H$23:H220)-SUM($I$23:I219)),IF(AND('депозитный калькулятор'!$G$10="ежемесячное (по дням открытия вклада)",DAY('депозитный калькулятор'!$D$7)=DAY(F220)),SUM($H$23:H220)-SUM($I$23:I219),IF(AND('депозитный калькулятор'!$G$10="ежемесячное, на минимальную сумму зафиксированную в течение месяца",F220='депозитный калькулятор'!$D$8,EOMONTH(F220,0)&lt;&gt;F220),IF('депозитный калькулятор'!$F$1=1,$H$24,IF(AND(OR('депозитный калькулятор'!$G$7="30/365",'депозитный калькулятор'!$G$7="30/360"),DAY(F220)=31),0,MIN(OFFSET(H220,-E220+1,0):H220)*(E220+SUMIF(OFFSET(A220,-E220+1,0):A220,"=2",OFFSET(A220,-E220+1,0):A220)))),IF(AND('депозитный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калькулятор'!$G$7="30/360"),DAY(EOMONTH(F220,0))=31),EOMONTH(F220,0)-1=F220,EOMONTH(F220,0)=F220)),IF(IF(AND(OR('депозитный калькулятор'!$G$7="30/365",'депозитный калькулятор'!$G$7="30/360"),DAY(EOMONTH($F$23,0))=31),F220=EOMONTH($F$23,0)-1,F220=EOMONTH($F$23,0)),MIN(OFFSET(H220,-(DAY(F220)-DAY($F$23)),0):H220)*E220,MIN(OFFSET(H220,-(DAY(F220)-1),0):H220)*IF(AND(OR('депозитный калькулятор'!$G$7="30/365",'депозитный калькулятор'!$G$7="30/360"),DAY(F220)&lt;30),30,DAY(F220))),IF(AND('депозитный калькулятор'!$G$10="ежемесячное, на средний остаток в течение месяца, при условии что остаток больше чем ограничение",F220='депозитный калькулятор'!$D$8,EOMONTH(F220,0)&lt;&gt;F220),IF('депозитный калькулятор'!$F$1=1,$H$24,SUM(OFFSET(Q220,-E220+1,0):Q220)),IF(AND('депозитный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калькулятор'!$G$7="30/360"),DAY(EOMONTH(F220,0))=31),EOMONTH(F220,0)-1=F220,EOMONTH(F220,0)=F220)),IF(IF(AND(OR('депозитный калькулятор'!$G$7="30/365",'депозитный калькулятор'!$G$7="30/360"),DAY(EOMONTH($F$24,0))=31),F220=EOMONTH($F$24,0)-1,F220=EOMONTH($F$24,0)),SUM(OFFSET(Q220,-E220+1,0):Q220),SUM(OFFSET(Q220,-E220+1,0):Q220)),IF('депозитный калькулятор'!$G$10="ежеквартальное",IF(F220&gt;'депозитный калькулятор'!$D$8," ",IF(AND(EOMONTH(F220,0)=F220,OR(MONTH(F220)=3,MONTH(F220)=6,MONTH(F220)=9,MONTH(F220)=12)),IF(EDATE(F220,-3)&lt;'депозитный калькулятор'!$D$7,SUM($H$23:H220),IF(MOD(YEAR(F220),4)=0,IF(AND(EOMONTH(F220,0)=F220,OR(MONTH(F220)=3,MONTH(F220)=6)),SUM(OFFSET(H220,-90,0):H220),IF(AND(EOMONTH(F220,0)=F220,OR(MONTH(F220)=9,MONTH(F220)=12)),SUM(OFFSET(H220,-91,0):H220))),IF(AND(EOMONTH(F220,0)=F220,MONTH(F220)=3),SUM(OFFSET(H220,-89,0):H220),IF(AND(EOMONTH(F220,0)=F220,MONTH(F220)=6),SUM(OFFSET(H220,-90,0):H220),IF(AND(EOMONTH(F220,0)=F220,OR(MONTH(F220)=9,MONTH(F220)=12)),SUM(OFFSET(H220,-91,0):H220)))))),IF(F220='депозитный калькулятор'!$D$8,SUM($H$23:H220)-SUM($I$23:I219),0))),IF('депозитный калькулятор'!$G$10="ежегодное",IF(F220&gt;'депозитный калькулятор'!$D$8," ",IF(F220='депозитный калькулятор'!$D$8,SUM($H$23:H220)-SUM($I$23:I219),IF(AND(EOMONTH(F220,0)=F220,MONTH(F220)=12),IF(MOD(YEAR(F219),4)=0,IF(F220-'депозитный калькулятор'!$D$7&lt;366,SUM($H$23:H220),SUM(OFFSET(H220,-365,0):H220)),IF(F220-'депозитный калькулятор'!$D$7&lt;365,SUM($H$23:H220),SUM(OFFSET(H220,-364,0):H220))),0))),IF(AND('депозитный калькулятор'!$G$10="в конце срока",'депозитный калькулятор'!$D$8=F220),SUM($H$23:H220),0))))))))))))))))))</f>
        <v xml:space="preserve"> </v>
      </c>
      <c r="J220" s="59" t="str">
        <f>IF(F220&gt;'депозитный калькулятор'!$D$8," ",IF('депозитный калькулятор'!$G$16="нет",0,IF(AND('депозитный калькулятор'!$G$17="разовая (в конце срока)",F220='депозитный калькулятор'!$D$8),'депозитный калькулятор'!$G$18,IF(AND('депозитный калькулятор'!$G$17="ежемесячная",EOMONTH(F219,0)=F219),'депозитный калькулятор'!$G$18,IF(AND('депозитный калькулятор'!$G$17="ежегодная",DAY(F219)=31,MONTH(F219)=12),'депозитный калькулятор'!$G$18,IF(AND('депозитный калькулятор'!$G$17="ежемесячная в зависимости от остатка",EOMONTH(F219,0)=F219,P219&gt;0),'депозитный калькулятор'!$G$18,IF(AND('депозитный калькулятор'!$G$17="ежегодная в зависимости от остатка",DAY(F219)=31,MONTH(F219)=12,P219&gt;0),'депозитный калькулятор'!$G$18,0)))))))</f>
        <v xml:space="preserve"> </v>
      </c>
      <c r="K220" s="135" t="str">
        <f>IF($F220=" "," ",IFERROR(VLOOKUP($F220,'депозитный калькулятор'!$B$26:$F$70,2,0),0))</f>
        <v xml:space="preserve"> </v>
      </c>
      <c r="L220" s="135" t="str">
        <f>IF($F220=" "," ",IFERROR(VLOOKUP($F220,'депозитный калькулятор'!$B$26:$F$70,3,0),0))</f>
        <v xml:space="preserve"> </v>
      </c>
      <c r="M220" s="135" t="str">
        <f>IF($F220=" "," ",IFERROR(VLOOKUP($F220,'депозитный калькулятор'!$B$26:$F$70,4,0),0))</f>
        <v xml:space="preserve"> </v>
      </c>
      <c r="N220" s="135" t="str">
        <f>IF($F220=" "," ",IFERROR(VLOOKUP($F220,'депозитный калькулятор'!$B$26:$F$70,5,0),0))</f>
        <v xml:space="preserve"> </v>
      </c>
      <c r="O220" s="146" t="str">
        <f>IF(F220&gt;'депозитный калькулятор'!$D$8," ",IF(F220='депозитный калькулятор'!$D$8,IF(AND($F$24='депозитный калькулятор'!$D$8,'депозитный калькулятор'!$G$13="нет"),-G220-IF(I220=" ",0,I220)-IF(AND(OR('депозитный калькулятор'!$G$7="30/365",'депозитный калькулятор'!$G$7="30/360"),'депозитный калькулятор'!$G$10="в начале срока"),I219,0)-L220+M220-N220,-G220-IF(I220=" ",0,I220)-L220+M220-N220),IF('депозитный калькулятор'!$G$13="есть",M220-N220+IF('депозитный калькулятор'!$G$14="есть",0,-L220),-IF(I220=" ",0,I220)-IF(AND(OR('депозитный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срока"),I219,0)+M220-N220+IF('депозитный калькулятор'!$G$14="есть",0,-L220))))</f>
        <v xml:space="preserve"> </v>
      </c>
      <c r="P220" s="147" t="str">
        <f>IF(F220&gt;'депозитный калькулятор'!$D$8," ",IF(EOMONTH(F219,0)=F219,0,IF(G220&gt;='депозитный калькулятор'!$G$19,P219,P219+1)))</f>
        <v xml:space="preserve"> </v>
      </c>
      <c r="Q220" s="138" t="str">
        <f>IF(F220=" "," ",IF(AND(OR('депозитный калькулятор'!$G$7="30/365",'депозитный калькулятор'!$G$7="30/360"),AND(MONTH(F220)=2,EOMONTH(F220,0)=F220)),IF(DAY(F220)=28,3,2),1)*IF(G220&gt;='депозитный калькулятор'!$G$11,IF(AND('депозитный калькулятор'!$G$7="факт/факт",MOD(YEAR(F220),4)=0),G220*'депозитный калькулятор'!$D$11/366,G220*'депозитный калькулятор'!$G$8),0))</f>
        <v xml:space="preserve"> </v>
      </c>
      <c r="R220" s="148"/>
      <c r="S220" s="62" t="str">
        <f t="shared" ca="1" si="17"/>
        <v xml:space="preserve"> </v>
      </c>
      <c r="T220" s="149" t="str">
        <f ca="1">IF(S220=" "," ",IF('депозитный калькулятор'!$G$7="30/360",DAYS360(U219,IF(DAY(U220)=31,U220-1,U220))+IF(AND(MONTH(U220)=2,U220=EOMONTH(U220,0)),30-DAY(EOMONTH(U220,0)))+T219,VLOOKUP(S220,$C$22:$F$1023,2,0)))</f>
        <v xml:space="preserve"> </v>
      </c>
      <c r="U220" s="64" t="str">
        <f t="shared" ca="1" si="15"/>
        <v xml:space="preserve"> </v>
      </c>
      <c r="V220" s="150" t="str">
        <f t="shared" ca="1" si="18"/>
        <v xml:space="preserve"> </v>
      </c>
      <c r="W220" s="62" t="str">
        <f t="shared" ca="1" si="19"/>
        <v xml:space="preserve"> </v>
      </c>
      <c r="X220" s="141" t="str">
        <f ca="1">IF(S220=" "," ",IFERROR(VLOOKUP(U220,$F$23:$N$1023,7)+VLOOKUP(U220,$F$23:$N$1023,9)+IF(AND('депозитный калькулятор'!$G$13="нет",U220&lt;&gt;'депозитный калькулятор'!$D$8),VLOOKUP(U220,$F$23:$N$1023,4),0),0)+IF(U220='депозитный калькулятор'!$D$8,VLOOKUP(U220,$F$23:$N$1023,2)+VLOOKUP(U220,$F$23:$N$1023,4),0))</f>
        <v xml:space="preserve"> </v>
      </c>
      <c r="Y220" s="142" t="str">
        <f ca="1">IF(S220=" "," ",W220/(1+'депозитный калькулятор'!$K$8)^(T220/IF('депозитный калькулятор'!$G$7="30/360",360,365)))</f>
        <v xml:space="preserve"> </v>
      </c>
      <c r="Z220" s="142" t="str">
        <f ca="1">IF(S220=" "," ",X220/(1+'депозитный калькулятор'!$K$8)^(T220/IF('депозитный калькулятор'!$G$7="30/360",360,365)))</f>
        <v xml:space="preserve"> </v>
      </c>
      <c r="AA220" s="151"/>
      <c r="AB220" s="151"/>
      <c r="AC220" s="155"/>
      <c r="AD220" s="155"/>
    </row>
    <row r="221" spans="1:30" s="2" customFormat="1" ht="15.5" x14ac:dyDescent="0.35">
      <c r="A221" s="41" t="str">
        <f>IF(F221=" "," ",IF(OR('депозитный калькулятор'!$G$7="30/365",'депозитный калькулятор'!$G$7="30/360"),IF(AND(MONTH(F221)=2,DAY(F221)=DAY(EOMONTH(F221,0))),30-DAY(EOMONTH(F221,0)),IF(DAY(F221)=31,1," "))," "))</f>
        <v xml:space="preserve"> </v>
      </c>
      <c r="B221" s="130" t="str">
        <f t="shared" si="16"/>
        <v xml:space="preserve"> </v>
      </c>
      <c r="C221" s="130" t="str">
        <f>IF(OR(B221=0,B221=" ")," ",SUM($B$23:B221))</f>
        <v xml:space="preserve"> </v>
      </c>
      <c r="D221" s="62" t="str">
        <f>IF(D220=" "," ",IF(OR(F220='депозитный калькулятор'!$D$8,F220=" ")," ",D220+1))</f>
        <v xml:space="preserve"> </v>
      </c>
      <c r="E221" s="130" t="str">
        <f>IF(OR(F220='депозитный калькулятор'!$D$8,F220=" ")," ",IF(EOMONTH(F220,0)=F220,1,E220+1))</f>
        <v xml:space="preserve"> </v>
      </c>
      <c r="F221" s="64" t="str">
        <f>IF(F220=" "," ",IF(F220='депозитный калькулятор'!$D$8," ",F220+1))</f>
        <v xml:space="preserve"> </v>
      </c>
      <c r="G221" s="145" t="str">
        <f xml:space="preserve"> IF(F221&gt;'депозитный калькулятор'!$D$8," ",IF('депозитный калькулятор'!$G$13="есть",IF('депозитный калькулятор'!$G$14="есть",G220+IF(I220=" ",0,I220)-J221-K221+L221+M221-N221,G220+IF(I220=" ",0,I220)-J221-K221+M221-N221),IF('депозитный калькулятор'!$G$14="есть",G220-J221-K221+L221+M221-N221,G220-J221-K221+M221-N221)))</f>
        <v xml:space="preserve"> </v>
      </c>
      <c r="H221" s="133" t="str">
        <f>IF(F221&gt;'депозитный калькулятор'!$D$8," ",IF(AND(OR('депозитный калькулятор'!$G$7="30/365",'депозитный калькулятор'!$G$7="30/360"),AND(MONTH(F221)=2,EOMONTH(F221,0)=F221)),IF(DAY(F221)=28,3*G221*'депозитный калькулятор'!$G$8,2*G221*'депозитный калькулятор'!$G$8),IF(AND(OR('депозитный калькулятор'!$G$7="30/365",'депозитный калькулятор'!$G$7="30/360"),DAY(F221)=31)," ",IF(AND('депозитный калькулятор'!$G$7="факт/факт",MOD(YEAR(F221),4)=0),G221*'депозитный калькулятор'!$D$11/366,G221*'депозитный калькулятор'!$G$8))))</f>
        <v xml:space="preserve"> </v>
      </c>
      <c r="I221" s="134" t="str">
        <f ca="1">IF(F221=" "," ",IF('депозитный калькулятор'!$G$10="ежедневное",H221,IF(AND('депозитный калькулятор'!$G$10="еженедельное",WEEKDAY(F221,2)=7),SUM(OFFSET(H221,-6,0):H221),IF(AND('депозитный калькулятор'!$G$10="еженедельное",F221='депозитный калькулятор'!$D$8),SUM($H$23:H221)-SUM($I$23:I220),IF(AND('депозитный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недели",WEEKDAY(F221,2)=7),MIN(OFFSET(H221,-6,0):H221)*(COUNTIF(OFFSET(H221,-6,0):H221,"&gt;0")+SUMIF(OFFSET(A221,-WEEKDAY(F221,2),0):A221,"=2",OFFSET(A221,-WEEKDAY(F221,2),0):A221)),IF(AND('депозитный калькулятор'!$G$10="еженедельное, на минимальную сумму зафиксированную в течение недели",F221='депозитный калькулятор'!$D$8,WEEKDAY(F221,2)&lt;&gt;7),MIN(OFFSET(H221,-WEEKDAY(F221,2),0):H221)*(COUNTIF(OFFSET(H221,-WEEKDAY(F221,2)+1,0):H221,"&gt;0")+SUM(OFFSET(A221,-WEEKDAY(F221,2),0):A221)),IF(AND('депозитный калькулятор'!$G$10="ежемесячное (в конце месяца)",F221='депозитный калькулятор'!$D$8,EOMONTH(F221,0)&lt;&gt;F221),IF('депозитный калькулятор'!$F$1=1,$H$24,SUM($H$23:H221)-SUM($I$23:I220)),IF(AND('депозитный калькулятор'!$G$10="ежемесячное (в конце месяца)",EOMONTH(F221,0)=F221),SUM($H$23:H221)-SUM($I$23:I220),IF(AND('депозитный калькулятор'!$G$10="ежемесячное (по дням открытия вклада)",F221='депозитный калькулятор'!$D$8,DAY('депозитный калькулятор'!$D$7)&lt;&gt;DAY(F221)),IF('депозитный калькулятор'!$F$1=1,$H$24,SUM($H$23:H221)-SUM($I$23:I220)),IF(AND('депозитный калькулятор'!$G$10="ежемесячное (по дням открытия вклада)",DAY('депозитный калькулятор'!$D$7)=DAY(F221)),SUM($H$23:H221)-SUM($I$23:I220),IF(AND('депозитный калькулятор'!$G$10="ежемесячное, на минимальную сумму зафиксированную в течение месяца",F221='депозитный калькулятор'!$D$8,EOMONTH(F221,0)&lt;&gt;F221),IF('депозитный калькулятор'!$F$1=1,$H$24,IF(AND(OR('депозитный калькулятор'!$G$7="30/365",'депозитный калькулятор'!$G$7="30/360"),DAY(F221)=31),0,MIN(OFFSET(H221,-E221+1,0):H221)*(E221+SUMIF(OFFSET(A221,-E221+1,0):A221,"=2",OFFSET(A221,-E221+1,0):A221)))),IF(AND('депозитный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калькулятор'!$G$7="30/360"),DAY(EOMONTH(F221,0))=31),EOMONTH(F221,0)-1=F221,EOMONTH(F221,0)=F221)),IF(IF(AND(OR('депозитный калькулятор'!$G$7="30/365",'депозитный калькулятор'!$G$7="30/360"),DAY(EOMONTH($F$23,0))=31),F221=EOMONTH($F$23,0)-1,F221=EOMONTH($F$23,0)),MIN(OFFSET(H221,-(DAY(F221)-DAY($F$23)),0):H221)*E221,MIN(OFFSET(H221,-(DAY(F221)-1),0):H221)*IF(AND(OR('депозитный калькулятор'!$G$7="30/365",'депозитный калькулятор'!$G$7="30/360"),DAY(F221)&lt;30),30,DAY(F221))),IF(AND('депозитный калькулятор'!$G$10="ежемесячное, на средний остаток в течение месяца, при условии что остаток больше чем ограничение",F221='депозитный калькулятор'!$D$8,EOMONTH(F221,0)&lt;&gt;F221),IF('депозитный калькулятор'!$F$1=1,$H$24,SUM(OFFSET(Q221,-E221+1,0):Q221)),IF(AND('депозитный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калькулятор'!$G$7="30/360"),DAY(EOMONTH(F221,0))=31),EOMONTH(F221,0)-1=F221,EOMONTH(F221,0)=F221)),IF(IF(AND(OR('депозитный калькулятор'!$G$7="30/365",'депозитный калькулятор'!$G$7="30/360"),DAY(EOMONTH($F$24,0))=31),F221=EOMONTH($F$24,0)-1,F221=EOMONTH($F$24,0)),SUM(OFFSET(Q221,-E221+1,0):Q221),SUM(OFFSET(Q221,-E221+1,0):Q221)),IF('депозитный калькулятор'!$G$10="ежеквартальное",IF(F221&gt;'депозитный калькулятор'!$D$8," ",IF(AND(EOMONTH(F221,0)=F221,OR(MONTH(F221)=3,MONTH(F221)=6,MONTH(F221)=9,MONTH(F221)=12)),IF(EDATE(F221,-3)&lt;'депозитный калькулятор'!$D$7,SUM($H$23:H221),IF(MOD(YEAR(F221),4)=0,IF(AND(EOMONTH(F221,0)=F221,OR(MONTH(F221)=3,MONTH(F221)=6)),SUM(OFFSET(H221,-90,0):H221),IF(AND(EOMONTH(F221,0)=F221,OR(MONTH(F221)=9,MONTH(F221)=12)),SUM(OFFSET(H221,-91,0):H221))),IF(AND(EOMONTH(F221,0)=F221,MONTH(F221)=3),SUM(OFFSET(H221,-89,0):H221),IF(AND(EOMONTH(F221,0)=F221,MONTH(F221)=6),SUM(OFFSET(H221,-90,0):H221),IF(AND(EOMONTH(F221,0)=F221,OR(MONTH(F221)=9,MONTH(F221)=12)),SUM(OFFSET(H221,-91,0):H221)))))),IF(F221='депозитный калькулятор'!$D$8,SUM($H$23:H221)-SUM($I$23:I220),0))),IF('депозитный калькулятор'!$G$10="ежегодное",IF(F221&gt;'депозитный калькулятор'!$D$8," ",IF(F221='депозитный калькулятор'!$D$8,SUM($H$23:H221)-SUM($I$23:I220),IF(AND(EOMONTH(F221,0)=F221,MONTH(F221)=12),IF(MOD(YEAR(F220),4)=0,IF(F221-'депозитный калькулятор'!$D$7&lt;366,SUM($H$23:H221),SUM(OFFSET(H221,-365,0):H221)),IF(F221-'депозитный калькулятор'!$D$7&lt;365,SUM($H$23:H221),SUM(OFFSET(H221,-364,0):H221))),0))),IF(AND('депозитный калькулятор'!$G$10="в конце срока",'депозитный калькулятор'!$D$8=F221),SUM($H$23:H221),0))))))))))))))))))</f>
        <v xml:space="preserve"> </v>
      </c>
      <c r="J221" s="59" t="str">
        <f>IF(F221&gt;'депозитный калькулятор'!$D$8," ",IF('депозитный калькулятор'!$G$16="нет",0,IF(AND('депозитный калькулятор'!$G$17="разовая (в конце срока)",F221='депозитный калькулятор'!$D$8),'депозитный калькулятор'!$G$18,IF(AND('депозитный калькулятор'!$G$17="ежемесячная",EOMONTH(F220,0)=F220),'депозитный калькулятор'!$G$18,IF(AND('депозитный калькулятор'!$G$17="ежегодная",DAY(F220)=31,MONTH(F220)=12),'депозитный калькулятор'!$G$18,IF(AND('депозитный калькулятор'!$G$17="ежемесячная в зависимости от остатка",EOMONTH(F220,0)=F220,P220&gt;0),'депозитный калькулятор'!$G$18,IF(AND('депозитный калькулятор'!$G$17="ежегодная в зависимости от остатка",DAY(F220)=31,MONTH(F220)=12,P220&gt;0),'депозитный калькулятор'!$G$18,0)))))))</f>
        <v xml:space="preserve"> </v>
      </c>
      <c r="K221" s="135" t="str">
        <f>IF($F221=" "," ",IFERROR(VLOOKUP($F221,'депозитный калькулятор'!$B$26:$F$70,2,0),0))</f>
        <v xml:space="preserve"> </v>
      </c>
      <c r="L221" s="135" t="str">
        <f>IF($F221=" "," ",IFERROR(VLOOKUP($F221,'депозитный калькулятор'!$B$26:$F$70,3,0),0))</f>
        <v xml:space="preserve"> </v>
      </c>
      <c r="M221" s="135" t="str">
        <f>IF($F221=" "," ",IFERROR(VLOOKUP($F221,'депозитный калькулятор'!$B$26:$F$70,4,0),0))</f>
        <v xml:space="preserve"> </v>
      </c>
      <c r="N221" s="135" t="str">
        <f>IF($F221=" "," ",IFERROR(VLOOKUP($F221,'депозитный калькулятор'!$B$26:$F$70,5,0),0))</f>
        <v xml:space="preserve"> </v>
      </c>
      <c r="O221" s="146" t="str">
        <f>IF(F221&gt;'депозитный калькулятор'!$D$8," ",IF(F221='депозитный калькулятор'!$D$8,IF(AND($F$24='депозитный калькулятор'!$D$8,'депозитный калькулятор'!$G$13="нет"),-G221-IF(I221=" ",0,I221)-IF(AND(OR('депозитный калькулятор'!$G$7="30/365",'депозитный калькулятор'!$G$7="30/360"),'депозитный калькулятор'!$G$10="в начале срока"),I220,0)-L221+M221-N221,-G221-IF(I221=" ",0,I221)-L221+M221-N221),IF('депозитный калькулятор'!$G$13="есть",M221-N221+IF('депозитный калькулятор'!$G$14="есть",0,-L221),-IF(I221=" ",0,I221)-IF(AND(OR('депозитный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срока"),I220,0)+M221-N221+IF('депозитный калькулятор'!$G$14="есть",0,-L221))))</f>
        <v xml:space="preserve"> </v>
      </c>
      <c r="P221" s="147" t="str">
        <f>IF(F221&gt;'депозитный калькулятор'!$D$8," ",IF(EOMONTH(F220,0)=F220,0,IF(G221&gt;='депозитный калькулятор'!$G$19,P220,P220+1)))</f>
        <v xml:space="preserve"> </v>
      </c>
      <c r="Q221" s="138" t="str">
        <f>IF(F221=" "," ",IF(AND(OR('депозитный калькулятор'!$G$7="30/365",'депозитный калькулятор'!$G$7="30/360"),AND(MONTH(F221)=2,EOMONTH(F221,0)=F221)),IF(DAY(F221)=28,3,2),1)*IF(G221&gt;='депозитный калькулятор'!$G$11,IF(AND('депозитный калькулятор'!$G$7="факт/факт",MOD(YEAR(F221),4)=0),G221*'депозитный калькулятор'!$D$11/366,G221*'депозитный калькулятор'!$G$8),0))</f>
        <v xml:space="preserve"> </v>
      </c>
      <c r="R221" s="148"/>
      <c r="S221" s="62" t="str">
        <f t="shared" ca="1" si="17"/>
        <v xml:space="preserve"> </v>
      </c>
      <c r="T221" s="149" t="str">
        <f ca="1">IF(S221=" "," ",IF('депозитный калькулятор'!$G$7="30/360",DAYS360(U220,IF(DAY(U221)=31,U221-1,U221))+IF(AND(MONTH(U221)=2,U221=EOMONTH(U221,0)),30-DAY(EOMONTH(U221,0)))+T220,VLOOKUP(S221,$C$22:$F$1023,2,0)))</f>
        <v xml:space="preserve"> </v>
      </c>
      <c r="U221" s="64" t="str">
        <f t="shared" ca="1" si="15"/>
        <v xml:space="preserve"> </v>
      </c>
      <c r="V221" s="150" t="str">
        <f t="shared" ca="1" si="18"/>
        <v xml:space="preserve"> </v>
      </c>
      <c r="W221" s="62" t="str">
        <f t="shared" ca="1" si="19"/>
        <v xml:space="preserve"> </v>
      </c>
      <c r="X221" s="141" t="str">
        <f ca="1">IF(S221=" "," ",IFERROR(VLOOKUP(U221,$F$23:$N$1023,7)+VLOOKUP(U221,$F$23:$N$1023,9)+IF(AND('депозитный калькулятор'!$G$13="нет",U221&lt;&gt;'депозитный калькулятор'!$D$8),VLOOKUP(U221,$F$23:$N$1023,4),0),0)+IF(U221='депозитный калькулятор'!$D$8,VLOOKUP(U221,$F$23:$N$1023,2)+VLOOKUP(U221,$F$23:$N$1023,4),0))</f>
        <v xml:space="preserve"> </v>
      </c>
      <c r="Y221" s="142" t="str">
        <f ca="1">IF(S221=" "," ",W221/(1+'депозитный калькулятор'!$K$8)^(T221/IF('депозитный калькулятор'!$G$7="30/360",360,365)))</f>
        <v xml:space="preserve"> </v>
      </c>
      <c r="Z221" s="142" t="str">
        <f ca="1">IF(S221=" "," ",X221/(1+'депозитный калькулятор'!$K$8)^(T221/IF('депозитный калькулятор'!$G$7="30/360",360,365)))</f>
        <v xml:space="preserve"> </v>
      </c>
      <c r="AA221" s="151"/>
      <c r="AB221" s="151"/>
      <c r="AC221" s="155"/>
      <c r="AD221" s="155"/>
    </row>
    <row r="222" spans="1:30" s="2" customFormat="1" ht="15.5" x14ac:dyDescent="0.35">
      <c r="A222" s="41" t="str">
        <f>IF(F222=" "," ",IF(OR('депозитный калькулятор'!$G$7="30/365",'депозитный калькулятор'!$G$7="30/360"),IF(AND(MONTH(F222)=2,DAY(F222)=DAY(EOMONTH(F222,0))),30-DAY(EOMONTH(F222,0)),IF(DAY(F222)=31,1," "))," "))</f>
        <v xml:space="preserve"> </v>
      </c>
      <c r="B222" s="130" t="str">
        <f t="shared" si="16"/>
        <v xml:space="preserve"> </v>
      </c>
      <c r="C222" s="130" t="str">
        <f>IF(OR(B222=0,B222=" ")," ",SUM($B$23:B222))</f>
        <v xml:space="preserve"> </v>
      </c>
      <c r="D222" s="62" t="str">
        <f>IF(D221=" "," ",IF(OR(F221='депозитный калькулятор'!$D$8,F221=" ")," ",D221+1))</f>
        <v xml:space="preserve"> </v>
      </c>
      <c r="E222" s="130" t="str">
        <f>IF(OR(F221='депозитный калькулятор'!$D$8,F221=" ")," ",IF(EOMONTH(F221,0)=F221,1,E221+1))</f>
        <v xml:space="preserve"> </v>
      </c>
      <c r="F222" s="64" t="str">
        <f>IF(F221=" "," ",IF(F221='депозитный калькулятор'!$D$8," ",F221+1))</f>
        <v xml:space="preserve"> </v>
      </c>
      <c r="G222" s="145" t="str">
        <f xml:space="preserve"> IF(F222&gt;'депозитный калькулятор'!$D$8," ",IF('депозитный калькулятор'!$G$13="есть",IF('депозитный калькулятор'!$G$14="есть",G221+IF(I221=" ",0,I221)-J222-K222+L222+M222-N222,G221+IF(I221=" ",0,I221)-J222-K222+M222-N222),IF('депозитный калькулятор'!$G$14="есть",G221-J222-K222+L222+M222-N222,G221-J222-K222+M222-N222)))</f>
        <v xml:space="preserve"> </v>
      </c>
      <c r="H222" s="133" t="str">
        <f>IF(F222&gt;'депозитный калькулятор'!$D$8," ",IF(AND(OR('депозитный калькулятор'!$G$7="30/365",'депозитный калькулятор'!$G$7="30/360"),AND(MONTH(F222)=2,EOMONTH(F222,0)=F222)),IF(DAY(F222)=28,3*G222*'депозитный калькулятор'!$G$8,2*G222*'депозитный калькулятор'!$G$8),IF(AND(OR('депозитный калькулятор'!$G$7="30/365",'депозитный калькулятор'!$G$7="30/360"),DAY(F222)=31)," ",IF(AND('депозитный калькулятор'!$G$7="факт/факт",MOD(YEAR(F222),4)=0),G222*'депозитный калькулятор'!$D$11/366,G222*'депозитный калькулятор'!$G$8))))</f>
        <v xml:space="preserve"> </v>
      </c>
      <c r="I222" s="134" t="str">
        <f ca="1">IF(F222=" "," ",IF('депозитный калькулятор'!$G$10="ежедневное",H222,IF(AND('депозитный калькулятор'!$G$10="еженедельное",WEEKDAY(F222,2)=7),SUM(OFFSET(H222,-6,0):H222),IF(AND('депозитный калькулятор'!$G$10="еженедельное",F222='депозитный калькулятор'!$D$8),SUM($H$23:H222)-SUM($I$23:I221),IF(AND('депозитный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недели",WEEKDAY(F222,2)=7),MIN(OFFSET(H222,-6,0):H222)*(COUNTIF(OFFSET(H222,-6,0):H222,"&gt;0")+SUMIF(OFFSET(A222,-WEEKDAY(F222,2),0):A222,"=2",OFFSET(A222,-WEEKDAY(F222,2),0):A222)),IF(AND('депозитный калькулятор'!$G$10="еженедельное, на минимальную сумму зафиксированную в течение недели",F222='депозитный калькулятор'!$D$8,WEEKDAY(F222,2)&lt;&gt;7),MIN(OFFSET(H222,-WEEKDAY(F222,2),0):H222)*(COUNTIF(OFFSET(H222,-WEEKDAY(F222,2)+1,0):H222,"&gt;0")+SUM(OFFSET(A222,-WEEKDAY(F222,2),0):A222)),IF(AND('депозитный калькулятор'!$G$10="ежемесячное (в конце месяца)",F222='депозитный калькулятор'!$D$8,EOMONTH(F222,0)&lt;&gt;F222),IF('депозитный калькулятор'!$F$1=1,$H$24,SUM($H$23:H222)-SUM($I$23:I221)),IF(AND('депозитный калькулятор'!$G$10="ежемесячное (в конце месяца)",EOMONTH(F222,0)=F222),SUM($H$23:H222)-SUM($I$23:I221),IF(AND('депозитный калькулятор'!$G$10="ежемесячное (по дням открытия вклада)",F222='депозитный калькулятор'!$D$8,DAY('депозитный калькулятор'!$D$7)&lt;&gt;DAY(F222)),IF('депозитный калькулятор'!$F$1=1,$H$24,SUM($H$23:H222)-SUM($I$23:I221)),IF(AND('депозитный калькулятор'!$G$10="ежемесячное (по дням открытия вклада)",DAY('депозитный калькулятор'!$D$7)=DAY(F222)),SUM($H$23:H222)-SUM($I$23:I221),IF(AND('депозитный калькулятор'!$G$10="ежемесячное, на минимальную сумму зафиксированную в течение месяца",F222='депозитный калькулятор'!$D$8,EOMONTH(F222,0)&lt;&gt;F222),IF('депозитный калькулятор'!$F$1=1,$H$24,IF(AND(OR('депозитный калькулятор'!$G$7="30/365",'депозитный калькулятор'!$G$7="30/360"),DAY(F222)=31),0,MIN(OFFSET(H222,-E222+1,0):H222)*(E222+SUMIF(OFFSET(A222,-E222+1,0):A222,"=2",OFFSET(A222,-E222+1,0):A222)))),IF(AND('депозитный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калькулятор'!$G$7="30/360"),DAY(EOMONTH(F222,0))=31),EOMONTH(F222,0)-1=F222,EOMONTH(F222,0)=F222)),IF(IF(AND(OR('депозитный калькулятор'!$G$7="30/365",'депозитный калькулятор'!$G$7="30/360"),DAY(EOMONTH($F$23,0))=31),F222=EOMONTH($F$23,0)-1,F222=EOMONTH($F$23,0)),MIN(OFFSET(H222,-(DAY(F222)-DAY($F$23)),0):H222)*E222,MIN(OFFSET(H222,-(DAY(F222)-1),0):H222)*IF(AND(OR('депозитный калькулятор'!$G$7="30/365",'депозитный калькулятор'!$G$7="30/360"),DAY(F222)&lt;30),30,DAY(F222))),IF(AND('депозитный калькулятор'!$G$10="ежемесячное, на средний остаток в течение месяца, при условии что остаток больше чем ограничение",F222='депозитный калькулятор'!$D$8,EOMONTH(F222,0)&lt;&gt;F222),IF('депозитный калькулятор'!$F$1=1,$H$24,SUM(OFFSET(Q222,-E222+1,0):Q222)),IF(AND('депозитный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калькулятор'!$G$7="30/360"),DAY(EOMONTH(F222,0))=31),EOMONTH(F222,0)-1=F222,EOMONTH(F222,0)=F222)),IF(IF(AND(OR('депозитный калькулятор'!$G$7="30/365",'депозитный калькулятор'!$G$7="30/360"),DAY(EOMONTH($F$24,0))=31),F222=EOMONTH($F$24,0)-1,F222=EOMONTH($F$24,0)),SUM(OFFSET(Q222,-E222+1,0):Q222),SUM(OFFSET(Q222,-E222+1,0):Q222)),IF('депозитный калькулятор'!$G$10="ежеквартальное",IF(F222&gt;'депозитный калькулятор'!$D$8," ",IF(AND(EOMONTH(F222,0)=F222,OR(MONTH(F222)=3,MONTH(F222)=6,MONTH(F222)=9,MONTH(F222)=12)),IF(EDATE(F222,-3)&lt;'депозитный калькулятор'!$D$7,SUM($H$23:H222),IF(MOD(YEAR(F222),4)=0,IF(AND(EOMONTH(F222,0)=F222,OR(MONTH(F222)=3,MONTH(F222)=6)),SUM(OFFSET(H222,-90,0):H222),IF(AND(EOMONTH(F222,0)=F222,OR(MONTH(F222)=9,MONTH(F222)=12)),SUM(OFFSET(H222,-91,0):H222))),IF(AND(EOMONTH(F222,0)=F222,MONTH(F222)=3),SUM(OFFSET(H222,-89,0):H222),IF(AND(EOMONTH(F222,0)=F222,MONTH(F222)=6),SUM(OFFSET(H222,-90,0):H222),IF(AND(EOMONTH(F222,0)=F222,OR(MONTH(F222)=9,MONTH(F222)=12)),SUM(OFFSET(H222,-91,0):H222)))))),IF(F222='депозитный калькулятор'!$D$8,SUM($H$23:H222)-SUM($I$23:I221),0))),IF('депозитный калькулятор'!$G$10="ежегодное",IF(F222&gt;'депозитный калькулятор'!$D$8," ",IF(F222='депозитный калькулятор'!$D$8,SUM($H$23:H222)-SUM($I$23:I221),IF(AND(EOMONTH(F222,0)=F222,MONTH(F222)=12),IF(MOD(YEAR(F221),4)=0,IF(F222-'депозитный калькулятор'!$D$7&lt;366,SUM($H$23:H222),SUM(OFFSET(H222,-365,0):H222)),IF(F222-'депозитный калькулятор'!$D$7&lt;365,SUM($H$23:H222),SUM(OFFSET(H222,-364,0):H222))),0))),IF(AND('депозитный калькулятор'!$G$10="в конце срока",'депозитный калькулятор'!$D$8=F222),SUM($H$23:H222),0))))))))))))))))))</f>
        <v xml:space="preserve"> </v>
      </c>
      <c r="J222" s="59" t="str">
        <f>IF(F222&gt;'депозитный калькулятор'!$D$8," ",IF('депозитный калькулятор'!$G$16="нет",0,IF(AND('депозитный калькулятор'!$G$17="разовая (в конце срока)",F222='депозитный калькулятор'!$D$8),'депозитный калькулятор'!$G$18,IF(AND('депозитный калькулятор'!$G$17="ежемесячная",EOMONTH(F221,0)=F221),'депозитный калькулятор'!$G$18,IF(AND('депозитный калькулятор'!$G$17="ежегодная",DAY(F221)=31,MONTH(F221)=12),'депозитный калькулятор'!$G$18,IF(AND('депозитный калькулятор'!$G$17="ежемесячная в зависимости от остатка",EOMONTH(F221,0)=F221,P221&gt;0),'депозитный калькулятор'!$G$18,IF(AND('депозитный калькулятор'!$G$17="ежегодная в зависимости от остатка",DAY(F221)=31,MONTH(F221)=12,P221&gt;0),'депозитный калькулятор'!$G$18,0)))))))</f>
        <v xml:space="preserve"> </v>
      </c>
      <c r="K222" s="135" t="str">
        <f>IF($F222=" "," ",IFERROR(VLOOKUP($F222,'депозитный калькулятор'!$B$26:$F$70,2,0),0))</f>
        <v xml:space="preserve"> </v>
      </c>
      <c r="L222" s="135" t="str">
        <f>IF($F222=" "," ",IFERROR(VLOOKUP($F222,'депозитный калькулятор'!$B$26:$F$70,3,0),0))</f>
        <v xml:space="preserve"> </v>
      </c>
      <c r="M222" s="135" t="str">
        <f>IF($F222=" "," ",IFERROR(VLOOKUP($F222,'депозитный калькулятор'!$B$26:$F$70,4,0),0))</f>
        <v xml:space="preserve"> </v>
      </c>
      <c r="N222" s="135" t="str">
        <f>IF($F222=" "," ",IFERROR(VLOOKUP($F222,'депозитный калькулятор'!$B$26:$F$70,5,0),0))</f>
        <v xml:space="preserve"> </v>
      </c>
      <c r="O222" s="146" t="str">
        <f>IF(F222&gt;'депозитный калькулятор'!$D$8," ",IF(F222='депозитный калькулятор'!$D$8,IF(AND($F$24='депозитный калькулятор'!$D$8,'депозитный калькулятор'!$G$13="нет"),-G222-IF(I222=" ",0,I222)-IF(AND(OR('депозитный калькулятор'!$G$7="30/365",'депозитный калькулятор'!$G$7="30/360"),'депозитный калькулятор'!$G$10="в начале срока"),I221,0)-L222+M222-N222,-G222-IF(I222=" ",0,I222)-L222+M222-N222),IF('депозитный калькулятор'!$G$13="есть",M222-N222+IF('депозитный калькулятор'!$G$14="есть",0,-L222),-IF(I222=" ",0,I222)-IF(AND(OR('депозитный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срока"),I221,0)+M222-N222+IF('депозитный калькулятор'!$G$14="есть",0,-L222))))</f>
        <v xml:space="preserve"> </v>
      </c>
      <c r="P222" s="147" t="str">
        <f>IF(F222&gt;'депозитный калькулятор'!$D$8," ",IF(EOMONTH(F221,0)=F221,0,IF(G222&gt;='депозитный калькулятор'!$G$19,P221,P221+1)))</f>
        <v xml:space="preserve"> </v>
      </c>
      <c r="Q222" s="138" t="str">
        <f>IF(F222=" "," ",IF(AND(OR('депозитный калькулятор'!$G$7="30/365",'депозитный калькулятор'!$G$7="30/360"),AND(MONTH(F222)=2,EOMONTH(F222,0)=F222)),IF(DAY(F222)=28,3,2),1)*IF(G222&gt;='депозитный калькулятор'!$G$11,IF(AND('депозитный калькулятор'!$G$7="факт/факт",MOD(YEAR(F222),4)=0),G222*'депозитный калькулятор'!$D$11/366,G222*'депозитный калькулятор'!$G$8),0))</f>
        <v xml:space="preserve"> </v>
      </c>
      <c r="R222" s="148"/>
      <c r="S222" s="62" t="str">
        <f t="shared" ca="1" si="17"/>
        <v xml:space="preserve"> </v>
      </c>
      <c r="T222" s="149" t="str">
        <f ca="1">IF(S222=" "," ",IF('депозитный калькулятор'!$G$7="30/360",DAYS360(U221,IF(DAY(U222)=31,U222-1,U222))+IF(AND(MONTH(U222)=2,U222=EOMONTH(U222,0)),30-DAY(EOMONTH(U222,0)))+T221,VLOOKUP(S222,$C$22:$F$1023,2,0)))</f>
        <v xml:space="preserve"> </v>
      </c>
      <c r="U222" s="64" t="str">
        <f t="shared" ca="1" si="15"/>
        <v xml:space="preserve"> </v>
      </c>
      <c r="V222" s="150" t="str">
        <f t="shared" ca="1" si="18"/>
        <v xml:space="preserve"> </v>
      </c>
      <c r="W222" s="62" t="str">
        <f t="shared" ca="1" si="19"/>
        <v xml:space="preserve"> </v>
      </c>
      <c r="X222" s="141" t="str">
        <f ca="1">IF(S222=" "," ",IFERROR(VLOOKUP(U222,$F$23:$N$1023,7)+VLOOKUP(U222,$F$23:$N$1023,9)+IF(AND('депозитный калькулятор'!$G$13="нет",U222&lt;&gt;'депозитный калькулятор'!$D$8),VLOOKUP(U222,$F$23:$N$1023,4),0),0)+IF(U222='депозитный калькулятор'!$D$8,VLOOKUP(U222,$F$23:$N$1023,2)+VLOOKUP(U222,$F$23:$N$1023,4),0))</f>
        <v xml:space="preserve"> </v>
      </c>
      <c r="Y222" s="142" t="str">
        <f ca="1">IF(S222=" "," ",W222/(1+'депозитный калькулятор'!$K$8)^(T222/IF('депозитный калькулятор'!$G$7="30/360",360,365)))</f>
        <v xml:space="preserve"> </v>
      </c>
      <c r="Z222" s="142" t="str">
        <f ca="1">IF(S222=" "," ",X222/(1+'депозитный калькулятор'!$K$8)^(T222/IF('депозитный калькулятор'!$G$7="30/360",360,365)))</f>
        <v xml:space="preserve"> </v>
      </c>
      <c r="AA222" s="151"/>
      <c r="AB222" s="151"/>
      <c r="AC222" s="155"/>
      <c r="AD222" s="155"/>
    </row>
    <row r="223" spans="1:30" s="2" customFormat="1" ht="15.5" x14ac:dyDescent="0.35">
      <c r="A223" s="41" t="str">
        <f>IF(F223=" "," ",IF(OR('депозитный калькулятор'!$G$7="30/365",'депозитный калькулятор'!$G$7="30/360"),IF(AND(MONTH(F223)=2,DAY(F223)=DAY(EOMONTH(F223,0))),30-DAY(EOMONTH(F223,0)),IF(DAY(F223)=31,1," "))," "))</f>
        <v xml:space="preserve"> </v>
      </c>
      <c r="B223" s="130" t="str">
        <f t="shared" si="16"/>
        <v xml:space="preserve"> </v>
      </c>
      <c r="C223" s="130" t="str">
        <f>IF(OR(B223=0,B223=" ")," ",SUM($B$23:B223))</f>
        <v xml:space="preserve"> </v>
      </c>
      <c r="D223" s="62" t="str">
        <f>IF(D222=" "," ",IF(OR(F222='депозитный калькулятор'!$D$8,F222=" ")," ",D222+1))</f>
        <v xml:space="preserve"> </v>
      </c>
      <c r="E223" s="130" t="str">
        <f>IF(OR(F222='депозитный калькулятор'!$D$8,F222=" ")," ",IF(EOMONTH(F222,0)=F222,1,E222+1))</f>
        <v xml:space="preserve"> </v>
      </c>
      <c r="F223" s="64" t="str">
        <f>IF(F222=" "," ",IF(F222='депозитный калькулятор'!$D$8," ",F222+1))</f>
        <v xml:space="preserve"> </v>
      </c>
      <c r="G223" s="145" t="str">
        <f xml:space="preserve"> IF(F223&gt;'депозитный калькулятор'!$D$8," ",IF('депозитный калькулятор'!$G$13="есть",IF('депозитный калькулятор'!$G$14="есть",G222+IF(I222=" ",0,I222)-J223-K223+L223+M223-N223,G222+IF(I222=" ",0,I222)-J223-K223+M223-N223),IF('депозитный калькулятор'!$G$14="есть",G222-J223-K223+L223+M223-N223,G222-J223-K223+M223-N223)))</f>
        <v xml:space="preserve"> </v>
      </c>
      <c r="H223" s="133" t="str">
        <f>IF(F223&gt;'депозитный калькулятор'!$D$8," ",IF(AND(OR('депозитный калькулятор'!$G$7="30/365",'депозитный калькулятор'!$G$7="30/360"),AND(MONTH(F223)=2,EOMONTH(F223,0)=F223)),IF(DAY(F223)=28,3*G223*'депозитный калькулятор'!$G$8,2*G223*'депозитный калькулятор'!$G$8),IF(AND(OR('депозитный калькулятор'!$G$7="30/365",'депозитный калькулятор'!$G$7="30/360"),DAY(F223)=31)," ",IF(AND('депозитный калькулятор'!$G$7="факт/факт",MOD(YEAR(F223),4)=0),G223*'депозитный калькулятор'!$D$11/366,G223*'депозитный калькулятор'!$G$8))))</f>
        <v xml:space="preserve"> </v>
      </c>
      <c r="I223" s="134" t="str">
        <f ca="1">IF(F223=" "," ",IF('депозитный калькулятор'!$G$10="ежедневное",H223,IF(AND('депозитный калькулятор'!$G$10="еженедельное",WEEKDAY(F223,2)=7),SUM(OFFSET(H223,-6,0):H223),IF(AND('депозитный калькулятор'!$G$10="еженедельное",F223='депозитный калькулятор'!$D$8),SUM($H$23:H223)-SUM($I$23:I222),IF(AND('депозитный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недели",WEEKDAY(F223,2)=7),MIN(OFFSET(H223,-6,0):H223)*(COUNTIF(OFFSET(H223,-6,0):H223,"&gt;0")+SUMIF(OFFSET(A223,-WEEKDAY(F223,2),0):A223,"=2",OFFSET(A223,-WEEKDAY(F223,2),0):A223)),IF(AND('депозитный калькулятор'!$G$10="еженедельное, на минимальную сумму зафиксированную в течение недели",F223='депозитный калькулятор'!$D$8,WEEKDAY(F223,2)&lt;&gt;7),MIN(OFFSET(H223,-WEEKDAY(F223,2),0):H223)*(COUNTIF(OFFSET(H223,-WEEKDAY(F223,2)+1,0):H223,"&gt;0")+SUM(OFFSET(A223,-WEEKDAY(F223,2),0):A223)),IF(AND('депозитный калькулятор'!$G$10="ежемесячное (в конце месяца)",F223='депозитный калькулятор'!$D$8,EOMONTH(F223,0)&lt;&gt;F223),IF('депозитный калькулятор'!$F$1=1,$H$24,SUM($H$23:H223)-SUM($I$23:I222)),IF(AND('депозитный калькулятор'!$G$10="ежемесячное (в конце месяца)",EOMONTH(F223,0)=F223),SUM($H$23:H223)-SUM($I$23:I222),IF(AND('депозитный калькулятор'!$G$10="ежемесячное (по дням открытия вклада)",F223='депозитный калькулятор'!$D$8,DAY('депозитный калькулятор'!$D$7)&lt;&gt;DAY(F223)),IF('депозитный калькулятор'!$F$1=1,$H$24,SUM($H$23:H223)-SUM($I$23:I222)),IF(AND('депозитный калькулятор'!$G$10="ежемесячное (по дням открытия вклада)",DAY('депозитный калькулятор'!$D$7)=DAY(F223)),SUM($H$23:H223)-SUM($I$23:I222),IF(AND('депозитный калькулятор'!$G$10="ежемесячное, на минимальную сумму зафиксированную в течение месяца",F223='депозитный калькулятор'!$D$8,EOMONTH(F223,0)&lt;&gt;F223),IF('депозитный калькулятор'!$F$1=1,$H$24,IF(AND(OR('депозитный калькулятор'!$G$7="30/365",'депозитный калькулятор'!$G$7="30/360"),DAY(F223)=31),0,MIN(OFFSET(H223,-E223+1,0):H223)*(E223+SUMIF(OFFSET(A223,-E223+1,0):A223,"=2",OFFSET(A223,-E223+1,0):A223)))),IF(AND('депозитный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калькулятор'!$G$7="30/360"),DAY(EOMONTH(F223,0))=31),EOMONTH(F223,0)-1=F223,EOMONTH(F223,0)=F223)),IF(IF(AND(OR('депозитный калькулятор'!$G$7="30/365",'депозитный калькулятор'!$G$7="30/360"),DAY(EOMONTH($F$23,0))=31),F223=EOMONTH($F$23,0)-1,F223=EOMONTH($F$23,0)),MIN(OFFSET(H223,-(DAY(F223)-DAY($F$23)),0):H223)*E223,MIN(OFFSET(H223,-(DAY(F223)-1),0):H223)*IF(AND(OR('депозитный калькулятор'!$G$7="30/365",'депозитный калькулятор'!$G$7="30/360"),DAY(F223)&lt;30),30,DAY(F223))),IF(AND('депозитный калькулятор'!$G$10="ежемесячное, на средний остаток в течение месяца, при условии что остаток больше чем ограничение",F223='депозитный калькулятор'!$D$8,EOMONTH(F223,0)&lt;&gt;F223),IF('депозитный калькулятор'!$F$1=1,$H$24,SUM(OFFSET(Q223,-E223+1,0):Q223)),IF(AND('депозитный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калькулятор'!$G$7="30/360"),DAY(EOMONTH(F223,0))=31),EOMONTH(F223,0)-1=F223,EOMONTH(F223,0)=F223)),IF(IF(AND(OR('депозитный калькулятор'!$G$7="30/365",'депозитный калькулятор'!$G$7="30/360"),DAY(EOMONTH($F$24,0))=31),F223=EOMONTH($F$24,0)-1,F223=EOMONTH($F$24,0)),SUM(OFFSET(Q223,-E223+1,0):Q223),SUM(OFFSET(Q223,-E223+1,0):Q223)),IF('депозитный калькулятор'!$G$10="ежеквартальное",IF(F223&gt;'депозитный калькулятор'!$D$8," ",IF(AND(EOMONTH(F223,0)=F223,OR(MONTH(F223)=3,MONTH(F223)=6,MONTH(F223)=9,MONTH(F223)=12)),IF(EDATE(F223,-3)&lt;'депозитный калькулятор'!$D$7,SUM($H$23:H223),IF(MOD(YEAR(F223),4)=0,IF(AND(EOMONTH(F223,0)=F223,OR(MONTH(F223)=3,MONTH(F223)=6)),SUM(OFFSET(H223,-90,0):H223),IF(AND(EOMONTH(F223,0)=F223,OR(MONTH(F223)=9,MONTH(F223)=12)),SUM(OFFSET(H223,-91,0):H223))),IF(AND(EOMONTH(F223,0)=F223,MONTH(F223)=3),SUM(OFFSET(H223,-89,0):H223),IF(AND(EOMONTH(F223,0)=F223,MONTH(F223)=6),SUM(OFFSET(H223,-90,0):H223),IF(AND(EOMONTH(F223,0)=F223,OR(MONTH(F223)=9,MONTH(F223)=12)),SUM(OFFSET(H223,-91,0):H223)))))),IF(F223='депозитный калькулятор'!$D$8,SUM($H$23:H223)-SUM($I$23:I222),0))),IF('депозитный калькулятор'!$G$10="ежегодное",IF(F223&gt;'депозитный калькулятор'!$D$8," ",IF(F223='депозитный калькулятор'!$D$8,SUM($H$23:H223)-SUM($I$23:I222),IF(AND(EOMONTH(F223,0)=F223,MONTH(F223)=12),IF(MOD(YEAR(F222),4)=0,IF(F223-'депозитный калькулятор'!$D$7&lt;366,SUM($H$23:H223),SUM(OFFSET(H223,-365,0):H223)),IF(F223-'депозитный калькулятор'!$D$7&lt;365,SUM($H$23:H223),SUM(OFFSET(H223,-364,0):H223))),0))),IF(AND('депозитный калькулятор'!$G$10="в конце срока",'депозитный калькулятор'!$D$8=F223),SUM($H$23:H223),0))))))))))))))))))</f>
        <v xml:space="preserve"> </v>
      </c>
      <c r="J223" s="59" t="str">
        <f>IF(F223&gt;'депозитный калькулятор'!$D$8," ",IF('депозитный калькулятор'!$G$16="нет",0,IF(AND('депозитный калькулятор'!$G$17="разовая (в конце срока)",F223='депозитный калькулятор'!$D$8),'депозитный калькулятор'!$G$18,IF(AND('депозитный калькулятор'!$G$17="ежемесячная",EOMONTH(F222,0)=F222),'депозитный калькулятор'!$G$18,IF(AND('депозитный калькулятор'!$G$17="ежегодная",DAY(F222)=31,MONTH(F222)=12),'депозитный калькулятор'!$G$18,IF(AND('депозитный калькулятор'!$G$17="ежемесячная в зависимости от остатка",EOMONTH(F222,0)=F222,P222&gt;0),'депозитный калькулятор'!$G$18,IF(AND('депозитный калькулятор'!$G$17="ежегодная в зависимости от остатка",DAY(F222)=31,MONTH(F222)=12,P222&gt;0),'депозитный калькулятор'!$G$18,0)))))))</f>
        <v xml:space="preserve"> </v>
      </c>
      <c r="K223" s="135" t="str">
        <f>IF($F223=" "," ",IFERROR(VLOOKUP($F223,'депозитный калькулятор'!$B$26:$F$70,2,0),0))</f>
        <v xml:space="preserve"> </v>
      </c>
      <c r="L223" s="135" t="str">
        <f>IF($F223=" "," ",IFERROR(VLOOKUP($F223,'депозитный калькулятор'!$B$26:$F$70,3,0),0))</f>
        <v xml:space="preserve"> </v>
      </c>
      <c r="M223" s="135" t="str">
        <f>IF($F223=" "," ",IFERROR(VLOOKUP($F223,'депозитный калькулятор'!$B$26:$F$70,4,0),0))</f>
        <v xml:space="preserve"> </v>
      </c>
      <c r="N223" s="135" t="str">
        <f>IF($F223=" "," ",IFERROR(VLOOKUP($F223,'депозитный калькулятор'!$B$26:$F$70,5,0),0))</f>
        <v xml:space="preserve"> </v>
      </c>
      <c r="O223" s="146" t="str">
        <f>IF(F223&gt;'депозитный калькулятор'!$D$8," ",IF(F223='депозитный калькулятор'!$D$8,IF(AND($F$24='депозитный калькулятор'!$D$8,'депозитный калькулятор'!$G$13="нет"),-G223-IF(I223=" ",0,I223)-IF(AND(OR('депозитный калькулятор'!$G$7="30/365",'депозитный калькулятор'!$G$7="30/360"),'депозитный калькулятор'!$G$10="в начале срока"),I222,0)-L223+M223-N223,-G223-IF(I223=" ",0,I223)-L223+M223-N223),IF('депозитный калькулятор'!$G$13="есть",M223-N223+IF('депозитный калькулятор'!$G$14="есть",0,-L223),-IF(I223=" ",0,I223)-IF(AND(OR('депозитный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срока"),I222,0)+M223-N223+IF('депозитный калькулятор'!$G$14="есть",0,-L223))))</f>
        <v xml:space="preserve"> </v>
      </c>
      <c r="P223" s="147" t="str">
        <f>IF(F223&gt;'депозитный калькулятор'!$D$8," ",IF(EOMONTH(F222,0)=F222,0,IF(G223&gt;='депозитный калькулятор'!$G$19,P222,P222+1)))</f>
        <v xml:space="preserve"> </v>
      </c>
      <c r="Q223" s="138" t="str">
        <f>IF(F223=" "," ",IF(AND(OR('депозитный калькулятор'!$G$7="30/365",'депозитный калькулятор'!$G$7="30/360"),AND(MONTH(F223)=2,EOMONTH(F223,0)=F223)),IF(DAY(F223)=28,3,2),1)*IF(G223&gt;='депозитный калькулятор'!$G$11,IF(AND('депозитный калькулятор'!$G$7="факт/факт",MOD(YEAR(F223),4)=0),G223*'депозитный калькулятор'!$D$11/366,G223*'депозитный калькулятор'!$G$8),0))</f>
        <v xml:space="preserve"> </v>
      </c>
      <c r="R223" s="148"/>
      <c r="S223" s="62" t="str">
        <f t="shared" ca="1" si="17"/>
        <v xml:space="preserve"> </v>
      </c>
      <c r="T223" s="149" t="str">
        <f ca="1">IF(S223=" "," ",IF('депозитный калькулятор'!$G$7="30/360",DAYS360(U222,IF(DAY(U223)=31,U223-1,U223))+IF(AND(MONTH(U223)=2,U223=EOMONTH(U223,0)),30-DAY(EOMONTH(U223,0)))+T222,VLOOKUP(S223,$C$22:$F$1023,2,0)))</f>
        <v xml:space="preserve"> </v>
      </c>
      <c r="U223" s="64" t="str">
        <f t="shared" ca="1" si="15"/>
        <v xml:space="preserve"> </v>
      </c>
      <c r="V223" s="150" t="str">
        <f t="shared" ca="1" si="18"/>
        <v xml:space="preserve"> </v>
      </c>
      <c r="W223" s="62" t="str">
        <f t="shared" ca="1" si="19"/>
        <v xml:space="preserve"> </v>
      </c>
      <c r="X223" s="141" t="str">
        <f ca="1">IF(S223=" "," ",IFERROR(VLOOKUP(U223,$F$23:$N$1023,7)+VLOOKUP(U223,$F$23:$N$1023,9)+IF(AND('депозитный калькулятор'!$G$13="нет",U223&lt;&gt;'депозитный калькулятор'!$D$8),VLOOKUP(U223,$F$23:$N$1023,4),0),0)+IF(U223='депозитный калькулятор'!$D$8,VLOOKUP(U223,$F$23:$N$1023,2)+VLOOKUP(U223,$F$23:$N$1023,4),0))</f>
        <v xml:space="preserve"> </v>
      </c>
      <c r="Y223" s="142" t="str">
        <f ca="1">IF(S223=" "," ",W223/(1+'депозитный калькулятор'!$K$8)^(T223/IF('депозитный калькулятор'!$G$7="30/360",360,365)))</f>
        <v xml:space="preserve"> </v>
      </c>
      <c r="Z223" s="142" t="str">
        <f ca="1">IF(S223=" "," ",X223/(1+'депозитный калькулятор'!$K$8)^(T223/IF('депозитный калькулятор'!$G$7="30/360",360,365)))</f>
        <v xml:space="preserve"> </v>
      </c>
      <c r="AA223" s="151"/>
      <c r="AB223" s="151"/>
      <c r="AC223" s="155"/>
      <c r="AD223" s="155"/>
    </row>
    <row r="224" spans="1:30" s="2" customFormat="1" ht="15.5" x14ac:dyDescent="0.35">
      <c r="A224" s="41" t="str">
        <f>IF(F224=" "," ",IF(OR('депозитный калькулятор'!$G$7="30/365",'депозитный калькулятор'!$G$7="30/360"),IF(AND(MONTH(F224)=2,DAY(F224)=DAY(EOMONTH(F224,0))),30-DAY(EOMONTH(F224,0)),IF(DAY(F224)=31,1," "))," "))</f>
        <v xml:space="preserve"> </v>
      </c>
      <c r="B224" s="130" t="str">
        <f t="shared" si="16"/>
        <v xml:space="preserve"> </v>
      </c>
      <c r="C224" s="130" t="str">
        <f>IF(OR(B224=0,B224=" ")," ",SUM($B$23:B224))</f>
        <v xml:space="preserve"> </v>
      </c>
      <c r="D224" s="62" t="str">
        <f>IF(D223=" "," ",IF(OR(F223='депозитный калькулятор'!$D$8,F223=" ")," ",D223+1))</f>
        <v xml:space="preserve"> </v>
      </c>
      <c r="E224" s="130" t="str">
        <f>IF(OR(F223='депозитный калькулятор'!$D$8,F223=" ")," ",IF(EOMONTH(F223,0)=F223,1,E223+1))</f>
        <v xml:space="preserve"> </v>
      </c>
      <c r="F224" s="64" t="str">
        <f>IF(F223=" "," ",IF(F223='депозитный калькулятор'!$D$8," ",F223+1))</f>
        <v xml:space="preserve"> </v>
      </c>
      <c r="G224" s="145" t="str">
        <f xml:space="preserve"> IF(F224&gt;'депозитный калькулятор'!$D$8," ",IF('депозитный калькулятор'!$G$13="есть",IF('депозитный калькулятор'!$G$14="есть",G223+IF(I223=" ",0,I223)-J224-K224+L224+M224-N224,G223+IF(I223=" ",0,I223)-J224-K224+M224-N224),IF('депозитный калькулятор'!$G$14="есть",G223-J224-K224+L224+M224-N224,G223-J224-K224+M224-N224)))</f>
        <v xml:space="preserve"> </v>
      </c>
      <c r="H224" s="133" t="str">
        <f>IF(F224&gt;'депозитный калькулятор'!$D$8," ",IF(AND(OR('депозитный калькулятор'!$G$7="30/365",'депозитный калькулятор'!$G$7="30/360"),AND(MONTH(F224)=2,EOMONTH(F224,0)=F224)),IF(DAY(F224)=28,3*G224*'депозитный калькулятор'!$G$8,2*G224*'депозитный калькулятор'!$G$8),IF(AND(OR('депозитный калькулятор'!$G$7="30/365",'депозитный калькулятор'!$G$7="30/360"),DAY(F224)=31)," ",IF(AND('депозитный калькулятор'!$G$7="факт/факт",MOD(YEAR(F224),4)=0),G224*'депозитный калькулятор'!$D$11/366,G224*'депозитный калькулятор'!$G$8))))</f>
        <v xml:space="preserve"> </v>
      </c>
      <c r="I224" s="134" t="str">
        <f ca="1">IF(F224=" "," ",IF('депозитный калькулятор'!$G$10="ежедневное",H224,IF(AND('депозитный калькулятор'!$G$10="еженедельное",WEEKDAY(F224,2)=7),SUM(OFFSET(H224,-6,0):H224),IF(AND('депозитный калькулятор'!$G$10="еженедельное",F224='депозитный калькулятор'!$D$8),SUM($H$23:H224)-SUM($I$23:I223),IF(AND('депозитный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недели",WEEKDAY(F224,2)=7),MIN(OFFSET(H224,-6,0):H224)*(COUNTIF(OFFSET(H224,-6,0):H224,"&gt;0")+SUMIF(OFFSET(A224,-WEEKDAY(F224,2),0):A224,"=2",OFFSET(A224,-WEEKDAY(F224,2),0):A224)),IF(AND('депозитный калькулятор'!$G$10="еженедельное, на минимальную сумму зафиксированную в течение недели",F224='депозитный калькулятор'!$D$8,WEEKDAY(F224,2)&lt;&gt;7),MIN(OFFSET(H224,-WEEKDAY(F224,2),0):H224)*(COUNTIF(OFFSET(H224,-WEEKDAY(F224,2)+1,0):H224,"&gt;0")+SUM(OFFSET(A224,-WEEKDAY(F224,2),0):A224)),IF(AND('депозитный калькулятор'!$G$10="ежемесячное (в конце месяца)",F224='депозитный калькулятор'!$D$8,EOMONTH(F224,0)&lt;&gt;F224),IF('депозитный калькулятор'!$F$1=1,$H$24,SUM($H$23:H224)-SUM($I$23:I223)),IF(AND('депозитный калькулятор'!$G$10="ежемесячное (в конце месяца)",EOMONTH(F224,0)=F224),SUM($H$23:H224)-SUM($I$23:I223),IF(AND('депозитный калькулятор'!$G$10="ежемесячное (по дням открытия вклада)",F224='депозитный калькулятор'!$D$8,DAY('депозитный калькулятор'!$D$7)&lt;&gt;DAY(F224)),IF('депозитный калькулятор'!$F$1=1,$H$24,SUM($H$23:H224)-SUM($I$23:I223)),IF(AND('депозитный калькулятор'!$G$10="ежемесячное (по дням открытия вклада)",DAY('депозитный калькулятор'!$D$7)=DAY(F224)),SUM($H$23:H224)-SUM($I$23:I223),IF(AND('депозитный калькулятор'!$G$10="ежемесячное, на минимальную сумму зафиксированную в течение месяца",F224='депозитный калькулятор'!$D$8,EOMONTH(F224,0)&lt;&gt;F224),IF('депозитный калькулятор'!$F$1=1,$H$24,IF(AND(OR('депозитный калькулятор'!$G$7="30/365",'депозитный калькулятор'!$G$7="30/360"),DAY(F224)=31),0,MIN(OFFSET(H224,-E224+1,0):H224)*(E224+SUMIF(OFFSET(A224,-E224+1,0):A224,"=2",OFFSET(A224,-E224+1,0):A224)))),IF(AND('депозитный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калькулятор'!$G$7="30/360"),DAY(EOMONTH(F224,0))=31),EOMONTH(F224,0)-1=F224,EOMONTH(F224,0)=F224)),IF(IF(AND(OR('депозитный калькулятор'!$G$7="30/365",'депозитный калькулятор'!$G$7="30/360"),DAY(EOMONTH($F$23,0))=31),F224=EOMONTH($F$23,0)-1,F224=EOMONTH($F$23,0)),MIN(OFFSET(H224,-(DAY(F224)-DAY($F$23)),0):H224)*E224,MIN(OFFSET(H224,-(DAY(F224)-1),0):H224)*IF(AND(OR('депозитный калькулятор'!$G$7="30/365",'депозитный калькулятор'!$G$7="30/360"),DAY(F224)&lt;30),30,DAY(F224))),IF(AND('депозитный калькулятор'!$G$10="ежемесячное, на средний остаток в течение месяца, при условии что остаток больше чем ограничение",F224='депозитный калькулятор'!$D$8,EOMONTH(F224,0)&lt;&gt;F224),IF('депозитный калькулятор'!$F$1=1,$H$24,SUM(OFFSET(Q224,-E224+1,0):Q224)),IF(AND('депозитный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калькулятор'!$G$7="30/360"),DAY(EOMONTH(F224,0))=31),EOMONTH(F224,0)-1=F224,EOMONTH(F224,0)=F224)),IF(IF(AND(OR('депозитный калькулятор'!$G$7="30/365",'депозитный калькулятор'!$G$7="30/360"),DAY(EOMONTH($F$24,0))=31),F224=EOMONTH($F$24,0)-1,F224=EOMONTH($F$24,0)),SUM(OFFSET(Q224,-E224+1,0):Q224),SUM(OFFSET(Q224,-E224+1,0):Q224)),IF('депозитный калькулятор'!$G$10="ежеквартальное",IF(F224&gt;'депозитный калькулятор'!$D$8," ",IF(AND(EOMONTH(F224,0)=F224,OR(MONTH(F224)=3,MONTH(F224)=6,MONTH(F224)=9,MONTH(F224)=12)),IF(EDATE(F224,-3)&lt;'депозитный калькулятор'!$D$7,SUM($H$23:H224),IF(MOD(YEAR(F224),4)=0,IF(AND(EOMONTH(F224,0)=F224,OR(MONTH(F224)=3,MONTH(F224)=6)),SUM(OFFSET(H224,-90,0):H224),IF(AND(EOMONTH(F224,0)=F224,OR(MONTH(F224)=9,MONTH(F224)=12)),SUM(OFFSET(H224,-91,0):H224))),IF(AND(EOMONTH(F224,0)=F224,MONTH(F224)=3),SUM(OFFSET(H224,-89,0):H224),IF(AND(EOMONTH(F224,0)=F224,MONTH(F224)=6),SUM(OFFSET(H224,-90,0):H224),IF(AND(EOMONTH(F224,0)=F224,OR(MONTH(F224)=9,MONTH(F224)=12)),SUM(OFFSET(H224,-91,0):H224)))))),IF(F224='депозитный калькулятор'!$D$8,SUM($H$23:H224)-SUM($I$23:I223),0))),IF('депозитный калькулятор'!$G$10="ежегодное",IF(F224&gt;'депозитный калькулятор'!$D$8," ",IF(F224='депозитный калькулятор'!$D$8,SUM($H$23:H224)-SUM($I$23:I223),IF(AND(EOMONTH(F224,0)=F224,MONTH(F224)=12),IF(MOD(YEAR(F223),4)=0,IF(F224-'депозитный калькулятор'!$D$7&lt;366,SUM($H$23:H224),SUM(OFFSET(H224,-365,0):H224)),IF(F224-'депозитный калькулятор'!$D$7&lt;365,SUM($H$23:H224),SUM(OFFSET(H224,-364,0):H224))),0))),IF(AND('депозитный калькулятор'!$G$10="в конце срока",'депозитный калькулятор'!$D$8=F224),SUM($H$23:H224),0))))))))))))))))))</f>
        <v xml:space="preserve"> </v>
      </c>
      <c r="J224" s="59" t="str">
        <f>IF(F224&gt;'депозитный калькулятор'!$D$8," ",IF('депозитный калькулятор'!$G$16="нет",0,IF(AND('депозитный калькулятор'!$G$17="разовая (в конце срока)",F224='депозитный калькулятор'!$D$8),'депозитный калькулятор'!$G$18,IF(AND('депозитный калькулятор'!$G$17="ежемесячная",EOMONTH(F223,0)=F223),'депозитный калькулятор'!$G$18,IF(AND('депозитный калькулятор'!$G$17="ежегодная",DAY(F223)=31,MONTH(F223)=12),'депозитный калькулятор'!$G$18,IF(AND('депозитный калькулятор'!$G$17="ежемесячная в зависимости от остатка",EOMONTH(F223,0)=F223,P223&gt;0),'депозитный калькулятор'!$G$18,IF(AND('депозитный калькулятор'!$G$17="ежегодная в зависимости от остатка",DAY(F223)=31,MONTH(F223)=12,P223&gt;0),'депозитный калькулятор'!$G$18,0)))))))</f>
        <v xml:space="preserve"> </v>
      </c>
      <c r="K224" s="135" t="str">
        <f>IF($F224=" "," ",IFERROR(VLOOKUP($F224,'депозитный калькулятор'!$B$26:$F$70,2,0),0))</f>
        <v xml:space="preserve"> </v>
      </c>
      <c r="L224" s="135" t="str">
        <f>IF($F224=" "," ",IFERROR(VLOOKUP($F224,'депозитный калькулятор'!$B$26:$F$70,3,0),0))</f>
        <v xml:space="preserve"> </v>
      </c>
      <c r="M224" s="135" t="str">
        <f>IF($F224=" "," ",IFERROR(VLOOKUP($F224,'депозитный калькулятор'!$B$26:$F$70,4,0),0))</f>
        <v xml:space="preserve"> </v>
      </c>
      <c r="N224" s="135" t="str">
        <f>IF($F224=" "," ",IFERROR(VLOOKUP($F224,'депозитный калькулятор'!$B$26:$F$70,5,0),0))</f>
        <v xml:space="preserve"> </v>
      </c>
      <c r="O224" s="146" t="str">
        <f>IF(F224&gt;'депозитный калькулятор'!$D$8," ",IF(F224='депозитный калькулятор'!$D$8,IF(AND($F$24='депозитный калькулятор'!$D$8,'депозитный калькулятор'!$G$13="нет"),-G224-IF(I224=" ",0,I224)-IF(AND(OR('депозитный калькулятор'!$G$7="30/365",'депозитный калькулятор'!$G$7="30/360"),'депозитный калькулятор'!$G$10="в начале срока"),I223,0)-L224+M224-N224,-G224-IF(I224=" ",0,I224)-L224+M224-N224),IF('депозитный калькулятор'!$G$13="есть",M224-N224+IF('депозитный калькулятор'!$G$14="есть",0,-L224),-IF(I224=" ",0,I224)-IF(AND(OR('депозитный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срока"),I223,0)+M224-N224+IF('депозитный калькулятор'!$G$14="есть",0,-L224))))</f>
        <v xml:space="preserve"> </v>
      </c>
      <c r="P224" s="147" t="str">
        <f>IF(F224&gt;'депозитный калькулятор'!$D$8," ",IF(EOMONTH(F223,0)=F223,0,IF(G224&gt;='депозитный калькулятор'!$G$19,P223,P223+1)))</f>
        <v xml:space="preserve"> </v>
      </c>
      <c r="Q224" s="138" t="str">
        <f>IF(F224=" "," ",IF(AND(OR('депозитный калькулятор'!$G$7="30/365",'депозитный калькулятор'!$G$7="30/360"),AND(MONTH(F224)=2,EOMONTH(F224,0)=F224)),IF(DAY(F224)=28,3,2),1)*IF(G224&gt;='депозитный калькулятор'!$G$11,IF(AND('депозитный калькулятор'!$G$7="факт/факт",MOD(YEAR(F224),4)=0),G224*'депозитный калькулятор'!$D$11/366,G224*'депозитный калькулятор'!$G$8),0))</f>
        <v xml:space="preserve"> </v>
      </c>
      <c r="R224" s="148"/>
      <c r="S224" s="62" t="str">
        <f t="shared" ca="1" si="17"/>
        <v xml:space="preserve"> </v>
      </c>
      <c r="T224" s="149" t="str">
        <f ca="1">IF(S224=" "," ",IF('депозитный калькулятор'!$G$7="30/360",DAYS360(U223,IF(DAY(U224)=31,U224-1,U224))+IF(AND(MONTH(U224)=2,U224=EOMONTH(U224,0)),30-DAY(EOMONTH(U224,0)))+T223,VLOOKUP(S224,$C$22:$F$1023,2,0)))</f>
        <v xml:space="preserve"> </v>
      </c>
      <c r="U224" s="64" t="str">
        <f t="shared" ca="1" si="15"/>
        <v xml:space="preserve"> </v>
      </c>
      <c r="V224" s="150" t="str">
        <f t="shared" ca="1" si="18"/>
        <v xml:space="preserve"> </v>
      </c>
      <c r="W224" s="62" t="str">
        <f t="shared" ca="1" si="19"/>
        <v xml:space="preserve"> </v>
      </c>
      <c r="X224" s="141" t="str">
        <f ca="1">IF(S224=" "," ",IFERROR(VLOOKUP(U224,$F$23:$N$1023,7)+VLOOKUP(U224,$F$23:$N$1023,9)+IF(AND('депозитный калькулятор'!$G$13="нет",U224&lt;&gt;'депозитный калькулятор'!$D$8),VLOOKUP(U224,$F$23:$N$1023,4),0),0)+IF(U224='депозитный калькулятор'!$D$8,VLOOKUP(U224,$F$23:$N$1023,2)+VLOOKUP(U224,$F$23:$N$1023,4),0))</f>
        <v xml:space="preserve"> </v>
      </c>
      <c r="Y224" s="142" t="str">
        <f ca="1">IF(S224=" "," ",W224/(1+'депозитный калькулятор'!$K$8)^(T224/IF('депозитный калькулятор'!$G$7="30/360",360,365)))</f>
        <v xml:space="preserve"> </v>
      </c>
      <c r="Z224" s="142" t="str">
        <f ca="1">IF(S224=" "," ",X224/(1+'депозитный калькулятор'!$K$8)^(T224/IF('депозитный калькулятор'!$G$7="30/360",360,365)))</f>
        <v xml:space="preserve"> </v>
      </c>
      <c r="AA224" s="151"/>
      <c r="AB224" s="151"/>
      <c r="AC224" s="155"/>
      <c r="AD224" s="155"/>
    </row>
    <row r="225" spans="1:30" s="2" customFormat="1" ht="15.5" x14ac:dyDescent="0.35">
      <c r="A225" s="41" t="str">
        <f>IF(F225=" "," ",IF(OR('депозитный калькулятор'!$G$7="30/365",'депозитный калькулятор'!$G$7="30/360"),IF(AND(MONTH(F225)=2,DAY(F225)=DAY(EOMONTH(F225,0))),30-DAY(EOMONTH(F225,0)),IF(DAY(F225)=31,1," "))," "))</f>
        <v xml:space="preserve"> </v>
      </c>
      <c r="B225" s="130" t="str">
        <f t="shared" si="16"/>
        <v xml:space="preserve"> </v>
      </c>
      <c r="C225" s="130" t="str">
        <f>IF(OR(B225=0,B225=" ")," ",SUM($B$23:B225))</f>
        <v xml:space="preserve"> </v>
      </c>
      <c r="D225" s="62" t="str">
        <f>IF(D224=" "," ",IF(OR(F224='депозитный калькулятор'!$D$8,F224=" ")," ",D224+1))</f>
        <v xml:space="preserve"> </v>
      </c>
      <c r="E225" s="130" t="str">
        <f>IF(OR(F224='депозитный калькулятор'!$D$8,F224=" ")," ",IF(EOMONTH(F224,0)=F224,1,E224+1))</f>
        <v xml:space="preserve"> </v>
      </c>
      <c r="F225" s="64" t="str">
        <f>IF(F224=" "," ",IF(F224='депозитный калькулятор'!$D$8," ",F224+1))</f>
        <v xml:space="preserve"> </v>
      </c>
      <c r="G225" s="145" t="str">
        <f xml:space="preserve"> IF(F225&gt;'депозитный калькулятор'!$D$8," ",IF('депозитный калькулятор'!$G$13="есть",IF('депозитный калькулятор'!$G$14="есть",G224+IF(I224=" ",0,I224)-J225-K225+L225+M225-N225,G224+IF(I224=" ",0,I224)-J225-K225+M225-N225),IF('депозитный калькулятор'!$G$14="есть",G224-J225-K225+L225+M225-N225,G224-J225-K225+M225-N225)))</f>
        <v xml:space="preserve"> </v>
      </c>
      <c r="H225" s="133" t="str">
        <f>IF(F225&gt;'депозитный калькулятор'!$D$8," ",IF(AND(OR('депозитный калькулятор'!$G$7="30/365",'депозитный калькулятор'!$G$7="30/360"),AND(MONTH(F225)=2,EOMONTH(F225,0)=F225)),IF(DAY(F225)=28,3*G225*'депозитный калькулятор'!$G$8,2*G225*'депозитный калькулятор'!$G$8),IF(AND(OR('депозитный калькулятор'!$G$7="30/365",'депозитный калькулятор'!$G$7="30/360"),DAY(F225)=31)," ",IF(AND('депозитный калькулятор'!$G$7="факт/факт",MOD(YEAR(F225),4)=0),G225*'депозитный калькулятор'!$D$11/366,G225*'депозитный калькулятор'!$G$8))))</f>
        <v xml:space="preserve"> </v>
      </c>
      <c r="I225" s="134" t="str">
        <f ca="1">IF(F225=" "," ",IF('депозитный калькулятор'!$G$10="ежедневное",H225,IF(AND('депозитный калькулятор'!$G$10="еженедельное",WEEKDAY(F225,2)=7),SUM(OFFSET(H225,-6,0):H225),IF(AND('депозитный калькулятор'!$G$10="еженедельное",F225='депозитный калькулятор'!$D$8),SUM($H$23:H225)-SUM($I$23:I224),IF(AND('депозитный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недели",WEEKDAY(F225,2)=7),MIN(OFFSET(H225,-6,0):H225)*(COUNTIF(OFFSET(H225,-6,0):H225,"&gt;0")+SUMIF(OFFSET(A225,-WEEKDAY(F225,2),0):A225,"=2",OFFSET(A225,-WEEKDAY(F225,2),0):A225)),IF(AND('депозитный калькулятор'!$G$10="еженедельное, на минимальную сумму зафиксированную в течение недели",F225='депозитный калькулятор'!$D$8,WEEKDAY(F225,2)&lt;&gt;7),MIN(OFFSET(H225,-WEEKDAY(F225,2),0):H225)*(COUNTIF(OFFSET(H225,-WEEKDAY(F225,2)+1,0):H225,"&gt;0")+SUM(OFFSET(A225,-WEEKDAY(F225,2),0):A225)),IF(AND('депозитный калькулятор'!$G$10="ежемесячное (в конце месяца)",F225='депозитный калькулятор'!$D$8,EOMONTH(F225,0)&lt;&gt;F225),IF('депозитный калькулятор'!$F$1=1,$H$24,SUM($H$23:H225)-SUM($I$23:I224)),IF(AND('депозитный калькулятор'!$G$10="ежемесячное (в конце месяца)",EOMONTH(F225,0)=F225),SUM($H$23:H225)-SUM($I$23:I224),IF(AND('депозитный калькулятор'!$G$10="ежемесячное (по дням открытия вклада)",F225='депозитный калькулятор'!$D$8,DAY('депозитный калькулятор'!$D$7)&lt;&gt;DAY(F225)),IF('депозитный калькулятор'!$F$1=1,$H$24,SUM($H$23:H225)-SUM($I$23:I224)),IF(AND('депозитный калькулятор'!$G$10="ежемесячное (по дням открытия вклада)",DAY('депозитный калькулятор'!$D$7)=DAY(F225)),SUM($H$23:H225)-SUM($I$23:I224),IF(AND('депозитный калькулятор'!$G$10="ежемесячное, на минимальную сумму зафиксированную в течение месяца",F225='депозитный калькулятор'!$D$8,EOMONTH(F225,0)&lt;&gt;F225),IF('депозитный калькулятор'!$F$1=1,$H$24,IF(AND(OR('депозитный калькулятор'!$G$7="30/365",'депозитный калькулятор'!$G$7="30/360"),DAY(F225)=31),0,MIN(OFFSET(H225,-E225+1,0):H225)*(E225+SUMIF(OFFSET(A225,-E225+1,0):A225,"=2",OFFSET(A225,-E225+1,0):A225)))),IF(AND('депозитный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калькулятор'!$G$7="30/360"),DAY(EOMONTH(F225,0))=31),EOMONTH(F225,0)-1=F225,EOMONTH(F225,0)=F225)),IF(IF(AND(OR('депозитный калькулятор'!$G$7="30/365",'депозитный калькулятор'!$G$7="30/360"),DAY(EOMONTH($F$23,0))=31),F225=EOMONTH($F$23,0)-1,F225=EOMONTH($F$23,0)),MIN(OFFSET(H225,-(DAY(F225)-DAY($F$23)),0):H225)*E225,MIN(OFFSET(H225,-(DAY(F225)-1),0):H225)*IF(AND(OR('депозитный калькулятор'!$G$7="30/365",'депозитный калькулятор'!$G$7="30/360"),DAY(F225)&lt;30),30,DAY(F225))),IF(AND('депозитный калькулятор'!$G$10="ежемесячное, на средний остаток в течение месяца, при условии что остаток больше чем ограничение",F225='депозитный калькулятор'!$D$8,EOMONTH(F225,0)&lt;&gt;F225),IF('депозитный калькулятор'!$F$1=1,$H$24,SUM(OFFSET(Q225,-E225+1,0):Q225)),IF(AND('депозитный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калькулятор'!$G$7="30/360"),DAY(EOMONTH(F225,0))=31),EOMONTH(F225,0)-1=F225,EOMONTH(F225,0)=F225)),IF(IF(AND(OR('депозитный калькулятор'!$G$7="30/365",'депозитный калькулятор'!$G$7="30/360"),DAY(EOMONTH($F$24,0))=31),F225=EOMONTH($F$24,0)-1,F225=EOMONTH($F$24,0)),SUM(OFFSET(Q225,-E225+1,0):Q225),SUM(OFFSET(Q225,-E225+1,0):Q225)),IF('депозитный калькулятор'!$G$10="ежеквартальное",IF(F225&gt;'депозитный калькулятор'!$D$8," ",IF(AND(EOMONTH(F225,0)=F225,OR(MONTH(F225)=3,MONTH(F225)=6,MONTH(F225)=9,MONTH(F225)=12)),IF(EDATE(F225,-3)&lt;'депозитный калькулятор'!$D$7,SUM($H$23:H225),IF(MOD(YEAR(F225),4)=0,IF(AND(EOMONTH(F225,0)=F225,OR(MONTH(F225)=3,MONTH(F225)=6)),SUM(OFFSET(H225,-90,0):H225),IF(AND(EOMONTH(F225,0)=F225,OR(MONTH(F225)=9,MONTH(F225)=12)),SUM(OFFSET(H225,-91,0):H225))),IF(AND(EOMONTH(F225,0)=F225,MONTH(F225)=3),SUM(OFFSET(H225,-89,0):H225),IF(AND(EOMONTH(F225,0)=F225,MONTH(F225)=6),SUM(OFFSET(H225,-90,0):H225),IF(AND(EOMONTH(F225,0)=F225,OR(MONTH(F225)=9,MONTH(F225)=12)),SUM(OFFSET(H225,-91,0):H225)))))),IF(F225='депозитный калькулятор'!$D$8,SUM($H$23:H225)-SUM($I$23:I224),0))),IF('депозитный калькулятор'!$G$10="ежегодное",IF(F225&gt;'депозитный калькулятор'!$D$8," ",IF(F225='депозитный калькулятор'!$D$8,SUM($H$23:H225)-SUM($I$23:I224),IF(AND(EOMONTH(F225,0)=F225,MONTH(F225)=12),IF(MOD(YEAR(F224),4)=0,IF(F225-'депозитный калькулятор'!$D$7&lt;366,SUM($H$23:H225),SUM(OFFSET(H225,-365,0):H225)),IF(F225-'депозитный калькулятор'!$D$7&lt;365,SUM($H$23:H225),SUM(OFFSET(H225,-364,0):H225))),0))),IF(AND('депозитный калькулятор'!$G$10="в конце срока",'депозитный калькулятор'!$D$8=F225),SUM($H$23:H225),0))))))))))))))))))</f>
        <v xml:space="preserve"> </v>
      </c>
      <c r="J225" s="59" t="str">
        <f>IF(F225&gt;'депозитный калькулятор'!$D$8," ",IF('депозитный калькулятор'!$G$16="нет",0,IF(AND('депозитный калькулятор'!$G$17="разовая (в конце срока)",F225='депозитный калькулятор'!$D$8),'депозитный калькулятор'!$G$18,IF(AND('депозитный калькулятор'!$G$17="ежемесячная",EOMONTH(F224,0)=F224),'депозитный калькулятор'!$G$18,IF(AND('депозитный калькулятор'!$G$17="ежегодная",DAY(F224)=31,MONTH(F224)=12),'депозитный калькулятор'!$G$18,IF(AND('депозитный калькулятор'!$G$17="ежемесячная в зависимости от остатка",EOMONTH(F224,0)=F224,P224&gt;0),'депозитный калькулятор'!$G$18,IF(AND('депозитный калькулятор'!$G$17="ежегодная в зависимости от остатка",DAY(F224)=31,MONTH(F224)=12,P224&gt;0),'депозитный калькулятор'!$G$18,0)))))))</f>
        <v xml:space="preserve"> </v>
      </c>
      <c r="K225" s="135" t="str">
        <f>IF($F225=" "," ",IFERROR(VLOOKUP($F225,'депозитный калькулятор'!$B$26:$F$70,2,0),0))</f>
        <v xml:space="preserve"> </v>
      </c>
      <c r="L225" s="135" t="str">
        <f>IF($F225=" "," ",IFERROR(VLOOKUP($F225,'депозитный калькулятор'!$B$26:$F$70,3,0),0))</f>
        <v xml:space="preserve"> </v>
      </c>
      <c r="M225" s="135" t="str">
        <f>IF($F225=" "," ",IFERROR(VLOOKUP($F225,'депозитный калькулятор'!$B$26:$F$70,4,0),0))</f>
        <v xml:space="preserve"> </v>
      </c>
      <c r="N225" s="135" t="str">
        <f>IF($F225=" "," ",IFERROR(VLOOKUP($F225,'депозитный калькулятор'!$B$26:$F$70,5,0),0))</f>
        <v xml:space="preserve"> </v>
      </c>
      <c r="O225" s="146" t="str">
        <f>IF(F225&gt;'депозитный калькулятор'!$D$8," ",IF(F225='депозитный калькулятор'!$D$8,IF(AND($F$24='депозитный калькулятор'!$D$8,'депозитный калькулятор'!$G$13="нет"),-G225-IF(I225=" ",0,I225)-IF(AND(OR('депозитный калькулятор'!$G$7="30/365",'депозитный калькулятор'!$G$7="30/360"),'депозитный калькулятор'!$G$10="в начале срока"),I224,0)-L225+M225-N225,-G225-IF(I225=" ",0,I225)-L225+M225-N225),IF('депозитный калькулятор'!$G$13="есть",M225-N225+IF('депозитный калькулятор'!$G$14="есть",0,-L225),-IF(I225=" ",0,I225)-IF(AND(OR('депозитный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срока"),I224,0)+M225-N225+IF('депозитный калькулятор'!$G$14="есть",0,-L225))))</f>
        <v xml:space="preserve"> </v>
      </c>
      <c r="P225" s="147" t="str">
        <f>IF(F225&gt;'депозитный калькулятор'!$D$8," ",IF(EOMONTH(F224,0)=F224,0,IF(G225&gt;='депозитный калькулятор'!$G$19,P224,P224+1)))</f>
        <v xml:space="preserve"> </v>
      </c>
      <c r="Q225" s="138" t="str">
        <f>IF(F225=" "," ",IF(AND(OR('депозитный калькулятор'!$G$7="30/365",'депозитный калькулятор'!$G$7="30/360"),AND(MONTH(F225)=2,EOMONTH(F225,0)=F225)),IF(DAY(F225)=28,3,2),1)*IF(G225&gt;='депозитный калькулятор'!$G$11,IF(AND('депозитный калькулятор'!$G$7="факт/факт",MOD(YEAR(F225),4)=0),G225*'депозитный калькулятор'!$D$11/366,G225*'депозитный калькулятор'!$G$8),0))</f>
        <v xml:space="preserve"> </v>
      </c>
      <c r="R225" s="148"/>
      <c r="S225" s="62" t="str">
        <f t="shared" ca="1" si="17"/>
        <v xml:space="preserve"> </v>
      </c>
      <c r="T225" s="149" t="str">
        <f ca="1">IF(S225=" "," ",IF('депозитный калькулятор'!$G$7="30/360",DAYS360(U224,IF(DAY(U225)=31,U225-1,U225))+IF(AND(MONTH(U225)=2,U225=EOMONTH(U225,0)),30-DAY(EOMONTH(U225,0)))+T224,VLOOKUP(S225,$C$22:$F$1023,2,0)))</f>
        <v xml:space="preserve"> </v>
      </c>
      <c r="U225" s="64" t="str">
        <f t="shared" ca="1" si="15"/>
        <v xml:space="preserve"> </v>
      </c>
      <c r="V225" s="150" t="str">
        <f t="shared" ca="1" si="18"/>
        <v xml:space="preserve"> </v>
      </c>
      <c r="W225" s="62" t="str">
        <f t="shared" ca="1" si="19"/>
        <v xml:space="preserve"> </v>
      </c>
      <c r="X225" s="141" t="str">
        <f ca="1">IF(S225=" "," ",IFERROR(VLOOKUP(U225,$F$23:$N$1023,7)+VLOOKUP(U225,$F$23:$N$1023,9)+IF(AND('депозитный калькулятор'!$G$13="нет",U225&lt;&gt;'депозитный калькулятор'!$D$8),VLOOKUP(U225,$F$23:$N$1023,4),0),0)+IF(U225='депозитный калькулятор'!$D$8,VLOOKUP(U225,$F$23:$N$1023,2)+VLOOKUP(U225,$F$23:$N$1023,4),0))</f>
        <v xml:space="preserve"> </v>
      </c>
      <c r="Y225" s="142" t="str">
        <f ca="1">IF(S225=" "," ",W225/(1+'депозитный калькулятор'!$K$8)^(T225/IF('депозитный калькулятор'!$G$7="30/360",360,365)))</f>
        <v xml:space="preserve"> </v>
      </c>
      <c r="Z225" s="142" t="str">
        <f ca="1">IF(S225=" "," ",X225/(1+'депозитный калькулятор'!$K$8)^(T225/IF('депозитный калькулятор'!$G$7="30/360",360,365)))</f>
        <v xml:space="preserve"> </v>
      </c>
      <c r="AA225" s="151"/>
      <c r="AB225" s="151"/>
      <c r="AC225" s="155"/>
      <c r="AD225" s="155"/>
    </row>
    <row r="226" spans="1:30" s="2" customFormat="1" ht="15.5" x14ac:dyDescent="0.35">
      <c r="A226" s="41" t="str">
        <f>IF(F226=" "," ",IF(OR('депозитный калькулятор'!$G$7="30/365",'депозитный калькулятор'!$G$7="30/360"),IF(AND(MONTH(F226)=2,DAY(F226)=DAY(EOMONTH(F226,0))),30-DAY(EOMONTH(F226,0)),IF(DAY(F226)=31,1," "))," "))</f>
        <v xml:space="preserve"> </v>
      </c>
      <c r="B226" s="130" t="str">
        <f t="shared" si="16"/>
        <v xml:space="preserve"> </v>
      </c>
      <c r="C226" s="130" t="str">
        <f>IF(OR(B226=0,B226=" ")," ",SUM($B$23:B226))</f>
        <v xml:space="preserve"> </v>
      </c>
      <c r="D226" s="62" t="str">
        <f>IF(D225=" "," ",IF(OR(F225='депозитный калькулятор'!$D$8,F225=" ")," ",D225+1))</f>
        <v xml:space="preserve"> </v>
      </c>
      <c r="E226" s="130" t="str">
        <f>IF(OR(F225='депозитный калькулятор'!$D$8,F225=" ")," ",IF(EOMONTH(F225,0)=F225,1,E225+1))</f>
        <v xml:space="preserve"> </v>
      </c>
      <c r="F226" s="64" t="str">
        <f>IF(F225=" "," ",IF(F225='депозитный калькулятор'!$D$8," ",F225+1))</f>
        <v xml:space="preserve"> </v>
      </c>
      <c r="G226" s="145" t="str">
        <f xml:space="preserve"> IF(F226&gt;'депозитный калькулятор'!$D$8," ",IF('депозитный калькулятор'!$G$13="есть",IF('депозитный калькулятор'!$G$14="есть",G225+IF(I225=" ",0,I225)-J226-K226+L226+M226-N226,G225+IF(I225=" ",0,I225)-J226-K226+M226-N226),IF('депозитный калькулятор'!$G$14="есть",G225-J226-K226+L226+M226-N226,G225-J226-K226+M226-N226)))</f>
        <v xml:space="preserve"> </v>
      </c>
      <c r="H226" s="133" t="str">
        <f>IF(F226&gt;'депозитный калькулятор'!$D$8," ",IF(AND(OR('депозитный калькулятор'!$G$7="30/365",'депозитный калькулятор'!$G$7="30/360"),AND(MONTH(F226)=2,EOMONTH(F226,0)=F226)),IF(DAY(F226)=28,3*G226*'депозитный калькулятор'!$G$8,2*G226*'депозитный калькулятор'!$G$8),IF(AND(OR('депозитный калькулятор'!$G$7="30/365",'депозитный калькулятор'!$G$7="30/360"),DAY(F226)=31)," ",IF(AND('депозитный калькулятор'!$G$7="факт/факт",MOD(YEAR(F226),4)=0),G226*'депозитный калькулятор'!$D$11/366,G226*'депозитный калькулятор'!$G$8))))</f>
        <v xml:space="preserve"> </v>
      </c>
      <c r="I226" s="134" t="str">
        <f ca="1">IF(F226=" "," ",IF('депозитный калькулятор'!$G$10="ежедневное",H226,IF(AND('депозитный калькулятор'!$G$10="еженедельное",WEEKDAY(F226,2)=7),SUM(OFFSET(H226,-6,0):H226),IF(AND('депозитный калькулятор'!$G$10="еженедельное",F226='депозитный калькулятор'!$D$8),SUM($H$23:H226)-SUM($I$23:I225),IF(AND('депозитный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недели",WEEKDAY(F226,2)=7),MIN(OFFSET(H226,-6,0):H226)*(COUNTIF(OFFSET(H226,-6,0):H226,"&gt;0")+SUMIF(OFFSET(A226,-WEEKDAY(F226,2),0):A226,"=2",OFFSET(A226,-WEEKDAY(F226,2),0):A226)),IF(AND('депозитный калькулятор'!$G$10="еженедельное, на минимальную сумму зафиксированную в течение недели",F226='депозитный калькулятор'!$D$8,WEEKDAY(F226,2)&lt;&gt;7),MIN(OFFSET(H226,-WEEKDAY(F226,2),0):H226)*(COUNTIF(OFFSET(H226,-WEEKDAY(F226,2)+1,0):H226,"&gt;0")+SUM(OFFSET(A226,-WEEKDAY(F226,2),0):A226)),IF(AND('депозитный калькулятор'!$G$10="ежемесячное (в конце месяца)",F226='депозитный калькулятор'!$D$8,EOMONTH(F226,0)&lt;&gt;F226),IF('депозитный калькулятор'!$F$1=1,$H$24,SUM($H$23:H226)-SUM($I$23:I225)),IF(AND('депозитный калькулятор'!$G$10="ежемесячное (в конце месяца)",EOMONTH(F226,0)=F226),SUM($H$23:H226)-SUM($I$23:I225),IF(AND('депозитный калькулятор'!$G$10="ежемесячное (по дням открытия вклада)",F226='депозитный калькулятор'!$D$8,DAY('депозитный калькулятор'!$D$7)&lt;&gt;DAY(F226)),IF('депозитный калькулятор'!$F$1=1,$H$24,SUM($H$23:H226)-SUM($I$23:I225)),IF(AND('депозитный калькулятор'!$G$10="ежемесячное (по дням открытия вклада)",DAY('депозитный калькулятор'!$D$7)=DAY(F226)),SUM($H$23:H226)-SUM($I$23:I225),IF(AND('депозитный калькулятор'!$G$10="ежемесячное, на минимальную сумму зафиксированную в течение месяца",F226='депозитный калькулятор'!$D$8,EOMONTH(F226,0)&lt;&gt;F226),IF('депозитный калькулятор'!$F$1=1,$H$24,IF(AND(OR('депозитный калькулятор'!$G$7="30/365",'депозитный калькулятор'!$G$7="30/360"),DAY(F226)=31),0,MIN(OFFSET(H226,-E226+1,0):H226)*(E226+SUMIF(OFFSET(A226,-E226+1,0):A226,"=2",OFFSET(A226,-E226+1,0):A226)))),IF(AND('депозитный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калькулятор'!$G$7="30/360"),DAY(EOMONTH(F226,0))=31),EOMONTH(F226,0)-1=F226,EOMONTH(F226,0)=F226)),IF(IF(AND(OR('депозитный калькулятор'!$G$7="30/365",'депозитный калькулятор'!$G$7="30/360"),DAY(EOMONTH($F$23,0))=31),F226=EOMONTH($F$23,0)-1,F226=EOMONTH($F$23,0)),MIN(OFFSET(H226,-(DAY(F226)-DAY($F$23)),0):H226)*E226,MIN(OFFSET(H226,-(DAY(F226)-1),0):H226)*IF(AND(OR('депозитный калькулятор'!$G$7="30/365",'депозитный калькулятор'!$G$7="30/360"),DAY(F226)&lt;30),30,DAY(F226))),IF(AND('депозитный калькулятор'!$G$10="ежемесячное, на средний остаток в течение месяца, при условии что остаток больше чем ограничение",F226='депозитный калькулятор'!$D$8,EOMONTH(F226,0)&lt;&gt;F226),IF('депозитный калькулятор'!$F$1=1,$H$24,SUM(OFFSET(Q226,-E226+1,0):Q226)),IF(AND('депозитный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калькулятор'!$G$7="30/360"),DAY(EOMONTH(F226,0))=31),EOMONTH(F226,0)-1=F226,EOMONTH(F226,0)=F226)),IF(IF(AND(OR('депозитный калькулятор'!$G$7="30/365",'депозитный калькулятор'!$G$7="30/360"),DAY(EOMONTH($F$24,0))=31),F226=EOMONTH($F$24,0)-1,F226=EOMONTH($F$24,0)),SUM(OFFSET(Q226,-E226+1,0):Q226),SUM(OFFSET(Q226,-E226+1,0):Q226)),IF('депозитный калькулятор'!$G$10="ежеквартальное",IF(F226&gt;'депозитный калькулятор'!$D$8," ",IF(AND(EOMONTH(F226,0)=F226,OR(MONTH(F226)=3,MONTH(F226)=6,MONTH(F226)=9,MONTH(F226)=12)),IF(EDATE(F226,-3)&lt;'депозитный калькулятор'!$D$7,SUM($H$23:H226),IF(MOD(YEAR(F226),4)=0,IF(AND(EOMONTH(F226,0)=F226,OR(MONTH(F226)=3,MONTH(F226)=6)),SUM(OFFSET(H226,-90,0):H226),IF(AND(EOMONTH(F226,0)=F226,OR(MONTH(F226)=9,MONTH(F226)=12)),SUM(OFFSET(H226,-91,0):H226))),IF(AND(EOMONTH(F226,0)=F226,MONTH(F226)=3),SUM(OFFSET(H226,-89,0):H226),IF(AND(EOMONTH(F226,0)=F226,MONTH(F226)=6),SUM(OFFSET(H226,-90,0):H226),IF(AND(EOMONTH(F226,0)=F226,OR(MONTH(F226)=9,MONTH(F226)=12)),SUM(OFFSET(H226,-91,0):H226)))))),IF(F226='депозитный калькулятор'!$D$8,SUM($H$23:H226)-SUM($I$23:I225),0))),IF('депозитный калькулятор'!$G$10="ежегодное",IF(F226&gt;'депозитный калькулятор'!$D$8," ",IF(F226='депозитный калькулятор'!$D$8,SUM($H$23:H226)-SUM($I$23:I225),IF(AND(EOMONTH(F226,0)=F226,MONTH(F226)=12),IF(MOD(YEAR(F225),4)=0,IF(F226-'депозитный калькулятор'!$D$7&lt;366,SUM($H$23:H226),SUM(OFFSET(H226,-365,0):H226)),IF(F226-'депозитный калькулятор'!$D$7&lt;365,SUM($H$23:H226),SUM(OFFSET(H226,-364,0):H226))),0))),IF(AND('депозитный калькулятор'!$G$10="в конце срока",'депозитный калькулятор'!$D$8=F226),SUM($H$23:H226),0))))))))))))))))))</f>
        <v xml:space="preserve"> </v>
      </c>
      <c r="J226" s="59" t="str">
        <f>IF(F226&gt;'депозитный калькулятор'!$D$8," ",IF('депозитный калькулятор'!$G$16="нет",0,IF(AND('депозитный калькулятор'!$G$17="разовая (в конце срока)",F226='депозитный калькулятор'!$D$8),'депозитный калькулятор'!$G$18,IF(AND('депозитный калькулятор'!$G$17="ежемесячная",EOMONTH(F225,0)=F225),'депозитный калькулятор'!$G$18,IF(AND('депозитный калькулятор'!$G$17="ежегодная",DAY(F225)=31,MONTH(F225)=12),'депозитный калькулятор'!$G$18,IF(AND('депозитный калькулятор'!$G$17="ежемесячная в зависимости от остатка",EOMONTH(F225,0)=F225,P225&gt;0),'депозитный калькулятор'!$G$18,IF(AND('депозитный калькулятор'!$G$17="ежегодная в зависимости от остатка",DAY(F225)=31,MONTH(F225)=12,P225&gt;0),'депозитный калькулятор'!$G$18,0)))))))</f>
        <v xml:space="preserve"> </v>
      </c>
      <c r="K226" s="135" t="str">
        <f>IF($F226=" "," ",IFERROR(VLOOKUP($F226,'депозитный калькулятор'!$B$26:$F$70,2,0),0))</f>
        <v xml:space="preserve"> </v>
      </c>
      <c r="L226" s="135" t="str">
        <f>IF($F226=" "," ",IFERROR(VLOOKUP($F226,'депозитный калькулятор'!$B$26:$F$70,3,0),0))</f>
        <v xml:space="preserve"> </v>
      </c>
      <c r="M226" s="135" t="str">
        <f>IF($F226=" "," ",IFERROR(VLOOKUP($F226,'депозитный калькулятор'!$B$26:$F$70,4,0),0))</f>
        <v xml:space="preserve"> </v>
      </c>
      <c r="N226" s="135" t="str">
        <f>IF($F226=" "," ",IFERROR(VLOOKUP($F226,'депозитный калькулятор'!$B$26:$F$70,5,0),0))</f>
        <v xml:space="preserve"> </v>
      </c>
      <c r="O226" s="146" t="str">
        <f>IF(F226&gt;'депозитный калькулятор'!$D$8," ",IF(F226='депозитный калькулятор'!$D$8,IF(AND($F$24='депозитный калькулятор'!$D$8,'депозитный калькулятор'!$G$13="нет"),-G226-IF(I226=" ",0,I226)-IF(AND(OR('депозитный калькулятор'!$G$7="30/365",'депозитный калькулятор'!$G$7="30/360"),'депозитный калькулятор'!$G$10="в начале срока"),I225,0)-L226+M226-N226,-G226-IF(I226=" ",0,I226)-L226+M226-N226),IF('депозитный калькулятор'!$G$13="есть",M226-N226+IF('депозитный калькулятор'!$G$14="есть",0,-L226),-IF(I226=" ",0,I226)-IF(AND(OR('депозитный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срока"),I225,0)+M226-N226+IF('депозитный калькулятор'!$G$14="есть",0,-L226))))</f>
        <v xml:space="preserve"> </v>
      </c>
      <c r="P226" s="147" t="str">
        <f>IF(F226&gt;'депозитный калькулятор'!$D$8," ",IF(EOMONTH(F225,0)=F225,0,IF(G226&gt;='депозитный калькулятор'!$G$19,P225,P225+1)))</f>
        <v xml:space="preserve"> </v>
      </c>
      <c r="Q226" s="138" t="str">
        <f>IF(F226=" "," ",IF(AND(OR('депозитный калькулятор'!$G$7="30/365",'депозитный калькулятор'!$G$7="30/360"),AND(MONTH(F226)=2,EOMONTH(F226,0)=F226)),IF(DAY(F226)=28,3,2),1)*IF(G226&gt;='депозитный калькулятор'!$G$11,IF(AND('депозитный калькулятор'!$G$7="факт/факт",MOD(YEAR(F226),4)=0),G226*'депозитный калькулятор'!$D$11/366,G226*'депозитный калькулятор'!$G$8),0))</f>
        <v xml:space="preserve"> </v>
      </c>
      <c r="R226" s="148"/>
      <c r="S226" s="62" t="str">
        <f t="shared" ca="1" si="17"/>
        <v xml:space="preserve"> </v>
      </c>
      <c r="T226" s="149" t="str">
        <f ca="1">IF(S226=" "," ",IF('депозитный калькулятор'!$G$7="30/360",DAYS360(U225,IF(DAY(U226)=31,U226-1,U226))+IF(AND(MONTH(U226)=2,U226=EOMONTH(U226,0)),30-DAY(EOMONTH(U226,0)))+T225,VLOOKUP(S226,$C$22:$F$1023,2,0)))</f>
        <v xml:space="preserve"> </v>
      </c>
      <c r="U226" s="64" t="str">
        <f t="shared" ca="1" si="15"/>
        <v xml:space="preserve"> </v>
      </c>
      <c r="V226" s="150" t="str">
        <f t="shared" ca="1" si="18"/>
        <v xml:space="preserve"> </v>
      </c>
      <c r="W226" s="62" t="str">
        <f t="shared" ca="1" si="19"/>
        <v xml:space="preserve"> </v>
      </c>
      <c r="X226" s="141" t="str">
        <f ca="1">IF(S226=" "," ",IFERROR(VLOOKUP(U226,$F$23:$N$1023,7)+VLOOKUP(U226,$F$23:$N$1023,9)+IF(AND('депозитный калькулятор'!$G$13="нет",U226&lt;&gt;'депозитный калькулятор'!$D$8),VLOOKUP(U226,$F$23:$N$1023,4),0),0)+IF(U226='депозитный калькулятор'!$D$8,VLOOKUP(U226,$F$23:$N$1023,2)+VLOOKUP(U226,$F$23:$N$1023,4),0))</f>
        <v xml:space="preserve"> </v>
      </c>
      <c r="Y226" s="142" t="str">
        <f ca="1">IF(S226=" "," ",W226/(1+'депозитный калькулятор'!$K$8)^(T226/IF('депозитный калькулятор'!$G$7="30/360",360,365)))</f>
        <v xml:space="preserve"> </v>
      </c>
      <c r="Z226" s="142" t="str">
        <f ca="1">IF(S226=" "," ",X226/(1+'депозитный калькулятор'!$K$8)^(T226/IF('депозитный калькулятор'!$G$7="30/360",360,365)))</f>
        <v xml:space="preserve"> </v>
      </c>
      <c r="AA226" s="151"/>
      <c r="AB226" s="151"/>
      <c r="AC226" s="155"/>
      <c r="AD226" s="155"/>
    </row>
    <row r="227" spans="1:30" s="2" customFormat="1" ht="15.5" x14ac:dyDescent="0.35">
      <c r="A227" s="41" t="str">
        <f>IF(F227=" "," ",IF(OR('депозитный калькулятор'!$G$7="30/365",'депозитный калькулятор'!$G$7="30/360"),IF(AND(MONTH(F227)=2,DAY(F227)=DAY(EOMONTH(F227,0))),30-DAY(EOMONTH(F227,0)),IF(DAY(F227)=31,1," "))," "))</f>
        <v xml:space="preserve"> </v>
      </c>
      <c r="B227" s="130" t="str">
        <f t="shared" si="16"/>
        <v xml:space="preserve"> </v>
      </c>
      <c r="C227" s="130" t="str">
        <f>IF(OR(B227=0,B227=" ")," ",SUM($B$23:B227))</f>
        <v xml:space="preserve"> </v>
      </c>
      <c r="D227" s="62" t="str">
        <f>IF(D226=" "," ",IF(OR(F226='депозитный калькулятор'!$D$8,F226=" ")," ",D226+1))</f>
        <v xml:space="preserve"> </v>
      </c>
      <c r="E227" s="130" t="str">
        <f>IF(OR(F226='депозитный калькулятор'!$D$8,F226=" ")," ",IF(EOMONTH(F226,0)=F226,1,E226+1))</f>
        <v xml:space="preserve"> </v>
      </c>
      <c r="F227" s="64" t="str">
        <f>IF(F226=" "," ",IF(F226='депозитный калькулятор'!$D$8," ",F226+1))</f>
        <v xml:space="preserve"> </v>
      </c>
      <c r="G227" s="145" t="str">
        <f xml:space="preserve"> IF(F227&gt;'депозитный калькулятор'!$D$8," ",IF('депозитный калькулятор'!$G$13="есть",IF('депозитный калькулятор'!$G$14="есть",G226+IF(I226=" ",0,I226)-J227-K227+L227+M227-N227,G226+IF(I226=" ",0,I226)-J227-K227+M227-N227),IF('депозитный калькулятор'!$G$14="есть",G226-J227-K227+L227+M227-N227,G226-J227-K227+M227-N227)))</f>
        <v xml:space="preserve"> </v>
      </c>
      <c r="H227" s="133" t="str">
        <f>IF(F227&gt;'депозитный калькулятор'!$D$8," ",IF(AND(OR('депозитный калькулятор'!$G$7="30/365",'депозитный калькулятор'!$G$7="30/360"),AND(MONTH(F227)=2,EOMONTH(F227,0)=F227)),IF(DAY(F227)=28,3*G227*'депозитный калькулятор'!$G$8,2*G227*'депозитный калькулятор'!$G$8),IF(AND(OR('депозитный калькулятор'!$G$7="30/365",'депозитный калькулятор'!$G$7="30/360"),DAY(F227)=31)," ",IF(AND('депозитный калькулятор'!$G$7="факт/факт",MOD(YEAR(F227),4)=0),G227*'депозитный калькулятор'!$D$11/366,G227*'депозитный калькулятор'!$G$8))))</f>
        <v xml:space="preserve"> </v>
      </c>
      <c r="I227" s="134" t="str">
        <f ca="1">IF(F227=" "," ",IF('депозитный калькулятор'!$G$10="ежедневное",H227,IF(AND('депозитный калькулятор'!$G$10="еженедельное",WEEKDAY(F227,2)=7),SUM(OFFSET(H227,-6,0):H227),IF(AND('депозитный калькулятор'!$G$10="еженедельное",F227='депозитный калькулятор'!$D$8),SUM($H$23:H227)-SUM($I$23:I226),IF(AND('депозитный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недели",WEEKDAY(F227,2)=7),MIN(OFFSET(H227,-6,0):H227)*(COUNTIF(OFFSET(H227,-6,0):H227,"&gt;0")+SUMIF(OFFSET(A227,-WEEKDAY(F227,2),0):A227,"=2",OFFSET(A227,-WEEKDAY(F227,2),0):A227)),IF(AND('депозитный калькулятор'!$G$10="еженедельное, на минимальную сумму зафиксированную в течение недели",F227='депозитный калькулятор'!$D$8,WEEKDAY(F227,2)&lt;&gt;7),MIN(OFFSET(H227,-WEEKDAY(F227,2),0):H227)*(COUNTIF(OFFSET(H227,-WEEKDAY(F227,2)+1,0):H227,"&gt;0")+SUM(OFFSET(A227,-WEEKDAY(F227,2),0):A227)),IF(AND('депозитный калькулятор'!$G$10="ежемесячное (в конце месяца)",F227='депозитный калькулятор'!$D$8,EOMONTH(F227,0)&lt;&gt;F227),IF('депозитный калькулятор'!$F$1=1,$H$24,SUM($H$23:H227)-SUM($I$23:I226)),IF(AND('депозитный калькулятор'!$G$10="ежемесячное (в конце месяца)",EOMONTH(F227,0)=F227),SUM($H$23:H227)-SUM($I$23:I226),IF(AND('депозитный калькулятор'!$G$10="ежемесячное (по дням открытия вклада)",F227='депозитный калькулятор'!$D$8,DAY('депозитный калькулятор'!$D$7)&lt;&gt;DAY(F227)),IF('депозитный калькулятор'!$F$1=1,$H$24,SUM($H$23:H227)-SUM($I$23:I226)),IF(AND('депозитный калькулятор'!$G$10="ежемесячное (по дням открытия вклада)",DAY('депозитный калькулятор'!$D$7)=DAY(F227)),SUM($H$23:H227)-SUM($I$23:I226),IF(AND('депозитный калькулятор'!$G$10="ежемесячное, на минимальную сумму зафиксированную в течение месяца",F227='депозитный калькулятор'!$D$8,EOMONTH(F227,0)&lt;&gt;F227),IF('депозитный калькулятор'!$F$1=1,$H$24,IF(AND(OR('депозитный калькулятор'!$G$7="30/365",'депозитный калькулятор'!$G$7="30/360"),DAY(F227)=31),0,MIN(OFFSET(H227,-E227+1,0):H227)*(E227+SUMIF(OFFSET(A227,-E227+1,0):A227,"=2",OFFSET(A227,-E227+1,0):A227)))),IF(AND('депозитный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калькулятор'!$G$7="30/360"),DAY(EOMONTH(F227,0))=31),EOMONTH(F227,0)-1=F227,EOMONTH(F227,0)=F227)),IF(IF(AND(OR('депозитный калькулятор'!$G$7="30/365",'депозитный калькулятор'!$G$7="30/360"),DAY(EOMONTH($F$23,0))=31),F227=EOMONTH($F$23,0)-1,F227=EOMONTH($F$23,0)),MIN(OFFSET(H227,-(DAY(F227)-DAY($F$23)),0):H227)*E227,MIN(OFFSET(H227,-(DAY(F227)-1),0):H227)*IF(AND(OR('депозитный калькулятор'!$G$7="30/365",'депозитный калькулятор'!$G$7="30/360"),DAY(F227)&lt;30),30,DAY(F227))),IF(AND('депозитный калькулятор'!$G$10="ежемесячное, на средний остаток в течение месяца, при условии что остаток больше чем ограничение",F227='депозитный калькулятор'!$D$8,EOMONTH(F227,0)&lt;&gt;F227),IF('депозитный калькулятор'!$F$1=1,$H$24,SUM(OFFSET(Q227,-E227+1,0):Q227)),IF(AND('депозитный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калькулятор'!$G$7="30/360"),DAY(EOMONTH(F227,0))=31),EOMONTH(F227,0)-1=F227,EOMONTH(F227,0)=F227)),IF(IF(AND(OR('депозитный калькулятор'!$G$7="30/365",'депозитный калькулятор'!$G$7="30/360"),DAY(EOMONTH($F$24,0))=31),F227=EOMONTH($F$24,0)-1,F227=EOMONTH($F$24,0)),SUM(OFFSET(Q227,-E227+1,0):Q227),SUM(OFFSET(Q227,-E227+1,0):Q227)),IF('депозитный калькулятор'!$G$10="ежеквартальное",IF(F227&gt;'депозитный калькулятор'!$D$8," ",IF(AND(EOMONTH(F227,0)=F227,OR(MONTH(F227)=3,MONTH(F227)=6,MONTH(F227)=9,MONTH(F227)=12)),IF(EDATE(F227,-3)&lt;'депозитный калькулятор'!$D$7,SUM($H$23:H227),IF(MOD(YEAR(F227),4)=0,IF(AND(EOMONTH(F227,0)=F227,OR(MONTH(F227)=3,MONTH(F227)=6)),SUM(OFFSET(H227,-90,0):H227),IF(AND(EOMONTH(F227,0)=F227,OR(MONTH(F227)=9,MONTH(F227)=12)),SUM(OFFSET(H227,-91,0):H227))),IF(AND(EOMONTH(F227,0)=F227,MONTH(F227)=3),SUM(OFFSET(H227,-89,0):H227),IF(AND(EOMONTH(F227,0)=F227,MONTH(F227)=6),SUM(OFFSET(H227,-90,0):H227),IF(AND(EOMONTH(F227,0)=F227,OR(MONTH(F227)=9,MONTH(F227)=12)),SUM(OFFSET(H227,-91,0):H227)))))),IF(F227='депозитный калькулятор'!$D$8,SUM($H$23:H227)-SUM($I$23:I226),0))),IF('депозитный калькулятор'!$G$10="ежегодное",IF(F227&gt;'депозитный калькулятор'!$D$8," ",IF(F227='депозитный калькулятор'!$D$8,SUM($H$23:H227)-SUM($I$23:I226),IF(AND(EOMONTH(F227,0)=F227,MONTH(F227)=12),IF(MOD(YEAR(F226),4)=0,IF(F227-'депозитный калькулятор'!$D$7&lt;366,SUM($H$23:H227),SUM(OFFSET(H227,-365,0):H227)),IF(F227-'депозитный калькулятор'!$D$7&lt;365,SUM($H$23:H227),SUM(OFFSET(H227,-364,0):H227))),0))),IF(AND('депозитный калькулятор'!$G$10="в конце срока",'депозитный калькулятор'!$D$8=F227),SUM($H$23:H227),0))))))))))))))))))</f>
        <v xml:space="preserve"> </v>
      </c>
      <c r="J227" s="59" t="str">
        <f>IF(F227&gt;'депозитный калькулятор'!$D$8," ",IF('депозитный калькулятор'!$G$16="нет",0,IF(AND('депозитный калькулятор'!$G$17="разовая (в конце срока)",F227='депозитный калькулятор'!$D$8),'депозитный калькулятор'!$G$18,IF(AND('депозитный калькулятор'!$G$17="ежемесячная",EOMONTH(F226,0)=F226),'депозитный калькулятор'!$G$18,IF(AND('депозитный калькулятор'!$G$17="ежегодная",DAY(F226)=31,MONTH(F226)=12),'депозитный калькулятор'!$G$18,IF(AND('депозитный калькулятор'!$G$17="ежемесячная в зависимости от остатка",EOMONTH(F226,0)=F226,P226&gt;0),'депозитный калькулятор'!$G$18,IF(AND('депозитный калькулятор'!$G$17="ежегодная в зависимости от остатка",DAY(F226)=31,MONTH(F226)=12,P226&gt;0),'депозитный калькулятор'!$G$18,0)))))))</f>
        <v xml:space="preserve"> </v>
      </c>
      <c r="K227" s="135" t="str">
        <f>IF($F227=" "," ",IFERROR(VLOOKUP($F227,'депозитный калькулятор'!$B$26:$F$70,2,0),0))</f>
        <v xml:space="preserve"> </v>
      </c>
      <c r="L227" s="135" t="str">
        <f>IF($F227=" "," ",IFERROR(VLOOKUP($F227,'депозитный калькулятор'!$B$26:$F$70,3,0),0))</f>
        <v xml:space="preserve"> </v>
      </c>
      <c r="M227" s="135" t="str">
        <f>IF($F227=" "," ",IFERROR(VLOOKUP($F227,'депозитный калькулятор'!$B$26:$F$70,4,0),0))</f>
        <v xml:space="preserve"> </v>
      </c>
      <c r="N227" s="135" t="str">
        <f>IF($F227=" "," ",IFERROR(VLOOKUP($F227,'депозитный калькулятор'!$B$26:$F$70,5,0),0))</f>
        <v xml:space="preserve"> </v>
      </c>
      <c r="O227" s="146" t="str">
        <f>IF(F227&gt;'депозитный калькулятор'!$D$8," ",IF(F227='депозитный калькулятор'!$D$8,IF(AND($F$24='депозитный калькулятор'!$D$8,'депозитный калькулятор'!$G$13="нет"),-G227-IF(I227=" ",0,I227)-IF(AND(OR('депозитный калькулятор'!$G$7="30/365",'депозитный калькулятор'!$G$7="30/360"),'депозитный калькулятор'!$G$10="в начале срока"),I226,0)-L227+M227-N227,-G227-IF(I227=" ",0,I227)-L227+M227-N227),IF('депозитный калькулятор'!$G$13="есть",M227-N227+IF('депозитный калькулятор'!$G$14="есть",0,-L227),-IF(I227=" ",0,I227)-IF(AND(OR('депозитный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срока"),I226,0)+M227-N227+IF('депозитный калькулятор'!$G$14="есть",0,-L227))))</f>
        <v xml:space="preserve"> </v>
      </c>
      <c r="P227" s="147" t="str">
        <f>IF(F227&gt;'депозитный калькулятор'!$D$8," ",IF(EOMONTH(F226,0)=F226,0,IF(G227&gt;='депозитный калькулятор'!$G$19,P226,P226+1)))</f>
        <v xml:space="preserve"> </v>
      </c>
      <c r="Q227" s="138" t="str">
        <f>IF(F227=" "," ",IF(AND(OR('депозитный калькулятор'!$G$7="30/365",'депозитный калькулятор'!$G$7="30/360"),AND(MONTH(F227)=2,EOMONTH(F227,0)=F227)),IF(DAY(F227)=28,3,2),1)*IF(G227&gt;='депозитный калькулятор'!$G$11,IF(AND('депозитный калькулятор'!$G$7="факт/факт",MOD(YEAR(F227),4)=0),G227*'депозитный калькулятор'!$D$11/366,G227*'депозитный калькулятор'!$G$8),0))</f>
        <v xml:space="preserve"> </v>
      </c>
      <c r="R227" s="148"/>
      <c r="S227" s="62" t="str">
        <f t="shared" ca="1" si="17"/>
        <v xml:space="preserve"> </v>
      </c>
      <c r="T227" s="149" t="str">
        <f ca="1">IF(S227=" "," ",IF('депозитный калькулятор'!$G$7="30/360",DAYS360(U226,IF(DAY(U227)=31,U227-1,U227))+IF(AND(MONTH(U227)=2,U227=EOMONTH(U227,0)),30-DAY(EOMONTH(U227,0)))+T226,VLOOKUP(S227,$C$22:$F$1023,2,0)))</f>
        <v xml:space="preserve"> </v>
      </c>
      <c r="U227" s="64" t="str">
        <f t="shared" ca="1" si="15"/>
        <v xml:space="preserve"> </v>
      </c>
      <c r="V227" s="150" t="str">
        <f t="shared" ca="1" si="18"/>
        <v xml:space="preserve"> </v>
      </c>
      <c r="W227" s="62" t="str">
        <f t="shared" ca="1" si="19"/>
        <v xml:space="preserve"> </v>
      </c>
      <c r="X227" s="141" t="str">
        <f ca="1">IF(S227=" "," ",IFERROR(VLOOKUP(U227,$F$23:$N$1023,7)+VLOOKUP(U227,$F$23:$N$1023,9)+IF(AND('депозитный калькулятор'!$G$13="нет",U227&lt;&gt;'депозитный калькулятор'!$D$8),VLOOKUP(U227,$F$23:$N$1023,4),0),0)+IF(U227='депозитный калькулятор'!$D$8,VLOOKUP(U227,$F$23:$N$1023,2)+VLOOKUP(U227,$F$23:$N$1023,4),0))</f>
        <v xml:space="preserve"> </v>
      </c>
      <c r="Y227" s="142" t="str">
        <f ca="1">IF(S227=" "," ",W227/(1+'депозитный калькулятор'!$K$8)^(T227/IF('депозитный калькулятор'!$G$7="30/360",360,365)))</f>
        <v xml:space="preserve"> </v>
      </c>
      <c r="Z227" s="142" t="str">
        <f ca="1">IF(S227=" "," ",X227/(1+'депозитный калькулятор'!$K$8)^(T227/IF('депозитный калькулятор'!$G$7="30/360",360,365)))</f>
        <v xml:space="preserve"> </v>
      </c>
      <c r="AA227" s="151"/>
      <c r="AB227" s="151"/>
      <c r="AC227" s="155"/>
      <c r="AD227" s="155"/>
    </row>
    <row r="228" spans="1:30" s="2" customFormat="1" ht="15.5" x14ac:dyDescent="0.35">
      <c r="A228" s="41" t="str">
        <f>IF(F228=" "," ",IF(OR('депозитный калькулятор'!$G$7="30/365",'депозитный калькулятор'!$G$7="30/360"),IF(AND(MONTH(F228)=2,DAY(F228)=DAY(EOMONTH(F228,0))),30-DAY(EOMONTH(F228,0)),IF(DAY(F228)=31,1," "))," "))</f>
        <v xml:space="preserve"> </v>
      </c>
      <c r="B228" s="130" t="str">
        <f t="shared" si="16"/>
        <v xml:space="preserve"> </v>
      </c>
      <c r="C228" s="130" t="str">
        <f>IF(OR(B228=0,B228=" ")," ",SUM($B$23:B228))</f>
        <v xml:space="preserve"> </v>
      </c>
      <c r="D228" s="62" t="str">
        <f>IF(D227=" "," ",IF(OR(F227='депозитный калькулятор'!$D$8,F227=" ")," ",D227+1))</f>
        <v xml:space="preserve"> </v>
      </c>
      <c r="E228" s="130" t="str">
        <f>IF(OR(F227='депозитный калькулятор'!$D$8,F227=" ")," ",IF(EOMONTH(F227,0)=F227,1,E227+1))</f>
        <v xml:space="preserve"> </v>
      </c>
      <c r="F228" s="64" t="str">
        <f>IF(F227=" "," ",IF(F227='депозитный калькулятор'!$D$8," ",F227+1))</f>
        <v xml:space="preserve"> </v>
      </c>
      <c r="G228" s="145" t="str">
        <f xml:space="preserve"> IF(F228&gt;'депозитный калькулятор'!$D$8," ",IF('депозитный калькулятор'!$G$13="есть",IF('депозитный калькулятор'!$G$14="есть",G227+IF(I227=" ",0,I227)-J228-K228+L228+M228-N228,G227+IF(I227=" ",0,I227)-J228-K228+M228-N228),IF('депозитный калькулятор'!$G$14="есть",G227-J228-K228+L228+M228-N228,G227-J228-K228+M228-N228)))</f>
        <v xml:space="preserve"> </v>
      </c>
      <c r="H228" s="133" t="str">
        <f>IF(F228&gt;'депозитный калькулятор'!$D$8," ",IF(AND(OR('депозитный калькулятор'!$G$7="30/365",'депозитный калькулятор'!$G$7="30/360"),AND(MONTH(F228)=2,EOMONTH(F228,0)=F228)),IF(DAY(F228)=28,3*G228*'депозитный калькулятор'!$G$8,2*G228*'депозитный калькулятор'!$G$8),IF(AND(OR('депозитный калькулятор'!$G$7="30/365",'депозитный калькулятор'!$G$7="30/360"),DAY(F228)=31)," ",IF(AND('депозитный калькулятор'!$G$7="факт/факт",MOD(YEAR(F228),4)=0),G228*'депозитный калькулятор'!$D$11/366,G228*'депозитный калькулятор'!$G$8))))</f>
        <v xml:space="preserve"> </v>
      </c>
      <c r="I228" s="134" t="str">
        <f ca="1">IF(F228=" "," ",IF('депозитный калькулятор'!$G$10="ежедневное",H228,IF(AND('депозитный калькулятор'!$G$10="еженедельное",WEEKDAY(F228,2)=7),SUM(OFFSET(H228,-6,0):H228),IF(AND('депозитный калькулятор'!$G$10="еженедельное",F228='депозитный калькулятор'!$D$8),SUM($H$23:H228)-SUM($I$23:I227),IF(AND('депозитный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недели",WEEKDAY(F228,2)=7),MIN(OFFSET(H228,-6,0):H228)*(COUNTIF(OFFSET(H228,-6,0):H228,"&gt;0")+SUMIF(OFFSET(A228,-WEEKDAY(F228,2),0):A228,"=2",OFFSET(A228,-WEEKDAY(F228,2),0):A228)),IF(AND('депозитный калькулятор'!$G$10="еженедельное, на минимальную сумму зафиксированную в течение недели",F228='депозитный калькулятор'!$D$8,WEEKDAY(F228,2)&lt;&gt;7),MIN(OFFSET(H228,-WEEKDAY(F228,2),0):H228)*(COUNTIF(OFFSET(H228,-WEEKDAY(F228,2)+1,0):H228,"&gt;0")+SUM(OFFSET(A228,-WEEKDAY(F228,2),0):A228)),IF(AND('депозитный калькулятор'!$G$10="ежемесячное (в конце месяца)",F228='депозитный калькулятор'!$D$8,EOMONTH(F228,0)&lt;&gt;F228),IF('депозитный калькулятор'!$F$1=1,$H$24,SUM($H$23:H228)-SUM($I$23:I227)),IF(AND('депозитный калькулятор'!$G$10="ежемесячное (в конце месяца)",EOMONTH(F228,0)=F228),SUM($H$23:H228)-SUM($I$23:I227),IF(AND('депозитный калькулятор'!$G$10="ежемесячное (по дням открытия вклада)",F228='депозитный калькулятор'!$D$8,DAY('депозитный калькулятор'!$D$7)&lt;&gt;DAY(F228)),IF('депозитный калькулятор'!$F$1=1,$H$24,SUM($H$23:H228)-SUM($I$23:I227)),IF(AND('депозитный калькулятор'!$G$10="ежемесячное (по дням открытия вклада)",DAY('депозитный калькулятор'!$D$7)=DAY(F228)),SUM($H$23:H228)-SUM($I$23:I227),IF(AND('депозитный калькулятор'!$G$10="ежемесячное, на минимальную сумму зафиксированную в течение месяца",F228='депозитный калькулятор'!$D$8,EOMONTH(F228,0)&lt;&gt;F228),IF('депозитный калькулятор'!$F$1=1,$H$24,IF(AND(OR('депозитный калькулятор'!$G$7="30/365",'депозитный калькулятор'!$G$7="30/360"),DAY(F228)=31),0,MIN(OFFSET(H228,-E228+1,0):H228)*(E228+SUMIF(OFFSET(A228,-E228+1,0):A228,"=2",OFFSET(A228,-E228+1,0):A228)))),IF(AND('депозитный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калькулятор'!$G$7="30/360"),DAY(EOMONTH(F228,0))=31),EOMONTH(F228,0)-1=F228,EOMONTH(F228,0)=F228)),IF(IF(AND(OR('депозитный калькулятор'!$G$7="30/365",'депозитный калькулятор'!$G$7="30/360"),DAY(EOMONTH($F$23,0))=31),F228=EOMONTH($F$23,0)-1,F228=EOMONTH($F$23,0)),MIN(OFFSET(H228,-(DAY(F228)-DAY($F$23)),0):H228)*E228,MIN(OFFSET(H228,-(DAY(F228)-1),0):H228)*IF(AND(OR('депозитный калькулятор'!$G$7="30/365",'депозитный калькулятор'!$G$7="30/360"),DAY(F228)&lt;30),30,DAY(F228))),IF(AND('депозитный калькулятор'!$G$10="ежемесячное, на средний остаток в течение месяца, при условии что остаток больше чем ограничение",F228='депозитный калькулятор'!$D$8,EOMONTH(F228,0)&lt;&gt;F228),IF('депозитный калькулятор'!$F$1=1,$H$24,SUM(OFFSET(Q228,-E228+1,0):Q228)),IF(AND('депозитный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калькулятор'!$G$7="30/360"),DAY(EOMONTH(F228,0))=31),EOMONTH(F228,0)-1=F228,EOMONTH(F228,0)=F228)),IF(IF(AND(OR('депозитный калькулятор'!$G$7="30/365",'депозитный калькулятор'!$G$7="30/360"),DAY(EOMONTH($F$24,0))=31),F228=EOMONTH($F$24,0)-1,F228=EOMONTH($F$24,0)),SUM(OFFSET(Q228,-E228+1,0):Q228),SUM(OFFSET(Q228,-E228+1,0):Q228)),IF('депозитный калькулятор'!$G$10="ежеквартальное",IF(F228&gt;'депозитный калькулятор'!$D$8," ",IF(AND(EOMONTH(F228,0)=F228,OR(MONTH(F228)=3,MONTH(F228)=6,MONTH(F228)=9,MONTH(F228)=12)),IF(EDATE(F228,-3)&lt;'депозитный калькулятор'!$D$7,SUM($H$23:H228),IF(MOD(YEAR(F228),4)=0,IF(AND(EOMONTH(F228,0)=F228,OR(MONTH(F228)=3,MONTH(F228)=6)),SUM(OFFSET(H228,-90,0):H228),IF(AND(EOMONTH(F228,0)=F228,OR(MONTH(F228)=9,MONTH(F228)=12)),SUM(OFFSET(H228,-91,0):H228))),IF(AND(EOMONTH(F228,0)=F228,MONTH(F228)=3),SUM(OFFSET(H228,-89,0):H228),IF(AND(EOMONTH(F228,0)=F228,MONTH(F228)=6),SUM(OFFSET(H228,-90,0):H228),IF(AND(EOMONTH(F228,0)=F228,OR(MONTH(F228)=9,MONTH(F228)=12)),SUM(OFFSET(H228,-91,0):H228)))))),IF(F228='депозитный калькулятор'!$D$8,SUM($H$23:H228)-SUM($I$23:I227),0))),IF('депозитный калькулятор'!$G$10="ежегодное",IF(F228&gt;'депозитный калькулятор'!$D$8," ",IF(F228='депозитный калькулятор'!$D$8,SUM($H$23:H228)-SUM($I$23:I227),IF(AND(EOMONTH(F228,0)=F228,MONTH(F228)=12),IF(MOD(YEAR(F227),4)=0,IF(F228-'депозитный калькулятор'!$D$7&lt;366,SUM($H$23:H228),SUM(OFFSET(H228,-365,0):H228)),IF(F228-'депозитный калькулятор'!$D$7&lt;365,SUM($H$23:H228),SUM(OFFSET(H228,-364,0):H228))),0))),IF(AND('депозитный калькулятор'!$G$10="в конце срока",'депозитный калькулятор'!$D$8=F228),SUM($H$23:H228),0))))))))))))))))))</f>
        <v xml:space="preserve"> </v>
      </c>
      <c r="J228" s="59" t="str">
        <f>IF(F228&gt;'депозитный калькулятор'!$D$8," ",IF('депозитный калькулятор'!$G$16="нет",0,IF(AND('депозитный калькулятор'!$G$17="разовая (в конце срока)",F228='депозитный калькулятор'!$D$8),'депозитный калькулятор'!$G$18,IF(AND('депозитный калькулятор'!$G$17="ежемесячная",EOMONTH(F227,0)=F227),'депозитный калькулятор'!$G$18,IF(AND('депозитный калькулятор'!$G$17="ежегодная",DAY(F227)=31,MONTH(F227)=12),'депозитный калькулятор'!$G$18,IF(AND('депозитный калькулятор'!$G$17="ежемесячная в зависимости от остатка",EOMONTH(F227,0)=F227,P227&gt;0),'депозитный калькулятор'!$G$18,IF(AND('депозитный калькулятор'!$G$17="ежегодная в зависимости от остатка",DAY(F227)=31,MONTH(F227)=12,P227&gt;0),'депозитный калькулятор'!$G$18,0)))))))</f>
        <v xml:space="preserve"> </v>
      </c>
      <c r="K228" s="135" t="str">
        <f>IF($F228=" "," ",IFERROR(VLOOKUP($F228,'депозитный калькулятор'!$B$26:$F$70,2,0),0))</f>
        <v xml:space="preserve"> </v>
      </c>
      <c r="L228" s="135" t="str">
        <f>IF($F228=" "," ",IFERROR(VLOOKUP($F228,'депозитный калькулятор'!$B$26:$F$70,3,0),0))</f>
        <v xml:space="preserve"> </v>
      </c>
      <c r="M228" s="135" t="str">
        <f>IF($F228=" "," ",IFERROR(VLOOKUP($F228,'депозитный калькулятор'!$B$26:$F$70,4,0),0))</f>
        <v xml:space="preserve"> </v>
      </c>
      <c r="N228" s="135" t="str">
        <f>IF($F228=" "," ",IFERROR(VLOOKUP($F228,'депозитный калькулятор'!$B$26:$F$70,5,0),0))</f>
        <v xml:space="preserve"> </v>
      </c>
      <c r="O228" s="146" t="str">
        <f>IF(F228&gt;'депозитный калькулятор'!$D$8," ",IF(F228='депозитный калькулятор'!$D$8,IF(AND($F$24='депозитный калькулятор'!$D$8,'депозитный калькулятор'!$G$13="нет"),-G228-IF(I228=" ",0,I228)-IF(AND(OR('депозитный калькулятор'!$G$7="30/365",'депозитный калькулятор'!$G$7="30/360"),'депозитный калькулятор'!$G$10="в начале срока"),I227,0)-L228+M228-N228,-G228-IF(I228=" ",0,I228)-L228+M228-N228),IF('депозитный калькулятор'!$G$13="есть",M228-N228+IF('депозитный калькулятор'!$G$14="есть",0,-L228),-IF(I228=" ",0,I228)-IF(AND(OR('депозитный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срока"),I227,0)+M228-N228+IF('депозитный калькулятор'!$G$14="есть",0,-L228))))</f>
        <v xml:space="preserve"> </v>
      </c>
      <c r="P228" s="147" t="str">
        <f>IF(F228&gt;'депозитный калькулятор'!$D$8," ",IF(EOMONTH(F227,0)=F227,0,IF(G228&gt;='депозитный калькулятор'!$G$19,P227,P227+1)))</f>
        <v xml:space="preserve"> </v>
      </c>
      <c r="Q228" s="138" t="str">
        <f>IF(F228=" "," ",IF(AND(OR('депозитный калькулятор'!$G$7="30/365",'депозитный калькулятор'!$G$7="30/360"),AND(MONTH(F228)=2,EOMONTH(F228,0)=F228)),IF(DAY(F228)=28,3,2),1)*IF(G228&gt;='депозитный калькулятор'!$G$11,IF(AND('депозитный калькулятор'!$G$7="факт/факт",MOD(YEAR(F228),4)=0),G228*'депозитный калькулятор'!$D$11/366,G228*'депозитный калькулятор'!$G$8),0))</f>
        <v xml:space="preserve"> </v>
      </c>
      <c r="R228" s="148"/>
      <c r="S228" s="62" t="str">
        <f t="shared" ca="1" si="17"/>
        <v xml:space="preserve"> </v>
      </c>
      <c r="T228" s="149" t="str">
        <f ca="1">IF(S228=" "," ",IF('депозитный калькулятор'!$G$7="30/360",DAYS360(U227,IF(DAY(U228)=31,U228-1,U228))+IF(AND(MONTH(U228)=2,U228=EOMONTH(U228,0)),30-DAY(EOMONTH(U228,0)))+T227,VLOOKUP(S228,$C$22:$F$1023,2,0)))</f>
        <v xml:space="preserve"> </v>
      </c>
      <c r="U228" s="64" t="str">
        <f t="shared" ca="1" si="15"/>
        <v xml:space="preserve"> </v>
      </c>
      <c r="V228" s="150" t="str">
        <f t="shared" ca="1" si="18"/>
        <v xml:space="preserve"> </v>
      </c>
      <c r="W228" s="62" t="str">
        <f t="shared" ca="1" si="19"/>
        <v xml:space="preserve"> </v>
      </c>
      <c r="X228" s="141" t="str">
        <f ca="1">IF(S228=" "," ",IFERROR(VLOOKUP(U228,$F$23:$N$1023,7)+VLOOKUP(U228,$F$23:$N$1023,9)+IF(AND('депозитный калькулятор'!$G$13="нет",U228&lt;&gt;'депозитный калькулятор'!$D$8),VLOOKUP(U228,$F$23:$N$1023,4),0),0)+IF(U228='депозитный калькулятор'!$D$8,VLOOKUP(U228,$F$23:$N$1023,2)+VLOOKUP(U228,$F$23:$N$1023,4),0))</f>
        <v xml:space="preserve"> </v>
      </c>
      <c r="Y228" s="142" t="str">
        <f ca="1">IF(S228=" "," ",W228/(1+'депозитный калькулятор'!$K$8)^(T228/IF('депозитный калькулятор'!$G$7="30/360",360,365)))</f>
        <v xml:space="preserve"> </v>
      </c>
      <c r="Z228" s="142" t="str">
        <f ca="1">IF(S228=" "," ",X228/(1+'депозитный калькулятор'!$K$8)^(T228/IF('депозитный калькулятор'!$G$7="30/360",360,365)))</f>
        <v xml:space="preserve"> </v>
      </c>
      <c r="AA228" s="151"/>
      <c r="AB228" s="151"/>
      <c r="AC228" s="155"/>
      <c r="AD228" s="155"/>
    </row>
    <row r="229" spans="1:30" s="2" customFormat="1" ht="15.5" x14ac:dyDescent="0.35">
      <c r="A229" s="41" t="str">
        <f>IF(F229=" "," ",IF(OR('депозитный калькулятор'!$G$7="30/365",'депозитный калькулятор'!$G$7="30/360"),IF(AND(MONTH(F229)=2,DAY(F229)=DAY(EOMONTH(F229,0))),30-DAY(EOMONTH(F229,0)),IF(DAY(F229)=31,1," "))," "))</f>
        <v xml:space="preserve"> </v>
      </c>
      <c r="B229" s="130" t="str">
        <f t="shared" si="16"/>
        <v xml:space="preserve"> </v>
      </c>
      <c r="C229" s="130" t="str">
        <f>IF(OR(B229=0,B229=" ")," ",SUM($B$23:B229))</f>
        <v xml:space="preserve"> </v>
      </c>
      <c r="D229" s="62" t="str">
        <f>IF(D228=" "," ",IF(OR(F228='депозитный калькулятор'!$D$8,F228=" ")," ",D228+1))</f>
        <v xml:space="preserve"> </v>
      </c>
      <c r="E229" s="130" t="str">
        <f>IF(OR(F228='депозитный калькулятор'!$D$8,F228=" ")," ",IF(EOMONTH(F228,0)=F228,1,E228+1))</f>
        <v xml:space="preserve"> </v>
      </c>
      <c r="F229" s="64" t="str">
        <f>IF(F228=" "," ",IF(F228='депозитный калькулятор'!$D$8," ",F228+1))</f>
        <v xml:space="preserve"> </v>
      </c>
      <c r="G229" s="145" t="str">
        <f xml:space="preserve"> IF(F229&gt;'депозитный калькулятор'!$D$8," ",IF('депозитный калькулятор'!$G$13="есть",IF('депозитный калькулятор'!$G$14="есть",G228+IF(I228=" ",0,I228)-J229-K229+L229+M229-N229,G228+IF(I228=" ",0,I228)-J229-K229+M229-N229),IF('депозитный калькулятор'!$G$14="есть",G228-J229-K229+L229+M229-N229,G228-J229-K229+M229-N229)))</f>
        <v xml:space="preserve"> </v>
      </c>
      <c r="H229" s="133" t="str">
        <f>IF(F229&gt;'депозитный калькулятор'!$D$8," ",IF(AND(OR('депозитный калькулятор'!$G$7="30/365",'депозитный калькулятор'!$G$7="30/360"),AND(MONTH(F229)=2,EOMONTH(F229,0)=F229)),IF(DAY(F229)=28,3*G229*'депозитный калькулятор'!$G$8,2*G229*'депозитный калькулятор'!$G$8),IF(AND(OR('депозитный калькулятор'!$G$7="30/365",'депозитный калькулятор'!$G$7="30/360"),DAY(F229)=31)," ",IF(AND('депозитный калькулятор'!$G$7="факт/факт",MOD(YEAR(F229),4)=0),G229*'депозитный калькулятор'!$D$11/366,G229*'депозитный калькулятор'!$G$8))))</f>
        <v xml:space="preserve"> </v>
      </c>
      <c r="I229" s="134" t="str">
        <f ca="1">IF(F229=" "," ",IF('депозитный калькулятор'!$G$10="ежедневное",H229,IF(AND('депозитный калькулятор'!$G$10="еженедельное",WEEKDAY(F229,2)=7),SUM(OFFSET(H229,-6,0):H229),IF(AND('депозитный калькулятор'!$G$10="еженедельное",F229='депозитный калькулятор'!$D$8),SUM($H$23:H229)-SUM($I$23:I228),IF(AND('депозитный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недели",WEEKDAY(F229,2)=7),MIN(OFFSET(H229,-6,0):H229)*(COUNTIF(OFFSET(H229,-6,0):H229,"&gt;0")+SUMIF(OFFSET(A229,-WEEKDAY(F229,2),0):A229,"=2",OFFSET(A229,-WEEKDAY(F229,2),0):A229)),IF(AND('депозитный калькулятор'!$G$10="еженедельное, на минимальную сумму зафиксированную в течение недели",F229='депозитный калькулятор'!$D$8,WEEKDAY(F229,2)&lt;&gt;7),MIN(OFFSET(H229,-WEEKDAY(F229,2),0):H229)*(COUNTIF(OFFSET(H229,-WEEKDAY(F229,2)+1,0):H229,"&gt;0")+SUM(OFFSET(A229,-WEEKDAY(F229,2),0):A229)),IF(AND('депозитный калькулятор'!$G$10="ежемесячное (в конце месяца)",F229='депозитный калькулятор'!$D$8,EOMONTH(F229,0)&lt;&gt;F229),IF('депозитный калькулятор'!$F$1=1,$H$24,SUM($H$23:H229)-SUM($I$23:I228)),IF(AND('депозитный калькулятор'!$G$10="ежемесячное (в конце месяца)",EOMONTH(F229,0)=F229),SUM($H$23:H229)-SUM($I$23:I228),IF(AND('депозитный калькулятор'!$G$10="ежемесячное (по дням открытия вклада)",F229='депозитный калькулятор'!$D$8,DAY('депозитный калькулятор'!$D$7)&lt;&gt;DAY(F229)),IF('депозитный калькулятор'!$F$1=1,$H$24,SUM($H$23:H229)-SUM($I$23:I228)),IF(AND('депозитный калькулятор'!$G$10="ежемесячное (по дням открытия вклада)",DAY('депозитный калькулятор'!$D$7)=DAY(F229)),SUM($H$23:H229)-SUM($I$23:I228),IF(AND('депозитный калькулятор'!$G$10="ежемесячное, на минимальную сумму зафиксированную в течение месяца",F229='депозитный калькулятор'!$D$8,EOMONTH(F229,0)&lt;&gt;F229),IF('депозитный калькулятор'!$F$1=1,$H$24,IF(AND(OR('депозитный калькулятор'!$G$7="30/365",'депозитный калькулятор'!$G$7="30/360"),DAY(F229)=31),0,MIN(OFFSET(H229,-E229+1,0):H229)*(E229+SUMIF(OFFSET(A229,-E229+1,0):A229,"=2",OFFSET(A229,-E229+1,0):A229)))),IF(AND('депозитный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калькулятор'!$G$7="30/360"),DAY(EOMONTH(F229,0))=31),EOMONTH(F229,0)-1=F229,EOMONTH(F229,0)=F229)),IF(IF(AND(OR('депозитный калькулятор'!$G$7="30/365",'депозитный калькулятор'!$G$7="30/360"),DAY(EOMONTH($F$23,0))=31),F229=EOMONTH($F$23,0)-1,F229=EOMONTH($F$23,0)),MIN(OFFSET(H229,-(DAY(F229)-DAY($F$23)),0):H229)*E229,MIN(OFFSET(H229,-(DAY(F229)-1),0):H229)*IF(AND(OR('депозитный калькулятор'!$G$7="30/365",'депозитный калькулятор'!$G$7="30/360"),DAY(F229)&lt;30),30,DAY(F229))),IF(AND('депозитный калькулятор'!$G$10="ежемесячное, на средний остаток в течение месяца, при условии что остаток больше чем ограничение",F229='депозитный калькулятор'!$D$8,EOMONTH(F229,0)&lt;&gt;F229),IF('депозитный калькулятор'!$F$1=1,$H$24,SUM(OFFSET(Q229,-E229+1,0):Q229)),IF(AND('депозитный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калькулятор'!$G$7="30/360"),DAY(EOMONTH(F229,0))=31),EOMONTH(F229,0)-1=F229,EOMONTH(F229,0)=F229)),IF(IF(AND(OR('депозитный калькулятор'!$G$7="30/365",'депозитный калькулятор'!$G$7="30/360"),DAY(EOMONTH($F$24,0))=31),F229=EOMONTH($F$24,0)-1,F229=EOMONTH($F$24,0)),SUM(OFFSET(Q229,-E229+1,0):Q229),SUM(OFFSET(Q229,-E229+1,0):Q229)),IF('депозитный калькулятор'!$G$10="ежеквартальное",IF(F229&gt;'депозитный калькулятор'!$D$8," ",IF(AND(EOMONTH(F229,0)=F229,OR(MONTH(F229)=3,MONTH(F229)=6,MONTH(F229)=9,MONTH(F229)=12)),IF(EDATE(F229,-3)&lt;'депозитный калькулятор'!$D$7,SUM($H$23:H229),IF(MOD(YEAR(F229),4)=0,IF(AND(EOMONTH(F229,0)=F229,OR(MONTH(F229)=3,MONTH(F229)=6)),SUM(OFFSET(H229,-90,0):H229),IF(AND(EOMONTH(F229,0)=F229,OR(MONTH(F229)=9,MONTH(F229)=12)),SUM(OFFSET(H229,-91,0):H229))),IF(AND(EOMONTH(F229,0)=F229,MONTH(F229)=3),SUM(OFFSET(H229,-89,0):H229),IF(AND(EOMONTH(F229,0)=F229,MONTH(F229)=6),SUM(OFFSET(H229,-90,0):H229),IF(AND(EOMONTH(F229,0)=F229,OR(MONTH(F229)=9,MONTH(F229)=12)),SUM(OFFSET(H229,-91,0):H229)))))),IF(F229='депозитный калькулятор'!$D$8,SUM($H$23:H229)-SUM($I$23:I228),0))),IF('депозитный калькулятор'!$G$10="ежегодное",IF(F229&gt;'депозитный калькулятор'!$D$8," ",IF(F229='депозитный калькулятор'!$D$8,SUM($H$23:H229)-SUM($I$23:I228),IF(AND(EOMONTH(F229,0)=F229,MONTH(F229)=12),IF(MOD(YEAR(F228),4)=0,IF(F229-'депозитный калькулятор'!$D$7&lt;366,SUM($H$23:H229),SUM(OFFSET(H229,-365,0):H229)),IF(F229-'депозитный калькулятор'!$D$7&lt;365,SUM($H$23:H229),SUM(OFFSET(H229,-364,0):H229))),0))),IF(AND('депозитный калькулятор'!$G$10="в конце срока",'депозитный калькулятор'!$D$8=F229),SUM($H$23:H229),0))))))))))))))))))</f>
        <v xml:space="preserve"> </v>
      </c>
      <c r="J229" s="59" t="str">
        <f>IF(F229&gt;'депозитный калькулятор'!$D$8," ",IF('депозитный калькулятор'!$G$16="нет",0,IF(AND('депозитный калькулятор'!$G$17="разовая (в конце срока)",F229='депозитный калькулятор'!$D$8),'депозитный калькулятор'!$G$18,IF(AND('депозитный калькулятор'!$G$17="ежемесячная",EOMONTH(F228,0)=F228),'депозитный калькулятор'!$G$18,IF(AND('депозитный калькулятор'!$G$17="ежегодная",DAY(F228)=31,MONTH(F228)=12),'депозитный калькулятор'!$G$18,IF(AND('депозитный калькулятор'!$G$17="ежемесячная в зависимости от остатка",EOMONTH(F228,0)=F228,P228&gt;0),'депозитный калькулятор'!$G$18,IF(AND('депозитный калькулятор'!$G$17="ежегодная в зависимости от остатка",DAY(F228)=31,MONTH(F228)=12,P228&gt;0),'депозитный калькулятор'!$G$18,0)))))))</f>
        <v xml:space="preserve"> </v>
      </c>
      <c r="K229" s="135" t="str">
        <f>IF($F229=" "," ",IFERROR(VLOOKUP($F229,'депозитный калькулятор'!$B$26:$F$70,2,0),0))</f>
        <v xml:space="preserve"> </v>
      </c>
      <c r="L229" s="135" t="str">
        <f>IF($F229=" "," ",IFERROR(VLOOKUP($F229,'депозитный калькулятор'!$B$26:$F$70,3,0),0))</f>
        <v xml:space="preserve"> </v>
      </c>
      <c r="M229" s="135" t="str">
        <f>IF($F229=" "," ",IFERROR(VLOOKUP($F229,'депозитный калькулятор'!$B$26:$F$70,4,0),0))</f>
        <v xml:space="preserve"> </v>
      </c>
      <c r="N229" s="135" t="str">
        <f>IF($F229=" "," ",IFERROR(VLOOKUP($F229,'депозитный калькулятор'!$B$26:$F$70,5,0),0))</f>
        <v xml:space="preserve"> </v>
      </c>
      <c r="O229" s="146" t="str">
        <f>IF(F229&gt;'депозитный калькулятор'!$D$8," ",IF(F229='депозитный калькулятор'!$D$8,IF(AND($F$24='депозитный калькулятор'!$D$8,'депозитный калькулятор'!$G$13="нет"),-G229-IF(I229=" ",0,I229)-IF(AND(OR('депозитный калькулятор'!$G$7="30/365",'депозитный калькулятор'!$G$7="30/360"),'депозитный калькулятор'!$G$10="в начале срока"),I228,0)-L229+M229-N229,-G229-IF(I229=" ",0,I229)-L229+M229-N229),IF('депозитный калькулятор'!$G$13="есть",M229-N229+IF('депозитный калькулятор'!$G$14="есть",0,-L229),-IF(I229=" ",0,I229)-IF(AND(OR('депозитный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срока"),I228,0)+M229-N229+IF('депозитный калькулятор'!$G$14="есть",0,-L229))))</f>
        <v xml:space="preserve"> </v>
      </c>
      <c r="P229" s="147" t="str">
        <f>IF(F229&gt;'депозитный калькулятор'!$D$8," ",IF(EOMONTH(F228,0)=F228,0,IF(G229&gt;='депозитный калькулятор'!$G$19,P228,P228+1)))</f>
        <v xml:space="preserve"> </v>
      </c>
      <c r="Q229" s="138" t="str">
        <f>IF(F229=" "," ",IF(AND(OR('депозитный калькулятор'!$G$7="30/365",'депозитный калькулятор'!$G$7="30/360"),AND(MONTH(F229)=2,EOMONTH(F229,0)=F229)),IF(DAY(F229)=28,3,2),1)*IF(G229&gt;='депозитный калькулятор'!$G$11,IF(AND('депозитный калькулятор'!$G$7="факт/факт",MOD(YEAR(F229),4)=0),G229*'депозитный калькулятор'!$D$11/366,G229*'депозитный калькулятор'!$G$8),0))</f>
        <v xml:space="preserve"> </v>
      </c>
      <c r="R229" s="148"/>
      <c r="S229" s="62" t="str">
        <f t="shared" ca="1" si="17"/>
        <v xml:space="preserve"> </v>
      </c>
      <c r="T229" s="149" t="str">
        <f ca="1">IF(S229=" "," ",IF('депозитный калькулятор'!$G$7="30/360",DAYS360(U228,IF(DAY(U229)=31,U229-1,U229))+IF(AND(MONTH(U229)=2,U229=EOMONTH(U229,0)),30-DAY(EOMONTH(U229,0)))+T228,VLOOKUP(S229,$C$22:$F$1023,2,0)))</f>
        <v xml:space="preserve"> </v>
      </c>
      <c r="U229" s="64" t="str">
        <f t="shared" ca="1" si="15"/>
        <v xml:space="preserve"> </v>
      </c>
      <c r="V229" s="150" t="str">
        <f t="shared" ca="1" si="18"/>
        <v xml:space="preserve"> </v>
      </c>
      <c r="W229" s="62" t="str">
        <f t="shared" ca="1" si="19"/>
        <v xml:space="preserve"> </v>
      </c>
      <c r="X229" s="141" t="str">
        <f ca="1">IF(S229=" "," ",IFERROR(VLOOKUP(U229,$F$23:$N$1023,7)+VLOOKUP(U229,$F$23:$N$1023,9)+IF(AND('депозитный калькулятор'!$G$13="нет",U229&lt;&gt;'депозитный калькулятор'!$D$8),VLOOKUP(U229,$F$23:$N$1023,4),0),0)+IF(U229='депозитный калькулятор'!$D$8,VLOOKUP(U229,$F$23:$N$1023,2)+VLOOKUP(U229,$F$23:$N$1023,4),0))</f>
        <v xml:space="preserve"> </v>
      </c>
      <c r="Y229" s="142" t="str">
        <f ca="1">IF(S229=" "," ",W229/(1+'депозитный калькулятор'!$K$8)^(T229/IF('депозитный калькулятор'!$G$7="30/360",360,365)))</f>
        <v xml:space="preserve"> </v>
      </c>
      <c r="Z229" s="142" t="str">
        <f ca="1">IF(S229=" "," ",X229/(1+'депозитный калькулятор'!$K$8)^(T229/IF('депозитный калькулятор'!$G$7="30/360",360,365)))</f>
        <v xml:space="preserve"> </v>
      </c>
      <c r="AA229" s="151"/>
      <c r="AB229" s="151"/>
      <c r="AC229" s="155"/>
      <c r="AD229" s="155"/>
    </row>
    <row r="230" spans="1:30" s="2" customFormat="1" ht="15.5" x14ac:dyDescent="0.35">
      <c r="A230" s="41" t="str">
        <f>IF(F230=" "," ",IF(OR('депозитный калькулятор'!$G$7="30/365",'депозитный калькулятор'!$G$7="30/360"),IF(AND(MONTH(F230)=2,DAY(F230)=DAY(EOMONTH(F230,0))),30-DAY(EOMONTH(F230,0)),IF(DAY(F230)=31,1," "))," "))</f>
        <v xml:space="preserve"> </v>
      </c>
      <c r="B230" s="130" t="str">
        <f t="shared" si="16"/>
        <v xml:space="preserve"> </v>
      </c>
      <c r="C230" s="130" t="str">
        <f>IF(OR(B230=0,B230=" ")," ",SUM($B$23:B230))</f>
        <v xml:space="preserve"> </v>
      </c>
      <c r="D230" s="62" t="str">
        <f>IF(D229=" "," ",IF(OR(F229='депозитный калькулятор'!$D$8,F229=" ")," ",D229+1))</f>
        <v xml:space="preserve"> </v>
      </c>
      <c r="E230" s="130" t="str">
        <f>IF(OR(F229='депозитный калькулятор'!$D$8,F229=" ")," ",IF(EOMONTH(F229,0)=F229,1,E229+1))</f>
        <v xml:space="preserve"> </v>
      </c>
      <c r="F230" s="64" t="str">
        <f>IF(F229=" "," ",IF(F229='депозитный калькулятор'!$D$8," ",F229+1))</f>
        <v xml:space="preserve"> </v>
      </c>
      <c r="G230" s="145" t="str">
        <f xml:space="preserve"> IF(F230&gt;'депозитный калькулятор'!$D$8," ",IF('депозитный калькулятор'!$G$13="есть",IF('депозитный калькулятор'!$G$14="есть",G229+IF(I229=" ",0,I229)-J230-K230+L230+M230-N230,G229+IF(I229=" ",0,I229)-J230-K230+M230-N230),IF('депозитный калькулятор'!$G$14="есть",G229-J230-K230+L230+M230-N230,G229-J230-K230+M230-N230)))</f>
        <v xml:space="preserve"> </v>
      </c>
      <c r="H230" s="133" t="str">
        <f>IF(F230&gt;'депозитный калькулятор'!$D$8," ",IF(AND(OR('депозитный калькулятор'!$G$7="30/365",'депозитный калькулятор'!$G$7="30/360"),AND(MONTH(F230)=2,EOMONTH(F230,0)=F230)),IF(DAY(F230)=28,3*G230*'депозитный калькулятор'!$G$8,2*G230*'депозитный калькулятор'!$G$8),IF(AND(OR('депозитный калькулятор'!$G$7="30/365",'депозитный калькулятор'!$G$7="30/360"),DAY(F230)=31)," ",IF(AND('депозитный калькулятор'!$G$7="факт/факт",MOD(YEAR(F230),4)=0),G230*'депозитный калькулятор'!$D$11/366,G230*'депозитный калькулятор'!$G$8))))</f>
        <v xml:space="preserve"> </v>
      </c>
      <c r="I230" s="134" t="str">
        <f ca="1">IF(F230=" "," ",IF('депозитный калькулятор'!$G$10="ежедневное",H230,IF(AND('депозитный калькулятор'!$G$10="еженедельное",WEEKDAY(F230,2)=7),SUM(OFFSET(H230,-6,0):H230),IF(AND('депозитный калькулятор'!$G$10="еженедельное",F230='депозитный калькулятор'!$D$8),SUM($H$23:H230)-SUM($I$23:I229),IF(AND('депозитный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недели",WEEKDAY(F230,2)=7),MIN(OFFSET(H230,-6,0):H230)*(COUNTIF(OFFSET(H230,-6,0):H230,"&gt;0")+SUMIF(OFFSET(A230,-WEEKDAY(F230,2),0):A230,"=2",OFFSET(A230,-WEEKDAY(F230,2),0):A230)),IF(AND('депозитный калькулятор'!$G$10="еженедельное, на минимальную сумму зафиксированную в течение недели",F230='депозитный калькулятор'!$D$8,WEEKDAY(F230,2)&lt;&gt;7),MIN(OFFSET(H230,-WEEKDAY(F230,2),0):H230)*(COUNTIF(OFFSET(H230,-WEEKDAY(F230,2)+1,0):H230,"&gt;0")+SUM(OFFSET(A230,-WEEKDAY(F230,2),0):A230)),IF(AND('депозитный калькулятор'!$G$10="ежемесячное (в конце месяца)",F230='депозитный калькулятор'!$D$8,EOMONTH(F230,0)&lt;&gt;F230),IF('депозитный калькулятор'!$F$1=1,$H$24,SUM($H$23:H230)-SUM($I$23:I229)),IF(AND('депозитный калькулятор'!$G$10="ежемесячное (в конце месяца)",EOMONTH(F230,0)=F230),SUM($H$23:H230)-SUM($I$23:I229),IF(AND('депозитный калькулятор'!$G$10="ежемесячное (по дням открытия вклада)",F230='депозитный калькулятор'!$D$8,DAY('депозитный калькулятор'!$D$7)&lt;&gt;DAY(F230)),IF('депозитный калькулятор'!$F$1=1,$H$24,SUM($H$23:H230)-SUM($I$23:I229)),IF(AND('депозитный калькулятор'!$G$10="ежемесячное (по дням открытия вклада)",DAY('депозитный калькулятор'!$D$7)=DAY(F230)),SUM($H$23:H230)-SUM($I$23:I229),IF(AND('депозитный калькулятор'!$G$10="ежемесячное, на минимальную сумму зафиксированную в течение месяца",F230='депозитный калькулятор'!$D$8,EOMONTH(F230,0)&lt;&gt;F230),IF('депозитный калькулятор'!$F$1=1,$H$24,IF(AND(OR('депозитный калькулятор'!$G$7="30/365",'депозитный калькулятор'!$G$7="30/360"),DAY(F230)=31),0,MIN(OFFSET(H230,-E230+1,0):H230)*(E230+SUMIF(OFFSET(A230,-E230+1,0):A230,"=2",OFFSET(A230,-E230+1,0):A230)))),IF(AND('депозитный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калькулятор'!$G$7="30/360"),DAY(EOMONTH(F230,0))=31),EOMONTH(F230,0)-1=F230,EOMONTH(F230,0)=F230)),IF(IF(AND(OR('депозитный калькулятор'!$G$7="30/365",'депозитный калькулятор'!$G$7="30/360"),DAY(EOMONTH($F$23,0))=31),F230=EOMONTH($F$23,0)-1,F230=EOMONTH($F$23,0)),MIN(OFFSET(H230,-(DAY(F230)-DAY($F$23)),0):H230)*E230,MIN(OFFSET(H230,-(DAY(F230)-1),0):H230)*IF(AND(OR('депозитный калькулятор'!$G$7="30/365",'депозитный калькулятор'!$G$7="30/360"),DAY(F230)&lt;30),30,DAY(F230))),IF(AND('депозитный калькулятор'!$G$10="ежемесячное, на средний остаток в течение месяца, при условии что остаток больше чем ограничение",F230='депозитный калькулятор'!$D$8,EOMONTH(F230,0)&lt;&gt;F230),IF('депозитный калькулятор'!$F$1=1,$H$24,SUM(OFFSET(Q230,-E230+1,0):Q230)),IF(AND('депозитный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калькулятор'!$G$7="30/360"),DAY(EOMONTH(F230,0))=31),EOMONTH(F230,0)-1=F230,EOMONTH(F230,0)=F230)),IF(IF(AND(OR('депозитный калькулятор'!$G$7="30/365",'депозитный калькулятор'!$G$7="30/360"),DAY(EOMONTH($F$24,0))=31),F230=EOMONTH($F$24,0)-1,F230=EOMONTH($F$24,0)),SUM(OFFSET(Q230,-E230+1,0):Q230),SUM(OFFSET(Q230,-E230+1,0):Q230)),IF('депозитный калькулятор'!$G$10="ежеквартальное",IF(F230&gt;'депозитный калькулятор'!$D$8," ",IF(AND(EOMONTH(F230,0)=F230,OR(MONTH(F230)=3,MONTH(F230)=6,MONTH(F230)=9,MONTH(F230)=12)),IF(EDATE(F230,-3)&lt;'депозитный калькулятор'!$D$7,SUM($H$23:H230),IF(MOD(YEAR(F230),4)=0,IF(AND(EOMONTH(F230,0)=F230,OR(MONTH(F230)=3,MONTH(F230)=6)),SUM(OFFSET(H230,-90,0):H230),IF(AND(EOMONTH(F230,0)=F230,OR(MONTH(F230)=9,MONTH(F230)=12)),SUM(OFFSET(H230,-91,0):H230))),IF(AND(EOMONTH(F230,0)=F230,MONTH(F230)=3),SUM(OFFSET(H230,-89,0):H230),IF(AND(EOMONTH(F230,0)=F230,MONTH(F230)=6),SUM(OFFSET(H230,-90,0):H230),IF(AND(EOMONTH(F230,0)=F230,OR(MONTH(F230)=9,MONTH(F230)=12)),SUM(OFFSET(H230,-91,0):H230)))))),IF(F230='депозитный калькулятор'!$D$8,SUM($H$23:H230)-SUM($I$23:I229),0))),IF('депозитный калькулятор'!$G$10="ежегодное",IF(F230&gt;'депозитный калькулятор'!$D$8," ",IF(F230='депозитный калькулятор'!$D$8,SUM($H$23:H230)-SUM($I$23:I229),IF(AND(EOMONTH(F230,0)=F230,MONTH(F230)=12),IF(MOD(YEAR(F229),4)=0,IF(F230-'депозитный калькулятор'!$D$7&lt;366,SUM($H$23:H230),SUM(OFFSET(H230,-365,0):H230)),IF(F230-'депозитный калькулятор'!$D$7&lt;365,SUM($H$23:H230),SUM(OFFSET(H230,-364,0):H230))),0))),IF(AND('депозитный калькулятор'!$G$10="в конце срока",'депозитный калькулятор'!$D$8=F230),SUM($H$23:H230),0))))))))))))))))))</f>
        <v xml:space="preserve"> </v>
      </c>
      <c r="J230" s="59" t="str">
        <f>IF(F230&gt;'депозитный калькулятор'!$D$8," ",IF('депозитный калькулятор'!$G$16="нет",0,IF(AND('депозитный калькулятор'!$G$17="разовая (в конце срока)",F230='депозитный калькулятор'!$D$8),'депозитный калькулятор'!$G$18,IF(AND('депозитный калькулятор'!$G$17="ежемесячная",EOMONTH(F229,0)=F229),'депозитный калькулятор'!$G$18,IF(AND('депозитный калькулятор'!$G$17="ежегодная",DAY(F229)=31,MONTH(F229)=12),'депозитный калькулятор'!$G$18,IF(AND('депозитный калькулятор'!$G$17="ежемесячная в зависимости от остатка",EOMONTH(F229,0)=F229,P229&gt;0),'депозитный калькулятор'!$G$18,IF(AND('депозитный калькулятор'!$G$17="ежегодная в зависимости от остатка",DAY(F229)=31,MONTH(F229)=12,P229&gt;0),'депозитный калькулятор'!$G$18,0)))))))</f>
        <v xml:space="preserve"> </v>
      </c>
      <c r="K230" s="135" t="str">
        <f>IF($F230=" "," ",IFERROR(VLOOKUP($F230,'депозитный калькулятор'!$B$26:$F$70,2,0),0))</f>
        <v xml:space="preserve"> </v>
      </c>
      <c r="L230" s="135" t="str">
        <f>IF($F230=" "," ",IFERROR(VLOOKUP($F230,'депозитный калькулятор'!$B$26:$F$70,3,0),0))</f>
        <v xml:space="preserve"> </v>
      </c>
      <c r="M230" s="135" t="str">
        <f>IF($F230=" "," ",IFERROR(VLOOKUP($F230,'депозитный калькулятор'!$B$26:$F$70,4,0),0))</f>
        <v xml:space="preserve"> </v>
      </c>
      <c r="N230" s="135" t="str">
        <f>IF($F230=" "," ",IFERROR(VLOOKUP($F230,'депозитный калькулятор'!$B$26:$F$70,5,0),0))</f>
        <v xml:space="preserve"> </v>
      </c>
      <c r="O230" s="146" t="str">
        <f>IF(F230&gt;'депозитный калькулятор'!$D$8," ",IF(F230='депозитный калькулятор'!$D$8,IF(AND($F$24='депозитный калькулятор'!$D$8,'депозитный калькулятор'!$G$13="нет"),-G230-IF(I230=" ",0,I230)-IF(AND(OR('депозитный калькулятор'!$G$7="30/365",'депозитный калькулятор'!$G$7="30/360"),'депозитный калькулятор'!$G$10="в начале срока"),I229,0)-L230+M230-N230,-G230-IF(I230=" ",0,I230)-L230+M230-N230),IF('депозитный калькулятор'!$G$13="есть",M230-N230+IF('депозитный калькулятор'!$G$14="есть",0,-L230),-IF(I230=" ",0,I230)-IF(AND(OR('депозитный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срока"),I229,0)+M230-N230+IF('депозитный калькулятор'!$G$14="есть",0,-L230))))</f>
        <v xml:space="preserve"> </v>
      </c>
      <c r="P230" s="147" t="str">
        <f>IF(F230&gt;'депозитный калькулятор'!$D$8," ",IF(EOMONTH(F229,0)=F229,0,IF(G230&gt;='депозитный калькулятор'!$G$19,P229,P229+1)))</f>
        <v xml:space="preserve"> </v>
      </c>
      <c r="Q230" s="138" t="str">
        <f>IF(F230=" "," ",IF(AND(OR('депозитный калькулятор'!$G$7="30/365",'депозитный калькулятор'!$G$7="30/360"),AND(MONTH(F230)=2,EOMONTH(F230,0)=F230)),IF(DAY(F230)=28,3,2),1)*IF(G230&gt;='депозитный калькулятор'!$G$11,IF(AND('депозитный калькулятор'!$G$7="факт/факт",MOD(YEAR(F230),4)=0),G230*'депозитный калькулятор'!$D$11/366,G230*'депозитный калькулятор'!$G$8),0))</f>
        <v xml:space="preserve"> </v>
      </c>
      <c r="R230" s="148"/>
      <c r="S230" s="62" t="str">
        <f t="shared" ca="1" si="17"/>
        <v xml:space="preserve"> </v>
      </c>
      <c r="T230" s="149" t="str">
        <f ca="1">IF(S230=" "," ",IF('депозитный калькулятор'!$G$7="30/360",DAYS360(U229,IF(DAY(U230)=31,U230-1,U230))+IF(AND(MONTH(U230)=2,U230=EOMONTH(U230,0)),30-DAY(EOMONTH(U230,0)))+T229,VLOOKUP(S230,$C$22:$F$1023,2,0)))</f>
        <v xml:space="preserve"> </v>
      </c>
      <c r="U230" s="64" t="str">
        <f t="shared" ca="1" si="15"/>
        <v xml:space="preserve"> </v>
      </c>
      <c r="V230" s="150" t="str">
        <f t="shared" ca="1" si="18"/>
        <v xml:space="preserve"> </v>
      </c>
      <c r="W230" s="62" t="str">
        <f t="shared" ca="1" si="19"/>
        <v xml:space="preserve"> </v>
      </c>
      <c r="X230" s="141" t="str">
        <f ca="1">IF(S230=" "," ",IFERROR(VLOOKUP(U230,$F$23:$N$1023,7)+VLOOKUP(U230,$F$23:$N$1023,9)+IF(AND('депозитный калькулятор'!$G$13="нет",U230&lt;&gt;'депозитный калькулятор'!$D$8),VLOOKUP(U230,$F$23:$N$1023,4),0),0)+IF(U230='депозитный калькулятор'!$D$8,VLOOKUP(U230,$F$23:$N$1023,2)+VLOOKUP(U230,$F$23:$N$1023,4),0))</f>
        <v xml:space="preserve"> </v>
      </c>
      <c r="Y230" s="142" t="str">
        <f ca="1">IF(S230=" "," ",W230/(1+'депозитный калькулятор'!$K$8)^(T230/IF('депозитный калькулятор'!$G$7="30/360",360,365)))</f>
        <v xml:space="preserve"> </v>
      </c>
      <c r="Z230" s="142" t="str">
        <f ca="1">IF(S230=" "," ",X230/(1+'депозитный калькулятор'!$K$8)^(T230/IF('депозитный калькулятор'!$G$7="30/360",360,365)))</f>
        <v xml:space="preserve"> </v>
      </c>
      <c r="AA230" s="151"/>
      <c r="AB230" s="151"/>
      <c r="AC230" s="155"/>
      <c r="AD230" s="155"/>
    </row>
    <row r="231" spans="1:30" s="2" customFormat="1" ht="15.5" x14ac:dyDescent="0.35">
      <c r="A231" s="41" t="str">
        <f>IF(F231=" "," ",IF(OR('депозитный калькулятор'!$G$7="30/365",'депозитный калькулятор'!$G$7="30/360"),IF(AND(MONTH(F231)=2,DAY(F231)=DAY(EOMONTH(F231,0))),30-DAY(EOMONTH(F231,0)),IF(DAY(F231)=31,1," "))," "))</f>
        <v xml:space="preserve"> </v>
      </c>
      <c r="B231" s="130" t="str">
        <f t="shared" si="16"/>
        <v xml:space="preserve"> </v>
      </c>
      <c r="C231" s="130" t="str">
        <f>IF(OR(B231=0,B231=" ")," ",SUM($B$23:B231))</f>
        <v xml:space="preserve"> </v>
      </c>
      <c r="D231" s="62" t="str">
        <f>IF(D230=" "," ",IF(OR(F230='депозитный калькулятор'!$D$8,F230=" ")," ",D230+1))</f>
        <v xml:space="preserve"> </v>
      </c>
      <c r="E231" s="130" t="str">
        <f>IF(OR(F230='депозитный калькулятор'!$D$8,F230=" ")," ",IF(EOMONTH(F230,0)=F230,1,E230+1))</f>
        <v xml:space="preserve"> </v>
      </c>
      <c r="F231" s="64" t="str">
        <f>IF(F230=" "," ",IF(F230='депозитный калькулятор'!$D$8," ",F230+1))</f>
        <v xml:space="preserve"> </v>
      </c>
      <c r="G231" s="145" t="str">
        <f xml:space="preserve"> IF(F231&gt;'депозитный калькулятор'!$D$8," ",IF('депозитный калькулятор'!$G$13="есть",IF('депозитный калькулятор'!$G$14="есть",G230+IF(I230=" ",0,I230)-J231-K231+L231+M231-N231,G230+IF(I230=" ",0,I230)-J231-K231+M231-N231),IF('депозитный калькулятор'!$G$14="есть",G230-J231-K231+L231+M231-N231,G230-J231-K231+M231-N231)))</f>
        <v xml:space="preserve"> </v>
      </c>
      <c r="H231" s="133" t="str">
        <f>IF(F231&gt;'депозитный калькулятор'!$D$8," ",IF(AND(OR('депозитный калькулятор'!$G$7="30/365",'депозитный калькулятор'!$G$7="30/360"),AND(MONTH(F231)=2,EOMONTH(F231,0)=F231)),IF(DAY(F231)=28,3*G231*'депозитный калькулятор'!$G$8,2*G231*'депозитный калькулятор'!$G$8),IF(AND(OR('депозитный калькулятор'!$G$7="30/365",'депозитный калькулятор'!$G$7="30/360"),DAY(F231)=31)," ",IF(AND('депозитный калькулятор'!$G$7="факт/факт",MOD(YEAR(F231),4)=0),G231*'депозитный калькулятор'!$D$11/366,G231*'депозитный калькулятор'!$G$8))))</f>
        <v xml:space="preserve"> </v>
      </c>
      <c r="I231" s="134" t="str">
        <f ca="1">IF(F231=" "," ",IF('депозитный калькулятор'!$G$10="ежедневное",H231,IF(AND('депозитный калькулятор'!$G$10="еженедельное",WEEKDAY(F231,2)=7),SUM(OFFSET(H231,-6,0):H231),IF(AND('депозитный калькулятор'!$G$10="еженедельное",F231='депозитный калькулятор'!$D$8),SUM($H$23:H231)-SUM($I$23:I230),IF(AND('депозитный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недели",WEEKDAY(F231,2)=7),MIN(OFFSET(H231,-6,0):H231)*(COUNTIF(OFFSET(H231,-6,0):H231,"&gt;0")+SUMIF(OFFSET(A231,-WEEKDAY(F231,2),0):A231,"=2",OFFSET(A231,-WEEKDAY(F231,2),0):A231)),IF(AND('депозитный калькулятор'!$G$10="еженедельное, на минимальную сумму зафиксированную в течение недели",F231='депозитный калькулятор'!$D$8,WEEKDAY(F231,2)&lt;&gt;7),MIN(OFFSET(H231,-WEEKDAY(F231,2),0):H231)*(COUNTIF(OFFSET(H231,-WEEKDAY(F231,2)+1,0):H231,"&gt;0")+SUM(OFFSET(A231,-WEEKDAY(F231,2),0):A231)),IF(AND('депозитный калькулятор'!$G$10="ежемесячное (в конце месяца)",F231='депозитный калькулятор'!$D$8,EOMONTH(F231,0)&lt;&gt;F231),IF('депозитный калькулятор'!$F$1=1,$H$24,SUM($H$23:H231)-SUM($I$23:I230)),IF(AND('депозитный калькулятор'!$G$10="ежемесячное (в конце месяца)",EOMONTH(F231,0)=F231),SUM($H$23:H231)-SUM($I$23:I230),IF(AND('депозитный калькулятор'!$G$10="ежемесячное (по дням открытия вклада)",F231='депозитный калькулятор'!$D$8,DAY('депозитный калькулятор'!$D$7)&lt;&gt;DAY(F231)),IF('депозитный калькулятор'!$F$1=1,$H$24,SUM($H$23:H231)-SUM($I$23:I230)),IF(AND('депозитный калькулятор'!$G$10="ежемесячное (по дням открытия вклада)",DAY('депозитный калькулятор'!$D$7)=DAY(F231)),SUM($H$23:H231)-SUM($I$23:I230),IF(AND('депозитный калькулятор'!$G$10="ежемесячное, на минимальную сумму зафиксированную в течение месяца",F231='депозитный калькулятор'!$D$8,EOMONTH(F231,0)&lt;&gt;F231),IF('депозитный калькулятор'!$F$1=1,$H$24,IF(AND(OR('депозитный калькулятор'!$G$7="30/365",'депозитный калькулятор'!$G$7="30/360"),DAY(F231)=31),0,MIN(OFFSET(H231,-E231+1,0):H231)*(E231+SUMIF(OFFSET(A231,-E231+1,0):A231,"=2",OFFSET(A231,-E231+1,0):A231)))),IF(AND('депозитный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калькулятор'!$G$7="30/360"),DAY(EOMONTH(F231,0))=31),EOMONTH(F231,0)-1=F231,EOMONTH(F231,0)=F231)),IF(IF(AND(OR('депозитный калькулятор'!$G$7="30/365",'депозитный калькулятор'!$G$7="30/360"),DAY(EOMONTH($F$23,0))=31),F231=EOMONTH($F$23,0)-1,F231=EOMONTH($F$23,0)),MIN(OFFSET(H231,-(DAY(F231)-DAY($F$23)),0):H231)*E231,MIN(OFFSET(H231,-(DAY(F231)-1),0):H231)*IF(AND(OR('депозитный калькулятор'!$G$7="30/365",'депозитный калькулятор'!$G$7="30/360"),DAY(F231)&lt;30),30,DAY(F231))),IF(AND('депозитный калькулятор'!$G$10="ежемесячное, на средний остаток в течение месяца, при условии что остаток больше чем ограничение",F231='депозитный калькулятор'!$D$8,EOMONTH(F231,0)&lt;&gt;F231),IF('депозитный калькулятор'!$F$1=1,$H$24,SUM(OFFSET(Q231,-E231+1,0):Q231)),IF(AND('депозитный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калькулятор'!$G$7="30/360"),DAY(EOMONTH(F231,0))=31),EOMONTH(F231,0)-1=F231,EOMONTH(F231,0)=F231)),IF(IF(AND(OR('депозитный калькулятор'!$G$7="30/365",'депозитный калькулятор'!$G$7="30/360"),DAY(EOMONTH($F$24,0))=31),F231=EOMONTH($F$24,0)-1,F231=EOMONTH($F$24,0)),SUM(OFFSET(Q231,-E231+1,0):Q231),SUM(OFFSET(Q231,-E231+1,0):Q231)),IF('депозитный калькулятор'!$G$10="ежеквартальное",IF(F231&gt;'депозитный калькулятор'!$D$8," ",IF(AND(EOMONTH(F231,0)=F231,OR(MONTH(F231)=3,MONTH(F231)=6,MONTH(F231)=9,MONTH(F231)=12)),IF(EDATE(F231,-3)&lt;'депозитный калькулятор'!$D$7,SUM($H$23:H231),IF(MOD(YEAR(F231),4)=0,IF(AND(EOMONTH(F231,0)=F231,OR(MONTH(F231)=3,MONTH(F231)=6)),SUM(OFFSET(H231,-90,0):H231),IF(AND(EOMONTH(F231,0)=F231,OR(MONTH(F231)=9,MONTH(F231)=12)),SUM(OFFSET(H231,-91,0):H231))),IF(AND(EOMONTH(F231,0)=F231,MONTH(F231)=3),SUM(OFFSET(H231,-89,0):H231),IF(AND(EOMONTH(F231,0)=F231,MONTH(F231)=6),SUM(OFFSET(H231,-90,0):H231),IF(AND(EOMONTH(F231,0)=F231,OR(MONTH(F231)=9,MONTH(F231)=12)),SUM(OFFSET(H231,-91,0):H231)))))),IF(F231='депозитный калькулятор'!$D$8,SUM($H$23:H231)-SUM($I$23:I230),0))),IF('депозитный калькулятор'!$G$10="ежегодное",IF(F231&gt;'депозитный калькулятор'!$D$8," ",IF(F231='депозитный калькулятор'!$D$8,SUM($H$23:H231)-SUM($I$23:I230),IF(AND(EOMONTH(F231,0)=F231,MONTH(F231)=12),IF(MOD(YEAR(F230),4)=0,IF(F231-'депозитный калькулятор'!$D$7&lt;366,SUM($H$23:H231),SUM(OFFSET(H231,-365,0):H231)),IF(F231-'депозитный калькулятор'!$D$7&lt;365,SUM($H$23:H231),SUM(OFFSET(H231,-364,0):H231))),0))),IF(AND('депозитный калькулятор'!$G$10="в конце срока",'депозитный калькулятор'!$D$8=F231),SUM($H$23:H231),0))))))))))))))))))</f>
        <v xml:space="preserve"> </v>
      </c>
      <c r="J231" s="59" t="str">
        <f>IF(F231&gt;'депозитный калькулятор'!$D$8," ",IF('депозитный калькулятор'!$G$16="нет",0,IF(AND('депозитный калькулятор'!$G$17="разовая (в конце срока)",F231='депозитный калькулятор'!$D$8),'депозитный калькулятор'!$G$18,IF(AND('депозитный калькулятор'!$G$17="ежемесячная",EOMONTH(F230,0)=F230),'депозитный калькулятор'!$G$18,IF(AND('депозитный калькулятор'!$G$17="ежегодная",DAY(F230)=31,MONTH(F230)=12),'депозитный калькулятор'!$G$18,IF(AND('депозитный калькулятор'!$G$17="ежемесячная в зависимости от остатка",EOMONTH(F230,0)=F230,P230&gt;0),'депозитный калькулятор'!$G$18,IF(AND('депозитный калькулятор'!$G$17="ежегодная в зависимости от остатка",DAY(F230)=31,MONTH(F230)=12,P230&gt;0),'депозитный калькулятор'!$G$18,0)))))))</f>
        <v xml:space="preserve"> </v>
      </c>
      <c r="K231" s="135" t="str">
        <f>IF($F231=" "," ",IFERROR(VLOOKUP($F231,'депозитный калькулятор'!$B$26:$F$70,2,0),0))</f>
        <v xml:space="preserve"> </v>
      </c>
      <c r="L231" s="135" t="str">
        <f>IF($F231=" "," ",IFERROR(VLOOKUP($F231,'депозитный калькулятор'!$B$26:$F$70,3,0),0))</f>
        <v xml:space="preserve"> </v>
      </c>
      <c r="M231" s="135" t="str">
        <f>IF($F231=" "," ",IFERROR(VLOOKUP($F231,'депозитный калькулятор'!$B$26:$F$70,4,0),0))</f>
        <v xml:space="preserve"> </v>
      </c>
      <c r="N231" s="135" t="str">
        <f>IF($F231=" "," ",IFERROR(VLOOKUP($F231,'депозитный калькулятор'!$B$26:$F$70,5,0),0))</f>
        <v xml:space="preserve"> </v>
      </c>
      <c r="O231" s="146" t="str">
        <f>IF(F231&gt;'депозитный калькулятор'!$D$8," ",IF(F231='депозитный калькулятор'!$D$8,IF(AND($F$24='депозитный калькулятор'!$D$8,'депозитный калькулятор'!$G$13="нет"),-G231-IF(I231=" ",0,I231)-IF(AND(OR('депозитный калькулятор'!$G$7="30/365",'депозитный калькулятор'!$G$7="30/360"),'депозитный калькулятор'!$G$10="в начале срока"),I230,0)-L231+M231-N231,-G231-IF(I231=" ",0,I231)-L231+M231-N231),IF('депозитный калькулятор'!$G$13="есть",M231-N231+IF('депозитный калькулятор'!$G$14="есть",0,-L231),-IF(I231=" ",0,I231)-IF(AND(OR('депозитный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срока"),I230,0)+M231-N231+IF('депозитный калькулятор'!$G$14="есть",0,-L231))))</f>
        <v xml:space="preserve"> </v>
      </c>
      <c r="P231" s="147" t="str">
        <f>IF(F231&gt;'депозитный калькулятор'!$D$8," ",IF(EOMONTH(F230,0)=F230,0,IF(G231&gt;='депозитный калькулятор'!$G$19,P230,P230+1)))</f>
        <v xml:space="preserve"> </v>
      </c>
      <c r="Q231" s="138" t="str">
        <f>IF(F231=" "," ",IF(AND(OR('депозитный калькулятор'!$G$7="30/365",'депозитный калькулятор'!$G$7="30/360"),AND(MONTH(F231)=2,EOMONTH(F231,0)=F231)),IF(DAY(F231)=28,3,2),1)*IF(G231&gt;='депозитный калькулятор'!$G$11,IF(AND('депозитный калькулятор'!$G$7="факт/факт",MOD(YEAR(F231),4)=0),G231*'депозитный калькулятор'!$D$11/366,G231*'депозитный калькулятор'!$G$8),0))</f>
        <v xml:space="preserve"> </v>
      </c>
      <c r="R231" s="148"/>
      <c r="S231" s="62" t="str">
        <f t="shared" ca="1" si="17"/>
        <v xml:space="preserve"> </v>
      </c>
      <c r="T231" s="149" t="str">
        <f ca="1">IF(S231=" "," ",IF('депозитный калькулятор'!$G$7="30/360",DAYS360(U230,IF(DAY(U231)=31,U231-1,U231))+IF(AND(MONTH(U231)=2,U231=EOMONTH(U231,0)),30-DAY(EOMONTH(U231,0)))+T230,VLOOKUP(S231,$C$22:$F$1023,2,0)))</f>
        <v xml:space="preserve"> </v>
      </c>
      <c r="U231" s="64" t="str">
        <f t="shared" ca="1" si="15"/>
        <v xml:space="preserve"> </v>
      </c>
      <c r="V231" s="150" t="str">
        <f t="shared" ca="1" si="18"/>
        <v xml:space="preserve"> </v>
      </c>
      <c r="W231" s="62" t="str">
        <f t="shared" ca="1" si="19"/>
        <v xml:space="preserve"> </v>
      </c>
      <c r="X231" s="141" t="str">
        <f ca="1">IF(S231=" "," ",IFERROR(VLOOKUP(U231,$F$23:$N$1023,7)+VLOOKUP(U231,$F$23:$N$1023,9)+IF(AND('депозитный калькулятор'!$G$13="нет",U231&lt;&gt;'депозитный калькулятор'!$D$8),VLOOKUP(U231,$F$23:$N$1023,4),0),0)+IF(U231='депозитный калькулятор'!$D$8,VLOOKUP(U231,$F$23:$N$1023,2)+VLOOKUP(U231,$F$23:$N$1023,4),0))</f>
        <v xml:space="preserve"> </v>
      </c>
      <c r="Y231" s="142" t="str">
        <f ca="1">IF(S231=" "," ",W231/(1+'депозитный калькулятор'!$K$8)^(T231/IF('депозитный калькулятор'!$G$7="30/360",360,365)))</f>
        <v xml:space="preserve"> </v>
      </c>
      <c r="Z231" s="142" t="str">
        <f ca="1">IF(S231=" "," ",X231/(1+'депозитный калькулятор'!$K$8)^(T231/IF('депозитный калькулятор'!$G$7="30/360",360,365)))</f>
        <v xml:space="preserve"> </v>
      </c>
      <c r="AA231" s="151"/>
      <c r="AB231" s="151"/>
      <c r="AC231" s="155"/>
      <c r="AD231" s="155"/>
    </row>
    <row r="232" spans="1:30" s="2" customFormat="1" ht="15.5" x14ac:dyDescent="0.35">
      <c r="A232" s="41" t="str">
        <f>IF(F232=" "," ",IF(OR('депозитный калькулятор'!$G$7="30/365",'депозитный калькулятор'!$G$7="30/360"),IF(AND(MONTH(F232)=2,DAY(F232)=DAY(EOMONTH(F232,0))),30-DAY(EOMONTH(F232,0)),IF(DAY(F232)=31,1," "))," "))</f>
        <v xml:space="preserve"> </v>
      </c>
      <c r="B232" s="130" t="str">
        <f t="shared" si="16"/>
        <v xml:space="preserve"> </v>
      </c>
      <c r="C232" s="130" t="str">
        <f>IF(OR(B232=0,B232=" ")," ",SUM($B$23:B232))</f>
        <v xml:space="preserve"> </v>
      </c>
      <c r="D232" s="62" t="str">
        <f>IF(D231=" "," ",IF(OR(F231='депозитный калькулятор'!$D$8,F231=" ")," ",D231+1))</f>
        <v xml:space="preserve"> </v>
      </c>
      <c r="E232" s="130" t="str">
        <f>IF(OR(F231='депозитный калькулятор'!$D$8,F231=" ")," ",IF(EOMONTH(F231,0)=F231,1,E231+1))</f>
        <v xml:space="preserve"> </v>
      </c>
      <c r="F232" s="64" t="str">
        <f>IF(F231=" "," ",IF(F231='депозитный калькулятор'!$D$8," ",F231+1))</f>
        <v xml:space="preserve"> </v>
      </c>
      <c r="G232" s="145" t="str">
        <f xml:space="preserve"> IF(F232&gt;'депозитный калькулятор'!$D$8," ",IF('депозитный калькулятор'!$G$13="есть",IF('депозитный калькулятор'!$G$14="есть",G231+IF(I231=" ",0,I231)-J232-K232+L232+M232-N232,G231+IF(I231=" ",0,I231)-J232-K232+M232-N232),IF('депозитный калькулятор'!$G$14="есть",G231-J232-K232+L232+M232-N232,G231-J232-K232+M232-N232)))</f>
        <v xml:space="preserve"> </v>
      </c>
      <c r="H232" s="133" t="str">
        <f>IF(F232&gt;'депозитный калькулятор'!$D$8," ",IF(AND(OR('депозитный калькулятор'!$G$7="30/365",'депозитный калькулятор'!$G$7="30/360"),AND(MONTH(F232)=2,EOMONTH(F232,0)=F232)),IF(DAY(F232)=28,3*G232*'депозитный калькулятор'!$G$8,2*G232*'депозитный калькулятор'!$G$8),IF(AND(OR('депозитный калькулятор'!$G$7="30/365",'депозитный калькулятор'!$G$7="30/360"),DAY(F232)=31)," ",IF(AND('депозитный калькулятор'!$G$7="факт/факт",MOD(YEAR(F232),4)=0),G232*'депозитный калькулятор'!$D$11/366,G232*'депозитный калькулятор'!$G$8))))</f>
        <v xml:space="preserve"> </v>
      </c>
      <c r="I232" s="134" t="str">
        <f ca="1">IF(F232=" "," ",IF('депозитный калькулятор'!$G$10="ежедневное",H232,IF(AND('депозитный калькулятор'!$G$10="еженедельное",WEEKDAY(F232,2)=7),SUM(OFFSET(H232,-6,0):H232),IF(AND('депозитный калькулятор'!$G$10="еженедельное",F232='депозитный калькулятор'!$D$8),SUM($H$23:H232)-SUM($I$23:I231),IF(AND('депозитный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недели",WEEKDAY(F232,2)=7),MIN(OFFSET(H232,-6,0):H232)*(COUNTIF(OFFSET(H232,-6,0):H232,"&gt;0")+SUMIF(OFFSET(A232,-WEEKDAY(F232,2),0):A232,"=2",OFFSET(A232,-WEEKDAY(F232,2),0):A232)),IF(AND('депозитный калькулятор'!$G$10="еженедельное, на минимальную сумму зафиксированную в течение недели",F232='депозитный калькулятор'!$D$8,WEEKDAY(F232,2)&lt;&gt;7),MIN(OFFSET(H232,-WEEKDAY(F232,2),0):H232)*(COUNTIF(OFFSET(H232,-WEEKDAY(F232,2)+1,0):H232,"&gt;0")+SUM(OFFSET(A232,-WEEKDAY(F232,2),0):A232)),IF(AND('депозитный калькулятор'!$G$10="ежемесячное (в конце месяца)",F232='депозитный калькулятор'!$D$8,EOMONTH(F232,0)&lt;&gt;F232),IF('депозитный калькулятор'!$F$1=1,$H$24,SUM($H$23:H232)-SUM($I$23:I231)),IF(AND('депозитный калькулятор'!$G$10="ежемесячное (в конце месяца)",EOMONTH(F232,0)=F232),SUM($H$23:H232)-SUM($I$23:I231),IF(AND('депозитный калькулятор'!$G$10="ежемесячное (по дням открытия вклада)",F232='депозитный калькулятор'!$D$8,DAY('депозитный калькулятор'!$D$7)&lt;&gt;DAY(F232)),IF('депозитный калькулятор'!$F$1=1,$H$24,SUM($H$23:H232)-SUM($I$23:I231)),IF(AND('депозитный калькулятор'!$G$10="ежемесячное (по дням открытия вклада)",DAY('депозитный калькулятор'!$D$7)=DAY(F232)),SUM($H$23:H232)-SUM($I$23:I231),IF(AND('депозитный калькулятор'!$G$10="ежемесячное, на минимальную сумму зафиксированную в течение месяца",F232='депозитный калькулятор'!$D$8,EOMONTH(F232,0)&lt;&gt;F232),IF('депозитный калькулятор'!$F$1=1,$H$24,IF(AND(OR('депозитный калькулятор'!$G$7="30/365",'депозитный калькулятор'!$G$7="30/360"),DAY(F232)=31),0,MIN(OFFSET(H232,-E232+1,0):H232)*(E232+SUMIF(OFFSET(A232,-E232+1,0):A232,"=2",OFFSET(A232,-E232+1,0):A232)))),IF(AND('депозитный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калькулятор'!$G$7="30/360"),DAY(EOMONTH(F232,0))=31),EOMONTH(F232,0)-1=F232,EOMONTH(F232,0)=F232)),IF(IF(AND(OR('депозитный калькулятор'!$G$7="30/365",'депозитный калькулятор'!$G$7="30/360"),DAY(EOMONTH($F$23,0))=31),F232=EOMONTH($F$23,0)-1,F232=EOMONTH($F$23,0)),MIN(OFFSET(H232,-(DAY(F232)-DAY($F$23)),0):H232)*E232,MIN(OFFSET(H232,-(DAY(F232)-1),0):H232)*IF(AND(OR('депозитный калькулятор'!$G$7="30/365",'депозитный калькулятор'!$G$7="30/360"),DAY(F232)&lt;30),30,DAY(F232))),IF(AND('депозитный калькулятор'!$G$10="ежемесячное, на средний остаток в течение месяца, при условии что остаток больше чем ограничение",F232='депозитный калькулятор'!$D$8,EOMONTH(F232,0)&lt;&gt;F232),IF('депозитный калькулятор'!$F$1=1,$H$24,SUM(OFFSET(Q232,-E232+1,0):Q232)),IF(AND('депозитный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калькулятор'!$G$7="30/360"),DAY(EOMONTH(F232,0))=31),EOMONTH(F232,0)-1=F232,EOMONTH(F232,0)=F232)),IF(IF(AND(OR('депозитный калькулятор'!$G$7="30/365",'депозитный калькулятор'!$G$7="30/360"),DAY(EOMONTH($F$24,0))=31),F232=EOMONTH($F$24,0)-1,F232=EOMONTH($F$24,0)),SUM(OFFSET(Q232,-E232+1,0):Q232),SUM(OFFSET(Q232,-E232+1,0):Q232)),IF('депозитный калькулятор'!$G$10="ежеквартальное",IF(F232&gt;'депозитный калькулятор'!$D$8," ",IF(AND(EOMONTH(F232,0)=F232,OR(MONTH(F232)=3,MONTH(F232)=6,MONTH(F232)=9,MONTH(F232)=12)),IF(EDATE(F232,-3)&lt;'депозитный калькулятор'!$D$7,SUM($H$23:H232),IF(MOD(YEAR(F232),4)=0,IF(AND(EOMONTH(F232,0)=F232,OR(MONTH(F232)=3,MONTH(F232)=6)),SUM(OFFSET(H232,-90,0):H232),IF(AND(EOMONTH(F232,0)=F232,OR(MONTH(F232)=9,MONTH(F232)=12)),SUM(OFFSET(H232,-91,0):H232))),IF(AND(EOMONTH(F232,0)=F232,MONTH(F232)=3),SUM(OFFSET(H232,-89,0):H232),IF(AND(EOMONTH(F232,0)=F232,MONTH(F232)=6),SUM(OFFSET(H232,-90,0):H232),IF(AND(EOMONTH(F232,0)=F232,OR(MONTH(F232)=9,MONTH(F232)=12)),SUM(OFFSET(H232,-91,0):H232)))))),IF(F232='депозитный калькулятор'!$D$8,SUM($H$23:H232)-SUM($I$23:I231),0))),IF('депозитный калькулятор'!$G$10="ежегодное",IF(F232&gt;'депозитный калькулятор'!$D$8," ",IF(F232='депозитный калькулятор'!$D$8,SUM($H$23:H232)-SUM($I$23:I231),IF(AND(EOMONTH(F232,0)=F232,MONTH(F232)=12),IF(MOD(YEAR(F231),4)=0,IF(F232-'депозитный калькулятор'!$D$7&lt;366,SUM($H$23:H232),SUM(OFFSET(H232,-365,0):H232)),IF(F232-'депозитный калькулятор'!$D$7&lt;365,SUM($H$23:H232),SUM(OFFSET(H232,-364,0):H232))),0))),IF(AND('депозитный калькулятор'!$G$10="в конце срока",'депозитный калькулятор'!$D$8=F232),SUM($H$23:H232),0))))))))))))))))))</f>
        <v xml:space="preserve"> </v>
      </c>
      <c r="J232" s="59" t="str">
        <f>IF(F232&gt;'депозитный калькулятор'!$D$8," ",IF('депозитный калькулятор'!$G$16="нет",0,IF(AND('депозитный калькулятор'!$G$17="разовая (в конце срока)",F232='депозитный калькулятор'!$D$8),'депозитный калькулятор'!$G$18,IF(AND('депозитный калькулятор'!$G$17="ежемесячная",EOMONTH(F231,0)=F231),'депозитный калькулятор'!$G$18,IF(AND('депозитный калькулятор'!$G$17="ежегодная",DAY(F231)=31,MONTH(F231)=12),'депозитный калькулятор'!$G$18,IF(AND('депозитный калькулятор'!$G$17="ежемесячная в зависимости от остатка",EOMONTH(F231,0)=F231,P231&gt;0),'депозитный калькулятор'!$G$18,IF(AND('депозитный калькулятор'!$G$17="ежегодная в зависимости от остатка",DAY(F231)=31,MONTH(F231)=12,P231&gt;0),'депозитный калькулятор'!$G$18,0)))))))</f>
        <v xml:space="preserve"> </v>
      </c>
      <c r="K232" s="135" t="str">
        <f>IF($F232=" "," ",IFERROR(VLOOKUP($F232,'депозитный калькулятор'!$B$26:$F$70,2,0),0))</f>
        <v xml:space="preserve"> </v>
      </c>
      <c r="L232" s="135" t="str">
        <f>IF($F232=" "," ",IFERROR(VLOOKUP($F232,'депозитный калькулятор'!$B$26:$F$70,3,0),0))</f>
        <v xml:space="preserve"> </v>
      </c>
      <c r="M232" s="135" t="str">
        <f>IF($F232=" "," ",IFERROR(VLOOKUP($F232,'депозитный калькулятор'!$B$26:$F$70,4,0),0))</f>
        <v xml:space="preserve"> </v>
      </c>
      <c r="N232" s="135" t="str">
        <f>IF($F232=" "," ",IFERROR(VLOOKUP($F232,'депозитный калькулятор'!$B$26:$F$70,5,0),0))</f>
        <v xml:space="preserve"> </v>
      </c>
      <c r="O232" s="146" t="str">
        <f>IF(F232&gt;'депозитный калькулятор'!$D$8," ",IF(F232='депозитный калькулятор'!$D$8,IF(AND($F$24='депозитный калькулятор'!$D$8,'депозитный калькулятор'!$G$13="нет"),-G232-IF(I232=" ",0,I232)-IF(AND(OR('депозитный калькулятор'!$G$7="30/365",'депозитный калькулятор'!$G$7="30/360"),'депозитный калькулятор'!$G$10="в начале срока"),I231,0)-L232+M232-N232,-G232-IF(I232=" ",0,I232)-L232+M232-N232),IF('депозитный калькулятор'!$G$13="есть",M232-N232+IF('депозитный калькулятор'!$G$14="есть",0,-L232),-IF(I232=" ",0,I232)-IF(AND(OR('депозитный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срока"),I231,0)+M232-N232+IF('депозитный калькулятор'!$G$14="есть",0,-L232))))</f>
        <v xml:space="preserve"> </v>
      </c>
      <c r="P232" s="147" t="str">
        <f>IF(F232&gt;'депозитный калькулятор'!$D$8," ",IF(EOMONTH(F231,0)=F231,0,IF(G232&gt;='депозитный калькулятор'!$G$19,P231,P231+1)))</f>
        <v xml:space="preserve"> </v>
      </c>
      <c r="Q232" s="138" t="str">
        <f>IF(F232=" "," ",IF(AND(OR('депозитный калькулятор'!$G$7="30/365",'депозитный калькулятор'!$G$7="30/360"),AND(MONTH(F232)=2,EOMONTH(F232,0)=F232)),IF(DAY(F232)=28,3,2),1)*IF(G232&gt;='депозитный калькулятор'!$G$11,IF(AND('депозитный калькулятор'!$G$7="факт/факт",MOD(YEAR(F232),4)=0),G232*'депозитный калькулятор'!$D$11/366,G232*'депозитный калькулятор'!$G$8),0))</f>
        <v xml:space="preserve"> </v>
      </c>
      <c r="R232" s="148"/>
      <c r="S232" s="62" t="str">
        <f t="shared" ca="1" si="17"/>
        <v xml:space="preserve"> </v>
      </c>
      <c r="T232" s="149" t="str">
        <f ca="1">IF(S232=" "," ",IF('депозитный калькулятор'!$G$7="30/360",DAYS360(U231,IF(DAY(U232)=31,U232-1,U232))+IF(AND(MONTH(U232)=2,U232=EOMONTH(U232,0)),30-DAY(EOMONTH(U232,0)))+T231,VLOOKUP(S232,$C$22:$F$1023,2,0)))</f>
        <v xml:space="preserve"> </v>
      </c>
      <c r="U232" s="64" t="str">
        <f t="shared" ca="1" si="15"/>
        <v xml:space="preserve"> </v>
      </c>
      <c r="V232" s="150" t="str">
        <f t="shared" ca="1" si="18"/>
        <v xml:space="preserve"> </v>
      </c>
      <c r="W232" s="62" t="str">
        <f t="shared" ca="1" si="19"/>
        <v xml:space="preserve"> </v>
      </c>
      <c r="X232" s="141" t="str">
        <f ca="1">IF(S232=" "," ",IFERROR(VLOOKUP(U232,$F$23:$N$1023,7)+VLOOKUP(U232,$F$23:$N$1023,9)+IF(AND('депозитный калькулятор'!$G$13="нет",U232&lt;&gt;'депозитный калькулятор'!$D$8),VLOOKUP(U232,$F$23:$N$1023,4),0),0)+IF(U232='депозитный калькулятор'!$D$8,VLOOKUP(U232,$F$23:$N$1023,2)+VLOOKUP(U232,$F$23:$N$1023,4),0))</f>
        <v xml:space="preserve"> </v>
      </c>
      <c r="Y232" s="142" t="str">
        <f ca="1">IF(S232=" "," ",W232/(1+'депозитный калькулятор'!$K$8)^(T232/IF('депозитный калькулятор'!$G$7="30/360",360,365)))</f>
        <v xml:space="preserve"> </v>
      </c>
      <c r="Z232" s="142" t="str">
        <f ca="1">IF(S232=" "," ",X232/(1+'депозитный калькулятор'!$K$8)^(T232/IF('депозитный калькулятор'!$G$7="30/360",360,365)))</f>
        <v xml:space="preserve"> </v>
      </c>
      <c r="AA232" s="151"/>
      <c r="AB232" s="151"/>
      <c r="AC232" s="155"/>
      <c r="AD232" s="155"/>
    </row>
    <row r="233" spans="1:30" s="2" customFormat="1" ht="15.5" x14ac:dyDescent="0.35">
      <c r="A233" s="41" t="str">
        <f>IF(F233=" "," ",IF(OR('депозитный калькулятор'!$G$7="30/365",'депозитный калькулятор'!$G$7="30/360"),IF(AND(MONTH(F233)=2,DAY(F233)=DAY(EOMONTH(F233,0))),30-DAY(EOMONTH(F233,0)),IF(DAY(F233)=31,1," "))," "))</f>
        <v xml:space="preserve"> </v>
      </c>
      <c r="B233" s="130" t="str">
        <f t="shared" si="16"/>
        <v xml:space="preserve"> </v>
      </c>
      <c r="C233" s="130" t="str">
        <f>IF(OR(B233=0,B233=" ")," ",SUM($B$23:B233))</f>
        <v xml:space="preserve"> </v>
      </c>
      <c r="D233" s="62" t="str">
        <f>IF(D232=" "," ",IF(OR(F232='депозитный калькулятор'!$D$8,F232=" ")," ",D232+1))</f>
        <v xml:space="preserve"> </v>
      </c>
      <c r="E233" s="130" t="str">
        <f>IF(OR(F232='депозитный калькулятор'!$D$8,F232=" ")," ",IF(EOMONTH(F232,0)=F232,1,E232+1))</f>
        <v xml:space="preserve"> </v>
      </c>
      <c r="F233" s="64" t="str">
        <f>IF(F232=" "," ",IF(F232='депозитный калькулятор'!$D$8," ",F232+1))</f>
        <v xml:space="preserve"> </v>
      </c>
      <c r="G233" s="145" t="str">
        <f xml:space="preserve"> IF(F233&gt;'депозитный калькулятор'!$D$8," ",IF('депозитный калькулятор'!$G$13="есть",IF('депозитный калькулятор'!$G$14="есть",G232+IF(I232=" ",0,I232)-J233-K233+L233+M233-N233,G232+IF(I232=" ",0,I232)-J233-K233+M233-N233),IF('депозитный калькулятор'!$G$14="есть",G232-J233-K233+L233+M233-N233,G232-J233-K233+M233-N233)))</f>
        <v xml:space="preserve"> </v>
      </c>
      <c r="H233" s="133" t="str">
        <f>IF(F233&gt;'депозитный калькулятор'!$D$8," ",IF(AND(OR('депозитный калькулятор'!$G$7="30/365",'депозитный калькулятор'!$G$7="30/360"),AND(MONTH(F233)=2,EOMONTH(F233,0)=F233)),IF(DAY(F233)=28,3*G233*'депозитный калькулятор'!$G$8,2*G233*'депозитный калькулятор'!$G$8),IF(AND(OR('депозитный калькулятор'!$G$7="30/365",'депозитный калькулятор'!$G$7="30/360"),DAY(F233)=31)," ",IF(AND('депозитный калькулятор'!$G$7="факт/факт",MOD(YEAR(F233),4)=0),G233*'депозитный калькулятор'!$D$11/366,G233*'депозитный калькулятор'!$G$8))))</f>
        <v xml:space="preserve"> </v>
      </c>
      <c r="I233" s="134" t="str">
        <f ca="1">IF(F233=" "," ",IF('депозитный калькулятор'!$G$10="ежедневное",H233,IF(AND('депозитный калькулятор'!$G$10="еженедельное",WEEKDAY(F233,2)=7),SUM(OFFSET(H233,-6,0):H233),IF(AND('депозитный калькулятор'!$G$10="еженедельное",F233='депозитный калькулятор'!$D$8),SUM($H$23:H233)-SUM($I$23:I232),IF(AND('депозитный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недели",WEEKDAY(F233,2)=7),MIN(OFFSET(H233,-6,0):H233)*(COUNTIF(OFFSET(H233,-6,0):H233,"&gt;0")+SUMIF(OFFSET(A233,-WEEKDAY(F233,2),0):A233,"=2",OFFSET(A233,-WEEKDAY(F233,2),0):A233)),IF(AND('депозитный калькулятор'!$G$10="еженедельное, на минимальную сумму зафиксированную в течение недели",F233='депозитный калькулятор'!$D$8,WEEKDAY(F233,2)&lt;&gt;7),MIN(OFFSET(H233,-WEEKDAY(F233,2),0):H233)*(COUNTIF(OFFSET(H233,-WEEKDAY(F233,2)+1,0):H233,"&gt;0")+SUM(OFFSET(A233,-WEEKDAY(F233,2),0):A233)),IF(AND('депозитный калькулятор'!$G$10="ежемесячное (в конце месяца)",F233='депозитный калькулятор'!$D$8,EOMONTH(F233,0)&lt;&gt;F233),IF('депозитный калькулятор'!$F$1=1,$H$24,SUM($H$23:H233)-SUM($I$23:I232)),IF(AND('депозитный калькулятор'!$G$10="ежемесячное (в конце месяца)",EOMONTH(F233,0)=F233),SUM($H$23:H233)-SUM($I$23:I232),IF(AND('депозитный калькулятор'!$G$10="ежемесячное (по дням открытия вклада)",F233='депозитный калькулятор'!$D$8,DAY('депозитный калькулятор'!$D$7)&lt;&gt;DAY(F233)),IF('депозитный калькулятор'!$F$1=1,$H$24,SUM($H$23:H233)-SUM($I$23:I232)),IF(AND('депозитный калькулятор'!$G$10="ежемесячное (по дням открытия вклада)",DAY('депозитный калькулятор'!$D$7)=DAY(F233)),SUM($H$23:H233)-SUM($I$23:I232),IF(AND('депозитный калькулятор'!$G$10="ежемесячное, на минимальную сумму зафиксированную в течение месяца",F233='депозитный калькулятор'!$D$8,EOMONTH(F233,0)&lt;&gt;F233),IF('депозитный калькулятор'!$F$1=1,$H$24,IF(AND(OR('депозитный калькулятор'!$G$7="30/365",'депозитный калькулятор'!$G$7="30/360"),DAY(F233)=31),0,MIN(OFFSET(H233,-E233+1,0):H233)*(E233+SUMIF(OFFSET(A233,-E233+1,0):A233,"=2",OFFSET(A233,-E233+1,0):A233)))),IF(AND('депозитный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калькулятор'!$G$7="30/360"),DAY(EOMONTH(F233,0))=31),EOMONTH(F233,0)-1=F233,EOMONTH(F233,0)=F233)),IF(IF(AND(OR('депозитный калькулятор'!$G$7="30/365",'депозитный калькулятор'!$G$7="30/360"),DAY(EOMONTH($F$23,0))=31),F233=EOMONTH($F$23,0)-1,F233=EOMONTH($F$23,0)),MIN(OFFSET(H233,-(DAY(F233)-DAY($F$23)),0):H233)*E233,MIN(OFFSET(H233,-(DAY(F233)-1),0):H233)*IF(AND(OR('депозитный калькулятор'!$G$7="30/365",'депозитный калькулятор'!$G$7="30/360"),DAY(F233)&lt;30),30,DAY(F233))),IF(AND('депозитный калькулятор'!$G$10="ежемесячное, на средний остаток в течение месяца, при условии что остаток больше чем ограничение",F233='депозитный калькулятор'!$D$8,EOMONTH(F233,0)&lt;&gt;F233),IF('депозитный калькулятор'!$F$1=1,$H$24,SUM(OFFSET(Q233,-E233+1,0):Q233)),IF(AND('депозитный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калькулятор'!$G$7="30/360"),DAY(EOMONTH(F233,0))=31),EOMONTH(F233,0)-1=F233,EOMONTH(F233,0)=F233)),IF(IF(AND(OR('депозитный калькулятор'!$G$7="30/365",'депозитный калькулятор'!$G$7="30/360"),DAY(EOMONTH($F$24,0))=31),F233=EOMONTH($F$24,0)-1,F233=EOMONTH($F$24,0)),SUM(OFFSET(Q233,-E233+1,0):Q233),SUM(OFFSET(Q233,-E233+1,0):Q233)),IF('депозитный калькулятор'!$G$10="ежеквартальное",IF(F233&gt;'депозитный калькулятор'!$D$8," ",IF(AND(EOMONTH(F233,0)=F233,OR(MONTH(F233)=3,MONTH(F233)=6,MONTH(F233)=9,MONTH(F233)=12)),IF(EDATE(F233,-3)&lt;'депозитный калькулятор'!$D$7,SUM($H$23:H233),IF(MOD(YEAR(F233),4)=0,IF(AND(EOMONTH(F233,0)=F233,OR(MONTH(F233)=3,MONTH(F233)=6)),SUM(OFFSET(H233,-90,0):H233),IF(AND(EOMONTH(F233,0)=F233,OR(MONTH(F233)=9,MONTH(F233)=12)),SUM(OFFSET(H233,-91,0):H233))),IF(AND(EOMONTH(F233,0)=F233,MONTH(F233)=3),SUM(OFFSET(H233,-89,0):H233),IF(AND(EOMONTH(F233,0)=F233,MONTH(F233)=6),SUM(OFFSET(H233,-90,0):H233),IF(AND(EOMONTH(F233,0)=F233,OR(MONTH(F233)=9,MONTH(F233)=12)),SUM(OFFSET(H233,-91,0):H233)))))),IF(F233='депозитный калькулятор'!$D$8,SUM($H$23:H233)-SUM($I$23:I232),0))),IF('депозитный калькулятор'!$G$10="ежегодное",IF(F233&gt;'депозитный калькулятор'!$D$8," ",IF(F233='депозитный калькулятор'!$D$8,SUM($H$23:H233)-SUM($I$23:I232),IF(AND(EOMONTH(F233,0)=F233,MONTH(F233)=12),IF(MOD(YEAR(F232),4)=0,IF(F233-'депозитный калькулятор'!$D$7&lt;366,SUM($H$23:H233),SUM(OFFSET(H233,-365,0):H233)),IF(F233-'депозитный калькулятор'!$D$7&lt;365,SUM($H$23:H233),SUM(OFFSET(H233,-364,0):H233))),0))),IF(AND('депозитный калькулятор'!$G$10="в конце срока",'депозитный калькулятор'!$D$8=F233),SUM($H$23:H233),0))))))))))))))))))</f>
        <v xml:space="preserve"> </v>
      </c>
      <c r="J233" s="59" t="str">
        <f>IF(F233&gt;'депозитный калькулятор'!$D$8," ",IF('депозитный калькулятор'!$G$16="нет",0,IF(AND('депозитный калькулятор'!$G$17="разовая (в конце срока)",F233='депозитный калькулятор'!$D$8),'депозитный калькулятор'!$G$18,IF(AND('депозитный калькулятор'!$G$17="ежемесячная",EOMONTH(F232,0)=F232),'депозитный калькулятор'!$G$18,IF(AND('депозитный калькулятор'!$G$17="ежегодная",DAY(F232)=31,MONTH(F232)=12),'депозитный калькулятор'!$G$18,IF(AND('депозитный калькулятор'!$G$17="ежемесячная в зависимости от остатка",EOMONTH(F232,0)=F232,P232&gt;0),'депозитный калькулятор'!$G$18,IF(AND('депозитный калькулятор'!$G$17="ежегодная в зависимости от остатка",DAY(F232)=31,MONTH(F232)=12,P232&gt;0),'депозитный калькулятор'!$G$18,0)))))))</f>
        <v xml:space="preserve"> </v>
      </c>
      <c r="K233" s="135" t="str">
        <f>IF($F233=" "," ",IFERROR(VLOOKUP($F233,'депозитный калькулятор'!$B$26:$F$70,2,0),0))</f>
        <v xml:space="preserve"> </v>
      </c>
      <c r="L233" s="135" t="str">
        <f>IF($F233=" "," ",IFERROR(VLOOKUP($F233,'депозитный калькулятор'!$B$26:$F$70,3,0),0))</f>
        <v xml:space="preserve"> </v>
      </c>
      <c r="M233" s="135" t="str">
        <f>IF($F233=" "," ",IFERROR(VLOOKUP($F233,'депозитный калькулятор'!$B$26:$F$70,4,0),0))</f>
        <v xml:space="preserve"> </v>
      </c>
      <c r="N233" s="135" t="str">
        <f>IF($F233=" "," ",IFERROR(VLOOKUP($F233,'депозитный калькулятор'!$B$26:$F$70,5,0),0))</f>
        <v xml:space="preserve"> </v>
      </c>
      <c r="O233" s="146" t="str">
        <f>IF(F233&gt;'депозитный калькулятор'!$D$8," ",IF(F233='депозитный калькулятор'!$D$8,IF(AND($F$24='депозитный калькулятор'!$D$8,'депозитный калькулятор'!$G$13="нет"),-G233-IF(I233=" ",0,I233)-IF(AND(OR('депозитный калькулятор'!$G$7="30/365",'депозитный калькулятор'!$G$7="30/360"),'депозитный калькулятор'!$G$10="в начале срока"),I232,0)-L233+M233-N233,-G233-IF(I233=" ",0,I233)-L233+M233-N233),IF('депозитный калькулятор'!$G$13="есть",M233-N233+IF('депозитный калькулятор'!$G$14="есть",0,-L233),-IF(I233=" ",0,I233)-IF(AND(OR('депозитный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срока"),I232,0)+M233-N233+IF('депозитный калькулятор'!$G$14="есть",0,-L233))))</f>
        <v xml:space="preserve"> </v>
      </c>
      <c r="P233" s="147" t="str">
        <f>IF(F233&gt;'депозитный калькулятор'!$D$8," ",IF(EOMONTH(F232,0)=F232,0,IF(G233&gt;='депозитный калькулятор'!$G$19,P232,P232+1)))</f>
        <v xml:space="preserve"> </v>
      </c>
      <c r="Q233" s="138" t="str">
        <f>IF(F233=" "," ",IF(AND(OR('депозитный калькулятор'!$G$7="30/365",'депозитный калькулятор'!$G$7="30/360"),AND(MONTH(F233)=2,EOMONTH(F233,0)=F233)),IF(DAY(F233)=28,3,2),1)*IF(G233&gt;='депозитный калькулятор'!$G$11,IF(AND('депозитный калькулятор'!$G$7="факт/факт",MOD(YEAR(F233),4)=0),G233*'депозитный калькулятор'!$D$11/366,G233*'депозитный калькулятор'!$G$8),0))</f>
        <v xml:space="preserve"> </v>
      </c>
      <c r="R233" s="148"/>
      <c r="S233" s="62" t="str">
        <f t="shared" ca="1" si="17"/>
        <v xml:space="preserve"> </v>
      </c>
      <c r="T233" s="149" t="str">
        <f ca="1">IF(S233=" "," ",IF('депозитный калькулятор'!$G$7="30/360",DAYS360(U232,IF(DAY(U233)=31,U233-1,U233))+IF(AND(MONTH(U233)=2,U233=EOMONTH(U233,0)),30-DAY(EOMONTH(U233,0)))+T232,VLOOKUP(S233,$C$22:$F$1023,2,0)))</f>
        <v xml:space="preserve"> </v>
      </c>
      <c r="U233" s="64" t="str">
        <f t="shared" ca="1" si="15"/>
        <v xml:space="preserve"> </v>
      </c>
      <c r="V233" s="150" t="str">
        <f t="shared" ca="1" si="18"/>
        <v xml:space="preserve"> </v>
      </c>
      <c r="W233" s="62" t="str">
        <f t="shared" ca="1" si="19"/>
        <v xml:space="preserve"> </v>
      </c>
      <c r="X233" s="141" t="str">
        <f ca="1">IF(S233=" "," ",IFERROR(VLOOKUP(U233,$F$23:$N$1023,7)+VLOOKUP(U233,$F$23:$N$1023,9)+IF(AND('депозитный калькулятор'!$G$13="нет",U233&lt;&gt;'депозитный калькулятор'!$D$8),VLOOKUP(U233,$F$23:$N$1023,4),0),0)+IF(U233='депозитный калькулятор'!$D$8,VLOOKUP(U233,$F$23:$N$1023,2)+VLOOKUP(U233,$F$23:$N$1023,4),0))</f>
        <v xml:space="preserve"> </v>
      </c>
      <c r="Y233" s="142" t="str">
        <f ca="1">IF(S233=" "," ",W233/(1+'депозитный калькулятор'!$K$8)^(T233/IF('депозитный калькулятор'!$G$7="30/360",360,365)))</f>
        <v xml:space="preserve"> </v>
      </c>
      <c r="Z233" s="142" t="str">
        <f ca="1">IF(S233=" "," ",X233/(1+'депозитный калькулятор'!$K$8)^(T233/IF('депозитный калькулятор'!$G$7="30/360",360,365)))</f>
        <v xml:space="preserve"> </v>
      </c>
      <c r="AA233" s="151"/>
      <c r="AB233" s="151"/>
      <c r="AC233" s="155"/>
      <c r="AD233" s="155"/>
    </row>
    <row r="234" spans="1:30" s="2" customFormat="1" ht="15.5" x14ac:dyDescent="0.35">
      <c r="A234" s="41" t="str">
        <f>IF(F234=" "," ",IF(OR('депозитный калькулятор'!$G$7="30/365",'депозитный калькулятор'!$G$7="30/360"),IF(AND(MONTH(F234)=2,DAY(F234)=DAY(EOMONTH(F234,0))),30-DAY(EOMONTH(F234,0)),IF(DAY(F234)=31,1," "))," "))</f>
        <v xml:space="preserve"> </v>
      </c>
      <c r="B234" s="130" t="str">
        <f t="shared" si="16"/>
        <v xml:space="preserve"> </v>
      </c>
      <c r="C234" s="130" t="str">
        <f>IF(OR(B234=0,B234=" ")," ",SUM($B$23:B234))</f>
        <v xml:space="preserve"> </v>
      </c>
      <c r="D234" s="62" t="str">
        <f>IF(D233=" "," ",IF(OR(F233='депозитный калькулятор'!$D$8,F233=" ")," ",D233+1))</f>
        <v xml:space="preserve"> </v>
      </c>
      <c r="E234" s="130" t="str">
        <f>IF(OR(F233='депозитный калькулятор'!$D$8,F233=" ")," ",IF(EOMONTH(F233,0)=F233,1,E233+1))</f>
        <v xml:space="preserve"> </v>
      </c>
      <c r="F234" s="64" t="str">
        <f>IF(F233=" "," ",IF(F233='депозитный калькулятор'!$D$8," ",F233+1))</f>
        <v xml:space="preserve"> </v>
      </c>
      <c r="G234" s="145" t="str">
        <f xml:space="preserve"> IF(F234&gt;'депозитный калькулятор'!$D$8," ",IF('депозитный калькулятор'!$G$13="есть",IF('депозитный калькулятор'!$G$14="есть",G233+IF(I233=" ",0,I233)-J234-K234+L234+M234-N234,G233+IF(I233=" ",0,I233)-J234-K234+M234-N234),IF('депозитный калькулятор'!$G$14="есть",G233-J234-K234+L234+M234-N234,G233-J234-K234+M234-N234)))</f>
        <v xml:space="preserve"> </v>
      </c>
      <c r="H234" s="133" t="str">
        <f>IF(F234&gt;'депозитный калькулятор'!$D$8," ",IF(AND(OR('депозитный калькулятор'!$G$7="30/365",'депозитный калькулятор'!$G$7="30/360"),AND(MONTH(F234)=2,EOMONTH(F234,0)=F234)),IF(DAY(F234)=28,3*G234*'депозитный калькулятор'!$G$8,2*G234*'депозитный калькулятор'!$G$8),IF(AND(OR('депозитный калькулятор'!$G$7="30/365",'депозитный калькулятор'!$G$7="30/360"),DAY(F234)=31)," ",IF(AND('депозитный калькулятор'!$G$7="факт/факт",MOD(YEAR(F234),4)=0),G234*'депозитный калькулятор'!$D$11/366,G234*'депозитный калькулятор'!$G$8))))</f>
        <v xml:space="preserve"> </v>
      </c>
      <c r="I234" s="134" t="str">
        <f ca="1">IF(F234=" "," ",IF('депозитный калькулятор'!$G$10="ежедневное",H234,IF(AND('депозитный калькулятор'!$G$10="еженедельное",WEEKDAY(F234,2)=7),SUM(OFFSET(H234,-6,0):H234),IF(AND('депозитный калькулятор'!$G$10="еженедельное",F234='депозитный калькулятор'!$D$8),SUM($H$23:H234)-SUM($I$23:I233),IF(AND('депозитный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недели",WEEKDAY(F234,2)=7),MIN(OFFSET(H234,-6,0):H234)*(COUNTIF(OFFSET(H234,-6,0):H234,"&gt;0")+SUMIF(OFFSET(A234,-WEEKDAY(F234,2),0):A234,"=2",OFFSET(A234,-WEEKDAY(F234,2),0):A234)),IF(AND('депозитный калькулятор'!$G$10="еженедельное, на минимальную сумму зафиксированную в течение недели",F234='депозитный калькулятор'!$D$8,WEEKDAY(F234,2)&lt;&gt;7),MIN(OFFSET(H234,-WEEKDAY(F234,2),0):H234)*(COUNTIF(OFFSET(H234,-WEEKDAY(F234,2)+1,0):H234,"&gt;0")+SUM(OFFSET(A234,-WEEKDAY(F234,2),0):A234)),IF(AND('депозитный калькулятор'!$G$10="ежемесячное (в конце месяца)",F234='депозитный калькулятор'!$D$8,EOMONTH(F234,0)&lt;&gt;F234),IF('депозитный калькулятор'!$F$1=1,$H$24,SUM($H$23:H234)-SUM($I$23:I233)),IF(AND('депозитный калькулятор'!$G$10="ежемесячное (в конце месяца)",EOMONTH(F234,0)=F234),SUM($H$23:H234)-SUM($I$23:I233),IF(AND('депозитный калькулятор'!$G$10="ежемесячное (по дням открытия вклада)",F234='депозитный калькулятор'!$D$8,DAY('депозитный калькулятор'!$D$7)&lt;&gt;DAY(F234)),IF('депозитный калькулятор'!$F$1=1,$H$24,SUM($H$23:H234)-SUM($I$23:I233)),IF(AND('депозитный калькулятор'!$G$10="ежемесячное (по дням открытия вклада)",DAY('депозитный калькулятор'!$D$7)=DAY(F234)),SUM($H$23:H234)-SUM($I$23:I233),IF(AND('депозитный калькулятор'!$G$10="ежемесячное, на минимальную сумму зафиксированную в течение месяца",F234='депозитный калькулятор'!$D$8,EOMONTH(F234,0)&lt;&gt;F234),IF('депозитный калькулятор'!$F$1=1,$H$24,IF(AND(OR('депозитный калькулятор'!$G$7="30/365",'депозитный калькулятор'!$G$7="30/360"),DAY(F234)=31),0,MIN(OFFSET(H234,-E234+1,0):H234)*(E234+SUMIF(OFFSET(A234,-E234+1,0):A234,"=2",OFFSET(A234,-E234+1,0):A234)))),IF(AND('депозитный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калькулятор'!$G$7="30/360"),DAY(EOMONTH(F234,0))=31),EOMONTH(F234,0)-1=F234,EOMONTH(F234,0)=F234)),IF(IF(AND(OR('депозитный калькулятор'!$G$7="30/365",'депозитный калькулятор'!$G$7="30/360"),DAY(EOMONTH($F$23,0))=31),F234=EOMONTH($F$23,0)-1,F234=EOMONTH($F$23,0)),MIN(OFFSET(H234,-(DAY(F234)-DAY($F$23)),0):H234)*E234,MIN(OFFSET(H234,-(DAY(F234)-1),0):H234)*IF(AND(OR('депозитный калькулятор'!$G$7="30/365",'депозитный калькулятор'!$G$7="30/360"),DAY(F234)&lt;30),30,DAY(F234))),IF(AND('депозитный калькулятор'!$G$10="ежемесячное, на средний остаток в течение месяца, при условии что остаток больше чем ограничение",F234='депозитный калькулятор'!$D$8,EOMONTH(F234,0)&lt;&gt;F234),IF('депозитный калькулятор'!$F$1=1,$H$24,SUM(OFFSET(Q234,-E234+1,0):Q234)),IF(AND('депозитный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калькулятор'!$G$7="30/360"),DAY(EOMONTH(F234,0))=31),EOMONTH(F234,0)-1=F234,EOMONTH(F234,0)=F234)),IF(IF(AND(OR('депозитный калькулятор'!$G$7="30/365",'депозитный калькулятор'!$G$7="30/360"),DAY(EOMONTH($F$24,0))=31),F234=EOMONTH($F$24,0)-1,F234=EOMONTH($F$24,0)),SUM(OFFSET(Q234,-E234+1,0):Q234),SUM(OFFSET(Q234,-E234+1,0):Q234)),IF('депозитный калькулятор'!$G$10="ежеквартальное",IF(F234&gt;'депозитный калькулятор'!$D$8," ",IF(AND(EOMONTH(F234,0)=F234,OR(MONTH(F234)=3,MONTH(F234)=6,MONTH(F234)=9,MONTH(F234)=12)),IF(EDATE(F234,-3)&lt;'депозитный калькулятор'!$D$7,SUM($H$23:H234),IF(MOD(YEAR(F234),4)=0,IF(AND(EOMONTH(F234,0)=F234,OR(MONTH(F234)=3,MONTH(F234)=6)),SUM(OFFSET(H234,-90,0):H234),IF(AND(EOMONTH(F234,0)=F234,OR(MONTH(F234)=9,MONTH(F234)=12)),SUM(OFFSET(H234,-91,0):H234))),IF(AND(EOMONTH(F234,0)=F234,MONTH(F234)=3),SUM(OFFSET(H234,-89,0):H234),IF(AND(EOMONTH(F234,0)=F234,MONTH(F234)=6),SUM(OFFSET(H234,-90,0):H234),IF(AND(EOMONTH(F234,0)=F234,OR(MONTH(F234)=9,MONTH(F234)=12)),SUM(OFFSET(H234,-91,0):H234)))))),IF(F234='депозитный калькулятор'!$D$8,SUM($H$23:H234)-SUM($I$23:I233),0))),IF('депозитный калькулятор'!$G$10="ежегодное",IF(F234&gt;'депозитный калькулятор'!$D$8," ",IF(F234='депозитный калькулятор'!$D$8,SUM($H$23:H234)-SUM($I$23:I233),IF(AND(EOMONTH(F234,0)=F234,MONTH(F234)=12),IF(MOD(YEAR(F233),4)=0,IF(F234-'депозитный калькулятор'!$D$7&lt;366,SUM($H$23:H234),SUM(OFFSET(H234,-365,0):H234)),IF(F234-'депозитный калькулятор'!$D$7&lt;365,SUM($H$23:H234),SUM(OFFSET(H234,-364,0):H234))),0))),IF(AND('депозитный калькулятор'!$G$10="в конце срока",'депозитный калькулятор'!$D$8=F234),SUM($H$23:H234),0))))))))))))))))))</f>
        <v xml:space="preserve"> </v>
      </c>
      <c r="J234" s="59" t="str">
        <f>IF(F234&gt;'депозитный калькулятор'!$D$8," ",IF('депозитный калькулятор'!$G$16="нет",0,IF(AND('депозитный калькулятор'!$G$17="разовая (в конце срока)",F234='депозитный калькулятор'!$D$8),'депозитный калькулятор'!$G$18,IF(AND('депозитный калькулятор'!$G$17="ежемесячная",EOMONTH(F233,0)=F233),'депозитный калькулятор'!$G$18,IF(AND('депозитный калькулятор'!$G$17="ежегодная",DAY(F233)=31,MONTH(F233)=12),'депозитный калькулятор'!$G$18,IF(AND('депозитный калькулятор'!$G$17="ежемесячная в зависимости от остатка",EOMONTH(F233,0)=F233,P233&gt;0),'депозитный калькулятор'!$G$18,IF(AND('депозитный калькулятор'!$G$17="ежегодная в зависимости от остатка",DAY(F233)=31,MONTH(F233)=12,P233&gt;0),'депозитный калькулятор'!$G$18,0)))))))</f>
        <v xml:space="preserve"> </v>
      </c>
      <c r="K234" s="135" t="str">
        <f>IF($F234=" "," ",IFERROR(VLOOKUP($F234,'депозитный калькулятор'!$B$26:$F$70,2,0),0))</f>
        <v xml:space="preserve"> </v>
      </c>
      <c r="L234" s="135" t="str">
        <f>IF($F234=" "," ",IFERROR(VLOOKUP($F234,'депозитный калькулятор'!$B$26:$F$70,3,0),0))</f>
        <v xml:space="preserve"> </v>
      </c>
      <c r="M234" s="135" t="str">
        <f>IF($F234=" "," ",IFERROR(VLOOKUP($F234,'депозитный калькулятор'!$B$26:$F$70,4,0),0))</f>
        <v xml:space="preserve"> </v>
      </c>
      <c r="N234" s="135" t="str">
        <f>IF($F234=" "," ",IFERROR(VLOOKUP($F234,'депозитный калькулятор'!$B$26:$F$70,5,0),0))</f>
        <v xml:space="preserve"> </v>
      </c>
      <c r="O234" s="146" t="str">
        <f>IF(F234&gt;'депозитный калькулятор'!$D$8," ",IF(F234='депозитный калькулятор'!$D$8,IF(AND($F$24='депозитный калькулятор'!$D$8,'депозитный калькулятор'!$G$13="нет"),-G234-IF(I234=" ",0,I234)-IF(AND(OR('депозитный калькулятор'!$G$7="30/365",'депозитный калькулятор'!$G$7="30/360"),'депозитный калькулятор'!$G$10="в начале срока"),I233,0)-L234+M234-N234,-G234-IF(I234=" ",0,I234)-L234+M234-N234),IF('депозитный калькулятор'!$G$13="есть",M234-N234+IF('депозитный калькулятор'!$G$14="есть",0,-L234),-IF(I234=" ",0,I234)-IF(AND(OR('депозитный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срока"),I233,0)+M234-N234+IF('депозитный калькулятор'!$G$14="есть",0,-L234))))</f>
        <v xml:space="preserve"> </v>
      </c>
      <c r="P234" s="147" t="str">
        <f>IF(F234&gt;'депозитный калькулятор'!$D$8," ",IF(EOMONTH(F233,0)=F233,0,IF(G234&gt;='депозитный калькулятор'!$G$19,P233,P233+1)))</f>
        <v xml:space="preserve"> </v>
      </c>
      <c r="Q234" s="138" t="str">
        <f>IF(F234=" "," ",IF(AND(OR('депозитный калькулятор'!$G$7="30/365",'депозитный калькулятор'!$G$7="30/360"),AND(MONTH(F234)=2,EOMONTH(F234,0)=F234)),IF(DAY(F234)=28,3,2),1)*IF(G234&gt;='депозитный калькулятор'!$G$11,IF(AND('депозитный калькулятор'!$G$7="факт/факт",MOD(YEAR(F234),4)=0),G234*'депозитный калькулятор'!$D$11/366,G234*'депозитный калькулятор'!$G$8),0))</f>
        <v xml:space="preserve"> </v>
      </c>
      <c r="R234" s="148"/>
      <c r="S234" s="62" t="str">
        <f t="shared" ca="1" si="17"/>
        <v xml:space="preserve"> </v>
      </c>
      <c r="T234" s="149" t="str">
        <f ca="1">IF(S234=" "," ",IF('депозитный калькулятор'!$G$7="30/360",DAYS360(U233,IF(DAY(U234)=31,U234-1,U234))+IF(AND(MONTH(U234)=2,U234=EOMONTH(U234,0)),30-DAY(EOMONTH(U234,0)))+T233,VLOOKUP(S234,$C$22:$F$1023,2,0)))</f>
        <v xml:space="preserve"> </v>
      </c>
      <c r="U234" s="64" t="str">
        <f t="shared" ca="1" si="15"/>
        <v xml:space="preserve"> </v>
      </c>
      <c r="V234" s="150" t="str">
        <f t="shared" ca="1" si="18"/>
        <v xml:space="preserve"> </v>
      </c>
      <c r="W234" s="62" t="str">
        <f t="shared" ca="1" si="19"/>
        <v xml:space="preserve"> </v>
      </c>
      <c r="X234" s="141" t="str">
        <f ca="1">IF(S234=" "," ",IFERROR(VLOOKUP(U234,$F$23:$N$1023,7)+VLOOKUP(U234,$F$23:$N$1023,9)+IF(AND('депозитный калькулятор'!$G$13="нет",U234&lt;&gt;'депозитный калькулятор'!$D$8),VLOOKUP(U234,$F$23:$N$1023,4),0),0)+IF(U234='депозитный калькулятор'!$D$8,VLOOKUP(U234,$F$23:$N$1023,2)+VLOOKUP(U234,$F$23:$N$1023,4),0))</f>
        <v xml:space="preserve"> </v>
      </c>
      <c r="Y234" s="142" t="str">
        <f ca="1">IF(S234=" "," ",W234/(1+'депозитный калькулятор'!$K$8)^(T234/IF('депозитный калькулятор'!$G$7="30/360",360,365)))</f>
        <v xml:space="preserve"> </v>
      </c>
      <c r="Z234" s="142" t="str">
        <f ca="1">IF(S234=" "," ",X234/(1+'депозитный калькулятор'!$K$8)^(T234/IF('депозитный калькулятор'!$G$7="30/360",360,365)))</f>
        <v xml:space="preserve"> </v>
      </c>
      <c r="AA234" s="151"/>
      <c r="AB234" s="151"/>
      <c r="AC234" s="155"/>
      <c r="AD234" s="155"/>
    </row>
    <row r="235" spans="1:30" s="2" customFormat="1" ht="15.5" x14ac:dyDescent="0.35">
      <c r="A235" s="41" t="str">
        <f>IF(F235=" "," ",IF(OR('депозитный калькулятор'!$G$7="30/365",'депозитный калькулятор'!$G$7="30/360"),IF(AND(MONTH(F235)=2,DAY(F235)=DAY(EOMONTH(F235,0))),30-DAY(EOMONTH(F235,0)),IF(DAY(F235)=31,1," "))," "))</f>
        <v xml:space="preserve"> </v>
      </c>
      <c r="B235" s="130" t="str">
        <f t="shared" si="16"/>
        <v xml:space="preserve"> </v>
      </c>
      <c r="C235" s="130" t="str">
        <f>IF(OR(B235=0,B235=" ")," ",SUM($B$23:B235))</f>
        <v xml:space="preserve"> </v>
      </c>
      <c r="D235" s="62" t="str">
        <f>IF(D234=" "," ",IF(OR(F234='депозитный калькулятор'!$D$8,F234=" ")," ",D234+1))</f>
        <v xml:space="preserve"> </v>
      </c>
      <c r="E235" s="130" t="str">
        <f>IF(OR(F234='депозитный калькулятор'!$D$8,F234=" ")," ",IF(EOMONTH(F234,0)=F234,1,E234+1))</f>
        <v xml:space="preserve"> </v>
      </c>
      <c r="F235" s="64" t="str">
        <f>IF(F234=" "," ",IF(F234='депозитный калькулятор'!$D$8," ",F234+1))</f>
        <v xml:space="preserve"> </v>
      </c>
      <c r="G235" s="145" t="str">
        <f xml:space="preserve"> IF(F235&gt;'депозитный калькулятор'!$D$8," ",IF('депозитный калькулятор'!$G$13="есть",IF('депозитный калькулятор'!$G$14="есть",G234+IF(I234=" ",0,I234)-J235-K235+L235+M235-N235,G234+IF(I234=" ",0,I234)-J235-K235+M235-N235),IF('депозитный калькулятор'!$G$14="есть",G234-J235-K235+L235+M235-N235,G234-J235-K235+M235-N235)))</f>
        <v xml:space="preserve"> </v>
      </c>
      <c r="H235" s="133" t="str">
        <f>IF(F235&gt;'депозитный калькулятор'!$D$8," ",IF(AND(OR('депозитный калькулятор'!$G$7="30/365",'депозитный калькулятор'!$G$7="30/360"),AND(MONTH(F235)=2,EOMONTH(F235,0)=F235)),IF(DAY(F235)=28,3*G235*'депозитный калькулятор'!$G$8,2*G235*'депозитный калькулятор'!$G$8),IF(AND(OR('депозитный калькулятор'!$G$7="30/365",'депозитный калькулятор'!$G$7="30/360"),DAY(F235)=31)," ",IF(AND('депозитный калькулятор'!$G$7="факт/факт",MOD(YEAR(F235),4)=0),G235*'депозитный калькулятор'!$D$11/366,G235*'депозитный калькулятор'!$G$8))))</f>
        <v xml:space="preserve"> </v>
      </c>
      <c r="I235" s="134" t="str">
        <f ca="1">IF(F235=" "," ",IF('депозитный калькулятор'!$G$10="ежедневное",H235,IF(AND('депозитный калькулятор'!$G$10="еженедельное",WEEKDAY(F235,2)=7),SUM(OFFSET(H235,-6,0):H235),IF(AND('депозитный калькулятор'!$G$10="еженедельное",F235='депозитный калькулятор'!$D$8),SUM($H$23:H235)-SUM($I$23:I234),IF(AND('депозитный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недели",WEEKDAY(F235,2)=7),MIN(OFFSET(H235,-6,0):H235)*(COUNTIF(OFFSET(H235,-6,0):H235,"&gt;0")+SUMIF(OFFSET(A235,-WEEKDAY(F235,2),0):A235,"=2",OFFSET(A235,-WEEKDAY(F235,2),0):A235)),IF(AND('депозитный калькулятор'!$G$10="еженедельное, на минимальную сумму зафиксированную в течение недели",F235='депозитный калькулятор'!$D$8,WEEKDAY(F235,2)&lt;&gt;7),MIN(OFFSET(H235,-WEEKDAY(F235,2),0):H235)*(COUNTIF(OFFSET(H235,-WEEKDAY(F235,2)+1,0):H235,"&gt;0")+SUM(OFFSET(A235,-WEEKDAY(F235,2),0):A235)),IF(AND('депозитный калькулятор'!$G$10="ежемесячное (в конце месяца)",F235='депозитный калькулятор'!$D$8,EOMONTH(F235,0)&lt;&gt;F235),IF('депозитный калькулятор'!$F$1=1,$H$24,SUM($H$23:H235)-SUM($I$23:I234)),IF(AND('депозитный калькулятор'!$G$10="ежемесячное (в конце месяца)",EOMONTH(F235,0)=F235),SUM($H$23:H235)-SUM($I$23:I234),IF(AND('депозитный калькулятор'!$G$10="ежемесячное (по дням открытия вклада)",F235='депозитный калькулятор'!$D$8,DAY('депозитный калькулятор'!$D$7)&lt;&gt;DAY(F235)),IF('депозитный калькулятор'!$F$1=1,$H$24,SUM($H$23:H235)-SUM($I$23:I234)),IF(AND('депозитный калькулятор'!$G$10="ежемесячное (по дням открытия вклада)",DAY('депозитный калькулятор'!$D$7)=DAY(F235)),SUM($H$23:H235)-SUM($I$23:I234),IF(AND('депозитный калькулятор'!$G$10="ежемесячное, на минимальную сумму зафиксированную в течение месяца",F235='депозитный калькулятор'!$D$8,EOMONTH(F235,0)&lt;&gt;F235),IF('депозитный калькулятор'!$F$1=1,$H$24,IF(AND(OR('депозитный калькулятор'!$G$7="30/365",'депозитный калькулятор'!$G$7="30/360"),DAY(F235)=31),0,MIN(OFFSET(H235,-E235+1,0):H235)*(E235+SUMIF(OFFSET(A235,-E235+1,0):A235,"=2",OFFSET(A235,-E235+1,0):A235)))),IF(AND('депозитный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калькулятор'!$G$7="30/360"),DAY(EOMONTH(F235,0))=31),EOMONTH(F235,0)-1=F235,EOMONTH(F235,0)=F235)),IF(IF(AND(OR('депозитный калькулятор'!$G$7="30/365",'депозитный калькулятор'!$G$7="30/360"),DAY(EOMONTH($F$23,0))=31),F235=EOMONTH($F$23,0)-1,F235=EOMONTH($F$23,0)),MIN(OFFSET(H235,-(DAY(F235)-DAY($F$23)),0):H235)*E235,MIN(OFFSET(H235,-(DAY(F235)-1),0):H235)*IF(AND(OR('депозитный калькулятор'!$G$7="30/365",'депозитный калькулятор'!$G$7="30/360"),DAY(F235)&lt;30),30,DAY(F235))),IF(AND('депозитный калькулятор'!$G$10="ежемесячное, на средний остаток в течение месяца, при условии что остаток больше чем ограничение",F235='депозитный калькулятор'!$D$8,EOMONTH(F235,0)&lt;&gt;F235),IF('депозитный калькулятор'!$F$1=1,$H$24,SUM(OFFSET(Q235,-E235+1,0):Q235)),IF(AND('депозитный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калькулятор'!$G$7="30/360"),DAY(EOMONTH(F235,0))=31),EOMONTH(F235,0)-1=F235,EOMONTH(F235,0)=F235)),IF(IF(AND(OR('депозитный калькулятор'!$G$7="30/365",'депозитный калькулятор'!$G$7="30/360"),DAY(EOMONTH($F$24,0))=31),F235=EOMONTH($F$24,0)-1,F235=EOMONTH($F$24,0)),SUM(OFFSET(Q235,-E235+1,0):Q235),SUM(OFFSET(Q235,-E235+1,0):Q235)),IF('депозитный калькулятор'!$G$10="ежеквартальное",IF(F235&gt;'депозитный калькулятор'!$D$8," ",IF(AND(EOMONTH(F235,0)=F235,OR(MONTH(F235)=3,MONTH(F235)=6,MONTH(F235)=9,MONTH(F235)=12)),IF(EDATE(F235,-3)&lt;'депозитный калькулятор'!$D$7,SUM($H$23:H235),IF(MOD(YEAR(F235),4)=0,IF(AND(EOMONTH(F235,0)=F235,OR(MONTH(F235)=3,MONTH(F235)=6)),SUM(OFFSET(H235,-90,0):H235),IF(AND(EOMONTH(F235,0)=F235,OR(MONTH(F235)=9,MONTH(F235)=12)),SUM(OFFSET(H235,-91,0):H235))),IF(AND(EOMONTH(F235,0)=F235,MONTH(F235)=3),SUM(OFFSET(H235,-89,0):H235),IF(AND(EOMONTH(F235,0)=F235,MONTH(F235)=6),SUM(OFFSET(H235,-90,0):H235),IF(AND(EOMONTH(F235,0)=F235,OR(MONTH(F235)=9,MONTH(F235)=12)),SUM(OFFSET(H235,-91,0):H235)))))),IF(F235='депозитный калькулятор'!$D$8,SUM($H$23:H235)-SUM($I$23:I234),0))),IF('депозитный калькулятор'!$G$10="ежегодное",IF(F235&gt;'депозитный калькулятор'!$D$8," ",IF(F235='депозитный калькулятор'!$D$8,SUM($H$23:H235)-SUM($I$23:I234),IF(AND(EOMONTH(F235,0)=F235,MONTH(F235)=12),IF(MOD(YEAR(F234),4)=0,IF(F235-'депозитный калькулятор'!$D$7&lt;366,SUM($H$23:H235),SUM(OFFSET(H235,-365,0):H235)),IF(F235-'депозитный калькулятор'!$D$7&lt;365,SUM($H$23:H235),SUM(OFFSET(H235,-364,0):H235))),0))),IF(AND('депозитный калькулятор'!$G$10="в конце срока",'депозитный калькулятор'!$D$8=F235),SUM($H$23:H235),0))))))))))))))))))</f>
        <v xml:space="preserve"> </v>
      </c>
      <c r="J235" s="59" t="str">
        <f>IF(F235&gt;'депозитный калькулятор'!$D$8," ",IF('депозитный калькулятор'!$G$16="нет",0,IF(AND('депозитный калькулятор'!$G$17="разовая (в конце срока)",F235='депозитный калькулятор'!$D$8),'депозитный калькулятор'!$G$18,IF(AND('депозитный калькулятор'!$G$17="ежемесячная",EOMONTH(F234,0)=F234),'депозитный калькулятор'!$G$18,IF(AND('депозитный калькулятор'!$G$17="ежегодная",DAY(F234)=31,MONTH(F234)=12),'депозитный калькулятор'!$G$18,IF(AND('депозитный калькулятор'!$G$17="ежемесячная в зависимости от остатка",EOMONTH(F234,0)=F234,P234&gt;0),'депозитный калькулятор'!$G$18,IF(AND('депозитный калькулятор'!$G$17="ежегодная в зависимости от остатка",DAY(F234)=31,MONTH(F234)=12,P234&gt;0),'депозитный калькулятор'!$G$18,0)))))))</f>
        <v xml:space="preserve"> </v>
      </c>
      <c r="K235" s="135" t="str">
        <f>IF($F235=" "," ",IFERROR(VLOOKUP($F235,'депозитный калькулятор'!$B$26:$F$70,2,0),0))</f>
        <v xml:space="preserve"> </v>
      </c>
      <c r="L235" s="135" t="str">
        <f>IF($F235=" "," ",IFERROR(VLOOKUP($F235,'депозитный калькулятор'!$B$26:$F$70,3,0),0))</f>
        <v xml:space="preserve"> </v>
      </c>
      <c r="M235" s="135" t="str">
        <f>IF($F235=" "," ",IFERROR(VLOOKUP($F235,'депозитный калькулятор'!$B$26:$F$70,4,0),0))</f>
        <v xml:space="preserve"> </v>
      </c>
      <c r="N235" s="135" t="str">
        <f>IF($F235=" "," ",IFERROR(VLOOKUP($F235,'депозитный калькулятор'!$B$26:$F$70,5,0),0))</f>
        <v xml:space="preserve"> </v>
      </c>
      <c r="O235" s="146" t="str">
        <f>IF(F235&gt;'депозитный калькулятор'!$D$8," ",IF(F235='депозитный калькулятор'!$D$8,IF(AND($F$24='депозитный калькулятор'!$D$8,'депозитный калькулятор'!$G$13="нет"),-G235-IF(I235=" ",0,I235)-IF(AND(OR('депозитный калькулятор'!$G$7="30/365",'депозитный калькулятор'!$G$7="30/360"),'депозитный калькулятор'!$G$10="в начале срока"),I234,0)-L235+M235-N235,-G235-IF(I235=" ",0,I235)-L235+M235-N235),IF('депозитный калькулятор'!$G$13="есть",M235-N235+IF('депозитный калькулятор'!$G$14="есть",0,-L235),-IF(I235=" ",0,I235)-IF(AND(OR('депозитный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срока"),I234,0)+M235-N235+IF('депозитный калькулятор'!$G$14="есть",0,-L235))))</f>
        <v xml:space="preserve"> </v>
      </c>
      <c r="P235" s="147" t="str">
        <f>IF(F235&gt;'депозитный калькулятор'!$D$8," ",IF(EOMONTH(F234,0)=F234,0,IF(G235&gt;='депозитный калькулятор'!$G$19,P234,P234+1)))</f>
        <v xml:space="preserve"> </v>
      </c>
      <c r="Q235" s="138" t="str">
        <f>IF(F235=" "," ",IF(AND(OR('депозитный калькулятор'!$G$7="30/365",'депозитный калькулятор'!$G$7="30/360"),AND(MONTH(F235)=2,EOMONTH(F235,0)=F235)),IF(DAY(F235)=28,3,2),1)*IF(G235&gt;='депозитный калькулятор'!$G$11,IF(AND('депозитный калькулятор'!$G$7="факт/факт",MOD(YEAR(F235),4)=0),G235*'депозитный калькулятор'!$D$11/366,G235*'депозитный калькулятор'!$G$8),0))</f>
        <v xml:space="preserve"> </v>
      </c>
      <c r="R235" s="148"/>
      <c r="S235" s="62" t="str">
        <f t="shared" ca="1" si="17"/>
        <v xml:space="preserve"> </v>
      </c>
      <c r="T235" s="149" t="str">
        <f ca="1">IF(S235=" "," ",IF('депозитный калькулятор'!$G$7="30/360",DAYS360(U234,IF(DAY(U235)=31,U235-1,U235))+IF(AND(MONTH(U235)=2,U235=EOMONTH(U235,0)),30-DAY(EOMONTH(U235,0)))+T234,VLOOKUP(S235,$C$22:$F$1023,2,0)))</f>
        <v xml:space="preserve"> </v>
      </c>
      <c r="U235" s="64" t="str">
        <f t="shared" ca="1" si="15"/>
        <v xml:space="preserve"> </v>
      </c>
      <c r="V235" s="150" t="str">
        <f t="shared" ca="1" si="18"/>
        <v xml:space="preserve"> </v>
      </c>
      <c r="W235" s="62" t="str">
        <f t="shared" ca="1" si="19"/>
        <v xml:space="preserve"> </v>
      </c>
      <c r="X235" s="141" t="str">
        <f ca="1">IF(S235=" "," ",IFERROR(VLOOKUP(U235,$F$23:$N$1023,7)+VLOOKUP(U235,$F$23:$N$1023,9)+IF(AND('депозитный калькулятор'!$G$13="нет",U235&lt;&gt;'депозитный калькулятор'!$D$8),VLOOKUP(U235,$F$23:$N$1023,4),0),0)+IF(U235='депозитный калькулятор'!$D$8,VLOOKUP(U235,$F$23:$N$1023,2)+VLOOKUP(U235,$F$23:$N$1023,4),0))</f>
        <v xml:space="preserve"> </v>
      </c>
      <c r="Y235" s="142" t="str">
        <f ca="1">IF(S235=" "," ",W235/(1+'депозитный калькулятор'!$K$8)^(T235/IF('депозитный калькулятор'!$G$7="30/360",360,365)))</f>
        <v xml:space="preserve"> </v>
      </c>
      <c r="Z235" s="142" t="str">
        <f ca="1">IF(S235=" "," ",X235/(1+'депозитный калькулятор'!$K$8)^(T235/IF('депозитный калькулятор'!$G$7="30/360",360,365)))</f>
        <v xml:space="preserve"> </v>
      </c>
      <c r="AA235" s="151"/>
      <c r="AB235" s="151"/>
      <c r="AC235" s="155"/>
      <c r="AD235" s="155"/>
    </row>
    <row r="236" spans="1:30" s="2" customFormat="1" ht="15.5" x14ac:dyDescent="0.35">
      <c r="A236" s="41" t="str">
        <f>IF(F236=" "," ",IF(OR('депозитный калькулятор'!$G$7="30/365",'депозитный калькулятор'!$G$7="30/360"),IF(AND(MONTH(F236)=2,DAY(F236)=DAY(EOMONTH(F236,0))),30-DAY(EOMONTH(F236,0)),IF(DAY(F236)=31,1," "))," "))</f>
        <v xml:space="preserve"> </v>
      </c>
      <c r="B236" s="130" t="str">
        <f t="shared" si="16"/>
        <v xml:space="preserve"> </v>
      </c>
      <c r="C236" s="130" t="str">
        <f>IF(OR(B236=0,B236=" ")," ",SUM($B$23:B236))</f>
        <v xml:space="preserve"> </v>
      </c>
      <c r="D236" s="62" t="str">
        <f>IF(D235=" "," ",IF(OR(F235='депозитный калькулятор'!$D$8,F235=" ")," ",D235+1))</f>
        <v xml:space="preserve"> </v>
      </c>
      <c r="E236" s="130" t="str">
        <f>IF(OR(F235='депозитный калькулятор'!$D$8,F235=" ")," ",IF(EOMONTH(F235,0)=F235,1,E235+1))</f>
        <v xml:space="preserve"> </v>
      </c>
      <c r="F236" s="64" t="str">
        <f>IF(F235=" "," ",IF(F235='депозитный калькулятор'!$D$8," ",F235+1))</f>
        <v xml:space="preserve"> </v>
      </c>
      <c r="G236" s="145" t="str">
        <f xml:space="preserve"> IF(F236&gt;'депозитный калькулятор'!$D$8," ",IF('депозитный калькулятор'!$G$13="есть",IF('депозитный калькулятор'!$G$14="есть",G235+IF(I235=" ",0,I235)-J236-K236+L236+M236-N236,G235+IF(I235=" ",0,I235)-J236-K236+M236-N236),IF('депозитный калькулятор'!$G$14="есть",G235-J236-K236+L236+M236-N236,G235-J236-K236+M236-N236)))</f>
        <v xml:space="preserve"> </v>
      </c>
      <c r="H236" s="133" t="str">
        <f>IF(F236&gt;'депозитный калькулятор'!$D$8," ",IF(AND(OR('депозитный калькулятор'!$G$7="30/365",'депозитный калькулятор'!$G$7="30/360"),AND(MONTH(F236)=2,EOMONTH(F236,0)=F236)),IF(DAY(F236)=28,3*G236*'депозитный калькулятор'!$G$8,2*G236*'депозитный калькулятор'!$G$8),IF(AND(OR('депозитный калькулятор'!$G$7="30/365",'депозитный калькулятор'!$G$7="30/360"),DAY(F236)=31)," ",IF(AND('депозитный калькулятор'!$G$7="факт/факт",MOD(YEAR(F236),4)=0),G236*'депозитный калькулятор'!$D$11/366,G236*'депозитный калькулятор'!$G$8))))</f>
        <v xml:space="preserve"> </v>
      </c>
      <c r="I236" s="134" t="str">
        <f ca="1">IF(F236=" "," ",IF('депозитный калькулятор'!$G$10="ежедневное",H236,IF(AND('депозитный калькулятор'!$G$10="еженедельное",WEEKDAY(F236,2)=7),SUM(OFFSET(H236,-6,0):H236),IF(AND('депозитный калькулятор'!$G$10="еженедельное",F236='депозитный калькулятор'!$D$8),SUM($H$23:H236)-SUM($I$23:I235),IF(AND('депозитный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недели",WEEKDAY(F236,2)=7),MIN(OFFSET(H236,-6,0):H236)*(COUNTIF(OFFSET(H236,-6,0):H236,"&gt;0")+SUMIF(OFFSET(A236,-WEEKDAY(F236,2),0):A236,"=2",OFFSET(A236,-WEEKDAY(F236,2),0):A236)),IF(AND('депозитный калькулятор'!$G$10="еженедельное, на минимальную сумму зафиксированную в течение недели",F236='депозитный калькулятор'!$D$8,WEEKDAY(F236,2)&lt;&gt;7),MIN(OFFSET(H236,-WEEKDAY(F236,2),0):H236)*(COUNTIF(OFFSET(H236,-WEEKDAY(F236,2)+1,0):H236,"&gt;0")+SUM(OFFSET(A236,-WEEKDAY(F236,2),0):A236)),IF(AND('депозитный калькулятор'!$G$10="ежемесячное (в конце месяца)",F236='депозитный калькулятор'!$D$8,EOMONTH(F236,0)&lt;&gt;F236),IF('депозитный калькулятор'!$F$1=1,$H$24,SUM($H$23:H236)-SUM($I$23:I235)),IF(AND('депозитный калькулятор'!$G$10="ежемесячное (в конце месяца)",EOMONTH(F236,0)=F236),SUM($H$23:H236)-SUM($I$23:I235),IF(AND('депозитный калькулятор'!$G$10="ежемесячное (по дням открытия вклада)",F236='депозитный калькулятор'!$D$8,DAY('депозитный калькулятор'!$D$7)&lt;&gt;DAY(F236)),IF('депозитный калькулятор'!$F$1=1,$H$24,SUM($H$23:H236)-SUM($I$23:I235)),IF(AND('депозитный калькулятор'!$G$10="ежемесячное (по дням открытия вклада)",DAY('депозитный калькулятор'!$D$7)=DAY(F236)),SUM($H$23:H236)-SUM($I$23:I235),IF(AND('депозитный калькулятор'!$G$10="ежемесячное, на минимальную сумму зафиксированную в течение месяца",F236='депозитный калькулятор'!$D$8,EOMONTH(F236,0)&lt;&gt;F236),IF('депозитный калькулятор'!$F$1=1,$H$24,IF(AND(OR('депозитный калькулятор'!$G$7="30/365",'депозитный калькулятор'!$G$7="30/360"),DAY(F236)=31),0,MIN(OFFSET(H236,-E236+1,0):H236)*(E236+SUMIF(OFFSET(A236,-E236+1,0):A236,"=2",OFFSET(A236,-E236+1,0):A236)))),IF(AND('депозитный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калькулятор'!$G$7="30/360"),DAY(EOMONTH(F236,0))=31),EOMONTH(F236,0)-1=F236,EOMONTH(F236,0)=F236)),IF(IF(AND(OR('депозитный калькулятор'!$G$7="30/365",'депозитный калькулятор'!$G$7="30/360"),DAY(EOMONTH($F$23,0))=31),F236=EOMONTH($F$23,0)-1,F236=EOMONTH($F$23,0)),MIN(OFFSET(H236,-(DAY(F236)-DAY($F$23)),0):H236)*E236,MIN(OFFSET(H236,-(DAY(F236)-1),0):H236)*IF(AND(OR('депозитный калькулятор'!$G$7="30/365",'депозитный калькулятор'!$G$7="30/360"),DAY(F236)&lt;30),30,DAY(F236))),IF(AND('депозитный калькулятор'!$G$10="ежемесячное, на средний остаток в течение месяца, при условии что остаток больше чем ограничение",F236='депозитный калькулятор'!$D$8,EOMONTH(F236,0)&lt;&gt;F236),IF('депозитный калькулятор'!$F$1=1,$H$24,SUM(OFFSET(Q236,-E236+1,0):Q236)),IF(AND('депозитный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калькулятор'!$G$7="30/360"),DAY(EOMONTH(F236,0))=31),EOMONTH(F236,0)-1=F236,EOMONTH(F236,0)=F236)),IF(IF(AND(OR('депозитный калькулятор'!$G$7="30/365",'депозитный калькулятор'!$G$7="30/360"),DAY(EOMONTH($F$24,0))=31),F236=EOMONTH($F$24,0)-1,F236=EOMONTH($F$24,0)),SUM(OFFSET(Q236,-E236+1,0):Q236),SUM(OFFSET(Q236,-E236+1,0):Q236)),IF('депозитный калькулятор'!$G$10="ежеквартальное",IF(F236&gt;'депозитный калькулятор'!$D$8," ",IF(AND(EOMONTH(F236,0)=F236,OR(MONTH(F236)=3,MONTH(F236)=6,MONTH(F236)=9,MONTH(F236)=12)),IF(EDATE(F236,-3)&lt;'депозитный калькулятор'!$D$7,SUM($H$23:H236),IF(MOD(YEAR(F236),4)=0,IF(AND(EOMONTH(F236,0)=F236,OR(MONTH(F236)=3,MONTH(F236)=6)),SUM(OFFSET(H236,-90,0):H236),IF(AND(EOMONTH(F236,0)=F236,OR(MONTH(F236)=9,MONTH(F236)=12)),SUM(OFFSET(H236,-91,0):H236))),IF(AND(EOMONTH(F236,0)=F236,MONTH(F236)=3),SUM(OFFSET(H236,-89,0):H236),IF(AND(EOMONTH(F236,0)=F236,MONTH(F236)=6),SUM(OFFSET(H236,-90,0):H236),IF(AND(EOMONTH(F236,0)=F236,OR(MONTH(F236)=9,MONTH(F236)=12)),SUM(OFFSET(H236,-91,0):H236)))))),IF(F236='депозитный калькулятор'!$D$8,SUM($H$23:H236)-SUM($I$23:I235),0))),IF('депозитный калькулятор'!$G$10="ежегодное",IF(F236&gt;'депозитный калькулятор'!$D$8," ",IF(F236='депозитный калькулятор'!$D$8,SUM($H$23:H236)-SUM($I$23:I235),IF(AND(EOMONTH(F236,0)=F236,MONTH(F236)=12),IF(MOD(YEAR(F235),4)=0,IF(F236-'депозитный калькулятор'!$D$7&lt;366,SUM($H$23:H236),SUM(OFFSET(H236,-365,0):H236)),IF(F236-'депозитный калькулятор'!$D$7&lt;365,SUM($H$23:H236),SUM(OFFSET(H236,-364,0):H236))),0))),IF(AND('депозитный калькулятор'!$G$10="в конце срока",'депозитный калькулятор'!$D$8=F236),SUM($H$23:H236),0))))))))))))))))))</f>
        <v xml:space="preserve"> </v>
      </c>
      <c r="J236" s="59" t="str">
        <f>IF(F236&gt;'депозитный калькулятор'!$D$8," ",IF('депозитный калькулятор'!$G$16="нет",0,IF(AND('депозитный калькулятор'!$G$17="разовая (в конце срока)",F236='депозитный калькулятор'!$D$8),'депозитный калькулятор'!$G$18,IF(AND('депозитный калькулятор'!$G$17="ежемесячная",EOMONTH(F235,0)=F235),'депозитный калькулятор'!$G$18,IF(AND('депозитный калькулятор'!$G$17="ежегодная",DAY(F235)=31,MONTH(F235)=12),'депозитный калькулятор'!$G$18,IF(AND('депозитный калькулятор'!$G$17="ежемесячная в зависимости от остатка",EOMONTH(F235,0)=F235,P235&gt;0),'депозитный калькулятор'!$G$18,IF(AND('депозитный калькулятор'!$G$17="ежегодная в зависимости от остатка",DAY(F235)=31,MONTH(F235)=12,P235&gt;0),'депозитный калькулятор'!$G$18,0)))))))</f>
        <v xml:space="preserve"> </v>
      </c>
      <c r="K236" s="135" t="str">
        <f>IF($F236=" "," ",IFERROR(VLOOKUP($F236,'депозитный калькулятор'!$B$26:$F$70,2,0),0))</f>
        <v xml:space="preserve"> </v>
      </c>
      <c r="L236" s="135" t="str">
        <f>IF($F236=" "," ",IFERROR(VLOOKUP($F236,'депозитный калькулятор'!$B$26:$F$70,3,0),0))</f>
        <v xml:space="preserve"> </v>
      </c>
      <c r="M236" s="135" t="str">
        <f>IF($F236=" "," ",IFERROR(VLOOKUP($F236,'депозитный калькулятор'!$B$26:$F$70,4,0),0))</f>
        <v xml:space="preserve"> </v>
      </c>
      <c r="N236" s="135" t="str">
        <f>IF($F236=" "," ",IFERROR(VLOOKUP($F236,'депозитный калькулятор'!$B$26:$F$70,5,0),0))</f>
        <v xml:space="preserve"> </v>
      </c>
      <c r="O236" s="146" t="str">
        <f>IF(F236&gt;'депозитный калькулятор'!$D$8," ",IF(F236='депозитный калькулятор'!$D$8,IF(AND($F$24='депозитный калькулятор'!$D$8,'депозитный калькулятор'!$G$13="нет"),-G236-IF(I236=" ",0,I236)-IF(AND(OR('депозитный калькулятор'!$G$7="30/365",'депозитный калькулятор'!$G$7="30/360"),'депозитный калькулятор'!$G$10="в начале срока"),I235,0)-L236+M236-N236,-G236-IF(I236=" ",0,I236)-L236+M236-N236),IF('депозитный калькулятор'!$G$13="есть",M236-N236+IF('депозитный калькулятор'!$G$14="есть",0,-L236),-IF(I236=" ",0,I236)-IF(AND(OR('депозитный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срока"),I235,0)+M236-N236+IF('депозитный калькулятор'!$G$14="есть",0,-L236))))</f>
        <v xml:space="preserve"> </v>
      </c>
      <c r="P236" s="147" t="str">
        <f>IF(F236&gt;'депозитный калькулятор'!$D$8," ",IF(EOMONTH(F235,0)=F235,0,IF(G236&gt;='депозитный калькулятор'!$G$19,P235,P235+1)))</f>
        <v xml:space="preserve"> </v>
      </c>
      <c r="Q236" s="138" t="str">
        <f>IF(F236=" "," ",IF(AND(OR('депозитный калькулятор'!$G$7="30/365",'депозитный калькулятор'!$G$7="30/360"),AND(MONTH(F236)=2,EOMONTH(F236,0)=F236)),IF(DAY(F236)=28,3,2),1)*IF(G236&gt;='депозитный калькулятор'!$G$11,IF(AND('депозитный калькулятор'!$G$7="факт/факт",MOD(YEAR(F236),4)=0),G236*'депозитный калькулятор'!$D$11/366,G236*'депозитный калькулятор'!$G$8),0))</f>
        <v xml:space="preserve"> </v>
      </c>
      <c r="R236" s="148"/>
      <c r="S236" s="62" t="str">
        <f t="shared" ca="1" si="17"/>
        <v xml:space="preserve"> </v>
      </c>
      <c r="T236" s="149" t="str">
        <f ca="1">IF(S236=" "," ",IF('депозитный калькулятор'!$G$7="30/360",DAYS360(U235,IF(DAY(U236)=31,U236-1,U236))+IF(AND(MONTH(U236)=2,U236=EOMONTH(U236,0)),30-DAY(EOMONTH(U236,0)))+T235,VLOOKUP(S236,$C$22:$F$1023,2,0)))</f>
        <v xml:space="preserve"> </v>
      </c>
      <c r="U236" s="64" t="str">
        <f t="shared" ca="1" si="15"/>
        <v xml:space="preserve"> </v>
      </c>
      <c r="V236" s="150" t="str">
        <f t="shared" ca="1" si="18"/>
        <v xml:space="preserve"> </v>
      </c>
      <c r="W236" s="62" t="str">
        <f t="shared" ca="1" si="19"/>
        <v xml:space="preserve"> </v>
      </c>
      <c r="X236" s="141" t="str">
        <f ca="1">IF(S236=" "," ",IFERROR(VLOOKUP(U236,$F$23:$N$1023,7)+VLOOKUP(U236,$F$23:$N$1023,9)+IF(AND('депозитный калькулятор'!$G$13="нет",U236&lt;&gt;'депозитный калькулятор'!$D$8),VLOOKUP(U236,$F$23:$N$1023,4),0),0)+IF(U236='депозитный калькулятор'!$D$8,VLOOKUP(U236,$F$23:$N$1023,2)+VLOOKUP(U236,$F$23:$N$1023,4),0))</f>
        <v xml:space="preserve"> </v>
      </c>
      <c r="Y236" s="142" t="str">
        <f ca="1">IF(S236=" "," ",W236/(1+'депозитный калькулятор'!$K$8)^(T236/IF('депозитный калькулятор'!$G$7="30/360",360,365)))</f>
        <v xml:space="preserve"> </v>
      </c>
      <c r="Z236" s="142" t="str">
        <f ca="1">IF(S236=" "," ",X236/(1+'депозитный калькулятор'!$K$8)^(T236/IF('депозитный калькулятор'!$G$7="30/360",360,365)))</f>
        <v xml:space="preserve"> </v>
      </c>
      <c r="AA236" s="151"/>
      <c r="AB236" s="151"/>
      <c r="AC236" s="155"/>
      <c r="AD236" s="155"/>
    </row>
    <row r="237" spans="1:30" s="2" customFormat="1" ht="15.5" x14ac:dyDescent="0.35">
      <c r="A237" s="41" t="str">
        <f>IF(F237=" "," ",IF(OR('депозитный калькулятор'!$G$7="30/365",'депозитный калькулятор'!$G$7="30/360"),IF(AND(MONTH(F237)=2,DAY(F237)=DAY(EOMONTH(F237,0))),30-DAY(EOMONTH(F237,0)),IF(DAY(F237)=31,1," "))," "))</f>
        <v xml:space="preserve"> </v>
      </c>
      <c r="B237" s="130" t="str">
        <f t="shared" si="16"/>
        <v xml:space="preserve"> </v>
      </c>
      <c r="C237" s="130" t="str">
        <f>IF(OR(B237=0,B237=" ")," ",SUM($B$23:B237))</f>
        <v xml:space="preserve"> </v>
      </c>
      <c r="D237" s="62" t="str">
        <f>IF(D236=" "," ",IF(OR(F236='депозитный калькулятор'!$D$8,F236=" ")," ",D236+1))</f>
        <v xml:space="preserve"> </v>
      </c>
      <c r="E237" s="130" t="str">
        <f>IF(OR(F236='депозитный калькулятор'!$D$8,F236=" ")," ",IF(EOMONTH(F236,0)=F236,1,E236+1))</f>
        <v xml:space="preserve"> </v>
      </c>
      <c r="F237" s="64" t="str">
        <f>IF(F236=" "," ",IF(F236='депозитный калькулятор'!$D$8," ",F236+1))</f>
        <v xml:space="preserve"> </v>
      </c>
      <c r="G237" s="145" t="str">
        <f xml:space="preserve"> IF(F237&gt;'депозитный калькулятор'!$D$8," ",IF('депозитный калькулятор'!$G$13="есть",IF('депозитный калькулятор'!$G$14="есть",G236+IF(I236=" ",0,I236)-J237-K237+L237+M237-N237,G236+IF(I236=" ",0,I236)-J237-K237+M237-N237),IF('депозитный калькулятор'!$G$14="есть",G236-J237-K237+L237+M237-N237,G236-J237-K237+M237-N237)))</f>
        <v xml:space="preserve"> </v>
      </c>
      <c r="H237" s="133" t="str">
        <f>IF(F237&gt;'депозитный калькулятор'!$D$8," ",IF(AND(OR('депозитный калькулятор'!$G$7="30/365",'депозитный калькулятор'!$G$7="30/360"),AND(MONTH(F237)=2,EOMONTH(F237,0)=F237)),IF(DAY(F237)=28,3*G237*'депозитный калькулятор'!$G$8,2*G237*'депозитный калькулятор'!$G$8),IF(AND(OR('депозитный калькулятор'!$G$7="30/365",'депозитный калькулятор'!$G$7="30/360"),DAY(F237)=31)," ",IF(AND('депозитный калькулятор'!$G$7="факт/факт",MOD(YEAR(F237),4)=0),G237*'депозитный калькулятор'!$D$11/366,G237*'депозитный калькулятор'!$G$8))))</f>
        <v xml:space="preserve"> </v>
      </c>
      <c r="I237" s="134" t="str">
        <f ca="1">IF(F237=" "," ",IF('депозитный калькулятор'!$G$10="ежедневное",H237,IF(AND('депозитный калькулятор'!$G$10="еженедельное",WEEKDAY(F237,2)=7),SUM(OFFSET(H237,-6,0):H237),IF(AND('депозитный калькулятор'!$G$10="еженедельное",F237='депозитный калькулятор'!$D$8),SUM($H$23:H237)-SUM($I$23:I236),IF(AND('депозитный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недели",WEEKDAY(F237,2)=7),MIN(OFFSET(H237,-6,0):H237)*(COUNTIF(OFFSET(H237,-6,0):H237,"&gt;0")+SUMIF(OFFSET(A237,-WEEKDAY(F237,2),0):A237,"=2",OFFSET(A237,-WEEKDAY(F237,2),0):A237)),IF(AND('депозитный калькулятор'!$G$10="еженедельное, на минимальную сумму зафиксированную в течение недели",F237='депозитный калькулятор'!$D$8,WEEKDAY(F237,2)&lt;&gt;7),MIN(OFFSET(H237,-WEEKDAY(F237,2),0):H237)*(COUNTIF(OFFSET(H237,-WEEKDAY(F237,2)+1,0):H237,"&gt;0")+SUM(OFFSET(A237,-WEEKDAY(F237,2),0):A237)),IF(AND('депозитный калькулятор'!$G$10="ежемесячное (в конце месяца)",F237='депозитный калькулятор'!$D$8,EOMONTH(F237,0)&lt;&gt;F237),IF('депозитный калькулятор'!$F$1=1,$H$24,SUM($H$23:H237)-SUM($I$23:I236)),IF(AND('депозитный калькулятор'!$G$10="ежемесячное (в конце месяца)",EOMONTH(F237,0)=F237),SUM($H$23:H237)-SUM($I$23:I236),IF(AND('депозитный калькулятор'!$G$10="ежемесячное (по дням открытия вклада)",F237='депозитный калькулятор'!$D$8,DAY('депозитный калькулятор'!$D$7)&lt;&gt;DAY(F237)),IF('депозитный калькулятор'!$F$1=1,$H$24,SUM($H$23:H237)-SUM($I$23:I236)),IF(AND('депозитный калькулятор'!$G$10="ежемесячное (по дням открытия вклада)",DAY('депозитный калькулятор'!$D$7)=DAY(F237)),SUM($H$23:H237)-SUM($I$23:I236),IF(AND('депозитный калькулятор'!$G$10="ежемесячное, на минимальную сумму зафиксированную в течение месяца",F237='депозитный калькулятор'!$D$8,EOMONTH(F237,0)&lt;&gt;F237),IF('депозитный калькулятор'!$F$1=1,$H$24,IF(AND(OR('депозитный калькулятор'!$G$7="30/365",'депозитный калькулятор'!$G$7="30/360"),DAY(F237)=31),0,MIN(OFFSET(H237,-E237+1,0):H237)*(E237+SUMIF(OFFSET(A237,-E237+1,0):A237,"=2",OFFSET(A237,-E237+1,0):A237)))),IF(AND('депозитный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калькулятор'!$G$7="30/360"),DAY(EOMONTH(F237,0))=31),EOMONTH(F237,0)-1=F237,EOMONTH(F237,0)=F237)),IF(IF(AND(OR('депозитный калькулятор'!$G$7="30/365",'депозитный калькулятор'!$G$7="30/360"),DAY(EOMONTH($F$23,0))=31),F237=EOMONTH($F$23,0)-1,F237=EOMONTH($F$23,0)),MIN(OFFSET(H237,-(DAY(F237)-DAY($F$23)),0):H237)*E237,MIN(OFFSET(H237,-(DAY(F237)-1),0):H237)*IF(AND(OR('депозитный калькулятор'!$G$7="30/365",'депозитный калькулятор'!$G$7="30/360"),DAY(F237)&lt;30),30,DAY(F237))),IF(AND('депозитный калькулятор'!$G$10="ежемесячное, на средний остаток в течение месяца, при условии что остаток больше чем ограничение",F237='депозитный калькулятор'!$D$8,EOMONTH(F237,0)&lt;&gt;F237),IF('депозитный калькулятор'!$F$1=1,$H$24,SUM(OFFSET(Q237,-E237+1,0):Q237)),IF(AND('депозитный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калькулятор'!$G$7="30/360"),DAY(EOMONTH(F237,0))=31),EOMONTH(F237,0)-1=F237,EOMONTH(F237,0)=F237)),IF(IF(AND(OR('депозитный калькулятор'!$G$7="30/365",'депозитный калькулятор'!$G$7="30/360"),DAY(EOMONTH($F$24,0))=31),F237=EOMONTH($F$24,0)-1,F237=EOMONTH($F$24,0)),SUM(OFFSET(Q237,-E237+1,0):Q237),SUM(OFFSET(Q237,-E237+1,0):Q237)),IF('депозитный калькулятор'!$G$10="ежеквартальное",IF(F237&gt;'депозитный калькулятор'!$D$8," ",IF(AND(EOMONTH(F237,0)=F237,OR(MONTH(F237)=3,MONTH(F237)=6,MONTH(F237)=9,MONTH(F237)=12)),IF(EDATE(F237,-3)&lt;'депозитный калькулятор'!$D$7,SUM($H$23:H237),IF(MOD(YEAR(F237),4)=0,IF(AND(EOMONTH(F237,0)=F237,OR(MONTH(F237)=3,MONTH(F237)=6)),SUM(OFFSET(H237,-90,0):H237),IF(AND(EOMONTH(F237,0)=F237,OR(MONTH(F237)=9,MONTH(F237)=12)),SUM(OFFSET(H237,-91,0):H237))),IF(AND(EOMONTH(F237,0)=F237,MONTH(F237)=3),SUM(OFFSET(H237,-89,0):H237),IF(AND(EOMONTH(F237,0)=F237,MONTH(F237)=6),SUM(OFFSET(H237,-90,0):H237),IF(AND(EOMONTH(F237,0)=F237,OR(MONTH(F237)=9,MONTH(F237)=12)),SUM(OFFSET(H237,-91,0):H237)))))),IF(F237='депозитный калькулятор'!$D$8,SUM($H$23:H237)-SUM($I$23:I236),0))),IF('депозитный калькулятор'!$G$10="ежегодное",IF(F237&gt;'депозитный калькулятор'!$D$8," ",IF(F237='депозитный калькулятор'!$D$8,SUM($H$23:H237)-SUM($I$23:I236),IF(AND(EOMONTH(F237,0)=F237,MONTH(F237)=12),IF(MOD(YEAR(F236),4)=0,IF(F237-'депозитный калькулятор'!$D$7&lt;366,SUM($H$23:H237),SUM(OFFSET(H237,-365,0):H237)),IF(F237-'депозитный калькулятор'!$D$7&lt;365,SUM($H$23:H237),SUM(OFFSET(H237,-364,0):H237))),0))),IF(AND('депозитный калькулятор'!$G$10="в конце срока",'депозитный калькулятор'!$D$8=F237),SUM($H$23:H237),0))))))))))))))))))</f>
        <v xml:space="preserve"> </v>
      </c>
      <c r="J237" s="59" t="str">
        <f>IF(F237&gt;'депозитный калькулятор'!$D$8," ",IF('депозитный калькулятор'!$G$16="нет",0,IF(AND('депозитный калькулятор'!$G$17="разовая (в конце срока)",F237='депозитный калькулятор'!$D$8),'депозитный калькулятор'!$G$18,IF(AND('депозитный калькулятор'!$G$17="ежемесячная",EOMONTH(F236,0)=F236),'депозитный калькулятор'!$G$18,IF(AND('депозитный калькулятор'!$G$17="ежегодная",DAY(F236)=31,MONTH(F236)=12),'депозитный калькулятор'!$G$18,IF(AND('депозитный калькулятор'!$G$17="ежемесячная в зависимости от остатка",EOMONTH(F236,0)=F236,P236&gt;0),'депозитный калькулятор'!$G$18,IF(AND('депозитный калькулятор'!$G$17="ежегодная в зависимости от остатка",DAY(F236)=31,MONTH(F236)=12,P236&gt;0),'депозитный калькулятор'!$G$18,0)))))))</f>
        <v xml:space="preserve"> </v>
      </c>
      <c r="K237" s="135" t="str">
        <f>IF($F237=" "," ",IFERROR(VLOOKUP($F237,'депозитный калькулятор'!$B$26:$F$70,2,0),0))</f>
        <v xml:space="preserve"> </v>
      </c>
      <c r="L237" s="135" t="str">
        <f>IF($F237=" "," ",IFERROR(VLOOKUP($F237,'депозитный калькулятор'!$B$26:$F$70,3,0),0))</f>
        <v xml:space="preserve"> </v>
      </c>
      <c r="M237" s="135" t="str">
        <f>IF($F237=" "," ",IFERROR(VLOOKUP($F237,'депозитный калькулятор'!$B$26:$F$70,4,0),0))</f>
        <v xml:space="preserve"> </v>
      </c>
      <c r="N237" s="135" t="str">
        <f>IF($F237=" "," ",IFERROR(VLOOKUP($F237,'депозитный калькулятор'!$B$26:$F$70,5,0),0))</f>
        <v xml:space="preserve"> </v>
      </c>
      <c r="O237" s="146" t="str">
        <f>IF(F237&gt;'депозитный калькулятор'!$D$8," ",IF(F237='депозитный калькулятор'!$D$8,IF(AND($F$24='депозитный калькулятор'!$D$8,'депозитный калькулятор'!$G$13="нет"),-G237-IF(I237=" ",0,I237)-IF(AND(OR('депозитный калькулятор'!$G$7="30/365",'депозитный калькулятор'!$G$7="30/360"),'депозитный калькулятор'!$G$10="в начале срока"),I236,0)-L237+M237-N237,-G237-IF(I237=" ",0,I237)-L237+M237-N237),IF('депозитный калькулятор'!$G$13="есть",M237-N237+IF('депозитный калькулятор'!$G$14="есть",0,-L237),-IF(I237=" ",0,I237)-IF(AND(OR('депозитный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срока"),I236,0)+M237-N237+IF('депозитный калькулятор'!$G$14="есть",0,-L237))))</f>
        <v xml:space="preserve"> </v>
      </c>
      <c r="P237" s="147" t="str">
        <f>IF(F237&gt;'депозитный калькулятор'!$D$8," ",IF(EOMONTH(F236,0)=F236,0,IF(G237&gt;='депозитный калькулятор'!$G$19,P236,P236+1)))</f>
        <v xml:space="preserve"> </v>
      </c>
      <c r="Q237" s="138" t="str">
        <f>IF(F237=" "," ",IF(AND(OR('депозитный калькулятор'!$G$7="30/365",'депозитный калькулятор'!$G$7="30/360"),AND(MONTH(F237)=2,EOMONTH(F237,0)=F237)),IF(DAY(F237)=28,3,2),1)*IF(G237&gt;='депозитный калькулятор'!$G$11,IF(AND('депозитный калькулятор'!$G$7="факт/факт",MOD(YEAR(F237),4)=0),G237*'депозитный калькулятор'!$D$11/366,G237*'депозитный калькулятор'!$G$8),0))</f>
        <v xml:space="preserve"> </v>
      </c>
      <c r="R237" s="148"/>
      <c r="S237" s="62" t="str">
        <f t="shared" ca="1" si="17"/>
        <v xml:space="preserve"> </v>
      </c>
      <c r="T237" s="149" t="str">
        <f ca="1">IF(S237=" "," ",IF('депозитный калькулятор'!$G$7="30/360",DAYS360(U236,IF(DAY(U237)=31,U237-1,U237))+IF(AND(MONTH(U237)=2,U237=EOMONTH(U237,0)),30-DAY(EOMONTH(U237,0)))+T236,VLOOKUP(S237,$C$22:$F$1023,2,0)))</f>
        <v xml:space="preserve"> </v>
      </c>
      <c r="U237" s="64" t="str">
        <f t="shared" ca="1" si="15"/>
        <v xml:space="preserve"> </v>
      </c>
      <c r="V237" s="150" t="str">
        <f t="shared" ca="1" si="18"/>
        <v xml:space="preserve"> </v>
      </c>
      <c r="W237" s="62" t="str">
        <f t="shared" ca="1" si="19"/>
        <v xml:space="preserve"> </v>
      </c>
      <c r="X237" s="141" t="str">
        <f ca="1">IF(S237=" "," ",IFERROR(VLOOKUP(U237,$F$23:$N$1023,7)+VLOOKUP(U237,$F$23:$N$1023,9)+IF(AND('депозитный калькулятор'!$G$13="нет",U237&lt;&gt;'депозитный калькулятор'!$D$8),VLOOKUP(U237,$F$23:$N$1023,4),0),0)+IF(U237='депозитный калькулятор'!$D$8,VLOOKUP(U237,$F$23:$N$1023,2)+VLOOKUP(U237,$F$23:$N$1023,4),0))</f>
        <v xml:space="preserve"> </v>
      </c>
      <c r="Y237" s="142" t="str">
        <f ca="1">IF(S237=" "," ",W237/(1+'депозитный калькулятор'!$K$8)^(T237/IF('депозитный калькулятор'!$G$7="30/360",360,365)))</f>
        <v xml:space="preserve"> </v>
      </c>
      <c r="Z237" s="142" t="str">
        <f ca="1">IF(S237=" "," ",X237/(1+'депозитный калькулятор'!$K$8)^(T237/IF('депозитный калькулятор'!$G$7="30/360",360,365)))</f>
        <v xml:space="preserve"> </v>
      </c>
      <c r="AA237" s="151"/>
      <c r="AB237" s="151"/>
      <c r="AC237" s="155"/>
      <c r="AD237" s="155"/>
    </row>
    <row r="238" spans="1:30" s="2" customFormat="1" ht="15.5" x14ac:dyDescent="0.35">
      <c r="A238" s="41" t="str">
        <f>IF(F238=" "," ",IF(OR('депозитный калькулятор'!$G$7="30/365",'депозитный калькулятор'!$G$7="30/360"),IF(AND(MONTH(F238)=2,DAY(F238)=DAY(EOMONTH(F238,0))),30-DAY(EOMONTH(F238,0)),IF(DAY(F238)=31,1," "))," "))</f>
        <v xml:space="preserve"> </v>
      </c>
      <c r="B238" s="130" t="str">
        <f t="shared" si="16"/>
        <v xml:space="preserve"> </v>
      </c>
      <c r="C238" s="130" t="str">
        <f>IF(OR(B238=0,B238=" ")," ",SUM($B$23:B238))</f>
        <v xml:space="preserve"> </v>
      </c>
      <c r="D238" s="62" t="str">
        <f>IF(D237=" "," ",IF(OR(F237='депозитный калькулятор'!$D$8,F237=" ")," ",D237+1))</f>
        <v xml:space="preserve"> </v>
      </c>
      <c r="E238" s="130" t="str">
        <f>IF(OR(F237='депозитный калькулятор'!$D$8,F237=" ")," ",IF(EOMONTH(F237,0)=F237,1,E237+1))</f>
        <v xml:space="preserve"> </v>
      </c>
      <c r="F238" s="64" t="str">
        <f>IF(F237=" "," ",IF(F237='депозитный калькулятор'!$D$8," ",F237+1))</f>
        <v xml:space="preserve"> </v>
      </c>
      <c r="G238" s="145" t="str">
        <f xml:space="preserve"> IF(F238&gt;'депозитный калькулятор'!$D$8," ",IF('депозитный калькулятор'!$G$13="есть",IF('депозитный калькулятор'!$G$14="есть",G237+IF(I237=" ",0,I237)-J238-K238+L238+M238-N238,G237+IF(I237=" ",0,I237)-J238-K238+M238-N238),IF('депозитный калькулятор'!$G$14="есть",G237-J238-K238+L238+M238-N238,G237-J238-K238+M238-N238)))</f>
        <v xml:space="preserve"> </v>
      </c>
      <c r="H238" s="133" t="str">
        <f>IF(F238&gt;'депозитный калькулятор'!$D$8," ",IF(AND(OR('депозитный калькулятор'!$G$7="30/365",'депозитный калькулятор'!$G$7="30/360"),AND(MONTH(F238)=2,EOMONTH(F238,0)=F238)),IF(DAY(F238)=28,3*G238*'депозитный калькулятор'!$G$8,2*G238*'депозитный калькулятор'!$G$8),IF(AND(OR('депозитный калькулятор'!$G$7="30/365",'депозитный калькулятор'!$G$7="30/360"),DAY(F238)=31)," ",IF(AND('депозитный калькулятор'!$G$7="факт/факт",MOD(YEAR(F238),4)=0),G238*'депозитный калькулятор'!$D$11/366,G238*'депозитный калькулятор'!$G$8))))</f>
        <v xml:space="preserve"> </v>
      </c>
      <c r="I238" s="134" t="str">
        <f ca="1">IF(F238=" "," ",IF('депозитный калькулятор'!$G$10="ежедневное",H238,IF(AND('депозитный калькулятор'!$G$10="еженедельное",WEEKDAY(F238,2)=7),SUM(OFFSET(H238,-6,0):H238),IF(AND('депозитный калькулятор'!$G$10="еженедельное",F238='депозитный калькулятор'!$D$8),SUM($H$23:H238)-SUM($I$23:I237),IF(AND('депозитный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недели",WEEKDAY(F238,2)=7),MIN(OFFSET(H238,-6,0):H238)*(COUNTIF(OFFSET(H238,-6,0):H238,"&gt;0")+SUMIF(OFFSET(A238,-WEEKDAY(F238,2),0):A238,"=2",OFFSET(A238,-WEEKDAY(F238,2),0):A238)),IF(AND('депозитный калькулятор'!$G$10="еженедельное, на минимальную сумму зафиксированную в течение недели",F238='депозитный калькулятор'!$D$8,WEEKDAY(F238,2)&lt;&gt;7),MIN(OFFSET(H238,-WEEKDAY(F238,2),0):H238)*(COUNTIF(OFFSET(H238,-WEEKDAY(F238,2)+1,0):H238,"&gt;0")+SUM(OFFSET(A238,-WEEKDAY(F238,2),0):A238)),IF(AND('депозитный калькулятор'!$G$10="ежемесячное (в конце месяца)",F238='депозитный калькулятор'!$D$8,EOMONTH(F238,0)&lt;&gt;F238),IF('депозитный калькулятор'!$F$1=1,$H$24,SUM($H$23:H238)-SUM($I$23:I237)),IF(AND('депозитный калькулятор'!$G$10="ежемесячное (в конце месяца)",EOMONTH(F238,0)=F238),SUM($H$23:H238)-SUM($I$23:I237),IF(AND('депозитный калькулятор'!$G$10="ежемесячное (по дням открытия вклада)",F238='депозитный калькулятор'!$D$8,DAY('депозитный калькулятор'!$D$7)&lt;&gt;DAY(F238)),IF('депозитный калькулятор'!$F$1=1,$H$24,SUM($H$23:H238)-SUM($I$23:I237)),IF(AND('депозитный калькулятор'!$G$10="ежемесячное (по дням открытия вклада)",DAY('депозитный калькулятор'!$D$7)=DAY(F238)),SUM($H$23:H238)-SUM($I$23:I237),IF(AND('депозитный калькулятор'!$G$10="ежемесячное, на минимальную сумму зафиксированную в течение месяца",F238='депозитный калькулятор'!$D$8,EOMONTH(F238,0)&lt;&gt;F238),IF('депозитный калькулятор'!$F$1=1,$H$24,IF(AND(OR('депозитный калькулятор'!$G$7="30/365",'депозитный калькулятор'!$G$7="30/360"),DAY(F238)=31),0,MIN(OFFSET(H238,-E238+1,0):H238)*(E238+SUMIF(OFFSET(A238,-E238+1,0):A238,"=2",OFFSET(A238,-E238+1,0):A238)))),IF(AND('депозитный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калькулятор'!$G$7="30/360"),DAY(EOMONTH(F238,0))=31),EOMONTH(F238,0)-1=F238,EOMONTH(F238,0)=F238)),IF(IF(AND(OR('депозитный калькулятор'!$G$7="30/365",'депозитный калькулятор'!$G$7="30/360"),DAY(EOMONTH($F$23,0))=31),F238=EOMONTH($F$23,0)-1,F238=EOMONTH($F$23,0)),MIN(OFFSET(H238,-(DAY(F238)-DAY($F$23)),0):H238)*E238,MIN(OFFSET(H238,-(DAY(F238)-1),0):H238)*IF(AND(OR('депозитный калькулятор'!$G$7="30/365",'депозитный калькулятор'!$G$7="30/360"),DAY(F238)&lt;30),30,DAY(F238))),IF(AND('депозитный калькулятор'!$G$10="ежемесячное, на средний остаток в течение месяца, при условии что остаток больше чем ограничение",F238='депозитный калькулятор'!$D$8,EOMONTH(F238,0)&lt;&gt;F238),IF('депозитный калькулятор'!$F$1=1,$H$24,SUM(OFFSET(Q238,-E238+1,0):Q238)),IF(AND('депозитный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калькулятор'!$G$7="30/360"),DAY(EOMONTH(F238,0))=31),EOMONTH(F238,0)-1=F238,EOMONTH(F238,0)=F238)),IF(IF(AND(OR('депозитный калькулятор'!$G$7="30/365",'депозитный калькулятор'!$G$7="30/360"),DAY(EOMONTH($F$24,0))=31),F238=EOMONTH($F$24,0)-1,F238=EOMONTH($F$24,0)),SUM(OFFSET(Q238,-E238+1,0):Q238),SUM(OFFSET(Q238,-E238+1,0):Q238)),IF('депозитный калькулятор'!$G$10="ежеквартальное",IF(F238&gt;'депозитный калькулятор'!$D$8," ",IF(AND(EOMONTH(F238,0)=F238,OR(MONTH(F238)=3,MONTH(F238)=6,MONTH(F238)=9,MONTH(F238)=12)),IF(EDATE(F238,-3)&lt;'депозитный калькулятор'!$D$7,SUM($H$23:H238),IF(MOD(YEAR(F238),4)=0,IF(AND(EOMONTH(F238,0)=F238,OR(MONTH(F238)=3,MONTH(F238)=6)),SUM(OFFSET(H238,-90,0):H238),IF(AND(EOMONTH(F238,0)=F238,OR(MONTH(F238)=9,MONTH(F238)=12)),SUM(OFFSET(H238,-91,0):H238))),IF(AND(EOMONTH(F238,0)=F238,MONTH(F238)=3),SUM(OFFSET(H238,-89,0):H238),IF(AND(EOMONTH(F238,0)=F238,MONTH(F238)=6),SUM(OFFSET(H238,-90,0):H238),IF(AND(EOMONTH(F238,0)=F238,OR(MONTH(F238)=9,MONTH(F238)=12)),SUM(OFFSET(H238,-91,0):H238)))))),IF(F238='депозитный калькулятор'!$D$8,SUM($H$23:H238)-SUM($I$23:I237),0))),IF('депозитный калькулятор'!$G$10="ежегодное",IF(F238&gt;'депозитный калькулятор'!$D$8," ",IF(F238='депозитный калькулятор'!$D$8,SUM($H$23:H238)-SUM($I$23:I237),IF(AND(EOMONTH(F238,0)=F238,MONTH(F238)=12),IF(MOD(YEAR(F237),4)=0,IF(F238-'депозитный калькулятор'!$D$7&lt;366,SUM($H$23:H238),SUM(OFFSET(H238,-365,0):H238)),IF(F238-'депозитный калькулятор'!$D$7&lt;365,SUM($H$23:H238),SUM(OFFSET(H238,-364,0):H238))),0))),IF(AND('депозитный калькулятор'!$G$10="в конце срока",'депозитный калькулятор'!$D$8=F238),SUM($H$23:H238),0))))))))))))))))))</f>
        <v xml:space="preserve"> </v>
      </c>
      <c r="J238" s="59" t="str">
        <f>IF(F238&gt;'депозитный калькулятор'!$D$8," ",IF('депозитный калькулятор'!$G$16="нет",0,IF(AND('депозитный калькулятор'!$G$17="разовая (в конце срока)",F238='депозитный калькулятор'!$D$8),'депозитный калькулятор'!$G$18,IF(AND('депозитный калькулятор'!$G$17="ежемесячная",EOMONTH(F237,0)=F237),'депозитный калькулятор'!$G$18,IF(AND('депозитный калькулятор'!$G$17="ежегодная",DAY(F237)=31,MONTH(F237)=12),'депозитный калькулятор'!$G$18,IF(AND('депозитный калькулятор'!$G$17="ежемесячная в зависимости от остатка",EOMONTH(F237,0)=F237,P237&gt;0),'депозитный калькулятор'!$G$18,IF(AND('депозитный калькулятор'!$G$17="ежегодная в зависимости от остатка",DAY(F237)=31,MONTH(F237)=12,P237&gt;0),'депозитный калькулятор'!$G$18,0)))))))</f>
        <v xml:space="preserve"> </v>
      </c>
      <c r="K238" s="135" t="str">
        <f>IF($F238=" "," ",IFERROR(VLOOKUP($F238,'депозитный калькулятор'!$B$26:$F$70,2,0),0))</f>
        <v xml:space="preserve"> </v>
      </c>
      <c r="L238" s="135" t="str">
        <f>IF($F238=" "," ",IFERROR(VLOOKUP($F238,'депозитный калькулятор'!$B$26:$F$70,3,0),0))</f>
        <v xml:space="preserve"> </v>
      </c>
      <c r="M238" s="135" t="str">
        <f>IF($F238=" "," ",IFERROR(VLOOKUP($F238,'депозитный калькулятор'!$B$26:$F$70,4,0),0))</f>
        <v xml:space="preserve"> </v>
      </c>
      <c r="N238" s="135" t="str">
        <f>IF($F238=" "," ",IFERROR(VLOOKUP($F238,'депозитный калькулятор'!$B$26:$F$70,5,0),0))</f>
        <v xml:space="preserve"> </v>
      </c>
      <c r="O238" s="146" t="str">
        <f>IF(F238&gt;'депозитный калькулятор'!$D$8," ",IF(F238='депозитный калькулятор'!$D$8,IF(AND($F$24='депозитный калькулятор'!$D$8,'депозитный калькулятор'!$G$13="нет"),-G238-IF(I238=" ",0,I238)-IF(AND(OR('депозитный калькулятор'!$G$7="30/365",'депозитный калькулятор'!$G$7="30/360"),'депозитный калькулятор'!$G$10="в начале срока"),I237,0)-L238+M238-N238,-G238-IF(I238=" ",0,I238)-L238+M238-N238),IF('депозитный калькулятор'!$G$13="есть",M238-N238+IF('депозитный калькулятор'!$G$14="есть",0,-L238),-IF(I238=" ",0,I238)-IF(AND(OR('депозитный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срока"),I237,0)+M238-N238+IF('депозитный калькулятор'!$G$14="есть",0,-L238))))</f>
        <v xml:space="preserve"> </v>
      </c>
      <c r="P238" s="147" t="str">
        <f>IF(F238&gt;'депозитный калькулятор'!$D$8," ",IF(EOMONTH(F237,0)=F237,0,IF(G238&gt;='депозитный калькулятор'!$G$19,P237,P237+1)))</f>
        <v xml:space="preserve"> </v>
      </c>
      <c r="Q238" s="138" t="str">
        <f>IF(F238=" "," ",IF(AND(OR('депозитный калькулятор'!$G$7="30/365",'депозитный калькулятор'!$G$7="30/360"),AND(MONTH(F238)=2,EOMONTH(F238,0)=F238)),IF(DAY(F238)=28,3,2),1)*IF(G238&gt;='депозитный калькулятор'!$G$11,IF(AND('депозитный калькулятор'!$G$7="факт/факт",MOD(YEAR(F238),4)=0),G238*'депозитный калькулятор'!$D$11/366,G238*'депозитный калькулятор'!$G$8),0))</f>
        <v xml:space="preserve"> </v>
      </c>
      <c r="R238" s="148"/>
      <c r="S238" s="62" t="str">
        <f t="shared" ca="1" si="17"/>
        <v xml:space="preserve"> </v>
      </c>
      <c r="T238" s="149" t="str">
        <f ca="1">IF(S238=" "," ",IF('депозитный калькулятор'!$G$7="30/360",DAYS360(U237,IF(DAY(U238)=31,U238-1,U238))+IF(AND(MONTH(U238)=2,U238=EOMONTH(U238,0)),30-DAY(EOMONTH(U238,0)))+T237,VLOOKUP(S238,$C$22:$F$1023,2,0)))</f>
        <v xml:space="preserve"> </v>
      </c>
      <c r="U238" s="64" t="str">
        <f t="shared" ca="1" si="15"/>
        <v xml:space="preserve"> </v>
      </c>
      <c r="V238" s="150" t="str">
        <f t="shared" ca="1" si="18"/>
        <v xml:space="preserve"> </v>
      </c>
      <c r="W238" s="62" t="str">
        <f t="shared" ca="1" si="19"/>
        <v xml:space="preserve"> </v>
      </c>
      <c r="X238" s="141" t="str">
        <f ca="1">IF(S238=" "," ",IFERROR(VLOOKUP(U238,$F$23:$N$1023,7)+VLOOKUP(U238,$F$23:$N$1023,9)+IF(AND('депозитный калькулятор'!$G$13="нет",U238&lt;&gt;'депозитный калькулятор'!$D$8),VLOOKUP(U238,$F$23:$N$1023,4),0),0)+IF(U238='депозитный калькулятор'!$D$8,VLOOKUP(U238,$F$23:$N$1023,2)+VLOOKUP(U238,$F$23:$N$1023,4),0))</f>
        <v xml:space="preserve"> </v>
      </c>
      <c r="Y238" s="142" t="str">
        <f ca="1">IF(S238=" "," ",W238/(1+'депозитный калькулятор'!$K$8)^(T238/IF('депозитный калькулятор'!$G$7="30/360",360,365)))</f>
        <v xml:space="preserve"> </v>
      </c>
      <c r="Z238" s="142" t="str">
        <f ca="1">IF(S238=" "," ",X238/(1+'депозитный калькулятор'!$K$8)^(T238/IF('депозитный калькулятор'!$G$7="30/360",360,365)))</f>
        <v xml:space="preserve"> </v>
      </c>
      <c r="AA238" s="151"/>
      <c r="AB238" s="151"/>
      <c r="AC238" s="155"/>
      <c r="AD238" s="155"/>
    </row>
    <row r="239" spans="1:30" s="2" customFormat="1" ht="15.5" x14ac:dyDescent="0.35">
      <c r="A239" s="41" t="str">
        <f>IF(F239=" "," ",IF(OR('депозитный калькулятор'!$G$7="30/365",'депозитный калькулятор'!$G$7="30/360"),IF(AND(MONTH(F239)=2,DAY(F239)=DAY(EOMONTH(F239,0))),30-DAY(EOMONTH(F239,0)),IF(DAY(F239)=31,1," "))," "))</f>
        <v xml:space="preserve"> </v>
      </c>
      <c r="B239" s="130" t="str">
        <f t="shared" si="16"/>
        <v xml:space="preserve"> </v>
      </c>
      <c r="C239" s="130" t="str">
        <f>IF(OR(B239=0,B239=" ")," ",SUM($B$23:B239))</f>
        <v xml:space="preserve"> </v>
      </c>
      <c r="D239" s="62" t="str">
        <f>IF(D238=" "," ",IF(OR(F238='депозитный калькулятор'!$D$8,F238=" ")," ",D238+1))</f>
        <v xml:space="preserve"> </v>
      </c>
      <c r="E239" s="130" t="str">
        <f>IF(OR(F238='депозитный калькулятор'!$D$8,F238=" ")," ",IF(EOMONTH(F238,0)=F238,1,E238+1))</f>
        <v xml:space="preserve"> </v>
      </c>
      <c r="F239" s="64" t="str">
        <f>IF(F238=" "," ",IF(F238='депозитный калькулятор'!$D$8," ",F238+1))</f>
        <v xml:space="preserve"> </v>
      </c>
      <c r="G239" s="145" t="str">
        <f xml:space="preserve"> IF(F239&gt;'депозитный калькулятор'!$D$8," ",IF('депозитный калькулятор'!$G$13="есть",IF('депозитный калькулятор'!$G$14="есть",G238+IF(I238=" ",0,I238)-J239-K239+L239+M239-N239,G238+IF(I238=" ",0,I238)-J239-K239+M239-N239),IF('депозитный калькулятор'!$G$14="есть",G238-J239-K239+L239+M239-N239,G238-J239-K239+M239-N239)))</f>
        <v xml:space="preserve"> </v>
      </c>
      <c r="H239" s="133" t="str">
        <f>IF(F239&gt;'депозитный калькулятор'!$D$8," ",IF(AND(OR('депозитный калькулятор'!$G$7="30/365",'депозитный калькулятор'!$G$7="30/360"),AND(MONTH(F239)=2,EOMONTH(F239,0)=F239)),IF(DAY(F239)=28,3*G239*'депозитный калькулятор'!$G$8,2*G239*'депозитный калькулятор'!$G$8),IF(AND(OR('депозитный калькулятор'!$G$7="30/365",'депозитный калькулятор'!$G$7="30/360"),DAY(F239)=31)," ",IF(AND('депозитный калькулятор'!$G$7="факт/факт",MOD(YEAR(F239),4)=0),G239*'депозитный калькулятор'!$D$11/366,G239*'депозитный калькулятор'!$G$8))))</f>
        <v xml:space="preserve"> </v>
      </c>
      <c r="I239" s="134" t="str">
        <f ca="1">IF(F239=" "," ",IF('депозитный калькулятор'!$G$10="ежедневное",H239,IF(AND('депозитный калькулятор'!$G$10="еженедельное",WEEKDAY(F239,2)=7),SUM(OFFSET(H239,-6,0):H239),IF(AND('депозитный калькулятор'!$G$10="еженедельное",F239='депозитный калькулятор'!$D$8),SUM($H$23:H239)-SUM($I$23:I238),IF(AND('депозитный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недели",WEEKDAY(F239,2)=7),MIN(OFFSET(H239,-6,0):H239)*(COUNTIF(OFFSET(H239,-6,0):H239,"&gt;0")+SUMIF(OFFSET(A239,-WEEKDAY(F239,2),0):A239,"=2",OFFSET(A239,-WEEKDAY(F239,2),0):A239)),IF(AND('депозитный калькулятор'!$G$10="еженедельное, на минимальную сумму зафиксированную в течение недели",F239='депозитный калькулятор'!$D$8,WEEKDAY(F239,2)&lt;&gt;7),MIN(OFFSET(H239,-WEEKDAY(F239,2),0):H239)*(COUNTIF(OFFSET(H239,-WEEKDAY(F239,2)+1,0):H239,"&gt;0")+SUM(OFFSET(A239,-WEEKDAY(F239,2),0):A239)),IF(AND('депозитный калькулятор'!$G$10="ежемесячное (в конце месяца)",F239='депозитный калькулятор'!$D$8,EOMONTH(F239,0)&lt;&gt;F239),IF('депозитный калькулятор'!$F$1=1,$H$24,SUM($H$23:H239)-SUM($I$23:I238)),IF(AND('депозитный калькулятор'!$G$10="ежемесячное (в конце месяца)",EOMONTH(F239,0)=F239),SUM($H$23:H239)-SUM($I$23:I238),IF(AND('депозитный калькулятор'!$G$10="ежемесячное (по дням открытия вклада)",F239='депозитный калькулятор'!$D$8,DAY('депозитный калькулятор'!$D$7)&lt;&gt;DAY(F239)),IF('депозитный калькулятор'!$F$1=1,$H$24,SUM($H$23:H239)-SUM($I$23:I238)),IF(AND('депозитный калькулятор'!$G$10="ежемесячное (по дням открытия вклада)",DAY('депозитный калькулятор'!$D$7)=DAY(F239)),SUM($H$23:H239)-SUM($I$23:I238),IF(AND('депозитный калькулятор'!$G$10="ежемесячное, на минимальную сумму зафиксированную в течение месяца",F239='депозитный калькулятор'!$D$8,EOMONTH(F239,0)&lt;&gt;F239),IF('депозитный калькулятор'!$F$1=1,$H$24,IF(AND(OR('депозитный калькулятор'!$G$7="30/365",'депозитный калькулятор'!$G$7="30/360"),DAY(F239)=31),0,MIN(OFFSET(H239,-E239+1,0):H239)*(E239+SUMIF(OFFSET(A239,-E239+1,0):A239,"=2",OFFSET(A239,-E239+1,0):A239)))),IF(AND('депозитный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калькулятор'!$G$7="30/360"),DAY(EOMONTH(F239,0))=31),EOMONTH(F239,0)-1=F239,EOMONTH(F239,0)=F239)),IF(IF(AND(OR('депозитный калькулятор'!$G$7="30/365",'депозитный калькулятор'!$G$7="30/360"),DAY(EOMONTH($F$23,0))=31),F239=EOMONTH($F$23,0)-1,F239=EOMONTH($F$23,0)),MIN(OFFSET(H239,-(DAY(F239)-DAY($F$23)),0):H239)*E239,MIN(OFFSET(H239,-(DAY(F239)-1),0):H239)*IF(AND(OR('депозитный калькулятор'!$G$7="30/365",'депозитный калькулятор'!$G$7="30/360"),DAY(F239)&lt;30),30,DAY(F239))),IF(AND('депозитный калькулятор'!$G$10="ежемесячное, на средний остаток в течение месяца, при условии что остаток больше чем ограничение",F239='депозитный калькулятор'!$D$8,EOMONTH(F239,0)&lt;&gt;F239),IF('депозитный калькулятор'!$F$1=1,$H$24,SUM(OFFSET(Q239,-E239+1,0):Q239)),IF(AND('депозитный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калькулятор'!$G$7="30/360"),DAY(EOMONTH(F239,0))=31),EOMONTH(F239,0)-1=F239,EOMONTH(F239,0)=F239)),IF(IF(AND(OR('депозитный калькулятор'!$G$7="30/365",'депозитный калькулятор'!$G$7="30/360"),DAY(EOMONTH($F$24,0))=31),F239=EOMONTH($F$24,0)-1,F239=EOMONTH($F$24,0)),SUM(OFFSET(Q239,-E239+1,0):Q239),SUM(OFFSET(Q239,-E239+1,0):Q239)),IF('депозитный калькулятор'!$G$10="ежеквартальное",IF(F239&gt;'депозитный калькулятор'!$D$8," ",IF(AND(EOMONTH(F239,0)=F239,OR(MONTH(F239)=3,MONTH(F239)=6,MONTH(F239)=9,MONTH(F239)=12)),IF(EDATE(F239,-3)&lt;'депозитный калькулятор'!$D$7,SUM($H$23:H239),IF(MOD(YEAR(F239),4)=0,IF(AND(EOMONTH(F239,0)=F239,OR(MONTH(F239)=3,MONTH(F239)=6)),SUM(OFFSET(H239,-90,0):H239),IF(AND(EOMONTH(F239,0)=F239,OR(MONTH(F239)=9,MONTH(F239)=12)),SUM(OFFSET(H239,-91,0):H239))),IF(AND(EOMONTH(F239,0)=F239,MONTH(F239)=3),SUM(OFFSET(H239,-89,0):H239),IF(AND(EOMONTH(F239,0)=F239,MONTH(F239)=6),SUM(OFFSET(H239,-90,0):H239),IF(AND(EOMONTH(F239,0)=F239,OR(MONTH(F239)=9,MONTH(F239)=12)),SUM(OFFSET(H239,-91,0):H239)))))),IF(F239='депозитный калькулятор'!$D$8,SUM($H$23:H239)-SUM($I$23:I238),0))),IF('депозитный калькулятор'!$G$10="ежегодное",IF(F239&gt;'депозитный калькулятор'!$D$8," ",IF(F239='депозитный калькулятор'!$D$8,SUM($H$23:H239)-SUM($I$23:I238),IF(AND(EOMONTH(F239,0)=F239,MONTH(F239)=12),IF(MOD(YEAR(F238),4)=0,IF(F239-'депозитный калькулятор'!$D$7&lt;366,SUM($H$23:H239),SUM(OFFSET(H239,-365,0):H239)),IF(F239-'депозитный калькулятор'!$D$7&lt;365,SUM($H$23:H239),SUM(OFFSET(H239,-364,0):H239))),0))),IF(AND('депозитный калькулятор'!$G$10="в конце срока",'депозитный калькулятор'!$D$8=F239),SUM($H$23:H239),0))))))))))))))))))</f>
        <v xml:space="preserve"> </v>
      </c>
      <c r="J239" s="59" t="str">
        <f>IF(F239&gt;'депозитный калькулятор'!$D$8," ",IF('депозитный калькулятор'!$G$16="нет",0,IF(AND('депозитный калькулятор'!$G$17="разовая (в конце срока)",F239='депозитный калькулятор'!$D$8),'депозитный калькулятор'!$G$18,IF(AND('депозитный калькулятор'!$G$17="ежемесячная",EOMONTH(F238,0)=F238),'депозитный калькулятор'!$G$18,IF(AND('депозитный калькулятор'!$G$17="ежегодная",DAY(F238)=31,MONTH(F238)=12),'депозитный калькулятор'!$G$18,IF(AND('депозитный калькулятор'!$G$17="ежемесячная в зависимости от остатка",EOMONTH(F238,0)=F238,P238&gt;0),'депозитный калькулятор'!$G$18,IF(AND('депозитный калькулятор'!$G$17="ежегодная в зависимости от остатка",DAY(F238)=31,MONTH(F238)=12,P238&gt;0),'депозитный калькулятор'!$G$18,0)))))))</f>
        <v xml:space="preserve"> </v>
      </c>
      <c r="K239" s="135" t="str">
        <f>IF($F239=" "," ",IFERROR(VLOOKUP($F239,'депозитный калькулятор'!$B$26:$F$70,2,0),0))</f>
        <v xml:space="preserve"> </v>
      </c>
      <c r="L239" s="135" t="str">
        <f>IF($F239=" "," ",IFERROR(VLOOKUP($F239,'депозитный калькулятор'!$B$26:$F$70,3,0),0))</f>
        <v xml:space="preserve"> </v>
      </c>
      <c r="M239" s="135" t="str">
        <f>IF($F239=" "," ",IFERROR(VLOOKUP($F239,'депозитный калькулятор'!$B$26:$F$70,4,0),0))</f>
        <v xml:space="preserve"> </v>
      </c>
      <c r="N239" s="135" t="str">
        <f>IF($F239=" "," ",IFERROR(VLOOKUP($F239,'депозитный калькулятор'!$B$26:$F$70,5,0),0))</f>
        <v xml:space="preserve"> </v>
      </c>
      <c r="O239" s="146" t="str">
        <f>IF(F239&gt;'депозитный калькулятор'!$D$8," ",IF(F239='депозитный калькулятор'!$D$8,IF(AND($F$24='депозитный калькулятор'!$D$8,'депозитный калькулятор'!$G$13="нет"),-G239-IF(I239=" ",0,I239)-IF(AND(OR('депозитный калькулятор'!$G$7="30/365",'депозитный калькулятор'!$G$7="30/360"),'депозитный калькулятор'!$G$10="в начале срока"),I238,0)-L239+M239-N239,-G239-IF(I239=" ",0,I239)-L239+M239-N239),IF('депозитный калькулятор'!$G$13="есть",M239-N239+IF('депозитный калькулятор'!$G$14="есть",0,-L239),-IF(I239=" ",0,I239)-IF(AND(OR('депозитный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срока"),I238,0)+M239-N239+IF('депозитный калькулятор'!$G$14="есть",0,-L239))))</f>
        <v xml:space="preserve"> </v>
      </c>
      <c r="P239" s="147" t="str">
        <f>IF(F239&gt;'депозитный калькулятор'!$D$8," ",IF(EOMONTH(F238,0)=F238,0,IF(G239&gt;='депозитный калькулятор'!$G$19,P238,P238+1)))</f>
        <v xml:space="preserve"> </v>
      </c>
      <c r="Q239" s="138" t="str">
        <f>IF(F239=" "," ",IF(AND(OR('депозитный калькулятор'!$G$7="30/365",'депозитный калькулятор'!$G$7="30/360"),AND(MONTH(F239)=2,EOMONTH(F239,0)=F239)),IF(DAY(F239)=28,3,2),1)*IF(G239&gt;='депозитный калькулятор'!$G$11,IF(AND('депозитный калькулятор'!$G$7="факт/факт",MOD(YEAR(F239),4)=0),G239*'депозитный калькулятор'!$D$11/366,G239*'депозитный калькулятор'!$G$8),0))</f>
        <v xml:space="preserve"> </v>
      </c>
      <c r="R239" s="148"/>
      <c r="S239" s="62" t="str">
        <f t="shared" ca="1" si="17"/>
        <v xml:space="preserve"> </v>
      </c>
      <c r="T239" s="149" t="str">
        <f ca="1">IF(S239=" "," ",IF('депозитный калькулятор'!$G$7="30/360",DAYS360(U238,IF(DAY(U239)=31,U239-1,U239))+IF(AND(MONTH(U239)=2,U239=EOMONTH(U239,0)),30-DAY(EOMONTH(U239,0)))+T238,VLOOKUP(S239,$C$22:$F$1023,2,0)))</f>
        <v xml:space="preserve"> </v>
      </c>
      <c r="U239" s="64" t="str">
        <f t="shared" ca="1" si="15"/>
        <v xml:space="preserve"> </v>
      </c>
      <c r="V239" s="150" t="str">
        <f t="shared" ca="1" si="18"/>
        <v xml:space="preserve"> </v>
      </c>
      <c r="W239" s="62" t="str">
        <f t="shared" ca="1" si="19"/>
        <v xml:space="preserve"> </v>
      </c>
      <c r="X239" s="141" t="str">
        <f ca="1">IF(S239=" "," ",IFERROR(VLOOKUP(U239,$F$23:$N$1023,7)+VLOOKUP(U239,$F$23:$N$1023,9)+IF(AND('депозитный калькулятор'!$G$13="нет",U239&lt;&gt;'депозитный калькулятор'!$D$8),VLOOKUP(U239,$F$23:$N$1023,4),0),0)+IF(U239='депозитный калькулятор'!$D$8,VLOOKUP(U239,$F$23:$N$1023,2)+VLOOKUP(U239,$F$23:$N$1023,4),0))</f>
        <v xml:space="preserve"> </v>
      </c>
      <c r="Y239" s="142" t="str">
        <f ca="1">IF(S239=" "," ",W239/(1+'депозитный калькулятор'!$K$8)^(T239/IF('депозитный калькулятор'!$G$7="30/360",360,365)))</f>
        <v xml:space="preserve"> </v>
      </c>
      <c r="Z239" s="142" t="str">
        <f ca="1">IF(S239=" "," ",X239/(1+'депозитный калькулятор'!$K$8)^(T239/IF('депозитный калькулятор'!$G$7="30/360",360,365)))</f>
        <v xml:space="preserve"> </v>
      </c>
      <c r="AA239" s="151"/>
      <c r="AB239" s="151"/>
      <c r="AC239" s="155"/>
      <c r="AD239" s="155"/>
    </row>
    <row r="240" spans="1:30" s="2" customFormat="1" ht="15.5" x14ac:dyDescent="0.35">
      <c r="A240" s="41" t="str">
        <f>IF(F240=" "," ",IF(OR('депозитный калькулятор'!$G$7="30/365",'депозитный калькулятор'!$G$7="30/360"),IF(AND(MONTH(F240)=2,DAY(F240)=DAY(EOMONTH(F240,0))),30-DAY(EOMONTH(F240,0)),IF(DAY(F240)=31,1," "))," "))</f>
        <v xml:space="preserve"> </v>
      </c>
      <c r="B240" s="130" t="str">
        <f t="shared" si="16"/>
        <v xml:space="preserve"> </v>
      </c>
      <c r="C240" s="130" t="str">
        <f>IF(OR(B240=0,B240=" ")," ",SUM($B$23:B240))</f>
        <v xml:space="preserve"> </v>
      </c>
      <c r="D240" s="62" t="str">
        <f>IF(D239=" "," ",IF(OR(F239='депозитный калькулятор'!$D$8,F239=" ")," ",D239+1))</f>
        <v xml:space="preserve"> </v>
      </c>
      <c r="E240" s="130" t="str">
        <f>IF(OR(F239='депозитный калькулятор'!$D$8,F239=" ")," ",IF(EOMONTH(F239,0)=F239,1,E239+1))</f>
        <v xml:space="preserve"> </v>
      </c>
      <c r="F240" s="64" t="str">
        <f>IF(F239=" "," ",IF(F239='депозитный калькулятор'!$D$8," ",F239+1))</f>
        <v xml:space="preserve"> </v>
      </c>
      <c r="G240" s="145" t="str">
        <f xml:space="preserve"> IF(F240&gt;'депозитный калькулятор'!$D$8," ",IF('депозитный калькулятор'!$G$13="есть",IF('депозитный калькулятор'!$G$14="есть",G239+IF(I239=" ",0,I239)-J240-K240+L240+M240-N240,G239+IF(I239=" ",0,I239)-J240-K240+M240-N240),IF('депозитный калькулятор'!$G$14="есть",G239-J240-K240+L240+M240-N240,G239-J240-K240+M240-N240)))</f>
        <v xml:space="preserve"> </v>
      </c>
      <c r="H240" s="133" t="str">
        <f>IF(F240&gt;'депозитный калькулятор'!$D$8," ",IF(AND(OR('депозитный калькулятор'!$G$7="30/365",'депозитный калькулятор'!$G$7="30/360"),AND(MONTH(F240)=2,EOMONTH(F240,0)=F240)),IF(DAY(F240)=28,3*G240*'депозитный калькулятор'!$G$8,2*G240*'депозитный калькулятор'!$G$8),IF(AND(OR('депозитный калькулятор'!$G$7="30/365",'депозитный калькулятор'!$G$7="30/360"),DAY(F240)=31)," ",IF(AND('депозитный калькулятор'!$G$7="факт/факт",MOD(YEAR(F240),4)=0),G240*'депозитный калькулятор'!$D$11/366,G240*'депозитный калькулятор'!$G$8))))</f>
        <v xml:space="preserve"> </v>
      </c>
      <c r="I240" s="134" t="str">
        <f ca="1">IF(F240=" "," ",IF('депозитный калькулятор'!$G$10="ежедневное",H240,IF(AND('депозитный калькулятор'!$G$10="еженедельное",WEEKDAY(F240,2)=7),SUM(OFFSET(H240,-6,0):H240),IF(AND('депозитный калькулятор'!$G$10="еженедельное",F240='депозитный калькулятор'!$D$8),SUM($H$23:H240)-SUM($I$23:I239),IF(AND('депозитный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недели",WEEKDAY(F240,2)=7),MIN(OFFSET(H240,-6,0):H240)*(COUNTIF(OFFSET(H240,-6,0):H240,"&gt;0")+SUMIF(OFFSET(A240,-WEEKDAY(F240,2),0):A240,"=2",OFFSET(A240,-WEEKDAY(F240,2),0):A240)),IF(AND('депозитный калькулятор'!$G$10="еженедельное, на минимальную сумму зафиксированную в течение недели",F240='депозитный калькулятор'!$D$8,WEEKDAY(F240,2)&lt;&gt;7),MIN(OFFSET(H240,-WEEKDAY(F240,2),0):H240)*(COUNTIF(OFFSET(H240,-WEEKDAY(F240,2)+1,0):H240,"&gt;0")+SUM(OFFSET(A240,-WEEKDAY(F240,2),0):A240)),IF(AND('депозитный калькулятор'!$G$10="ежемесячное (в конце месяца)",F240='депозитный калькулятор'!$D$8,EOMONTH(F240,0)&lt;&gt;F240),IF('депозитный калькулятор'!$F$1=1,$H$24,SUM($H$23:H240)-SUM($I$23:I239)),IF(AND('депозитный калькулятор'!$G$10="ежемесячное (в конце месяца)",EOMONTH(F240,0)=F240),SUM($H$23:H240)-SUM($I$23:I239),IF(AND('депозитный калькулятор'!$G$10="ежемесячное (по дням открытия вклада)",F240='депозитный калькулятор'!$D$8,DAY('депозитный калькулятор'!$D$7)&lt;&gt;DAY(F240)),IF('депозитный калькулятор'!$F$1=1,$H$24,SUM($H$23:H240)-SUM($I$23:I239)),IF(AND('депозитный калькулятор'!$G$10="ежемесячное (по дням открытия вклада)",DAY('депозитный калькулятор'!$D$7)=DAY(F240)),SUM($H$23:H240)-SUM($I$23:I239),IF(AND('депозитный калькулятор'!$G$10="ежемесячное, на минимальную сумму зафиксированную в течение месяца",F240='депозитный калькулятор'!$D$8,EOMONTH(F240,0)&lt;&gt;F240),IF('депозитный калькулятор'!$F$1=1,$H$24,IF(AND(OR('депозитный калькулятор'!$G$7="30/365",'депозитный калькулятор'!$G$7="30/360"),DAY(F240)=31),0,MIN(OFFSET(H240,-E240+1,0):H240)*(E240+SUMIF(OFFSET(A240,-E240+1,0):A240,"=2",OFFSET(A240,-E240+1,0):A240)))),IF(AND('депозитный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калькулятор'!$G$7="30/360"),DAY(EOMONTH(F240,0))=31),EOMONTH(F240,0)-1=F240,EOMONTH(F240,0)=F240)),IF(IF(AND(OR('депозитный калькулятор'!$G$7="30/365",'депозитный калькулятор'!$G$7="30/360"),DAY(EOMONTH($F$23,0))=31),F240=EOMONTH($F$23,0)-1,F240=EOMONTH($F$23,0)),MIN(OFFSET(H240,-(DAY(F240)-DAY($F$23)),0):H240)*E240,MIN(OFFSET(H240,-(DAY(F240)-1),0):H240)*IF(AND(OR('депозитный калькулятор'!$G$7="30/365",'депозитный калькулятор'!$G$7="30/360"),DAY(F240)&lt;30),30,DAY(F240))),IF(AND('депозитный калькулятор'!$G$10="ежемесячное, на средний остаток в течение месяца, при условии что остаток больше чем ограничение",F240='депозитный калькулятор'!$D$8,EOMONTH(F240,0)&lt;&gt;F240),IF('депозитный калькулятор'!$F$1=1,$H$24,SUM(OFFSET(Q240,-E240+1,0):Q240)),IF(AND('депозитный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калькулятор'!$G$7="30/360"),DAY(EOMONTH(F240,0))=31),EOMONTH(F240,0)-1=F240,EOMONTH(F240,0)=F240)),IF(IF(AND(OR('депозитный калькулятор'!$G$7="30/365",'депозитный калькулятор'!$G$7="30/360"),DAY(EOMONTH($F$24,0))=31),F240=EOMONTH($F$24,0)-1,F240=EOMONTH($F$24,0)),SUM(OFFSET(Q240,-E240+1,0):Q240),SUM(OFFSET(Q240,-E240+1,0):Q240)),IF('депозитный калькулятор'!$G$10="ежеквартальное",IF(F240&gt;'депозитный калькулятор'!$D$8," ",IF(AND(EOMONTH(F240,0)=F240,OR(MONTH(F240)=3,MONTH(F240)=6,MONTH(F240)=9,MONTH(F240)=12)),IF(EDATE(F240,-3)&lt;'депозитный калькулятор'!$D$7,SUM($H$23:H240),IF(MOD(YEAR(F240),4)=0,IF(AND(EOMONTH(F240,0)=F240,OR(MONTH(F240)=3,MONTH(F240)=6)),SUM(OFFSET(H240,-90,0):H240),IF(AND(EOMONTH(F240,0)=F240,OR(MONTH(F240)=9,MONTH(F240)=12)),SUM(OFFSET(H240,-91,0):H240))),IF(AND(EOMONTH(F240,0)=F240,MONTH(F240)=3),SUM(OFFSET(H240,-89,0):H240),IF(AND(EOMONTH(F240,0)=F240,MONTH(F240)=6),SUM(OFFSET(H240,-90,0):H240),IF(AND(EOMONTH(F240,0)=F240,OR(MONTH(F240)=9,MONTH(F240)=12)),SUM(OFFSET(H240,-91,0):H240)))))),IF(F240='депозитный калькулятор'!$D$8,SUM($H$23:H240)-SUM($I$23:I239),0))),IF('депозитный калькулятор'!$G$10="ежегодное",IF(F240&gt;'депозитный калькулятор'!$D$8," ",IF(F240='депозитный калькулятор'!$D$8,SUM($H$23:H240)-SUM($I$23:I239),IF(AND(EOMONTH(F240,0)=F240,MONTH(F240)=12),IF(MOD(YEAR(F239),4)=0,IF(F240-'депозитный калькулятор'!$D$7&lt;366,SUM($H$23:H240),SUM(OFFSET(H240,-365,0):H240)),IF(F240-'депозитный калькулятор'!$D$7&lt;365,SUM($H$23:H240),SUM(OFFSET(H240,-364,0):H240))),0))),IF(AND('депозитный калькулятор'!$G$10="в конце срока",'депозитный калькулятор'!$D$8=F240),SUM($H$23:H240),0))))))))))))))))))</f>
        <v xml:space="preserve"> </v>
      </c>
      <c r="J240" s="59" t="str">
        <f>IF(F240&gt;'депозитный калькулятор'!$D$8," ",IF('депозитный калькулятор'!$G$16="нет",0,IF(AND('депозитный калькулятор'!$G$17="разовая (в конце срока)",F240='депозитный калькулятор'!$D$8),'депозитный калькулятор'!$G$18,IF(AND('депозитный калькулятор'!$G$17="ежемесячная",EOMONTH(F239,0)=F239),'депозитный калькулятор'!$G$18,IF(AND('депозитный калькулятор'!$G$17="ежегодная",DAY(F239)=31,MONTH(F239)=12),'депозитный калькулятор'!$G$18,IF(AND('депозитный калькулятор'!$G$17="ежемесячная в зависимости от остатка",EOMONTH(F239,0)=F239,P239&gt;0),'депозитный калькулятор'!$G$18,IF(AND('депозитный калькулятор'!$G$17="ежегодная в зависимости от остатка",DAY(F239)=31,MONTH(F239)=12,P239&gt;0),'депозитный калькулятор'!$G$18,0)))))))</f>
        <v xml:space="preserve"> </v>
      </c>
      <c r="K240" s="135" t="str">
        <f>IF($F240=" "," ",IFERROR(VLOOKUP($F240,'депозитный калькулятор'!$B$26:$F$70,2,0),0))</f>
        <v xml:space="preserve"> </v>
      </c>
      <c r="L240" s="135" t="str">
        <f>IF($F240=" "," ",IFERROR(VLOOKUP($F240,'депозитный калькулятор'!$B$26:$F$70,3,0),0))</f>
        <v xml:space="preserve"> </v>
      </c>
      <c r="M240" s="135" t="str">
        <f>IF($F240=" "," ",IFERROR(VLOOKUP($F240,'депозитный калькулятор'!$B$26:$F$70,4,0),0))</f>
        <v xml:space="preserve"> </v>
      </c>
      <c r="N240" s="135" t="str">
        <f>IF($F240=" "," ",IFERROR(VLOOKUP($F240,'депозитный калькулятор'!$B$26:$F$70,5,0),0))</f>
        <v xml:space="preserve"> </v>
      </c>
      <c r="O240" s="146" t="str">
        <f>IF(F240&gt;'депозитный калькулятор'!$D$8," ",IF(F240='депозитный калькулятор'!$D$8,IF(AND($F$24='депозитный калькулятор'!$D$8,'депозитный калькулятор'!$G$13="нет"),-G240-IF(I240=" ",0,I240)-IF(AND(OR('депозитный калькулятор'!$G$7="30/365",'депозитный калькулятор'!$G$7="30/360"),'депозитный калькулятор'!$G$10="в начале срока"),I239,0)-L240+M240-N240,-G240-IF(I240=" ",0,I240)-L240+M240-N240),IF('депозитный калькулятор'!$G$13="есть",M240-N240+IF('депозитный калькулятор'!$G$14="есть",0,-L240),-IF(I240=" ",0,I240)-IF(AND(OR('депозитный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срока"),I239,0)+M240-N240+IF('депозитный калькулятор'!$G$14="есть",0,-L240))))</f>
        <v xml:space="preserve"> </v>
      </c>
      <c r="P240" s="147" t="str">
        <f>IF(F240&gt;'депозитный калькулятор'!$D$8," ",IF(EOMONTH(F239,0)=F239,0,IF(G240&gt;='депозитный калькулятор'!$G$19,P239,P239+1)))</f>
        <v xml:space="preserve"> </v>
      </c>
      <c r="Q240" s="138" t="str">
        <f>IF(F240=" "," ",IF(AND(OR('депозитный калькулятор'!$G$7="30/365",'депозитный калькулятор'!$G$7="30/360"),AND(MONTH(F240)=2,EOMONTH(F240,0)=F240)),IF(DAY(F240)=28,3,2),1)*IF(G240&gt;='депозитный калькулятор'!$G$11,IF(AND('депозитный калькулятор'!$G$7="факт/факт",MOD(YEAR(F240),4)=0),G240*'депозитный калькулятор'!$D$11/366,G240*'депозитный калькулятор'!$G$8),0))</f>
        <v xml:space="preserve"> </v>
      </c>
      <c r="R240" s="148"/>
      <c r="S240" s="62" t="str">
        <f t="shared" ca="1" si="17"/>
        <v xml:space="preserve"> </v>
      </c>
      <c r="T240" s="149" t="str">
        <f ca="1">IF(S240=" "," ",IF('депозитный калькулятор'!$G$7="30/360",DAYS360(U239,IF(DAY(U240)=31,U240-1,U240))+IF(AND(MONTH(U240)=2,U240=EOMONTH(U240,0)),30-DAY(EOMONTH(U240,0)))+T239,VLOOKUP(S240,$C$22:$F$1023,2,0)))</f>
        <v xml:space="preserve"> </v>
      </c>
      <c r="U240" s="64" t="str">
        <f t="shared" ca="1" si="15"/>
        <v xml:space="preserve"> </v>
      </c>
      <c r="V240" s="150" t="str">
        <f t="shared" ca="1" si="18"/>
        <v xml:space="preserve"> </v>
      </c>
      <c r="W240" s="62" t="str">
        <f t="shared" ca="1" si="19"/>
        <v xml:space="preserve"> </v>
      </c>
      <c r="X240" s="141" t="str">
        <f ca="1">IF(S240=" "," ",IFERROR(VLOOKUP(U240,$F$23:$N$1023,7)+VLOOKUP(U240,$F$23:$N$1023,9)+IF(AND('депозитный калькулятор'!$G$13="нет",U240&lt;&gt;'депозитный калькулятор'!$D$8),VLOOKUP(U240,$F$23:$N$1023,4),0),0)+IF(U240='депозитный калькулятор'!$D$8,VLOOKUP(U240,$F$23:$N$1023,2)+VLOOKUP(U240,$F$23:$N$1023,4),0))</f>
        <v xml:space="preserve"> </v>
      </c>
      <c r="Y240" s="142" t="str">
        <f ca="1">IF(S240=" "," ",W240/(1+'депозитный калькулятор'!$K$8)^(T240/IF('депозитный калькулятор'!$G$7="30/360",360,365)))</f>
        <v xml:space="preserve"> </v>
      </c>
      <c r="Z240" s="142" t="str">
        <f ca="1">IF(S240=" "," ",X240/(1+'депозитный калькулятор'!$K$8)^(T240/IF('депозитный калькулятор'!$G$7="30/360",360,365)))</f>
        <v xml:space="preserve"> </v>
      </c>
      <c r="AA240" s="151"/>
      <c r="AB240" s="151"/>
      <c r="AC240" s="155"/>
      <c r="AD240" s="155"/>
    </row>
    <row r="241" spans="1:30" s="2" customFormat="1" ht="15.5" x14ac:dyDescent="0.35">
      <c r="A241" s="41" t="str">
        <f>IF(F241=" "," ",IF(OR('депозитный калькулятор'!$G$7="30/365",'депозитный калькулятор'!$G$7="30/360"),IF(AND(MONTH(F241)=2,DAY(F241)=DAY(EOMONTH(F241,0))),30-DAY(EOMONTH(F241,0)),IF(DAY(F241)=31,1," "))," "))</f>
        <v xml:space="preserve"> </v>
      </c>
      <c r="B241" s="130" t="str">
        <f t="shared" si="16"/>
        <v xml:space="preserve"> </v>
      </c>
      <c r="C241" s="130" t="str">
        <f>IF(OR(B241=0,B241=" ")," ",SUM($B$23:B241))</f>
        <v xml:space="preserve"> </v>
      </c>
      <c r="D241" s="62" t="str">
        <f>IF(D240=" "," ",IF(OR(F240='депозитный калькулятор'!$D$8,F240=" ")," ",D240+1))</f>
        <v xml:space="preserve"> </v>
      </c>
      <c r="E241" s="130" t="str">
        <f>IF(OR(F240='депозитный калькулятор'!$D$8,F240=" ")," ",IF(EOMONTH(F240,0)=F240,1,E240+1))</f>
        <v xml:space="preserve"> </v>
      </c>
      <c r="F241" s="64" t="str">
        <f>IF(F240=" "," ",IF(F240='депозитный калькулятор'!$D$8," ",F240+1))</f>
        <v xml:space="preserve"> </v>
      </c>
      <c r="G241" s="145" t="str">
        <f xml:space="preserve"> IF(F241&gt;'депозитный калькулятор'!$D$8," ",IF('депозитный калькулятор'!$G$13="есть",IF('депозитный калькулятор'!$G$14="есть",G240+IF(I240=" ",0,I240)-J241-K241+L241+M241-N241,G240+IF(I240=" ",0,I240)-J241-K241+M241-N241),IF('депозитный калькулятор'!$G$14="есть",G240-J241-K241+L241+M241-N241,G240-J241-K241+M241-N241)))</f>
        <v xml:space="preserve"> </v>
      </c>
      <c r="H241" s="133" t="str">
        <f>IF(F241&gt;'депозитный калькулятор'!$D$8," ",IF(AND(OR('депозитный калькулятор'!$G$7="30/365",'депозитный калькулятор'!$G$7="30/360"),AND(MONTH(F241)=2,EOMONTH(F241,0)=F241)),IF(DAY(F241)=28,3*G241*'депозитный калькулятор'!$G$8,2*G241*'депозитный калькулятор'!$G$8),IF(AND(OR('депозитный калькулятор'!$G$7="30/365",'депозитный калькулятор'!$G$7="30/360"),DAY(F241)=31)," ",IF(AND('депозитный калькулятор'!$G$7="факт/факт",MOD(YEAR(F241),4)=0),G241*'депозитный калькулятор'!$D$11/366,G241*'депозитный калькулятор'!$G$8))))</f>
        <v xml:space="preserve"> </v>
      </c>
      <c r="I241" s="134" t="str">
        <f ca="1">IF(F241=" "," ",IF('депозитный калькулятор'!$G$10="ежедневное",H241,IF(AND('депозитный калькулятор'!$G$10="еженедельное",WEEKDAY(F241,2)=7),SUM(OFFSET(H241,-6,0):H241),IF(AND('депозитный калькулятор'!$G$10="еженедельное",F241='депозитный калькулятор'!$D$8),SUM($H$23:H241)-SUM($I$23:I240),IF(AND('депозитный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недели",WEEKDAY(F241,2)=7),MIN(OFFSET(H241,-6,0):H241)*(COUNTIF(OFFSET(H241,-6,0):H241,"&gt;0")+SUMIF(OFFSET(A241,-WEEKDAY(F241,2),0):A241,"=2",OFFSET(A241,-WEEKDAY(F241,2),0):A241)),IF(AND('депозитный калькулятор'!$G$10="еженедельное, на минимальную сумму зафиксированную в течение недели",F241='депозитный калькулятор'!$D$8,WEEKDAY(F241,2)&lt;&gt;7),MIN(OFFSET(H241,-WEEKDAY(F241,2),0):H241)*(COUNTIF(OFFSET(H241,-WEEKDAY(F241,2)+1,0):H241,"&gt;0")+SUM(OFFSET(A241,-WEEKDAY(F241,2),0):A241)),IF(AND('депозитный калькулятор'!$G$10="ежемесячное (в конце месяца)",F241='депозитный калькулятор'!$D$8,EOMONTH(F241,0)&lt;&gt;F241),IF('депозитный калькулятор'!$F$1=1,$H$24,SUM($H$23:H241)-SUM($I$23:I240)),IF(AND('депозитный калькулятор'!$G$10="ежемесячное (в конце месяца)",EOMONTH(F241,0)=F241),SUM($H$23:H241)-SUM($I$23:I240),IF(AND('депозитный калькулятор'!$G$10="ежемесячное (по дням открытия вклада)",F241='депозитный калькулятор'!$D$8,DAY('депозитный калькулятор'!$D$7)&lt;&gt;DAY(F241)),IF('депозитный калькулятор'!$F$1=1,$H$24,SUM($H$23:H241)-SUM($I$23:I240)),IF(AND('депозитный калькулятор'!$G$10="ежемесячное (по дням открытия вклада)",DAY('депозитный калькулятор'!$D$7)=DAY(F241)),SUM($H$23:H241)-SUM($I$23:I240),IF(AND('депозитный калькулятор'!$G$10="ежемесячное, на минимальную сумму зафиксированную в течение месяца",F241='депозитный калькулятор'!$D$8,EOMONTH(F241,0)&lt;&gt;F241),IF('депозитный калькулятор'!$F$1=1,$H$24,IF(AND(OR('депозитный калькулятор'!$G$7="30/365",'депозитный калькулятор'!$G$7="30/360"),DAY(F241)=31),0,MIN(OFFSET(H241,-E241+1,0):H241)*(E241+SUMIF(OFFSET(A241,-E241+1,0):A241,"=2",OFFSET(A241,-E241+1,0):A241)))),IF(AND('депозитный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калькулятор'!$G$7="30/360"),DAY(EOMONTH(F241,0))=31),EOMONTH(F241,0)-1=F241,EOMONTH(F241,0)=F241)),IF(IF(AND(OR('депозитный калькулятор'!$G$7="30/365",'депозитный калькулятор'!$G$7="30/360"),DAY(EOMONTH($F$23,0))=31),F241=EOMONTH($F$23,0)-1,F241=EOMONTH($F$23,0)),MIN(OFFSET(H241,-(DAY(F241)-DAY($F$23)),0):H241)*E241,MIN(OFFSET(H241,-(DAY(F241)-1),0):H241)*IF(AND(OR('депозитный калькулятор'!$G$7="30/365",'депозитный калькулятор'!$G$7="30/360"),DAY(F241)&lt;30),30,DAY(F241))),IF(AND('депозитный калькулятор'!$G$10="ежемесячное, на средний остаток в течение месяца, при условии что остаток больше чем ограничение",F241='депозитный калькулятор'!$D$8,EOMONTH(F241,0)&lt;&gt;F241),IF('депозитный калькулятор'!$F$1=1,$H$24,SUM(OFFSET(Q241,-E241+1,0):Q241)),IF(AND('депозитный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калькулятор'!$G$7="30/360"),DAY(EOMONTH(F241,0))=31),EOMONTH(F241,0)-1=F241,EOMONTH(F241,0)=F241)),IF(IF(AND(OR('депозитный калькулятор'!$G$7="30/365",'депозитный калькулятор'!$G$7="30/360"),DAY(EOMONTH($F$24,0))=31),F241=EOMONTH($F$24,0)-1,F241=EOMONTH($F$24,0)),SUM(OFFSET(Q241,-E241+1,0):Q241),SUM(OFFSET(Q241,-E241+1,0):Q241)),IF('депозитный калькулятор'!$G$10="ежеквартальное",IF(F241&gt;'депозитный калькулятор'!$D$8," ",IF(AND(EOMONTH(F241,0)=F241,OR(MONTH(F241)=3,MONTH(F241)=6,MONTH(F241)=9,MONTH(F241)=12)),IF(EDATE(F241,-3)&lt;'депозитный калькулятор'!$D$7,SUM($H$23:H241),IF(MOD(YEAR(F241),4)=0,IF(AND(EOMONTH(F241,0)=F241,OR(MONTH(F241)=3,MONTH(F241)=6)),SUM(OFFSET(H241,-90,0):H241),IF(AND(EOMONTH(F241,0)=F241,OR(MONTH(F241)=9,MONTH(F241)=12)),SUM(OFFSET(H241,-91,0):H241))),IF(AND(EOMONTH(F241,0)=F241,MONTH(F241)=3),SUM(OFFSET(H241,-89,0):H241),IF(AND(EOMONTH(F241,0)=F241,MONTH(F241)=6),SUM(OFFSET(H241,-90,0):H241),IF(AND(EOMONTH(F241,0)=F241,OR(MONTH(F241)=9,MONTH(F241)=12)),SUM(OFFSET(H241,-91,0):H241)))))),IF(F241='депозитный калькулятор'!$D$8,SUM($H$23:H241)-SUM($I$23:I240),0))),IF('депозитный калькулятор'!$G$10="ежегодное",IF(F241&gt;'депозитный калькулятор'!$D$8," ",IF(F241='депозитный калькулятор'!$D$8,SUM($H$23:H241)-SUM($I$23:I240),IF(AND(EOMONTH(F241,0)=F241,MONTH(F241)=12),IF(MOD(YEAR(F240),4)=0,IF(F241-'депозитный калькулятор'!$D$7&lt;366,SUM($H$23:H241),SUM(OFFSET(H241,-365,0):H241)),IF(F241-'депозитный калькулятор'!$D$7&lt;365,SUM($H$23:H241),SUM(OFFSET(H241,-364,0):H241))),0))),IF(AND('депозитный калькулятор'!$G$10="в конце срока",'депозитный калькулятор'!$D$8=F241),SUM($H$23:H241),0))))))))))))))))))</f>
        <v xml:space="preserve"> </v>
      </c>
      <c r="J241" s="59" t="str">
        <f>IF(F241&gt;'депозитный калькулятор'!$D$8," ",IF('депозитный калькулятор'!$G$16="нет",0,IF(AND('депозитный калькулятор'!$G$17="разовая (в конце срока)",F241='депозитный калькулятор'!$D$8),'депозитный калькулятор'!$G$18,IF(AND('депозитный калькулятор'!$G$17="ежемесячная",EOMONTH(F240,0)=F240),'депозитный калькулятор'!$G$18,IF(AND('депозитный калькулятор'!$G$17="ежегодная",DAY(F240)=31,MONTH(F240)=12),'депозитный калькулятор'!$G$18,IF(AND('депозитный калькулятор'!$G$17="ежемесячная в зависимости от остатка",EOMONTH(F240,0)=F240,P240&gt;0),'депозитный калькулятор'!$G$18,IF(AND('депозитный калькулятор'!$G$17="ежегодная в зависимости от остатка",DAY(F240)=31,MONTH(F240)=12,P240&gt;0),'депозитный калькулятор'!$G$18,0)))))))</f>
        <v xml:space="preserve"> </v>
      </c>
      <c r="K241" s="135" t="str">
        <f>IF($F241=" "," ",IFERROR(VLOOKUP($F241,'депозитный калькулятор'!$B$26:$F$70,2,0),0))</f>
        <v xml:space="preserve"> </v>
      </c>
      <c r="L241" s="135" t="str">
        <f>IF($F241=" "," ",IFERROR(VLOOKUP($F241,'депозитный калькулятор'!$B$26:$F$70,3,0),0))</f>
        <v xml:space="preserve"> </v>
      </c>
      <c r="M241" s="135" t="str">
        <f>IF($F241=" "," ",IFERROR(VLOOKUP($F241,'депозитный калькулятор'!$B$26:$F$70,4,0),0))</f>
        <v xml:space="preserve"> </v>
      </c>
      <c r="N241" s="135" t="str">
        <f>IF($F241=" "," ",IFERROR(VLOOKUP($F241,'депозитный калькулятор'!$B$26:$F$70,5,0),0))</f>
        <v xml:space="preserve"> </v>
      </c>
      <c r="O241" s="146" t="str">
        <f>IF(F241&gt;'депозитный калькулятор'!$D$8," ",IF(F241='депозитный калькулятор'!$D$8,IF(AND($F$24='депозитный калькулятор'!$D$8,'депозитный калькулятор'!$G$13="нет"),-G241-IF(I241=" ",0,I241)-IF(AND(OR('депозитный калькулятор'!$G$7="30/365",'депозитный калькулятор'!$G$7="30/360"),'депозитный калькулятор'!$G$10="в начале срока"),I240,0)-L241+M241-N241,-G241-IF(I241=" ",0,I241)-L241+M241-N241),IF('депозитный калькулятор'!$G$13="есть",M241-N241+IF('депозитный калькулятор'!$G$14="есть",0,-L241),-IF(I241=" ",0,I241)-IF(AND(OR('депозитный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срока"),I240,0)+M241-N241+IF('депозитный калькулятор'!$G$14="есть",0,-L241))))</f>
        <v xml:space="preserve"> </v>
      </c>
      <c r="P241" s="147" t="str">
        <f>IF(F241&gt;'депозитный калькулятор'!$D$8," ",IF(EOMONTH(F240,0)=F240,0,IF(G241&gt;='депозитный калькулятор'!$G$19,P240,P240+1)))</f>
        <v xml:space="preserve"> </v>
      </c>
      <c r="Q241" s="138" t="str">
        <f>IF(F241=" "," ",IF(AND(OR('депозитный калькулятор'!$G$7="30/365",'депозитный калькулятор'!$G$7="30/360"),AND(MONTH(F241)=2,EOMONTH(F241,0)=F241)),IF(DAY(F241)=28,3,2),1)*IF(G241&gt;='депозитный калькулятор'!$G$11,IF(AND('депозитный калькулятор'!$G$7="факт/факт",MOD(YEAR(F241),4)=0),G241*'депозитный калькулятор'!$D$11/366,G241*'депозитный калькулятор'!$G$8),0))</f>
        <v xml:space="preserve"> </v>
      </c>
      <c r="R241" s="148"/>
      <c r="S241" s="62" t="str">
        <f t="shared" ca="1" si="17"/>
        <v xml:space="preserve"> </v>
      </c>
      <c r="T241" s="149" t="str">
        <f ca="1">IF(S241=" "," ",IF('депозитный калькулятор'!$G$7="30/360",DAYS360(U240,IF(DAY(U241)=31,U241-1,U241))+IF(AND(MONTH(U241)=2,U241=EOMONTH(U241,0)),30-DAY(EOMONTH(U241,0)))+T240,VLOOKUP(S241,$C$22:$F$1023,2,0)))</f>
        <v xml:space="preserve"> </v>
      </c>
      <c r="U241" s="64" t="str">
        <f t="shared" ca="1" si="15"/>
        <v xml:space="preserve"> </v>
      </c>
      <c r="V241" s="150" t="str">
        <f t="shared" ca="1" si="18"/>
        <v xml:space="preserve"> </v>
      </c>
      <c r="W241" s="62" t="str">
        <f t="shared" ca="1" si="19"/>
        <v xml:space="preserve"> </v>
      </c>
      <c r="X241" s="141" t="str">
        <f ca="1">IF(S241=" "," ",IFERROR(VLOOKUP(U241,$F$23:$N$1023,7)+VLOOKUP(U241,$F$23:$N$1023,9)+IF(AND('депозитный калькулятор'!$G$13="нет",U241&lt;&gt;'депозитный калькулятор'!$D$8),VLOOKUP(U241,$F$23:$N$1023,4),0),0)+IF(U241='депозитный калькулятор'!$D$8,VLOOKUP(U241,$F$23:$N$1023,2)+VLOOKUP(U241,$F$23:$N$1023,4),0))</f>
        <v xml:space="preserve"> </v>
      </c>
      <c r="Y241" s="142" t="str">
        <f ca="1">IF(S241=" "," ",W241/(1+'депозитный калькулятор'!$K$8)^(T241/IF('депозитный калькулятор'!$G$7="30/360",360,365)))</f>
        <v xml:space="preserve"> </v>
      </c>
      <c r="Z241" s="142" t="str">
        <f ca="1">IF(S241=" "," ",X241/(1+'депозитный калькулятор'!$K$8)^(T241/IF('депозитный калькулятор'!$G$7="30/360",360,365)))</f>
        <v xml:space="preserve"> </v>
      </c>
      <c r="AA241" s="151"/>
      <c r="AB241" s="151"/>
      <c r="AC241" s="155"/>
      <c r="AD241" s="155"/>
    </row>
    <row r="242" spans="1:30" s="2" customFormat="1" ht="15.5" x14ac:dyDescent="0.35">
      <c r="A242" s="41" t="str">
        <f>IF(F242=" "," ",IF(OR('депозитный калькулятор'!$G$7="30/365",'депозитный калькулятор'!$G$7="30/360"),IF(AND(MONTH(F242)=2,DAY(F242)=DAY(EOMONTH(F242,0))),30-DAY(EOMONTH(F242,0)),IF(DAY(F242)=31,1," "))," "))</f>
        <v xml:space="preserve"> </v>
      </c>
      <c r="B242" s="130" t="str">
        <f t="shared" si="16"/>
        <v xml:space="preserve"> </v>
      </c>
      <c r="C242" s="130" t="str">
        <f>IF(OR(B242=0,B242=" ")," ",SUM($B$23:B242))</f>
        <v xml:space="preserve"> </v>
      </c>
      <c r="D242" s="62" t="str">
        <f>IF(D241=" "," ",IF(OR(F241='депозитный калькулятор'!$D$8,F241=" ")," ",D241+1))</f>
        <v xml:space="preserve"> </v>
      </c>
      <c r="E242" s="130" t="str">
        <f>IF(OR(F241='депозитный калькулятор'!$D$8,F241=" ")," ",IF(EOMONTH(F241,0)=F241,1,E241+1))</f>
        <v xml:space="preserve"> </v>
      </c>
      <c r="F242" s="64" t="str">
        <f>IF(F241=" "," ",IF(F241='депозитный калькулятор'!$D$8," ",F241+1))</f>
        <v xml:space="preserve"> </v>
      </c>
      <c r="G242" s="145" t="str">
        <f xml:space="preserve"> IF(F242&gt;'депозитный калькулятор'!$D$8," ",IF('депозитный калькулятор'!$G$13="есть",IF('депозитный калькулятор'!$G$14="есть",G241+IF(I241=" ",0,I241)-J242-K242+L242+M242-N242,G241+IF(I241=" ",0,I241)-J242-K242+M242-N242),IF('депозитный калькулятор'!$G$14="есть",G241-J242-K242+L242+M242-N242,G241-J242-K242+M242-N242)))</f>
        <v xml:space="preserve"> </v>
      </c>
      <c r="H242" s="133" t="str">
        <f>IF(F242&gt;'депозитный калькулятор'!$D$8," ",IF(AND(OR('депозитный калькулятор'!$G$7="30/365",'депозитный калькулятор'!$G$7="30/360"),AND(MONTH(F242)=2,EOMONTH(F242,0)=F242)),IF(DAY(F242)=28,3*G242*'депозитный калькулятор'!$G$8,2*G242*'депозитный калькулятор'!$G$8),IF(AND(OR('депозитный калькулятор'!$G$7="30/365",'депозитный калькулятор'!$G$7="30/360"),DAY(F242)=31)," ",IF(AND('депозитный калькулятор'!$G$7="факт/факт",MOD(YEAR(F242),4)=0),G242*'депозитный калькулятор'!$D$11/366,G242*'депозитный калькулятор'!$G$8))))</f>
        <v xml:space="preserve"> </v>
      </c>
      <c r="I242" s="134" t="str">
        <f ca="1">IF(F242=" "," ",IF('депозитный калькулятор'!$G$10="ежедневное",H242,IF(AND('депозитный калькулятор'!$G$10="еженедельное",WEEKDAY(F242,2)=7),SUM(OFFSET(H242,-6,0):H242),IF(AND('депозитный калькулятор'!$G$10="еженедельное",F242='депозитный калькулятор'!$D$8),SUM($H$23:H242)-SUM($I$23:I241),IF(AND('депозитный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недели",WEEKDAY(F242,2)=7),MIN(OFFSET(H242,-6,0):H242)*(COUNTIF(OFFSET(H242,-6,0):H242,"&gt;0")+SUMIF(OFFSET(A242,-WEEKDAY(F242,2),0):A242,"=2",OFFSET(A242,-WEEKDAY(F242,2),0):A242)),IF(AND('депозитный калькулятор'!$G$10="еженедельное, на минимальную сумму зафиксированную в течение недели",F242='депозитный калькулятор'!$D$8,WEEKDAY(F242,2)&lt;&gt;7),MIN(OFFSET(H242,-WEEKDAY(F242,2),0):H242)*(COUNTIF(OFFSET(H242,-WEEKDAY(F242,2)+1,0):H242,"&gt;0")+SUM(OFFSET(A242,-WEEKDAY(F242,2),0):A242)),IF(AND('депозитный калькулятор'!$G$10="ежемесячное (в конце месяца)",F242='депозитный калькулятор'!$D$8,EOMONTH(F242,0)&lt;&gt;F242),IF('депозитный калькулятор'!$F$1=1,$H$24,SUM($H$23:H242)-SUM($I$23:I241)),IF(AND('депозитный калькулятор'!$G$10="ежемесячное (в конце месяца)",EOMONTH(F242,0)=F242),SUM($H$23:H242)-SUM($I$23:I241),IF(AND('депозитный калькулятор'!$G$10="ежемесячное (по дням открытия вклада)",F242='депозитный калькулятор'!$D$8,DAY('депозитный калькулятор'!$D$7)&lt;&gt;DAY(F242)),IF('депозитный калькулятор'!$F$1=1,$H$24,SUM($H$23:H242)-SUM($I$23:I241)),IF(AND('депозитный калькулятор'!$G$10="ежемесячное (по дням открытия вклада)",DAY('депозитный калькулятор'!$D$7)=DAY(F242)),SUM($H$23:H242)-SUM($I$23:I241),IF(AND('депозитный калькулятор'!$G$10="ежемесячное, на минимальную сумму зафиксированную в течение месяца",F242='депозитный калькулятор'!$D$8,EOMONTH(F242,0)&lt;&gt;F242),IF('депозитный калькулятор'!$F$1=1,$H$24,IF(AND(OR('депозитный калькулятор'!$G$7="30/365",'депозитный калькулятор'!$G$7="30/360"),DAY(F242)=31),0,MIN(OFFSET(H242,-E242+1,0):H242)*(E242+SUMIF(OFFSET(A242,-E242+1,0):A242,"=2",OFFSET(A242,-E242+1,0):A242)))),IF(AND('депозитный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калькулятор'!$G$7="30/360"),DAY(EOMONTH(F242,0))=31),EOMONTH(F242,0)-1=F242,EOMONTH(F242,0)=F242)),IF(IF(AND(OR('депозитный калькулятор'!$G$7="30/365",'депозитный калькулятор'!$G$7="30/360"),DAY(EOMONTH($F$23,0))=31),F242=EOMONTH($F$23,0)-1,F242=EOMONTH($F$23,0)),MIN(OFFSET(H242,-(DAY(F242)-DAY($F$23)),0):H242)*E242,MIN(OFFSET(H242,-(DAY(F242)-1),0):H242)*IF(AND(OR('депозитный калькулятор'!$G$7="30/365",'депозитный калькулятор'!$G$7="30/360"),DAY(F242)&lt;30),30,DAY(F242))),IF(AND('депозитный калькулятор'!$G$10="ежемесячное, на средний остаток в течение месяца, при условии что остаток больше чем ограничение",F242='депозитный калькулятор'!$D$8,EOMONTH(F242,0)&lt;&gt;F242),IF('депозитный калькулятор'!$F$1=1,$H$24,SUM(OFFSET(Q242,-E242+1,0):Q242)),IF(AND('депозитный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калькулятор'!$G$7="30/360"),DAY(EOMONTH(F242,0))=31),EOMONTH(F242,0)-1=F242,EOMONTH(F242,0)=F242)),IF(IF(AND(OR('депозитный калькулятор'!$G$7="30/365",'депозитный калькулятор'!$G$7="30/360"),DAY(EOMONTH($F$24,0))=31),F242=EOMONTH($F$24,0)-1,F242=EOMONTH($F$24,0)),SUM(OFFSET(Q242,-E242+1,0):Q242),SUM(OFFSET(Q242,-E242+1,0):Q242)),IF('депозитный калькулятор'!$G$10="ежеквартальное",IF(F242&gt;'депозитный калькулятор'!$D$8," ",IF(AND(EOMONTH(F242,0)=F242,OR(MONTH(F242)=3,MONTH(F242)=6,MONTH(F242)=9,MONTH(F242)=12)),IF(EDATE(F242,-3)&lt;'депозитный калькулятор'!$D$7,SUM($H$23:H242),IF(MOD(YEAR(F242),4)=0,IF(AND(EOMONTH(F242,0)=F242,OR(MONTH(F242)=3,MONTH(F242)=6)),SUM(OFFSET(H242,-90,0):H242),IF(AND(EOMONTH(F242,0)=F242,OR(MONTH(F242)=9,MONTH(F242)=12)),SUM(OFFSET(H242,-91,0):H242))),IF(AND(EOMONTH(F242,0)=F242,MONTH(F242)=3),SUM(OFFSET(H242,-89,0):H242),IF(AND(EOMONTH(F242,0)=F242,MONTH(F242)=6),SUM(OFFSET(H242,-90,0):H242),IF(AND(EOMONTH(F242,0)=F242,OR(MONTH(F242)=9,MONTH(F242)=12)),SUM(OFFSET(H242,-91,0):H242)))))),IF(F242='депозитный калькулятор'!$D$8,SUM($H$23:H242)-SUM($I$23:I241),0))),IF('депозитный калькулятор'!$G$10="ежегодное",IF(F242&gt;'депозитный калькулятор'!$D$8," ",IF(F242='депозитный калькулятор'!$D$8,SUM($H$23:H242)-SUM($I$23:I241),IF(AND(EOMONTH(F242,0)=F242,MONTH(F242)=12),IF(MOD(YEAR(F241),4)=0,IF(F242-'депозитный калькулятор'!$D$7&lt;366,SUM($H$23:H242),SUM(OFFSET(H242,-365,0):H242)),IF(F242-'депозитный калькулятор'!$D$7&lt;365,SUM($H$23:H242),SUM(OFFSET(H242,-364,0):H242))),0))),IF(AND('депозитный калькулятор'!$G$10="в конце срока",'депозитный калькулятор'!$D$8=F242),SUM($H$23:H242),0))))))))))))))))))</f>
        <v xml:space="preserve"> </v>
      </c>
      <c r="J242" s="59" t="str">
        <f>IF(F242&gt;'депозитный калькулятор'!$D$8," ",IF('депозитный калькулятор'!$G$16="нет",0,IF(AND('депозитный калькулятор'!$G$17="разовая (в конце срока)",F242='депозитный калькулятор'!$D$8),'депозитный калькулятор'!$G$18,IF(AND('депозитный калькулятор'!$G$17="ежемесячная",EOMONTH(F241,0)=F241),'депозитный калькулятор'!$G$18,IF(AND('депозитный калькулятор'!$G$17="ежегодная",DAY(F241)=31,MONTH(F241)=12),'депозитный калькулятор'!$G$18,IF(AND('депозитный калькулятор'!$G$17="ежемесячная в зависимости от остатка",EOMONTH(F241,0)=F241,P241&gt;0),'депозитный калькулятор'!$G$18,IF(AND('депозитный калькулятор'!$G$17="ежегодная в зависимости от остатка",DAY(F241)=31,MONTH(F241)=12,P241&gt;0),'депозитный калькулятор'!$G$18,0)))))))</f>
        <v xml:space="preserve"> </v>
      </c>
      <c r="K242" s="135" t="str">
        <f>IF($F242=" "," ",IFERROR(VLOOKUP($F242,'депозитный калькулятор'!$B$26:$F$70,2,0),0))</f>
        <v xml:space="preserve"> </v>
      </c>
      <c r="L242" s="135" t="str">
        <f>IF($F242=" "," ",IFERROR(VLOOKUP($F242,'депозитный калькулятор'!$B$26:$F$70,3,0),0))</f>
        <v xml:space="preserve"> </v>
      </c>
      <c r="M242" s="135" t="str">
        <f>IF($F242=" "," ",IFERROR(VLOOKUP($F242,'депозитный калькулятор'!$B$26:$F$70,4,0),0))</f>
        <v xml:space="preserve"> </v>
      </c>
      <c r="N242" s="135" t="str">
        <f>IF($F242=" "," ",IFERROR(VLOOKUP($F242,'депозитный калькулятор'!$B$26:$F$70,5,0),0))</f>
        <v xml:space="preserve"> </v>
      </c>
      <c r="O242" s="146" t="str">
        <f>IF(F242&gt;'депозитный калькулятор'!$D$8," ",IF(F242='депозитный калькулятор'!$D$8,IF(AND($F$24='депозитный калькулятор'!$D$8,'депозитный калькулятор'!$G$13="нет"),-G242-IF(I242=" ",0,I242)-IF(AND(OR('депозитный калькулятор'!$G$7="30/365",'депозитный калькулятор'!$G$7="30/360"),'депозитный калькулятор'!$G$10="в начале срока"),I241,0)-L242+M242-N242,-G242-IF(I242=" ",0,I242)-L242+M242-N242),IF('депозитный калькулятор'!$G$13="есть",M242-N242+IF('депозитный калькулятор'!$G$14="есть",0,-L242),-IF(I242=" ",0,I242)-IF(AND(OR('депозитный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срока"),I241,0)+M242-N242+IF('депозитный калькулятор'!$G$14="есть",0,-L242))))</f>
        <v xml:space="preserve"> </v>
      </c>
      <c r="P242" s="147" t="str">
        <f>IF(F242&gt;'депозитный калькулятор'!$D$8," ",IF(EOMONTH(F241,0)=F241,0,IF(G242&gt;='депозитный калькулятор'!$G$19,P241,P241+1)))</f>
        <v xml:space="preserve"> </v>
      </c>
      <c r="Q242" s="138" t="str">
        <f>IF(F242=" "," ",IF(AND(OR('депозитный калькулятор'!$G$7="30/365",'депозитный калькулятор'!$G$7="30/360"),AND(MONTH(F242)=2,EOMONTH(F242,0)=F242)),IF(DAY(F242)=28,3,2),1)*IF(G242&gt;='депозитный калькулятор'!$G$11,IF(AND('депозитный калькулятор'!$G$7="факт/факт",MOD(YEAR(F242),4)=0),G242*'депозитный калькулятор'!$D$11/366,G242*'депозитный калькулятор'!$G$8),0))</f>
        <v xml:space="preserve"> </v>
      </c>
      <c r="R242" s="148"/>
      <c r="S242" s="62" t="str">
        <f t="shared" ca="1" si="17"/>
        <v xml:space="preserve"> </v>
      </c>
      <c r="T242" s="149" t="str">
        <f ca="1">IF(S242=" "," ",IF('депозитный калькулятор'!$G$7="30/360",DAYS360(U241,IF(DAY(U242)=31,U242-1,U242))+IF(AND(MONTH(U242)=2,U242=EOMONTH(U242,0)),30-DAY(EOMONTH(U242,0)))+T241,VLOOKUP(S242,$C$22:$F$1023,2,0)))</f>
        <v xml:space="preserve"> </v>
      </c>
      <c r="U242" s="64" t="str">
        <f t="shared" ca="1" si="15"/>
        <v xml:space="preserve"> </v>
      </c>
      <c r="V242" s="150" t="str">
        <f t="shared" ca="1" si="18"/>
        <v xml:space="preserve"> </v>
      </c>
      <c r="W242" s="62" t="str">
        <f t="shared" ca="1" si="19"/>
        <v xml:space="preserve"> </v>
      </c>
      <c r="X242" s="141" t="str">
        <f ca="1">IF(S242=" "," ",IFERROR(VLOOKUP(U242,$F$23:$N$1023,7)+VLOOKUP(U242,$F$23:$N$1023,9)+IF(AND('депозитный калькулятор'!$G$13="нет",U242&lt;&gt;'депозитный калькулятор'!$D$8),VLOOKUP(U242,$F$23:$N$1023,4),0),0)+IF(U242='депозитный калькулятор'!$D$8,VLOOKUP(U242,$F$23:$N$1023,2)+VLOOKUP(U242,$F$23:$N$1023,4),0))</f>
        <v xml:space="preserve"> </v>
      </c>
      <c r="Y242" s="142" t="str">
        <f ca="1">IF(S242=" "," ",W242/(1+'депозитный калькулятор'!$K$8)^(T242/IF('депозитный калькулятор'!$G$7="30/360",360,365)))</f>
        <v xml:space="preserve"> </v>
      </c>
      <c r="Z242" s="142" t="str">
        <f ca="1">IF(S242=" "," ",X242/(1+'депозитный калькулятор'!$K$8)^(T242/IF('депозитный калькулятор'!$G$7="30/360",360,365)))</f>
        <v xml:space="preserve"> </v>
      </c>
      <c r="AA242" s="151"/>
      <c r="AB242" s="151"/>
      <c r="AC242" s="155"/>
      <c r="AD242" s="155"/>
    </row>
    <row r="243" spans="1:30" s="2" customFormat="1" ht="15.5" x14ac:dyDescent="0.35">
      <c r="A243" s="41" t="str">
        <f>IF(F243=" "," ",IF(OR('депозитный калькулятор'!$G$7="30/365",'депозитный калькулятор'!$G$7="30/360"),IF(AND(MONTH(F243)=2,DAY(F243)=DAY(EOMONTH(F243,0))),30-DAY(EOMONTH(F243,0)),IF(DAY(F243)=31,1," "))," "))</f>
        <v xml:space="preserve"> </v>
      </c>
      <c r="B243" s="130" t="str">
        <f t="shared" si="16"/>
        <v xml:space="preserve"> </v>
      </c>
      <c r="C243" s="130" t="str">
        <f>IF(OR(B243=0,B243=" ")," ",SUM($B$23:B243))</f>
        <v xml:space="preserve"> </v>
      </c>
      <c r="D243" s="62" t="str">
        <f>IF(D242=" "," ",IF(OR(F242='депозитный калькулятор'!$D$8,F242=" ")," ",D242+1))</f>
        <v xml:space="preserve"> </v>
      </c>
      <c r="E243" s="130" t="str">
        <f>IF(OR(F242='депозитный калькулятор'!$D$8,F242=" ")," ",IF(EOMONTH(F242,0)=F242,1,E242+1))</f>
        <v xml:space="preserve"> </v>
      </c>
      <c r="F243" s="64" t="str">
        <f>IF(F242=" "," ",IF(F242='депозитный калькулятор'!$D$8," ",F242+1))</f>
        <v xml:space="preserve"> </v>
      </c>
      <c r="G243" s="145" t="str">
        <f xml:space="preserve"> IF(F243&gt;'депозитный калькулятор'!$D$8," ",IF('депозитный калькулятор'!$G$13="есть",IF('депозитный калькулятор'!$G$14="есть",G242+IF(I242=" ",0,I242)-J243-K243+L243+M243-N243,G242+IF(I242=" ",0,I242)-J243-K243+M243-N243),IF('депозитный калькулятор'!$G$14="есть",G242-J243-K243+L243+M243-N243,G242-J243-K243+M243-N243)))</f>
        <v xml:space="preserve"> </v>
      </c>
      <c r="H243" s="133" t="str">
        <f>IF(F243&gt;'депозитный калькулятор'!$D$8," ",IF(AND(OR('депозитный калькулятор'!$G$7="30/365",'депозитный калькулятор'!$G$7="30/360"),AND(MONTH(F243)=2,EOMONTH(F243,0)=F243)),IF(DAY(F243)=28,3*G243*'депозитный калькулятор'!$G$8,2*G243*'депозитный калькулятор'!$G$8),IF(AND(OR('депозитный калькулятор'!$G$7="30/365",'депозитный калькулятор'!$G$7="30/360"),DAY(F243)=31)," ",IF(AND('депозитный калькулятор'!$G$7="факт/факт",MOD(YEAR(F243),4)=0),G243*'депозитный калькулятор'!$D$11/366,G243*'депозитный калькулятор'!$G$8))))</f>
        <v xml:space="preserve"> </v>
      </c>
      <c r="I243" s="134" t="str">
        <f ca="1">IF(F243=" "," ",IF('депозитный калькулятор'!$G$10="ежедневное",H243,IF(AND('депозитный калькулятор'!$G$10="еженедельное",WEEKDAY(F243,2)=7),SUM(OFFSET(H243,-6,0):H243),IF(AND('депозитный калькулятор'!$G$10="еженедельное",F243='депозитный калькулятор'!$D$8),SUM($H$23:H243)-SUM($I$23:I242),IF(AND('депозитный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недели",WEEKDAY(F243,2)=7),MIN(OFFSET(H243,-6,0):H243)*(COUNTIF(OFFSET(H243,-6,0):H243,"&gt;0")+SUMIF(OFFSET(A243,-WEEKDAY(F243,2),0):A243,"=2",OFFSET(A243,-WEEKDAY(F243,2),0):A243)),IF(AND('депозитный калькулятор'!$G$10="еженедельное, на минимальную сумму зафиксированную в течение недели",F243='депозитный калькулятор'!$D$8,WEEKDAY(F243,2)&lt;&gt;7),MIN(OFFSET(H243,-WEEKDAY(F243,2),0):H243)*(COUNTIF(OFFSET(H243,-WEEKDAY(F243,2)+1,0):H243,"&gt;0")+SUM(OFFSET(A243,-WEEKDAY(F243,2),0):A243)),IF(AND('депозитный калькулятор'!$G$10="ежемесячное (в конце месяца)",F243='депозитный калькулятор'!$D$8,EOMONTH(F243,0)&lt;&gt;F243),IF('депозитный калькулятор'!$F$1=1,$H$24,SUM($H$23:H243)-SUM($I$23:I242)),IF(AND('депозитный калькулятор'!$G$10="ежемесячное (в конце месяца)",EOMONTH(F243,0)=F243),SUM($H$23:H243)-SUM($I$23:I242),IF(AND('депозитный калькулятор'!$G$10="ежемесячное (по дням открытия вклада)",F243='депозитный калькулятор'!$D$8,DAY('депозитный калькулятор'!$D$7)&lt;&gt;DAY(F243)),IF('депозитный калькулятор'!$F$1=1,$H$24,SUM($H$23:H243)-SUM($I$23:I242)),IF(AND('депозитный калькулятор'!$G$10="ежемесячное (по дням открытия вклада)",DAY('депозитный калькулятор'!$D$7)=DAY(F243)),SUM($H$23:H243)-SUM($I$23:I242),IF(AND('депозитный калькулятор'!$G$10="ежемесячное, на минимальную сумму зафиксированную в течение месяца",F243='депозитный калькулятор'!$D$8,EOMONTH(F243,0)&lt;&gt;F243),IF('депозитный калькулятор'!$F$1=1,$H$24,IF(AND(OR('депозитный калькулятор'!$G$7="30/365",'депозитный калькулятор'!$G$7="30/360"),DAY(F243)=31),0,MIN(OFFSET(H243,-E243+1,0):H243)*(E243+SUMIF(OFFSET(A243,-E243+1,0):A243,"=2",OFFSET(A243,-E243+1,0):A243)))),IF(AND('депозитный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калькулятор'!$G$7="30/360"),DAY(EOMONTH(F243,0))=31),EOMONTH(F243,0)-1=F243,EOMONTH(F243,0)=F243)),IF(IF(AND(OR('депозитный калькулятор'!$G$7="30/365",'депозитный калькулятор'!$G$7="30/360"),DAY(EOMONTH($F$23,0))=31),F243=EOMONTH($F$23,0)-1,F243=EOMONTH($F$23,0)),MIN(OFFSET(H243,-(DAY(F243)-DAY($F$23)),0):H243)*E243,MIN(OFFSET(H243,-(DAY(F243)-1),0):H243)*IF(AND(OR('депозитный калькулятор'!$G$7="30/365",'депозитный калькулятор'!$G$7="30/360"),DAY(F243)&lt;30),30,DAY(F243))),IF(AND('депозитный калькулятор'!$G$10="ежемесячное, на средний остаток в течение месяца, при условии что остаток больше чем ограничение",F243='депозитный калькулятор'!$D$8,EOMONTH(F243,0)&lt;&gt;F243),IF('депозитный калькулятор'!$F$1=1,$H$24,SUM(OFFSET(Q243,-E243+1,0):Q243)),IF(AND('депозитный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калькулятор'!$G$7="30/360"),DAY(EOMONTH(F243,0))=31),EOMONTH(F243,0)-1=F243,EOMONTH(F243,0)=F243)),IF(IF(AND(OR('депозитный калькулятор'!$G$7="30/365",'депозитный калькулятор'!$G$7="30/360"),DAY(EOMONTH($F$24,0))=31),F243=EOMONTH($F$24,0)-1,F243=EOMONTH($F$24,0)),SUM(OFFSET(Q243,-E243+1,0):Q243),SUM(OFFSET(Q243,-E243+1,0):Q243)),IF('депозитный калькулятор'!$G$10="ежеквартальное",IF(F243&gt;'депозитный калькулятор'!$D$8," ",IF(AND(EOMONTH(F243,0)=F243,OR(MONTH(F243)=3,MONTH(F243)=6,MONTH(F243)=9,MONTH(F243)=12)),IF(EDATE(F243,-3)&lt;'депозитный калькулятор'!$D$7,SUM($H$23:H243),IF(MOD(YEAR(F243),4)=0,IF(AND(EOMONTH(F243,0)=F243,OR(MONTH(F243)=3,MONTH(F243)=6)),SUM(OFFSET(H243,-90,0):H243),IF(AND(EOMONTH(F243,0)=F243,OR(MONTH(F243)=9,MONTH(F243)=12)),SUM(OFFSET(H243,-91,0):H243))),IF(AND(EOMONTH(F243,0)=F243,MONTH(F243)=3),SUM(OFFSET(H243,-89,0):H243),IF(AND(EOMONTH(F243,0)=F243,MONTH(F243)=6),SUM(OFFSET(H243,-90,0):H243),IF(AND(EOMONTH(F243,0)=F243,OR(MONTH(F243)=9,MONTH(F243)=12)),SUM(OFFSET(H243,-91,0):H243)))))),IF(F243='депозитный калькулятор'!$D$8,SUM($H$23:H243)-SUM($I$23:I242),0))),IF('депозитный калькулятор'!$G$10="ежегодное",IF(F243&gt;'депозитный калькулятор'!$D$8," ",IF(F243='депозитный калькулятор'!$D$8,SUM($H$23:H243)-SUM($I$23:I242),IF(AND(EOMONTH(F243,0)=F243,MONTH(F243)=12),IF(MOD(YEAR(F242),4)=0,IF(F243-'депозитный калькулятор'!$D$7&lt;366,SUM($H$23:H243),SUM(OFFSET(H243,-365,0):H243)),IF(F243-'депозитный калькулятор'!$D$7&lt;365,SUM($H$23:H243),SUM(OFFSET(H243,-364,0):H243))),0))),IF(AND('депозитный калькулятор'!$G$10="в конце срока",'депозитный калькулятор'!$D$8=F243),SUM($H$23:H243),0))))))))))))))))))</f>
        <v xml:space="preserve"> </v>
      </c>
      <c r="J243" s="59" t="str">
        <f>IF(F243&gt;'депозитный калькулятор'!$D$8," ",IF('депозитный калькулятор'!$G$16="нет",0,IF(AND('депозитный калькулятор'!$G$17="разовая (в конце срока)",F243='депозитный калькулятор'!$D$8),'депозитный калькулятор'!$G$18,IF(AND('депозитный калькулятор'!$G$17="ежемесячная",EOMONTH(F242,0)=F242),'депозитный калькулятор'!$G$18,IF(AND('депозитный калькулятор'!$G$17="ежегодная",DAY(F242)=31,MONTH(F242)=12),'депозитный калькулятор'!$G$18,IF(AND('депозитный калькулятор'!$G$17="ежемесячная в зависимости от остатка",EOMONTH(F242,0)=F242,P242&gt;0),'депозитный калькулятор'!$G$18,IF(AND('депозитный калькулятор'!$G$17="ежегодная в зависимости от остатка",DAY(F242)=31,MONTH(F242)=12,P242&gt;0),'депозитный калькулятор'!$G$18,0)))))))</f>
        <v xml:space="preserve"> </v>
      </c>
      <c r="K243" s="135" t="str">
        <f>IF($F243=" "," ",IFERROR(VLOOKUP($F243,'депозитный калькулятор'!$B$26:$F$70,2,0),0))</f>
        <v xml:space="preserve"> </v>
      </c>
      <c r="L243" s="135" t="str">
        <f>IF($F243=" "," ",IFERROR(VLOOKUP($F243,'депозитный калькулятор'!$B$26:$F$70,3,0),0))</f>
        <v xml:space="preserve"> </v>
      </c>
      <c r="M243" s="135" t="str">
        <f>IF($F243=" "," ",IFERROR(VLOOKUP($F243,'депозитный калькулятор'!$B$26:$F$70,4,0),0))</f>
        <v xml:space="preserve"> </v>
      </c>
      <c r="N243" s="135" t="str">
        <f>IF($F243=" "," ",IFERROR(VLOOKUP($F243,'депозитный калькулятор'!$B$26:$F$70,5,0),0))</f>
        <v xml:space="preserve"> </v>
      </c>
      <c r="O243" s="146" t="str">
        <f>IF(F243&gt;'депозитный калькулятор'!$D$8," ",IF(F243='депозитный калькулятор'!$D$8,IF(AND($F$24='депозитный калькулятор'!$D$8,'депозитный калькулятор'!$G$13="нет"),-G243-IF(I243=" ",0,I243)-IF(AND(OR('депозитный калькулятор'!$G$7="30/365",'депозитный калькулятор'!$G$7="30/360"),'депозитный калькулятор'!$G$10="в начале срока"),I242,0)-L243+M243-N243,-G243-IF(I243=" ",0,I243)-L243+M243-N243),IF('депозитный калькулятор'!$G$13="есть",M243-N243+IF('депозитный калькулятор'!$G$14="есть",0,-L243),-IF(I243=" ",0,I243)-IF(AND(OR('депозитный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срока"),I242,0)+M243-N243+IF('депозитный калькулятор'!$G$14="есть",0,-L243))))</f>
        <v xml:space="preserve"> </v>
      </c>
      <c r="P243" s="147" t="str">
        <f>IF(F243&gt;'депозитный калькулятор'!$D$8," ",IF(EOMONTH(F242,0)=F242,0,IF(G243&gt;='депозитный калькулятор'!$G$19,P242,P242+1)))</f>
        <v xml:space="preserve"> </v>
      </c>
      <c r="Q243" s="138" t="str">
        <f>IF(F243=" "," ",IF(AND(OR('депозитный калькулятор'!$G$7="30/365",'депозитный калькулятор'!$G$7="30/360"),AND(MONTH(F243)=2,EOMONTH(F243,0)=F243)),IF(DAY(F243)=28,3,2),1)*IF(G243&gt;='депозитный калькулятор'!$G$11,IF(AND('депозитный калькулятор'!$G$7="факт/факт",MOD(YEAR(F243),4)=0),G243*'депозитный калькулятор'!$D$11/366,G243*'депозитный калькулятор'!$G$8),0))</f>
        <v xml:space="preserve"> </v>
      </c>
      <c r="R243" s="148"/>
      <c r="S243" s="62" t="str">
        <f t="shared" ca="1" si="17"/>
        <v xml:space="preserve"> </v>
      </c>
      <c r="T243" s="149" t="str">
        <f ca="1">IF(S243=" "," ",IF('депозитный калькулятор'!$G$7="30/360",DAYS360(U242,IF(DAY(U243)=31,U243-1,U243))+IF(AND(MONTH(U243)=2,U243=EOMONTH(U243,0)),30-DAY(EOMONTH(U243,0)))+T242,VLOOKUP(S243,$C$22:$F$1023,2,0)))</f>
        <v xml:space="preserve"> </v>
      </c>
      <c r="U243" s="64" t="str">
        <f t="shared" ca="1" si="15"/>
        <v xml:space="preserve"> </v>
      </c>
      <c r="V243" s="150" t="str">
        <f t="shared" ca="1" si="18"/>
        <v xml:space="preserve"> </v>
      </c>
      <c r="W243" s="62" t="str">
        <f t="shared" ca="1" si="19"/>
        <v xml:space="preserve"> </v>
      </c>
      <c r="X243" s="141" t="str">
        <f ca="1">IF(S243=" "," ",IFERROR(VLOOKUP(U243,$F$23:$N$1023,7)+VLOOKUP(U243,$F$23:$N$1023,9)+IF(AND('депозитный калькулятор'!$G$13="нет",U243&lt;&gt;'депозитный калькулятор'!$D$8),VLOOKUP(U243,$F$23:$N$1023,4),0),0)+IF(U243='депозитный калькулятор'!$D$8,VLOOKUP(U243,$F$23:$N$1023,2)+VLOOKUP(U243,$F$23:$N$1023,4),0))</f>
        <v xml:space="preserve"> </v>
      </c>
      <c r="Y243" s="142" t="str">
        <f ca="1">IF(S243=" "," ",W243/(1+'депозитный калькулятор'!$K$8)^(T243/IF('депозитный калькулятор'!$G$7="30/360",360,365)))</f>
        <v xml:space="preserve"> </v>
      </c>
      <c r="Z243" s="142" t="str">
        <f ca="1">IF(S243=" "," ",X243/(1+'депозитный калькулятор'!$K$8)^(T243/IF('депозитный калькулятор'!$G$7="30/360",360,365)))</f>
        <v xml:space="preserve"> </v>
      </c>
      <c r="AA243" s="151"/>
      <c r="AB243" s="151"/>
      <c r="AC243" s="155"/>
      <c r="AD243" s="155"/>
    </row>
    <row r="244" spans="1:30" s="2" customFormat="1" ht="15.5" x14ac:dyDescent="0.35">
      <c r="A244" s="41" t="str">
        <f>IF(F244=" "," ",IF(OR('депозитный калькулятор'!$G$7="30/365",'депозитный калькулятор'!$G$7="30/360"),IF(AND(MONTH(F244)=2,DAY(F244)=DAY(EOMONTH(F244,0))),30-DAY(EOMONTH(F244,0)),IF(DAY(F244)=31,1," "))," "))</f>
        <v xml:space="preserve"> </v>
      </c>
      <c r="B244" s="130" t="str">
        <f t="shared" si="16"/>
        <v xml:space="preserve"> </v>
      </c>
      <c r="C244" s="130" t="str">
        <f>IF(OR(B244=0,B244=" ")," ",SUM($B$23:B244))</f>
        <v xml:space="preserve"> </v>
      </c>
      <c r="D244" s="62" t="str">
        <f>IF(D243=" "," ",IF(OR(F243='депозитный калькулятор'!$D$8,F243=" ")," ",D243+1))</f>
        <v xml:space="preserve"> </v>
      </c>
      <c r="E244" s="130" t="str">
        <f>IF(OR(F243='депозитный калькулятор'!$D$8,F243=" ")," ",IF(EOMONTH(F243,0)=F243,1,E243+1))</f>
        <v xml:space="preserve"> </v>
      </c>
      <c r="F244" s="64" t="str">
        <f>IF(F243=" "," ",IF(F243='депозитный калькулятор'!$D$8," ",F243+1))</f>
        <v xml:space="preserve"> </v>
      </c>
      <c r="G244" s="145" t="str">
        <f xml:space="preserve"> IF(F244&gt;'депозитный калькулятор'!$D$8," ",IF('депозитный калькулятор'!$G$13="есть",IF('депозитный калькулятор'!$G$14="есть",G243+IF(I243=" ",0,I243)-J244-K244+L244+M244-N244,G243+IF(I243=" ",0,I243)-J244-K244+M244-N244),IF('депозитный калькулятор'!$G$14="есть",G243-J244-K244+L244+M244-N244,G243-J244-K244+M244-N244)))</f>
        <v xml:space="preserve"> </v>
      </c>
      <c r="H244" s="133" t="str">
        <f>IF(F244&gt;'депозитный калькулятор'!$D$8," ",IF(AND(OR('депозитный калькулятор'!$G$7="30/365",'депозитный калькулятор'!$G$7="30/360"),AND(MONTH(F244)=2,EOMONTH(F244,0)=F244)),IF(DAY(F244)=28,3*G244*'депозитный калькулятор'!$G$8,2*G244*'депозитный калькулятор'!$G$8),IF(AND(OR('депозитный калькулятор'!$G$7="30/365",'депозитный калькулятор'!$G$7="30/360"),DAY(F244)=31)," ",IF(AND('депозитный калькулятор'!$G$7="факт/факт",MOD(YEAR(F244),4)=0),G244*'депозитный калькулятор'!$D$11/366,G244*'депозитный калькулятор'!$G$8))))</f>
        <v xml:space="preserve"> </v>
      </c>
      <c r="I244" s="134" t="str">
        <f ca="1">IF(F244=" "," ",IF('депозитный калькулятор'!$G$10="ежедневное",H244,IF(AND('депозитный калькулятор'!$G$10="еженедельное",WEEKDAY(F244,2)=7),SUM(OFFSET(H244,-6,0):H244),IF(AND('депозитный калькулятор'!$G$10="еженедельное",F244='депозитный калькулятор'!$D$8),SUM($H$23:H244)-SUM($I$23:I243),IF(AND('депозитный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недели",WEEKDAY(F244,2)=7),MIN(OFFSET(H244,-6,0):H244)*(COUNTIF(OFFSET(H244,-6,0):H244,"&gt;0")+SUMIF(OFFSET(A244,-WEEKDAY(F244,2),0):A244,"=2",OFFSET(A244,-WEEKDAY(F244,2),0):A244)),IF(AND('депозитный калькулятор'!$G$10="еженедельное, на минимальную сумму зафиксированную в течение недели",F244='депозитный калькулятор'!$D$8,WEEKDAY(F244,2)&lt;&gt;7),MIN(OFFSET(H244,-WEEKDAY(F244,2),0):H244)*(COUNTIF(OFFSET(H244,-WEEKDAY(F244,2)+1,0):H244,"&gt;0")+SUM(OFFSET(A244,-WEEKDAY(F244,2),0):A244)),IF(AND('депозитный калькулятор'!$G$10="ежемесячное (в конце месяца)",F244='депозитный калькулятор'!$D$8,EOMONTH(F244,0)&lt;&gt;F244),IF('депозитный калькулятор'!$F$1=1,$H$24,SUM($H$23:H244)-SUM($I$23:I243)),IF(AND('депозитный калькулятор'!$G$10="ежемесячное (в конце месяца)",EOMONTH(F244,0)=F244),SUM($H$23:H244)-SUM($I$23:I243),IF(AND('депозитный калькулятор'!$G$10="ежемесячное (по дням открытия вклада)",F244='депозитный калькулятор'!$D$8,DAY('депозитный калькулятор'!$D$7)&lt;&gt;DAY(F244)),IF('депозитный калькулятор'!$F$1=1,$H$24,SUM($H$23:H244)-SUM($I$23:I243)),IF(AND('депозитный калькулятор'!$G$10="ежемесячное (по дням открытия вклада)",DAY('депозитный калькулятор'!$D$7)=DAY(F244)),SUM($H$23:H244)-SUM($I$23:I243),IF(AND('депозитный калькулятор'!$G$10="ежемесячное, на минимальную сумму зафиксированную в течение месяца",F244='депозитный калькулятор'!$D$8,EOMONTH(F244,0)&lt;&gt;F244),IF('депозитный калькулятор'!$F$1=1,$H$24,IF(AND(OR('депозитный калькулятор'!$G$7="30/365",'депозитный калькулятор'!$G$7="30/360"),DAY(F244)=31),0,MIN(OFFSET(H244,-E244+1,0):H244)*(E244+SUMIF(OFFSET(A244,-E244+1,0):A244,"=2",OFFSET(A244,-E244+1,0):A244)))),IF(AND('депозитный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калькулятор'!$G$7="30/360"),DAY(EOMONTH(F244,0))=31),EOMONTH(F244,0)-1=F244,EOMONTH(F244,0)=F244)),IF(IF(AND(OR('депозитный калькулятор'!$G$7="30/365",'депозитный калькулятор'!$G$7="30/360"),DAY(EOMONTH($F$23,0))=31),F244=EOMONTH($F$23,0)-1,F244=EOMONTH($F$23,0)),MIN(OFFSET(H244,-(DAY(F244)-DAY($F$23)),0):H244)*E244,MIN(OFFSET(H244,-(DAY(F244)-1),0):H244)*IF(AND(OR('депозитный калькулятор'!$G$7="30/365",'депозитный калькулятор'!$G$7="30/360"),DAY(F244)&lt;30),30,DAY(F244))),IF(AND('депозитный калькулятор'!$G$10="ежемесячное, на средний остаток в течение месяца, при условии что остаток больше чем ограничение",F244='депозитный калькулятор'!$D$8,EOMONTH(F244,0)&lt;&gt;F244),IF('депозитный калькулятор'!$F$1=1,$H$24,SUM(OFFSET(Q244,-E244+1,0):Q244)),IF(AND('депозитный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калькулятор'!$G$7="30/360"),DAY(EOMONTH(F244,0))=31),EOMONTH(F244,0)-1=F244,EOMONTH(F244,0)=F244)),IF(IF(AND(OR('депозитный калькулятор'!$G$7="30/365",'депозитный калькулятор'!$G$7="30/360"),DAY(EOMONTH($F$24,0))=31),F244=EOMONTH($F$24,0)-1,F244=EOMONTH($F$24,0)),SUM(OFFSET(Q244,-E244+1,0):Q244),SUM(OFFSET(Q244,-E244+1,0):Q244)),IF('депозитный калькулятор'!$G$10="ежеквартальное",IF(F244&gt;'депозитный калькулятор'!$D$8," ",IF(AND(EOMONTH(F244,0)=F244,OR(MONTH(F244)=3,MONTH(F244)=6,MONTH(F244)=9,MONTH(F244)=12)),IF(EDATE(F244,-3)&lt;'депозитный калькулятор'!$D$7,SUM($H$23:H244),IF(MOD(YEAR(F244),4)=0,IF(AND(EOMONTH(F244,0)=F244,OR(MONTH(F244)=3,MONTH(F244)=6)),SUM(OFFSET(H244,-90,0):H244),IF(AND(EOMONTH(F244,0)=F244,OR(MONTH(F244)=9,MONTH(F244)=12)),SUM(OFFSET(H244,-91,0):H244))),IF(AND(EOMONTH(F244,0)=F244,MONTH(F244)=3),SUM(OFFSET(H244,-89,0):H244),IF(AND(EOMONTH(F244,0)=F244,MONTH(F244)=6),SUM(OFFSET(H244,-90,0):H244),IF(AND(EOMONTH(F244,0)=F244,OR(MONTH(F244)=9,MONTH(F244)=12)),SUM(OFFSET(H244,-91,0):H244)))))),IF(F244='депозитный калькулятор'!$D$8,SUM($H$23:H244)-SUM($I$23:I243),0))),IF('депозитный калькулятор'!$G$10="ежегодное",IF(F244&gt;'депозитный калькулятор'!$D$8," ",IF(F244='депозитный калькулятор'!$D$8,SUM($H$23:H244)-SUM($I$23:I243),IF(AND(EOMONTH(F244,0)=F244,MONTH(F244)=12),IF(MOD(YEAR(F243),4)=0,IF(F244-'депозитный калькулятор'!$D$7&lt;366,SUM($H$23:H244),SUM(OFFSET(H244,-365,0):H244)),IF(F244-'депозитный калькулятор'!$D$7&lt;365,SUM($H$23:H244),SUM(OFFSET(H244,-364,0):H244))),0))),IF(AND('депозитный калькулятор'!$G$10="в конце срока",'депозитный калькулятор'!$D$8=F244),SUM($H$23:H244),0))))))))))))))))))</f>
        <v xml:space="preserve"> </v>
      </c>
      <c r="J244" s="59" t="str">
        <f>IF(F244&gt;'депозитный калькулятор'!$D$8," ",IF('депозитный калькулятор'!$G$16="нет",0,IF(AND('депозитный калькулятор'!$G$17="разовая (в конце срока)",F244='депозитный калькулятор'!$D$8),'депозитный калькулятор'!$G$18,IF(AND('депозитный калькулятор'!$G$17="ежемесячная",EOMONTH(F243,0)=F243),'депозитный калькулятор'!$G$18,IF(AND('депозитный калькулятор'!$G$17="ежегодная",DAY(F243)=31,MONTH(F243)=12),'депозитный калькулятор'!$G$18,IF(AND('депозитный калькулятор'!$G$17="ежемесячная в зависимости от остатка",EOMONTH(F243,0)=F243,P243&gt;0),'депозитный калькулятор'!$G$18,IF(AND('депозитный калькулятор'!$G$17="ежегодная в зависимости от остатка",DAY(F243)=31,MONTH(F243)=12,P243&gt;0),'депозитный калькулятор'!$G$18,0)))))))</f>
        <v xml:space="preserve"> </v>
      </c>
      <c r="K244" s="135" t="str">
        <f>IF($F244=" "," ",IFERROR(VLOOKUP($F244,'депозитный калькулятор'!$B$26:$F$70,2,0),0))</f>
        <v xml:space="preserve"> </v>
      </c>
      <c r="L244" s="135" t="str">
        <f>IF($F244=" "," ",IFERROR(VLOOKUP($F244,'депозитный калькулятор'!$B$26:$F$70,3,0),0))</f>
        <v xml:space="preserve"> </v>
      </c>
      <c r="M244" s="135" t="str">
        <f>IF($F244=" "," ",IFERROR(VLOOKUP($F244,'депозитный калькулятор'!$B$26:$F$70,4,0),0))</f>
        <v xml:space="preserve"> </v>
      </c>
      <c r="N244" s="135" t="str">
        <f>IF($F244=" "," ",IFERROR(VLOOKUP($F244,'депозитный калькулятор'!$B$26:$F$70,5,0),0))</f>
        <v xml:space="preserve"> </v>
      </c>
      <c r="O244" s="146" t="str">
        <f>IF(F244&gt;'депозитный калькулятор'!$D$8," ",IF(F244='депозитный калькулятор'!$D$8,IF(AND($F$24='депозитный калькулятор'!$D$8,'депозитный калькулятор'!$G$13="нет"),-G244-IF(I244=" ",0,I244)-IF(AND(OR('депозитный калькулятор'!$G$7="30/365",'депозитный калькулятор'!$G$7="30/360"),'депозитный калькулятор'!$G$10="в начале срока"),I243,0)-L244+M244-N244,-G244-IF(I244=" ",0,I244)-L244+M244-N244),IF('депозитный калькулятор'!$G$13="есть",M244-N244+IF('депозитный калькулятор'!$G$14="есть",0,-L244),-IF(I244=" ",0,I244)-IF(AND(OR('депозитный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срока"),I243,0)+M244-N244+IF('депозитный калькулятор'!$G$14="есть",0,-L244))))</f>
        <v xml:space="preserve"> </v>
      </c>
      <c r="P244" s="147" t="str">
        <f>IF(F244&gt;'депозитный калькулятор'!$D$8," ",IF(EOMONTH(F243,0)=F243,0,IF(G244&gt;='депозитный калькулятор'!$G$19,P243,P243+1)))</f>
        <v xml:space="preserve"> </v>
      </c>
      <c r="Q244" s="138" t="str">
        <f>IF(F244=" "," ",IF(AND(OR('депозитный калькулятор'!$G$7="30/365",'депозитный калькулятор'!$G$7="30/360"),AND(MONTH(F244)=2,EOMONTH(F244,0)=F244)),IF(DAY(F244)=28,3,2),1)*IF(G244&gt;='депозитный калькулятор'!$G$11,IF(AND('депозитный калькулятор'!$G$7="факт/факт",MOD(YEAR(F244),4)=0),G244*'депозитный калькулятор'!$D$11/366,G244*'депозитный калькулятор'!$G$8),0))</f>
        <v xml:space="preserve"> </v>
      </c>
      <c r="R244" s="148"/>
      <c r="S244" s="62" t="str">
        <f t="shared" ca="1" si="17"/>
        <v xml:space="preserve"> </v>
      </c>
      <c r="T244" s="149" t="str">
        <f ca="1">IF(S244=" "," ",IF('депозитный калькулятор'!$G$7="30/360",DAYS360(U243,IF(DAY(U244)=31,U244-1,U244))+IF(AND(MONTH(U244)=2,U244=EOMONTH(U244,0)),30-DAY(EOMONTH(U244,0)))+T243,VLOOKUP(S244,$C$22:$F$1023,2,0)))</f>
        <v xml:space="preserve"> </v>
      </c>
      <c r="U244" s="64" t="str">
        <f t="shared" ca="1" si="15"/>
        <v xml:space="preserve"> </v>
      </c>
      <c r="V244" s="150" t="str">
        <f t="shared" ca="1" si="18"/>
        <v xml:space="preserve"> </v>
      </c>
      <c r="W244" s="62" t="str">
        <f t="shared" ca="1" si="19"/>
        <v xml:space="preserve"> </v>
      </c>
      <c r="X244" s="141" t="str">
        <f ca="1">IF(S244=" "," ",IFERROR(VLOOKUP(U244,$F$23:$N$1023,7)+VLOOKUP(U244,$F$23:$N$1023,9)+IF(AND('депозитный калькулятор'!$G$13="нет",U244&lt;&gt;'депозитный калькулятор'!$D$8),VLOOKUP(U244,$F$23:$N$1023,4),0),0)+IF(U244='депозитный калькулятор'!$D$8,VLOOKUP(U244,$F$23:$N$1023,2)+VLOOKUP(U244,$F$23:$N$1023,4),0))</f>
        <v xml:space="preserve"> </v>
      </c>
      <c r="Y244" s="142" t="str">
        <f ca="1">IF(S244=" "," ",W244/(1+'депозитный калькулятор'!$K$8)^(T244/IF('депозитный калькулятор'!$G$7="30/360",360,365)))</f>
        <v xml:space="preserve"> </v>
      </c>
      <c r="Z244" s="142" t="str">
        <f ca="1">IF(S244=" "," ",X244/(1+'депозитный калькулятор'!$K$8)^(T244/IF('депозитный калькулятор'!$G$7="30/360",360,365)))</f>
        <v xml:space="preserve"> </v>
      </c>
      <c r="AA244" s="151"/>
      <c r="AB244" s="151"/>
      <c r="AC244" s="155"/>
      <c r="AD244" s="155"/>
    </row>
    <row r="245" spans="1:30" s="2" customFormat="1" ht="15.5" x14ac:dyDescent="0.35">
      <c r="A245" s="41" t="str">
        <f>IF(F245=" "," ",IF(OR('депозитный калькулятор'!$G$7="30/365",'депозитный калькулятор'!$G$7="30/360"),IF(AND(MONTH(F245)=2,DAY(F245)=DAY(EOMONTH(F245,0))),30-DAY(EOMONTH(F245,0)),IF(DAY(F245)=31,1," "))," "))</f>
        <v xml:space="preserve"> </v>
      </c>
      <c r="B245" s="130" t="str">
        <f t="shared" si="16"/>
        <v xml:space="preserve"> </v>
      </c>
      <c r="C245" s="130" t="str">
        <f>IF(OR(B245=0,B245=" ")," ",SUM($B$23:B245))</f>
        <v xml:space="preserve"> </v>
      </c>
      <c r="D245" s="62" t="str">
        <f>IF(D244=" "," ",IF(OR(F244='депозитный калькулятор'!$D$8,F244=" ")," ",D244+1))</f>
        <v xml:space="preserve"> </v>
      </c>
      <c r="E245" s="130" t="str">
        <f>IF(OR(F244='депозитный калькулятор'!$D$8,F244=" ")," ",IF(EOMONTH(F244,0)=F244,1,E244+1))</f>
        <v xml:space="preserve"> </v>
      </c>
      <c r="F245" s="64" t="str">
        <f>IF(F244=" "," ",IF(F244='депозитный калькулятор'!$D$8," ",F244+1))</f>
        <v xml:space="preserve"> </v>
      </c>
      <c r="G245" s="145" t="str">
        <f xml:space="preserve"> IF(F245&gt;'депозитный калькулятор'!$D$8," ",IF('депозитный калькулятор'!$G$13="есть",IF('депозитный калькулятор'!$G$14="есть",G244+IF(I244=" ",0,I244)-J245-K245+L245+M245-N245,G244+IF(I244=" ",0,I244)-J245-K245+M245-N245),IF('депозитный калькулятор'!$G$14="есть",G244-J245-K245+L245+M245-N245,G244-J245-K245+M245-N245)))</f>
        <v xml:space="preserve"> </v>
      </c>
      <c r="H245" s="133" t="str">
        <f>IF(F245&gt;'депозитный калькулятор'!$D$8," ",IF(AND(OR('депозитный калькулятор'!$G$7="30/365",'депозитный калькулятор'!$G$7="30/360"),AND(MONTH(F245)=2,EOMONTH(F245,0)=F245)),IF(DAY(F245)=28,3*G245*'депозитный калькулятор'!$G$8,2*G245*'депозитный калькулятор'!$G$8),IF(AND(OR('депозитный калькулятор'!$G$7="30/365",'депозитный калькулятор'!$G$7="30/360"),DAY(F245)=31)," ",IF(AND('депозитный калькулятор'!$G$7="факт/факт",MOD(YEAR(F245),4)=0),G245*'депозитный калькулятор'!$D$11/366,G245*'депозитный калькулятор'!$G$8))))</f>
        <v xml:space="preserve"> </v>
      </c>
      <c r="I245" s="134" t="str">
        <f ca="1">IF(F245=" "," ",IF('депозитный калькулятор'!$G$10="ежедневное",H245,IF(AND('депозитный калькулятор'!$G$10="еженедельное",WEEKDAY(F245,2)=7),SUM(OFFSET(H245,-6,0):H245),IF(AND('депозитный калькулятор'!$G$10="еженедельное",F245='депозитный калькулятор'!$D$8),SUM($H$23:H245)-SUM($I$23:I244),IF(AND('депозитный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недели",WEEKDAY(F245,2)=7),MIN(OFFSET(H245,-6,0):H245)*(COUNTIF(OFFSET(H245,-6,0):H245,"&gt;0")+SUMIF(OFFSET(A245,-WEEKDAY(F245,2),0):A245,"=2",OFFSET(A245,-WEEKDAY(F245,2),0):A245)),IF(AND('депозитный калькулятор'!$G$10="еженедельное, на минимальную сумму зафиксированную в течение недели",F245='депозитный калькулятор'!$D$8,WEEKDAY(F245,2)&lt;&gt;7),MIN(OFFSET(H245,-WEEKDAY(F245,2),0):H245)*(COUNTIF(OFFSET(H245,-WEEKDAY(F245,2)+1,0):H245,"&gt;0")+SUM(OFFSET(A245,-WEEKDAY(F245,2),0):A245)),IF(AND('депозитный калькулятор'!$G$10="ежемесячное (в конце месяца)",F245='депозитный калькулятор'!$D$8,EOMONTH(F245,0)&lt;&gt;F245),IF('депозитный калькулятор'!$F$1=1,$H$24,SUM($H$23:H245)-SUM($I$23:I244)),IF(AND('депозитный калькулятор'!$G$10="ежемесячное (в конце месяца)",EOMONTH(F245,0)=F245),SUM($H$23:H245)-SUM($I$23:I244),IF(AND('депозитный калькулятор'!$G$10="ежемесячное (по дням открытия вклада)",F245='депозитный калькулятор'!$D$8,DAY('депозитный калькулятор'!$D$7)&lt;&gt;DAY(F245)),IF('депозитный калькулятор'!$F$1=1,$H$24,SUM($H$23:H245)-SUM($I$23:I244)),IF(AND('депозитный калькулятор'!$G$10="ежемесячное (по дням открытия вклада)",DAY('депозитный калькулятор'!$D$7)=DAY(F245)),SUM($H$23:H245)-SUM($I$23:I244),IF(AND('депозитный калькулятор'!$G$10="ежемесячное, на минимальную сумму зафиксированную в течение месяца",F245='депозитный калькулятор'!$D$8,EOMONTH(F245,0)&lt;&gt;F245),IF('депозитный калькулятор'!$F$1=1,$H$24,IF(AND(OR('депозитный калькулятор'!$G$7="30/365",'депозитный калькулятор'!$G$7="30/360"),DAY(F245)=31),0,MIN(OFFSET(H245,-E245+1,0):H245)*(E245+SUMIF(OFFSET(A245,-E245+1,0):A245,"=2",OFFSET(A245,-E245+1,0):A245)))),IF(AND('депозитный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калькулятор'!$G$7="30/360"),DAY(EOMONTH(F245,0))=31),EOMONTH(F245,0)-1=F245,EOMONTH(F245,0)=F245)),IF(IF(AND(OR('депозитный калькулятор'!$G$7="30/365",'депозитный калькулятор'!$G$7="30/360"),DAY(EOMONTH($F$23,0))=31),F245=EOMONTH($F$23,0)-1,F245=EOMONTH($F$23,0)),MIN(OFFSET(H245,-(DAY(F245)-DAY($F$23)),0):H245)*E245,MIN(OFFSET(H245,-(DAY(F245)-1),0):H245)*IF(AND(OR('депозитный калькулятор'!$G$7="30/365",'депозитный калькулятор'!$G$7="30/360"),DAY(F245)&lt;30),30,DAY(F245))),IF(AND('депозитный калькулятор'!$G$10="ежемесячное, на средний остаток в течение месяца, при условии что остаток больше чем ограничение",F245='депозитный калькулятор'!$D$8,EOMONTH(F245,0)&lt;&gt;F245),IF('депозитный калькулятор'!$F$1=1,$H$24,SUM(OFFSET(Q245,-E245+1,0):Q245)),IF(AND('депозитный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калькулятор'!$G$7="30/360"),DAY(EOMONTH(F245,0))=31),EOMONTH(F245,0)-1=F245,EOMONTH(F245,0)=F245)),IF(IF(AND(OR('депозитный калькулятор'!$G$7="30/365",'депозитный калькулятор'!$G$7="30/360"),DAY(EOMONTH($F$24,0))=31),F245=EOMONTH($F$24,0)-1,F245=EOMONTH($F$24,0)),SUM(OFFSET(Q245,-E245+1,0):Q245),SUM(OFFSET(Q245,-E245+1,0):Q245)),IF('депозитный калькулятор'!$G$10="ежеквартальное",IF(F245&gt;'депозитный калькулятор'!$D$8," ",IF(AND(EOMONTH(F245,0)=F245,OR(MONTH(F245)=3,MONTH(F245)=6,MONTH(F245)=9,MONTH(F245)=12)),IF(EDATE(F245,-3)&lt;'депозитный калькулятор'!$D$7,SUM($H$23:H245),IF(MOD(YEAR(F245),4)=0,IF(AND(EOMONTH(F245,0)=F245,OR(MONTH(F245)=3,MONTH(F245)=6)),SUM(OFFSET(H245,-90,0):H245),IF(AND(EOMONTH(F245,0)=F245,OR(MONTH(F245)=9,MONTH(F245)=12)),SUM(OFFSET(H245,-91,0):H245))),IF(AND(EOMONTH(F245,0)=F245,MONTH(F245)=3),SUM(OFFSET(H245,-89,0):H245),IF(AND(EOMONTH(F245,0)=F245,MONTH(F245)=6),SUM(OFFSET(H245,-90,0):H245),IF(AND(EOMONTH(F245,0)=F245,OR(MONTH(F245)=9,MONTH(F245)=12)),SUM(OFFSET(H245,-91,0):H245)))))),IF(F245='депозитный калькулятор'!$D$8,SUM($H$23:H245)-SUM($I$23:I244),0))),IF('депозитный калькулятор'!$G$10="ежегодное",IF(F245&gt;'депозитный калькулятор'!$D$8," ",IF(F245='депозитный калькулятор'!$D$8,SUM($H$23:H245)-SUM($I$23:I244),IF(AND(EOMONTH(F245,0)=F245,MONTH(F245)=12),IF(MOD(YEAR(F244),4)=0,IF(F245-'депозитный калькулятор'!$D$7&lt;366,SUM($H$23:H245),SUM(OFFSET(H245,-365,0):H245)),IF(F245-'депозитный калькулятор'!$D$7&lt;365,SUM($H$23:H245),SUM(OFFSET(H245,-364,0):H245))),0))),IF(AND('депозитный калькулятор'!$G$10="в конце срока",'депозитный калькулятор'!$D$8=F245),SUM($H$23:H245),0))))))))))))))))))</f>
        <v xml:space="preserve"> </v>
      </c>
      <c r="J245" s="59" t="str">
        <f>IF(F245&gt;'депозитный калькулятор'!$D$8," ",IF('депозитный калькулятор'!$G$16="нет",0,IF(AND('депозитный калькулятор'!$G$17="разовая (в конце срока)",F245='депозитный калькулятор'!$D$8),'депозитный калькулятор'!$G$18,IF(AND('депозитный калькулятор'!$G$17="ежемесячная",EOMONTH(F244,0)=F244),'депозитный калькулятор'!$G$18,IF(AND('депозитный калькулятор'!$G$17="ежегодная",DAY(F244)=31,MONTH(F244)=12),'депозитный калькулятор'!$G$18,IF(AND('депозитный калькулятор'!$G$17="ежемесячная в зависимости от остатка",EOMONTH(F244,0)=F244,P244&gt;0),'депозитный калькулятор'!$G$18,IF(AND('депозитный калькулятор'!$G$17="ежегодная в зависимости от остатка",DAY(F244)=31,MONTH(F244)=12,P244&gt;0),'депозитный калькулятор'!$G$18,0)))))))</f>
        <v xml:space="preserve"> </v>
      </c>
      <c r="K245" s="135" t="str">
        <f>IF($F245=" "," ",IFERROR(VLOOKUP($F245,'депозитный калькулятор'!$B$26:$F$70,2,0),0))</f>
        <v xml:space="preserve"> </v>
      </c>
      <c r="L245" s="135" t="str">
        <f>IF($F245=" "," ",IFERROR(VLOOKUP($F245,'депозитный калькулятор'!$B$26:$F$70,3,0),0))</f>
        <v xml:space="preserve"> </v>
      </c>
      <c r="M245" s="135" t="str">
        <f>IF($F245=" "," ",IFERROR(VLOOKUP($F245,'депозитный калькулятор'!$B$26:$F$70,4,0),0))</f>
        <v xml:space="preserve"> </v>
      </c>
      <c r="N245" s="135" t="str">
        <f>IF($F245=" "," ",IFERROR(VLOOKUP($F245,'депозитный калькулятор'!$B$26:$F$70,5,0),0))</f>
        <v xml:space="preserve"> </v>
      </c>
      <c r="O245" s="146" t="str">
        <f>IF(F245&gt;'депозитный калькулятор'!$D$8," ",IF(F245='депозитный калькулятор'!$D$8,IF(AND($F$24='депозитный калькулятор'!$D$8,'депозитный калькулятор'!$G$13="нет"),-G245-IF(I245=" ",0,I245)-IF(AND(OR('депозитный калькулятор'!$G$7="30/365",'депозитный калькулятор'!$G$7="30/360"),'депозитный калькулятор'!$G$10="в начале срока"),I244,0)-L245+M245-N245,-G245-IF(I245=" ",0,I245)-L245+M245-N245),IF('депозитный калькулятор'!$G$13="есть",M245-N245+IF('депозитный калькулятор'!$G$14="есть",0,-L245),-IF(I245=" ",0,I245)-IF(AND(OR('депозитный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срока"),I244,0)+M245-N245+IF('депозитный калькулятор'!$G$14="есть",0,-L245))))</f>
        <v xml:space="preserve"> </v>
      </c>
      <c r="P245" s="147" t="str">
        <f>IF(F245&gt;'депозитный калькулятор'!$D$8," ",IF(EOMONTH(F244,0)=F244,0,IF(G245&gt;='депозитный калькулятор'!$G$19,P244,P244+1)))</f>
        <v xml:space="preserve"> </v>
      </c>
      <c r="Q245" s="138" t="str">
        <f>IF(F245=" "," ",IF(AND(OR('депозитный калькулятор'!$G$7="30/365",'депозитный калькулятор'!$G$7="30/360"),AND(MONTH(F245)=2,EOMONTH(F245,0)=F245)),IF(DAY(F245)=28,3,2),1)*IF(G245&gt;='депозитный калькулятор'!$G$11,IF(AND('депозитный калькулятор'!$G$7="факт/факт",MOD(YEAR(F245),4)=0),G245*'депозитный калькулятор'!$D$11/366,G245*'депозитный калькулятор'!$G$8),0))</f>
        <v xml:space="preserve"> </v>
      </c>
      <c r="R245" s="148"/>
      <c r="S245" s="62" t="str">
        <f t="shared" ca="1" si="17"/>
        <v xml:space="preserve"> </v>
      </c>
      <c r="T245" s="149" t="str">
        <f ca="1">IF(S245=" "," ",IF('депозитный калькулятор'!$G$7="30/360",DAYS360(U244,IF(DAY(U245)=31,U245-1,U245))+IF(AND(MONTH(U245)=2,U245=EOMONTH(U245,0)),30-DAY(EOMONTH(U245,0)))+T244,VLOOKUP(S245,$C$22:$F$1023,2,0)))</f>
        <v xml:space="preserve"> </v>
      </c>
      <c r="U245" s="64" t="str">
        <f t="shared" ca="1" si="15"/>
        <v xml:space="preserve"> </v>
      </c>
      <c r="V245" s="150" t="str">
        <f t="shared" ca="1" si="18"/>
        <v xml:space="preserve"> </v>
      </c>
      <c r="W245" s="62" t="str">
        <f t="shared" ca="1" si="19"/>
        <v xml:space="preserve"> </v>
      </c>
      <c r="X245" s="141" t="str">
        <f ca="1">IF(S245=" "," ",IFERROR(VLOOKUP(U245,$F$23:$N$1023,7)+VLOOKUP(U245,$F$23:$N$1023,9)+IF(AND('депозитный калькулятор'!$G$13="нет",U245&lt;&gt;'депозитный калькулятор'!$D$8),VLOOKUP(U245,$F$23:$N$1023,4),0),0)+IF(U245='депозитный калькулятор'!$D$8,VLOOKUP(U245,$F$23:$N$1023,2)+VLOOKUP(U245,$F$23:$N$1023,4),0))</f>
        <v xml:space="preserve"> </v>
      </c>
      <c r="Y245" s="142" t="str">
        <f ca="1">IF(S245=" "," ",W245/(1+'депозитный калькулятор'!$K$8)^(T245/IF('депозитный калькулятор'!$G$7="30/360",360,365)))</f>
        <v xml:space="preserve"> </v>
      </c>
      <c r="Z245" s="142" t="str">
        <f ca="1">IF(S245=" "," ",X245/(1+'депозитный калькулятор'!$K$8)^(T245/IF('депозитный калькулятор'!$G$7="30/360",360,365)))</f>
        <v xml:space="preserve"> </v>
      </c>
      <c r="AA245" s="151"/>
      <c r="AB245" s="151"/>
      <c r="AC245" s="155"/>
      <c r="AD245" s="155"/>
    </row>
    <row r="246" spans="1:30" s="2" customFormat="1" ht="15.5" x14ac:dyDescent="0.35">
      <c r="A246" s="41" t="str">
        <f>IF(F246=" "," ",IF(OR('депозитный калькулятор'!$G$7="30/365",'депозитный калькулятор'!$G$7="30/360"),IF(AND(MONTH(F246)=2,DAY(F246)=DAY(EOMONTH(F246,0))),30-DAY(EOMONTH(F246,0)),IF(DAY(F246)=31,1," "))," "))</f>
        <v xml:space="preserve"> </v>
      </c>
      <c r="B246" s="130" t="str">
        <f t="shared" si="16"/>
        <v xml:space="preserve"> </v>
      </c>
      <c r="C246" s="130" t="str">
        <f>IF(OR(B246=0,B246=" ")," ",SUM($B$23:B246))</f>
        <v xml:space="preserve"> </v>
      </c>
      <c r="D246" s="62" t="str">
        <f>IF(D245=" "," ",IF(OR(F245='депозитный калькулятор'!$D$8,F245=" ")," ",D245+1))</f>
        <v xml:space="preserve"> </v>
      </c>
      <c r="E246" s="130" t="str">
        <f>IF(OR(F245='депозитный калькулятор'!$D$8,F245=" ")," ",IF(EOMONTH(F245,0)=F245,1,E245+1))</f>
        <v xml:space="preserve"> </v>
      </c>
      <c r="F246" s="64" t="str">
        <f>IF(F245=" "," ",IF(F245='депозитный калькулятор'!$D$8," ",F245+1))</f>
        <v xml:space="preserve"> </v>
      </c>
      <c r="G246" s="145" t="str">
        <f xml:space="preserve"> IF(F246&gt;'депозитный калькулятор'!$D$8," ",IF('депозитный калькулятор'!$G$13="есть",IF('депозитный калькулятор'!$G$14="есть",G245+IF(I245=" ",0,I245)-J246-K246+L246+M246-N246,G245+IF(I245=" ",0,I245)-J246-K246+M246-N246),IF('депозитный калькулятор'!$G$14="есть",G245-J246-K246+L246+M246-N246,G245-J246-K246+M246-N246)))</f>
        <v xml:space="preserve"> </v>
      </c>
      <c r="H246" s="133" t="str">
        <f>IF(F246&gt;'депозитный калькулятор'!$D$8," ",IF(AND(OR('депозитный калькулятор'!$G$7="30/365",'депозитный калькулятор'!$G$7="30/360"),AND(MONTH(F246)=2,EOMONTH(F246,0)=F246)),IF(DAY(F246)=28,3*G246*'депозитный калькулятор'!$G$8,2*G246*'депозитный калькулятор'!$G$8),IF(AND(OR('депозитный калькулятор'!$G$7="30/365",'депозитный калькулятор'!$G$7="30/360"),DAY(F246)=31)," ",IF(AND('депозитный калькулятор'!$G$7="факт/факт",MOD(YEAR(F246),4)=0),G246*'депозитный калькулятор'!$D$11/366,G246*'депозитный калькулятор'!$G$8))))</f>
        <v xml:space="preserve"> </v>
      </c>
      <c r="I246" s="134" t="str">
        <f ca="1">IF(F246=" "," ",IF('депозитный калькулятор'!$G$10="ежедневное",H246,IF(AND('депозитный калькулятор'!$G$10="еженедельное",WEEKDAY(F246,2)=7),SUM(OFFSET(H246,-6,0):H246),IF(AND('депозитный калькулятор'!$G$10="еженедельное",F246='депозитный калькулятор'!$D$8),SUM($H$23:H246)-SUM($I$23:I245),IF(AND('депозитный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недели",WEEKDAY(F246,2)=7),MIN(OFFSET(H246,-6,0):H246)*(COUNTIF(OFFSET(H246,-6,0):H246,"&gt;0")+SUMIF(OFFSET(A246,-WEEKDAY(F246,2),0):A246,"=2",OFFSET(A246,-WEEKDAY(F246,2),0):A246)),IF(AND('депозитный калькулятор'!$G$10="еженедельное, на минимальную сумму зафиксированную в течение недели",F246='депозитный калькулятор'!$D$8,WEEKDAY(F246,2)&lt;&gt;7),MIN(OFFSET(H246,-WEEKDAY(F246,2),0):H246)*(COUNTIF(OFFSET(H246,-WEEKDAY(F246,2)+1,0):H246,"&gt;0")+SUM(OFFSET(A246,-WEEKDAY(F246,2),0):A246)),IF(AND('депозитный калькулятор'!$G$10="ежемесячное (в конце месяца)",F246='депозитный калькулятор'!$D$8,EOMONTH(F246,0)&lt;&gt;F246),IF('депозитный калькулятор'!$F$1=1,$H$24,SUM($H$23:H246)-SUM($I$23:I245)),IF(AND('депозитный калькулятор'!$G$10="ежемесячное (в конце месяца)",EOMONTH(F246,0)=F246),SUM($H$23:H246)-SUM($I$23:I245),IF(AND('депозитный калькулятор'!$G$10="ежемесячное (по дням открытия вклада)",F246='депозитный калькулятор'!$D$8,DAY('депозитный калькулятор'!$D$7)&lt;&gt;DAY(F246)),IF('депозитный калькулятор'!$F$1=1,$H$24,SUM($H$23:H246)-SUM($I$23:I245)),IF(AND('депозитный калькулятор'!$G$10="ежемесячное (по дням открытия вклада)",DAY('депозитный калькулятор'!$D$7)=DAY(F246)),SUM($H$23:H246)-SUM($I$23:I245),IF(AND('депозитный калькулятор'!$G$10="ежемесячное, на минимальную сумму зафиксированную в течение месяца",F246='депозитный калькулятор'!$D$8,EOMONTH(F246,0)&lt;&gt;F246),IF('депозитный калькулятор'!$F$1=1,$H$24,IF(AND(OR('депозитный калькулятор'!$G$7="30/365",'депозитный калькулятор'!$G$7="30/360"),DAY(F246)=31),0,MIN(OFFSET(H246,-E246+1,0):H246)*(E246+SUMIF(OFFSET(A246,-E246+1,0):A246,"=2",OFFSET(A246,-E246+1,0):A246)))),IF(AND('депозитный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калькулятор'!$G$7="30/360"),DAY(EOMONTH(F246,0))=31),EOMONTH(F246,0)-1=F246,EOMONTH(F246,0)=F246)),IF(IF(AND(OR('депозитный калькулятор'!$G$7="30/365",'депозитный калькулятор'!$G$7="30/360"),DAY(EOMONTH($F$23,0))=31),F246=EOMONTH($F$23,0)-1,F246=EOMONTH($F$23,0)),MIN(OFFSET(H246,-(DAY(F246)-DAY($F$23)),0):H246)*E246,MIN(OFFSET(H246,-(DAY(F246)-1),0):H246)*IF(AND(OR('депозитный калькулятор'!$G$7="30/365",'депозитный калькулятор'!$G$7="30/360"),DAY(F246)&lt;30),30,DAY(F246))),IF(AND('депозитный калькулятор'!$G$10="ежемесячное, на средний остаток в течение месяца, при условии что остаток больше чем ограничение",F246='депозитный калькулятор'!$D$8,EOMONTH(F246,0)&lt;&gt;F246),IF('депозитный калькулятор'!$F$1=1,$H$24,SUM(OFFSET(Q246,-E246+1,0):Q246)),IF(AND('депозитный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калькулятор'!$G$7="30/360"),DAY(EOMONTH(F246,0))=31),EOMONTH(F246,0)-1=F246,EOMONTH(F246,0)=F246)),IF(IF(AND(OR('депозитный калькулятор'!$G$7="30/365",'депозитный калькулятор'!$G$7="30/360"),DAY(EOMONTH($F$24,0))=31),F246=EOMONTH($F$24,0)-1,F246=EOMONTH($F$24,0)),SUM(OFFSET(Q246,-E246+1,0):Q246),SUM(OFFSET(Q246,-E246+1,0):Q246)),IF('депозитный калькулятор'!$G$10="ежеквартальное",IF(F246&gt;'депозитный калькулятор'!$D$8," ",IF(AND(EOMONTH(F246,0)=F246,OR(MONTH(F246)=3,MONTH(F246)=6,MONTH(F246)=9,MONTH(F246)=12)),IF(EDATE(F246,-3)&lt;'депозитный калькулятор'!$D$7,SUM($H$23:H246),IF(MOD(YEAR(F246),4)=0,IF(AND(EOMONTH(F246,0)=F246,OR(MONTH(F246)=3,MONTH(F246)=6)),SUM(OFFSET(H246,-90,0):H246),IF(AND(EOMONTH(F246,0)=F246,OR(MONTH(F246)=9,MONTH(F246)=12)),SUM(OFFSET(H246,-91,0):H246))),IF(AND(EOMONTH(F246,0)=F246,MONTH(F246)=3),SUM(OFFSET(H246,-89,0):H246),IF(AND(EOMONTH(F246,0)=F246,MONTH(F246)=6),SUM(OFFSET(H246,-90,0):H246),IF(AND(EOMONTH(F246,0)=F246,OR(MONTH(F246)=9,MONTH(F246)=12)),SUM(OFFSET(H246,-91,0):H246)))))),IF(F246='депозитный калькулятор'!$D$8,SUM($H$23:H246)-SUM($I$23:I245),0))),IF('депозитный калькулятор'!$G$10="ежегодное",IF(F246&gt;'депозитный калькулятор'!$D$8," ",IF(F246='депозитный калькулятор'!$D$8,SUM($H$23:H246)-SUM($I$23:I245),IF(AND(EOMONTH(F246,0)=F246,MONTH(F246)=12),IF(MOD(YEAR(F245),4)=0,IF(F246-'депозитный калькулятор'!$D$7&lt;366,SUM($H$23:H246),SUM(OFFSET(H246,-365,0):H246)),IF(F246-'депозитный калькулятор'!$D$7&lt;365,SUM($H$23:H246),SUM(OFFSET(H246,-364,0):H246))),0))),IF(AND('депозитный калькулятор'!$G$10="в конце срока",'депозитный калькулятор'!$D$8=F246),SUM($H$23:H246),0))))))))))))))))))</f>
        <v xml:space="preserve"> </v>
      </c>
      <c r="J246" s="59" t="str">
        <f>IF(F246&gt;'депозитный калькулятор'!$D$8," ",IF('депозитный калькулятор'!$G$16="нет",0,IF(AND('депозитный калькулятор'!$G$17="разовая (в конце срока)",F246='депозитный калькулятор'!$D$8),'депозитный калькулятор'!$G$18,IF(AND('депозитный калькулятор'!$G$17="ежемесячная",EOMONTH(F245,0)=F245),'депозитный калькулятор'!$G$18,IF(AND('депозитный калькулятор'!$G$17="ежегодная",DAY(F245)=31,MONTH(F245)=12),'депозитный калькулятор'!$G$18,IF(AND('депозитный калькулятор'!$G$17="ежемесячная в зависимости от остатка",EOMONTH(F245,0)=F245,P245&gt;0),'депозитный калькулятор'!$G$18,IF(AND('депозитный калькулятор'!$G$17="ежегодная в зависимости от остатка",DAY(F245)=31,MONTH(F245)=12,P245&gt;0),'депозитный калькулятор'!$G$18,0)))))))</f>
        <v xml:space="preserve"> </v>
      </c>
      <c r="K246" s="135" t="str">
        <f>IF($F246=" "," ",IFERROR(VLOOKUP($F246,'депозитный калькулятор'!$B$26:$F$70,2,0),0))</f>
        <v xml:space="preserve"> </v>
      </c>
      <c r="L246" s="135" t="str">
        <f>IF($F246=" "," ",IFERROR(VLOOKUP($F246,'депозитный калькулятор'!$B$26:$F$70,3,0),0))</f>
        <v xml:space="preserve"> </v>
      </c>
      <c r="M246" s="135" t="str">
        <f>IF($F246=" "," ",IFERROR(VLOOKUP($F246,'депозитный калькулятор'!$B$26:$F$70,4,0),0))</f>
        <v xml:space="preserve"> </v>
      </c>
      <c r="N246" s="135" t="str">
        <f>IF($F246=" "," ",IFERROR(VLOOKUP($F246,'депозитный калькулятор'!$B$26:$F$70,5,0),0))</f>
        <v xml:space="preserve"> </v>
      </c>
      <c r="O246" s="146" t="str">
        <f>IF(F246&gt;'депозитный калькулятор'!$D$8," ",IF(F246='депозитный калькулятор'!$D$8,IF(AND($F$24='депозитный калькулятор'!$D$8,'депозитный калькулятор'!$G$13="нет"),-G246-IF(I246=" ",0,I246)-IF(AND(OR('депозитный калькулятор'!$G$7="30/365",'депозитный калькулятор'!$G$7="30/360"),'депозитный калькулятор'!$G$10="в начале срока"),I245,0)-L246+M246-N246,-G246-IF(I246=" ",0,I246)-L246+M246-N246),IF('депозитный калькулятор'!$G$13="есть",M246-N246+IF('депозитный калькулятор'!$G$14="есть",0,-L246),-IF(I246=" ",0,I246)-IF(AND(OR('депозитный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срока"),I245,0)+M246-N246+IF('депозитный калькулятор'!$G$14="есть",0,-L246))))</f>
        <v xml:space="preserve"> </v>
      </c>
      <c r="P246" s="147" t="str">
        <f>IF(F246&gt;'депозитный калькулятор'!$D$8," ",IF(EOMONTH(F245,0)=F245,0,IF(G246&gt;='депозитный калькулятор'!$G$19,P245,P245+1)))</f>
        <v xml:space="preserve"> </v>
      </c>
      <c r="Q246" s="138" t="str">
        <f>IF(F246=" "," ",IF(AND(OR('депозитный калькулятор'!$G$7="30/365",'депозитный калькулятор'!$G$7="30/360"),AND(MONTH(F246)=2,EOMONTH(F246,0)=F246)),IF(DAY(F246)=28,3,2),1)*IF(G246&gt;='депозитный калькулятор'!$G$11,IF(AND('депозитный калькулятор'!$G$7="факт/факт",MOD(YEAR(F246),4)=0),G246*'депозитный калькулятор'!$D$11/366,G246*'депозитный калькулятор'!$G$8),0))</f>
        <v xml:space="preserve"> </v>
      </c>
      <c r="R246" s="148"/>
      <c r="S246" s="62" t="str">
        <f t="shared" ca="1" si="17"/>
        <v xml:space="preserve"> </v>
      </c>
      <c r="T246" s="149" t="str">
        <f ca="1">IF(S246=" "," ",IF('депозитный калькулятор'!$G$7="30/360",DAYS360(U245,IF(DAY(U246)=31,U246-1,U246))+IF(AND(MONTH(U246)=2,U246=EOMONTH(U246,0)),30-DAY(EOMONTH(U246,0)))+T245,VLOOKUP(S246,$C$22:$F$1023,2,0)))</f>
        <v xml:space="preserve"> </v>
      </c>
      <c r="U246" s="64" t="str">
        <f t="shared" ca="1" si="15"/>
        <v xml:space="preserve"> </v>
      </c>
      <c r="V246" s="150" t="str">
        <f t="shared" ca="1" si="18"/>
        <v xml:space="preserve"> </v>
      </c>
      <c r="W246" s="62" t="str">
        <f t="shared" ca="1" si="19"/>
        <v xml:space="preserve"> </v>
      </c>
      <c r="X246" s="141" t="str">
        <f ca="1">IF(S246=" "," ",IFERROR(VLOOKUP(U246,$F$23:$N$1023,7)+VLOOKUP(U246,$F$23:$N$1023,9)+IF(AND('депозитный калькулятор'!$G$13="нет",U246&lt;&gt;'депозитный калькулятор'!$D$8),VLOOKUP(U246,$F$23:$N$1023,4),0),0)+IF(U246='депозитный калькулятор'!$D$8,VLOOKUP(U246,$F$23:$N$1023,2)+VLOOKUP(U246,$F$23:$N$1023,4),0))</f>
        <v xml:space="preserve"> </v>
      </c>
      <c r="Y246" s="142" t="str">
        <f ca="1">IF(S246=" "," ",W246/(1+'депозитный калькулятор'!$K$8)^(T246/IF('депозитный калькулятор'!$G$7="30/360",360,365)))</f>
        <v xml:space="preserve"> </v>
      </c>
      <c r="Z246" s="142" t="str">
        <f ca="1">IF(S246=" "," ",X246/(1+'депозитный калькулятор'!$K$8)^(T246/IF('депозитный калькулятор'!$G$7="30/360",360,365)))</f>
        <v xml:space="preserve"> </v>
      </c>
      <c r="AA246" s="151"/>
      <c r="AB246" s="151"/>
      <c r="AC246" s="155"/>
      <c r="AD246" s="155"/>
    </row>
    <row r="247" spans="1:30" s="2" customFormat="1" ht="15.5" x14ac:dyDescent="0.35">
      <c r="A247" s="41" t="str">
        <f>IF(F247=" "," ",IF(OR('депозитный калькулятор'!$G$7="30/365",'депозитный калькулятор'!$G$7="30/360"),IF(AND(MONTH(F247)=2,DAY(F247)=DAY(EOMONTH(F247,0))),30-DAY(EOMONTH(F247,0)),IF(DAY(F247)=31,1," "))," "))</f>
        <v xml:space="preserve"> </v>
      </c>
      <c r="B247" s="130" t="str">
        <f t="shared" si="16"/>
        <v xml:space="preserve"> </v>
      </c>
      <c r="C247" s="130" t="str">
        <f>IF(OR(B247=0,B247=" ")," ",SUM($B$23:B247))</f>
        <v xml:space="preserve"> </v>
      </c>
      <c r="D247" s="62" t="str">
        <f>IF(D246=" "," ",IF(OR(F246='депозитный калькулятор'!$D$8,F246=" ")," ",D246+1))</f>
        <v xml:space="preserve"> </v>
      </c>
      <c r="E247" s="130" t="str">
        <f>IF(OR(F246='депозитный калькулятор'!$D$8,F246=" ")," ",IF(EOMONTH(F246,0)=F246,1,E246+1))</f>
        <v xml:space="preserve"> </v>
      </c>
      <c r="F247" s="64" t="str">
        <f>IF(F246=" "," ",IF(F246='депозитный калькулятор'!$D$8," ",F246+1))</f>
        <v xml:space="preserve"> </v>
      </c>
      <c r="G247" s="145" t="str">
        <f xml:space="preserve"> IF(F247&gt;'депозитный калькулятор'!$D$8," ",IF('депозитный калькулятор'!$G$13="есть",IF('депозитный калькулятор'!$G$14="есть",G246+IF(I246=" ",0,I246)-J247-K247+L247+M247-N247,G246+IF(I246=" ",0,I246)-J247-K247+M247-N247),IF('депозитный калькулятор'!$G$14="есть",G246-J247-K247+L247+M247-N247,G246-J247-K247+M247-N247)))</f>
        <v xml:space="preserve"> </v>
      </c>
      <c r="H247" s="133" t="str">
        <f>IF(F247&gt;'депозитный калькулятор'!$D$8," ",IF(AND(OR('депозитный калькулятор'!$G$7="30/365",'депозитный калькулятор'!$G$7="30/360"),AND(MONTH(F247)=2,EOMONTH(F247,0)=F247)),IF(DAY(F247)=28,3*G247*'депозитный калькулятор'!$G$8,2*G247*'депозитный калькулятор'!$G$8),IF(AND(OR('депозитный калькулятор'!$G$7="30/365",'депозитный калькулятор'!$G$7="30/360"),DAY(F247)=31)," ",IF(AND('депозитный калькулятор'!$G$7="факт/факт",MOD(YEAR(F247),4)=0),G247*'депозитный калькулятор'!$D$11/366,G247*'депозитный калькулятор'!$G$8))))</f>
        <v xml:space="preserve"> </v>
      </c>
      <c r="I247" s="134" t="str">
        <f ca="1">IF(F247=" "," ",IF('депозитный калькулятор'!$G$10="ежедневное",H247,IF(AND('депозитный калькулятор'!$G$10="еженедельное",WEEKDAY(F247,2)=7),SUM(OFFSET(H247,-6,0):H247),IF(AND('депозитный калькулятор'!$G$10="еженедельное",F247='депозитный калькулятор'!$D$8),SUM($H$23:H247)-SUM($I$23:I246),IF(AND('депозитный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недели",WEEKDAY(F247,2)=7),MIN(OFFSET(H247,-6,0):H247)*(COUNTIF(OFFSET(H247,-6,0):H247,"&gt;0")+SUMIF(OFFSET(A247,-WEEKDAY(F247,2),0):A247,"=2",OFFSET(A247,-WEEKDAY(F247,2),0):A247)),IF(AND('депозитный калькулятор'!$G$10="еженедельное, на минимальную сумму зафиксированную в течение недели",F247='депозитный калькулятор'!$D$8,WEEKDAY(F247,2)&lt;&gt;7),MIN(OFFSET(H247,-WEEKDAY(F247,2),0):H247)*(COUNTIF(OFFSET(H247,-WEEKDAY(F247,2)+1,0):H247,"&gt;0")+SUM(OFFSET(A247,-WEEKDAY(F247,2),0):A247)),IF(AND('депозитный калькулятор'!$G$10="ежемесячное (в конце месяца)",F247='депозитный калькулятор'!$D$8,EOMONTH(F247,0)&lt;&gt;F247),IF('депозитный калькулятор'!$F$1=1,$H$24,SUM($H$23:H247)-SUM($I$23:I246)),IF(AND('депозитный калькулятор'!$G$10="ежемесячное (в конце месяца)",EOMONTH(F247,0)=F247),SUM($H$23:H247)-SUM($I$23:I246),IF(AND('депозитный калькулятор'!$G$10="ежемесячное (по дням открытия вклада)",F247='депозитный калькулятор'!$D$8,DAY('депозитный калькулятор'!$D$7)&lt;&gt;DAY(F247)),IF('депозитный калькулятор'!$F$1=1,$H$24,SUM($H$23:H247)-SUM($I$23:I246)),IF(AND('депозитный калькулятор'!$G$10="ежемесячное (по дням открытия вклада)",DAY('депозитный калькулятор'!$D$7)=DAY(F247)),SUM($H$23:H247)-SUM($I$23:I246),IF(AND('депозитный калькулятор'!$G$10="ежемесячное, на минимальную сумму зафиксированную в течение месяца",F247='депозитный калькулятор'!$D$8,EOMONTH(F247,0)&lt;&gt;F247),IF('депозитный калькулятор'!$F$1=1,$H$24,IF(AND(OR('депозитный калькулятор'!$G$7="30/365",'депозитный калькулятор'!$G$7="30/360"),DAY(F247)=31),0,MIN(OFFSET(H247,-E247+1,0):H247)*(E247+SUMIF(OFFSET(A247,-E247+1,0):A247,"=2",OFFSET(A247,-E247+1,0):A247)))),IF(AND('депозитный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калькулятор'!$G$7="30/360"),DAY(EOMONTH(F247,0))=31),EOMONTH(F247,0)-1=F247,EOMONTH(F247,0)=F247)),IF(IF(AND(OR('депозитный калькулятор'!$G$7="30/365",'депозитный калькулятор'!$G$7="30/360"),DAY(EOMONTH($F$23,0))=31),F247=EOMONTH($F$23,0)-1,F247=EOMONTH($F$23,0)),MIN(OFFSET(H247,-(DAY(F247)-DAY($F$23)),0):H247)*E247,MIN(OFFSET(H247,-(DAY(F247)-1),0):H247)*IF(AND(OR('депозитный калькулятор'!$G$7="30/365",'депозитный калькулятор'!$G$7="30/360"),DAY(F247)&lt;30),30,DAY(F247))),IF(AND('депозитный калькулятор'!$G$10="ежемесячное, на средний остаток в течение месяца, при условии что остаток больше чем ограничение",F247='депозитный калькулятор'!$D$8,EOMONTH(F247,0)&lt;&gt;F247),IF('депозитный калькулятор'!$F$1=1,$H$24,SUM(OFFSET(Q247,-E247+1,0):Q247)),IF(AND('депозитный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калькулятор'!$G$7="30/360"),DAY(EOMONTH(F247,0))=31),EOMONTH(F247,0)-1=F247,EOMONTH(F247,0)=F247)),IF(IF(AND(OR('депозитный калькулятор'!$G$7="30/365",'депозитный калькулятор'!$G$7="30/360"),DAY(EOMONTH($F$24,0))=31),F247=EOMONTH($F$24,0)-1,F247=EOMONTH($F$24,0)),SUM(OFFSET(Q247,-E247+1,0):Q247),SUM(OFFSET(Q247,-E247+1,0):Q247)),IF('депозитный калькулятор'!$G$10="ежеквартальное",IF(F247&gt;'депозитный калькулятор'!$D$8," ",IF(AND(EOMONTH(F247,0)=F247,OR(MONTH(F247)=3,MONTH(F247)=6,MONTH(F247)=9,MONTH(F247)=12)),IF(EDATE(F247,-3)&lt;'депозитный калькулятор'!$D$7,SUM($H$23:H247),IF(MOD(YEAR(F247),4)=0,IF(AND(EOMONTH(F247,0)=F247,OR(MONTH(F247)=3,MONTH(F247)=6)),SUM(OFFSET(H247,-90,0):H247),IF(AND(EOMONTH(F247,0)=F247,OR(MONTH(F247)=9,MONTH(F247)=12)),SUM(OFFSET(H247,-91,0):H247))),IF(AND(EOMONTH(F247,0)=F247,MONTH(F247)=3),SUM(OFFSET(H247,-89,0):H247),IF(AND(EOMONTH(F247,0)=F247,MONTH(F247)=6),SUM(OFFSET(H247,-90,0):H247),IF(AND(EOMONTH(F247,0)=F247,OR(MONTH(F247)=9,MONTH(F247)=12)),SUM(OFFSET(H247,-91,0):H247)))))),IF(F247='депозитный калькулятор'!$D$8,SUM($H$23:H247)-SUM($I$23:I246),0))),IF('депозитный калькулятор'!$G$10="ежегодное",IF(F247&gt;'депозитный калькулятор'!$D$8," ",IF(F247='депозитный калькулятор'!$D$8,SUM($H$23:H247)-SUM($I$23:I246),IF(AND(EOMONTH(F247,0)=F247,MONTH(F247)=12),IF(MOD(YEAR(F246),4)=0,IF(F247-'депозитный калькулятор'!$D$7&lt;366,SUM($H$23:H247),SUM(OFFSET(H247,-365,0):H247)),IF(F247-'депозитный калькулятор'!$D$7&lt;365,SUM($H$23:H247),SUM(OFFSET(H247,-364,0):H247))),0))),IF(AND('депозитный калькулятор'!$G$10="в конце срока",'депозитный калькулятор'!$D$8=F247),SUM($H$23:H247),0))))))))))))))))))</f>
        <v xml:space="preserve"> </v>
      </c>
      <c r="J247" s="59" t="str">
        <f>IF(F247&gt;'депозитный калькулятор'!$D$8," ",IF('депозитный калькулятор'!$G$16="нет",0,IF(AND('депозитный калькулятор'!$G$17="разовая (в конце срока)",F247='депозитный калькулятор'!$D$8),'депозитный калькулятор'!$G$18,IF(AND('депозитный калькулятор'!$G$17="ежемесячная",EOMONTH(F246,0)=F246),'депозитный калькулятор'!$G$18,IF(AND('депозитный калькулятор'!$G$17="ежегодная",DAY(F246)=31,MONTH(F246)=12),'депозитный калькулятор'!$G$18,IF(AND('депозитный калькулятор'!$G$17="ежемесячная в зависимости от остатка",EOMONTH(F246,0)=F246,P246&gt;0),'депозитный калькулятор'!$G$18,IF(AND('депозитный калькулятор'!$G$17="ежегодная в зависимости от остатка",DAY(F246)=31,MONTH(F246)=12,P246&gt;0),'депозитный калькулятор'!$G$18,0)))))))</f>
        <v xml:space="preserve"> </v>
      </c>
      <c r="K247" s="135" t="str">
        <f>IF($F247=" "," ",IFERROR(VLOOKUP($F247,'депозитный калькулятор'!$B$26:$F$70,2,0),0))</f>
        <v xml:space="preserve"> </v>
      </c>
      <c r="L247" s="135" t="str">
        <f>IF($F247=" "," ",IFERROR(VLOOKUP($F247,'депозитный калькулятор'!$B$26:$F$70,3,0),0))</f>
        <v xml:space="preserve"> </v>
      </c>
      <c r="M247" s="135" t="str">
        <f>IF($F247=" "," ",IFERROR(VLOOKUP($F247,'депозитный калькулятор'!$B$26:$F$70,4,0),0))</f>
        <v xml:space="preserve"> </v>
      </c>
      <c r="N247" s="135" t="str">
        <f>IF($F247=" "," ",IFERROR(VLOOKUP($F247,'депозитный калькулятор'!$B$26:$F$70,5,0),0))</f>
        <v xml:space="preserve"> </v>
      </c>
      <c r="O247" s="146" t="str">
        <f>IF(F247&gt;'депозитный калькулятор'!$D$8," ",IF(F247='депозитный калькулятор'!$D$8,IF(AND($F$24='депозитный калькулятор'!$D$8,'депозитный калькулятор'!$G$13="нет"),-G247-IF(I247=" ",0,I247)-IF(AND(OR('депозитный калькулятор'!$G$7="30/365",'депозитный калькулятор'!$G$7="30/360"),'депозитный калькулятор'!$G$10="в начале срока"),I246,0)-L247+M247-N247,-G247-IF(I247=" ",0,I247)-L247+M247-N247),IF('депозитный калькулятор'!$G$13="есть",M247-N247+IF('депозитный калькулятор'!$G$14="есть",0,-L247),-IF(I247=" ",0,I247)-IF(AND(OR('депозитный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срока"),I246,0)+M247-N247+IF('депозитный калькулятор'!$G$14="есть",0,-L247))))</f>
        <v xml:space="preserve"> </v>
      </c>
      <c r="P247" s="147" t="str">
        <f>IF(F247&gt;'депозитный калькулятор'!$D$8," ",IF(EOMONTH(F246,0)=F246,0,IF(G247&gt;='депозитный калькулятор'!$G$19,P246,P246+1)))</f>
        <v xml:space="preserve"> </v>
      </c>
      <c r="Q247" s="138" t="str">
        <f>IF(F247=" "," ",IF(AND(OR('депозитный калькулятор'!$G$7="30/365",'депозитный калькулятор'!$G$7="30/360"),AND(MONTH(F247)=2,EOMONTH(F247,0)=F247)),IF(DAY(F247)=28,3,2),1)*IF(G247&gt;='депозитный калькулятор'!$G$11,IF(AND('депозитный калькулятор'!$G$7="факт/факт",MOD(YEAR(F247),4)=0),G247*'депозитный калькулятор'!$D$11/366,G247*'депозитный калькулятор'!$G$8),0))</f>
        <v xml:space="preserve"> </v>
      </c>
      <c r="R247" s="148"/>
      <c r="S247" s="62" t="str">
        <f t="shared" ca="1" si="17"/>
        <v xml:space="preserve"> </v>
      </c>
      <c r="T247" s="149" t="str">
        <f ca="1">IF(S247=" "," ",IF('депозитный калькулятор'!$G$7="30/360",DAYS360(U246,IF(DAY(U247)=31,U247-1,U247))+IF(AND(MONTH(U247)=2,U247=EOMONTH(U247,0)),30-DAY(EOMONTH(U247,0)))+T246,VLOOKUP(S247,$C$22:$F$1023,2,0)))</f>
        <v xml:space="preserve"> </v>
      </c>
      <c r="U247" s="64" t="str">
        <f t="shared" ca="1" si="15"/>
        <v xml:space="preserve"> </v>
      </c>
      <c r="V247" s="150" t="str">
        <f t="shared" ca="1" si="18"/>
        <v xml:space="preserve"> </v>
      </c>
      <c r="W247" s="62" t="str">
        <f t="shared" ca="1" si="19"/>
        <v xml:space="preserve"> </v>
      </c>
      <c r="X247" s="141" t="str">
        <f ca="1">IF(S247=" "," ",IFERROR(VLOOKUP(U247,$F$23:$N$1023,7)+VLOOKUP(U247,$F$23:$N$1023,9)+IF(AND('депозитный калькулятор'!$G$13="нет",U247&lt;&gt;'депозитный калькулятор'!$D$8),VLOOKUP(U247,$F$23:$N$1023,4),0),0)+IF(U247='депозитный калькулятор'!$D$8,VLOOKUP(U247,$F$23:$N$1023,2)+VLOOKUP(U247,$F$23:$N$1023,4),0))</f>
        <v xml:space="preserve"> </v>
      </c>
      <c r="Y247" s="142" t="str">
        <f ca="1">IF(S247=" "," ",W247/(1+'депозитный калькулятор'!$K$8)^(T247/IF('депозитный калькулятор'!$G$7="30/360",360,365)))</f>
        <v xml:space="preserve"> </v>
      </c>
      <c r="Z247" s="142" t="str">
        <f ca="1">IF(S247=" "," ",X247/(1+'депозитный калькулятор'!$K$8)^(T247/IF('депозитный калькулятор'!$G$7="30/360",360,365)))</f>
        <v xml:space="preserve"> </v>
      </c>
      <c r="AA247" s="151"/>
      <c r="AB247" s="151"/>
      <c r="AC247" s="155"/>
      <c r="AD247" s="155"/>
    </row>
    <row r="248" spans="1:30" s="2" customFormat="1" ht="15.5" x14ac:dyDescent="0.35">
      <c r="A248" s="41" t="str">
        <f>IF(F248=" "," ",IF(OR('депозитный калькулятор'!$G$7="30/365",'депозитный калькулятор'!$G$7="30/360"),IF(AND(MONTH(F248)=2,DAY(F248)=DAY(EOMONTH(F248,0))),30-DAY(EOMONTH(F248,0)),IF(DAY(F248)=31,1," "))," "))</f>
        <v xml:space="preserve"> </v>
      </c>
      <c r="B248" s="130" t="str">
        <f t="shared" si="16"/>
        <v xml:space="preserve"> </v>
      </c>
      <c r="C248" s="130" t="str">
        <f>IF(OR(B248=0,B248=" ")," ",SUM($B$23:B248))</f>
        <v xml:space="preserve"> </v>
      </c>
      <c r="D248" s="62" t="str">
        <f>IF(D247=" "," ",IF(OR(F247='депозитный калькулятор'!$D$8,F247=" ")," ",D247+1))</f>
        <v xml:space="preserve"> </v>
      </c>
      <c r="E248" s="130" t="str">
        <f>IF(OR(F247='депозитный калькулятор'!$D$8,F247=" ")," ",IF(EOMONTH(F247,0)=F247,1,E247+1))</f>
        <v xml:space="preserve"> </v>
      </c>
      <c r="F248" s="64" t="str">
        <f>IF(F247=" "," ",IF(F247='депозитный калькулятор'!$D$8," ",F247+1))</f>
        <v xml:space="preserve"> </v>
      </c>
      <c r="G248" s="145" t="str">
        <f xml:space="preserve"> IF(F248&gt;'депозитный калькулятор'!$D$8," ",IF('депозитный калькулятор'!$G$13="есть",IF('депозитный калькулятор'!$G$14="есть",G247+IF(I247=" ",0,I247)-J248-K248+L248+M248-N248,G247+IF(I247=" ",0,I247)-J248-K248+M248-N248),IF('депозитный калькулятор'!$G$14="есть",G247-J248-K248+L248+M248-N248,G247-J248-K248+M248-N248)))</f>
        <v xml:space="preserve"> </v>
      </c>
      <c r="H248" s="133" t="str">
        <f>IF(F248&gt;'депозитный калькулятор'!$D$8," ",IF(AND(OR('депозитный калькулятор'!$G$7="30/365",'депозитный калькулятор'!$G$7="30/360"),AND(MONTH(F248)=2,EOMONTH(F248,0)=F248)),IF(DAY(F248)=28,3*G248*'депозитный калькулятор'!$G$8,2*G248*'депозитный калькулятор'!$G$8),IF(AND(OR('депозитный калькулятор'!$G$7="30/365",'депозитный калькулятор'!$G$7="30/360"),DAY(F248)=31)," ",IF(AND('депозитный калькулятор'!$G$7="факт/факт",MOD(YEAR(F248),4)=0),G248*'депозитный калькулятор'!$D$11/366,G248*'депозитный калькулятор'!$G$8))))</f>
        <v xml:space="preserve"> </v>
      </c>
      <c r="I248" s="134" t="str">
        <f ca="1">IF(F248=" "," ",IF('депозитный калькулятор'!$G$10="ежедневное",H248,IF(AND('депозитный калькулятор'!$G$10="еженедельное",WEEKDAY(F248,2)=7),SUM(OFFSET(H248,-6,0):H248),IF(AND('депозитный калькулятор'!$G$10="еженедельное",F248='депозитный калькулятор'!$D$8),SUM($H$23:H248)-SUM($I$23:I247),IF(AND('депозитный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недели",WEEKDAY(F248,2)=7),MIN(OFFSET(H248,-6,0):H248)*(COUNTIF(OFFSET(H248,-6,0):H248,"&gt;0")+SUMIF(OFFSET(A248,-WEEKDAY(F248,2),0):A248,"=2",OFFSET(A248,-WEEKDAY(F248,2),0):A248)),IF(AND('депозитный калькулятор'!$G$10="еженедельное, на минимальную сумму зафиксированную в течение недели",F248='депозитный калькулятор'!$D$8,WEEKDAY(F248,2)&lt;&gt;7),MIN(OFFSET(H248,-WEEKDAY(F248,2),0):H248)*(COUNTIF(OFFSET(H248,-WEEKDAY(F248,2)+1,0):H248,"&gt;0")+SUM(OFFSET(A248,-WEEKDAY(F248,2),0):A248)),IF(AND('депозитный калькулятор'!$G$10="ежемесячное (в конце месяца)",F248='депозитный калькулятор'!$D$8,EOMONTH(F248,0)&lt;&gt;F248),IF('депозитный калькулятор'!$F$1=1,$H$24,SUM($H$23:H248)-SUM($I$23:I247)),IF(AND('депозитный калькулятор'!$G$10="ежемесячное (в конце месяца)",EOMONTH(F248,0)=F248),SUM($H$23:H248)-SUM($I$23:I247),IF(AND('депозитный калькулятор'!$G$10="ежемесячное (по дням открытия вклада)",F248='депозитный калькулятор'!$D$8,DAY('депозитный калькулятор'!$D$7)&lt;&gt;DAY(F248)),IF('депозитный калькулятор'!$F$1=1,$H$24,SUM($H$23:H248)-SUM($I$23:I247)),IF(AND('депозитный калькулятор'!$G$10="ежемесячное (по дням открытия вклада)",DAY('депозитный калькулятор'!$D$7)=DAY(F248)),SUM($H$23:H248)-SUM($I$23:I247),IF(AND('депозитный калькулятор'!$G$10="ежемесячное, на минимальную сумму зафиксированную в течение месяца",F248='депозитный калькулятор'!$D$8,EOMONTH(F248,0)&lt;&gt;F248),IF('депозитный калькулятор'!$F$1=1,$H$24,IF(AND(OR('депозитный калькулятор'!$G$7="30/365",'депозитный калькулятор'!$G$7="30/360"),DAY(F248)=31),0,MIN(OFFSET(H248,-E248+1,0):H248)*(E248+SUMIF(OFFSET(A248,-E248+1,0):A248,"=2",OFFSET(A248,-E248+1,0):A248)))),IF(AND('депозитный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калькулятор'!$G$7="30/360"),DAY(EOMONTH(F248,0))=31),EOMONTH(F248,0)-1=F248,EOMONTH(F248,0)=F248)),IF(IF(AND(OR('депозитный калькулятор'!$G$7="30/365",'депозитный калькулятор'!$G$7="30/360"),DAY(EOMONTH($F$23,0))=31),F248=EOMONTH($F$23,0)-1,F248=EOMONTH($F$23,0)),MIN(OFFSET(H248,-(DAY(F248)-DAY($F$23)),0):H248)*E248,MIN(OFFSET(H248,-(DAY(F248)-1),0):H248)*IF(AND(OR('депозитный калькулятор'!$G$7="30/365",'депозитный калькулятор'!$G$7="30/360"),DAY(F248)&lt;30),30,DAY(F248))),IF(AND('депозитный калькулятор'!$G$10="ежемесячное, на средний остаток в течение месяца, при условии что остаток больше чем ограничение",F248='депозитный калькулятор'!$D$8,EOMONTH(F248,0)&lt;&gt;F248),IF('депозитный калькулятор'!$F$1=1,$H$24,SUM(OFFSET(Q248,-E248+1,0):Q248)),IF(AND('депозитный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калькулятор'!$G$7="30/360"),DAY(EOMONTH(F248,0))=31),EOMONTH(F248,0)-1=F248,EOMONTH(F248,0)=F248)),IF(IF(AND(OR('депозитный калькулятор'!$G$7="30/365",'депозитный калькулятор'!$G$7="30/360"),DAY(EOMONTH($F$24,0))=31),F248=EOMONTH($F$24,0)-1,F248=EOMONTH($F$24,0)),SUM(OFFSET(Q248,-E248+1,0):Q248),SUM(OFFSET(Q248,-E248+1,0):Q248)),IF('депозитный калькулятор'!$G$10="ежеквартальное",IF(F248&gt;'депозитный калькулятор'!$D$8," ",IF(AND(EOMONTH(F248,0)=F248,OR(MONTH(F248)=3,MONTH(F248)=6,MONTH(F248)=9,MONTH(F248)=12)),IF(EDATE(F248,-3)&lt;'депозитный калькулятор'!$D$7,SUM($H$23:H248),IF(MOD(YEAR(F248),4)=0,IF(AND(EOMONTH(F248,0)=F248,OR(MONTH(F248)=3,MONTH(F248)=6)),SUM(OFFSET(H248,-90,0):H248),IF(AND(EOMONTH(F248,0)=F248,OR(MONTH(F248)=9,MONTH(F248)=12)),SUM(OFFSET(H248,-91,0):H248))),IF(AND(EOMONTH(F248,0)=F248,MONTH(F248)=3),SUM(OFFSET(H248,-89,0):H248),IF(AND(EOMONTH(F248,0)=F248,MONTH(F248)=6),SUM(OFFSET(H248,-90,0):H248),IF(AND(EOMONTH(F248,0)=F248,OR(MONTH(F248)=9,MONTH(F248)=12)),SUM(OFFSET(H248,-91,0):H248)))))),IF(F248='депозитный калькулятор'!$D$8,SUM($H$23:H248)-SUM($I$23:I247),0))),IF('депозитный калькулятор'!$G$10="ежегодное",IF(F248&gt;'депозитный калькулятор'!$D$8," ",IF(F248='депозитный калькулятор'!$D$8,SUM($H$23:H248)-SUM($I$23:I247),IF(AND(EOMONTH(F248,0)=F248,MONTH(F248)=12),IF(MOD(YEAR(F247),4)=0,IF(F248-'депозитный калькулятор'!$D$7&lt;366,SUM($H$23:H248),SUM(OFFSET(H248,-365,0):H248)),IF(F248-'депозитный калькулятор'!$D$7&lt;365,SUM($H$23:H248),SUM(OFFSET(H248,-364,0):H248))),0))),IF(AND('депозитный калькулятор'!$G$10="в конце срока",'депозитный калькулятор'!$D$8=F248),SUM($H$23:H248),0))))))))))))))))))</f>
        <v xml:space="preserve"> </v>
      </c>
      <c r="J248" s="59" t="str">
        <f>IF(F248&gt;'депозитный калькулятор'!$D$8," ",IF('депозитный калькулятор'!$G$16="нет",0,IF(AND('депозитный калькулятор'!$G$17="разовая (в конце срока)",F248='депозитный калькулятор'!$D$8),'депозитный калькулятор'!$G$18,IF(AND('депозитный калькулятор'!$G$17="ежемесячная",EOMONTH(F247,0)=F247),'депозитный калькулятор'!$G$18,IF(AND('депозитный калькулятор'!$G$17="ежегодная",DAY(F247)=31,MONTH(F247)=12),'депозитный калькулятор'!$G$18,IF(AND('депозитный калькулятор'!$G$17="ежемесячная в зависимости от остатка",EOMONTH(F247,0)=F247,P247&gt;0),'депозитный калькулятор'!$G$18,IF(AND('депозитный калькулятор'!$G$17="ежегодная в зависимости от остатка",DAY(F247)=31,MONTH(F247)=12,P247&gt;0),'депозитный калькулятор'!$G$18,0)))))))</f>
        <v xml:space="preserve"> </v>
      </c>
      <c r="K248" s="135" t="str">
        <f>IF($F248=" "," ",IFERROR(VLOOKUP($F248,'депозитный калькулятор'!$B$26:$F$70,2,0),0))</f>
        <v xml:space="preserve"> </v>
      </c>
      <c r="L248" s="135" t="str">
        <f>IF($F248=" "," ",IFERROR(VLOOKUP($F248,'депозитный калькулятор'!$B$26:$F$70,3,0),0))</f>
        <v xml:space="preserve"> </v>
      </c>
      <c r="M248" s="135" t="str">
        <f>IF($F248=" "," ",IFERROR(VLOOKUP($F248,'депозитный калькулятор'!$B$26:$F$70,4,0),0))</f>
        <v xml:space="preserve"> </v>
      </c>
      <c r="N248" s="135" t="str">
        <f>IF($F248=" "," ",IFERROR(VLOOKUP($F248,'депозитный калькулятор'!$B$26:$F$70,5,0),0))</f>
        <v xml:space="preserve"> </v>
      </c>
      <c r="O248" s="146" t="str">
        <f>IF(F248&gt;'депозитный калькулятор'!$D$8," ",IF(F248='депозитный калькулятор'!$D$8,IF(AND($F$24='депозитный калькулятор'!$D$8,'депозитный калькулятор'!$G$13="нет"),-G248-IF(I248=" ",0,I248)-IF(AND(OR('депозитный калькулятор'!$G$7="30/365",'депозитный калькулятор'!$G$7="30/360"),'депозитный калькулятор'!$G$10="в начале срока"),I247,0)-L248+M248-N248,-G248-IF(I248=" ",0,I248)-L248+M248-N248),IF('депозитный калькулятор'!$G$13="есть",M248-N248+IF('депозитный калькулятор'!$G$14="есть",0,-L248),-IF(I248=" ",0,I248)-IF(AND(OR('депозитный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срока"),I247,0)+M248-N248+IF('депозитный калькулятор'!$G$14="есть",0,-L248))))</f>
        <v xml:space="preserve"> </v>
      </c>
      <c r="P248" s="147" t="str">
        <f>IF(F248&gt;'депозитный калькулятор'!$D$8," ",IF(EOMONTH(F247,0)=F247,0,IF(G248&gt;='депозитный калькулятор'!$G$19,P247,P247+1)))</f>
        <v xml:space="preserve"> </v>
      </c>
      <c r="Q248" s="138" t="str">
        <f>IF(F248=" "," ",IF(AND(OR('депозитный калькулятор'!$G$7="30/365",'депозитный калькулятор'!$G$7="30/360"),AND(MONTH(F248)=2,EOMONTH(F248,0)=F248)),IF(DAY(F248)=28,3,2),1)*IF(G248&gt;='депозитный калькулятор'!$G$11,IF(AND('депозитный калькулятор'!$G$7="факт/факт",MOD(YEAR(F248),4)=0),G248*'депозитный калькулятор'!$D$11/366,G248*'депозитный калькулятор'!$G$8),0))</f>
        <v xml:space="preserve"> </v>
      </c>
      <c r="R248" s="148"/>
      <c r="S248" s="62" t="str">
        <f t="shared" ca="1" si="17"/>
        <v xml:space="preserve"> </v>
      </c>
      <c r="T248" s="149" t="str">
        <f ca="1">IF(S248=" "," ",IF('депозитный калькулятор'!$G$7="30/360",DAYS360(U247,IF(DAY(U248)=31,U248-1,U248))+IF(AND(MONTH(U248)=2,U248=EOMONTH(U248,0)),30-DAY(EOMONTH(U248,0)))+T247,VLOOKUP(S248,$C$22:$F$1023,2,0)))</f>
        <v xml:space="preserve"> </v>
      </c>
      <c r="U248" s="64" t="str">
        <f t="shared" ca="1" si="15"/>
        <v xml:space="preserve"> </v>
      </c>
      <c r="V248" s="150" t="str">
        <f t="shared" ca="1" si="18"/>
        <v xml:space="preserve"> </v>
      </c>
      <c r="W248" s="62" t="str">
        <f t="shared" ca="1" si="19"/>
        <v xml:space="preserve"> </v>
      </c>
      <c r="X248" s="141" t="str">
        <f ca="1">IF(S248=" "," ",IFERROR(VLOOKUP(U248,$F$23:$N$1023,7)+VLOOKUP(U248,$F$23:$N$1023,9)+IF(AND('депозитный калькулятор'!$G$13="нет",U248&lt;&gt;'депозитный калькулятор'!$D$8),VLOOKUP(U248,$F$23:$N$1023,4),0),0)+IF(U248='депозитный калькулятор'!$D$8,VLOOKUP(U248,$F$23:$N$1023,2)+VLOOKUP(U248,$F$23:$N$1023,4),0))</f>
        <v xml:space="preserve"> </v>
      </c>
      <c r="Y248" s="142" t="str">
        <f ca="1">IF(S248=" "," ",W248/(1+'депозитный калькулятор'!$K$8)^(T248/IF('депозитный калькулятор'!$G$7="30/360",360,365)))</f>
        <v xml:space="preserve"> </v>
      </c>
      <c r="Z248" s="142" t="str">
        <f ca="1">IF(S248=" "," ",X248/(1+'депозитный калькулятор'!$K$8)^(T248/IF('депозитный калькулятор'!$G$7="30/360",360,365)))</f>
        <v xml:space="preserve"> </v>
      </c>
      <c r="AA248" s="151"/>
      <c r="AB248" s="151"/>
      <c r="AC248" s="155"/>
      <c r="AD248" s="155"/>
    </row>
    <row r="249" spans="1:30" s="2" customFormat="1" ht="15.5" x14ac:dyDescent="0.35">
      <c r="A249" s="41" t="str">
        <f>IF(F249=" "," ",IF(OR('депозитный калькулятор'!$G$7="30/365",'депозитный калькулятор'!$G$7="30/360"),IF(AND(MONTH(F249)=2,DAY(F249)=DAY(EOMONTH(F249,0))),30-DAY(EOMONTH(F249,0)),IF(DAY(F249)=31,1," "))," "))</f>
        <v xml:space="preserve"> </v>
      </c>
      <c r="B249" s="130" t="str">
        <f t="shared" si="16"/>
        <v xml:space="preserve"> </v>
      </c>
      <c r="C249" s="130" t="str">
        <f>IF(OR(B249=0,B249=" ")," ",SUM($B$23:B249))</f>
        <v xml:space="preserve"> </v>
      </c>
      <c r="D249" s="62" t="str">
        <f>IF(D248=" "," ",IF(OR(F248='депозитный калькулятор'!$D$8,F248=" ")," ",D248+1))</f>
        <v xml:space="preserve"> </v>
      </c>
      <c r="E249" s="130" t="str">
        <f>IF(OR(F248='депозитный калькулятор'!$D$8,F248=" ")," ",IF(EOMONTH(F248,0)=F248,1,E248+1))</f>
        <v xml:space="preserve"> </v>
      </c>
      <c r="F249" s="64" t="str">
        <f>IF(F248=" "," ",IF(F248='депозитный калькулятор'!$D$8," ",F248+1))</f>
        <v xml:space="preserve"> </v>
      </c>
      <c r="G249" s="145" t="str">
        <f xml:space="preserve"> IF(F249&gt;'депозитный калькулятор'!$D$8," ",IF('депозитный калькулятор'!$G$13="есть",IF('депозитный калькулятор'!$G$14="есть",G248+IF(I248=" ",0,I248)-J249-K249+L249+M249-N249,G248+IF(I248=" ",0,I248)-J249-K249+M249-N249),IF('депозитный калькулятор'!$G$14="есть",G248-J249-K249+L249+M249-N249,G248-J249-K249+M249-N249)))</f>
        <v xml:space="preserve"> </v>
      </c>
      <c r="H249" s="133" t="str">
        <f>IF(F249&gt;'депозитный калькулятор'!$D$8," ",IF(AND(OR('депозитный калькулятор'!$G$7="30/365",'депозитный калькулятор'!$G$7="30/360"),AND(MONTH(F249)=2,EOMONTH(F249,0)=F249)),IF(DAY(F249)=28,3*G249*'депозитный калькулятор'!$G$8,2*G249*'депозитный калькулятор'!$G$8),IF(AND(OR('депозитный калькулятор'!$G$7="30/365",'депозитный калькулятор'!$G$7="30/360"),DAY(F249)=31)," ",IF(AND('депозитный калькулятор'!$G$7="факт/факт",MOD(YEAR(F249),4)=0),G249*'депозитный калькулятор'!$D$11/366,G249*'депозитный калькулятор'!$G$8))))</f>
        <v xml:space="preserve"> </v>
      </c>
      <c r="I249" s="134" t="str">
        <f ca="1">IF(F249=" "," ",IF('депозитный калькулятор'!$G$10="ежедневное",H249,IF(AND('депозитный калькулятор'!$G$10="еженедельное",WEEKDAY(F249,2)=7),SUM(OFFSET(H249,-6,0):H249),IF(AND('депозитный калькулятор'!$G$10="еженедельное",F249='депозитный калькулятор'!$D$8),SUM($H$23:H249)-SUM($I$23:I248),IF(AND('депозитный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недели",WEEKDAY(F249,2)=7),MIN(OFFSET(H249,-6,0):H249)*(COUNTIF(OFFSET(H249,-6,0):H249,"&gt;0")+SUMIF(OFFSET(A249,-WEEKDAY(F249,2),0):A249,"=2",OFFSET(A249,-WEEKDAY(F249,2),0):A249)),IF(AND('депозитный калькулятор'!$G$10="еженедельное, на минимальную сумму зафиксированную в течение недели",F249='депозитный калькулятор'!$D$8,WEEKDAY(F249,2)&lt;&gt;7),MIN(OFFSET(H249,-WEEKDAY(F249,2),0):H249)*(COUNTIF(OFFSET(H249,-WEEKDAY(F249,2)+1,0):H249,"&gt;0")+SUM(OFFSET(A249,-WEEKDAY(F249,2),0):A249)),IF(AND('депозитный калькулятор'!$G$10="ежемесячное (в конце месяца)",F249='депозитный калькулятор'!$D$8,EOMONTH(F249,0)&lt;&gt;F249),IF('депозитный калькулятор'!$F$1=1,$H$24,SUM($H$23:H249)-SUM($I$23:I248)),IF(AND('депозитный калькулятор'!$G$10="ежемесячное (в конце месяца)",EOMONTH(F249,0)=F249),SUM($H$23:H249)-SUM($I$23:I248),IF(AND('депозитный калькулятор'!$G$10="ежемесячное (по дням открытия вклада)",F249='депозитный калькулятор'!$D$8,DAY('депозитный калькулятор'!$D$7)&lt;&gt;DAY(F249)),IF('депозитный калькулятор'!$F$1=1,$H$24,SUM($H$23:H249)-SUM($I$23:I248)),IF(AND('депозитный калькулятор'!$G$10="ежемесячное (по дням открытия вклада)",DAY('депозитный калькулятор'!$D$7)=DAY(F249)),SUM($H$23:H249)-SUM($I$23:I248),IF(AND('депозитный калькулятор'!$G$10="ежемесячное, на минимальную сумму зафиксированную в течение месяца",F249='депозитный калькулятор'!$D$8,EOMONTH(F249,0)&lt;&gt;F249),IF('депозитный калькулятор'!$F$1=1,$H$24,IF(AND(OR('депозитный калькулятор'!$G$7="30/365",'депозитный калькулятор'!$G$7="30/360"),DAY(F249)=31),0,MIN(OFFSET(H249,-E249+1,0):H249)*(E249+SUMIF(OFFSET(A249,-E249+1,0):A249,"=2",OFFSET(A249,-E249+1,0):A249)))),IF(AND('депозитный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калькулятор'!$G$7="30/360"),DAY(EOMONTH(F249,0))=31),EOMONTH(F249,0)-1=F249,EOMONTH(F249,0)=F249)),IF(IF(AND(OR('депозитный калькулятор'!$G$7="30/365",'депозитный калькулятор'!$G$7="30/360"),DAY(EOMONTH($F$23,0))=31),F249=EOMONTH($F$23,0)-1,F249=EOMONTH($F$23,0)),MIN(OFFSET(H249,-(DAY(F249)-DAY($F$23)),0):H249)*E249,MIN(OFFSET(H249,-(DAY(F249)-1),0):H249)*IF(AND(OR('депозитный калькулятор'!$G$7="30/365",'депозитный калькулятор'!$G$7="30/360"),DAY(F249)&lt;30),30,DAY(F249))),IF(AND('депозитный калькулятор'!$G$10="ежемесячное, на средний остаток в течение месяца, при условии что остаток больше чем ограничение",F249='депозитный калькулятор'!$D$8,EOMONTH(F249,0)&lt;&gt;F249),IF('депозитный калькулятор'!$F$1=1,$H$24,SUM(OFFSET(Q249,-E249+1,0):Q249)),IF(AND('депозитный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калькулятор'!$G$7="30/360"),DAY(EOMONTH(F249,0))=31),EOMONTH(F249,0)-1=F249,EOMONTH(F249,0)=F249)),IF(IF(AND(OR('депозитный калькулятор'!$G$7="30/365",'депозитный калькулятор'!$G$7="30/360"),DAY(EOMONTH($F$24,0))=31),F249=EOMONTH($F$24,0)-1,F249=EOMONTH($F$24,0)),SUM(OFFSET(Q249,-E249+1,0):Q249),SUM(OFFSET(Q249,-E249+1,0):Q249)),IF('депозитный калькулятор'!$G$10="ежеквартальное",IF(F249&gt;'депозитный калькулятор'!$D$8," ",IF(AND(EOMONTH(F249,0)=F249,OR(MONTH(F249)=3,MONTH(F249)=6,MONTH(F249)=9,MONTH(F249)=12)),IF(EDATE(F249,-3)&lt;'депозитный калькулятор'!$D$7,SUM($H$23:H249),IF(MOD(YEAR(F249),4)=0,IF(AND(EOMONTH(F249,0)=F249,OR(MONTH(F249)=3,MONTH(F249)=6)),SUM(OFFSET(H249,-90,0):H249),IF(AND(EOMONTH(F249,0)=F249,OR(MONTH(F249)=9,MONTH(F249)=12)),SUM(OFFSET(H249,-91,0):H249))),IF(AND(EOMONTH(F249,0)=F249,MONTH(F249)=3),SUM(OFFSET(H249,-89,0):H249),IF(AND(EOMONTH(F249,0)=F249,MONTH(F249)=6),SUM(OFFSET(H249,-90,0):H249),IF(AND(EOMONTH(F249,0)=F249,OR(MONTH(F249)=9,MONTH(F249)=12)),SUM(OFFSET(H249,-91,0):H249)))))),IF(F249='депозитный калькулятор'!$D$8,SUM($H$23:H249)-SUM($I$23:I248),0))),IF('депозитный калькулятор'!$G$10="ежегодное",IF(F249&gt;'депозитный калькулятор'!$D$8," ",IF(F249='депозитный калькулятор'!$D$8,SUM($H$23:H249)-SUM($I$23:I248),IF(AND(EOMONTH(F249,0)=F249,MONTH(F249)=12),IF(MOD(YEAR(F248),4)=0,IF(F249-'депозитный калькулятор'!$D$7&lt;366,SUM($H$23:H249),SUM(OFFSET(H249,-365,0):H249)),IF(F249-'депозитный калькулятор'!$D$7&lt;365,SUM($H$23:H249),SUM(OFFSET(H249,-364,0):H249))),0))),IF(AND('депозитный калькулятор'!$G$10="в конце срока",'депозитный калькулятор'!$D$8=F249),SUM($H$23:H249),0))))))))))))))))))</f>
        <v xml:space="preserve"> </v>
      </c>
      <c r="J249" s="59" t="str">
        <f>IF(F249&gt;'депозитный калькулятор'!$D$8," ",IF('депозитный калькулятор'!$G$16="нет",0,IF(AND('депозитный калькулятор'!$G$17="разовая (в конце срока)",F249='депозитный калькулятор'!$D$8),'депозитный калькулятор'!$G$18,IF(AND('депозитный калькулятор'!$G$17="ежемесячная",EOMONTH(F248,0)=F248),'депозитный калькулятор'!$G$18,IF(AND('депозитный калькулятор'!$G$17="ежегодная",DAY(F248)=31,MONTH(F248)=12),'депозитный калькулятор'!$G$18,IF(AND('депозитный калькулятор'!$G$17="ежемесячная в зависимости от остатка",EOMONTH(F248,0)=F248,P248&gt;0),'депозитный калькулятор'!$G$18,IF(AND('депозитный калькулятор'!$G$17="ежегодная в зависимости от остатка",DAY(F248)=31,MONTH(F248)=12,P248&gt;0),'депозитный калькулятор'!$G$18,0)))))))</f>
        <v xml:space="preserve"> </v>
      </c>
      <c r="K249" s="135" t="str">
        <f>IF($F249=" "," ",IFERROR(VLOOKUP($F249,'депозитный калькулятор'!$B$26:$F$70,2,0),0))</f>
        <v xml:space="preserve"> </v>
      </c>
      <c r="L249" s="135" t="str">
        <f>IF($F249=" "," ",IFERROR(VLOOKUP($F249,'депозитный калькулятор'!$B$26:$F$70,3,0),0))</f>
        <v xml:space="preserve"> </v>
      </c>
      <c r="M249" s="135" t="str">
        <f>IF($F249=" "," ",IFERROR(VLOOKUP($F249,'депозитный калькулятор'!$B$26:$F$70,4,0),0))</f>
        <v xml:space="preserve"> </v>
      </c>
      <c r="N249" s="135" t="str">
        <f>IF($F249=" "," ",IFERROR(VLOOKUP($F249,'депозитный калькулятор'!$B$26:$F$70,5,0),0))</f>
        <v xml:space="preserve"> </v>
      </c>
      <c r="O249" s="146" t="str">
        <f>IF(F249&gt;'депозитный калькулятор'!$D$8," ",IF(F249='депозитный калькулятор'!$D$8,IF(AND($F$24='депозитный калькулятор'!$D$8,'депозитный калькулятор'!$G$13="нет"),-G249-IF(I249=" ",0,I249)-IF(AND(OR('депозитный калькулятор'!$G$7="30/365",'депозитный калькулятор'!$G$7="30/360"),'депозитный калькулятор'!$G$10="в начале срока"),I248,0)-L249+M249-N249,-G249-IF(I249=" ",0,I249)-L249+M249-N249),IF('депозитный калькулятор'!$G$13="есть",M249-N249+IF('депозитный калькулятор'!$G$14="есть",0,-L249),-IF(I249=" ",0,I249)-IF(AND(OR('депозитный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срока"),I248,0)+M249-N249+IF('депозитный калькулятор'!$G$14="есть",0,-L249))))</f>
        <v xml:space="preserve"> </v>
      </c>
      <c r="P249" s="147" t="str">
        <f>IF(F249&gt;'депозитный калькулятор'!$D$8," ",IF(EOMONTH(F248,0)=F248,0,IF(G249&gt;='депозитный калькулятор'!$G$19,P248,P248+1)))</f>
        <v xml:space="preserve"> </v>
      </c>
      <c r="Q249" s="138" t="str">
        <f>IF(F249=" "," ",IF(AND(OR('депозитный калькулятор'!$G$7="30/365",'депозитный калькулятор'!$G$7="30/360"),AND(MONTH(F249)=2,EOMONTH(F249,0)=F249)),IF(DAY(F249)=28,3,2),1)*IF(G249&gt;='депозитный калькулятор'!$G$11,IF(AND('депозитный калькулятор'!$G$7="факт/факт",MOD(YEAR(F249),4)=0),G249*'депозитный калькулятор'!$D$11/366,G249*'депозитный калькулятор'!$G$8),0))</f>
        <v xml:space="preserve"> </v>
      </c>
      <c r="R249" s="148"/>
      <c r="S249" s="62" t="str">
        <f t="shared" ca="1" si="17"/>
        <v xml:space="preserve"> </v>
      </c>
      <c r="T249" s="149" t="str">
        <f ca="1">IF(S249=" "," ",IF('депозитный калькулятор'!$G$7="30/360",DAYS360(U248,IF(DAY(U249)=31,U249-1,U249))+IF(AND(MONTH(U249)=2,U249=EOMONTH(U249,0)),30-DAY(EOMONTH(U249,0)))+T248,VLOOKUP(S249,$C$22:$F$1023,2,0)))</f>
        <v xml:space="preserve"> </v>
      </c>
      <c r="U249" s="64" t="str">
        <f t="shared" ca="1" si="15"/>
        <v xml:space="preserve"> </v>
      </c>
      <c r="V249" s="150" t="str">
        <f t="shared" ca="1" si="18"/>
        <v xml:space="preserve"> </v>
      </c>
      <c r="W249" s="62" t="str">
        <f t="shared" ca="1" si="19"/>
        <v xml:space="preserve"> </v>
      </c>
      <c r="X249" s="141" t="str">
        <f ca="1">IF(S249=" "," ",IFERROR(VLOOKUP(U249,$F$23:$N$1023,7)+VLOOKUP(U249,$F$23:$N$1023,9)+IF(AND('депозитный калькулятор'!$G$13="нет",U249&lt;&gt;'депозитный калькулятор'!$D$8),VLOOKUP(U249,$F$23:$N$1023,4),0),0)+IF(U249='депозитный калькулятор'!$D$8,VLOOKUP(U249,$F$23:$N$1023,2)+VLOOKUP(U249,$F$23:$N$1023,4),0))</f>
        <v xml:space="preserve"> </v>
      </c>
      <c r="Y249" s="142" t="str">
        <f ca="1">IF(S249=" "," ",W249/(1+'депозитный калькулятор'!$K$8)^(T249/IF('депозитный калькулятор'!$G$7="30/360",360,365)))</f>
        <v xml:space="preserve"> </v>
      </c>
      <c r="Z249" s="142" t="str">
        <f ca="1">IF(S249=" "," ",X249/(1+'депозитный калькулятор'!$K$8)^(T249/IF('депозитный калькулятор'!$G$7="30/360",360,365)))</f>
        <v xml:space="preserve"> </v>
      </c>
      <c r="AA249" s="151"/>
      <c r="AB249" s="151"/>
      <c r="AC249" s="155"/>
      <c r="AD249" s="155"/>
    </row>
    <row r="250" spans="1:30" s="2" customFormat="1" ht="15.5" x14ac:dyDescent="0.35">
      <c r="A250" s="41" t="str">
        <f>IF(F250=" "," ",IF(OR('депозитный калькулятор'!$G$7="30/365",'депозитный калькулятор'!$G$7="30/360"),IF(AND(MONTH(F250)=2,DAY(F250)=DAY(EOMONTH(F250,0))),30-DAY(EOMONTH(F250,0)),IF(DAY(F250)=31,1," "))," "))</f>
        <v xml:space="preserve"> </v>
      </c>
      <c r="B250" s="130" t="str">
        <f t="shared" si="16"/>
        <v xml:space="preserve"> </v>
      </c>
      <c r="C250" s="130" t="str">
        <f>IF(OR(B250=0,B250=" ")," ",SUM($B$23:B250))</f>
        <v xml:space="preserve"> </v>
      </c>
      <c r="D250" s="62" t="str">
        <f>IF(D249=" "," ",IF(OR(F249='депозитный калькулятор'!$D$8,F249=" ")," ",D249+1))</f>
        <v xml:space="preserve"> </v>
      </c>
      <c r="E250" s="130" t="str">
        <f>IF(OR(F249='депозитный калькулятор'!$D$8,F249=" ")," ",IF(EOMONTH(F249,0)=F249,1,E249+1))</f>
        <v xml:space="preserve"> </v>
      </c>
      <c r="F250" s="64" t="str">
        <f>IF(F249=" "," ",IF(F249='депозитный калькулятор'!$D$8," ",F249+1))</f>
        <v xml:space="preserve"> </v>
      </c>
      <c r="G250" s="145" t="str">
        <f xml:space="preserve"> IF(F250&gt;'депозитный калькулятор'!$D$8," ",IF('депозитный калькулятор'!$G$13="есть",IF('депозитный калькулятор'!$G$14="есть",G249+IF(I249=" ",0,I249)-J250-K250+L250+M250-N250,G249+IF(I249=" ",0,I249)-J250-K250+M250-N250),IF('депозитный калькулятор'!$G$14="есть",G249-J250-K250+L250+M250-N250,G249-J250-K250+M250-N250)))</f>
        <v xml:space="preserve"> </v>
      </c>
      <c r="H250" s="133" t="str">
        <f>IF(F250&gt;'депозитный калькулятор'!$D$8," ",IF(AND(OR('депозитный калькулятор'!$G$7="30/365",'депозитный калькулятор'!$G$7="30/360"),AND(MONTH(F250)=2,EOMONTH(F250,0)=F250)),IF(DAY(F250)=28,3*G250*'депозитный калькулятор'!$G$8,2*G250*'депозитный калькулятор'!$G$8),IF(AND(OR('депозитный калькулятор'!$G$7="30/365",'депозитный калькулятор'!$G$7="30/360"),DAY(F250)=31)," ",IF(AND('депозитный калькулятор'!$G$7="факт/факт",MOD(YEAR(F250),4)=0),G250*'депозитный калькулятор'!$D$11/366,G250*'депозитный калькулятор'!$G$8))))</f>
        <v xml:space="preserve"> </v>
      </c>
      <c r="I250" s="134" t="str">
        <f ca="1">IF(F250=" "," ",IF('депозитный калькулятор'!$G$10="ежедневное",H250,IF(AND('депозитный калькулятор'!$G$10="еженедельное",WEEKDAY(F250,2)=7),SUM(OFFSET(H250,-6,0):H250),IF(AND('депозитный калькулятор'!$G$10="еженедельное",F250='депозитный калькулятор'!$D$8),SUM($H$23:H250)-SUM($I$23:I249),IF(AND('депозитный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недели",WEEKDAY(F250,2)=7),MIN(OFFSET(H250,-6,0):H250)*(COUNTIF(OFFSET(H250,-6,0):H250,"&gt;0")+SUMIF(OFFSET(A250,-WEEKDAY(F250,2),0):A250,"=2",OFFSET(A250,-WEEKDAY(F250,2),0):A250)),IF(AND('депозитный калькулятор'!$G$10="еженедельное, на минимальную сумму зафиксированную в течение недели",F250='депозитный калькулятор'!$D$8,WEEKDAY(F250,2)&lt;&gt;7),MIN(OFFSET(H250,-WEEKDAY(F250,2),0):H250)*(COUNTIF(OFFSET(H250,-WEEKDAY(F250,2)+1,0):H250,"&gt;0")+SUM(OFFSET(A250,-WEEKDAY(F250,2),0):A250)),IF(AND('депозитный калькулятор'!$G$10="ежемесячное (в конце месяца)",F250='депозитный калькулятор'!$D$8,EOMONTH(F250,0)&lt;&gt;F250),IF('депозитный калькулятор'!$F$1=1,$H$24,SUM($H$23:H250)-SUM($I$23:I249)),IF(AND('депозитный калькулятор'!$G$10="ежемесячное (в конце месяца)",EOMONTH(F250,0)=F250),SUM($H$23:H250)-SUM($I$23:I249),IF(AND('депозитный калькулятор'!$G$10="ежемесячное (по дням открытия вклада)",F250='депозитный калькулятор'!$D$8,DAY('депозитный калькулятор'!$D$7)&lt;&gt;DAY(F250)),IF('депозитный калькулятор'!$F$1=1,$H$24,SUM($H$23:H250)-SUM($I$23:I249)),IF(AND('депозитный калькулятор'!$G$10="ежемесячное (по дням открытия вклада)",DAY('депозитный калькулятор'!$D$7)=DAY(F250)),SUM($H$23:H250)-SUM($I$23:I249),IF(AND('депозитный калькулятор'!$G$10="ежемесячное, на минимальную сумму зафиксированную в течение месяца",F250='депозитный калькулятор'!$D$8,EOMONTH(F250,0)&lt;&gt;F250),IF('депозитный калькулятор'!$F$1=1,$H$24,IF(AND(OR('депозитный калькулятор'!$G$7="30/365",'депозитный калькулятор'!$G$7="30/360"),DAY(F250)=31),0,MIN(OFFSET(H250,-E250+1,0):H250)*(E250+SUMIF(OFFSET(A250,-E250+1,0):A250,"=2",OFFSET(A250,-E250+1,0):A250)))),IF(AND('депозитный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калькулятор'!$G$7="30/360"),DAY(EOMONTH(F250,0))=31),EOMONTH(F250,0)-1=F250,EOMONTH(F250,0)=F250)),IF(IF(AND(OR('депозитный калькулятор'!$G$7="30/365",'депозитный калькулятор'!$G$7="30/360"),DAY(EOMONTH($F$23,0))=31),F250=EOMONTH($F$23,0)-1,F250=EOMONTH($F$23,0)),MIN(OFFSET(H250,-(DAY(F250)-DAY($F$23)),0):H250)*E250,MIN(OFFSET(H250,-(DAY(F250)-1),0):H250)*IF(AND(OR('депозитный калькулятор'!$G$7="30/365",'депозитный калькулятор'!$G$7="30/360"),DAY(F250)&lt;30),30,DAY(F250))),IF(AND('депозитный калькулятор'!$G$10="ежемесячное, на средний остаток в течение месяца, при условии что остаток больше чем ограничение",F250='депозитный калькулятор'!$D$8,EOMONTH(F250,0)&lt;&gt;F250),IF('депозитный калькулятор'!$F$1=1,$H$24,SUM(OFFSET(Q250,-E250+1,0):Q250)),IF(AND('депозитный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калькулятор'!$G$7="30/360"),DAY(EOMONTH(F250,0))=31),EOMONTH(F250,0)-1=F250,EOMONTH(F250,0)=F250)),IF(IF(AND(OR('депозитный калькулятор'!$G$7="30/365",'депозитный калькулятор'!$G$7="30/360"),DAY(EOMONTH($F$24,0))=31),F250=EOMONTH($F$24,0)-1,F250=EOMONTH($F$24,0)),SUM(OFFSET(Q250,-E250+1,0):Q250),SUM(OFFSET(Q250,-E250+1,0):Q250)),IF('депозитный калькулятор'!$G$10="ежеквартальное",IF(F250&gt;'депозитный калькулятор'!$D$8," ",IF(AND(EOMONTH(F250,0)=F250,OR(MONTH(F250)=3,MONTH(F250)=6,MONTH(F250)=9,MONTH(F250)=12)),IF(EDATE(F250,-3)&lt;'депозитный калькулятор'!$D$7,SUM($H$23:H250),IF(MOD(YEAR(F250),4)=0,IF(AND(EOMONTH(F250,0)=F250,OR(MONTH(F250)=3,MONTH(F250)=6)),SUM(OFFSET(H250,-90,0):H250),IF(AND(EOMONTH(F250,0)=F250,OR(MONTH(F250)=9,MONTH(F250)=12)),SUM(OFFSET(H250,-91,0):H250))),IF(AND(EOMONTH(F250,0)=F250,MONTH(F250)=3),SUM(OFFSET(H250,-89,0):H250),IF(AND(EOMONTH(F250,0)=F250,MONTH(F250)=6),SUM(OFFSET(H250,-90,0):H250),IF(AND(EOMONTH(F250,0)=F250,OR(MONTH(F250)=9,MONTH(F250)=12)),SUM(OFFSET(H250,-91,0):H250)))))),IF(F250='депозитный калькулятор'!$D$8,SUM($H$23:H250)-SUM($I$23:I249),0))),IF('депозитный калькулятор'!$G$10="ежегодное",IF(F250&gt;'депозитный калькулятор'!$D$8," ",IF(F250='депозитный калькулятор'!$D$8,SUM($H$23:H250)-SUM($I$23:I249),IF(AND(EOMONTH(F250,0)=F250,MONTH(F250)=12),IF(MOD(YEAR(F249),4)=0,IF(F250-'депозитный калькулятор'!$D$7&lt;366,SUM($H$23:H250),SUM(OFFSET(H250,-365,0):H250)),IF(F250-'депозитный калькулятор'!$D$7&lt;365,SUM($H$23:H250),SUM(OFFSET(H250,-364,0):H250))),0))),IF(AND('депозитный калькулятор'!$G$10="в конце срока",'депозитный калькулятор'!$D$8=F250),SUM($H$23:H250),0))))))))))))))))))</f>
        <v xml:space="preserve"> </v>
      </c>
      <c r="J250" s="59" t="str">
        <f>IF(F250&gt;'депозитный калькулятор'!$D$8," ",IF('депозитный калькулятор'!$G$16="нет",0,IF(AND('депозитный калькулятор'!$G$17="разовая (в конце срока)",F250='депозитный калькулятор'!$D$8),'депозитный калькулятор'!$G$18,IF(AND('депозитный калькулятор'!$G$17="ежемесячная",EOMONTH(F249,0)=F249),'депозитный калькулятор'!$G$18,IF(AND('депозитный калькулятор'!$G$17="ежегодная",DAY(F249)=31,MONTH(F249)=12),'депозитный калькулятор'!$G$18,IF(AND('депозитный калькулятор'!$G$17="ежемесячная в зависимости от остатка",EOMONTH(F249,0)=F249,P249&gt;0),'депозитный калькулятор'!$G$18,IF(AND('депозитный калькулятор'!$G$17="ежегодная в зависимости от остатка",DAY(F249)=31,MONTH(F249)=12,P249&gt;0),'депозитный калькулятор'!$G$18,0)))))))</f>
        <v xml:space="preserve"> </v>
      </c>
      <c r="K250" s="135" t="str">
        <f>IF($F250=" "," ",IFERROR(VLOOKUP($F250,'депозитный калькулятор'!$B$26:$F$70,2,0),0))</f>
        <v xml:space="preserve"> </v>
      </c>
      <c r="L250" s="135" t="str">
        <f>IF($F250=" "," ",IFERROR(VLOOKUP($F250,'депозитный калькулятор'!$B$26:$F$70,3,0),0))</f>
        <v xml:space="preserve"> </v>
      </c>
      <c r="M250" s="135" t="str">
        <f>IF($F250=" "," ",IFERROR(VLOOKUP($F250,'депозитный калькулятор'!$B$26:$F$70,4,0),0))</f>
        <v xml:space="preserve"> </v>
      </c>
      <c r="N250" s="135" t="str">
        <f>IF($F250=" "," ",IFERROR(VLOOKUP($F250,'депозитный калькулятор'!$B$26:$F$70,5,0),0))</f>
        <v xml:space="preserve"> </v>
      </c>
      <c r="O250" s="146" t="str">
        <f>IF(F250&gt;'депозитный калькулятор'!$D$8," ",IF(F250='депозитный калькулятор'!$D$8,IF(AND($F$24='депозитный калькулятор'!$D$8,'депозитный калькулятор'!$G$13="нет"),-G250-IF(I250=" ",0,I250)-IF(AND(OR('депозитный калькулятор'!$G$7="30/365",'депозитный калькулятор'!$G$7="30/360"),'депозитный калькулятор'!$G$10="в начале срока"),I249,0)-L250+M250-N250,-G250-IF(I250=" ",0,I250)-L250+M250-N250),IF('депозитный калькулятор'!$G$13="есть",M250-N250+IF('депозитный калькулятор'!$G$14="есть",0,-L250),-IF(I250=" ",0,I250)-IF(AND(OR('депозитный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срока"),I249,0)+M250-N250+IF('депозитный калькулятор'!$G$14="есть",0,-L250))))</f>
        <v xml:space="preserve"> </v>
      </c>
      <c r="P250" s="147" t="str">
        <f>IF(F250&gt;'депозитный калькулятор'!$D$8," ",IF(EOMONTH(F249,0)=F249,0,IF(G250&gt;='депозитный калькулятор'!$G$19,P249,P249+1)))</f>
        <v xml:space="preserve"> </v>
      </c>
      <c r="Q250" s="138" t="str">
        <f>IF(F250=" "," ",IF(AND(OR('депозитный калькулятор'!$G$7="30/365",'депозитный калькулятор'!$G$7="30/360"),AND(MONTH(F250)=2,EOMONTH(F250,0)=F250)),IF(DAY(F250)=28,3,2),1)*IF(G250&gt;='депозитный калькулятор'!$G$11,IF(AND('депозитный калькулятор'!$G$7="факт/факт",MOD(YEAR(F250),4)=0),G250*'депозитный калькулятор'!$D$11/366,G250*'депозитный калькулятор'!$G$8),0))</f>
        <v xml:space="preserve"> </v>
      </c>
      <c r="R250" s="148"/>
      <c r="S250" s="62" t="str">
        <f t="shared" ca="1" si="17"/>
        <v xml:space="preserve"> </v>
      </c>
      <c r="T250" s="149" t="str">
        <f ca="1">IF(S250=" "," ",IF('депозитный калькулятор'!$G$7="30/360",DAYS360(U249,IF(DAY(U250)=31,U250-1,U250))+IF(AND(MONTH(U250)=2,U250=EOMONTH(U250,0)),30-DAY(EOMONTH(U250,0)))+T249,VLOOKUP(S250,$C$22:$F$1023,2,0)))</f>
        <v xml:space="preserve"> </v>
      </c>
      <c r="U250" s="64" t="str">
        <f t="shared" ca="1" si="15"/>
        <v xml:space="preserve"> </v>
      </c>
      <c r="V250" s="150" t="str">
        <f t="shared" ca="1" si="18"/>
        <v xml:space="preserve"> </v>
      </c>
      <c r="W250" s="62" t="str">
        <f t="shared" ca="1" si="19"/>
        <v xml:space="preserve"> </v>
      </c>
      <c r="X250" s="141" t="str">
        <f ca="1">IF(S250=" "," ",IFERROR(VLOOKUP(U250,$F$23:$N$1023,7)+VLOOKUP(U250,$F$23:$N$1023,9)+IF(AND('депозитный калькулятор'!$G$13="нет",U250&lt;&gt;'депозитный калькулятор'!$D$8),VLOOKUP(U250,$F$23:$N$1023,4),0),0)+IF(U250='депозитный калькулятор'!$D$8,VLOOKUP(U250,$F$23:$N$1023,2)+VLOOKUP(U250,$F$23:$N$1023,4),0))</f>
        <v xml:space="preserve"> </v>
      </c>
      <c r="Y250" s="142" t="str">
        <f ca="1">IF(S250=" "," ",W250/(1+'депозитный калькулятор'!$K$8)^(T250/IF('депозитный калькулятор'!$G$7="30/360",360,365)))</f>
        <v xml:space="preserve"> </v>
      </c>
      <c r="Z250" s="142" t="str">
        <f ca="1">IF(S250=" "," ",X250/(1+'депозитный калькулятор'!$K$8)^(T250/IF('депозитный калькулятор'!$G$7="30/360",360,365)))</f>
        <v xml:space="preserve"> </v>
      </c>
      <c r="AA250" s="151"/>
      <c r="AB250" s="151"/>
      <c r="AC250" s="155"/>
      <c r="AD250" s="155"/>
    </row>
    <row r="251" spans="1:30" s="2" customFormat="1" ht="15.5" x14ac:dyDescent="0.35">
      <c r="A251" s="41" t="str">
        <f>IF(F251=" "," ",IF(OR('депозитный калькулятор'!$G$7="30/365",'депозитный калькулятор'!$G$7="30/360"),IF(AND(MONTH(F251)=2,DAY(F251)=DAY(EOMONTH(F251,0))),30-DAY(EOMONTH(F251,0)),IF(DAY(F251)=31,1," "))," "))</f>
        <v xml:space="preserve"> </v>
      </c>
      <c r="B251" s="130" t="str">
        <f t="shared" si="16"/>
        <v xml:space="preserve"> </v>
      </c>
      <c r="C251" s="130" t="str">
        <f>IF(OR(B251=0,B251=" ")," ",SUM($B$23:B251))</f>
        <v xml:space="preserve"> </v>
      </c>
      <c r="D251" s="62" t="str">
        <f>IF(D250=" "," ",IF(OR(F250='депозитный калькулятор'!$D$8,F250=" ")," ",D250+1))</f>
        <v xml:space="preserve"> </v>
      </c>
      <c r="E251" s="130" t="str">
        <f>IF(OR(F250='депозитный калькулятор'!$D$8,F250=" ")," ",IF(EOMONTH(F250,0)=F250,1,E250+1))</f>
        <v xml:space="preserve"> </v>
      </c>
      <c r="F251" s="64" t="str">
        <f>IF(F250=" "," ",IF(F250='депозитный калькулятор'!$D$8," ",F250+1))</f>
        <v xml:space="preserve"> </v>
      </c>
      <c r="G251" s="145" t="str">
        <f xml:space="preserve"> IF(F251&gt;'депозитный калькулятор'!$D$8," ",IF('депозитный калькулятор'!$G$13="есть",IF('депозитный калькулятор'!$G$14="есть",G250+IF(I250=" ",0,I250)-J251-K251+L251+M251-N251,G250+IF(I250=" ",0,I250)-J251-K251+M251-N251),IF('депозитный калькулятор'!$G$14="есть",G250-J251-K251+L251+M251-N251,G250-J251-K251+M251-N251)))</f>
        <v xml:space="preserve"> </v>
      </c>
      <c r="H251" s="133" t="str">
        <f>IF(F251&gt;'депозитный калькулятор'!$D$8," ",IF(AND(OR('депозитный калькулятор'!$G$7="30/365",'депозитный калькулятор'!$G$7="30/360"),AND(MONTH(F251)=2,EOMONTH(F251,0)=F251)),IF(DAY(F251)=28,3*G251*'депозитный калькулятор'!$G$8,2*G251*'депозитный калькулятор'!$G$8),IF(AND(OR('депозитный калькулятор'!$G$7="30/365",'депозитный калькулятор'!$G$7="30/360"),DAY(F251)=31)," ",IF(AND('депозитный калькулятор'!$G$7="факт/факт",MOD(YEAR(F251),4)=0),G251*'депозитный калькулятор'!$D$11/366,G251*'депозитный калькулятор'!$G$8))))</f>
        <v xml:space="preserve"> </v>
      </c>
      <c r="I251" s="134" t="str">
        <f ca="1">IF(F251=" "," ",IF('депозитный калькулятор'!$G$10="ежедневное",H251,IF(AND('депозитный калькулятор'!$G$10="еженедельное",WEEKDAY(F251,2)=7),SUM(OFFSET(H251,-6,0):H251),IF(AND('депозитный калькулятор'!$G$10="еженедельное",F251='депозитный калькулятор'!$D$8),SUM($H$23:H251)-SUM($I$23:I250),IF(AND('депозитный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недели",WEEKDAY(F251,2)=7),MIN(OFFSET(H251,-6,0):H251)*(COUNTIF(OFFSET(H251,-6,0):H251,"&gt;0")+SUMIF(OFFSET(A251,-WEEKDAY(F251,2),0):A251,"=2",OFFSET(A251,-WEEKDAY(F251,2),0):A251)),IF(AND('депозитный калькулятор'!$G$10="еженедельное, на минимальную сумму зафиксированную в течение недели",F251='депозитный калькулятор'!$D$8,WEEKDAY(F251,2)&lt;&gt;7),MIN(OFFSET(H251,-WEEKDAY(F251,2),0):H251)*(COUNTIF(OFFSET(H251,-WEEKDAY(F251,2)+1,0):H251,"&gt;0")+SUM(OFFSET(A251,-WEEKDAY(F251,2),0):A251)),IF(AND('депозитный калькулятор'!$G$10="ежемесячное (в конце месяца)",F251='депозитный калькулятор'!$D$8,EOMONTH(F251,0)&lt;&gt;F251),IF('депозитный калькулятор'!$F$1=1,$H$24,SUM($H$23:H251)-SUM($I$23:I250)),IF(AND('депозитный калькулятор'!$G$10="ежемесячное (в конце месяца)",EOMONTH(F251,0)=F251),SUM($H$23:H251)-SUM($I$23:I250),IF(AND('депозитный калькулятор'!$G$10="ежемесячное (по дням открытия вклада)",F251='депозитный калькулятор'!$D$8,DAY('депозитный калькулятор'!$D$7)&lt;&gt;DAY(F251)),IF('депозитный калькулятор'!$F$1=1,$H$24,SUM($H$23:H251)-SUM($I$23:I250)),IF(AND('депозитный калькулятор'!$G$10="ежемесячное (по дням открытия вклада)",DAY('депозитный калькулятор'!$D$7)=DAY(F251)),SUM($H$23:H251)-SUM($I$23:I250),IF(AND('депозитный калькулятор'!$G$10="ежемесячное, на минимальную сумму зафиксированную в течение месяца",F251='депозитный калькулятор'!$D$8,EOMONTH(F251,0)&lt;&gt;F251),IF('депозитный калькулятор'!$F$1=1,$H$24,IF(AND(OR('депозитный калькулятор'!$G$7="30/365",'депозитный калькулятор'!$G$7="30/360"),DAY(F251)=31),0,MIN(OFFSET(H251,-E251+1,0):H251)*(E251+SUMIF(OFFSET(A251,-E251+1,0):A251,"=2",OFFSET(A251,-E251+1,0):A251)))),IF(AND('депозитный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калькулятор'!$G$7="30/360"),DAY(EOMONTH(F251,0))=31),EOMONTH(F251,0)-1=F251,EOMONTH(F251,0)=F251)),IF(IF(AND(OR('депозитный калькулятор'!$G$7="30/365",'депозитный калькулятор'!$G$7="30/360"),DAY(EOMONTH($F$23,0))=31),F251=EOMONTH($F$23,0)-1,F251=EOMONTH($F$23,0)),MIN(OFFSET(H251,-(DAY(F251)-DAY($F$23)),0):H251)*E251,MIN(OFFSET(H251,-(DAY(F251)-1),0):H251)*IF(AND(OR('депозитный калькулятор'!$G$7="30/365",'депозитный калькулятор'!$G$7="30/360"),DAY(F251)&lt;30),30,DAY(F251))),IF(AND('депозитный калькулятор'!$G$10="ежемесячное, на средний остаток в течение месяца, при условии что остаток больше чем ограничение",F251='депозитный калькулятор'!$D$8,EOMONTH(F251,0)&lt;&gt;F251),IF('депозитный калькулятор'!$F$1=1,$H$24,SUM(OFFSET(Q251,-E251+1,0):Q251)),IF(AND('депозитный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калькулятор'!$G$7="30/360"),DAY(EOMONTH(F251,0))=31),EOMONTH(F251,0)-1=F251,EOMONTH(F251,0)=F251)),IF(IF(AND(OR('депозитный калькулятор'!$G$7="30/365",'депозитный калькулятор'!$G$7="30/360"),DAY(EOMONTH($F$24,0))=31),F251=EOMONTH($F$24,0)-1,F251=EOMONTH($F$24,0)),SUM(OFFSET(Q251,-E251+1,0):Q251),SUM(OFFSET(Q251,-E251+1,0):Q251)),IF('депозитный калькулятор'!$G$10="ежеквартальное",IF(F251&gt;'депозитный калькулятор'!$D$8," ",IF(AND(EOMONTH(F251,0)=F251,OR(MONTH(F251)=3,MONTH(F251)=6,MONTH(F251)=9,MONTH(F251)=12)),IF(EDATE(F251,-3)&lt;'депозитный калькулятор'!$D$7,SUM($H$23:H251),IF(MOD(YEAR(F251),4)=0,IF(AND(EOMONTH(F251,0)=F251,OR(MONTH(F251)=3,MONTH(F251)=6)),SUM(OFFSET(H251,-90,0):H251),IF(AND(EOMONTH(F251,0)=F251,OR(MONTH(F251)=9,MONTH(F251)=12)),SUM(OFFSET(H251,-91,0):H251))),IF(AND(EOMONTH(F251,0)=F251,MONTH(F251)=3),SUM(OFFSET(H251,-89,0):H251),IF(AND(EOMONTH(F251,0)=F251,MONTH(F251)=6),SUM(OFFSET(H251,-90,0):H251),IF(AND(EOMONTH(F251,0)=F251,OR(MONTH(F251)=9,MONTH(F251)=12)),SUM(OFFSET(H251,-91,0):H251)))))),IF(F251='депозитный калькулятор'!$D$8,SUM($H$23:H251)-SUM($I$23:I250),0))),IF('депозитный калькулятор'!$G$10="ежегодное",IF(F251&gt;'депозитный калькулятор'!$D$8," ",IF(F251='депозитный калькулятор'!$D$8,SUM($H$23:H251)-SUM($I$23:I250),IF(AND(EOMONTH(F251,0)=F251,MONTH(F251)=12),IF(MOD(YEAR(F250),4)=0,IF(F251-'депозитный калькулятор'!$D$7&lt;366,SUM($H$23:H251),SUM(OFFSET(H251,-365,0):H251)),IF(F251-'депозитный калькулятор'!$D$7&lt;365,SUM($H$23:H251),SUM(OFFSET(H251,-364,0):H251))),0))),IF(AND('депозитный калькулятор'!$G$10="в конце срока",'депозитный калькулятор'!$D$8=F251),SUM($H$23:H251),0))))))))))))))))))</f>
        <v xml:space="preserve"> </v>
      </c>
      <c r="J251" s="59" t="str">
        <f>IF(F251&gt;'депозитный калькулятор'!$D$8," ",IF('депозитный калькулятор'!$G$16="нет",0,IF(AND('депозитный калькулятор'!$G$17="разовая (в конце срока)",F251='депозитный калькулятор'!$D$8),'депозитный калькулятор'!$G$18,IF(AND('депозитный калькулятор'!$G$17="ежемесячная",EOMONTH(F250,0)=F250),'депозитный калькулятор'!$G$18,IF(AND('депозитный калькулятор'!$G$17="ежегодная",DAY(F250)=31,MONTH(F250)=12),'депозитный калькулятор'!$G$18,IF(AND('депозитный калькулятор'!$G$17="ежемесячная в зависимости от остатка",EOMONTH(F250,0)=F250,P250&gt;0),'депозитный калькулятор'!$G$18,IF(AND('депозитный калькулятор'!$G$17="ежегодная в зависимости от остатка",DAY(F250)=31,MONTH(F250)=12,P250&gt;0),'депозитный калькулятор'!$G$18,0)))))))</f>
        <v xml:space="preserve"> </v>
      </c>
      <c r="K251" s="135" t="str">
        <f>IF($F251=" "," ",IFERROR(VLOOKUP($F251,'депозитный калькулятор'!$B$26:$F$70,2,0),0))</f>
        <v xml:space="preserve"> </v>
      </c>
      <c r="L251" s="135" t="str">
        <f>IF($F251=" "," ",IFERROR(VLOOKUP($F251,'депозитный калькулятор'!$B$26:$F$70,3,0),0))</f>
        <v xml:space="preserve"> </v>
      </c>
      <c r="M251" s="135" t="str">
        <f>IF($F251=" "," ",IFERROR(VLOOKUP($F251,'депозитный калькулятор'!$B$26:$F$70,4,0),0))</f>
        <v xml:space="preserve"> </v>
      </c>
      <c r="N251" s="135" t="str">
        <f>IF($F251=" "," ",IFERROR(VLOOKUP($F251,'депозитный калькулятор'!$B$26:$F$70,5,0),0))</f>
        <v xml:space="preserve"> </v>
      </c>
      <c r="O251" s="146" t="str">
        <f>IF(F251&gt;'депозитный калькулятор'!$D$8," ",IF(F251='депозитный калькулятор'!$D$8,IF(AND($F$24='депозитный калькулятор'!$D$8,'депозитный калькулятор'!$G$13="нет"),-G251-IF(I251=" ",0,I251)-IF(AND(OR('депозитный калькулятор'!$G$7="30/365",'депозитный калькулятор'!$G$7="30/360"),'депозитный калькулятор'!$G$10="в начале срока"),I250,0)-L251+M251-N251,-G251-IF(I251=" ",0,I251)-L251+M251-N251),IF('депозитный калькулятор'!$G$13="есть",M251-N251+IF('депозитный калькулятор'!$G$14="есть",0,-L251),-IF(I251=" ",0,I251)-IF(AND(OR('депозитный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срока"),I250,0)+M251-N251+IF('депозитный калькулятор'!$G$14="есть",0,-L251))))</f>
        <v xml:space="preserve"> </v>
      </c>
      <c r="P251" s="147" t="str">
        <f>IF(F251&gt;'депозитный калькулятор'!$D$8," ",IF(EOMONTH(F250,0)=F250,0,IF(G251&gt;='депозитный калькулятор'!$G$19,P250,P250+1)))</f>
        <v xml:space="preserve"> </v>
      </c>
      <c r="Q251" s="138" t="str">
        <f>IF(F251=" "," ",IF(AND(OR('депозитный калькулятор'!$G$7="30/365",'депозитный калькулятор'!$G$7="30/360"),AND(MONTH(F251)=2,EOMONTH(F251,0)=F251)),IF(DAY(F251)=28,3,2),1)*IF(G251&gt;='депозитный калькулятор'!$G$11,IF(AND('депозитный калькулятор'!$G$7="факт/факт",MOD(YEAR(F251),4)=0),G251*'депозитный калькулятор'!$D$11/366,G251*'депозитный калькулятор'!$G$8),0))</f>
        <v xml:space="preserve"> </v>
      </c>
      <c r="R251" s="148"/>
      <c r="S251" s="62" t="str">
        <f t="shared" ca="1" si="17"/>
        <v xml:space="preserve"> </v>
      </c>
      <c r="T251" s="149" t="str">
        <f ca="1">IF(S251=" "," ",IF('депозитный калькулятор'!$G$7="30/360",DAYS360(U250,IF(DAY(U251)=31,U251-1,U251))+IF(AND(MONTH(U251)=2,U251=EOMONTH(U251,0)),30-DAY(EOMONTH(U251,0)))+T250,VLOOKUP(S251,$C$22:$F$1023,2,0)))</f>
        <v xml:space="preserve"> </v>
      </c>
      <c r="U251" s="64" t="str">
        <f t="shared" ca="1" si="15"/>
        <v xml:space="preserve"> </v>
      </c>
      <c r="V251" s="150" t="str">
        <f t="shared" ca="1" si="18"/>
        <v xml:space="preserve"> </v>
      </c>
      <c r="W251" s="62" t="str">
        <f t="shared" ca="1" si="19"/>
        <v xml:space="preserve"> </v>
      </c>
      <c r="X251" s="141" t="str">
        <f ca="1">IF(S251=" "," ",IFERROR(VLOOKUP(U251,$F$23:$N$1023,7)+VLOOKUP(U251,$F$23:$N$1023,9)+IF(AND('депозитный калькулятор'!$G$13="нет",U251&lt;&gt;'депозитный калькулятор'!$D$8),VLOOKUP(U251,$F$23:$N$1023,4),0),0)+IF(U251='депозитный калькулятор'!$D$8,VLOOKUP(U251,$F$23:$N$1023,2)+VLOOKUP(U251,$F$23:$N$1023,4),0))</f>
        <v xml:space="preserve"> </v>
      </c>
      <c r="Y251" s="142" t="str">
        <f ca="1">IF(S251=" "," ",W251/(1+'депозитный калькулятор'!$K$8)^(T251/IF('депозитный калькулятор'!$G$7="30/360",360,365)))</f>
        <v xml:space="preserve"> </v>
      </c>
      <c r="Z251" s="142" t="str">
        <f ca="1">IF(S251=" "," ",X251/(1+'депозитный калькулятор'!$K$8)^(T251/IF('депозитный калькулятор'!$G$7="30/360",360,365)))</f>
        <v xml:space="preserve"> </v>
      </c>
      <c r="AA251" s="151"/>
      <c r="AB251" s="151"/>
      <c r="AC251" s="155"/>
      <c r="AD251" s="155"/>
    </row>
    <row r="252" spans="1:30" s="2" customFormat="1" ht="15.5" x14ac:dyDescent="0.35">
      <c r="A252" s="41" t="str">
        <f>IF(F252=" "," ",IF(OR('депозитный калькулятор'!$G$7="30/365",'депозитный калькулятор'!$G$7="30/360"),IF(AND(MONTH(F252)=2,DAY(F252)=DAY(EOMONTH(F252,0))),30-DAY(EOMONTH(F252,0)),IF(DAY(F252)=31,1," "))," "))</f>
        <v xml:space="preserve"> </v>
      </c>
      <c r="B252" s="130" t="str">
        <f t="shared" si="16"/>
        <v xml:space="preserve"> </v>
      </c>
      <c r="C252" s="130" t="str">
        <f>IF(OR(B252=0,B252=" ")," ",SUM($B$23:B252))</f>
        <v xml:space="preserve"> </v>
      </c>
      <c r="D252" s="62" t="str">
        <f>IF(D251=" "," ",IF(OR(F251='депозитный калькулятор'!$D$8,F251=" ")," ",D251+1))</f>
        <v xml:space="preserve"> </v>
      </c>
      <c r="E252" s="130" t="str">
        <f>IF(OR(F251='депозитный калькулятор'!$D$8,F251=" ")," ",IF(EOMONTH(F251,0)=F251,1,E251+1))</f>
        <v xml:space="preserve"> </v>
      </c>
      <c r="F252" s="64" t="str">
        <f>IF(F251=" "," ",IF(F251='депозитный калькулятор'!$D$8," ",F251+1))</f>
        <v xml:space="preserve"> </v>
      </c>
      <c r="G252" s="145" t="str">
        <f xml:space="preserve"> IF(F252&gt;'депозитный калькулятор'!$D$8," ",IF('депозитный калькулятор'!$G$13="есть",IF('депозитный калькулятор'!$G$14="есть",G251+IF(I251=" ",0,I251)-J252-K252+L252+M252-N252,G251+IF(I251=" ",0,I251)-J252-K252+M252-N252),IF('депозитный калькулятор'!$G$14="есть",G251-J252-K252+L252+M252-N252,G251-J252-K252+M252-N252)))</f>
        <v xml:space="preserve"> </v>
      </c>
      <c r="H252" s="133" t="str">
        <f>IF(F252&gt;'депозитный калькулятор'!$D$8," ",IF(AND(OR('депозитный калькулятор'!$G$7="30/365",'депозитный калькулятор'!$G$7="30/360"),AND(MONTH(F252)=2,EOMONTH(F252,0)=F252)),IF(DAY(F252)=28,3*G252*'депозитный калькулятор'!$G$8,2*G252*'депозитный калькулятор'!$G$8),IF(AND(OR('депозитный калькулятор'!$G$7="30/365",'депозитный калькулятор'!$G$7="30/360"),DAY(F252)=31)," ",IF(AND('депозитный калькулятор'!$G$7="факт/факт",MOD(YEAR(F252),4)=0),G252*'депозитный калькулятор'!$D$11/366,G252*'депозитный калькулятор'!$G$8))))</f>
        <v xml:space="preserve"> </v>
      </c>
      <c r="I252" s="134" t="str">
        <f ca="1">IF(F252=" "," ",IF('депозитный калькулятор'!$G$10="ежедневное",H252,IF(AND('депозитный калькулятор'!$G$10="еженедельное",WEEKDAY(F252,2)=7),SUM(OFFSET(H252,-6,0):H252),IF(AND('депозитный калькулятор'!$G$10="еженедельное",F252='депозитный калькулятор'!$D$8),SUM($H$23:H252)-SUM($I$23:I251),IF(AND('депозитный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недели",WEEKDAY(F252,2)=7),MIN(OFFSET(H252,-6,0):H252)*(COUNTIF(OFFSET(H252,-6,0):H252,"&gt;0")+SUMIF(OFFSET(A252,-WEEKDAY(F252,2),0):A252,"=2",OFFSET(A252,-WEEKDAY(F252,2),0):A252)),IF(AND('депозитный калькулятор'!$G$10="еженедельное, на минимальную сумму зафиксированную в течение недели",F252='депозитный калькулятор'!$D$8,WEEKDAY(F252,2)&lt;&gt;7),MIN(OFFSET(H252,-WEEKDAY(F252,2),0):H252)*(COUNTIF(OFFSET(H252,-WEEKDAY(F252,2)+1,0):H252,"&gt;0")+SUM(OFFSET(A252,-WEEKDAY(F252,2),0):A252)),IF(AND('депозитный калькулятор'!$G$10="ежемесячное (в конце месяца)",F252='депозитный калькулятор'!$D$8,EOMONTH(F252,0)&lt;&gt;F252),IF('депозитный калькулятор'!$F$1=1,$H$24,SUM($H$23:H252)-SUM($I$23:I251)),IF(AND('депозитный калькулятор'!$G$10="ежемесячное (в конце месяца)",EOMONTH(F252,0)=F252),SUM($H$23:H252)-SUM($I$23:I251),IF(AND('депозитный калькулятор'!$G$10="ежемесячное (по дням открытия вклада)",F252='депозитный калькулятор'!$D$8,DAY('депозитный калькулятор'!$D$7)&lt;&gt;DAY(F252)),IF('депозитный калькулятор'!$F$1=1,$H$24,SUM($H$23:H252)-SUM($I$23:I251)),IF(AND('депозитный калькулятор'!$G$10="ежемесячное (по дням открытия вклада)",DAY('депозитный калькулятор'!$D$7)=DAY(F252)),SUM($H$23:H252)-SUM($I$23:I251),IF(AND('депозитный калькулятор'!$G$10="ежемесячное, на минимальную сумму зафиксированную в течение месяца",F252='депозитный калькулятор'!$D$8,EOMONTH(F252,0)&lt;&gt;F252),IF('депозитный калькулятор'!$F$1=1,$H$24,IF(AND(OR('депозитный калькулятор'!$G$7="30/365",'депозитный калькулятор'!$G$7="30/360"),DAY(F252)=31),0,MIN(OFFSET(H252,-E252+1,0):H252)*(E252+SUMIF(OFFSET(A252,-E252+1,0):A252,"=2",OFFSET(A252,-E252+1,0):A252)))),IF(AND('депозитный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калькулятор'!$G$7="30/360"),DAY(EOMONTH(F252,0))=31),EOMONTH(F252,0)-1=F252,EOMONTH(F252,0)=F252)),IF(IF(AND(OR('депозитный калькулятор'!$G$7="30/365",'депозитный калькулятор'!$G$7="30/360"),DAY(EOMONTH($F$23,0))=31),F252=EOMONTH($F$23,0)-1,F252=EOMONTH($F$23,0)),MIN(OFFSET(H252,-(DAY(F252)-DAY($F$23)),0):H252)*E252,MIN(OFFSET(H252,-(DAY(F252)-1),0):H252)*IF(AND(OR('депозитный калькулятор'!$G$7="30/365",'депозитный калькулятор'!$G$7="30/360"),DAY(F252)&lt;30),30,DAY(F252))),IF(AND('депозитный калькулятор'!$G$10="ежемесячное, на средний остаток в течение месяца, при условии что остаток больше чем ограничение",F252='депозитный калькулятор'!$D$8,EOMONTH(F252,0)&lt;&gt;F252),IF('депозитный калькулятор'!$F$1=1,$H$24,SUM(OFFSET(Q252,-E252+1,0):Q252)),IF(AND('депозитный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калькулятор'!$G$7="30/360"),DAY(EOMONTH(F252,0))=31),EOMONTH(F252,0)-1=F252,EOMONTH(F252,0)=F252)),IF(IF(AND(OR('депозитный калькулятор'!$G$7="30/365",'депозитный калькулятор'!$G$7="30/360"),DAY(EOMONTH($F$24,0))=31),F252=EOMONTH($F$24,0)-1,F252=EOMONTH($F$24,0)),SUM(OFFSET(Q252,-E252+1,0):Q252),SUM(OFFSET(Q252,-E252+1,0):Q252)),IF('депозитный калькулятор'!$G$10="ежеквартальное",IF(F252&gt;'депозитный калькулятор'!$D$8," ",IF(AND(EOMONTH(F252,0)=F252,OR(MONTH(F252)=3,MONTH(F252)=6,MONTH(F252)=9,MONTH(F252)=12)),IF(EDATE(F252,-3)&lt;'депозитный калькулятор'!$D$7,SUM($H$23:H252),IF(MOD(YEAR(F252),4)=0,IF(AND(EOMONTH(F252,0)=F252,OR(MONTH(F252)=3,MONTH(F252)=6)),SUM(OFFSET(H252,-90,0):H252),IF(AND(EOMONTH(F252,0)=F252,OR(MONTH(F252)=9,MONTH(F252)=12)),SUM(OFFSET(H252,-91,0):H252))),IF(AND(EOMONTH(F252,0)=F252,MONTH(F252)=3),SUM(OFFSET(H252,-89,0):H252),IF(AND(EOMONTH(F252,0)=F252,MONTH(F252)=6),SUM(OFFSET(H252,-90,0):H252),IF(AND(EOMONTH(F252,0)=F252,OR(MONTH(F252)=9,MONTH(F252)=12)),SUM(OFFSET(H252,-91,0):H252)))))),IF(F252='депозитный калькулятор'!$D$8,SUM($H$23:H252)-SUM($I$23:I251),0))),IF('депозитный калькулятор'!$G$10="ежегодное",IF(F252&gt;'депозитный калькулятор'!$D$8," ",IF(F252='депозитный калькулятор'!$D$8,SUM($H$23:H252)-SUM($I$23:I251),IF(AND(EOMONTH(F252,0)=F252,MONTH(F252)=12),IF(MOD(YEAR(F251),4)=0,IF(F252-'депозитный калькулятор'!$D$7&lt;366,SUM($H$23:H252),SUM(OFFSET(H252,-365,0):H252)),IF(F252-'депозитный калькулятор'!$D$7&lt;365,SUM($H$23:H252),SUM(OFFSET(H252,-364,0):H252))),0))),IF(AND('депозитный калькулятор'!$G$10="в конце срока",'депозитный калькулятор'!$D$8=F252),SUM($H$23:H252),0))))))))))))))))))</f>
        <v xml:space="preserve"> </v>
      </c>
      <c r="J252" s="59" t="str">
        <f>IF(F252&gt;'депозитный калькулятор'!$D$8," ",IF('депозитный калькулятор'!$G$16="нет",0,IF(AND('депозитный калькулятор'!$G$17="разовая (в конце срока)",F252='депозитный калькулятор'!$D$8),'депозитный калькулятор'!$G$18,IF(AND('депозитный калькулятор'!$G$17="ежемесячная",EOMONTH(F251,0)=F251),'депозитный калькулятор'!$G$18,IF(AND('депозитный калькулятор'!$G$17="ежегодная",DAY(F251)=31,MONTH(F251)=12),'депозитный калькулятор'!$G$18,IF(AND('депозитный калькулятор'!$G$17="ежемесячная в зависимости от остатка",EOMONTH(F251,0)=F251,P251&gt;0),'депозитный калькулятор'!$G$18,IF(AND('депозитный калькулятор'!$G$17="ежегодная в зависимости от остатка",DAY(F251)=31,MONTH(F251)=12,P251&gt;0),'депозитный калькулятор'!$G$18,0)))))))</f>
        <v xml:space="preserve"> </v>
      </c>
      <c r="K252" s="135" t="str">
        <f>IF($F252=" "," ",IFERROR(VLOOKUP($F252,'депозитный калькулятор'!$B$26:$F$70,2,0),0))</f>
        <v xml:space="preserve"> </v>
      </c>
      <c r="L252" s="135" t="str">
        <f>IF($F252=" "," ",IFERROR(VLOOKUP($F252,'депозитный калькулятор'!$B$26:$F$70,3,0),0))</f>
        <v xml:space="preserve"> </v>
      </c>
      <c r="M252" s="135" t="str">
        <f>IF($F252=" "," ",IFERROR(VLOOKUP($F252,'депозитный калькулятор'!$B$26:$F$70,4,0),0))</f>
        <v xml:space="preserve"> </v>
      </c>
      <c r="N252" s="135" t="str">
        <f>IF($F252=" "," ",IFERROR(VLOOKUP($F252,'депозитный калькулятор'!$B$26:$F$70,5,0),0))</f>
        <v xml:space="preserve"> </v>
      </c>
      <c r="O252" s="146" t="str">
        <f>IF(F252&gt;'депозитный калькулятор'!$D$8," ",IF(F252='депозитный калькулятор'!$D$8,IF(AND($F$24='депозитный калькулятор'!$D$8,'депозитный калькулятор'!$G$13="нет"),-G252-IF(I252=" ",0,I252)-IF(AND(OR('депозитный калькулятор'!$G$7="30/365",'депозитный калькулятор'!$G$7="30/360"),'депозитный калькулятор'!$G$10="в начале срока"),I251,0)-L252+M252-N252,-G252-IF(I252=" ",0,I252)-L252+M252-N252),IF('депозитный калькулятор'!$G$13="есть",M252-N252+IF('депозитный калькулятор'!$G$14="есть",0,-L252),-IF(I252=" ",0,I252)-IF(AND(OR('депозитный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срока"),I251,0)+M252-N252+IF('депозитный калькулятор'!$G$14="есть",0,-L252))))</f>
        <v xml:space="preserve"> </v>
      </c>
      <c r="P252" s="147" t="str">
        <f>IF(F252&gt;'депозитный калькулятор'!$D$8," ",IF(EOMONTH(F251,0)=F251,0,IF(G252&gt;='депозитный калькулятор'!$G$19,P251,P251+1)))</f>
        <v xml:space="preserve"> </v>
      </c>
      <c r="Q252" s="138" t="str">
        <f>IF(F252=" "," ",IF(AND(OR('депозитный калькулятор'!$G$7="30/365",'депозитный калькулятор'!$G$7="30/360"),AND(MONTH(F252)=2,EOMONTH(F252,0)=F252)),IF(DAY(F252)=28,3,2),1)*IF(G252&gt;='депозитный калькулятор'!$G$11,IF(AND('депозитный калькулятор'!$G$7="факт/факт",MOD(YEAR(F252),4)=0),G252*'депозитный калькулятор'!$D$11/366,G252*'депозитный калькулятор'!$G$8),0))</f>
        <v xml:space="preserve"> </v>
      </c>
      <c r="R252" s="148"/>
      <c r="S252" s="62" t="str">
        <f t="shared" ca="1" si="17"/>
        <v xml:space="preserve"> </v>
      </c>
      <c r="T252" s="149" t="str">
        <f ca="1">IF(S252=" "," ",IF('депозитный калькулятор'!$G$7="30/360",DAYS360(U251,IF(DAY(U252)=31,U252-1,U252))+IF(AND(MONTH(U252)=2,U252=EOMONTH(U252,0)),30-DAY(EOMONTH(U252,0)))+T251,VLOOKUP(S252,$C$22:$F$1023,2,0)))</f>
        <v xml:space="preserve"> </v>
      </c>
      <c r="U252" s="64" t="str">
        <f t="shared" ca="1" si="15"/>
        <v xml:space="preserve"> </v>
      </c>
      <c r="V252" s="150" t="str">
        <f t="shared" ca="1" si="18"/>
        <v xml:space="preserve"> </v>
      </c>
      <c r="W252" s="62" t="str">
        <f t="shared" ca="1" si="19"/>
        <v xml:space="preserve"> </v>
      </c>
      <c r="X252" s="141" t="str">
        <f ca="1">IF(S252=" "," ",IFERROR(VLOOKUP(U252,$F$23:$N$1023,7)+VLOOKUP(U252,$F$23:$N$1023,9)+IF(AND('депозитный калькулятор'!$G$13="нет",U252&lt;&gt;'депозитный калькулятор'!$D$8),VLOOKUP(U252,$F$23:$N$1023,4),0),0)+IF(U252='депозитный калькулятор'!$D$8,VLOOKUP(U252,$F$23:$N$1023,2)+VLOOKUP(U252,$F$23:$N$1023,4),0))</f>
        <v xml:space="preserve"> </v>
      </c>
      <c r="Y252" s="142" t="str">
        <f ca="1">IF(S252=" "," ",W252/(1+'депозитный калькулятор'!$K$8)^(T252/IF('депозитный калькулятор'!$G$7="30/360",360,365)))</f>
        <v xml:space="preserve"> </v>
      </c>
      <c r="Z252" s="142" t="str">
        <f ca="1">IF(S252=" "," ",X252/(1+'депозитный калькулятор'!$K$8)^(T252/IF('депозитный калькулятор'!$G$7="30/360",360,365)))</f>
        <v xml:space="preserve"> </v>
      </c>
      <c r="AA252" s="151"/>
      <c r="AB252" s="151"/>
      <c r="AC252" s="155"/>
      <c r="AD252" s="155"/>
    </row>
    <row r="253" spans="1:30" s="2" customFormat="1" ht="15.5" x14ac:dyDescent="0.35">
      <c r="A253" s="41" t="str">
        <f>IF(F253=" "," ",IF(OR('депозитный калькулятор'!$G$7="30/365",'депозитный калькулятор'!$G$7="30/360"),IF(AND(MONTH(F253)=2,DAY(F253)=DAY(EOMONTH(F253,0))),30-DAY(EOMONTH(F253,0)),IF(DAY(F253)=31,1," "))," "))</f>
        <v xml:space="preserve"> </v>
      </c>
      <c r="B253" s="130" t="str">
        <f t="shared" si="16"/>
        <v xml:space="preserve"> </v>
      </c>
      <c r="C253" s="130" t="str">
        <f>IF(OR(B253=0,B253=" ")," ",SUM($B$23:B253))</f>
        <v xml:space="preserve"> </v>
      </c>
      <c r="D253" s="62" t="str">
        <f>IF(D252=" "," ",IF(OR(F252='депозитный калькулятор'!$D$8,F252=" ")," ",D252+1))</f>
        <v xml:space="preserve"> </v>
      </c>
      <c r="E253" s="130" t="str">
        <f>IF(OR(F252='депозитный калькулятор'!$D$8,F252=" ")," ",IF(EOMONTH(F252,0)=F252,1,E252+1))</f>
        <v xml:space="preserve"> </v>
      </c>
      <c r="F253" s="64" t="str">
        <f>IF(F252=" "," ",IF(F252='депозитный калькулятор'!$D$8," ",F252+1))</f>
        <v xml:space="preserve"> </v>
      </c>
      <c r="G253" s="145" t="str">
        <f xml:space="preserve"> IF(F253&gt;'депозитный калькулятор'!$D$8," ",IF('депозитный калькулятор'!$G$13="есть",IF('депозитный калькулятор'!$G$14="есть",G252+IF(I252=" ",0,I252)-J253-K253+L253+M253-N253,G252+IF(I252=" ",0,I252)-J253-K253+M253-N253),IF('депозитный калькулятор'!$G$14="есть",G252-J253-K253+L253+M253-N253,G252-J253-K253+M253-N253)))</f>
        <v xml:space="preserve"> </v>
      </c>
      <c r="H253" s="133" t="str">
        <f>IF(F253&gt;'депозитный калькулятор'!$D$8," ",IF(AND(OR('депозитный калькулятор'!$G$7="30/365",'депозитный калькулятор'!$G$7="30/360"),AND(MONTH(F253)=2,EOMONTH(F253,0)=F253)),IF(DAY(F253)=28,3*G253*'депозитный калькулятор'!$G$8,2*G253*'депозитный калькулятор'!$G$8),IF(AND(OR('депозитный калькулятор'!$G$7="30/365",'депозитный калькулятор'!$G$7="30/360"),DAY(F253)=31)," ",IF(AND('депозитный калькулятор'!$G$7="факт/факт",MOD(YEAR(F253),4)=0),G253*'депозитный калькулятор'!$D$11/366,G253*'депозитный калькулятор'!$G$8))))</f>
        <v xml:space="preserve"> </v>
      </c>
      <c r="I253" s="134" t="str">
        <f ca="1">IF(F253=" "," ",IF('депозитный калькулятор'!$G$10="ежедневное",H253,IF(AND('депозитный калькулятор'!$G$10="еженедельное",WEEKDAY(F253,2)=7),SUM(OFFSET(H253,-6,0):H253),IF(AND('депозитный калькулятор'!$G$10="еженедельное",F253='депозитный калькулятор'!$D$8),SUM($H$23:H253)-SUM($I$23:I252),IF(AND('депозитный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недели",WEEKDAY(F253,2)=7),MIN(OFFSET(H253,-6,0):H253)*(COUNTIF(OFFSET(H253,-6,0):H253,"&gt;0")+SUMIF(OFFSET(A253,-WEEKDAY(F253,2),0):A253,"=2",OFFSET(A253,-WEEKDAY(F253,2),0):A253)),IF(AND('депозитный калькулятор'!$G$10="еженедельное, на минимальную сумму зафиксированную в течение недели",F253='депозитный калькулятор'!$D$8,WEEKDAY(F253,2)&lt;&gt;7),MIN(OFFSET(H253,-WEEKDAY(F253,2),0):H253)*(COUNTIF(OFFSET(H253,-WEEKDAY(F253,2)+1,0):H253,"&gt;0")+SUM(OFFSET(A253,-WEEKDAY(F253,2),0):A253)),IF(AND('депозитный калькулятор'!$G$10="ежемесячное (в конце месяца)",F253='депозитный калькулятор'!$D$8,EOMONTH(F253,0)&lt;&gt;F253),IF('депозитный калькулятор'!$F$1=1,$H$24,SUM($H$23:H253)-SUM($I$23:I252)),IF(AND('депозитный калькулятор'!$G$10="ежемесячное (в конце месяца)",EOMONTH(F253,0)=F253),SUM($H$23:H253)-SUM($I$23:I252),IF(AND('депозитный калькулятор'!$G$10="ежемесячное (по дням открытия вклада)",F253='депозитный калькулятор'!$D$8,DAY('депозитный калькулятор'!$D$7)&lt;&gt;DAY(F253)),IF('депозитный калькулятор'!$F$1=1,$H$24,SUM($H$23:H253)-SUM($I$23:I252)),IF(AND('депозитный калькулятор'!$G$10="ежемесячное (по дням открытия вклада)",DAY('депозитный калькулятор'!$D$7)=DAY(F253)),SUM($H$23:H253)-SUM($I$23:I252),IF(AND('депозитный калькулятор'!$G$10="ежемесячное, на минимальную сумму зафиксированную в течение месяца",F253='депозитный калькулятор'!$D$8,EOMONTH(F253,0)&lt;&gt;F253),IF('депозитный калькулятор'!$F$1=1,$H$24,IF(AND(OR('депозитный калькулятор'!$G$7="30/365",'депозитный калькулятор'!$G$7="30/360"),DAY(F253)=31),0,MIN(OFFSET(H253,-E253+1,0):H253)*(E253+SUMIF(OFFSET(A253,-E253+1,0):A253,"=2",OFFSET(A253,-E253+1,0):A253)))),IF(AND('депозитный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калькулятор'!$G$7="30/360"),DAY(EOMONTH(F253,0))=31),EOMONTH(F253,0)-1=F253,EOMONTH(F253,0)=F253)),IF(IF(AND(OR('депозитный калькулятор'!$G$7="30/365",'депозитный калькулятор'!$G$7="30/360"),DAY(EOMONTH($F$23,0))=31),F253=EOMONTH($F$23,0)-1,F253=EOMONTH($F$23,0)),MIN(OFFSET(H253,-(DAY(F253)-DAY($F$23)),0):H253)*E253,MIN(OFFSET(H253,-(DAY(F253)-1),0):H253)*IF(AND(OR('депозитный калькулятор'!$G$7="30/365",'депозитный калькулятор'!$G$7="30/360"),DAY(F253)&lt;30),30,DAY(F253))),IF(AND('депозитный калькулятор'!$G$10="ежемесячное, на средний остаток в течение месяца, при условии что остаток больше чем ограничение",F253='депозитный калькулятор'!$D$8,EOMONTH(F253,0)&lt;&gt;F253),IF('депозитный калькулятор'!$F$1=1,$H$24,SUM(OFFSET(Q253,-E253+1,0):Q253)),IF(AND('депозитный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калькулятор'!$G$7="30/360"),DAY(EOMONTH(F253,0))=31),EOMONTH(F253,0)-1=F253,EOMONTH(F253,0)=F253)),IF(IF(AND(OR('депозитный калькулятор'!$G$7="30/365",'депозитный калькулятор'!$G$7="30/360"),DAY(EOMONTH($F$24,0))=31),F253=EOMONTH($F$24,0)-1,F253=EOMONTH($F$24,0)),SUM(OFFSET(Q253,-E253+1,0):Q253),SUM(OFFSET(Q253,-E253+1,0):Q253)),IF('депозитный калькулятор'!$G$10="ежеквартальное",IF(F253&gt;'депозитный калькулятор'!$D$8," ",IF(AND(EOMONTH(F253,0)=F253,OR(MONTH(F253)=3,MONTH(F253)=6,MONTH(F253)=9,MONTH(F253)=12)),IF(EDATE(F253,-3)&lt;'депозитный калькулятор'!$D$7,SUM($H$23:H253),IF(MOD(YEAR(F253),4)=0,IF(AND(EOMONTH(F253,0)=F253,OR(MONTH(F253)=3,MONTH(F253)=6)),SUM(OFFSET(H253,-90,0):H253),IF(AND(EOMONTH(F253,0)=F253,OR(MONTH(F253)=9,MONTH(F253)=12)),SUM(OFFSET(H253,-91,0):H253))),IF(AND(EOMONTH(F253,0)=F253,MONTH(F253)=3),SUM(OFFSET(H253,-89,0):H253),IF(AND(EOMONTH(F253,0)=F253,MONTH(F253)=6),SUM(OFFSET(H253,-90,0):H253),IF(AND(EOMONTH(F253,0)=F253,OR(MONTH(F253)=9,MONTH(F253)=12)),SUM(OFFSET(H253,-91,0):H253)))))),IF(F253='депозитный калькулятор'!$D$8,SUM($H$23:H253)-SUM($I$23:I252),0))),IF('депозитный калькулятор'!$G$10="ежегодное",IF(F253&gt;'депозитный калькулятор'!$D$8," ",IF(F253='депозитный калькулятор'!$D$8,SUM($H$23:H253)-SUM($I$23:I252),IF(AND(EOMONTH(F253,0)=F253,MONTH(F253)=12),IF(MOD(YEAR(F252),4)=0,IF(F253-'депозитный калькулятор'!$D$7&lt;366,SUM($H$23:H253),SUM(OFFSET(H253,-365,0):H253)),IF(F253-'депозитный калькулятор'!$D$7&lt;365,SUM($H$23:H253),SUM(OFFSET(H253,-364,0):H253))),0))),IF(AND('депозитный калькулятор'!$G$10="в конце срока",'депозитный калькулятор'!$D$8=F253),SUM($H$23:H253),0))))))))))))))))))</f>
        <v xml:space="preserve"> </v>
      </c>
      <c r="J253" s="59" t="str">
        <f>IF(F253&gt;'депозитный калькулятор'!$D$8," ",IF('депозитный калькулятор'!$G$16="нет",0,IF(AND('депозитный калькулятор'!$G$17="разовая (в конце срока)",F253='депозитный калькулятор'!$D$8),'депозитный калькулятор'!$G$18,IF(AND('депозитный калькулятор'!$G$17="ежемесячная",EOMONTH(F252,0)=F252),'депозитный калькулятор'!$G$18,IF(AND('депозитный калькулятор'!$G$17="ежегодная",DAY(F252)=31,MONTH(F252)=12),'депозитный калькулятор'!$G$18,IF(AND('депозитный калькулятор'!$G$17="ежемесячная в зависимости от остатка",EOMONTH(F252,0)=F252,P252&gt;0),'депозитный калькулятор'!$G$18,IF(AND('депозитный калькулятор'!$G$17="ежегодная в зависимости от остатка",DAY(F252)=31,MONTH(F252)=12,P252&gt;0),'депозитный калькулятор'!$G$18,0)))))))</f>
        <v xml:space="preserve"> </v>
      </c>
      <c r="K253" s="135" t="str">
        <f>IF($F253=" "," ",IFERROR(VLOOKUP($F253,'депозитный калькулятор'!$B$26:$F$70,2,0),0))</f>
        <v xml:space="preserve"> </v>
      </c>
      <c r="L253" s="135" t="str">
        <f>IF($F253=" "," ",IFERROR(VLOOKUP($F253,'депозитный калькулятор'!$B$26:$F$70,3,0),0))</f>
        <v xml:space="preserve"> </v>
      </c>
      <c r="M253" s="135" t="str">
        <f>IF($F253=" "," ",IFERROR(VLOOKUP($F253,'депозитный калькулятор'!$B$26:$F$70,4,0),0))</f>
        <v xml:space="preserve"> </v>
      </c>
      <c r="N253" s="135" t="str">
        <f>IF($F253=" "," ",IFERROR(VLOOKUP($F253,'депозитный калькулятор'!$B$26:$F$70,5,0),0))</f>
        <v xml:space="preserve"> </v>
      </c>
      <c r="O253" s="146" t="str">
        <f>IF(F253&gt;'депозитный калькулятор'!$D$8," ",IF(F253='депозитный калькулятор'!$D$8,IF(AND($F$24='депозитный калькулятор'!$D$8,'депозитный калькулятор'!$G$13="нет"),-G253-IF(I253=" ",0,I253)-IF(AND(OR('депозитный калькулятор'!$G$7="30/365",'депозитный калькулятор'!$G$7="30/360"),'депозитный калькулятор'!$G$10="в начале срока"),I252,0)-L253+M253-N253,-G253-IF(I253=" ",0,I253)-L253+M253-N253),IF('депозитный калькулятор'!$G$13="есть",M253-N253+IF('депозитный калькулятор'!$G$14="есть",0,-L253),-IF(I253=" ",0,I253)-IF(AND(OR('депозитный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срока"),I252,0)+M253-N253+IF('депозитный калькулятор'!$G$14="есть",0,-L253))))</f>
        <v xml:space="preserve"> </v>
      </c>
      <c r="P253" s="147" t="str">
        <f>IF(F253&gt;'депозитный калькулятор'!$D$8," ",IF(EOMONTH(F252,0)=F252,0,IF(G253&gt;='депозитный калькулятор'!$G$19,P252,P252+1)))</f>
        <v xml:space="preserve"> </v>
      </c>
      <c r="Q253" s="138" t="str">
        <f>IF(F253=" "," ",IF(AND(OR('депозитный калькулятор'!$G$7="30/365",'депозитный калькулятор'!$G$7="30/360"),AND(MONTH(F253)=2,EOMONTH(F253,0)=F253)),IF(DAY(F253)=28,3,2),1)*IF(G253&gt;='депозитный калькулятор'!$G$11,IF(AND('депозитный калькулятор'!$G$7="факт/факт",MOD(YEAR(F253),4)=0),G253*'депозитный калькулятор'!$D$11/366,G253*'депозитный калькулятор'!$G$8),0))</f>
        <v xml:space="preserve"> </v>
      </c>
      <c r="R253" s="148"/>
      <c r="S253" s="62" t="str">
        <f t="shared" ca="1" si="17"/>
        <v xml:space="preserve"> </v>
      </c>
      <c r="T253" s="149" t="str">
        <f ca="1">IF(S253=" "," ",IF('депозитный калькулятор'!$G$7="30/360",DAYS360(U252,IF(DAY(U253)=31,U253-1,U253))+IF(AND(MONTH(U253)=2,U253=EOMONTH(U253,0)),30-DAY(EOMONTH(U253,0)))+T252,VLOOKUP(S253,$C$22:$F$1023,2,0)))</f>
        <v xml:space="preserve"> </v>
      </c>
      <c r="U253" s="64" t="str">
        <f t="shared" ca="1" si="15"/>
        <v xml:space="preserve"> </v>
      </c>
      <c r="V253" s="150" t="str">
        <f t="shared" ca="1" si="18"/>
        <v xml:space="preserve"> </v>
      </c>
      <c r="W253" s="62" t="str">
        <f t="shared" ca="1" si="19"/>
        <v xml:space="preserve"> </v>
      </c>
      <c r="X253" s="141" t="str">
        <f ca="1">IF(S253=" "," ",IFERROR(VLOOKUP(U253,$F$23:$N$1023,7)+VLOOKUP(U253,$F$23:$N$1023,9)+IF(AND('депозитный калькулятор'!$G$13="нет",U253&lt;&gt;'депозитный калькулятор'!$D$8),VLOOKUP(U253,$F$23:$N$1023,4),0),0)+IF(U253='депозитный калькулятор'!$D$8,VLOOKUP(U253,$F$23:$N$1023,2)+VLOOKUP(U253,$F$23:$N$1023,4),0))</f>
        <v xml:space="preserve"> </v>
      </c>
      <c r="Y253" s="142" t="str">
        <f ca="1">IF(S253=" "," ",W253/(1+'депозитный калькулятор'!$K$8)^(T253/IF('депозитный калькулятор'!$G$7="30/360",360,365)))</f>
        <v xml:space="preserve"> </v>
      </c>
      <c r="Z253" s="142" t="str">
        <f ca="1">IF(S253=" "," ",X253/(1+'депозитный калькулятор'!$K$8)^(T253/IF('депозитный калькулятор'!$G$7="30/360",360,365)))</f>
        <v xml:space="preserve"> </v>
      </c>
      <c r="AA253" s="151"/>
      <c r="AB253" s="151"/>
      <c r="AC253" s="155"/>
      <c r="AD253" s="155"/>
    </row>
    <row r="254" spans="1:30" s="2" customFormat="1" ht="15.5" x14ac:dyDescent="0.35">
      <c r="A254" s="41" t="str">
        <f>IF(F254=" "," ",IF(OR('депозитный калькулятор'!$G$7="30/365",'депозитный калькулятор'!$G$7="30/360"),IF(AND(MONTH(F254)=2,DAY(F254)=DAY(EOMONTH(F254,0))),30-DAY(EOMONTH(F254,0)),IF(DAY(F254)=31,1," "))," "))</f>
        <v xml:space="preserve"> </v>
      </c>
      <c r="B254" s="130" t="str">
        <f t="shared" si="16"/>
        <v xml:space="preserve"> </v>
      </c>
      <c r="C254" s="130" t="str">
        <f>IF(OR(B254=0,B254=" ")," ",SUM($B$23:B254))</f>
        <v xml:space="preserve"> </v>
      </c>
      <c r="D254" s="62" t="str">
        <f>IF(D253=" "," ",IF(OR(F253='депозитный калькулятор'!$D$8,F253=" ")," ",D253+1))</f>
        <v xml:space="preserve"> </v>
      </c>
      <c r="E254" s="130" t="str">
        <f>IF(OR(F253='депозитный калькулятор'!$D$8,F253=" ")," ",IF(EOMONTH(F253,0)=F253,1,E253+1))</f>
        <v xml:space="preserve"> </v>
      </c>
      <c r="F254" s="64" t="str">
        <f>IF(F253=" "," ",IF(F253='депозитный калькулятор'!$D$8," ",F253+1))</f>
        <v xml:space="preserve"> </v>
      </c>
      <c r="G254" s="145" t="str">
        <f xml:space="preserve"> IF(F254&gt;'депозитный калькулятор'!$D$8," ",IF('депозитный калькулятор'!$G$13="есть",IF('депозитный калькулятор'!$G$14="есть",G253+IF(I253=" ",0,I253)-J254-K254+L254+M254-N254,G253+IF(I253=" ",0,I253)-J254-K254+M254-N254),IF('депозитный калькулятор'!$G$14="есть",G253-J254-K254+L254+M254-N254,G253-J254-K254+M254-N254)))</f>
        <v xml:space="preserve"> </v>
      </c>
      <c r="H254" s="133" t="str">
        <f>IF(F254&gt;'депозитный калькулятор'!$D$8," ",IF(AND(OR('депозитный калькулятор'!$G$7="30/365",'депозитный калькулятор'!$G$7="30/360"),AND(MONTH(F254)=2,EOMONTH(F254,0)=F254)),IF(DAY(F254)=28,3*G254*'депозитный калькулятор'!$G$8,2*G254*'депозитный калькулятор'!$G$8),IF(AND(OR('депозитный калькулятор'!$G$7="30/365",'депозитный калькулятор'!$G$7="30/360"),DAY(F254)=31)," ",IF(AND('депозитный калькулятор'!$G$7="факт/факт",MOD(YEAR(F254),4)=0),G254*'депозитный калькулятор'!$D$11/366,G254*'депозитный калькулятор'!$G$8))))</f>
        <v xml:space="preserve"> </v>
      </c>
      <c r="I254" s="134" t="str">
        <f ca="1">IF(F254=" "," ",IF('депозитный калькулятор'!$G$10="ежедневное",H254,IF(AND('депозитный калькулятор'!$G$10="еженедельное",WEEKDAY(F254,2)=7),SUM(OFFSET(H254,-6,0):H254),IF(AND('депозитный калькулятор'!$G$10="еженедельное",F254='депозитный калькулятор'!$D$8),SUM($H$23:H254)-SUM($I$23:I253),IF(AND('депозитный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недели",WEEKDAY(F254,2)=7),MIN(OFFSET(H254,-6,0):H254)*(COUNTIF(OFFSET(H254,-6,0):H254,"&gt;0")+SUMIF(OFFSET(A254,-WEEKDAY(F254,2),0):A254,"=2",OFFSET(A254,-WEEKDAY(F254,2),0):A254)),IF(AND('депозитный калькулятор'!$G$10="еженедельное, на минимальную сумму зафиксированную в течение недели",F254='депозитный калькулятор'!$D$8,WEEKDAY(F254,2)&lt;&gt;7),MIN(OFFSET(H254,-WEEKDAY(F254,2),0):H254)*(COUNTIF(OFFSET(H254,-WEEKDAY(F254,2)+1,0):H254,"&gt;0")+SUM(OFFSET(A254,-WEEKDAY(F254,2),0):A254)),IF(AND('депозитный калькулятор'!$G$10="ежемесячное (в конце месяца)",F254='депозитный калькулятор'!$D$8,EOMONTH(F254,0)&lt;&gt;F254),IF('депозитный калькулятор'!$F$1=1,$H$24,SUM($H$23:H254)-SUM($I$23:I253)),IF(AND('депозитный калькулятор'!$G$10="ежемесячное (в конце месяца)",EOMONTH(F254,0)=F254),SUM($H$23:H254)-SUM($I$23:I253),IF(AND('депозитный калькулятор'!$G$10="ежемесячное (по дням открытия вклада)",F254='депозитный калькулятор'!$D$8,DAY('депозитный калькулятор'!$D$7)&lt;&gt;DAY(F254)),IF('депозитный калькулятор'!$F$1=1,$H$24,SUM($H$23:H254)-SUM($I$23:I253)),IF(AND('депозитный калькулятор'!$G$10="ежемесячное (по дням открытия вклада)",DAY('депозитный калькулятор'!$D$7)=DAY(F254)),SUM($H$23:H254)-SUM($I$23:I253),IF(AND('депозитный калькулятор'!$G$10="ежемесячное, на минимальную сумму зафиксированную в течение месяца",F254='депозитный калькулятор'!$D$8,EOMONTH(F254,0)&lt;&gt;F254),IF('депозитный калькулятор'!$F$1=1,$H$24,IF(AND(OR('депозитный калькулятор'!$G$7="30/365",'депозитный калькулятор'!$G$7="30/360"),DAY(F254)=31),0,MIN(OFFSET(H254,-E254+1,0):H254)*(E254+SUMIF(OFFSET(A254,-E254+1,0):A254,"=2",OFFSET(A254,-E254+1,0):A254)))),IF(AND('депозитный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калькулятор'!$G$7="30/360"),DAY(EOMONTH(F254,0))=31),EOMONTH(F254,0)-1=F254,EOMONTH(F254,0)=F254)),IF(IF(AND(OR('депозитный калькулятор'!$G$7="30/365",'депозитный калькулятор'!$G$7="30/360"),DAY(EOMONTH($F$23,0))=31),F254=EOMONTH($F$23,0)-1,F254=EOMONTH($F$23,0)),MIN(OFFSET(H254,-(DAY(F254)-DAY($F$23)),0):H254)*E254,MIN(OFFSET(H254,-(DAY(F254)-1),0):H254)*IF(AND(OR('депозитный калькулятор'!$G$7="30/365",'депозитный калькулятор'!$G$7="30/360"),DAY(F254)&lt;30),30,DAY(F254))),IF(AND('депозитный калькулятор'!$G$10="ежемесячное, на средний остаток в течение месяца, при условии что остаток больше чем ограничение",F254='депозитный калькулятор'!$D$8,EOMONTH(F254,0)&lt;&gt;F254),IF('депозитный калькулятор'!$F$1=1,$H$24,SUM(OFFSET(Q254,-E254+1,0):Q254)),IF(AND('депозитный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калькулятор'!$G$7="30/360"),DAY(EOMONTH(F254,0))=31),EOMONTH(F254,0)-1=F254,EOMONTH(F254,0)=F254)),IF(IF(AND(OR('депозитный калькулятор'!$G$7="30/365",'депозитный калькулятор'!$G$7="30/360"),DAY(EOMONTH($F$24,0))=31),F254=EOMONTH($F$24,0)-1,F254=EOMONTH($F$24,0)),SUM(OFFSET(Q254,-E254+1,0):Q254),SUM(OFFSET(Q254,-E254+1,0):Q254)),IF('депозитный калькулятор'!$G$10="ежеквартальное",IF(F254&gt;'депозитный калькулятор'!$D$8," ",IF(AND(EOMONTH(F254,0)=F254,OR(MONTH(F254)=3,MONTH(F254)=6,MONTH(F254)=9,MONTH(F254)=12)),IF(EDATE(F254,-3)&lt;'депозитный калькулятор'!$D$7,SUM($H$23:H254),IF(MOD(YEAR(F254),4)=0,IF(AND(EOMONTH(F254,0)=F254,OR(MONTH(F254)=3,MONTH(F254)=6)),SUM(OFFSET(H254,-90,0):H254),IF(AND(EOMONTH(F254,0)=F254,OR(MONTH(F254)=9,MONTH(F254)=12)),SUM(OFFSET(H254,-91,0):H254))),IF(AND(EOMONTH(F254,0)=F254,MONTH(F254)=3),SUM(OFFSET(H254,-89,0):H254),IF(AND(EOMONTH(F254,0)=F254,MONTH(F254)=6),SUM(OFFSET(H254,-90,0):H254),IF(AND(EOMONTH(F254,0)=F254,OR(MONTH(F254)=9,MONTH(F254)=12)),SUM(OFFSET(H254,-91,0):H254)))))),IF(F254='депозитный калькулятор'!$D$8,SUM($H$23:H254)-SUM($I$23:I253),0))),IF('депозитный калькулятор'!$G$10="ежегодное",IF(F254&gt;'депозитный калькулятор'!$D$8," ",IF(F254='депозитный калькулятор'!$D$8,SUM($H$23:H254)-SUM($I$23:I253),IF(AND(EOMONTH(F254,0)=F254,MONTH(F254)=12),IF(MOD(YEAR(F253),4)=0,IF(F254-'депозитный калькулятор'!$D$7&lt;366,SUM($H$23:H254),SUM(OFFSET(H254,-365,0):H254)),IF(F254-'депозитный калькулятор'!$D$7&lt;365,SUM($H$23:H254),SUM(OFFSET(H254,-364,0):H254))),0))),IF(AND('депозитный калькулятор'!$G$10="в конце срока",'депозитный калькулятор'!$D$8=F254),SUM($H$23:H254),0))))))))))))))))))</f>
        <v xml:space="preserve"> </v>
      </c>
      <c r="J254" s="59" t="str">
        <f>IF(F254&gt;'депозитный калькулятор'!$D$8," ",IF('депозитный калькулятор'!$G$16="нет",0,IF(AND('депозитный калькулятор'!$G$17="разовая (в конце срока)",F254='депозитный калькулятор'!$D$8),'депозитный калькулятор'!$G$18,IF(AND('депозитный калькулятор'!$G$17="ежемесячная",EOMONTH(F253,0)=F253),'депозитный калькулятор'!$G$18,IF(AND('депозитный калькулятор'!$G$17="ежегодная",DAY(F253)=31,MONTH(F253)=12),'депозитный калькулятор'!$G$18,IF(AND('депозитный калькулятор'!$G$17="ежемесячная в зависимости от остатка",EOMONTH(F253,0)=F253,P253&gt;0),'депозитный калькулятор'!$G$18,IF(AND('депозитный калькулятор'!$G$17="ежегодная в зависимости от остатка",DAY(F253)=31,MONTH(F253)=12,P253&gt;0),'депозитный калькулятор'!$G$18,0)))))))</f>
        <v xml:space="preserve"> </v>
      </c>
      <c r="K254" s="135" t="str">
        <f>IF($F254=" "," ",IFERROR(VLOOKUP($F254,'депозитный калькулятор'!$B$26:$F$70,2,0),0))</f>
        <v xml:space="preserve"> </v>
      </c>
      <c r="L254" s="135" t="str">
        <f>IF($F254=" "," ",IFERROR(VLOOKUP($F254,'депозитный калькулятор'!$B$26:$F$70,3,0),0))</f>
        <v xml:space="preserve"> </v>
      </c>
      <c r="M254" s="135" t="str">
        <f>IF($F254=" "," ",IFERROR(VLOOKUP($F254,'депозитный калькулятор'!$B$26:$F$70,4,0),0))</f>
        <v xml:space="preserve"> </v>
      </c>
      <c r="N254" s="135" t="str">
        <f>IF($F254=" "," ",IFERROR(VLOOKUP($F254,'депозитный калькулятор'!$B$26:$F$70,5,0),0))</f>
        <v xml:space="preserve"> </v>
      </c>
      <c r="O254" s="146" t="str">
        <f>IF(F254&gt;'депозитный калькулятор'!$D$8," ",IF(F254='депозитный калькулятор'!$D$8,IF(AND($F$24='депозитный калькулятор'!$D$8,'депозитный калькулятор'!$G$13="нет"),-G254-IF(I254=" ",0,I254)-IF(AND(OR('депозитный калькулятор'!$G$7="30/365",'депозитный калькулятор'!$G$7="30/360"),'депозитный калькулятор'!$G$10="в начале срока"),I253,0)-L254+M254-N254,-G254-IF(I254=" ",0,I254)-L254+M254-N254),IF('депозитный калькулятор'!$G$13="есть",M254-N254+IF('депозитный калькулятор'!$G$14="есть",0,-L254),-IF(I254=" ",0,I254)-IF(AND(OR('депозитный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срока"),I253,0)+M254-N254+IF('депозитный калькулятор'!$G$14="есть",0,-L254))))</f>
        <v xml:space="preserve"> </v>
      </c>
      <c r="P254" s="147" t="str">
        <f>IF(F254&gt;'депозитный калькулятор'!$D$8," ",IF(EOMONTH(F253,0)=F253,0,IF(G254&gt;='депозитный калькулятор'!$G$19,P253,P253+1)))</f>
        <v xml:space="preserve"> </v>
      </c>
      <c r="Q254" s="138" t="str">
        <f>IF(F254=" "," ",IF(AND(OR('депозитный калькулятор'!$G$7="30/365",'депозитный калькулятор'!$G$7="30/360"),AND(MONTH(F254)=2,EOMONTH(F254,0)=F254)),IF(DAY(F254)=28,3,2),1)*IF(G254&gt;='депозитный калькулятор'!$G$11,IF(AND('депозитный калькулятор'!$G$7="факт/факт",MOD(YEAR(F254),4)=0),G254*'депозитный калькулятор'!$D$11/366,G254*'депозитный калькулятор'!$G$8),0))</f>
        <v xml:space="preserve"> </v>
      </c>
      <c r="R254" s="148"/>
      <c r="S254" s="62" t="str">
        <f t="shared" ca="1" si="17"/>
        <v xml:space="preserve"> </v>
      </c>
      <c r="T254" s="149" t="str">
        <f ca="1">IF(S254=" "," ",IF('депозитный калькулятор'!$G$7="30/360",DAYS360(U253,IF(DAY(U254)=31,U254-1,U254))+IF(AND(MONTH(U254)=2,U254=EOMONTH(U254,0)),30-DAY(EOMONTH(U254,0)))+T253,VLOOKUP(S254,$C$22:$F$1023,2,0)))</f>
        <v xml:space="preserve"> </v>
      </c>
      <c r="U254" s="64" t="str">
        <f t="shared" ca="1" si="15"/>
        <v xml:space="preserve"> </v>
      </c>
      <c r="V254" s="150" t="str">
        <f t="shared" ca="1" si="18"/>
        <v xml:space="preserve"> </v>
      </c>
      <c r="W254" s="62" t="str">
        <f t="shared" ca="1" si="19"/>
        <v xml:space="preserve"> </v>
      </c>
      <c r="X254" s="141" t="str">
        <f ca="1">IF(S254=" "," ",IFERROR(VLOOKUP(U254,$F$23:$N$1023,7)+VLOOKUP(U254,$F$23:$N$1023,9)+IF(AND('депозитный калькулятор'!$G$13="нет",U254&lt;&gt;'депозитный калькулятор'!$D$8),VLOOKUP(U254,$F$23:$N$1023,4),0),0)+IF(U254='депозитный калькулятор'!$D$8,VLOOKUP(U254,$F$23:$N$1023,2)+VLOOKUP(U254,$F$23:$N$1023,4),0))</f>
        <v xml:space="preserve"> </v>
      </c>
      <c r="Y254" s="142" t="str">
        <f ca="1">IF(S254=" "," ",W254/(1+'депозитный калькулятор'!$K$8)^(T254/IF('депозитный калькулятор'!$G$7="30/360",360,365)))</f>
        <v xml:space="preserve"> </v>
      </c>
      <c r="Z254" s="142" t="str">
        <f ca="1">IF(S254=" "," ",X254/(1+'депозитный калькулятор'!$K$8)^(T254/IF('депозитный калькулятор'!$G$7="30/360",360,365)))</f>
        <v xml:space="preserve"> </v>
      </c>
      <c r="AA254" s="151"/>
      <c r="AB254" s="151"/>
      <c r="AC254" s="155"/>
      <c r="AD254" s="155"/>
    </row>
    <row r="255" spans="1:30" s="2" customFormat="1" ht="15.5" x14ac:dyDescent="0.35">
      <c r="A255" s="41" t="str">
        <f>IF(F255=" "," ",IF(OR('депозитный калькулятор'!$G$7="30/365",'депозитный калькулятор'!$G$7="30/360"),IF(AND(MONTH(F255)=2,DAY(F255)=DAY(EOMONTH(F255,0))),30-DAY(EOMONTH(F255,0)),IF(DAY(F255)=31,1," "))," "))</f>
        <v xml:space="preserve"> </v>
      </c>
      <c r="B255" s="130" t="str">
        <f t="shared" si="16"/>
        <v xml:space="preserve"> </v>
      </c>
      <c r="C255" s="130" t="str">
        <f>IF(OR(B255=0,B255=" ")," ",SUM($B$23:B255))</f>
        <v xml:space="preserve"> </v>
      </c>
      <c r="D255" s="62" t="str">
        <f>IF(D254=" "," ",IF(OR(F254='депозитный калькулятор'!$D$8,F254=" ")," ",D254+1))</f>
        <v xml:space="preserve"> </v>
      </c>
      <c r="E255" s="130" t="str">
        <f>IF(OR(F254='депозитный калькулятор'!$D$8,F254=" ")," ",IF(EOMONTH(F254,0)=F254,1,E254+1))</f>
        <v xml:space="preserve"> </v>
      </c>
      <c r="F255" s="64" t="str">
        <f>IF(F254=" "," ",IF(F254='депозитный калькулятор'!$D$8," ",F254+1))</f>
        <v xml:space="preserve"> </v>
      </c>
      <c r="G255" s="145" t="str">
        <f xml:space="preserve"> IF(F255&gt;'депозитный калькулятор'!$D$8," ",IF('депозитный калькулятор'!$G$13="есть",IF('депозитный калькулятор'!$G$14="есть",G254+IF(I254=" ",0,I254)-J255-K255+L255+M255-N255,G254+IF(I254=" ",0,I254)-J255-K255+M255-N255),IF('депозитный калькулятор'!$G$14="есть",G254-J255-K255+L255+M255-N255,G254-J255-K255+M255-N255)))</f>
        <v xml:space="preserve"> </v>
      </c>
      <c r="H255" s="133" t="str">
        <f>IF(F255&gt;'депозитный калькулятор'!$D$8," ",IF(AND(OR('депозитный калькулятор'!$G$7="30/365",'депозитный калькулятор'!$G$7="30/360"),AND(MONTH(F255)=2,EOMONTH(F255,0)=F255)),IF(DAY(F255)=28,3*G255*'депозитный калькулятор'!$G$8,2*G255*'депозитный калькулятор'!$G$8),IF(AND(OR('депозитный калькулятор'!$G$7="30/365",'депозитный калькулятор'!$G$7="30/360"),DAY(F255)=31)," ",IF(AND('депозитный калькулятор'!$G$7="факт/факт",MOD(YEAR(F255),4)=0),G255*'депозитный калькулятор'!$D$11/366,G255*'депозитный калькулятор'!$G$8))))</f>
        <v xml:space="preserve"> </v>
      </c>
      <c r="I255" s="134" t="str">
        <f ca="1">IF(F255=" "," ",IF('депозитный калькулятор'!$G$10="ежедневное",H255,IF(AND('депозитный калькулятор'!$G$10="еженедельное",WEEKDAY(F255,2)=7),SUM(OFFSET(H255,-6,0):H255),IF(AND('депозитный калькулятор'!$G$10="еженедельное",F255='депозитный калькулятор'!$D$8),SUM($H$23:H255)-SUM($I$23:I254),IF(AND('депозитный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недели",WEEKDAY(F255,2)=7),MIN(OFFSET(H255,-6,0):H255)*(COUNTIF(OFFSET(H255,-6,0):H255,"&gt;0")+SUMIF(OFFSET(A255,-WEEKDAY(F255,2),0):A255,"=2",OFFSET(A255,-WEEKDAY(F255,2),0):A255)),IF(AND('депозитный калькулятор'!$G$10="еженедельное, на минимальную сумму зафиксированную в течение недели",F255='депозитный калькулятор'!$D$8,WEEKDAY(F255,2)&lt;&gt;7),MIN(OFFSET(H255,-WEEKDAY(F255,2),0):H255)*(COUNTIF(OFFSET(H255,-WEEKDAY(F255,2)+1,0):H255,"&gt;0")+SUM(OFFSET(A255,-WEEKDAY(F255,2),0):A255)),IF(AND('депозитный калькулятор'!$G$10="ежемесячное (в конце месяца)",F255='депозитный калькулятор'!$D$8,EOMONTH(F255,0)&lt;&gt;F255),IF('депозитный калькулятор'!$F$1=1,$H$24,SUM($H$23:H255)-SUM($I$23:I254)),IF(AND('депозитный калькулятор'!$G$10="ежемесячное (в конце месяца)",EOMONTH(F255,0)=F255),SUM($H$23:H255)-SUM($I$23:I254),IF(AND('депозитный калькулятор'!$G$10="ежемесячное (по дням открытия вклада)",F255='депозитный калькулятор'!$D$8,DAY('депозитный калькулятор'!$D$7)&lt;&gt;DAY(F255)),IF('депозитный калькулятор'!$F$1=1,$H$24,SUM($H$23:H255)-SUM($I$23:I254)),IF(AND('депозитный калькулятор'!$G$10="ежемесячное (по дням открытия вклада)",DAY('депозитный калькулятор'!$D$7)=DAY(F255)),SUM($H$23:H255)-SUM($I$23:I254),IF(AND('депозитный калькулятор'!$G$10="ежемесячное, на минимальную сумму зафиксированную в течение месяца",F255='депозитный калькулятор'!$D$8,EOMONTH(F255,0)&lt;&gt;F255),IF('депозитный калькулятор'!$F$1=1,$H$24,IF(AND(OR('депозитный калькулятор'!$G$7="30/365",'депозитный калькулятор'!$G$7="30/360"),DAY(F255)=31),0,MIN(OFFSET(H255,-E255+1,0):H255)*(E255+SUMIF(OFFSET(A255,-E255+1,0):A255,"=2",OFFSET(A255,-E255+1,0):A255)))),IF(AND('депозитный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калькулятор'!$G$7="30/360"),DAY(EOMONTH(F255,0))=31),EOMONTH(F255,0)-1=F255,EOMONTH(F255,0)=F255)),IF(IF(AND(OR('депозитный калькулятор'!$G$7="30/365",'депозитный калькулятор'!$G$7="30/360"),DAY(EOMONTH($F$23,0))=31),F255=EOMONTH($F$23,0)-1,F255=EOMONTH($F$23,0)),MIN(OFFSET(H255,-(DAY(F255)-DAY($F$23)),0):H255)*E255,MIN(OFFSET(H255,-(DAY(F255)-1),0):H255)*IF(AND(OR('депозитный калькулятор'!$G$7="30/365",'депозитный калькулятор'!$G$7="30/360"),DAY(F255)&lt;30),30,DAY(F255))),IF(AND('депозитный калькулятор'!$G$10="ежемесячное, на средний остаток в течение месяца, при условии что остаток больше чем ограничение",F255='депозитный калькулятор'!$D$8,EOMONTH(F255,0)&lt;&gt;F255),IF('депозитный калькулятор'!$F$1=1,$H$24,SUM(OFFSET(Q255,-E255+1,0):Q255)),IF(AND('депозитный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калькулятор'!$G$7="30/360"),DAY(EOMONTH(F255,0))=31),EOMONTH(F255,0)-1=F255,EOMONTH(F255,0)=F255)),IF(IF(AND(OR('депозитный калькулятор'!$G$7="30/365",'депозитный калькулятор'!$G$7="30/360"),DAY(EOMONTH($F$24,0))=31),F255=EOMONTH($F$24,0)-1,F255=EOMONTH($F$24,0)),SUM(OFFSET(Q255,-E255+1,0):Q255),SUM(OFFSET(Q255,-E255+1,0):Q255)),IF('депозитный калькулятор'!$G$10="ежеквартальное",IF(F255&gt;'депозитный калькулятор'!$D$8," ",IF(AND(EOMONTH(F255,0)=F255,OR(MONTH(F255)=3,MONTH(F255)=6,MONTH(F255)=9,MONTH(F255)=12)),IF(EDATE(F255,-3)&lt;'депозитный калькулятор'!$D$7,SUM($H$23:H255),IF(MOD(YEAR(F255),4)=0,IF(AND(EOMONTH(F255,0)=F255,OR(MONTH(F255)=3,MONTH(F255)=6)),SUM(OFFSET(H255,-90,0):H255),IF(AND(EOMONTH(F255,0)=F255,OR(MONTH(F255)=9,MONTH(F255)=12)),SUM(OFFSET(H255,-91,0):H255))),IF(AND(EOMONTH(F255,0)=F255,MONTH(F255)=3),SUM(OFFSET(H255,-89,0):H255),IF(AND(EOMONTH(F255,0)=F255,MONTH(F255)=6),SUM(OFFSET(H255,-90,0):H255),IF(AND(EOMONTH(F255,0)=F255,OR(MONTH(F255)=9,MONTH(F255)=12)),SUM(OFFSET(H255,-91,0):H255)))))),IF(F255='депозитный калькулятор'!$D$8,SUM($H$23:H255)-SUM($I$23:I254),0))),IF('депозитный калькулятор'!$G$10="ежегодное",IF(F255&gt;'депозитный калькулятор'!$D$8," ",IF(F255='депозитный калькулятор'!$D$8,SUM($H$23:H255)-SUM($I$23:I254),IF(AND(EOMONTH(F255,0)=F255,MONTH(F255)=12),IF(MOD(YEAR(F254),4)=0,IF(F255-'депозитный калькулятор'!$D$7&lt;366,SUM($H$23:H255),SUM(OFFSET(H255,-365,0):H255)),IF(F255-'депозитный калькулятор'!$D$7&lt;365,SUM($H$23:H255),SUM(OFFSET(H255,-364,0):H255))),0))),IF(AND('депозитный калькулятор'!$G$10="в конце срока",'депозитный калькулятор'!$D$8=F255),SUM($H$23:H255),0))))))))))))))))))</f>
        <v xml:space="preserve"> </v>
      </c>
      <c r="J255" s="59" t="str">
        <f>IF(F255&gt;'депозитный калькулятор'!$D$8," ",IF('депозитный калькулятор'!$G$16="нет",0,IF(AND('депозитный калькулятор'!$G$17="разовая (в конце срока)",F255='депозитный калькулятор'!$D$8),'депозитный калькулятор'!$G$18,IF(AND('депозитный калькулятор'!$G$17="ежемесячная",EOMONTH(F254,0)=F254),'депозитный калькулятор'!$G$18,IF(AND('депозитный калькулятор'!$G$17="ежегодная",DAY(F254)=31,MONTH(F254)=12),'депозитный калькулятор'!$G$18,IF(AND('депозитный калькулятор'!$G$17="ежемесячная в зависимости от остатка",EOMONTH(F254,0)=F254,P254&gt;0),'депозитный калькулятор'!$G$18,IF(AND('депозитный калькулятор'!$G$17="ежегодная в зависимости от остатка",DAY(F254)=31,MONTH(F254)=12,P254&gt;0),'депозитный калькулятор'!$G$18,0)))))))</f>
        <v xml:space="preserve"> </v>
      </c>
      <c r="K255" s="135" t="str">
        <f>IF($F255=" "," ",IFERROR(VLOOKUP($F255,'депозитный калькулятор'!$B$26:$F$70,2,0),0))</f>
        <v xml:space="preserve"> </v>
      </c>
      <c r="L255" s="135" t="str">
        <f>IF($F255=" "," ",IFERROR(VLOOKUP($F255,'депозитный калькулятор'!$B$26:$F$70,3,0),0))</f>
        <v xml:space="preserve"> </v>
      </c>
      <c r="M255" s="135" t="str">
        <f>IF($F255=" "," ",IFERROR(VLOOKUP($F255,'депозитный калькулятор'!$B$26:$F$70,4,0),0))</f>
        <v xml:space="preserve"> </v>
      </c>
      <c r="N255" s="135" t="str">
        <f>IF($F255=" "," ",IFERROR(VLOOKUP($F255,'депозитный калькулятор'!$B$26:$F$70,5,0),0))</f>
        <v xml:space="preserve"> </v>
      </c>
      <c r="O255" s="146" t="str">
        <f>IF(F255&gt;'депозитный калькулятор'!$D$8," ",IF(F255='депозитный калькулятор'!$D$8,IF(AND($F$24='депозитный калькулятор'!$D$8,'депозитный калькулятор'!$G$13="нет"),-G255-IF(I255=" ",0,I255)-IF(AND(OR('депозитный калькулятор'!$G$7="30/365",'депозитный калькулятор'!$G$7="30/360"),'депозитный калькулятор'!$G$10="в начале срока"),I254,0)-L255+M255-N255,-G255-IF(I255=" ",0,I255)-L255+M255-N255),IF('депозитный калькулятор'!$G$13="есть",M255-N255+IF('депозитный калькулятор'!$G$14="есть",0,-L255),-IF(I255=" ",0,I255)-IF(AND(OR('депозитный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срока"),I254,0)+M255-N255+IF('депозитный калькулятор'!$G$14="есть",0,-L255))))</f>
        <v xml:space="preserve"> </v>
      </c>
      <c r="P255" s="147" t="str">
        <f>IF(F255&gt;'депозитный калькулятор'!$D$8," ",IF(EOMONTH(F254,0)=F254,0,IF(G255&gt;='депозитный калькулятор'!$G$19,P254,P254+1)))</f>
        <v xml:space="preserve"> </v>
      </c>
      <c r="Q255" s="138" t="str">
        <f>IF(F255=" "," ",IF(AND(OR('депозитный калькулятор'!$G$7="30/365",'депозитный калькулятор'!$G$7="30/360"),AND(MONTH(F255)=2,EOMONTH(F255,0)=F255)),IF(DAY(F255)=28,3,2),1)*IF(G255&gt;='депозитный калькулятор'!$G$11,IF(AND('депозитный калькулятор'!$G$7="факт/факт",MOD(YEAR(F255),4)=0),G255*'депозитный калькулятор'!$D$11/366,G255*'депозитный калькулятор'!$G$8),0))</f>
        <v xml:space="preserve"> </v>
      </c>
      <c r="R255" s="148"/>
      <c r="S255" s="62" t="str">
        <f t="shared" ca="1" si="17"/>
        <v xml:space="preserve"> </v>
      </c>
      <c r="T255" s="149" t="str">
        <f ca="1">IF(S255=" "," ",IF('депозитный калькулятор'!$G$7="30/360",DAYS360(U254,IF(DAY(U255)=31,U255-1,U255))+IF(AND(MONTH(U255)=2,U255=EOMONTH(U255,0)),30-DAY(EOMONTH(U255,0)))+T254,VLOOKUP(S255,$C$22:$F$1023,2,0)))</f>
        <v xml:space="preserve"> </v>
      </c>
      <c r="U255" s="64" t="str">
        <f t="shared" ca="1" si="15"/>
        <v xml:space="preserve"> </v>
      </c>
      <c r="V255" s="150" t="str">
        <f t="shared" ca="1" si="18"/>
        <v xml:space="preserve"> </v>
      </c>
      <c r="W255" s="62" t="str">
        <f t="shared" ca="1" si="19"/>
        <v xml:space="preserve"> </v>
      </c>
      <c r="X255" s="141" t="str">
        <f ca="1">IF(S255=" "," ",IFERROR(VLOOKUP(U255,$F$23:$N$1023,7)+VLOOKUP(U255,$F$23:$N$1023,9)+IF(AND('депозитный калькулятор'!$G$13="нет",U255&lt;&gt;'депозитный калькулятор'!$D$8),VLOOKUP(U255,$F$23:$N$1023,4),0),0)+IF(U255='депозитный калькулятор'!$D$8,VLOOKUP(U255,$F$23:$N$1023,2)+VLOOKUP(U255,$F$23:$N$1023,4),0))</f>
        <v xml:space="preserve"> </v>
      </c>
      <c r="Y255" s="142" t="str">
        <f ca="1">IF(S255=" "," ",W255/(1+'депозитный калькулятор'!$K$8)^(T255/IF('депозитный калькулятор'!$G$7="30/360",360,365)))</f>
        <v xml:space="preserve"> </v>
      </c>
      <c r="Z255" s="142" t="str">
        <f ca="1">IF(S255=" "," ",X255/(1+'депозитный калькулятор'!$K$8)^(T255/IF('депозитный калькулятор'!$G$7="30/360",360,365)))</f>
        <v xml:space="preserve"> </v>
      </c>
      <c r="AA255" s="151"/>
      <c r="AB255" s="151"/>
      <c r="AC255" s="155"/>
      <c r="AD255" s="155"/>
    </row>
    <row r="256" spans="1:30" s="2" customFormat="1" ht="15.5" x14ac:dyDescent="0.35">
      <c r="A256" s="41" t="str">
        <f>IF(F256=" "," ",IF(OR('депозитный калькулятор'!$G$7="30/365",'депозитный калькулятор'!$G$7="30/360"),IF(AND(MONTH(F256)=2,DAY(F256)=DAY(EOMONTH(F256,0))),30-DAY(EOMONTH(F256,0)),IF(DAY(F256)=31,1," "))," "))</f>
        <v xml:space="preserve"> </v>
      </c>
      <c r="B256" s="130" t="str">
        <f t="shared" si="16"/>
        <v xml:space="preserve"> </v>
      </c>
      <c r="C256" s="130" t="str">
        <f>IF(OR(B256=0,B256=" ")," ",SUM($B$23:B256))</f>
        <v xml:space="preserve"> </v>
      </c>
      <c r="D256" s="62" t="str">
        <f>IF(D255=" "," ",IF(OR(F255='депозитный калькулятор'!$D$8,F255=" ")," ",D255+1))</f>
        <v xml:space="preserve"> </v>
      </c>
      <c r="E256" s="130" t="str">
        <f>IF(OR(F255='депозитный калькулятор'!$D$8,F255=" ")," ",IF(EOMONTH(F255,0)=F255,1,E255+1))</f>
        <v xml:space="preserve"> </v>
      </c>
      <c r="F256" s="64" t="str">
        <f>IF(F255=" "," ",IF(F255='депозитный калькулятор'!$D$8," ",F255+1))</f>
        <v xml:space="preserve"> </v>
      </c>
      <c r="G256" s="145" t="str">
        <f xml:space="preserve"> IF(F256&gt;'депозитный калькулятор'!$D$8," ",IF('депозитный калькулятор'!$G$13="есть",IF('депозитный калькулятор'!$G$14="есть",G255+IF(I255=" ",0,I255)-J256-K256+L256+M256-N256,G255+IF(I255=" ",0,I255)-J256-K256+M256-N256),IF('депозитный калькулятор'!$G$14="есть",G255-J256-K256+L256+M256-N256,G255-J256-K256+M256-N256)))</f>
        <v xml:space="preserve"> </v>
      </c>
      <c r="H256" s="133" t="str">
        <f>IF(F256&gt;'депозитный калькулятор'!$D$8," ",IF(AND(OR('депозитный калькулятор'!$G$7="30/365",'депозитный калькулятор'!$G$7="30/360"),AND(MONTH(F256)=2,EOMONTH(F256,0)=F256)),IF(DAY(F256)=28,3*G256*'депозитный калькулятор'!$G$8,2*G256*'депозитный калькулятор'!$G$8),IF(AND(OR('депозитный калькулятор'!$G$7="30/365",'депозитный калькулятор'!$G$7="30/360"),DAY(F256)=31)," ",IF(AND('депозитный калькулятор'!$G$7="факт/факт",MOD(YEAR(F256),4)=0),G256*'депозитный калькулятор'!$D$11/366,G256*'депозитный калькулятор'!$G$8))))</f>
        <v xml:space="preserve"> </v>
      </c>
      <c r="I256" s="134" t="str">
        <f ca="1">IF(F256=" "," ",IF('депозитный калькулятор'!$G$10="ежедневное",H256,IF(AND('депозитный калькулятор'!$G$10="еженедельное",WEEKDAY(F256,2)=7),SUM(OFFSET(H256,-6,0):H256),IF(AND('депозитный калькулятор'!$G$10="еженедельное",F256='депозитный калькулятор'!$D$8),SUM($H$23:H256)-SUM($I$23:I255),IF(AND('депозитный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недели",WEEKDAY(F256,2)=7),MIN(OFFSET(H256,-6,0):H256)*(COUNTIF(OFFSET(H256,-6,0):H256,"&gt;0")+SUMIF(OFFSET(A256,-WEEKDAY(F256,2),0):A256,"=2",OFFSET(A256,-WEEKDAY(F256,2),0):A256)),IF(AND('депозитный калькулятор'!$G$10="еженедельное, на минимальную сумму зафиксированную в течение недели",F256='депозитный калькулятор'!$D$8,WEEKDAY(F256,2)&lt;&gt;7),MIN(OFFSET(H256,-WEEKDAY(F256,2),0):H256)*(COUNTIF(OFFSET(H256,-WEEKDAY(F256,2)+1,0):H256,"&gt;0")+SUM(OFFSET(A256,-WEEKDAY(F256,2),0):A256)),IF(AND('депозитный калькулятор'!$G$10="ежемесячное (в конце месяца)",F256='депозитный калькулятор'!$D$8,EOMONTH(F256,0)&lt;&gt;F256),IF('депозитный калькулятор'!$F$1=1,$H$24,SUM($H$23:H256)-SUM($I$23:I255)),IF(AND('депозитный калькулятор'!$G$10="ежемесячное (в конце месяца)",EOMONTH(F256,0)=F256),SUM($H$23:H256)-SUM($I$23:I255),IF(AND('депозитный калькулятор'!$G$10="ежемесячное (по дням открытия вклада)",F256='депозитный калькулятор'!$D$8,DAY('депозитный калькулятор'!$D$7)&lt;&gt;DAY(F256)),IF('депозитный калькулятор'!$F$1=1,$H$24,SUM($H$23:H256)-SUM($I$23:I255)),IF(AND('депозитный калькулятор'!$G$10="ежемесячное (по дням открытия вклада)",DAY('депозитный калькулятор'!$D$7)=DAY(F256)),SUM($H$23:H256)-SUM($I$23:I255),IF(AND('депозитный калькулятор'!$G$10="ежемесячное, на минимальную сумму зафиксированную в течение месяца",F256='депозитный калькулятор'!$D$8,EOMONTH(F256,0)&lt;&gt;F256),IF('депозитный калькулятор'!$F$1=1,$H$24,IF(AND(OR('депозитный калькулятор'!$G$7="30/365",'депозитный калькулятор'!$G$7="30/360"),DAY(F256)=31),0,MIN(OFFSET(H256,-E256+1,0):H256)*(E256+SUMIF(OFFSET(A256,-E256+1,0):A256,"=2",OFFSET(A256,-E256+1,0):A256)))),IF(AND('депозитный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калькулятор'!$G$7="30/360"),DAY(EOMONTH(F256,0))=31),EOMONTH(F256,0)-1=F256,EOMONTH(F256,0)=F256)),IF(IF(AND(OR('депозитный калькулятор'!$G$7="30/365",'депозитный калькулятор'!$G$7="30/360"),DAY(EOMONTH($F$23,0))=31),F256=EOMONTH($F$23,0)-1,F256=EOMONTH($F$23,0)),MIN(OFFSET(H256,-(DAY(F256)-DAY($F$23)),0):H256)*E256,MIN(OFFSET(H256,-(DAY(F256)-1),0):H256)*IF(AND(OR('депозитный калькулятор'!$G$7="30/365",'депозитный калькулятор'!$G$7="30/360"),DAY(F256)&lt;30),30,DAY(F256))),IF(AND('депозитный калькулятор'!$G$10="ежемесячное, на средний остаток в течение месяца, при условии что остаток больше чем ограничение",F256='депозитный калькулятор'!$D$8,EOMONTH(F256,0)&lt;&gt;F256),IF('депозитный калькулятор'!$F$1=1,$H$24,SUM(OFFSET(Q256,-E256+1,0):Q256)),IF(AND('депозитный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калькулятор'!$G$7="30/360"),DAY(EOMONTH(F256,0))=31),EOMONTH(F256,0)-1=F256,EOMONTH(F256,0)=F256)),IF(IF(AND(OR('депозитный калькулятор'!$G$7="30/365",'депозитный калькулятор'!$G$7="30/360"),DAY(EOMONTH($F$24,0))=31),F256=EOMONTH($F$24,0)-1,F256=EOMONTH($F$24,0)),SUM(OFFSET(Q256,-E256+1,0):Q256),SUM(OFFSET(Q256,-E256+1,0):Q256)),IF('депозитный калькулятор'!$G$10="ежеквартальное",IF(F256&gt;'депозитный калькулятор'!$D$8," ",IF(AND(EOMONTH(F256,0)=F256,OR(MONTH(F256)=3,MONTH(F256)=6,MONTH(F256)=9,MONTH(F256)=12)),IF(EDATE(F256,-3)&lt;'депозитный калькулятор'!$D$7,SUM($H$23:H256),IF(MOD(YEAR(F256),4)=0,IF(AND(EOMONTH(F256,0)=F256,OR(MONTH(F256)=3,MONTH(F256)=6)),SUM(OFFSET(H256,-90,0):H256),IF(AND(EOMONTH(F256,0)=F256,OR(MONTH(F256)=9,MONTH(F256)=12)),SUM(OFFSET(H256,-91,0):H256))),IF(AND(EOMONTH(F256,0)=F256,MONTH(F256)=3),SUM(OFFSET(H256,-89,0):H256),IF(AND(EOMONTH(F256,0)=F256,MONTH(F256)=6),SUM(OFFSET(H256,-90,0):H256),IF(AND(EOMONTH(F256,0)=F256,OR(MONTH(F256)=9,MONTH(F256)=12)),SUM(OFFSET(H256,-91,0):H256)))))),IF(F256='депозитный калькулятор'!$D$8,SUM($H$23:H256)-SUM($I$23:I255),0))),IF('депозитный калькулятор'!$G$10="ежегодное",IF(F256&gt;'депозитный калькулятор'!$D$8," ",IF(F256='депозитный калькулятор'!$D$8,SUM($H$23:H256)-SUM($I$23:I255),IF(AND(EOMONTH(F256,0)=F256,MONTH(F256)=12),IF(MOD(YEAR(F255),4)=0,IF(F256-'депозитный калькулятор'!$D$7&lt;366,SUM($H$23:H256),SUM(OFFSET(H256,-365,0):H256)),IF(F256-'депозитный калькулятор'!$D$7&lt;365,SUM($H$23:H256),SUM(OFFSET(H256,-364,0):H256))),0))),IF(AND('депозитный калькулятор'!$G$10="в конце срока",'депозитный калькулятор'!$D$8=F256),SUM($H$23:H256),0))))))))))))))))))</f>
        <v xml:space="preserve"> </v>
      </c>
      <c r="J256" s="59" t="str">
        <f>IF(F256&gt;'депозитный калькулятор'!$D$8," ",IF('депозитный калькулятор'!$G$16="нет",0,IF(AND('депозитный калькулятор'!$G$17="разовая (в конце срока)",F256='депозитный калькулятор'!$D$8),'депозитный калькулятор'!$G$18,IF(AND('депозитный калькулятор'!$G$17="ежемесячная",EOMONTH(F255,0)=F255),'депозитный калькулятор'!$G$18,IF(AND('депозитный калькулятор'!$G$17="ежегодная",DAY(F255)=31,MONTH(F255)=12),'депозитный калькулятор'!$G$18,IF(AND('депозитный калькулятор'!$G$17="ежемесячная в зависимости от остатка",EOMONTH(F255,0)=F255,P255&gt;0),'депозитный калькулятор'!$G$18,IF(AND('депозитный калькулятор'!$G$17="ежегодная в зависимости от остатка",DAY(F255)=31,MONTH(F255)=12,P255&gt;0),'депозитный калькулятор'!$G$18,0)))))))</f>
        <v xml:space="preserve"> </v>
      </c>
      <c r="K256" s="135" t="str">
        <f>IF($F256=" "," ",IFERROR(VLOOKUP($F256,'депозитный калькулятор'!$B$26:$F$70,2,0),0))</f>
        <v xml:space="preserve"> </v>
      </c>
      <c r="L256" s="135" t="str">
        <f>IF($F256=" "," ",IFERROR(VLOOKUP($F256,'депозитный калькулятор'!$B$26:$F$70,3,0),0))</f>
        <v xml:space="preserve"> </v>
      </c>
      <c r="M256" s="135" t="str">
        <f>IF($F256=" "," ",IFERROR(VLOOKUP($F256,'депозитный калькулятор'!$B$26:$F$70,4,0),0))</f>
        <v xml:space="preserve"> </v>
      </c>
      <c r="N256" s="135" t="str">
        <f>IF($F256=" "," ",IFERROR(VLOOKUP($F256,'депозитный калькулятор'!$B$26:$F$70,5,0),0))</f>
        <v xml:space="preserve"> </v>
      </c>
      <c r="O256" s="146" t="str">
        <f>IF(F256&gt;'депозитный калькулятор'!$D$8," ",IF(F256='депозитный калькулятор'!$D$8,IF(AND($F$24='депозитный калькулятор'!$D$8,'депозитный калькулятор'!$G$13="нет"),-G256-IF(I256=" ",0,I256)-IF(AND(OR('депозитный калькулятор'!$G$7="30/365",'депозитный калькулятор'!$G$7="30/360"),'депозитный калькулятор'!$G$10="в начале срока"),I255,0)-L256+M256-N256,-G256-IF(I256=" ",0,I256)-L256+M256-N256),IF('депозитный калькулятор'!$G$13="есть",M256-N256+IF('депозитный калькулятор'!$G$14="есть",0,-L256),-IF(I256=" ",0,I256)-IF(AND(OR('депозитный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срока"),I255,0)+M256-N256+IF('депозитный калькулятор'!$G$14="есть",0,-L256))))</f>
        <v xml:space="preserve"> </v>
      </c>
      <c r="P256" s="147" t="str">
        <f>IF(F256&gt;'депозитный калькулятор'!$D$8," ",IF(EOMONTH(F255,0)=F255,0,IF(G256&gt;='депозитный калькулятор'!$G$19,P255,P255+1)))</f>
        <v xml:space="preserve"> </v>
      </c>
      <c r="Q256" s="138" t="str">
        <f>IF(F256=" "," ",IF(AND(OR('депозитный калькулятор'!$G$7="30/365",'депозитный калькулятор'!$G$7="30/360"),AND(MONTH(F256)=2,EOMONTH(F256,0)=F256)),IF(DAY(F256)=28,3,2),1)*IF(G256&gt;='депозитный калькулятор'!$G$11,IF(AND('депозитный калькулятор'!$G$7="факт/факт",MOD(YEAR(F256),4)=0),G256*'депозитный калькулятор'!$D$11/366,G256*'депозитный калькулятор'!$G$8),0))</f>
        <v xml:space="preserve"> </v>
      </c>
      <c r="R256" s="148"/>
      <c r="S256" s="62" t="str">
        <f t="shared" ca="1" si="17"/>
        <v xml:space="preserve"> </v>
      </c>
      <c r="T256" s="149" t="str">
        <f ca="1">IF(S256=" "," ",IF('депозитный калькулятор'!$G$7="30/360",DAYS360(U255,IF(DAY(U256)=31,U256-1,U256))+IF(AND(MONTH(U256)=2,U256=EOMONTH(U256,0)),30-DAY(EOMONTH(U256,0)))+T255,VLOOKUP(S256,$C$22:$F$1023,2,0)))</f>
        <v xml:space="preserve"> </v>
      </c>
      <c r="U256" s="64" t="str">
        <f t="shared" ca="1" si="15"/>
        <v xml:space="preserve"> </v>
      </c>
      <c r="V256" s="150" t="str">
        <f t="shared" ca="1" si="18"/>
        <v xml:space="preserve"> </v>
      </c>
      <c r="W256" s="62" t="str">
        <f t="shared" ca="1" si="19"/>
        <v xml:space="preserve"> </v>
      </c>
      <c r="X256" s="141" t="str">
        <f ca="1">IF(S256=" "," ",IFERROR(VLOOKUP(U256,$F$23:$N$1023,7)+VLOOKUP(U256,$F$23:$N$1023,9)+IF(AND('депозитный калькулятор'!$G$13="нет",U256&lt;&gt;'депозитный калькулятор'!$D$8),VLOOKUP(U256,$F$23:$N$1023,4),0),0)+IF(U256='депозитный калькулятор'!$D$8,VLOOKUP(U256,$F$23:$N$1023,2)+VLOOKUP(U256,$F$23:$N$1023,4),0))</f>
        <v xml:space="preserve"> </v>
      </c>
      <c r="Y256" s="142" t="str">
        <f ca="1">IF(S256=" "," ",W256/(1+'депозитный калькулятор'!$K$8)^(T256/IF('депозитный калькулятор'!$G$7="30/360",360,365)))</f>
        <v xml:space="preserve"> </v>
      </c>
      <c r="Z256" s="142" t="str">
        <f ca="1">IF(S256=" "," ",X256/(1+'депозитный калькулятор'!$K$8)^(T256/IF('депозитный калькулятор'!$G$7="30/360",360,365)))</f>
        <v xml:space="preserve"> </v>
      </c>
      <c r="AA256" s="151"/>
      <c r="AB256" s="151"/>
      <c r="AC256" s="155"/>
      <c r="AD256" s="155"/>
    </row>
    <row r="257" spans="1:30" s="2" customFormat="1" ht="15.5" x14ac:dyDescent="0.35">
      <c r="A257" s="41" t="str">
        <f>IF(F257=" "," ",IF(OR('депозитный калькулятор'!$G$7="30/365",'депозитный калькулятор'!$G$7="30/360"),IF(AND(MONTH(F257)=2,DAY(F257)=DAY(EOMONTH(F257,0))),30-DAY(EOMONTH(F257,0)),IF(DAY(F257)=31,1," "))," "))</f>
        <v xml:space="preserve"> </v>
      </c>
      <c r="B257" s="130" t="str">
        <f t="shared" si="16"/>
        <v xml:space="preserve"> </v>
      </c>
      <c r="C257" s="130" t="str">
        <f>IF(OR(B257=0,B257=" ")," ",SUM($B$23:B257))</f>
        <v xml:space="preserve"> </v>
      </c>
      <c r="D257" s="62" t="str">
        <f>IF(D256=" "," ",IF(OR(F256='депозитный калькулятор'!$D$8,F256=" ")," ",D256+1))</f>
        <v xml:space="preserve"> </v>
      </c>
      <c r="E257" s="130" t="str">
        <f>IF(OR(F256='депозитный калькулятор'!$D$8,F256=" ")," ",IF(EOMONTH(F256,0)=F256,1,E256+1))</f>
        <v xml:space="preserve"> </v>
      </c>
      <c r="F257" s="64" t="str">
        <f>IF(F256=" "," ",IF(F256='депозитный калькулятор'!$D$8," ",F256+1))</f>
        <v xml:space="preserve"> </v>
      </c>
      <c r="G257" s="145" t="str">
        <f xml:space="preserve"> IF(F257&gt;'депозитный калькулятор'!$D$8," ",IF('депозитный калькулятор'!$G$13="есть",IF('депозитный калькулятор'!$G$14="есть",G256+IF(I256=" ",0,I256)-J257-K257+L257+M257-N257,G256+IF(I256=" ",0,I256)-J257-K257+M257-N257),IF('депозитный калькулятор'!$G$14="есть",G256-J257-K257+L257+M257-N257,G256-J257-K257+M257-N257)))</f>
        <v xml:space="preserve"> </v>
      </c>
      <c r="H257" s="133" t="str">
        <f>IF(F257&gt;'депозитный калькулятор'!$D$8," ",IF(AND(OR('депозитный калькулятор'!$G$7="30/365",'депозитный калькулятор'!$G$7="30/360"),AND(MONTH(F257)=2,EOMONTH(F257,0)=F257)),IF(DAY(F257)=28,3*G257*'депозитный калькулятор'!$G$8,2*G257*'депозитный калькулятор'!$G$8),IF(AND(OR('депозитный калькулятор'!$G$7="30/365",'депозитный калькулятор'!$G$7="30/360"),DAY(F257)=31)," ",IF(AND('депозитный калькулятор'!$G$7="факт/факт",MOD(YEAR(F257),4)=0),G257*'депозитный калькулятор'!$D$11/366,G257*'депозитный калькулятор'!$G$8))))</f>
        <v xml:space="preserve"> </v>
      </c>
      <c r="I257" s="134" t="str">
        <f ca="1">IF(F257=" "," ",IF('депозитный калькулятор'!$G$10="ежедневное",H257,IF(AND('депозитный калькулятор'!$G$10="еженедельное",WEEKDAY(F257,2)=7),SUM(OFFSET(H257,-6,0):H257),IF(AND('депозитный калькулятор'!$G$10="еженедельное",F257='депозитный калькулятор'!$D$8),SUM($H$23:H257)-SUM($I$23:I256),IF(AND('депозитный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недели",WEEKDAY(F257,2)=7),MIN(OFFSET(H257,-6,0):H257)*(COUNTIF(OFFSET(H257,-6,0):H257,"&gt;0")+SUMIF(OFFSET(A257,-WEEKDAY(F257,2),0):A257,"=2",OFFSET(A257,-WEEKDAY(F257,2),0):A257)),IF(AND('депозитный калькулятор'!$G$10="еженедельное, на минимальную сумму зафиксированную в течение недели",F257='депозитный калькулятор'!$D$8,WEEKDAY(F257,2)&lt;&gt;7),MIN(OFFSET(H257,-WEEKDAY(F257,2),0):H257)*(COUNTIF(OFFSET(H257,-WEEKDAY(F257,2)+1,0):H257,"&gt;0")+SUM(OFFSET(A257,-WEEKDAY(F257,2),0):A257)),IF(AND('депозитный калькулятор'!$G$10="ежемесячное (в конце месяца)",F257='депозитный калькулятор'!$D$8,EOMONTH(F257,0)&lt;&gt;F257),IF('депозитный калькулятор'!$F$1=1,$H$24,SUM($H$23:H257)-SUM($I$23:I256)),IF(AND('депозитный калькулятор'!$G$10="ежемесячное (в конце месяца)",EOMONTH(F257,0)=F257),SUM($H$23:H257)-SUM($I$23:I256),IF(AND('депозитный калькулятор'!$G$10="ежемесячное (по дням открытия вклада)",F257='депозитный калькулятор'!$D$8,DAY('депозитный калькулятор'!$D$7)&lt;&gt;DAY(F257)),IF('депозитный калькулятор'!$F$1=1,$H$24,SUM($H$23:H257)-SUM($I$23:I256)),IF(AND('депозитный калькулятор'!$G$10="ежемесячное (по дням открытия вклада)",DAY('депозитный калькулятор'!$D$7)=DAY(F257)),SUM($H$23:H257)-SUM($I$23:I256),IF(AND('депозитный калькулятор'!$G$10="ежемесячное, на минимальную сумму зафиксированную в течение месяца",F257='депозитный калькулятор'!$D$8,EOMONTH(F257,0)&lt;&gt;F257),IF('депозитный калькулятор'!$F$1=1,$H$24,IF(AND(OR('депозитный калькулятор'!$G$7="30/365",'депозитный калькулятор'!$G$7="30/360"),DAY(F257)=31),0,MIN(OFFSET(H257,-E257+1,0):H257)*(E257+SUMIF(OFFSET(A257,-E257+1,0):A257,"=2",OFFSET(A257,-E257+1,0):A257)))),IF(AND('депозитный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калькулятор'!$G$7="30/360"),DAY(EOMONTH(F257,0))=31),EOMONTH(F257,0)-1=F257,EOMONTH(F257,0)=F257)),IF(IF(AND(OR('депозитный калькулятор'!$G$7="30/365",'депозитный калькулятор'!$G$7="30/360"),DAY(EOMONTH($F$23,0))=31),F257=EOMONTH($F$23,0)-1,F257=EOMONTH($F$23,0)),MIN(OFFSET(H257,-(DAY(F257)-DAY($F$23)),0):H257)*E257,MIN(OFFSET(H257,-(DAY(F257)-1),0):H257)*IF(AND(OR('депозитный калькулятор'!$G$7="30/365",'депозитный калькулятор'!$G$7="30/360"),DAY(F257)&lt;30),30,DAY(F257))),IF(AND('депозитный калькулятор'!$G$10="ежемесячное, на средний остаток в течение месяца, при условии что остаток больше чем ограничение",F257='депозитный калькулятор'!$D$8,EOMONTH(F257,0)&lt;&gt;F257),IF('депозитный калькулятор'!$F$1=1,$H$24,SUM(OFFSET(Q257,-E257+1,0):Q257)),IF(AND('депозитный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калькулятор'!$G$7="30/360"),DAY(EOMONTH(F257,0))=31),EOMONTH(F257,0)-1=F257,EOMONTH(F257,0)=F257)),IF(IF(AND(OR('депозитный калькулятор'!$G$7="30/365",'депозитный калькулятор'!$G$7="30/360"),DAY(EOMONTH($F$24,0))=31),F257=EOMONTH($F$24,0)-1,F257=EOMONTH($F$24,0)),SUM(OFFSET(Q257,-E257+1,0):Q257),SUM(OFFSET(Q257,-E257+1,0):Q257)),IF('депозитный калькулятор'!$G$10="ежеквартальное",IF(F257&gt;'депозитный калькулятор'!$D$8," ",IF(AND(EOMONTH(F257,0)=F257,OR(MONTH(F257)=3,MONTH(F257)=6,MONTH(F257)=9,MONTH(F257)=12)),IF(EDATE(F257,-3)&lt;'депозитный калькулятор'!$D$7,SUM($H$23:H257),IF(MOD(YEAR(F257),4)=0,IF(AND(EOMONTH(F257,0)=F257,OR(MONTH(F257)=3,MONTH(F257)=6)),SUM(OFFSET(H257,-90,0):H257),IF(AND(EOMONTH(F257,0)=F257,OR(MONTH(F257)=9,MONTH(F257)=12)),SUM(OFFSET(H257,-91,0):H257))),IF(AND(EOMONTH(F257,0)=F257,MONTH(F257)=3),SUM(OFFSET(H257,-89,0):H257),IF(AND(EOMONTH(F257,0)=F257,MONTH(F257)=6),SUM(OFFSET(H257,-90,0):H257),IF(AND(EOMONTH(F257,0)=F257,OR(MONTH(F257)=9,MONTH(F257)=12)),SUM(OFFSET(H257,-91,0):H257)))))),IF(F257='депозитный калькулятор'!$D$8,SUM($H$23:H257)-SUM($I$23:I256),0))),IF('депозитный калькулятор'!$G$10="ежегодное",IF(F257&gt;'депозитный калькулятор'!$D$8," ",IF(F257='депозитный калькулятор'!$D$8,SUM($H$23:H257)-SUM($I$23:I256),IF(AND(EOMONTH(F257,0)=F257,MONTH(F257)=12),IF(MOD(YEAR(F256),4)=0,IF(F257-'депозитный калькулятор'!$D$7&lt;366,SUM($H$23:H257),SUM(OFFSET(H257,-365,0):H257)),IF(F257-'депозитный калькулятор'!$D$7&lt;365,SUM($H$23:H257),SUM(OFFSET(H257,-364,0):H257))),0))),IF(AND('депозитный калькулятор'!$G$10="в конце срока",'депозитный калькулятор'!$D$8=F257),SUM($H$23:H257),0))))))))))))))))))</f>
        <v xml:space="preserve"> </v>
      </c>
      <c r="J257" s="59" t="str">
        <f>IF(F257&gt;'депозитный калькулятор'!$D$8," ",IF('депозитный калькулятор'!$G$16="нет",0,IF(AND('депозитный калькулятор'!$G$17="разовая (в конце срока)",F257='депозитный калькулятор'!$D$8),'депозитный калькулятор'!$G$18,IF(AND('депозитный калькулятор'!$G$17="ежемесячная",EOMONTH(F256,0)=F256),'депозитный калькулятор'!$G$18,IF(AND('депозитный калькулятор'!$G$17="ежегодная",DAY(F256)=31,MONTH(F256)=12),'депозитный калькулятор'!$G$18,IF(AND('депозитный калькулятор'!$G$17="ежемесячная в зависимости от остатка",EOMONTH(F256,0)=F256,P256&gt;0),'депозитный калькулятор'!$G$18,IF(AND('депозитный калькулятор'!$G$17="ежегодная в зависимости от остатка",DAY(F256)=31,MONTH(F256)=12,P256&gt;0),'депозитный калькулятор'!$G$18,0)))))))</f>
        <v xml:space="preserve"> </v>
      </c>
      <c r="K257" s="135" t="str">
        <f>IF($F257=" "," ",IFERROR(VLOOKUP($F257,'депозитный калькулятор'!$B$26:$F$70,2,0),0))</f>
        <v xml:space="preserve"> </v>
      </c>
      <c r="L257" s="135" t="str">
        <f>IF($F257=" "," ",IFERROR(VLOOKUP($F257,'депозитный калькулятор'!$B$26:$F$70,3,0),0))</f>
        <v xml:space="preserve"> </v>
      </c>
      <c r="M257" s="135" t="str">
        <f>IF($F257=" "," ",IFERROR(VLOOKUP($F257,'депозитный калькулятор'!$B$26:$F$70,4,0),0))</f>
        <v xml:space="preserve"> </v>
      </c>
      <c r="N257" s="135" t="str">
        <f>IF($F257=" "," ",IFERROR(VLOOKUP($F257,'депозитный калькулятор'!$B$26:$F$70,5,0),0))</f>
        <v xml:space="preserve"> </v>
      </c>
      <c r="O257" s="146" t="str">
        <f>IF(F257&gt;'депозитный калькулятор'!$D$8," ",IF(F257='депозитный калькулятор'!$D$8,IF(AND($F$24='депозитный калькулятор'!$D$8,'депозитный калькулятор'!$G$13="нет"),-G257-IF(I257=" ",0,I257)-IF(AND(OR('депозитный калькулятор'!$G$7="30/365",'депозитный калькулятор'!$G$7="30/360"),'депозитный калькулятор'!$G$10="в начале срока"),I256,0)-L257+M257-N257,-G257-IF(I257=" ",0,I257)-L257+M257-N257),IF('депозитный калькулятор'!$G$13="есть",M257-N257+IF('депозитный калькулятор'!$G$14="есть",0,-L257),-IF(I257=" ",0,I257)-IF(AND(OR('депозитный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срока"),I256,0)+M257-N257+IF('депозитный калькулятор'!$G$14="есть",0,-L257))))</f>
        <v xml:space="preserve"> </v>
      </c>
      <c r="P257" s="147" t="str">
        <f>IF(F257&gt;'депозитный калькулятор'!$D$8," ",IF(EOMONTH(F256,0)=F256,0,IF(G257&gt;='депозитный калькулятор'!$G$19,P256,P256+1)))</f>
        <v xml:space="preserve"> </v>
      </c>
      <c r="Q257" s="138" t="str">
        <f>IF(F257=" "," ",IF(AND(OR('депозитный калькулятор'!$G$7="30/365",'депозитный калькулятор'!$G$7="30/360"),AND(MONTH(F257)=2,EOMONTH(F257,0)=F257)),IF(DAY(F257)=28,3,2),1)*IF(G257&gt;='депозитный калькулятор'!$G$11,IF(AND('депозитный калькулятор'!$G$7="факт/факт",MOD(YEAR(F257),4)=0),G257*'депозитный калькулятор'!$D$11/366,G257*'депозитный калькулятор'!$G$8),0))</f>
        <v xml:space="preserve"> </v>
      </c>
      <c r="R257" s="148"/>
      <c r="S257" s="62" t="str">
        <f t="shared" ca="1" si="17"/>
        <v xml:space="preserve"> </v>
      </c>
      <c r="T257" s="149" t="str">
        <f ca="1">IF(S257=" "," ",IF('депозитный калькулятор'!$G$7="30/360",DAYS360(U256,IF(DAY(U257)=31,U257-1,U257))+IF(AND(MONTH(U257)=2,U257=EOMONTH(U257,0)),30-DAY(EOMONTH(U257,0)))+T256,VLOOKUP(S257,$C$22:$F$1023,2,0)))</f>
        <v xml:space="preserve"> </v>
      </c>
      <c r="U257" s="64" t="str">
        <f t="shared" ca="1" si="15"/>
        <v xml:space="preserve"> </v>
      </c>
      <c r="V257" s="150" t="str">
        <f t="shared" ca="1" si="18"/>
        <v xml:space="preserve"> </v>
      </c>
      <c r="W257" s="62" t="str">
        <f t="shared" ca="1" si="19"/>
        <v xml:space="preserve"> </v>
      </c>
      <c r="X257" s="141" t="str">
        <f ca="1">IF(S257=" "," ",IFERROR(VLOOKUP(U257,$F$23:$N$1023,7)+VLOOKUP(U257,$F$23:$N$1023,9)+IF(AND('депозитный калькулятор'!$G$13="нет",U257&lt;&gt;'депозитный калькулятор'!$D$8),VLOOKUP(U257,$F$23:$N$1023,4),0),0)+IF(U257='депозитный калькулятор'!$D$8,VLOOKUP(U257,$F$23:$N$1023,2)+VLOOKUP(U257,$F$23:$N$1023,4),0))</f>
        <v xml:space="preserve"> </v>
      </c>
      <c r="Y257" s="142" t="str">
        <f ca="1">IF(S257=" "," ",W257/(1+'депозитный калькулятор'!$K$8)^(T257/IF('депозитный калькулятор'!$G$7="30/360",360,365)))</f>
        <v xml:space="preserve"> </v>
      </c>
      <c r="Z257" s="142" t="str">
        <f ca="1">IF(S257=" "," ",X257/(1+'депозитный калькулятор'!$K$8)^(T257/IF('депозитный калькулятор'!$G$7="30/360",360,365)))</f>
        <v xml:space="preserve"> </v>
      </c>
      <c r="AA257" s="151"/>
      <c r="AB257" s="151"/>
      <c r="AC257" s="155"/>
      <c r="AD257" s="155"/>
    </row>
    <row r="258" spans="1:30" s="2" customFormat="1" ht="15.5" x14ac:dyDescent="0.35">
      <c r="A258" s="41" t="str">
        <f>IF(F258=" "," ",IF(OR('депозитный калькулятор'!$G$7="30/365",'депозитный калькулятор'!$G$7="30/360"),IF(AND(MONTH(F258)=2,DAY(F258)=DAY(EOMONTH(F258,0))),30-DAY(EOMONTH(F258,0)),IF(DAY(F258)=31,1," "))," "))</f>
        <v xml:space="preserve"> </v>
      </c>
      <c r="B258" s="130" t="str">
        <f t="shared" si="16"/>
        <v xml:space="preserve"> </v>
      </c>
      <c r="C258" s="130" t="str">
        <f>IF(OR(B258=0,B258=" ")," ",SUM($B$23:B258))</f>
        <v xml:space="preserve"> </v>
      </c>
      <c r="D258" s="62" t="str">
        <f>IF(D257=" "," ",IF(OR(F257='депозитный калькулятор'!$D$8,F257=" ")," ",D257+1))</f>
        <v xml:space="preserve"> </v>
      </c>
      <c r="E258" s="130" t="str">
        <f>IF(OR(F257='депозитный калькулятор'!$D$8,F257=" ")," ",IF(EOMONTH(F257,0)=F257,1,E257+1))</f>
        <v xml:space="preserve"> </v>
      </c>
      <c r="F258" s="64" t="str">
        <f>IF(F257=" "," ",IF(F257='депозитный калькулятор'!$D$8," ",F257+1))</f>
        <v xml:space="preserve"> </v>
      </c>
      <c r="G258" s="145" t="str">
        <f xml:space="preserve"> IF(F258&gt;'депозитный калькулятор'!$D$8," ",IF('депозитный калькулятор'!$G$13="есть",IF('депозитный калькулятор'!$G$14="есть",G257+IF(I257=" ",0,I257)-J258-K258+L258+M258-N258,G257+IF(I257=" ",0,I257)-J258-K258+M258-N258),IF('депозитный калькулятор'!$G$14="есть",G257-J258-K258+L258+M258-N258,G257-J258-K258+M258-N258)))</f>
        <v xml:space="preserve"> </v>
      </c>
      <c r="H258" s="133" t="str">
        <f>IF(F258&gt;'депозитный калькулятор'!$D$8," ",IF(AND(OR('депозитный калькулятор'!$G$7="30/365",'депозитный калькулятор'!$G$7="30/360"),AND(MONTH(F258)=2,EOMONTH(F258,0)=F258)),IF(DAY(F258)=28,3*G258*'депозитный калькулятор'!$G$8,2*G258*'депозитный калькулятор'!$G$8),IF(AND(OR('депозитный калькулятор'!$G$7="30/365",'депозитный калькулятор'!$G$7="30/360"),DAY(F258)=31)," ",IF(AND('депозитный калькулятор'!$G$7="факт/факт",MOD(YEAR(F258),4)=0),G258*'депозитный калькулятор'!$D$11/366,G258*'депозитный калькулятор'!$G$8))))</f>
        <v xml:space="preserve"> </v>
      </c>
      <c r="I258" s="134" t="str">
        <f ca="1">IF(F258=" "," ",IF('депозитный калькулятор'!$G$10="ежедневное",H258,IF(AND('депозитный калькулятор'!$G$10="еженедельное",WEEKDAY(F258,2)=7),SUM(OFFSET(H258,-6,0):H258),IF(AND('депозитный калькулятор'!$G$10="еженедельное",F258='депозитный калькулятор'!$D$8),SUM($H$23:H258)-SUM($I$23:I257),IF(AND('депозитный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недели",WEEKDAY(F258,2)=7),MIN(OFFSET(H258,-6,0):H258)*(COUNTIF(OFFSET(H258,-6,0):H258,"&gt;0")+SUMIF(OFFSET(A258,-WEEKDAY(F258,2),0):A258,"=2",OFFSET(A258,-WEEKDAY(F258,2),0):A258)),IF(AND('депозитный калькулятор'!$G$10="еженедельное, на минимальную сумму зафиксированную в течение недели",F258='депозитный калькулятор'!$D$8,WEEKDAY(F258,2)&lt;&gt;7),MIN(OFFSET(H258,-WEEKDAY(F258,2),0):H258)*(COUNTIF(OFFSET(H258,-WEEKDAY(F258,2)+1,0):H258,"&gt;0")+SUM(OFFSET(A258,-WEEKDAY(F258,2),0):A258)),IF(AND('депозитный калькулятор'!$G$10="ежемесячное (в конце месяца)",F258='депозитный калькулятор'!$D$8,EOMONTH(F258,0)&lt;&gt;F258),IF('депозитный калькулятор'!$F$1=1,$H$24,SUM($H$23:H258)-SUM($I$23:I257)),IF(AND('депозитный калькулятор'!$G$10="ежемесячное (в конце месяца)",EOMONTH(F258,0)=F258),SUM($H$23:H258)-SUM($I$23:I257),IF(AND('депозитный калькулятор'!$G$10="ежемесячное (по дням открытия вклада)",F258='депозитный калькулятор'!$D$8,DAY('депозитный калькулятор'!$D$7)&lt;&gt;DAY(F258)),IF('депозитный калькулятор'!$F$1=1,$H$24,SUM($H$23:H258)-SUM($I$23:I257)),IF(AND('депозитный калькулятор'!$G$10="ежемесячное (по дням открытия вклада)",DAY('депозитный калькулятор'!$D$7)=DAY(F258)),SUM($H$23:H258)-SUM($I$23:I257),IF(AND('депозитный калькулятор'!$G$10="ежемесячное, на минимальную сумму зафиксированную в течение месяца",F258='депозитный калькулятор'!$D$8,EOMONTH(F258,0)&lt;&gt;F258),IF('депозитный калькулятор'!$F$1=1,$H$24,IF(AND(OR('депозитный калькулятор'!$G$7="30/365",'депозитный калькулятор'!$G$7="30/360"),DAY(F258)=31),0,MIN(OFFSET(H258,-E258+1,0):H258)*(E258+SUMIF(OFFSET(A258,-E258+1,0):A258,"=2",OFFSET(A258,-E258+1,0):A258)))),IF(AND('депозитный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калькулятор'!$G$7="30/360"),DAY(EOMONTH(F258,0))=31),EOMONTH(F258,0)-1=F258,EOMONTH(F258,0)=F258)),IF(IF(AND(OR('депозитный калькулятор'!$G$7="30/365",'депозитный калькулятор'!$G$7="30/360"),DAY(EOMONTH($F$23,0))=31),F258=EOMONTH($F$23,0)-1,F258=EOMONTH($F$23,0)),MIN(OFFSET(H258,-(DAY(F258)-DAY($F$23)),0):H258)*E258,MIN(OFFSET(H258,-(DAY(F258)-1),0):H258)*IF(AND(OR('депозитный калькулятор'!$G$7="30/365",'депозитный калькулятор'!$G$7="30/360"),DAY(F258)&lt;30),30,DAY(F258))),IF(AND('депозитный калькулятор'!$G$10="ежемесячное, на средний остаток в течение месяца, при условии что остаток больше чем ограничение",F258='депозитный калькулятор'!$D$8,EOMONTH(F258,0)&lt;&gt;F258),IF('депозитный калькулятор'!$F$1=1,$H$24,SUM(OFFSET(Q258,-E258+1,0):Q258)),IF(AND('депозитный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калькулятор'!$G$7="30/360"),DAY(EOMONTH(F258,0))=31),EOMONTH(F258,0)-1=F258,EOMONTH(F258,0)=F258)),IF(IF(AND(OR('депозитный калькулятор'!$G$7="30/365",'депозитный калькулятор'!$G$7="30/360"),DAY(EOMONTH($F$24,0))=31),F258=EOMONTH($F$24,0)-1,F258=EOMONTH($F$24,0)),SUM(OFFSET(Q258,-E258+1,0):Q258),SUM(OFFSET(Q258,-E258+1,0):Q258)),IF('депозитный калькулятор'!$G$10="ежеквартальное",IF(F258&gt;'депозитный калькулятор'!$D$8," ",IF(AND(EOMONTH(F258,0)=F258,OR(MONTH(F258)=3,MONTH(F258)=6,MONTH(F258)=9,MONTH(F258)=12)),IF(EDATE(F258,-3)&lt;'депозитный калькулятор'!$D$7,SUM($H$23:H258),IF(MOD(YEAR(F258),4)=0,IF(AND(EOMONTH(F258,0)=F258,OR(MONTH(F258)=3,MONTH(F258)=6)),SUM(OFFSET(H258,-90,0):H258),IF(AND(EOMONTH(F258,0)=F258,OR(MONTH(F258)=9,MONTH(F258)=12)),SUM(OFFSET(H258,-91,0):H258))),IF(AND(EOMONTH(F258,0)=F258,MONTH(F258)=3),SUM(OFFSET(H258,-89,0):H258),IF(AND(EOMONTH(F258,0)=F258,MONTH(F258)=6),SUM(OFFSET(H258,-90,0):H258),IF(AND(EOMONTH(F258,0)=F258,OR(MONTH(F258)=9,MONTH(F258)=12)),SUM(OFFSET(H258,-91,0):H258)))))),IF(F258='депозитный калькулятор'!$D$8,SUM($H$23:H258)-SUM($I$23:I257),0))),IF('депозитный калькулятор'!$G$10="ежегодное",IF(F258&gt;'депозитный калькулятор'!$D$8," ",IF(F258='депозитный калькулятор'!$D$8,SUM($H$23:H258)-SUM($I$23:I257),IF(AND(EOMONTH(F258,0)=F258,MONTH(F258)=12),IF(MOD(YEAR(F257),4)=0,IF(F258-'депозитный калькулятор'!$D$7&lt;366,SUM($H$23:H258),SUM(OFFSET(H258,-365,0):H258)),IF(F258-'депозитный калькулятор'!$D$7&lt;365,SUM($H$23:H258),SUM(OFFSET(H258,-364,0):H258))),0))),IF(AND('депозитный калькулятор'!$G$10="в конце срока",'депозитный калькулятор'!$D$8=F258),SUM($H$23:H258),0))))))))))))))))))</f>
        <v xml:space="preserve"> </v>
      </c>
      <c r="J258" s="59" t="str">
        <f>IF(F258&gt;'депозитный калькулятор'!$D$8," ",IF('депозитный калькулятор'!$G$16="нет",0,IF(AND('депозитный калькулятор'!$G$17="разовая (в конце срока)",F258='депозитный калькулятор'!$D$8),'депозитный калькулятор'!$G$18,IF(AND('депозитный калькулятор'!$G$17="ежемесячная",EOMONTH(F257,0)=F257),'депозитный калькулятор'!$G$18,IF(AND('депозитный калькулятор'!$G$17="ежегодная",DAY(F257)=31,MONTH(F257)=12),'депозитный калькулятор'!$G$18,IF(AND('депозитный калькулятор'!$G$17="ежемесячная в зависимости от остатка",EOMONTH(F257,0)=F257,P257&gt;0),'депозитный калькулятор'!$G$18,IF(AND('депозитный калькулятор'!$G$17="ежегодная в зависимости от остатка",DAY(F257)=31,MONTH(F257)=12,P257&gt;0),'депозитный калькулятор'!$G$18,0)))))))</f>
        <v xml:space="preserve"> </v>
      </c>
      <c r="K258" s="135" t="str">
        <f>IF($F258=" "," ",IFERROR(VLOOKUP($F258,'депозитный калькулятор'!$B$26:$F$70,2,0),0))</f>
        <v xml:space="preserve"> </v>
      </c>
      <c r="L258" s="135" t="str">
        <f>IF($F258=" "," ",IFERROR(VLOOKUP($F258,'депозитный калькулятор'!$B$26:$F$70,3,0),0))</f>
        <v xml:space="preserve"> </v>
      </c>
      <c r="M258" s="135" t="str">
        <f>IF($F258=" "," ",IFERROR(VLOOKUP($F258,'депозитный калькулятор'!$B$26:$F$70,4,0),0))</f>
        <v xml:space="preserve"> </v>
      </c>
      <c r="N258" s="135" t="str">
        <f>IF($F258=" "," ",IFERROR(VLOOKUP($F258,'депозитный калькулятор'!$B$26:$F$70,5,0),0))</f>
        <v xml:space="preserve"> </v>
      </c>
      <c r="O258" s="146" t="str">
        <f>IF(F258&gt;'депозитный калькулятор'!$D$8," ",IF(F258='депозитный калькулятор'!$D$8,IF(AND($F$24='депозитный калькулятор'!$D$8,'депозитный калькулятор'!$G$13="нет"),-G258-IF(I258=" ",0,I258)-IF(AND(OR('депозитный калькулятор'!$G$7="30/365",'депозитный калькулятор'!$G$7="30/360"),'депозитный калькулятор'!$G$10="в начале срока"),I257,0)-L258+M258-N258,-G258-IF(I258=" ",0,I258)-L258+M258-N258),IF('депозитный калькулятор'!$G$13="есть",M258-N258+IF('депозитный калькулятор'!$G$14="есть",0,-L258),-IF(I258=" ",0,I258)-IF(AND(OR('депозитный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срока"),I257,0)+M258-N258+IF('депозитный калькулятор'!$G$14="есть",0,-L258))))</f>
        <v xml:space="preserve"> </v>
      </c>
      <c r="P258" s="147" t="str">
        <f>IF(F258&gt;'депозитный калькулятор'!$D$8," ",IF(EOMONTH(F257,0)=F257,0,IF(G258&gt;='депозитный калькулятор'!$G$19,P257,P257+1)))</f>
        <v xml:space="preserve"> </v>
      </c>
      <c r="Q258" s="138" t="str">
        <f>IF(F258=" "," ",IF(AND(OR('депозитный калькулятор'!$G$7="30/365",'депозитный калькулятор'!$G$7="30/360"),AND(MONTH(F258)=2,EOMONTH(F258,0)=F258)),IF(DAY(F258)=28,3,2),1)*IF(G258&gt;='депозитный калькулятор'!$G$11,IF(AND('депозитный калькулятор'!$G$7="факт/факт",MOD(YEAR(F258),4)=0),G258*'депозитный калькулятор'!$D$11/366,G258*'депозитный калькулятор'!$G$8),0))</f>
        <v xml:space="preserve"> </v>
      </c>
      <c r="R258" s="148"/>
      <c r="S258" s="62" t="str">
        <f t="shared" ca="1" si="17"/>
        <v xml:space="preserve"> </v>
      </c>
      <c r="T258" s="149" t="str">
        <f ca="1">IF(S258=" "," ",IF('депозитный калькулятор'!$G$7="30/360",DAYS360(U257,IF(DAY(U258)=31,U258-1,U258))+IF(AND(MONTH(U258)=2,U258=EOMONTH(U258,0)),30-DAY(EOMONTH(U258,0)))+T257,VLOOKUP(S258,$C$22:$F$1023,2,0)))</f>
        <v xml:space="preserve"> </v>
      </c>
      <c r="U258" s="64" t="str">
        <f t="shared" ca="1" si="15"/>
        <v xml:space="preserve"> </v>
      </c>
      <c r="V258" s="150" t="str">
        <f t="shared" ca="1" si="18"/>
        <v xml:space="preserve"> </v>
      </c>
      <c r="W258" s="62" t="str">
        <f t="shared" ca="1" si="19"/>
        <v xml:space="preserve"> </v>
      </c>
      <c r="X258" s="141" t="str">
        <f ca="1">IF(S258=" "," ",IFERROR(VLOOKUP(U258,$F$23:$N$1023,7)+VLOOKUP(U258,$F$23:$N$1023,9)+IF(AND('депозитный калькулятор'!$G$13="нет",U258&lt;&gt;'депозитный калькулятор'!$D$8),VLOOKUP(U258,$F$23:$N$1023,4),0),0)+IF(U258='депозитный калькулятор'!$D$8,VLOOKUP(U258,$F$23:$N$1023,2)+VLOOKUP(U258,$F$23:$N$1023,4),0))</f>
        <v xml:space="preserve"> </v>
      </c>
      <c r="Y258" s="142" t="str">
        <f ca="1">IF(S258=" "," ",W258/(1+'депозитный калькулятор'!$K$8)^(T258/IF('депозитный калькулятор'!$G$7="30/360",360,365)))</f>
        <v xml:space="preserve"> </v>
      </c>
      <c r="Z258" s="142" t="str">
        <f ca="1">IF(S258=" "," ",X258/(1+'депозитный калькулятор'!$K$8)^(T258/IF('депозитный калькулятор'!$G$7="30/360",360,365)))</f>
        <v xml:space="preserve"> </v>
      </c>
      <c r="AA258" s="151"/>
      <c r="AB258" s="151"/>
      <c r="AC258" s="155"/>
      <c r="AD258" s="155"/>
    </row>
    <row r="259" spans="1:30" s="2" customFormat="1" ht="15.5" x14ac:dyDescent="0.35">
      <c r="A259" s="41" t="str">
        <f>IF(F259=" "," ",IF(OR('депозитный калькулятор'!$G$7="30/365",'депозитный калькулятор'!$G$7="30/360"),IF(AND(MONTH(F259)=2,DAY(F259)=DAY(EOMONTH(F259,0))),30-DAY(EOMONTH(F259,0)),IF(DAY(F259)=31,1," "))," "))</f>
        <v xml:space="preserve"> </v>
      </c>
      <c r="B259" s="130" t="str">
        <f t="shared" si="16"/>
        <v xml:space="preserve"> </v>
      </c>
      <c r="C259" s="130" t="str">
        <f>IF(OR(B259=0,B259=" ")," ",SUM($B$23:B259))</f>
        <v xml:space="preserve"> </v>
      </c>
      <c r="D259" s="62" t="str">
        <f>IF(D258=" "," ",IF(OR(F258='депозитный калькулятор'!$D$8,F258=" ")," ",D258+1))</f>
        <v xml:space="preserve"> </v>
      </c>
      <c r="E259" s="130" t="str">
        <f>IF(OR(F258='депозитный калькулятор'!$D$8,F258=" ")," ",IF(EOMONTH(F258,0)=F258,1,E258+1))</f>
        <v xml:space="preserve"> </v>
      </c>
      <c r="F259" s="64" t="str">
        <f>IF(F258=" "," ",IF(F258='депозитный калькулятор'!$D$8," ",F258+1))</f>
        <v xml:space="preserve"> </v>
      </c>
      <c r="G259" s="145" t="str">
        <f xml:space="preserve"> IF(F259&gt;'депозитный калькулятор'!$D$8," ",IF('депозитный калькулятор'!$G$13="есть",IF('депозитный калькулятор'!$G$14="есть",G258+IF(I258=" ",0,I258)-J259-K259+L259+M259-N259,G258+IF(I258=" ",0,I258)-J259-K259+M259-N259),IF('депозитный калькулятор'!$G$14="есть",G258-J259-K259+L259+M259-N259,G258-J259-K259+M259-N259)))</f>
        <v xml:space="preserve"> </v>
      </c>
      <c r="H259" s="133" t="str">
        <f>IF(F259&gt;'депозитный калькулятор'!$D$8," ",IF(AND(OR('депозитный калькулятор'!$G$7="30/365",'депозитный калькулятор'!$G$7="30/360"),AND(MONTH(F259)=2,EOMONTH(F259,0)=F259)),IF(DAY(F259)=28,3*G259*'депозитный калькулятор'!$G$8,2*G259*'депозитный калькулятор'!$G$8),IF(AND(OR('депозитный калькулятор'!$G$7="30/365",'депозитный калькулятор'!$G$7="30/360"),DAY(F259)=31)," ",IF(AND('депозитный калькулятор'!$G$7="факт/факт",MOD(YEAR(F259),4)=0),G259*'депозитный калькулятор'!$D$11/366,G259*'депозитный калькулятор'!$G$8))))</f>
        <v xml:space="preserve"> </v>
      </c>
      <c r="I259" s="134" t="str">
        <f ca="1">IF(F259=" "," ",IF('депозитный калькулятор'!$G$10="ежедневное",H259,IF(AND('депозитный калькулятор'!$G$10="еженедельное",WEEKDAY(F259,2)=7),SUM(OFFSET(H259,-6,0):H259),IF(AND('депозитный калькулятор'!$G$10="еженедельное",F259='депозитный калькулятор'!$D$8),SUM($H$23:H259)-SUM($I$23:I258),IF(AND('депозитный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недели",WEEKDAY(F259,2)=7),MIN(OFFSET(H259,-6,0):H259)*(COUNTIF(OFFSET(H259,-6,0):H259,"&gt;0")+SUMIF(OFFSET(A259,-WEEKDAY(F259,2),0):A259,"=2",OFFSET(A259,-WEEKDAY(F259,2),0):A259)),IF(AND('депозитный калькулятор'!$G$10="еженедельное, на минимальную сумму зафиксированную в течение недели",F259='депозитный калькулятор'!$D$8,WEEKDAY(F259,2)&lt;&gt;7),MIN(OFFSET(H259,-WEEKDAY(F259,2),0):H259)*(COUNTIF(OFFSET(H259,-WEEKDAY(F259,2)+1,0):H259,"&gt;0")+SUM(OFFSET(A259,-WEEKDAY(F259,2),0):A259)),IF(AND('депозитный калькулятор'!$G$10="ежемесячное (в конце месяца)",F259='депозитный калькулятор'!$D$8,EOMONTH(F259,0)&lt;&gt;F259),IF('депозитный калькулятор'!$F$1=1,$H$24,SUM($H$23:H259)-SUM($I$23:I258)),IF(AND('депозитный калькулятор'!$G$10="ежемесячное (в конце месяца)",EOMONTH(F259,0)=F259),SUM($H$23:H259)-SUM($I$23:I258),IF(AND('депозитный калькулятор'!$G$10="ежемесячное (по дням открытия вклада)",F259='депозитный калькулятор'!$D$8,DAY('депозитный калькулятор'!$D$7)&lt;&gt;DAY(F259)),IF('депозитный калькулятор'!$F$1=1,$H$24,SUM($H$23:H259)-SUM($I$23:I258)),IF(AND('депозитный калькулятор'!$G$10="ежемесячное (по дням открытия вклада)",DAY('депозитный калькулятор'!$D$7)=DAY(F259)),SUM($H$23:H259)-SUM($I$23:I258),IF(AND('депозитный калькулятор'!$G$10="ежемесячное, на минимальную сумму зафиксированную в течение месяца",F259='депозитный калькулятор'!$D$8,EOMONTH(F259,0)&lt;&gt;F259),IF('депозитный калькулятор'!$F$1=1,$H$24,IF(AND(OR('депозитный калькулятор'!$G$7="30/365",'депозитный калькулятор'!$G$7="30/360"),DAY(F259)=31),0,MIN(OFFSET(H259,-E259+1,0):H259)*(E259+SUMIF(OFFSET(A259,-E259+1,0):A259,"=2",OFFSET(A259,-E259+1,0):A259)))),IF(AND('депозитный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калькулятор'!$G$7="30/360"),DAY(EOMONTH(F259,0))=31),EOMONTH(F259,0)-1=F259,EOMONTH(F259,0)=F259)),IF(IF(AND(OR('депозитный калькулятор'!$G$7="30/365",'депозитный калькулятор'!$G$7="30/360"),DAY(EOMONTH($F$23,0))=31),F259=EOMONTH($F$23,0)-1,F259=EOMONTH($F$23,0)),MIN(OFFSET(H259,-(DAY(F259)-DAY($F$23)),0):H259)*E259,MIN(OFFSET(H259,-(DAY(F259)-1),0):H259)*IF(AND(OR('депозитный калькулятор'!$G$7="30/365",'депозитный калькулятор'!$G$7="30/360"),DAY(F259)&lt;30),30,DAY(F259))),IF(AND('депозитный калькулятор'!$G$10="ежемесячное, на средний остаток в течение месяца, при условии что остаток больше чем ограничение",F259='депозитный калькулятор'!$D$8,EOMONTH(F259,0)&lt;&gt;F259),IF('депозитный калькулятор'!$F$1=1,$H$24,SUM(OFFSET(Q259,-E259+1,0):Q259)),IF(AND('депозитный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калькулятор'!$G$7="30/360"),DAY(EOMONTH(F259,0))=31),EOMONTH(F259,0)-1=F259,EOMONTH(F259,0)=F259)),IF(IF(AND(OR('депозитный калькулятор'!$G$7="30/365",'депозитный калькулятор'!$G$7="30/360"),DAY(EOMONTH($F$24,0))=31),F259=EOMONTH($F$24,0)-1,F259=EOMONTH($F$24,0)),SUM(OFFSET(Q259,-E259+1,0):Q259),SUM(OFFSET(Q259,-E259+1,0):Q259)),IF('депозитный калькулятор'!$G$10="ежеквартальное",IF(F259&gt;'депозитный калькулятор'!$D$8," ",IF(AND(EOMONTH(F259,0)=F259,OR(MONTH(F259)=3,MONTH(F259)=6,MONTH(F259)=9,MONTH(F259)=12)),IF(EDATE(F259,-3)&lt;'депозитный калькулятор'!$D$7,SUM($H$23:H259),IF(MOD(YEAR(F259),4)=0,IF(AND(EOMONTH(F259,0)=F259,OR(MONTH(F259)=3,MONTH(F259)=6)),SUM(OFFSET(H259,-90,0):H259),IF(AND(EOMONTH(F259,0)=F259,OR(MONTH(F259)=9,MONTH(F259)=12)),SUM(OFFSET(H259,-91,0):H259))),IF(AND(EOMONTH(F259,0)=F259,MONTH(F259)=3),SUM(OFFSET(H259,-89,0):H259),IF(AND(EOMONTH(F259,0)=F259,MONTH(F259)=6),SUM(OFFSET(H259,-90,0):H259),IF(AND(EOMONTH(F259,0)=F259,OR(MONTH(F259)=9,MONTH(F259)=12)),SUM(OFFSET(H259,-91,0):H259)))))),IF(F259='депозитный калькулятор'!$D$8,SUM($H$23:H259)-SUM($I$23:I258),0))),IF('депозитный калькулятор'!$G$10="ежегодное",IF(F259&gt;'депозитный калькулятор'!$D$8," ",IF(F259='депозитный калькулятор'!$D$8,SUM($H$23:H259)-SUM($I$23:I258),IF(AND(EOMONTH(F259,0)=F259,MONTH(F259)=12),IF(MOD(YEAR(F258),4)=0,IF(F259-'депозитный калькулятор'!$D$7&lt;366,SUM($H$23:H259),SUM(OFFSET(H259,-365,0):H259)),IF(F259-'депозитный калькулятор'!$D$7&lt;365,SUM($H$23:H259),SUM(OFFSET(H259,-364,0):H259))),0))),IF(AND('депозитный калькулятор'!$G$10="в конце срока",'депозитный калькулятор'!$D$8=F259),SUM($H$23:H259),0))))))))))))))))))</f>
        <v xml:space="preserve"> </v>
      </c>
      <c r="J259" s="59" t="str">
        <f>IF(F259&gt;'депозитный калькулятор'!$D$8," ",IF('депозитный калькулятор'!$G$16="нет",0,IF(AND('депозитный калькулятор'!$G$17="разовая (в конце срока)",F259='депозитный калькулятор'!$D$8),'депозитный калькулятор'!$G$18,IF(AND('депозитный калькулятор'!$G$17="ежемесячная",EOMONTH(F258,0)=F258),'депозитный калькулятор'!$G$18,IF(AND('депозитный калькулятор'!$G$17="ежегодная",DAY(F258)=31,MONTH(F258)=12),'депозитный калькулятор'!$G$18,IF(AND('депозитный калькулятор'!$G$17="ежемесячная в зависимости от остатка",EOMONTH(F258,0)=F258,P258&gt;0),'депозитный калькулятор'!$G$18,IF(AND('депозитный калькулятор'!$G$17="ежегодная в зависимости от остатка",DAY(F258)=31,MONTH(F258)=12,P258&gt;0),'депозитный калькулятор'!$G$18,0)))))))</f>
        <v xml:space="preserve"> </v>
      </c>
      <c r="K259" s="135" t="str">
        <f>IF($F259=" "," ",IFERROR(VLOOKUP($F259,'депозитный калькулятор'!$B$26:$F$70,2,0),0))</f>
        <v xml:space="preserve"> </v>
      </c>
      <c r="L259" s="135" t="str">
        <f>IF($F259=" "," ",IFERROR(VLOOKUP($F259,'депозитный калькулятор'!$B$26:$F$70,3,0),0))</f>
        <v xml:space="preserve"> </v>
      </c>
      <c r="M259" s="135" t="str">
        <f>IF($F259=" "," ",IFERROR(VLOOKUP($F259,'депозитный калькулятор'!$B$26:$F$70,4,0),0))</f>
        <v xml:space="preserve"> </v>
      </c>
      <c r="N259" s="135" t="str">
        <f>IF($F259=" "," ",IFERROR(VLOOKUP($F259,'депозитный калькулятор'!$B$26:$F$70,5,0),0))</f>
        <v xml:space="preserve"> </v>
      </c>
      <c r="O259" s="146" t="str">
        <f>IF(F259&gt;'депозитный калькулятор'!$D$8," ",IF(F259='депозитный калькулятор'!$D$8,IF(AND($F$24='депозитный калькулятор'!$D$8,'депозитный калькулятор'!$G$13="нет"),-G259-IF(I259=" ",0,I259)-IF(AND(OR('депозитный калькулятор'!$G$7="30/365",'депозитный калькулятор'!$G$7="30/360"),'депозитный калькулятор'!$G$10="в начале срока"),I258,0)-L259+M259-N259,-G259-IF(I259=" ",0,I259)-L259+M259-N259),IF('депозитный калькулятор'!$G$13="есть",M259-N259+IF('депозитный калькулятор'!$G$14="есть",0,-L259),-IF(I259=" ",0,I259)-IF(AND(OR('депозитный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срока"),I258,0)+M259-N259+IF('депозитный калькулятор'!$G$14="есть",0,-L259))))</f>
        <v xml:space="preserve"> </v>
      </c>
      <c r="P259" s="147" t="str">
        <f>IF(F259&gt;'депозитный калькулятор'!$D$8," ",IF(EOMONTH(F258,0)=F258,0,IF(G259&gt;='депозитный калькулятор'!$G$19,P258,P258+1)))</f>
        <v xml:space="preserve"> </v>
      </c>
      <c r="Q259" s="138" t="str">
        <f>IF(F259=" "," ",IF(AND(OR('депозитный калькулятор'!$G$7="30/365",'депозитный калькулятор'!$G$7="30/360"),AND(MONTH(F259)=2,EOMONTH(F259,0)=F259)),IF(DAY(F259)=28,3,2),1)*IF(G259&gt;='депозитный калькулятор'!$G$11,IF(AND('депозитный калькулятор'!$G$7="факт/факт",MOD(YEAR(F259),4)=0),G259*'депозитный калькулятор'!$D$11/366,G259*'депозитный калькулятор'!$G$8),0))</f>
        <v xml:space="preserve"> </v>
      </c>
      <c r="R259" s="148"/>
      <c r="S259" s="62" t="str">
        <f t="shared" ca="1" si="17"/>
        <v xml:space="preserve"> </v>
      </c>
      <c r="T259" s="149" t="str">
        <f ca="1">IF(S259=" "," ",IF('депозитный калькулятор'!$G$7="30/360",DAYS360(U258,IF(DAY(U259)=31,U259-1,U259))+IF(AND(MONTH(U259)=2,U259=EOMONTH(U259,0)),30-DAY(EOMONTH(U259,0)))+T258,VLOOKUP(S259,$C$22:$F$1023,2,0)))</f>
        <v xml:space="preserve"> </v>
      </c>
      <c r="U259" s="64" t="str">
        <f t="shared" ca="1" si="15"/>
        <v xml:space="preserve"> </v>
      </c>
      <c r="V259" s="150" t="str">
        <f t="shared" ca="1" si="18"/>
        <v xml:space="preserve"> </v>
      </c>
      <c r="W259" s="62" t="str">
        <f t="shared" ca="1" si="19"/>
        <v xml:space="preserve"> </v>
      </c>
      <c r="X259" s="141" t="str">
        <f ca="1">IF(S259=" "," ",IFERROR(VLOOKUP(U259,$F$23:$N$1023,7)+VLOOKUP(U259,$F$23:$N$1023,9)+IF(AND('депозитный калькулятор'!$G$13="нет",U259&lt;&gt;'депозитный калькулятор'!$D$8),VLOOKUP(U259,$F$23:$N$1023,4),0),0)+IF(U259='депозитный калькулятор'!$D$8,VLOOKUP(U259,$F$23:$N$1023,2)+VLOOKUP(U259,$F$23:$N$1023,4),0))</f>
        <v xml:space="preserve"> </v>
      </c>
      <c r="Y259" s="142" t="str">
        <f ca="1">IF(S259=" "," ",W259/(1+'депозитный калькулятор'!$K$8)^(T259/IF('депозитный калькулятор'!$G$7="30/360",360,365)))</f>
        <v xml:space="preserve"> </v>
      </c>
      <c r="Z259" s="142" t="str">
        <f ca="1">IF(S259=" "," ",X259/(1+'депозитный калькулятор'!$K$8)^(T259/IF('депозитный калькулятор'!$G$7="30/360",360,365)))</f>
        <v xml:space="preserve"> </v>
      </c>
      <c r="AA259" s="151"/>
      <c r="AB259" s="151"/>
      <c r="AC259" s="155"/>
      <c r="AD259" s="155"/>
    </row>
    <row r="260" spans="1:30" s="2" customFormat="1" ht="15.5" x14ac:dyDescent="0.35">
      <c r="A260" s="41" t="str">
        <f>IF(F260=" "," ",IF(OR('депозитный калькулятор'!$G$7="30/365",'депозитный калькулятор'!$G$7="30/360"),IF(AND(MONTH(F260)=2,DAY(F260)=DAY(EOMONTH(F260,0))),30-DAY(EOMONTH(F260,0)),IF(DAY(F260)=31,1," "))," "))</f>
        <v xml:space="preserve"> </v>
      </c>
      <c r="B260" s="130" t="str">
        <f t="shared" si="16"/>
        <v xml:space="preserve"> </v>
      </c>
      <c r="C260" s="130" t="str">
        <f>IF(OR(B260=0,B260=" ")," ",SUM($B$23:B260))</f>
        <v xml:space="preserve"> </v>
      </c>
      <c r="D260" s="62" t="str">
        <f>IF(D259=" "," ",IF(OR(F259='депозитный калькулятор'!$D$8,F259=" ")," ",D259+1))</f>
        <v xml:space="preserve"> </v>
      </c>
      <c r="E260" s="130" t="str">
        <f>IF(OR(F259='депозитный калькулятор'!$D$8,F259=" ")," ",IF(EOMONTH(F259,0)=F259,1,E259+1))</f>
        <v xml:space="preserve"> </v>
      </c>
      <c r="F260" s="64" t="str">
        <f>IF(F259=" "," ",IF(F259='депозитный калькулятор'!$D$8," ",F259+1))</f>
        <v xml:space="preserve"> </v>
      </c>
      <c r="G260" s="145" t="str">
        <f xml:space="preserve"> IF(F260&gt;'депозитный калькулятор'!$D$8," ",IF('депозитный калькулятор'!$G$13="есть",IF('депозитный калькулятор'!$G$14="есть",G259+IF(I259=" ",0,I259)-J260-K260+L260+M260-N260,G259+IF(I259=" ",0,I259)-J260-K260+M260-N260),IF('депозитный калькулятор'!$G$14="есть",G259-J260-K260+L260+M260-N260,G259-J260-K260+M260-N260)))</f>
        <v xml:space="preserve"> </v>
      </c>
      <c r="H260" s="133" t="str">
        <f>IF(F260&gt;'депозитный калькулятор'!$D$8," ",IF(AND(OR('депозитный калькулятор'!$G$7="30/365",'депозитный калькулятор'!$G$7="30/360"),AND(MONTH(F260)=2,EOMONTH(F260,0)=F260)),IF(DAY(F260)=28,3*G260*'депозитный калькулятор'!$G$8,2*G260*'депозитный калькулятор'!$G$8),IF(AND(OR('депозитный калькулятор'!$G$7="30/365",'депозитный калькулятор'!$G$7="30/360"),DAY(F260)=31)," ",IF(AND('депозитный калькулятор'!$G$7="факт/факт",MOD(YEAR(F260),4)=0),G260*'депозитный калькулятор'!$D$11/366,G260*'депозитный калькулятор'!$G$8))))</f>
        <v xml:space="preserve"> </v>
      </c>
      <c r="I260" s="134" t="str">
        <f ca="1">IF(F260=" "," ",IF('депозитный калькулятор'!$G$10="ежедневное",H260,IF(AND('депозитный калькулятор'!$G$10="еженедельное",WEEKDAY(F260,2)=7),SUM(OFFSET(H260,-6,0):H260),IF(AND('депозитный калькулятор'!$G$10="еженедельное",F260='депозитный калькулятор'!$D$8),SUM($H$23:H260)-SUM($I$23:I259),IF(AND('депозитный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недели",WEEKDAY(F260,2)=7),MIN(OFFSET(H260,-6,0):H260)*(COUNTIF(OFFSET(H260,-6,0):H260,"&gt;0")+SUMIF(OFFSET(A260,-WEEKDAY(F260,2),0):A260,"=2",OFFSET(A260,-WEEKDAY(F260,2),0):A260)),IF(AND('депозитный калькулятор'!$G$10="еженедельное, на минимальную сумму зафиксированную в течение недели",F260='депозитный калькулятор'!$D$8,WEEKDAY(F260,2)&lt;&gt;7),MIN(OFFSET(H260,-WEEKDAY(F260,2),0):H260)*(COUNTIF(OFFSET(H260,-WEEKDAY(F260,2)+1,0):H260,"&gt;0")+SUM(OFFSET(A260,-WEEKDAY(F260,2),0):A260)),IF(AND('депозитный калькулятор'!$G$10="ежемесячное (в конце месяца)",F260='депозитный калькулятор'!$D$8,EOMONTH(F260,0)&lt;&gt;F260),IF('депозитный калькулятор'!$F$1=1,$H$24,SUM($H$23:H260)-SUM($I$23:I259)),IF(AND('депозитный калькулятор'!$G$10="ежемесячное (в конце месяца)",EOMONTH(F260,0)=F260),SUM($H$23:H260)-SUM($I$23:I259),IF(AND('депозитный калькулятор'!$G$10="ежемесячное (по дням открытия вклада)",F260='депозитный калькулятор'!$D$8,DAY('депозитный калькулятор'!$D$7)&lt;&gt;DAY(F260)),IF('депозитный калькулятор'!$F$1=1,$H$24,SUM($H$23:H260)-SUM($I$23:I259)),IF(AND('депозитный калькулятор'!$G$10="ежемесячное (по дням открытия вклада)",DAY('депозитный калькулятор'!$D$7)=DAY(F260)),SUM($H$23:H260)-SUM($I$23:I259),IF(AND('депозитный калькулятор'!$G$10="ежемесячное, на минимальную сумму зафиксированную в течение месяца",F260='депозитный калькулятор'!$D$8,EOMONTH(F260,0)&lt;&gt;F260),IF('депозитный калькулятор'!$F$1=1,$H$24,IF(AND(OR('депозитный калькулятор'!$G$7="30/365",'депозитный калькулятор'!$G$7="30/360"),DAY(F260)=31),0,MIN(OFFSET(H260,-E260+1,0):H260)*(E260+SUMIF(OFFSET(A260,-E260+1,0):A260,"=2",OFFSET(A260,-E260+1,0):A260)))),IF(AND('депозитный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калькулятор'!$G$7="30/360"),DAY(EOMONTH(F260,0))=31),EOMONTH(F260,0)-1=F260,EOMONTH(F260,0)=F260)),IF(IF(AND(OR('депозитный калькулятор'!$G$7="30/365",'депозитный калькулятор'!$G$7="30/360"),DAY(EOMONTH($F$23,0))=31),F260=EOMONTH($F$23,0)-1,F260=EOMONTH($F$23,0)),MIN(OFFSET(H260,-(DAY(F260)-DAY($F$23)),0):H260)*E260,MIN(OFFSET(H260,-(DAY(F260)-1),0):H260)*IF(AND(OR('депозитный калькулятор'!$G$7="30/365",'депозитный калькулятор'!$G$7="30/360"),DAY(F260)&lt;30),30,DAY(F260))),IF(AND('депозитный калькулятор'!$G$10="ежемесячное, на средний остаток в течение месяца, при условии что остаток больше чем ограничение",F260='депозитный калькулятор'!$D$8,EOMONTH(F260,0)&lt;&gt;F260),IF('депозитный калькулятор'!$F$1=1,$H$24,SUM(OFFSET(Q260,-E260+1,0):Q260)),IF(AND('депозитный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калькулятор'!$G$7="30/360"),DAY(EOMONTH(F260,0))=31),EOMONTH(F260,0)-1=F260,EOMONTH(F260,0)=F260)),IF(IF(AND(OR('депозитный калькулятор'!$G$7="30/365",'депозитный калькулятор'!$G$7="30/360"),DAY(EOMONTH($F$24,0))=31),F260=EOMONTH($F$24,0)-1,F260=EOMONTH($F$24,0)),SUM(OFFSET(Q260,-E260+1,0):Q260),SUM(OFFSET(Q260,-E260+1,0):Q260)),IF('депозитный калькулятор'!$G$10="ежеквартальное",IF(F260&gt;'депозитный калькулятор'!$D$8," ",IF(AND(EOMONTH(F260,0)=F260,OR(MONTH(F260)=3,MONTH(F260)=6,MONTH(F260)=9,MONTH(F260)=12)),IF(EDATE(F260,-3)&lt;'депозитный калькулятор'!$D$7,SUM($H$23:H260),IF(MOD(YEAR(F260),4)=0,IF(AND(EOMONTH(F260,0)=F260,OR(MONTH(F260)=3,MONTH(F260)=6)),SUM(OFFSET(H260,-90,0):H260),IF(AND(EOMONTH(F260,0)=F260,OR(MONTH(F260)=9,MONTH(F260)=12)),SUM(OFFSET(H260,-91,0):H260))),IF(AND(EOMONTH(F260,0)=F260,MONTH(F260)=3),SUM(OFFSET(H260,-89,0):H260),IF(AND(EOMONTH(F260,0)=F260,MONTH(F260)=6),SUM(OFFSET(H260,-90,0):H260),IF(AND(EOMONTH(F260,0)=F260,OR(MONTH(F260)=9,MONTH(F260)=12)),SUM(OFFSET(H260,-91,0):H260)))))),IF(F260='депозитный калькулятор'!$D$8,SUM($H$23:H260)-SUM($I$23:I259),0))),IF('депозитный калькулятор'!$G$10="ежегодное",IF(F260&gt;'депозитный калькулятор'!$D$8," ",IF(F260='депозитный калькулятор'!$D$8,SUM($H$23:H260)-SUM($I$23:I259),IF(AND(EOMONTH(F260,0)=F260,MONTH(F260)=12),IF(MOD(YEAR(F259),4)=0,IF(F260-'депозитный калькулятор'!$D$7&lt;366,SUM($H$23:H260),SUM(OFFSET(H260,-365,0):H260)),IF(F260-'депозитный калькулятор'!$D$7&lt;365,SUM($H$23:H260),SUM(OFFSET(H260,-364,0):H260))),0))),IF(AND('депозитный калькулятор'!$G$10="в конце срока",'депозитный калькулятор'!$D$8=F260),SUM($H$23:H260),0))))))))))))))))))</f>
        <v xml:space="preserve"> </v>
      </c>
      <c r="J260" s="59" t="str">
        <f>IF(F260&gt;'депозитный калькулятор'!$D$8," ",IF('депозитный калькулятор'!$G$16="нет",0,IF(AND('депозитный калькулятор'!$G$17="разовая (в конце срока)",F260='депозитный калькулятор'!$D$8),'депозитный калькулятор'!$G$18,IF(AND('депозитный калькулятор'!$G$17="ежемесячная",EOMONTH(F259,0)=F259),'депозитный калькулятор'!$G$18,IF(AND('депозитный калькулятор'!$G$17="ежегодная",DAY(F259)=31,MONTH(F259)=12),'депозитный калькулятор'!$G$18,IF(AND('депозитный калькулятор'!$G$17="ежемесячная в зависимости от остатка",EOMONTH(F259,0)=F259,P259&gt;0),'депозитный калькулятор'!$G$18,IF(AND('депозитный калькулятор'!$G$17="ежегодная в зависимости от остатка",DAY(F259)=31,MONTH(F259)=12,P259&gt;0),'депозитный калькулятор'!$G$18,0)))))))</f>
        <v xml:space="preserve"> </v>
      </c>
      <c r="K260" s="135" t="str">
        <f>IF($F260=" "," ",IFERROR(VLOOKUP($F260,'депозитный калькулятор'!$B$26:$F$70,2,0),0))</f>
        <v xml:space="preserve"> </v>
      </c>
      <c r="L260" s="135" t="str">
        <f>IF($F260=" "," ",IFERROR(VLOOKUP($F260,'депозитный калькулятор'!$B$26:$F$70,3,0),0))</f>
        <v xml:space="preserve"> </v>
      </c>
      <c r="M260" s="135" t="str">
        <f>IF($F260=" "," ",IFERROR(VLOOKUP($F260,'депозитный калькулятор'!$B$26:$F$70,4,0),0))</f>
        <v xml:space="preserve"> </v>
      </c>
      <c r="N260" s="135" t="str">
        <f>IF($F260=" "," ",IFERROR(VLOOKUP($F260,'депозитный калькулятор'!$B$26:$F$70,5,0),0))</f>
        <v xml:space="preserve"> </v>
      </c>
      <c r="O260" s="146" t="str">
        <f>IF(F260&gt;'депозитный калькулятор'!$D$8," ",IF(F260='депозитный калькулятор'!$D$8,IF(AND($F$24='депозитный калькулятор'!$D$8,'депозитный калькулятор'!$G$13="нет"),-G260-IF(I260=" ",0,I260)-IF(AND(OR('депозитный калькулятор'!$G$7="30/365",'депозитный калькулятор'!$G$7="30/360"),'депозитный калькулятор'!$G$10="в начале срока"),I259,0)-L260+M260-N260,-G260-IF(I260=" ",0,I260)-L260+M260-N260),IF('депозитный калькулятор'!$G$13="есть",M260-N260+IF('депозитный калькулятор'!$G$14="есть",0,-L260),-IF(I260=" ",0,I260)-IF(AND(OR('депозитный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срока"),I259,0)+M260-N260+IF('депозитный калькулятор'!$G$14="есть",0,-L260))))</f>
        <v xml:space="preserve"> </v>
      </c>
      <c r="P260" s="147" t="str">
        <f>IF(F260&gt;'депозитный калькулятор'!$D$8," ",IF(EOMONTH(F259,0)=F259,0,IF(G260&gt;='депозитный калькулятор'!$G$19,P259,P259+1)))</f>
        <v xml:space="preserve"> </v>
      </c>
      <c r="Q260" s="138" t="str">
        <f>IF(F260=" "," ",IF(AND(OR('депозитный калькулятор'!$G$7="30/365",'депозитный калькулятор'!$G$7="30/360"),AND(MONTH(F260)=2,EOMONTH(F260,0)=F260)),IF(DAY(F260)=28,3,2),1)*IF(G260&gt;='депозитный калькулятор'!$G$11,IF(AND('депозитный калькулятор'!$G$7="факт/факт",MOD(YEAR(F260),4)=0),G260*'депозитный калькулятор'!$D$11/366,G260*'депозитный калькулятор'!$G$8),0))</f>
        <v xml:space="preserve"> </v>
      </c>
      <c r="R260" s="148"/>
      <c r="S260" s="62" t="str">
        <f t="shared" ca="1" si="17"/>
        <v xml:space="preserve"> </v>
      </c>
      <c r="T260" s="149" t="str">
        <f ca="1">IF(S260=" "," ",IF('депозитный калькулятор'!$G$7="30/360",DAYS360(U259,IF(DAY(U260)=31,U260-1,U260))+IF(AND(MONTH(U260)=2,U260=EOMONTH(U260,0)),30-DAY(EOMONTH(U260,0)))+T259,VLOOKUP(S260,$C$22:$F$1023,2,0)))</f>
        <v xml:space="preserve"> </v>
      </c>
      <c r="U260" s="64" t="str">
        <f t="shared" ca="1" si="15"/>
        <v xml:space="preserve"> </v>
      </c>
      <c r="V260" s="150" t="str">
        <f t="shared" ca="1" si="18"/>
        <v xml:space="preserve"> </v>
      </c>
      <c r="W260" s="62" t="str">
        <f t="shared" ca="1" si="19"/>
        <v xml:space="preserve"> </v>
      </c>
      <c r="X260" s="141" t="str">
        <f ca="1">IF(S260=" "," ",IFERROR(VLOOKUP(U260,$F$23:$N$1023,7)+VLOOKUP(U260,$F$23:$N$1023,9)+IF(AND('депозитный калькулятор'!$G$13="нет",U260&lt;&gt;'депозитный калькулятор'!$D$8),VLOOKUP(U260,$F$23:$N$1023,4),0),0)+IF(U260='депозитный калькулятор'!$D$8,VLOOKUP(U260,$F$23:$N$1023,2)+VLOOKUP(U260,$F$23:$N$1023,4),0))</f>
        <v xml:space="preserve"> </v>
      </c>
      <c r="Y260" s="142" t="str">
        <f ca="1">IF(S260=" "," ",W260/(1+'депозитный калькулятор'!$K$8)^(T260/IF('депозитный калькулятор'!$G$7="30/360",360,365)))</f>
        <v xml:space="preserve"> </v>
      </c>
      <c r="Z260" s="142" t="str">
        <f ca="1">IF(S260=" "," ",X260/(1+'депозитный калькулятор'!$K$8)^(T260/IF('депозитный калькулятор'!$G$7="30/360",360,365)))</f>
        <v xml:space="preserve"> </v>
      </c>
      <c r="AA260" s="151"/>
      <c r="AB260" s="151"/>
      <c r="AC260" s="155"/>
      <c r="AD260" s="155"/>
    </row>
    <row r="261" spans="1:30" s="2" customFormat="1" ht="15.5" x14ac:dyDescent="0.35">
      <c r="A261" s="41" t="str">
        <f>IF(F261=" "," ",IF(OR('депозитный калькулятор'!$G$7="30/365",'депозитный калькулятор'!$G$7="30/360"),IF(AND(MONTH(F261)=2,DAY(F261)=DAY(EOMONTH(F261,0))),30-DAY(EOMONTH(F261,0)),IF(DAY(F261)=31,1," "))," "))</f>
        <v xml:space="preserve"> </v>
      </c>
      <c r="B261" s="130" t="str">
        <f t="shared" si="16"/>
        <v xml:space="preserve"> </v>
      </c>
      <c r="C261" s="130" t="str">
        <f>IF(OR(B261=0,B261=" ")," ",SUM($B$23:B261))</f>
        <v xml:space="preserve"> </v>
      </c>
      <c r="D261" s="62" t="str">
        <f>IF(D260=" "," ",IF(OR(F260='депозитный калькулятор'!$D$8,F260=" ")," ",D260+1))</f>
        <v xml:space="preserve"> </v>
      </c>
      <c r="E261" s="130" t="str">
        <f>IF(OR(F260='депозитный калькулятор'!$D$8,F260=" ")," ",IF(EOMONTH(F260,0)=F260,1,E260+1))</f>
        <v xml:space="preserve"> </v>
      </c>
      <c r="F261" s="64" t="str">
        <f>IF(F260=" "," ",IF(F260='депозитный калькулятор'!$D$8," ",F260+1))</f>
        <v xml:space="preserve"> </v>
      </c>
      <c r="G261" s="145" t="str">
        <f xml:space="preserve"> IF(F261&gt;'депозитный калькулятор'!$D$8," ",IF('депозитный калькулятор'!$G$13="есть",IF('депозитный калькулятор'!$G$14="есть",G260+IF(I260=" ",0,I260)-J261-K261+L261+M261-N261,G260+IF(I260=" ",0,I260)-J261-K261+M261-N261),IF('депозитный калькулятор'!$G$14="есть",G260-J261-K261+L261+M261-N261,G260-J261-K261+M261-N261)))</f>
        <v xml:space="preserve"> </v>
      </c>
      <c r="H261" s="133" t="str">
        <f>IF(F261&gt;'депозитный калькулятор'!$D$8," ",IF(AND(OR('депозитный калькулятор'!$G$7="30/365",'депозитный калькулятор'!$G$7="30/360"),AND(MONTH(F261)=2,EOMONTH(F261,0)=F261)),IF(DAY(F261)=28,3*G261*'депозитный калькулятор'!$G$8,2*G261*'депозитный калькулятор'!$G$8),IF(AND(OR('депозитный калькулятор'!$G$7="30/365",'депозитный калькулятор'!$G$7="30/360"),DAY(F261)=31)," ",IF(AND('депозитный калькулятор'!$G$7="факт/факт",MOD(YEAR(F261),4)=0),G261*'депозитный калькулятор'!$D$11/366,G261*'депозитный калькулятор'!$G$8))))</f>
        <v xml:space="preserve"> </v>
      </c>
      <c r="I261" s="134" t="str">
        <f ca="1">IF(F261=" "," ",IF('депозитный калькулятор'!$G$10="ежедневное",H261,IF(AND('депозитный калькулятор'!$G$10="еженедельное",WEEKDAY(F261,2)=7),SUM(OFFSET(H261,-6,0):H261),IF(AND('депозитный калькулятор'!$G$10="еженедельное",F261='депозитный калькулятор'!$D$8),SUM($H$23:H261)-SUM($I$23:I260),IF(AND('депозитный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недели",WEEKDAY(F261,2)=7),MIN(OFFSET(H261,-6,0):H261)*(COUNTIF(OFFSET(H261,-6,0):H261,"&gt;0")+SUMIF(OFFSET(A261,-WEEKDAY(F261,2),0):A261,"=2",OFFSET(A261,-WEEKDAY(F261,2),0):A261)),IF(AND('депозитный калькулятор'!$G$10="еженедельное, на минимальную сумму зафиксированную в течение недели",F261='депозитный калькулятор'!$D$8,WEEKDAY(F261,2)&lt;&gt;7),MIN(OFFSET(H261,-WEEKDAY(F261,2),0):H261)*(COUNTIF(OFFSET(H261,-WEEKDAY(F261,2)+1,0):H261,"&gt;0")+SUM(OFFSET(A261,-WEEKDAY(F261,2),0):A261)),IF(AND('депозитный калькулятор'!$G$10="ежемесячное (в конце месяца)",F261='депозитный калькулятор'!$D$8,EOMONTH(F261,0)&lt;&gt;F261),IF('депозитный калькулятор'!$F$1=1,$H$24,SUM($H$23:H261)-SUM($I$23:I260)),IF(AND('депозитный калькулятор'!$G$10="ежемесячное (в конце месяца)",EOMONTH(F261,0)=F261),SUM($H$23:H261)-SUM($I$23:I260),IF(AND('депозитный калькулятор'!$G$10="ежемесячное (по дням открытия вклада)",F261='депозитный калькулятор'!$D$8,DAY('депозитный калькулятор'!$D$7)&lt;&gt;DAY(F261)),IF('депозитный калькулятор'!$F$1=1,$H$24,SUM($H$23:H261)-SUM($I$23:I260)),IF(AND('депозитный калькулятор'!$G$10="ежемесячное (по дням открытия вклада)",DAY('депозитный калькулятор'!$D$7)=DAY(F261)),SUM($H$23:H261)-SUM($I$23:I260),IF(AND('депозитный калькулятор'!$G$10="ежемесячное, на минимальную сумму зафиксированную в течение месяца",F261='депозитный калькулятор'!$D$8,EOMONTH(F261,0)&lt;&gt;F261),IF('депозитный калькулятор'!$F$1=1,$H$24,IF(AND(OR('депозитный калькулятор'!$G$7="30/365",'депозитный калькулятор'!$G$7="30/360"),DAY(F261)=31),0,MIN(OFFSET(H261,-E261+1,0):H261)*(E261+SUMIF(OFFSET(A261,-E261+1,0):A261,"=2",OFFSET(A261,-E261+1,0):A261)))),IF(AND('депозитный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калькулятор'!$G$7="30/360"),DAY(EOMONTH(F261,0))=31),EOMONTH(F261,0)-1=F261,EOMONTH(F261,0)=F261)),IF(IF(AND(OR('депозитный калькулятор'!$G$7="30/365",'депозитный калькулятор'!$G$7="30/360"),DAY(EOMONTH($F$23,0))=31),F261=EOMONTH($F$23,0)-1,F261=EOMONTH($F$23,0)),MIN(OFFSET(H261,-(DAY(F261)-DAY($F$23)),0):H261)*E261,MIN(OFFSET(H261,-(DAY(F261)-1),0):H261)*IF(AND(OR('депозитный калькулятор'!$G$7="30/365",'депозитный калькулятор'!$G$7="30/360"),DAY(F261)&lt;30),30,DAY(F261))),IF(AND('депозитный калькулятор'!$G$10="ежемесячное, на средний остаток в течение месяца, при условии что остаток больше чем ограничение",F261='депозитный калькулятор'!$D$8,EOMONTH(F261,0)&lt;&gt;F261),IF('депозитный калькулятор'!$F$1=1,$H$24,SUM(OFFSET(Q261,-E261+1,0):Q261)),IF(AND('депозитный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калькулятор'!$G$7="30/360"),DAY(EOMONTH(F261,0))=31),EOMONTH(F261,0)-1=F261,EOMONTH(F261,0)=F261)),IF(IF(AND(OR('депозитный калькулятор'!$G$7="30/365",'депозитный калькулятор'!$G$7="30/360"),DAY(EOMONTH($F$24,0))=31),F261=EOMONTH($F$24,0)-1,F261=EOMONTH($F$24,0)),SUM(OFFSET(Q261,-E261+1,0):Q261),SUM(OFFSET(Q261,-E261+1,0):Q261)),IF('депозитный калькулятор'!$G$10="ежеквартальное",IF(F261&gt;'депозитный калькулятор'!$D$8," ",IF(AND(EOMONTH(F261,0)=F261,OR(MONTH(F261)=3,MONTH(F261)=6,MONTH(F261)=9,MONTH(F261)=12)),IF(EDATE(F261,-3)&lt;'депозитный калькулятор'!$D$7,SUM($H$23:H261),IF(MOD(YEAR(F261),4)=0,IF(AND(EOMONTH(F261,0)=F261,OR(MONTH(F261)=3,MONTH(F261)=6)),SUM(OFFSET(H261,-90,0):H261),IF(AND(EOMONTH(F261,0)=F261,OR(MONTH(F261)=9,MONTH(F261)=12)),SUM(OFFSET(H261,-91,0):H261))),IF(AND(EOMONTH(F261,0)=F261,MONTH(F261)=3),SUM(OFFSET(H261,-89,0):H261),IF(AND(EOMONTH(F261,0)=F261,MONTH(F261)=6),SUM(OFFSET(H261,-90,0):H261),IF(AND(EOMONTH(F261,0)=F261,OR(MONTH(F261)=9,MONTH(F261)=12)),SUM(OFFSET(H261,-91,0):H261)))))),IF(F261='депозитный калькулятор'!$D$8,SUM($H$23:H261)-SUM($I$23:I260),0))),IF('депозитный калькулятор'!$G$10="ежегодное",IF(F261&gt;'депозитный калькулятор'!$D$8," ",IF(F261='депозитный калькулятор'!$D$8,SUM($H$23:H261)-SUM($I$23:I260),IF(AND(EOMONTH(F261,0)=F261,MONTH(F261)=12),IF(MOD(YEAR(F260),4)=0,IF(F261-'депозитный калькулятор'!$D$7&lt;366,SUM($H$23:H261),SUM(OFFSET(H261,-365,0):H261)),IF(F261-'депозитный калькулятор'!$D$7&lt;365,SUM($H$23:H261),SUM(OFFSET(H261,-364,0):H261))),0))),IF(AND('депозитный калькулятор'!$G$10="в конце срока",'депозитный калькулятор'!$D$8=F261),SUM($H$23:H261),0))))))))))))))))))</f>
        <v xml:space="preserve"> </v>
      </c>
      <c r="J261" s="59" t="str">
        <f>IF(F261&gt;'депозитный калькулятор'!$D$8," ",IF('депозитный калькулятор'!$G$16="нет",0,IF(AND('депозитный калькулятор'!$G$17="разовая (в конце срока)",F261='депозитный калькулятор'!$D$8),'депозитный калькулятор'!$G$18,IF(AND('депозитный калькулятор'!$G$17="ежемесячная",EOMONTH(F260,0)=F260),'депозитный калькулятор'!$G$18,IF(AND('депозитный калькулятор'!$G$17="ежегодная",DAY(F260)=31,MONTH(F260)=12),'депозитный калькулятор'!$G$18,IF(AND('депозитный калькулятор'!$G$17="ежемесячная в зависимости от остатка",EOMONTH(F260,0)=F260,P260&gt;0),'депозитный калькулятор'!$G$18,IF(AND('депозитный калькулятор'!$G$17="ежегодная в зависимости от остатка",DAY(F260)=31,MONTH(F260)=12,P260&gt;0),'депозитный калькулятор'!$G$18,0)))))))</f>
        <v xml:space="preserve"> </v>
      </c>
      <c r="K261" s="135" t="str">
        <f>IF($F261=" "," ",IFERROR(VLOOKUP($F261,'депозитный калькулятор'!$B$26:$F$70,2,0),0))</f>
        <v xml:space="preserve"> </v>
      </c>
      <c r="L261" s="135" t="str">
        <f>IF($F261=" "," ",IFERROR(VLOOKUP($F261,'депозитный калькулятор'!$B$26:$F$70,3,0),0))</f>
        <v xml:space="preserve"> </v>
      </c>
      <c r="M261" s="135" t="str">
        <f>IF($F261=" "," ",IFERROR(VLOOKUP($F261,'депозитный калькулятор'!$B$26:$F$70,4,0),0))</f>
        <v xml:space="preserve"> </v>
      </c>
      <c r="N261" s="135" t="str">
        <f>IF($F261=" "," ",IFERROR(VLOOKUP($F261,'депозитный калькулятор'!$B$26:$F$70,5,0),0))</f>
        <v xml:space="preserve"> </v>
      </c>
      <c r="O261" s="146" t="str">
        <f>IF(F261&gt;'депозитный калькулятор'!$D$8," ",IF(F261='депозитный калькулятор'!$D$8,IF(AND($F$24='депозитный калькулятор'!$D$8,'депозитный калькулятор'!$G$13="нет"),-G261-IF(I261=" ",0,I261)-IF(AND(OR('депозитный калькулятор'!$G$7="30/365",'депозитный калькулятор'!$G$7="30/360"),'депозитный калькулятор'!$G$10="в начале срока"),I260,0)-L261+M261-N261,-G261-IF(I261=" ",0,I261)-L261+M261-N261),IF('депозитный калькулятор'!$G$13="есть",M261-N261+IF('депозитный калькулятор'!$G$14="есть",0,-L261),-IF(I261=" ",0,I261)-IF(AND(OR('депозитный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срока"),I260,0)+M261-N261+IF('депозитный калькулятор'!$G$14="есть",0,-L261))))</f>
        <v xml:space="preserve"> </v>
      </c>
      <c r="P261" s="147" t="str">
        <f>IF(F261&gt;'депозитный калькулятор'!$D$8," ",IF(EOMONTH(F260,0)=F260,0,IF(G261&gt;='депозитный калькулятор'!$G$19,P260,P260+1)))</f>
        <v xml:space="preserve"> </v>
      </c>
      <c r="Q261" s="138" t="str">
        <f>IF(F261=" "," ",IF(AND(OR('депозитный калькулятор'!$G$7="30/365",'депозитный калькулятор'!$G$7="30/360"),AND(MONTH(F261)=2,EOMONTH(F261,0)=F261)),IF(DAY(F261)=28,3,2),1)*IF(G261&gt;='депозитный калькулятор'!$G$11,IF(AND('депозитный калькулятор'!$G$7="факт/факт",MOD(YEAR(F261),4)=0),G261*'депозитный калькулятор'!$D$11/366,G261*'депозитный калькулятор'!$G$8),0))</f>
        <v xml:space="preserve"> </v>
      </c>
      <c r="R261" s="148"/>
      <c r="S261" s="62" t="str">
        <f t="shared" ca="1" si="17"/>
        <v xml:space="preserve"> </v>
      </c>
      <c r="T261" s="149" t="str">
        <f ca="1">IF(S261=" "," ",IF('депозитный калькулятор'!$G$7="30/360",DAYS360(U260,IF(DAY(U261)=31,U261-1,U261))+IF(AND(MONTH(U261)=2,U261=EOMONTH(U261,0)),30-DAY(EOMONTH(U261,0)))+T260,VLOOKUP(S261,$C$22:$F$1023,2,0)))</f>
        <v xml:space="preserve"> </v>
      </c>
      <c r="U261" s="64" t="str">
        <f t="shared" ca="1" si="15"/>
        <v xml:space="preserve"> </v>
      </c>
      <c r="V261" s="150" t="str">
        <f t="shared" ca="1" si="18"/>
        <v xml:space="preserve"> </v>
      </c>
      <c r="W261" s="62" t="str">
        <f t="shared" ca="1" si="19"/>
        <v xml:space="preserve"> </v>
      </c>
      <c r="X261" s="141" t="str">
        <f ca="1">IF(S261=" "," ",IFERROR(VLOOKUP(U261,$F$23:$N$1023,7)+VLOOKUP(U261,$F$23:$N$1023,9)+IF(AND('депозитный калькулятор'!$G$13="нет",U261&lt;&gt;'депозитный калькулятор'!$D$8),VLOOKUP(U261,$F$23:$N$1023,4),0),0)+IF(U261='депозитный калькулятор'!$D$8,VLOOKUP(U261,$F$23:$N$1023,2)+VLOOKUP(U261,$F$23:$N$1023,4),0))</f>
        <v xml:space="preserve"> </v>
      </c>
      <c r="Y261" s="142" t="str">
        <f ca="1">IF(S261=" "," ",W261/(1+'депозитный калькулятор'!$K$8)^(T261/IF('депозитный калькулятор'!$G$7="30/360",360,365)))</f>
        <v xml:space="preserve"> </v>
      </c>
      <c r="Z261" s="142" t="str">
        <f ca="1">IF(S261=" "," ",X261/(1+'депозитный калькулятор'!$K$8)^(T261/IF('депозитный калькулятор'!$G$7="30/360",360,365)))</f>
        <v xml:space="preserve"> </v>
      </c>
      <c r="AA261" s="151"/>
      <c r="AB261" s="151"/>
      <c r="AC261" s="155"/>
      <c r="AD261" s="155"/>
    </row>
    <row r="262" spans="1:30" s="2" customFormat="1" ht="15.5" x14ac:dyDescent="0.35">
      <c r="A262" s="41" t="str">
        <f>IF(F262=" "," ",IF(OR('депозитный калькулятор'!$G$7="30/365",'депозитный калькулятор'!$G$7="30/360"),IF(AND(MONTH(F262)=2,DAY(F262)=DAY(EOMONTH(F262,0))),30-DAY(EOMONTH(F262,0)),IF(DAY(F262)=31,1," "))," "))</f>
        <v xml:space="preserve"> </v>
      </c>
      <c r="B262" s="130" t="str">
        <f t="shared" si="16"/>
        <v xml:space="preserve"> </v>
      </c>
      <c r="C262" s="130" t="str">
        <f>IF(OR(B262=0,B262=" ")," ",SUM($B$23:B262))</f>
        <v xml:space="preserve"> </v>
      </c>
      <c r="D262" s="62" t="str">
        <f>IF(D261=" "," ",IF(OR(F261='депозитный калькулятор'!$D$8,F261=" ")," ",D261+1))</f>
        <v xml:space="preserve"> </v>
      </c>
      <c r="E262" s="130" t="str">
        <f>IF(OR(F261='депозитный калькулятор'!$D$8,F261=" ")," ",IF(EOMONTH(F261,0)=F261,1,E261+1))</f>
        <v xml:space="preserve"> </v>
      </c>
      <c r="F262" s="64" t="str">
        <f>IF(F261=" "," ",IF(F261='депозитный калькулятор'!$D$8," ",F261+1))</f>
        <v xml:space="preserve"> </v>
      </c>
      <c r="G262" s="145" t="str">
        <f xml:space="preserve"> IF(F262&gt;'депозитный калькулятор'!$D$8," ",IF('депозитный калькулятор'!$G$13="есть",IF('депозитный калькулятор'!$G$14="есть",G261+IF(I261=" ",0,I261)-J262-K262+L262+M262-N262,G261+IF(I261=" ",0,I261)-J262-K262+M262-N262),IF('депозитный калькулятор'!$G$14="есть",G261-J262-K262+L262+M262-N262,G261-J262-K262+M262-N262)))</f>
        <v xml:space="preserve"> </v>
      </c>
      <c r="H262" s="133" t="str">
        <f>IF(F262&gt;'депозитный калькулятор'!$D$8," ",IF(AND(OR('депозитный калькулятор'!$G$7="30/365",'депозитный калькулятор'!$G$7="30/360"),AND(MONTH(F262)=2,EOMONTH(F262,0)=F262)),IF(DAY(F262)=28,3*G262*'депозитный калькулятор'!$G$8,2*G262*'депозитный калькулятор'!$G$8),IF(AND(OR('депозитный калькулятор'!$G$7="30/365",'депозитный калькулятор'!$G$7="30/360"),DAY(F262)=31)," ",IF(AND('депозитный калькулятор'!$G$7="факт/факт",MOD(YEAR(F262),4)=0),G262*'депозитный калькулятор'!$D$11/366,G262*'депозитный калькулятор'!$G$8))))</f>
        <v xml:space="preserve"> </v>
      </c>
      <c r="I262" s="134" t="str">
        <f ca="1">IF(F262=" "," ",IF('депозитный калькулятор'!$G$10="ежедневное",H262,IF(AND('депозитный калькулятор'!$G$10="еженедельное",WEEKDAY(F262,2)=7),SUM(OFFSET(H262,-6,0):H262),IF(AND('депозитный калькулятор'!$G$10="еженедельное",F262='депозитный калькулятор'!$D$8),SUM($H$23:H262)-SUM($I$23:I261),IF(AND('депозитный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недели",WEEKDAY(F262,2)=7),MIN(OFFSET(H262,-6,0):H262)*(COUNTIF(OFFSET(H262,-6,0):H262,"&gt;0")+SUMIF(OFFSET(A262,-WEEKDAY(F262,2),0):A262,"=2",OFFSET(A262,-WEEKDAY(F262,2),0):A262)),IF(AND('депозитный калькулятор'!$G$10="еженедельное, на минимальную сумму зафиксированную в течение недели",F262='депозитный калькулятор'!$D$8,WEEKDAY(F262,2)&lt;&gt;7),MIN(OFFSET(H262,-WEEKDAY(F262,2),0):H262)*(COUNTIF(OFFSET(H262,-WEEKDAY(F262,2)+1,0):H262,"&gt;0")+SUM(OFFSET(A262,-WEEKDAY(F262,2),0):A262)),IF(AND('депозитный калькулятор'!$G$10="ежемесячное (в конце месяца)",F262='депозитный калькулятор'!$D$8,EOMONTH(F262,0)&lt;&gt;F262),IF('депозитный калькулятор'!$F$1=1,$H$24,SUM($H$23:H262)-SUM($I$23:I261)),IF(AND('депозитный калькулятор'!$G$10="ежемесячное (в конце месяца)",EOMONTH(F262,0)=F262),SUM($H$23:H262)-SUM($I$23:I261),IF(AND('депозитный калькулятор'!$G$10="ежемесячное (по дням открытия вклада)",F262='депозитный калькулятор'!$D$8,DAY('депозитный калькулятор'!$D$7)&lt;&gt;DAY(F262)),IF('депозитный калькулятор'!$F$1=1,$H$24,SUM($H$23:H262)-SUM($I$23:I261)),IF(AND('депозитный калькулятор'!$G$10="ежемесячное (по дням открытия вклада)",DAY('депозитный калькулятор'!$D$7)=DAY(F262)),SUM($H$23:H262)-SUM($I$23:I261),IF(AND('депозитный калькулятор'!$G$10="ежемесячное, на минимальную сумму зафиксированную в течение месяца",F262='депозитный калькулятор'!$D$8,EOMONTH(F262,0)&lt;&gt;F262),IF('депозитный калькулятор'!$F$1=1,$H$24,IF(AND(OR('депозитный калькулятор'!$G$7="30/365",'депозитный калькулятор'!$G$7="30/360"),DAY(F262)=31),0,MIN(OFFSET(H262,-E262+1,0):H262)*(E262+SUMIF(OFFSET(A262,-E262+1,0):A262,"=2",OFFSET(A262,-E262+1,0):A262)))),IF(AND('депозитный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калькулятор'!$G$7="30/360"),DAY(EOMONTH(F262,0))=31),EOMONTH(F262,0)-1=F262,EOMONTH(F262,0)=F262)),IF(IF(AND(OR('депозитный калькулятор'!$G$7="30/365",'депозитный калькулятор'!$G$7="30/360"),DAY(EOMONTH($F$23,0))=31),F262=EOMONTH($F$23,0)-1,F262=EOMONTH($F$23,0)),MIN(OFFSET(H262,-(DAY(F262)-DAY($F$23)),0):H262)*E262,MIN(OFFSET(H262,-(DAY(F262)-1),0):H262)*IF(AND(OR('депозитный калькулятор'!$G$7="30/365",'депозитный калькулятор'!$G$7="30/360"),DAY(F262)&lt;30),30,DAY(F262))),IF(AND('депозитный калькулятор'!$G$10="ежемесячное, на средний остаток в течение месяца, при условии что остаток больше чем ограничение",F262='депозитный калькулятор'!$D$8,EOMONTH(F262,0)&lt;&gt;F262),IF('депозитный калькулятор'!$F$1=1,$H$24,SUM(OFFSET(Q262,-E262+1,0):Q262)),IF(AND('депозитный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калькулятор'!$G$7="30/360"),DAY(EOMONTH(F262,0))=31),EOMONTH(F262,0)-1=F262,EOMONTH(F262,0)=F262)),IF(IF(AND(OR('депозитный калькулятор'!$G$7="30/365",'депозитный калькулятор'!$G$7="30/360"),DAY(EOMONTH($F$24,0))=31),F262=EOMONTH($F$24,0)-1,F262=EOMONTH($F$24,0)),SUM(OFFSET(Q262,-E262+1,0):Q262),SUM(OFFSET(Q262,-E262+1,0):Q262)),IF('депозитный калькулятор'!$G$10="ежеквартальное",IF(F262&gt;'депозитный калькулятор'!$D$8," ",IF(AND(EOMONTH(F262,0)=F262,OR(MONTH(F262)=3,MONTH(F262)=6,MONTH(F262)=9,MONTH(F262)=12)),IF(EDATE(F262,-3)&lt;'депозитный калькулятор'!$D$7,SUM($H$23:H262),IF(MOD(YEAR(F262),4)=0,IF(AND(EOMONTH(F262,0)=F262,OR(MONTH(F262)=3,MONTH(F262)=6)),SUM(OFFSET(H262,-90,0):H262),IF(AND(EOMONTH(F262,0)=F262,OR(MONTH(F262)=9,MONTH(F262)=12)),SUM(OFFSET(H262,-91,0):H262))),IF(AND(EOMONTH(F262,0)=F262,MONTH(F262)=3),SUM(OFFSET(H262,-89,0):H262),IF(AND(EOMONTH(F262,0)=F262,MONTH(F262)=6),SUM(OFFSET(H262,-90,0):H262),IF(AND(EOMONTH(F262,0)=F262,OR(MONTH(F262)=9,MONTH(F262)=12)),SUM(OFFSET(H262,-91,0):H262)))))),IF(F262='депозитный калькулятор'!$D$8,SUM($H$23:H262)-SUM($I$23:I261),0))),IF('депозитный калькулятор'!$G$10="ежегодное",IF(F262&gt;'депозитный калькулятор'!$D$8," ",IF(F262='депозитный калькулятор'!$D$8,SUM($H$23:H262)-SUM($I$23:I261),IF(AND(EOMONTH(F262,0)=F262,MONTH(F262)=12),IF(MOD(YEAR(F261),4)=0,IF(F262-'депозитный калькулятор'!$D$7&lt;366,SUM($H$23:H262),SUM(OFFSET(H262,-365,0):H262)),IF(F262-'депозитный калькулятор'!$D$7&lt;365,SUM($H$23:H262),SUM(OFFSET(H262,-364,0):H262))),0))),IF(AND('депозитный калькулятор'!$G$10="в конце срока",'депозитный калькулятор'!$D$8=F262),SUM($H$23:H262),0))))))))))))))))))</f>
        <v xml:space="preserve"> </v>
      </c>
      <c r="J262" s="59" t="str">
        <f>IF(F262&gt;'депозитный калькулятор'!$D$8," ",IF('депозитный калькулятор'!$G$16="нет",0,IF(AND('депозитный калькулятор'!$G$17="разовая (в конце срока)",F262='депозитный калькулятор'!$D$8),'депозитный калькулятор'!$G$18,IF(AND('депозитный калькулятор'!$G$17="ежемесячная",EOMONTH(F261,0)=F261),'депозитный калькулятор'!$G$18,IF(AND('депозитный калькулятор'!$G$17="ежегодная",DAY(F261)=31,MONTH(F261)=12),'депозитный калькулятор'!$G$18,IF(AND('депозитный калькулятор'!$G$17="ежемесячная в зависимости от остатка",EOMONTH(F261,0)=F261,P261&gt;0),'депозитный калькулятор'!$G$18,IF(AND('депозитный калькулятор'!$G$17="ежегодная в зависимости от остатка",DAY(F261)=31,MONTH(F261)=12,P261&gt;0),'депозитный калькулятор'!$G$18,0)))))))</f>
        <v xml:space="preserve"> </v>
      </c>
      <c r="K262" s="135" t="str">
        <f>IF($F262=" "," ",IFERROR(VLOOKUP($F262,'депозитный калькулятор'!$B$26:$F$70,2,0),0))</f>
        <v xml:space="preserve"> </v>
      </c>
      <c r="L262" s="135" t="str">
        <f>IF($F262=" "," ",IFERROR(VLOOKUP($F262,'депозитный калькулятор'!$B$26:$F$70,3,0),0))</f>
        <v xml:space="preserve"> </v>
      </c>
      <c r="M262" s="135" t="str">
        <f>IF($F262=" "," ",IFERROR(VLOOKUP($F262,'депозитный калькулятор'!$B$26:$F$70,4,0),0))</f>
        <v xml:space="preserve"> </v>
      </c>
      <c r="N262" s="135" t="str">
        <f>IF($F262=" "," ",IFERROR(VLOOKUP($F262,'депозитный калькулятор'!$B$26:$F$70,5,0),0))</f>
        <v xml:space="preserve"> </v>
      </c>
      <c r="O262" s="146" t="str">
        <f>IF(F262&gt;'депозитный калькулятор'!$D$8," ",IF(F262='депозитный калькулятор'!$D$8,IF(AND($F$24='депозитный калькулятор'!$D$8,'депозитный калькулятор'!$G$13="нет"),-G262-IF(I262=" ",0,I262)-IF(AND(OR('депозитный калькулятор'!$G$7="30/365",'депозитный калькулятор'!$G$7="30/360"),'депозитный калькулятор'!$G$10="в начале срока"),I261,0)-L262+M262-N262,-G262-IF(I262=" ",0,I262)-L262+M262-N262),IF('депозитный калькулятор'!$G$13="есть",M262-N262+IF('депозитный калькулятор'!$G$14="есть",0,-L262),-IF(I262=" ",0,I262)-IF(AND(OR('депозитный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срока"),I261,0)+M262-N262+IF('депозитный калькулятор'!$G$14="есть",0,-L262))))</f>
        <v xml:space="preserve"> </v>
      </c>
      <c r="P262" s="147" t="str">
        <f>IF(F262&gt;'депозитный калькулятор'!$D$8," ",IF(EOMONTH(F261,0)=F261,0,IF(G262&gt;='депозитный калькулятор'!$G$19,P261,P261+1)))</f>
        <v xml:space="preserve"> </v>
      </c>
      <c r="Q262" s="138" t="str">
        <f>IF(F262=" "," ",IF(AND(OR('депозитный калькулятор'!$G$7="30/365",'депозитный калькулятор'!$G$7="30/360"),AND(MONTH(F262)=2,EOMONTH(F262,0)=F262)),IF(DAY(F262)=28,3,2),1)*IF(G262&gt;='депозитный калькулятор'!$G$11,IF(AND('депозитный калькулятор'!$G$7="факт/факт",MOD(YEAR(F262),4)=0),G262*'депозитный калькулятор'!$D$11/366,G262*'депозитный калькулятор'!$G$8),0))</f>
        <v xml:space="preserve"> </v>
      </c>
      <c r="R262" s="148"/>
      <c r="S262" s="62" t="str">
        <f t="shared" ca="1" si="17"/>
        <v xml:space="preserve"> </v>
      </c>
      <c r="T262" s="149" t="str">
        <f ca="1">IF(S262=" "," ",IF('депозитный калькулятор'!$G$7="30/360",DAYS360(U261,IF(DAY(U262)=31,U262-1,U262))+IF(AND(MONTH(U262)=2,U262=EOMONTH(U262,0)),30-DAY(EOMONTH(U262,0)))+T261,VLOOKUP(S262,$C$22:$F$1023,2,0)))</f>
        <v xml:space="preserve"> </v>
      </c>
      <c r="U262" s="64" t="str">
        <f t="shared" ca="1" si="15"/>
        <v xml:space="preserve"> </v>
      </c>
      <c r="V262" s="150" t="str">
        <f t="shared" ca="1" si="18"/>
        <v xml:space="preserve"> </v>
      </c>
      <c r="W262" s="62" t="str">
        <f t="shared" ca="1" si="19"/>
        <v xml:space="preserve"> </v>
      </c>
      <c r="X262" s="141" t="str">
        <f ca="1">IF(S262=" "," ",IFERROR(VLOOKUP(U262,$F$23:$N$1023,7)+VLOOKUP(U262,$F$23:$N$1023,9)+IF(AND('депозитный калькулятор'!$G$13="нет",U262&lt;&gt;'депозитный калькулятор'!$D$8),VLOOKUP(U262,$F$23:$N$1023,4),0),0)+IF(U262='депозитный калькулятор'!$D$8,VLOOKUP(U262,$F$23:$N$1023,2)+VLOOKUP(U262,$F$23:$N$1023,4),0))</f>
        <v xml:space="preserve"> </v>
      </c>
      <c r="Y262" s="142" t="str">
        <f ca="1">IF(S262=" "," ",W262/(1+'депозитный калькулятор'!$K$8)^(T262/IF('депозитный калькулятор'!$G$7="30/360",360,365)))</f>
        <v xml:space="preserve"> </v>
      </c>
      <c r="Z262" s="142" t="str">
        <f ca="1">IF(S262=" "," ",X262/(1+'депозитный калькулятор'!$K$8)^(T262/IF('депозитный калькулятор'!$G$7="30/360",360,365)))</f>
        <v xml:space="preserve"> </v>
      </c>
      <c r="AA262" s="151"/>
      <c r="AB262" s="151"/>
      <c r="AC262" s="155"/>
      <c r="AD262" s="155"/>
    </row>
    <row r="263" spans="1:30" s="2" customFormat="1" ht="15.5" x14ac:dyDescent="0.35">
      <c r="A263" s="41" t="str">
        <f>IF(F263=" "," ",IF(OR('депозитный калькулятор'!$G$7="30/365",'депозитный калькулятор'!$G$7="30/360"),IF(AND(MONTH(F263)=2,DAY(F263)=DAY(EOMONTH(F263,0))),30-DAY(EOMONTH(F263,0)),IF(DAY(F263)=31,1," "))," "))</f>
        <v xml:space="preserve"> </v>
      </c>
      <c r="B263" s="130" t="str">
        <f t="shared" si="16"/>
        <v xml:space="preserve"> </v>
      </c>
      <c r="C263" s="130" t="str">
        <f>IF(OR(B263=0,B263=" ")," ",SUM($B$23:B263))</f>
        <v xml:space="preserve"> </v>
      </c>
      <c r="D263" s="62" t="str">
        <f>IF(D262=" "," ",IF(OR(F262='депозитный калькулятор'!$D$8,F262=" ")," ",D262+1))</f>
        <v xml:space="preserve"> </v>
      </c>
      <c r="E263" s="130" t="str">
        <f>IF(OR(F262='депозитный калькулятор'!$D$8,F262=" ")," ",IF(EOMONTH(F262,0)=F262,1,E262+1))</f>
        <v xml:space="preserve"> </v>
      </c>
      <c r="F263" s="64" t="str">
        <f>IF(F262=" "," ",IF(F262='депозитный калькулятор'!$D$8," ",F262+1))</f>
        <v xml:space="preserve"> </v>
      </c>
      <c r="G263" s="145" t="str">
        <f xml:space="preserve"> IF(F263&gt;'депозитный калькулятор'!$D$8," ",IF('депозитный калькулятор'!$G$13="есть",IF('депозитный калькулятор'!$G$14="есть",G262+IF(I262=" ",0,I262)-J263-K263+L263+M263-N263,G262+IF(I262=" ",0,I262)-J263-K263+M263-N263),IF('депозитный калькулятор'!$G$14="есть",G262-J263-K263+L263+M263-N263,G262-J263-K263+M263-N263)))</f>
        <v xml:space="preserve"> </v>
      </c>
      <c r="H263" s="133" t="str">
        <f>IF(F263&gt;'депозитный калькулятор'!$D$8," ",IF(AND(OR('депозитный калькулятор'!$G$7="30/365",'депозитный калькулятор'!$G$7="30/360"),AND(MONTH(F263)=2,EOMONTH(F263,0)=F263)),IF(DAY(F263)=28,3*G263*'депозитный калькулятор'!$G$8,2*G263*'депозитный калькулятор'!$G$8),IF(AND(OR('депозитный калькулятор'!$G$7="30/365",'депозитный калькулятор'!$G$7="30/360"),DAY(F263)=31)," ",IF(AND('депозитный калькулятор'!$G$7="факт/факт",MOD(YEAR(F263),4)=0),G263*'депозитный калькулятор'!$D$11/366,G263*'депозитный калькулятор'!$G$8))))</f>
        <v xml:space="preserve"> </v>
      </c>
      <c r="I263" s="134" t="str">
        <f ca="1">IF(F263=" "," ",IF('депозитный калькулятор'!$G$10="ежедневное",H263,IF(AND('депозитный калькулятор'!$G$10="еженедельное",WEEKDAY(F263,2)=7),SUM(OFFSET(H263,-6,0):H263),IF(AND('депозитный калькулятор'!$G$10="еженедельное",F263='депозитный калькулятор'!$D$8),SUM($H$23:H263)-SUM($I$23:I262),IF(AND('депозитный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недели",WEEKDAY(F263,2)=7),MIN(OFFSET(H263,-6,0):H263)*(COUNTIF(OFFSET(H263,-6,0):H263,"&gt;0")+SUMIF(OFFSET(A263,-WEEKDAY(F263,2),0):A263,"=2",OFFSET(A263,-WEEKDAY(F263,2),0):A263)),IF(AND('депозитный калькулятор'!$G$10="еженедельное, на минимальную сумму зафиксированную в течение недели",F263='депозитный калькулятор'!$D$8,WEEKDAY(F263,2)&lt;&gt;7),MIN(OFFSET(H263,-WEEKDAY(F263,2),0):H263)*(COUNTIF(OFFSET(H263,-WEEKDAY(F263,2)+1,0):H263,"&gt;0")+SUM(OFFSET(A263,-WEEKDAY(F263,2),0):A263)),IF(AND('депозитный калькулятор'!$G$10="ежемесячное (в конце месяца)",F263='депозитный калькулятор'!$D$8,EOMONTH(F263,0)&lt;&gt;F263),IF('депозитный калькулятор'!$F$1=1,$H$24,SUM($H$23:H263)-SUM($I$23:I262)),IF(AND('депозитный калькулятор'!$G$10="ежемесячное (в конце месяца)",EOMONTH(F263,0)=F263),SUM($H$23:H263)-SUM($I$23:I262),IF(AND('депозитный калькулятор'!$G$10="ежемесячное (по дням открытия вклада)",F263='депозитный калькулятор'!$D$8,DAY('депозитный калькулятор'!$D$7)&lt;&gt;DAY(F263)),IF('депозитный калькулятор'!$F$1=1,$H$24,SUM($H$23:H263)-SUM($I$23:I262)),IF(AND('депозитный калькулятор'!$G$10="ежемесячное (по дням открытия вклада)",DAY('депозитный калькулятор'!$D$7)=DAY(F263)),SUM($H$23:H263)-SUM($I$23:I262),IF(AND('депозитный калькулятор'!$G$10="ежемесячное, на минимальную сумму зафиксированную в течение месяца",F263='депозитный калькулятор'!$D$8,EOMONTH(F263,0)&lt;&gt;F263),IF('депозитный калькулятор'!$F$1=1,$H$24,IF(AND(OR('депозитный калькулятор'!$G$7="30/365",'депозитный калькулятор'!$G$7="30/360"),DAY(F263)=31),0,MIN(OFFSET(H263,-E263+1,0):H263)*(E263+SUMIF(OFFSET(A263,-E263+1,0):A263,"=2",OFFSET(A263,-E263+1,0):A263)))),IF(AND('депозитный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калькулятор'!$G$7="30/360"),DAY(EOMONTH(F263,0))=31),EOMONTH(F263,0)-1=F263,EOMONTH(F263,0)=F263)),IF(IF(AND(OR('депозитный калькулятор'!$G$7="30/365",'депозитный калькулятор'!$G$7="30/360"),DAY(EOMONTH($F$23,0))=31),F263=EOMONTH($F$23,0)-1,F263=EOMONTH($F$23,0)),MIN(OFFSET(H263,-(DAY(F263)-DAY($F$23)),0):H263)*E263,MIN(OFFSET(H263,-(DAY(F263)-1),0):H263)*IF(AND(OR('депозитный калькулятор'!$G$7="30/365",'депозитный калькулятор'!$G$7="30/360"),DAY(F263)&lt;30),30,DAY(F263))),IF(AND('депозитный калькулятор'!$G$10="ежемесячное, на средний остаток в течение месяца, при условии что остаток больше чем ограничение",F263='депозитный калькулятор'!$D$8,EOMONTH(F263,0)&lt;&gt;F263),IF('депозитный калькулятор'!$F$1=1,$H$24,SUM(OFFSET(Q263,-E263+1,0):Q263)),IF(AND('депозитный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калькулятор'!$G$7="30/360"),DAY(EOMONTH(F263,0))=31),EOMONTH(F263,0)-1=F263,EOMONTH(F263,0)=F263)),IF(IF(AND(OR('депозитный калькулятор'!$G$7="30/365",'депозитный калькулятор'!$G$7="30/360"),DAY(EOMONTH($F$24,0))=31),F263=EOMONTH($F$24,0)-1,F263=EOMONTH($F$24,0)),SUM(OFFSET(Q263,-E263+1,0):Q263),SUM(OFFSET(Q263,-E263+1,0):Q263)),IF('депозитный калькулятор'!$G$10="ежеквартальное",IF(F263&gt;'депозитный калькулятор'!$D$8," ",IF(AND(EOMONTH(F263,0)=F263,OR(MONTH(F263)=3,MONTH(F263)=6,MONTH(F263)=9,MONTH(F263)=12)),IF(EDATE(F263,-3)&lt;'депозитный калькулятор'!$D$7,SUM($H$23:H263),IF(MOD(YEAR(F263),4)=0,IF(AND(EOMONTH(F263,0)=F263,OR(MONTH(F263)=3,MONTH(F263)=6)),SUM(OFFSET(H263,-90,0):H263),IF(AND(EOMONTH(F263,0)=F263,OR(MONTH(F263)=9,MONTH(F263)=12)),SUM(OFFSET(H263,-91,0):H263))),IF(AND(EOMONTH(F263,0)=F263,MONTH(F263)=3),SUM(OFFSET(H263,-89,0):H263),IF(AND(EOMONTH(F263,0)=F263,MONTH(F263)=6),SUM(OFFSET(H263,-90,0):H263),IF(AND(EOMONTH(F263,0)=F263,OR(MONTH(F263)=9,MONTH(F263)=12)),SUM(OFFSET(H263,-91,0):H263)))))),IF(F263='депозитный калькулятор'!$D$8,SUM($H$23:H263)-SUM($I$23:I262),0))),IF('депозитный калькулятор'!$G$10="ежегодное",IF(F263&gt;'депозитный калькулятор'!$D$8," ",IF(F263='депозитный калькулятор'!$D$8,SUM($H$23:H263)-SUM($I$23:I262),IF(AND(EOMONTH(F263,0)=F263,MONTH(F263)=12),IF(MOD(YEAR(F262),4)=0,IF(F263-'депозитный калькулятор'!$D$7&lt;366,SUM($H$23:H263),SUM(OFFSET(H263,-365,0):H263)),IF(F263-'депозитный калькулятор'!$D$7&lt;365,SUM($H$23:H263),SUM(OFFSET(H263,-364,0):H263))),0))),IF(AND('депозитный калькулятор'!$G$10="в конце срока",'депозитный калькулятор'!$D$8=F263),SUM($H$23:H263),0))))))))))))))))))</f>
        <v xml:space="preserve"> </v>
      </c>
      <c r="J263" s="59" t="str">
        <f>IF(F263&gt;'депозитный калькулятор'!$D$8," ",IF('депозитный калькулятор'!$G$16="нет",0,IF(AND('депозитный калькулятор'!$G$17="разовая (в конце срока)",F263='депозитный калькулятор'!$D$8),'депозитный калькулятор'!$G$18,IF(AND('депозитный калькулятор'!$G$17="ежемесячная",EOMONTH(F262,0)=F262),'депозитный калькулятор'!$G$18,IF(AND('депозитный калькулятор'!$G$17="ежегодная",DAY(F262)=31,MONTH(F262)=12),'депозитный калькулятор'!$G$18,IF(AND('депозитный калькулятор'!$G$17="ежемесячная в зависимости от остатка",EOMONTH(F262,0)=F262,P262&gt;0),'депозитный калькулятор'!$G$18,IF(AND('депозитный калькулятор'!$G$17="ежегодная в зависимости от остатка",DAY(F262)=31,MONTH(F262)=12,P262&gt;0),'депозитный калькулятор'!$G$18,0)))))))</f>
        <v xml:space="preserve"> </v>
      </c>
      <c r="K263" s="135" t="str">
        <f>IF($F263=" "," ",IFERROR(VLOOKUP($F263,'депозитный калькулятор'!$B$26:$F$70,2,0),0))</f>
        <v xml:space="preserve"> </v>
      </c>
      <c r="L263" s="135" t="str">
        <f>IF($F263=" "," ",IFERROR(VLOOKUP($F263,'депозитный калькулятор'!$B$26:$F$70,3,0),0))</f>
        <v xml:space="preserve"> </v>
      </c>
      <c r="M263" s="135" t="str">
        <f>IF($F263=" "," ",IFERROR(VLOOKUP($F263,'депозитный калькулятор'!$B$26:$F$70,4,0),0))</f>
        <v xml:space="preserve"> </v>
      </c>
      <c r="N263" s="135" t="str">
        <f>IF($F263=" "," ",IFERROR(VLOOKUP($F263,'депозитный калькулятор'!$B$26:$F$70,5,0),0))</f>
        <v xml:space="preserve"> </v>
      </c>
      <c r="O263" s="146" t="str">
        <f>IF(F263&gt;'депозитный калькулятор'!$D$8," ",IF(F263='депозитный калькулятор'!$D$8,IF(AND($F$24='депозитный калькулятор'!$D$8,'депозитный калькулятор'!$G$13="нет"),-G263-IF(I263=" ",0,I263)-IF(AND(OR('депозитный калькулятор'!$G$7="30/365",'депозитный калькулятор'!$G$7="30/360"),'депозитный калькулятор'!$G$10="в начале срока"),I262,0)-L263+M263-N263,-G263-IF(I263=" ",0,I263)-L263+M263-N263),IF('депозитный калькулятор'!$G$13="есть",M263-N263+IF('депозитный калькулятор'!$G$14="есть",0,-L263),-IF(I263=" ",0,I263)-IF(AND(OR('депозитный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срока"),I262,0)+M263-N263+IF('депозитный калькулятор'!$G$14="есть",0,-L263))))</f>
        <v xml:space="preserve"> </v>
      </c>
      <c r="P263" s="147" t="str">
        <f>IF(F263&gt;'депозитный калькулятор'!$D$8," ",IF(EOMONTH(F262,0)=F262,0,IF(G263&gt;='депозитный калькулятор'!$G$19,P262,P262+1)))</f>
        <v xml:space="preserve"> </v>
      </c>
      <c r="Q263" s="138" t="str">
        <f>IF(F263=" "," ",IF(AND(OR('депозитный калькулятор'!$G$7="30/365",'депозитный калькулятор'!$G$7="30/360"),AND(MONTH(F263)=2,EOMONTH(F263,0)=F263)),IF(DAY(F263)=28,3,2),1)*IF(G263&gt;='депозитный калькулятор'!$G$11,IF(AND('депозитный калькулятор'!$G$7="факт/факт",MOD(YEAR(F263),4)=0),G263*'депозитный калькулятор'!$D$11/366,G263*'депозитный калькулятор'!$G$8),0))</f>
        <v xml:space="preserve"> </v>
      </c>
      <c r="R263" s="148"/>
      <c r="S263" s="62" t="str">
        <f t="shared" ca="1" si="17"/>
        <v xml:space="preserve"> </v>
      </c>
      <c r="T263" s="149" t="str">
        <f ca="1">IF(S263=" "," ",IF('депозитный калькулятор'!$G$7="30/360",DAYS360(U262,IF(DAY(U263)=31,U263-1,U263))+IF(AND(MONTH(U263)=2,U263=EOMONTH(U263,0)),30-DAY(EOMONTH(U263,0)))+T262,VLOOKUP(S263,$C$22:$F$1023,2,0)))</f>
        <v xml:space="preserve"> </v>
      </c>
      <c r="U263" s="64" t="str">
        <f t="shared" ca="1" si="15"/>
        <v xml:space="preserve"> </v>
      </c>
      <c r="V263" s="150" t="str">
        <f t="shared" ca="1" si="18"/>
        <v xml:space="preserve"> </v>
      </c>
      <c r="W263" s="62" t="str">
        <f t="shared" ca="1" si="19"/>
        <v xml:space="preserve"> </v>
      </c>
      <c r="X263" s="141" t="str">
        <f ca="1">IF(S263=" "," ",IFERROR(VLOOKUP(U263,$F$23:$N$1023,7)+VLOOKUP(U263,$F$23:$N$1023,9)+IF(AND('депозитный калькулятор'!$G$13="нет",U263&lt;&gt;'депозитный калькулятор'!$D$8),VLOOKUP(U263,$F$23:$N$1023,4),0),0)+IF(U263='депозитный калькулятор'!$D$8,VLOOKUP(U263,$F$23:$N$1023,2)+VLOOKUP(U263,$F$23:$N$1023,4),0))</f>
        <v xml:space="preserve"> </v>
      </c>
      <c r="Y263" s="142" t="str">
        <f ca="1">IF(S263=" "," ",W263/(1+'депозитный калькулятор'!$K$8)^(T263/IF('депозитный калькулятор'!$G$7="30/360",360,365)))</f>
        <v xml:space="preserve"> </v>
      </c>
      <c r="Z263" s="142" t="str">
        <f ca="1">IF(S263=" "," ",X263/(1+'депозитный калькулятор'!$K$8)^(T263/IF('депозитный калькулятор'!$G$7="30/360",360,365)))</f>
        <v xml:space="preserve"> </v>
      </c>
      <c r="AA263" s="151"/>
      <c r="AB263" s="151"/>
      <c r="AC263" s="155"/>
      <c r="AD263" s="155"/>
    </row>
    <row r="264" spans="1:30" s="2" customFormat="1" ht="15.5" x14ac:dyDescent="0.35">
      <c r="A264" s="41" t="str">
        <f>IF(F264=" "," ",IF(OR('депозитный калькулятор'!$G$7="30/365",'депозитный калькулятор'!$G$7="30/360"),IF(AND(MONTH(F264)=2,DAY(F264)=DAY(EOMONTH(F264,0))),30-DAY(EOMONTH(F264,0)),IF(DAY(F264)=31,1," "))," "))</f>
        <v xml:space="preserve"> </v>
      </c>
      <c r="B264" s="130" t="str">
        <f t="shared" si="16"/>
        <v xml:space="preserve"> </v>
      </c>
      <c r="C264" s="130" t="str">
        <f>IF(OR(B264=0,B264=" ")," ",SUM($B$23:B264))</f>
        <v xml:space="preserve"> </v>
      </c>
      <c r="D264" s="62" t="str">
        <f>IF(D263=" "," ",IF(OR(F263='депозитный калькулятор'!$D$8,F263=" ")," ",D263+1))</f>
        <v xml:space="preserve"> </v>
      </c>
      <c r="E264" s="130" t="str">
        <f>IF(OR(F263='депозитный калькулятор'!$D$8,F263=" ")," ",IF(EOMONTH(F263,0)=F263,1,E263+1))</f>
        <v xml:space="preserve"> </v>
      </c>
      <c r="F264" s="64" t="str">
        <f>IF(F263=" "," ",IF(F263='депозитный калькулятор'!$D$8," ",F263+1))</f>
        <v xml:space="preserve"> </v>
      </c>
      <c r="G264" s="145" t="str">
        <f xml:space="preserve"> IF(F264&gt;'депозитный калькулятор'!$D$8," ",IF('депозитный калькулятор'!$G$13="есть",IF('депозитный калькулятор'!$G$14="есть",G263+IF(I263=" ",0,I263)-J264-K264+L264+M264-N264,G263+IF(I263=" ",0,I263)-J264-K264+M264-N264),IF('депозитный калькулятор'!$G$14="есть",G263-J264-K264+L264+M264-N264,G263-J264-K264+M264-N264)))</f>
        <v xml:space="preserve"> </v>
      </c>
      <c r="H264" s="133" t="str">
        <f>IF(F264&gt;'депозитный калькулятор'!$D$8," ",IF(AND(OR('депозитный калькулятор'!$G$7="30/365",'депозитный калькулятор'!$G$7="30/360"),AND(MONTH(F264)=2,EOMONTH(F264,0)=F264)),IF(DAY(F264)=28,3*G264*'депозитный калькулятор'!$G$8,2*G264*'депозитный калькулятор'!$G$8),IF(AND(OR('депозитный калькулятор'!$G$7="30/365",'депозитный калькулятор'!$G$7="30/360"),DAY(F264)=31)," ",IF(AND('депозитный калькулятор'!$G$7="факт/факт",MOD(YEAR(F264),4)=0),G264*'депозитный калькулятор'!$D$11/366,G264*'депозитный калькулятор'!$G$8))))</f>
        <v xml:space="preserve"> </v>
      </c>
      <c r="I264" s="134" t="str">
        <f ca="1">IF(F264=" "," ",IF('депозитный калькулятор'!$G$10="ежедневное",H264,IF(AND('депозитный калькулятор'!$G$10="еженедельное",WEEKDAY(F264,2)=7),SUM(OFFSET(H264,-6,0):H264),IF(AND('депозитный калькулятор'!$G$10="еженедельное",F264='депозитный калькулятор'!$D$8),SUM($H$23:H264)-SUM($I$23:I263),IF(AND('депозитный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недели",WEEKDAY(F264,2)=7),MIN(OFFSET(H264,-6,0):H264)*(COUNTIF(OFFSET(H264,-6,0):H264,"&gt;0")+SUMIF(OFFSET(A264,-WEEKDAY(F264,2),0):A264,"=2",OFFSET(A264,-WEEKDAY(F264,2),0):A264)),IF(AND('депозитный калькулятор'!$G$10="еженедельное, на минимальную сумму зафиксированную в течение недели",F264='депозитный калькулятор'!$D$8,WEEKDAY(F264,2)&lt;&gt;7),MIN(OFFSET(H264,-WEEKDAY(F264,2),0):H264)*(COUNTIF(OFFSET(H264,-WEEKDAY(F264,2)+1,0):H264,"&gt;0")+SUM(OFFSET(A264,-WEEKDAY(F264,2),0):A264)),IF(AND('депозитный калькулятор'!$G$10="ежемесячное (в конце месяца)",F264='депозитный калькулятор'!$D$8,EOMONTH(F264,0)&lt;&gt;F264),IF('депозитный калькулятор'!$F$1=1,$H$24,SUM($H$23:H264)-SUM($I$23:I263)),IF(AND('депозитный калькулятор'!$G$10="ежемесячное (в конце месяца)",EOMONTH(F264,0)=F264),SUM($H$23:H264)-SUM($I$23:I263),IF(AND('депозитный калькулятор'!$G$10="ежемесячное (по дням открытия вклада)",F264='депозитный калькулятор'!$D$8,DAY('депозитный калькулятор'!$D$7)&lt;&gt;DAY(F264)),IF('депозитный калькулятор'!$F$1=1,$H$24,SUM($H$23:H264)-SUM($I$23:I263)),IF(AND('депозитный калькулятор'!$G$10="ежемесячное (по дням открытия вклада)",DAY('депозитный калькулятор'!$D$7)=DAY(F264)),SUM($H$23:H264)-SUM($I$23:I263),IF(AND('депозитный калькулятор'!$G$10="ежемесячное, на минимальную сумму зафиксированную в течение месяца",F264='депозитный калькулятор'!$D$8,EOMONTH(F264,0)&lt;&gt;F264),IF('депозитный калькулятор'!$F$1=1,$H$24,IF(AND(OR('депозитный калькулятор'!$G$7="30/365",'депозитный калькулятор'!$G$7="30/360"),DAY(F264)=31),0,MIN(OFFSET(H264,-E264+1,0):H264)*(E264+SUMIF(OFFSET(A264,-E264+1,0):A264,"=2",OFFSET(A264,-E264+1,0):A264)))),IF(AND('депозитный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калькулятор'!$G$7="30/360"),DAY(EOMONTH(F264,0))=31),EOMONTH(F264,0)-1=F264,EOMONTH(F264,0)=F264)),IF(IF(AND(OR('депозитный калькулятор'!$G$7="30/365",'депозитный калькулятор'!$G$7="30/360"),DAY(EOMONTH($F$23,0))=31),F264=EOMONTH($F$23,0)-1,F264=EOMONTH($F$23,0)),MIN(OFFSET(H264,-(DAY(F264)-DAY($F$23)),0):H264)*E264,MIN(OFFSET(H264,-(DAY(F264)-1),0):H264)*IF(AND(OR('депозитный калькулятор'!$G$7="30/365",'депозитный калькулятор'!$G$7="30/360"),DAY(F264)&lt;30),30,DAY(F264))),IF(AND('депозитный калькулятор'!$G$10="ежемесячное, на средний остаток в течение месяца, при условии что остаток больше чем ограничение",F264='депозитный калькулятор'!$D$8,EOMONTH(F264,0)&lt;&gt;F264),IF('депозитный калькулятор'!$F$1=1,$H$24,SUM(OFFSET(Q264,-E264+1,0):Q264)),IF(AND('депозитный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калькулятор'!$G$7="30/360"),DAY(EOMONTH(F264,0))=31),EOMONTH(F264,0)-1=F264,EOMONTH(F264,0)=F264)),IF(IF(AND(OR('депозитный калькулятор'!$G$7="30/365",'депозитный калькулятор'!$G$7="30/360"),DAY(EOMONTH($F$24,0))=31),F264=EOMONTH($F$24,0)-1,F264=EOMONTH($F$24,0)),SUM(OFFSET(Q264,-E264+1,0):Q264),SUM(OFFSET(Q264,-E264+1,0):Q264)),IF('депозитный калькулятор'!$G$10="ежеквартальное",IF(F264&gt;'депозитный калькулятор'!$D$8," ",IF(AND(EOMONTH(F264,0)=F264,OR(MONTH(F264)=3,MONTH(F264)=6,MONTH(F264)=9,MONTH(F264)=12)),IF(EDATE(F264,-3)&lt;'депозитный калькулятор'!$D$7,SUM($H$23:H264),IF(MOD(YEAR(F264),4)=0,IF(AND(EOMONTH(F264,0)=F264,OR(MONTH(F264)=3,MONTH(F264)=6)),SUM(OFFSET(H264,-90,0):H264),IF(AND(EOMONTH(F264,0)=F264,OR(MONTH(F264)=9,MONTH(F264)=12)),SUM(OFFSET(H264,-91,0):H264))),IF(AND(EOMONTH(F264,0)=F264,MONTH(F264)=3),SUM(OFFSET(H264,-89,0):H264),IF(AND(EOMONTH(F264,0)=F264,MONTH(F264)=6),SUM(OFFSET(H264,-90,0):H264),IF(AND(EOMONTH(F264,0)=F264,OR(MONTH(F264)=9,MONTH(F264)=12)),SUM(OFFSET(H264,-91,0):H264)))))),IF(F264='депозитный калькулятор'!$D$8,SUM($H$23:H264)-SUM($I$23:I263),0))),IF('депозитный калькулятор'!$G$10="ежегодное",IF(F264&gt;'депозитный калькулятор'!$D$8," ",IF(F264='депозитный калькулятор'!$D$8,SUM($H$23:H264)-SUM($I$23:I263),IF(AND(EOMONTH(F264,0)=F264,MONTH(F264)=12),IF(MOD(YEAR(F263),4)=0,IF(F264-'депозитный калькулятор'!$D$7&lt;366,SUM($H$23:H264),SUM(OFFSET(H264,-365,0):H264)),IF(F264-'депозитный калькулятор'!$D$7&lt;365,SUM($H$23:H264),SUM(OFFSET(H264,-364,0):H264))),0))),IF(AND('депозитный калькулятор'!$G$10="в конце срока",'депозитный калькулятор'!$D$8=F264),SUM($H$23:H264),0))))))))))))))))))</f>
        <v xml:space="preserve"> </v>
      </c>
      <c r="J264" s="59" t="str">
        <f>IF(F264&gt;'депозитный калькулятор'!$D$8," ",IF('депозитный калькулятор'!$G$16="нет",0,IF(AND('депозитный калькулятор'!$G$17="разовая (в конце срока)",F264='депозитный калькулятор'!$D$8),'депозитный калькулятор'!$G$18,IF(AND('депозитный калькулятор'!$G$17="ежемесячная",EOMONTH(F263,0)=F263),'депозитный калькулятор'!$G$18,IF(AND('депозитный калькулятор'!$G$17="ежегодная",DAY(F263)=31,MONTH(F263)=12),'депозитный калькулятор'!$G$18,IF(AND('депозитный калькулятор'!$G$17="ежемесячная в зависимости от остатка",EOMONTH(F263,0)=F263,P263&gt;0),'депозитный калькулятор'!$G$18,IF(AND('депозитный калькулятор'!$G$17="ежегодная в зависимости от остатка",DAY(F263)=31,MONTH(F263)=12,P263&gt;0),'депозитный калькулятор'!$G$18,0)))))))</f>
        <v xml:space="preserve"> </v>
      </c>
      <c r="K264" s="135" t="str">
        <f>IF($F264=" "," ",IFERROR(VLOOKUP($F264,'депозитный калькулятор'!$B$26:$F$70,2,0),0))</f>
        <v xml:space="preserve"> </v>
      </c>
      <c r="L264" s="135" t="str">
        <f>IF($F264=" "," ",IFERROR(VLOOKUP($F264,'депозитный калькулятор'!$B$26:$F$70,3,0),0))</f>
        <v xml:space="preserve"> </v>
      </c>
      <c r="M264" s="135" t="str">
        <f>IF($F264=" "," ",IFERROR(VLOOKUP($F264,'депозитный калькулятор'!$B$26:$F$70,4,0),0))</f>
        <v xml:space="preserve"> </v>
      </c>
      <c r="N264" s="135" t="str">
        <f>IF($F264=" "," ",IFERROR(VLOOKUP($F264,'депозитный калькулятор'!$B$26:$F$70,5,0),0))</f>
        <v xml:space="preserve"> </v>
      </c>
      <c r="O264" s="146" t="str">
        <f>IF(F264&gt;'депозитный калькулятор'!$D$8," ",IF(F264='депозитный калькулятор'!$D$8,IF(AND($F$24='депозитный калькулятор'!$D$8,'депозитный калькулятор'!$G$13="нет"),-G264-IF(I264=" ",0,I264)-IF(AND(OR('депозитный калькулятор'!$G$7="30/365",'депозитный калькулятор'!$G$7="30/360"),'депозитный калькулятор'!$G$10="в начале срока"),I263,0)-L264+M264-N264,-G264-IF(I264=" ",0,I264)-L264+M264-N264),IF('депозитный калькулятор'!$G$13="есть",M264-N264+IF('депозитный калькулятор'!$G$14="есть",0,-L264),-IF(I264=" ",0,I264)-IF(AND(OR('депозитный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срока"),I263,0)+M264-N264+IF('депозитный калькулятор'!$G$14="есть",0,-L264))))</f>
        <v xml:space="preserve"> </v>
      </c>
      <c r="P264" s="147" t="str">
        <f>IF(F264&gt;'депозитный калькулятор'!$D$8," ",IF(EOMONTH(F263,0)=F263,0,IF(G264&gt;='депозитный калькулятор'!$G$19,P263,P263+1)))</f>
        <v xml:space="preserve"> </v>
      </c>
      <c r="Q264" s="138" t="str">
        <f>IF(F264=" "," ",IF(AND(OR('депозитный калькулятор'!$G$7="30/365",'депозитный калькулятор'!$G$7="30/360"),AND(MONTH(F264)=2,EOMONTH(F264,0)=F264)),IF(DAY(F264)=28,3,2),1)*IF(G264&gt;='депозитный калькулятор'!$G$11,IF(AND('депозитный калькулятор'!$G$7="факт/факт",MOD(YEAR(F264),4)=0),G264*'депозитный калькулятор'!$D$11/366,G264*'депозитный калькулятор'!$G$8),0))</f>
        <v xml:space="preserve"> </v>
      </c>
      <c r="R264" s="148"/>
      <c r="S264" s="62" t="str">
        <f t="shared" ca="1" si="17"/>
        <v xml:space="preserve"> </v>
      </c>
      <c r="T264" s="149" t="str">
        <f ca="1">IF(S264=" "," ",IF('депозитный калькулятор'!$G$7="30/360",DAYS360(U263,IF(DAY(U264)=31,U264-1,U264))+IF(AND(MONTH(U264)=2,U264=EOMONTH(U264,0)),30-DAY(EOMONTH(U264,0)))+T263,VLOOKUP(S264,$C$22:$F$1023,2,0)))</f>
        <v xml:space="preserve"> </v>
      </c>
      <c r="U264" s="64" t="str">
        <f t="shared" ca="1" si="15"/>
        <v xml:space="preserve"> </v>
      </c>
      <c r="V264" s="150" t="str">
        <f t="shared" ca="1" si="18"/>
        <v xml:space="preserve"> </v>
      </c>
      <c r="W264" s="62" t="str">
        <f t="shared" ca="1" si="19"/>
        <v xml:space="preserve"> </v>
      </c>
      <c r="X264" s="141" t="str">
        <f ca="1">IF(S264=" "," ",IFERROR(VLOOKUP(U264,$F$23:$N$1023,7)+VLOOKUP(U264,$F$23:$N$1023,9)+IF(AND('депозитный калькулятор'!$G$13="нет",U264&lt;&gt;'депозитный калькулятор'!$D$8),VLOOKUP(U264,$F$23:$N$1023,4),0),0)+IF(U264='депозитный калькулятор'!$D$8,VLOOKUP(U264,$F$23:$N$1023,2)+VLOOKUP(U264,$F$23:$N$1023,4),0))</f>
        <v xml:space="preserve"> </v>
      </c>
      <c r="Y264" s="142" t="str">
        <f ca="1">IF(S264=" "," ",W264/(1+'депозитный калькулятор'!$K$8)^(T264/IF('депозитный калькулятор'!$G$7="30/360",360,365)))</f>
        <v xml:space="preserve"> </v>
      </c>
      <c r="Z264" s="142" t="str">
        <f ca="1">IF(S264=" "," ",X264/(1+'депозитный калькулятор'!$K$8)^(T264/IF('депозитный калькулятор'!$G$7="30/360",360,365)))</f>
        <v xml:space="preserve"> </v>
      </c>
      <c r="AA264" s="151"/>
      <c r="AB264" s="151"/>
      <c r="AC264" s="155"/>
      <c r="AD264" s="155"/>
    </row>
    <row r="265" spans="1:30" s="2" customFormat="1" ht="15.5" x14ac:dyDescent="0.35">
      <c r="A265" s="41" t="str">
        <f>IF(F265=" "," ",IF(OR('депозитный калькулятор'!$G$7="30/365",'депозитный калькулятор'!$G$7="30/360"),IF(AND(MONTH(F265)=2,DAY(F265)=DAY(EOMONTH(F265,0))),30-DAY(EOMONTH(F265,0)),IF(DAY(F265)=31,1," "))," "))</f>
        <v xml:space="preserve"> </v>
      </c>
      <c r="B265" s="130" t="str">
        <f t="shared" si="16"/>
        <v xml:space="preserve"> </v>
      </c>
      <c r="C265" s="130" t="str">
        <f>IF(OR(B265=0,B265=" ")," ",SUM($B$23:B265))</f>
        <v xml:space="preserve"> </v>
      </c>
      <c r="D265" s="62" t="str">
        <f>IF(D264=" "," ",IF(OR(F264='депозитный калькулятор'!$D$8,F264=" ")," ",D264+1))</f>
        <v xml:space="preserve"> </v>
      </c>
      <c r="E265" s="130" t="str">
        <f>IF(OR(F264='депозитный калькулятор'!$D$8,F264=" ")," ",IF(EOMONTH(F264,0)=F264,1,E264+1))</f>
        <v xml:space="preserve"> </v>
      </c>
      <c r="F265" s="64" t="str">
        <f>IF(F264=" "," ",IF(F264='депозитный калькулятор'!$D$8," ",F264+1))</f>
        <v xml:space="preserve"> </v>
      </c>
      <c r="G265" s="145" t="str">
        <f xml:space="preserve"> IF(F265&gt;'депозитный калькулятор'!$D$8," ",IF('депозитный калькулятор'!$G$13="есть",IF('депозитный калькулятор'!$G$14="есть",G264+IF(I264=" ",0,I264)-J265-K265+L265+M265-N265,G264+IF(I264=" ",0,I264)-J265-K265+M265-N265),IF('депозитный калькулятор'!$G$14="есть",G264-J265-K265+L265+M265-N265,G264-J265-K265+M265-N265)))</f>
        <v xml:space="preserve"> </v>
      </c>
      <c r="H265" s="133" t="str">
        <f>IF(F265&gt;'депозитный калькулятор'!$D$8," ",IF(AND(OR('депозитный калькулятор'!$G$7="30/365",'депозитный калькулятор'!$G$7="30/360"),AND(MONTH(F265)=2,EOMONTH(F265,0)=F265)),IF(DAY(F265)=28,3*G265*'депозитный калькулятор'!$G$8,2*G265*'депозитный калькулятор'!$G$8),IF(AND(OR('депозитный калькулятор'!$G$7="30/365",'депозитный калькулятор'!$G$7="30/360"),DAY(F265)=31)," ",IF(AND('депозитный калькулятор'!$G$7="факт/факт",MOD(YEAR(F265),4)=0),G265*'депозитный калькулятор'!$D$11/366,G265*'депозитный калькулятор'!$G$8))))</f>
        <v xml:space="preserve"> </v>
      </c>
      <c r="I265" s="134" t="str">
        <f ca="1">IF(F265=" "," ",IF('депозитный калькулятор'!$G$10="ежедневное",H265,IF(AND('депозитный калькулятор'!$G$10="еженедельное",WEEKDAY(F265,2)=7),SUM(OFFSET(H265,-6,0):H265),IF(AND('депозитный калькулятор'!$G$10="еженедельное",F265='депозитный калькулятор'!$D$8),SUM($H$23:H265)-SUM($I$23:I264),IF(AND('депозитный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недели",WEEKDAY(F265,2)=7),MIN(OFFSET(H265,-6,0):H265)*(COUNTIF(OFFSET(H265,-6,0):H265,"&gt;0")+SUMIF(OFFSET(A265,-WEEKDAY(F265,2),0):A265,"=2",OFFSET(A265,-WEEKDAY(F265,2),0):A265)),IF(AND('депозитный калькулятор'!$G$10="еженедельное, на минимальную сумму зафиксированную в течение недели",F265='депозитный калькулятор'!$D$8,WEEKDAY(F265,2)&lt;&gt;7),MIN(OFFSET(H265,-WEEKDAY(F265,2),0):H265)*(COUNTIF(OFFSET(H265,-WEEKDAY(F265,2)+1,0):H265,"&gt;0")+SUM(OFFSET(A265,-WEEKDAY(F265,2),0):A265)),IF(AND('депозитный калькулятор'!$G$10="ежемесячное (в конце месяца)",F265='депозитный калькулятор'!$D$8,EOMONTH(F265,0)&lt;&gt;F265),IF('депозитный калькулятор'!$F$1=1,$H$24,SUM($H$23:H265)-SUM($I$23:I264)),IF(AND('депозитный калькулятор'!$G$10="ежемесячное (в конце месяца)",EOMONTH(F265,0)=F265),SUM($H$23:H265)-SUM($I$23:I264),IF(AND('депозитный калькулятор'!$G$10="ежемесячное (по дням открытия вклада)",F265='депозитный калькулятор'!$D$8,DAY('депозитный калькулятор'!$D$7)&lt;&gt;DAY(F265)),IF('депозитный калькулятор'!$F$1=1,$H$24,SUM($H$23:H265)-SUM($I$23:I264)),IF(AND('депозитный калькулятор'!$G$10="ежемесячное (по дням открытия вклада)",DAY('депозитный калькулятор'!$D$7)=DAY(F265)),SUM($H$23:H265)-SUM($I$23:I264),IF(AND('депозитный калькулятор'!$G$10="ежемесячное, на минимальную сумму зафиксированную в течение месяца",F265='депозитный калькулятор'!$D$8,EOMONTH(F265,0)&lt;&gt;F265),IF('депозитный калькулятор'!$F$1=1,$H$24,IF(AND(OR('депозитный калькулятор'!$G$7="30/365",'депозитный калькулятор'!$G$7="30/360"),DAY(F265)=31),0,MIN(OFFSET(H265,-E265+1,0):H265)*(E265+SUMIF(OFFSET(A265,-E265+1,0):A265,"=2",OFFSET(A265,-E265+1,0):A265)))),IF(AND('депозитный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калькулятор'!$G$7="30/360"),DAY(EOMONTH(F265,0))=31),EOMONTH(F265,0)-1=F265,EOMONTH(F265,0)=F265)),IF(IF(AND(OR('депозитный калькулятор'!$G$7="30/365",'депозитный калькулятор'!$G$7="30/360"),DAY(EOMONTH($F$23,0))=31),F265=EOMONTH($F$23,0)-1,F265=EOMONTH($F$23,0)),MIN(OFFSET(H265,-(DAY(F265)-DAY($F$23)),0):H265)*E265,MIN(OFFSET(H265,-(DAY(F265)-1),0):H265)*IF(AND(OR('депозитный калькулятор'!$G$7="30/365",'депозитный калькулятор'!$G$7="30/360"),DAY(F265)&lt;30),30,DAY(F265))),IF(AND('депозитный калькулятор'!$G$10="ежемесячное, на средний остаток в течение месяца, при условии что остаток больше чем ограничение",F265='депозитный калькулятор'!$D$8,EOMONTH(F265,0)&lt;&gt;F265),IF('депозитный калькулятор'!$F$1=1,$H$24,SUM(OFFSET(Q265,-E265+1,0):Q265)),IF(AND('депозитный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калькулятор'!$G$7="30/360"),DAY(EOMONTH(F265,0))=31),EOMONTH(F265,0)-1=F265,EOMONTH(F265,0)=F265)),IF(IF(AND(OR('депозитный калькулятор'!$G$7="30/365",'депозитный калькулятор'!$G$7="30/360"),DAY(EOMONTH($F$24,0))=31),F265=EOMONTH($F$24,0)-1,F265=EOMONTH($F$24,0)),SUM(OFFSET(Q265,-E265+1,0):Q265),SUM(OFFSET(Q265,-E265+1,0):Q265)),IF('депозитный калькулятор'!$G$10="ежеквартальное",IF(F265&gt;'депозитный калькулятор'!$D$8," ",IF(AND(EOMONTH(F265,0)=F265,OR(MONTH(F265)=3,MONTH(F265)=6,MONTH(F265)=9,MONTH(F265)=12)),IF(EDATE(F265,-3)&lt;'депозитный калькулятор'!$D$7,SUM($H$23:H265),IF(MOD(YEAR(F265),4)=0,IF(AND(EOMONTH(F265,0)=F265,OR(MONTH(F265)=3,MONTH(F265)=6)),SUM(OFFSET(H265,-90,0):H265),IF(AND(EOMONTH(F265,0)=F265,OR(MONTH(F265)=9,MONTH(F265)=12)),SUM(OFFSET(H265,-91,0):H265))),IF(AND(EOMONTH(F265,0)=F265,MONTH(F265)=3),SUM(OFFSET(H265,-89,0):H265),IF(AND(EOMONTH(F265,0)=F265,MONTH(F265)=6),SUM(OFFSET(H265,-90,0):H265),IF(AND(EOMONTH(F265,0)=F265,OR(MONTH(F265)=9,MONTH(F265)=12)),SUM(OFFSET(H265,-91,0):H265)))))),IF(F265='депозитный калькулятор'!$D$8,SUM($H$23:H265)-SUM($I$23:I264),0))),IF('депозитный калькулятор'!$G$10="ежегодное",IF(F265&gt;'депозитный калькулятор'!$D$8," ",IF(F265='депозитный калькулятор'!$D$8,SUM($H$23:H265)-SUM($I$23:I264),IF(AND(EOMONTH(F265,0)=F265,MONTH(F265)=12),IF(MOD(YEAR(F264),4)=0,IF(F265-'депозитный калькулятор'!$D$7&lt;366,SUM($H$23:H265),SUM(OFFSET(H265,-365,0):H265)),IF(F265-'депозитный калькулятор'!$D$7&lt;365,SUM($H$23:H265),SUM(OFFSET(H265,-364,0):H265))),0))),IF(AND('депозитный калькулятор'!$G$10="в конце срока",'депозитный калькулятор'!$D$8=F265),SUM($H$23:H265),0))))))))))))))))))</f>
        <v xml:space="preserve"> </v>
      </c>
      <c r="J265" s="59" t="str">
        <f>IF(F265&gt;'депозитный калькулятор'!$D$8," ",IF('депозитный калькулятор'!$G$16="нет",0,IF(AND('депозитный калькулятор'!$G$17="разовая (в конце срока)",F265='депозитный калькулятор'!$D$8),'депозитный калькулятор'!$G$18,IF(AND('депозитный калькулятор'!$G$17="ежемесячная",EOMONTH(F264,0)=F264),'депозитный калькулятор'!$G$18,IF(AND('депозитный калькулятор'!$G$17="ежегодная",DAY(F264)=31,MONTH(F264)=12),'депозитный калькулятор'!$G$18,IF(AND('депозитный калькулятор'!$G$17="ежемесячная в зависимости от остатка",EOMONTH(F264,0)=F264,P264&gt;0),'депозитный калькулятор'!$G$18,IF(AND('депозитный калькулятор'!$G$17="ежегодная в зависимости от остатка",DAY(F264)=31,MONTH(F264)=12,P264&gt;0),'депозитный калькулятор'!$G$18,0)))))))</f>
        <v xml:space="preserve"> </v>
      </c>
      <c r="K265" s="135" t="str">
        <f>IF($F265=" "," ",IFERROR(VLOOKUP($F265,'депозитный калькулятор'!$B$26:$F$70,2,0),0))</f>
        <v xml:space="preserve"> </v>
      </c>
      <c r="L265" s="135" t="str">
        <f>IF($F265=" "," ",IFERROR(VLOOKUP($F265,'депозитный калькулятор'!$B$26:$F$70,3,0),0))</f>
        <v xml:space="preserve"> </v>
      </c>
      <c r="M265" s="135" t="str">
        <f>IF($F265=" "," ",IFERROR(VLOOKUP($F265,'депозитный калькулятор'!$B$26:$F$70,4,0),0))</f>
        <v xml:space="preserve"> </v>
      </c>
      <c r="N265" s="135" t="str">
        <f>IF($F265=" "," ",IFERROR(VLOOKUP($F265,'депозитный калькулятор'!$B$26:$F$70,5,0),0))</f>
        <v xml:space="preserve"> </v>
      </c>
      <c r="O265" s="146" t="str">
        <f>IF(F265&gt;'депозитный калькулятор'!$D$8," ",IF(F265='депозитный калькулятор'!$D$8,IF(AND($F$24='депозитный калькулятор'!$D$8,'депозитный калькулятор'!$G$13="нет"),-G265-IF(I265=" ",0,I265)-IF(AND(OR('депозитный калькулятор'!$G$7="30/365",'депозитный калькулятор'!$G$7="30/360"),'депозитный калькулятор'!$G$10="в начале срока"),I264,0)-L265+M265-N265,-G265-IF(I265=" ",0,I265)-L265+M265-N265),IF('депозитный калькулятор'!$G$13="есть",M265-N265+IF('депозитный калькулятор'!$G$14="есть",0,-L265),-IF(I265=" ",0,I265)-IF(AND(OR('депозитный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срока"),I264,0)+M265-N265+IF('депозитный калькулятор'!$G$14="есть",0,-L265))))</f>
        <v xml:space="preserve"> </v>
      </c>
      <c r="P265" s="147" t="str">
        <f>IF(F265&gt;'депозитный калькулятор'!$D$8," ",IF(EOMONTH(F264,0)=F264,0,IF(G265&gt;='депозитный калькулятор'!$G$19,P264,P264+1)))</f>
        <v xml:space="preserve"> </v>
      </c>
      <c r="Q265" s="138" t="str">
        <f>IF(F265=" "," ",IF(AND(OR('депозитный калькулятор'!$G$7="30/365",'депозитный калькулятор'!$G$7="30/360"),AND(MONTH(F265)=2,EOMONTH(F265,0)=F265)),IF(DAY(F265)=28,3,2),1)*IF(G265&gt;='депозитный калькулятор'!$G$11,IF(AND('депозитный калькулятор'!$G$7="факт/факт",MOD(YEAR(F265),4)=0),G265*'депозитный калькулятор'!$D$11/366,G265*'депозитный калькулятор'!$G$8),0))</f>
        <v xml:space="preserve"> </v>
      </c>
      <c r="R265" s="148"/>
      <c r="S265" s="62" t="str">
        <f t="shared" ca="1" si="17"/>
        <v xml:space="preserve"> </v>
      </c>
      <c r="T265" s="149" t="str">
        <f ca="1">IF(S265=" "," ",IF('депозитный калькулятор'!$G$7="30/360",DAYS360(U264,IF(DAY(U265)=31,U265-1,U265))+IF(AND(MONTH(U265)=2,U265=EOMONTH(U265,0)),30-DAY(EOMONTH(U265,0)))+T264,VLOOKUP(S265,$C$22:$F$1023,2,0)))</f>
        <v xml:space="preserve"> </v>
      </c>
      <c r="U265" s="64" t="str">
        <f t="shared" ca="1" si="15"/>
        <v xml:space="preserve"> </v>
      </c>
      <c r="V265" s="150" t="str">
        <f t="shared" ca="1" si="18"/>
        <v xml:space="preserve"> </v>
      </c>
      <c r="W265" s="62" t="str">
        <f t="shared" ca="1" si="19"/>
        <v xml:space="preserve"> </v>
      </c>
      <c r="X265" s="141" t="str">
        <f ca="1">IF(S265=" "," ",IFERROR(VLOOKUP(U265,$F$23:$N$1023,7)+VLOOKUP(U265,$F$23:$N$1023,9)+IF(AND('депозитный калькулятор'!$G$13="нет",U265&lt;&gt;'депозитный калькулятор'!$D$8),VLOOKUP(U265,$F$23:$N$1023,4),0),0)+IF(U265='депозитный калькулятор'!$D$8,VLOOKUP(U265,$F$23:$N$1023,2)+VLOOKUP(U265,$F$23:$N$1023,4),0))</f>
        <v xml:space="preserve"> </v>
      </c>
      <c r="Y265" s="142" t="str">
        <f ca="1">IF(S265=" "," ",W265/(1+'депозитный калькулятор'!$K$8)^(T265/IF('депозитный калькулятор'!$G$7="30/360",360,365)))</f>
        <v xml:space="preserve"> </v>
      </c>
      <c r="Z265" s="142" t="str">
        <f ca="1">IF(S265=" "," ",X265/(1+'депозитный калькулятор'!$K$8)^(T265/IF('депозитный калькулятор'!$G$7="30/360",360,365)))</f>
        <v xml:space="preserve"> </v>
      </c>
      <c r="AA265" s="151"/>
      <c r="AB265" s="151"/>
      <c r="AC265" s="155"/>
      <c r="AD265" s="155"/>
    </row>
    <row r="266" spans="1:30" s="2" customFormat="1" ht="15.5" x14ac:dyDescent="0.35">
      <c r="A266" s="41" t="str">
        <f>IF(F266=" "," ",IF(OR('депозитный калькулятор'!$G$7="30/365",'депозитный калькулятор'!$G$7="30/360"),IF(AND(MONTH(F266)=2,DAY(F266)=DAY(EOMONTH(F266,0))),30-DAY(EOMONTH(F266,0)),IF(DAY(F266)=31,1," "))," "))</f>
        <v xml:space="preserve"> </v>
      </c>
      <c r="B266" s="130" t="str">
        <f t="shared" si="16"/>
        <v xml:space="preserve"> </v>
      </c>
      <c r="C266" s="130" t="str">
        <f>IF(OR(B266=0,B266=" ")," ",SUM($B$23:B266))</f>
        <v xml:space="preserve"> </v>
      </c>
      <c r="D266" s="62" t="str">
        <f>IF(D265=" "," ",IF(OR(F265='депозитный калькулятор'!$D$8,F265=" ")," ",D265+1))</f>
        <v xml:space="preserve"> </v>
      </c>
      <c r="E266" s="130" t="str">
        <f>IF(OR(F265='депозитный калькулятор'!$D$8,F265=" ")," ",IF(EOMONTH(F265,0)=F265,1,E265+1))</f>
        <v xml:space="preserve"> </v>
      </c>
      <c r="F266" s="64" t="str">
        <f>IF(F265=" "," ",IF(F265='депозитный калькулятор'!$D$8," ",F265+1))</f>
        <v xml:space="preserve"> </v>
      </c>
      <c r="G266" s="145" t="str">
        <f xml:space="preserve"> IF(F266&gt;'депозитный калькулятор'!$D$8," ",IF('депозитный калькулятор'!$G$13="есть",IF('депозитный калькулятор'!$G$14="есть",G265+IF(I265=" ",0,I265)-J266-K266+L266+M266-N266,G265+IF(I265=" ",0,I265)-J266-K266+M266-N266),IF('депозитный калькулятор'!$G$14="есть",G265-J266-K266+L266+M266-N266,G265-J266-K266+M266-N266)))</f>
        <v xml:space="preserve"> </v>
      </c>
      <c r="H266" s="133" t="str">
        <f>IF(F266&gt;'депозитный калькулятор'!$D$8," ",IF(AND(OR('депозитный калькулятор'!$G$7="30/365",'депозитный калькулятор'!$G$7="30/360"),AND(MONTH(F266)=2,EOMONTH(F266,0)=F266)),IF(DAY(F266)=28,3*G266*'депозитный калькулятор'!$G$8,2*G266*'депозитный калькулятор'!$G$8),IF(AND(OR('депозитный калькулятор'!$G$7="30/365",'депозитный калькулятор'!$G$7="30/360"),DAY(F266)=31)," ",IF(AND('депозитный калькулятор'!$G$7="факт/факт",MOD(YEAR(F266),4)=0),G266*'депозитный калькулятор'!$D$11/366,G266*'депозитный калькулятор'!$G$8))))</f>
        <v xml:space="preserve"> </v>
      </c>
      <c r="I266" s="134" t="str">
        <f ca="1">IF(F266=" "," ",IF('депозитный калькулятор'!$G$10="ежедневное",H266,IF(AND('депозитный калькулятор'!$G$10="еженедельное",WEEKDAY(F266,2)=7),SUM(OFFSET(H266,-6,0):H266),IF(AND('депозитный калькулятор'!$G$10="еженедельное",F266='депозитный калькулятор'!$D$8),SUM($H$23:H266)-SUM($I$23:I265),IF(AND('депозитный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недели",WEEKDAY(F266,2)=7),MIN(OFFSET(H266,-6,0):H266)*(COUNTIF(OFFSET(H266,-6,0):H266,"&gt;0")+SUMIF(OFFSET(A266,-WEEKDAY(F266,2),0):A266,"=2",OFFSET(A266,-WEEKDAY(F266,2),0):A266)),IF(AND('депозитный калькулятор'!$G$10="еженедельное, на минимальную сумму зафиксированную в течение недели",F266='депозитный калькулятор'!$D$8,WEEKDAY(F266,2)&lt;&gt;7),MIN(OFFSET(H266,-WEEKDAY(F266,2),0):H266)*(COUNTIF(OFFSET(H266,-WEEKDAY(F266,2)+1,0):H266,"&gt;0")+SUM(OFFSET(A266,-WEEKDAY(F266,2),0):A266)),IF(AND('депозитный калькулятор'!$G$10="ежемесячное (в конце месяца)",F266='депозитный калькулятор'!$D$8,EOMONTH(F266,0)&lt;&gt;F266),IF('депозитный калькулятор'!$F$1=1,$H$24,SUM($H$23:H266)-SUM($I$23:I265)),IF(AND('депозитный калькулятор'!$G$10="ежемесячное (в конце месяца)",EOMONTH(F266,0)=F266),SUM($H$23:H266)-SUM($I$23:I265),IF(AND('депозитный калькулятор'!$G$10="ежемесячное (по дням открытия вклада)",F266='депозитный калькулятор'!$D$8,DAY('депозитный калькулятор'!$D$7)&lt;&gt;DAY(F266)),IF('депозитный калькулятор'!$F$1=1,$H$24,SUM($H$23:H266)-SUM($I$23:I265)),IF(AND('депозитный калькулятор'!$G$10="ежемесячное (по дням открытия вклада)",DAY('депозитный калькулятор'!$D$7)=DAY(F266)),SUM($H$23:H266)-SUM($I$23:I265),IF(AND('депозитный калькулятор'!$G$10="ежемесячное, на минимальную сумму зафиксированную в течение месяца",F266='депозитный калькулятор'!$D$8,EOMONTH(F266,0)&lt;&gt;F266),IF('депозитный калькулятор'!$F$1=1,$H$24,IF(AND(OR('депозитный калькулятор'!$G$7="30/365",'депозитный калькулятор'!$G$7="30/360"),DAY(F266)=31),0,MIN(OFFSET(H266,-E266+1,0):H266)*(E266+SUMIF(OFFSET(A266,-E266+1,0):A266,"=2",OFFSET(A266,-E266+1,0):A266)))),IF(AND('депозитный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калькулятор'!$G$7="30/360"),DAY(EOMONTH(F266,0))=31),EOMONTH(F266,0)-1=F266,EOMONTH(F266,0)=F266)),IF(IF(AND(OR('депозитный калькулятор'!$G$7="30/365",'депозитный калькулятор'!$G$7="30/360"),DAY(EOMONTH($F$23,0))=31),F266=EOMONTH($F$23,0)-1,F266=EOMONTH($F$23,0)),MIN(OFFSET(H266,-(DAY(F266)-DAY($F$23)),0):H266)*E266,MIN(OFFSET(H266,-(DAY(F266)-1),0):H266)*IF(AND(OR('депозитный калькулятор'!$G$7="30/365",'депозитный калькулятор'!$G$7="30/360"),DAY(F266)&lt;30),30,DAY(F266))),IF(AND('депозитный калькулятор'!$G$10="ежемесячное, на средний остаток в течение месяца, при условии что остаток больше чем ограничение",F266='депозитный калькулятор'!$D$8,EOMONTH(F266,0)&lt;&gt;F266),IF('депозитный калькулятор'!$F$1=1,$H$24,SUM(OFFSET(Q266,-E266+1,0):Q266)),IF(AND('депозитный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калькулятор'!$G$7="30/360"),DAY(EOMONTH(F266,0))=31),EOMONTH(F266,0)-1=F266,EOMONTH(F266,0)=F266)),IF(IF(AND(OR('депозитный калькулятор'!$G$7="30/365",'депозитный калькулятор'!$G$7="30/360"),DAY(EOMONTH($F$24,0))=31),F266=EOMONTH($F$24,0)-1,F266=EOMONTH($F$24,0)),SUM(OFFSET(Q266,-E266+1,0):Q266),SUM(OFFSET(Q266,-E266+1,0):Q266)),IF('депозитный калькулятор'!$G$10="ежеквартальное",IF(F266&gt;'депозитный калькулятор'!$D$8," ",IF(AND(EOMONTH(F266,0)=F266,OR(MONTH(F266)=3,MONTH(F266)=6,MONTH(F266)=9,MONTH(F266)=12)),IF(EDATE(F266,-3)&lt;'депозитный калькулятор'!$D$7,SUM($H$23:H266),IF(MOD(YEAR(F266),4)=0,IF(AND(EOMONTH(F266,0)=F266,OR(MONTH(F266)=3,MONTH(F266)=6)),SUM(OFFSET(H266,-90,0):H266),IF(AND(EOMONTH(F266,0)=F266,OR(MONTH(F266)=9,MONTH(F266)=12)),SUM(OFFSET(H266,-91,0):H266))),IF(AND(EOMONTH(F266,0)=F266,MONTH(F266)=3),SUM(OFFSET(H266,-89,0):H266),IF(AND(EOMONTH(F266,0)=F266,MONTH(F266)=6),SUM(OFFSET(H266,-90,0):H266),IF(AND(EOMONTH(F266,0)=F266,OR(MONTH(F266)=9,MONTH(F266)=12)),SUM(OFFSET(H266,-91,0):H266)))))),IF(F266='депозитный калькулятор'!$D$8,SUM($H$23:H266)-SUM($I$23:I265),0))),IF('депозитный калькулятор'!$G$10="ежегодное",IF(F266&gt;'депозитный калькулятор'!$D$8," ",IF(F266='депозитный калькулятор'!$D$8,SUM($H$23:H266)-SUM($I$23:I265),IF(AND(EOMONTH(F266,0)=F266,MONTH(F266)=12),IF(MOD(YEAR(F265),4)=0,IF(F266-'депозитный калькулятор'!$D$7&lt;366,SUM($H$23:H266),SUM(OFFSET(H266,-365,0):H266)),IF(F266-'депозитный калькулятор'!$D$7&lt;365,SUM($H$23:H266),SUM(OFFSET(H266,-364,0):H266))),0))),IF(AND('депозитный калькулятор'!$G$10="в конце срока",'депозитный калькулятор'!$D$8=F266),SUM($H$23:H266),0))))))))))))))))))</f>
        <v xml:space="preserve"> </v>
      </c>
      <c r="J266" s="59" t="str">
        <f>IF(F266&gt;'депозитный калькулятор'!$D$8," ",IF('депозитный калькулятор'!$G$16="нет",0,IF(AND('депозитный калькулятор'!$G$17="разовая (в конце срока)",F266='депозитный калькулятор'!$D$8),'депозитный калькулятор'!$G$18,IF(AND('депозитный калькулятор'!$G$17="ежемесячная",EOMONTH(F265,0)=F265),'депозитный калькулятор'!$G$18,IF(AND('депозитный калькулятор'!$G$17="ежегодная",DAY(F265)=31,MONTH(F265)=12),'депозитный калькулятор'!$G$18,IF(AND('депозитный калькулятор'!$G$17="ежемесячная в зависимости от остатка",EOMONTH(F265,0)=F265,P265&gt;0),'депозитный калькулятор'!$G$18,IF(AND('депозитный калькулятор'!$G$17="ежегодная в зависимости от остатка",DAY(F265)=31,MONTH(F265)=12,P265&gt;0),'депозитный калькулятор'!$G$18,0)))))))</f>
        <v xml:space="preserve"> </v>
      </c>
      <c r="K266" s="135" t="str">
        <f>IF($F266=" "," ",IFERROR(VLOOKUP($F266,'депозитный калькулятор'!$B$26:$F$70,2,0),0))</f>
        <v xml:space="preserve"> </v>
      </c>
      <c r="L266" s="135" t="str">
        <f>IF($F266=" "," ",IFERROR(VLOOKUP($F266,'депозитный калькулятор'!$B$26:$F$70,3,0),0))</f>
        <v xml:space="preserve"> </v>
      </c>
      <c r="M266" s="135" t="str">
        <f>IF($F266=" "," ",IFERROR(VLOOKUP($F266,'депозитный калькулятор'!$B$26:$F$70,4,0),0))</f>
        <v xml:space="preserve"> </v>
      </c>
      <c r="N266" s="135" t="str">
        <f>IF($F266=" "," ",IFERROR(VLOOKUP($F266,'депозитный калькулятор'!$B$26:$F$70,5,0),0))</f>
        <v xml:space="preserve"> </v>
      </c>
      <c r="O266" s="146" t="str">
        <f>IF(F266&gt;'депозитный калькулятор'!$D$8," ",IF(F266='депозитный калькулятор'!$D$8,IF(AND($F$24='депозитный калькулятор'!$D$8,'депозитный калькулятор'!$G$13="нет"),-G266-IF(I266=" ",0,I266)-IF(AND(OR('депозитный калькулятор'!$G$7="30/365",'депозитный калькулятор'!$G$7="30/360"),'депозитный калькулятор'!$G$10="в начале срока"),I265,0)-L266+M266-N266,-G266-IF(I266=" ",0,I266)-L266+M266-N266),IF('депозитный калькулятор'!$G$13="есть",M266-N266+IF('депозитный калькулятор'!$G$14="есть",0,-L266),-IF(I266=" ",0,I266)-IF(AND(OR('депозитный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срока"),I265,0)+M266-N266+IF('депозитный калькулятор'!$G$14="есть",0,-L266))))</f>
        <v xml:space="preserve"> </v>
      </c>
      <c r="P266" s="147" t="str">
        <f>IF(F266&gt;'депозитный калькулятор'!$D$8," ",IF(EOMONTH(F265,0)=F265,0,IF(G266&gt;='депозитный калькулятор'!$G$19,P265,P265+1)))</f>
        <v xml:space="preserve"> </v>
      </c>
      <c r="Q266" s="138" t="str">
        <f>IF(F266=" "," ",IF(AND(OR('депозитный калькулятор'!$G$7="30/365",'депозитный калькулятор'!$G$7="30/360"),AND(MONTH(F266)=2,EOMONTH(F266,0)=F266)),IF(DAY(F266)=28,3,2),1)*IF(G266&gt;='депозитный калькулятор'!$G$11,IF(AND('депозитный калькулятор'!$G$7="факт/факт",MOD(YEAR(F266),4)=0),G266*'депозитный калькулятор'!$D$11/366,G266*'депозитный калькулятор'!$G$8),0))</f>
        <v xml:space="preserve"> </v>
      </c>
      <c r="R266" s="148"/>
      <c r="S266" s="62" t="str">
        <f t="shared" ca="1" si="17"/>
        <v xml:space="preserve"> </v>
      </c>
      <c r="T266" s="149" t="str">
        <f ca="1">IF(S266=" "," ",IF('депозитный калькулятор'!$G$7="30/360",DAYS360(U265,IF(DAY(U266)=31,U266-1,U266))+IF(AND(MONTH(U266)=2,U266=EOMONTH(U266,0)),30-DAY(EOMONTH(U266,0)))+T265,VLOOKUP(S266,$C$22:$F$1023,2,0)))</f>
        <v xml:space="preserve"> </v>
      </c>
      <c r="U266" s="64" t="str">
        <f t="shared" ca="1" si="15"/>
        <v xml:space="preserve"> </v>
      </c>
      <c r="V266" s="150" t="str">
        <f t="shared" ca="1" si="18"/>
        <v xml:space="preserve"> </v>
      </c>
      <c r="W266" s="62" t="str">
        <f t="shared" ca="1" si="19"/>
        <v xml:space="preserve"> </v>
      </c>
      <c r="X266" s="141" t="str">
        <f ca="1">IF(S266=" "," ",IFERROR(VLOOKUP(U266,$F$23:$N$1023,7)+VLOOKUP(U266,$F$23:$N$1023,9)+IF(AND('депозитный калькулятор'!$G$13="нет",U266&lt;&gt;'депозитный калькулятор'!$D$8),VLOOKUP(U266,$F$23:$N$1023,4),0),0)+IF(U266='депозитный калькулятор'!$D$8,VLOOKUP(U266,$F$23:$N$1023,2)+VLOOKUP(U266,$F$23:$N$1023,4),0))</f>
        <v xml:space="preserve"> </v>
      </c>
      <c r="Y266" s="142" t="str">
        <f ca="1">IF(S266=" "," ",W266/(1+'депозитный калькулятор'!$K$8)^(T266/IF('депозитный калькулятор'!$G$7="30/360",360,365)))</f>
        <v xml:space="preserve"> </v>
      </c>
      <c r="Z266" s="142" t="str">
        <f ca="1">IF(S266=" "," ",X266/(1+'депозитный калькулятор'!$K$8)^(T266/IF('депозитный калькулятор'!$G$7="30/360",360,365)))</f>
        <v xml:space="preserve"> </v>
      </c>
      <c r="AA266" s="151"/>
      <c r="AB266" s="151"/>
      <c r="AC266" s="155"/>
      <c r="AD266" s="155"/>
    </row>
    <row r="267" spans="1:30" s="2" customFormat="1" ht="15.5" x14ac:dyDescent="0.35">
      <c r="A267" s="41" t="str">
        <f>IF(F267=" "," ",IF(OR('депозитный калькулятор'!$G$7="30/365",'депозитный калькулятор'!$G$7="30/360"),IF(AND(MONTH(F267)=2,DAY(F267)=DAY(EOMONTH(F267,0))),30-DAY(EOMONTH(F267,0)),IF(DAY(F267)=31,1," "))," "))</f>
        <v xml:space="preserve"> </v>
      </c>
      <c r="B267" s="130" t="str">
        <f t="shared" si="16"/>
        <v xml:space="preserve"> </v>
      </c>
      <c r="C267" s="130" t="str">
        <f>IF(OR(B267=0,B267=" ")," ",SUM($B$23:B267))</f>
        <v xml:space="preserve"> </v>
      </c>
      <c r="D267" s="62" t="str">
        <f>IF(D266=" "," ",IF(OR(F266='депозитный калькулятор'!$D$8,F266=" ")," ",D266+1))</f>
        <v xml:space="preserve"> </v>
      </c>
      <c r="E267" s="130" t="str">
        <f>IF(OR(F266='депозитный калькулятор'!$D$8,F266=" ")," ",IF(EOMONTH(F266,0)=F266,1,E266+1))</f>
        <v xml:space="preserve"> </v>
      </c>
      <c r="F267" s="64" t="str">
        <f>IF(F266=" "," ",IF(F266='депозитный калькулятор'!$D$8," ",F266+1))</f>
        <v xml:space="preserve"> </v>
      </c>
      <c r="G267" s="145" t="str">
        <f xml:space="preserve"> IF(F267&gt;'депозитный калькулятор'!$D$8," ",IF('депозитный калькулятор'!$G$13="есть",IF('депозитный калькулятор'!$G$14="есть",G266+IF(I266=" ",0,I266)-J267-K267+L267+M267-N267,G266+IF(I266=" ",0,I266)-J267-K267+M267-N267),IF('депозитный калькулятор'!$G$14="есть",G266-J267-K267+L267+M267-N267,G266-J267-K267+M267-N267)))</f>
        <v xml:space="preserve"> </v>
      </c>
      <c r="H267" s="133" t="str">
        <f>IF(F267&gt;'депозитный калькулятор'!$D$8," ",IF(AND(OR('депозитный калькулятор'!$G$7="30/365",'депозитный калькулятор'!$G$7="30/360"),AND(MONTH(F267)=2,EOMONTH(F267,0)=F267)),IF(DAY(F267)=28,3*G267*'депозитный калькулятор'!$G$8,2*G267*'депозитный калькулятор'!$G$8),IF(AND(OR('депозитный калькулятор'!$G$7="30/365",'депозитный калькулятор'!$G$7="30/360"),DAY(F267)=31)," ",IF(AND('депозитный калькулятор'!$G$7="факт/факт",MOD(YEAR(F267),4)=0),G267*'депозитный калькулятор'!$D$11/366,G267*'депозитный калькулятор'!$G$8))))</f>
        <v xml:space="preserve"> </v>
      </c>
      <c r="I267" s="134" t="str">
        <f ca="1">IF(F267=" "," ",IF('депозитный калькулятор'!$G$10="ежедневное",H267,IF(AND('депозитный калькулятор'!$G$10="еженедельное",WEEKDAY(F267,2)=7),SUM(OFFSET(H267,-6,0):H267),IF(AND('депозитный калькулятор'!$G$10="еженедельное",F267='депозитный калькулятор'!$D$8),SUM($H$23:H267)-SUM($I$23:I266),IF(AND('депозитный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недели",WEEKDAY(F267,2)=7),MIN(OFFSET(H267,-6,0):H267)*(COUNTIF(OFFSET(H267,-6,0):H267,"&gt;0")+SUMIF(OFFSET(A267,-WEEKDAY(F267,2),0):A267,"=2",OFFSET(A267,-WEEKDAY(F267,2),0):A267)),IF(AND('депозитный калькулятор'!$G$10="еженедельное, на минимальную сумму зафиксированную в течение недели",F267='депозитный калькулятор'!$D$8,WEEKDAY(F267,2)&lt;&gt;7),MIN(OFFSET(H267,-WEEKDAY(F267,2),0):H267)*(COUNTIF(OFFSET(H267,-WEEKDAY(F267,2)+1,0):H267,"&gt;0")+SUM(OFFSET(A267,-WEEKDAY(F267,2),0):A267)),IF(AND('депозитный калькулятор'!$G$10="ежемесячное (в конце месяца)",F267='депозитный калькулятор'!$D$8,EOMONTH(F267,0)&lt;&gt;F267),IF('депозитный калькулятор'!$F$1=1,$H$24,SUM($H$23:H267)-SUM($I$23:I266)),IF(AND('депозитный калькулятор'!$G$10="ежемесячное (в конце месяца)",EOMONTH(F267,0)=F267),SUM($H$23:H267)-SUM($I$23:I266),IF(AND('депозитный калькулятор'!$G$10="ежемесячное (по дням открытия вклада)",F267='депозитный калькулятор'!$D$8,DAY('депозитный калькулятор'!$D$7)&lt;&gt;DAY(F267)),IF('депозитный калькулятор'!$F$1=1,$H$24,SUM($H$23:H267)-SUM($I$23:I266)),IF(AND('депозитный калькулятор'!$G$10="ежемесячное (по дням открытия вклада)",DAY('депозитный калькулятор'!$D$7)=DAY(F267)),SUM($H$23:H267)-SUM($I$23:I266),IF(AND('депозитный калькулятор'!$G$10="ежемесячное, на минимальную сумму зафиксированную в течение месяца",F267='депозитный калькулятор'!$D$8,EOMONTH(F267,0)&lt;&gt;F267),IF('депозитный калькулятор'!$F$1=1,$H$24,IF(AND(OR('депозитный калькулятор'!$G$7="30/365",'депозитный калькулятор'!$G$7="30/360"),DAY(F267)=31),0,MIN(OFFSET(H267,-E267+1,0):H267)*(E267+SUMIF(OFFSET(A267,-E267+1,0):A267,"=2",OFFSET(A267,-E267+1,0):A267)))),IF(AND('депозитный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калькулятор'!$G$7="30/360"),DAY(EOMONTH(F267,0))=31),EOMONTH(F267,0)-1=F267,EOMONTH(F267,0)=F267)),IF(IF(AND(OR('депозитный калькулятор'!$G$7="30/365",'депозитный калькулятор'!$G$7="30/360"),DAY(EOMONTH($F$23,0))=31),F267=EOMONTH($F$23,0)-1,F267=EOMONTH($F$23,0)),MIN(OFFSET(H267,-(DAY(F267)-DAY($F$23)),0):H267)*E267,MIN(OFFSET(H267,-(DAY(F267)-1),0):H267)*IF(AND(OR('депозитный калькулятор'!$G$7="30/365",'депозитный калькулятор'!$G$7="30/360"),DAY(F267)&lt;30),30,DAY(F267))),IF(AND('депозитный калькулятор'!$G$10="ежемесячное, на средний остаток в течение месяца, при условии что остаток больше чем ограничение",F267='депозитный калькулятор'!$D$8,EOMONTH(F267,0)&lt;&gt;F267),IF('депозитный калькулятор'!$F$1=1,$H$24,SUM(OFFSET(Q267,-E267+1,0):Q267)),IF(AND('депозитный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калькулятор'!$G$7="30/360"),DAY(EOMONTH(F267,0))=31),EOMONTH(F267,0)-1=F267,EOMONTH(F267,0)=F267)),IF(IF(AND(OR('депозитный калькулятор'!$G$7="30/365",'депозитный калькулятор'!$G$7="30/360"),DAY(EOMONTH($F$24,0))=31),F267=EOMONTH($F$24,0)-1,F267=EOMONTH($F$24,0)),SUM(OFFSET(Q267,-E267+1,0):Q267),SUM(OFFSET(Q267,-E267+1,0):Q267)),IF('депозитный калькулятор'!$G$10="ежеквартальное",IF(F267&gt;'депозитный калькулятор'!$D$8," ",IF(AND(EOMONTH(F267,0)=F267,OR(MONTH(F267)=3,MONTH(F267)=6,MONTH(F267)=9,MONTH(F267)=12)),IF(EDATE(F267,-3)&lt;'депозитный калькулятор'!$D$7,SUM($H$23:H267),IF(MOD(YEAR(F267),4)=0,IF(AND(EOMONTH(F267,0)=F267,OR(MONTH(F267)=3,MONTH(F267)=6)),SUM(OFFSET(H267,-90,0):H267),IF(AND(EOMONTH(F267,0)=F267,OR(MONTH(F267)=9,MONTH(F267)=12)),SUM(OFFSET(H267,-91,0):H267))),IF(AND(EOMONTH(F267,0)=F267,MONTH(F267)=3),SUM(OFFSET(H267,-89,0):H267),IF(AND(EOMONTH(F267,0)=F267,MONTH(F267)=6),SUM(OFFSET(H267,-90,0):H267),IF(AND(EOMONTH(F267,0)=F267,OR(MONTH(F267)=9,MONTH(F267)=12)),SUM(OFFSET(H267,-91,0):H267)))))),IF(F267='депозитный калькулятор'!$D$8,SUM($H$23:H267)-SUM($I$23:I266),0))),IF('депозитный калькулятор'!$G$10="ежегодное",IF(F267&gt;'депозитный калькулятор'!$D$8," ",IF(F267='депозитный калькулятор'!$D$8,SUM($H$23:H267)-SUM($I$23:I266),IF(AND(EOMONTH(F267,0)=F267,MONTH(F267)=12),IF(MOD(YEAR(F266),4)=0,IF(F267-'депозитный калькулятор'!$D$7&lt;366,SUM($H$23:H267),SUM(OFFSET(H267,-365,0):H267)),IF(F267-'депозитный калькулятор'!$D$7&lt;365,SUM($H$23:H267),SUM(OFFSET(H267,-364,0):H267))),0))),IF(AND('депозитный калькулятор'!$G$10="в конце срока",'депозитный калькулятор'!$D$8=F267),SUM($H$23:H267),0))))))))))))))))))</f>
        <v xml:space="preserve"> </v>
      </c>
      <c r="J267" s="59" t="str">
        <f>IF(F267&gt;'депозитный калькулятор'!$D$8," ",IF('депозитный калькулятор'!$G$16="нет",0,IF(AND('депозитный калькулятор'!$G$17="разовая (в конце срока)",F267='депозитный калькулятор'!$D$8),'депозитный калькулятор'!$G$18,IF(AND('депозитный калькулятор'!$G$17="ежемесячная",EOMONTH(F266,0)=F266),'депозитный калькулятор'!$G$18,IF(AND('депозитный калькулятор'!$G$17="ежегодная",DAY(F266)=31,MONTH(F266)=12),'депозитный калькулятор'!$G$18,IF(AND('депозитный калькулятор'!$G$17="ежемесячная в зависимости от остатка",EOMONTH(F266,0)=F266,P266&gt;0),'депозитный калькулятор'!$G$18,IF(AND('депозитный калькулятор'!$G$17="ежегодная в зависимости от остатка",DAY(F266)=31,MONTH(F266)=12,P266&gt;0),'депозитный калькулятор'!$G$18,0)))))))</f>
        <v xml:space="preserve"> </v>
      </c>
      <c r="K267" s="135" t="str">
        <f>IF($F267=" "," ",IFERROR(VLOOKUP($F267,'депозитный калькулятор'!$B$26:$F$70,2,0),0))</f>
        <v xml:space="preserve"> </v>
      </c>
      <c r="L267" s="135" t="str">
        <f>IF($F267=" "," ",IFERROR(VLOOKUP($F267,'депозитный калькулятор'!$B$26:$F$70,3,0),0))</f>
        <v xml:space="preserve"> </v>
      </c>
      <c r="M267" s="135" t="str">
        <f>IF($F267=" "," ",IFERROR(VLOOKUP($F267,'депозитный калькулятор'!$B$26:$F$70,4,0),0))</f>
        <v xml:space="preserve"> </v>
      </c>
      <c r="N267" s="135" t="str">
        <f>IF($F267=" "," ",IFERROR(VLOOKUP($F267,'депозитный калькулятор'!$B$26:$F$70,5,0),0))</f>
        <v xml:space="preserve"> </v>
      </c>
      <c r="O267" s="146" t="str">
        <f>IF(F267&gt;'депозитный калькулятор'!$D$8," ",IF(F267='депозитный калькулятор'!$D$8,IF(AND($F$24='депозитный калькулятор'!$D$8,'депозитный калькулятор'!$G$13="нет"),-G267-IF(I267=" ",0,I267)-IF(AND(OR('депозитный калькулятор'!$G$7="30/365",'депозитный калькулятор'!$G$7="30/360"),'депозитный калькулятор'!$G$10="в начале срока"),I266,0)-L267+M267-N267,-G267-IF(I267=" ",0,I267)-L267+M267-N267),IF('депозитный калькулятор'!$G$13="есть",M267-N267+IF('депозитный калькулятор'!$G$14="есть",0,-L267),-IF(I267=" ",0,I267)-IF(AND(OR('депозитный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срока"),I266,0)+M267-N267+IF('депозитный калькулятор'!$G$14="есть",0,-L267))))</f>
        <v xml:space="preserve"> </v>
      </c>
      <c r="P267" s="147" t="str">
        <f>IF(F267&gt;'депозитный калькулятор'!$D$8," ",IF(EOMONTH(F266,0)=F266,0,IF(G267&gt;='депозитный калькулятор'!$G$19,P266,P266+1)))</f>
        <v xml:space="preserve"> </v>
      </c>
      <c r="Q267" s="138" t="str">
        <f>IF(F267=" "," ",IF(AND(OR('депозитный калькулятор'!$G$7="30/365",'депозитный калькулятор'!$G$7="30/360"),AND(MONTH(F267)=2,EOMONTH(F267,0)=F267)),IF(DAY(F267)=28,3,2),1)*IF(G267&gt;='депозитный калькулятор'!$G$11,IF(AND('депозитный калькулятор'!$G$7="факт/факт",MOD(YEAR(F267),4)=0),G267*'депозитный калькулятор'!$D$11/366,G267*'депозитный калькулятор'!$G$8),0))</f>
        <v xml:space="preserve"> </v>
      </c>
      <c r="R267" s="148"/>
      <c r="S267" s="62" t="str">
        <f t="shared" ca="1" si="17"/>
        <v xml:space="preserve"> </v>
      </c>
      <c r="T267" s="149" t="str">
        <f ca="1">IF(S267=" "," ",IF('депозитный калькулятор'!$G$7="30/360",DAYS360(U266,IF(DAY(U267)=31,U267-1,U267))+IF(AND(MONTH(U267)=2,U267=EOMONTH(U267,0)),30-DAY(EOMONTH(U267,0)))+T266,VLOOKUP(S267,$C$22:$F$1023,2,0)))</f>
        <v xml:space="preserve"> </v>
      </c>
      <c r="U267" s="64" t="str">
        <f t="shared" ca="1" si="15"/>
        <v xml:space="preserve"> </v>
      </c>
      <c r="V267" s="150" t="str">
        <f t="shared" ca="1" si="18"/>
        <v xml:space="preserve"> </v>
      </c>
      <c r="W267" s="62" t="str">
        <f t="shared" ca="1" si="19"/>
        <v xml:space="preserve"> </v>
      </c>
      <c r="X267" s="141" t="str">
        <f ca="1">IF(S267=" "," ",IFERROR(VLOOKUP(U267,$F$23:$N$1023,7)+VLOOKUP(U267,$F$23:$N$1023,9)+IF(AND('депозитный калькулятор'!$G$13="нет",U267&lt;&gt;'депозитный калькулятор'!$D$8),VLOOKUP(U267,$F$23:$N$1023,4),0),0)+IF(U267='депозитный калькулятор'!$D$8,VLOOKUP(U267,$F$23:$N$1023,2)+VLOOKUP(U267,$F$23:$N$1023,4),0))</f>
        <v xml:space="preserve"> </v>
      </c>
      <c r="Y267" s="142" t="str">
        <f ca="1">IF(S267=" "," ",W267/(1+'депозитный калькулятор'!$K$8)^(T267/IF('депозитный калькулятор'!$G$7="30/360",360,365)))</f>
        <v xml:space="preserve"> </v>
      </c>
      <c r="Z267" s="142" t="str">
        <f ca="1">IF(S267=" "," ",X267/(1+'депозитный калькулятор'!$K$8)^(T267/IF('депозитный калькулятор'!$G$7="30/360",360,365)))</f>
        <v xml:space="preserve"> </v>
      </c>
      <c r="AA267" s="151"/>
      <c r="AB267" s="151"/>
      <c r="AC267" s="155"/>
      <c r="AD267" s="155"/>
    </row>
    <row r="268" spans="1:30" s="2" customFormat="1" ht="15.5" x14ac:dyDescent="0.35">
      <c r="A268" s="41" t="str">
        <f>IF(F268=" "," ",IF(OR('депозитный калькулятор'!$G$7="30/365",'депозитный калькулятор'!$G$7="30/360"),IF(AND(MONTH(F268)=2,DAY(F268)=DAY(EOMONTH(F268,0))),30-DAY(EOMONTH(F268,0)),IF(DAY(F268)=31,1," "))," "))</f>
        <v xml:space="preserve"> </v>
      </c>
      <c r="B268" s="130" t="str">
        <f t="shared" si="16"/>
        <v xml:space="preserve"> </v>
      </c>
      <c r="C268" s="130" t="str">
        <f>IF(OR(B268=0,B268=" ")," ",SUM($B$23:B268))</f>
        <v xml:space="preserve"> </v>
      </c>
      <c r="D268" s="62" t="str">
        <f>IF(D267=" "," ",IF(OR(F267='депозитный калькулятор'!$D$8,F267=" ")," ",D267+1))</f>
        <v xml:space="preserve"> </v>
      </c>
      <c r="E268" s="130" t="str">
        <f>IF(OR(F267='депозитный калькулятор'!$D$8,F267=" ")," ",IF(EOMONTH(F267,0)=F267,1,E267+1))</f>
        <v xml:space="preserve"> </v>
      </c>
      <c r="F268" s="64" t="str">
        <f>IF(F267=" "," ",IF(F267='депозитный калькулятор'!$D$8," ",F267+1))</f>
        <v xml:space="preserve"> </v>
      </c>
      <c r="G268" s="145" t="str">
        <f xml:space="preserve"> IF(F268&gt;'депозитный калькулятор'!$D$8," ",IF('депозитный калькулятор'!$G$13="есть",IF('депозитный калькулятор'!$G$14="есть",G267+IF(I267=" ",0,I267)-J268-K268+L268+M268-N268,G267+IF(I267=" ",0,I267)-J268-K268+M268-N268),IF('депозитный калькулятор'!$G$14="есть",G267-J268-K268+L268+M268-N268,G267-J268-K268+M268-N268)))</f>
        <v xml:space="preserve"> </v>
      </c>
      <c r="H268" s="133" t="str">
        <f>IF(F268&gt;'депозитный калькулятор'!$D$8," ",IF(AND(OR('депозитный калькулятор'!$G$7="30/365",'депозитный калькулятор'!$G$7="30/360"),AND(MONTH(F268)=2,EOMONTH(F268,0)=F268)),IF(DAY(F268)=28,3*G268*'депозитный калькулятор'!$G$8,2*G268*'депозитный калькулятор'!$G$8),IF(AND(OR('депозитный калькулятор'!$G$7="30/365",'депозитный калькулятор'!$G$7="30/360"),DAY(F268)=31)," ",IF(AND('депозитный калькулятор'!$G$7="факт/факт",MOD(YEAR(F268),4)=0),G268*'депозитный калькулятор'!$D$11/366,G268*'депозитный калькулятор'!$G$8))))</f>
        <v xml:space="preserve"> </v>
      </c>
      <c r="I268" s="134" t="str">
        <f ca="1">IF(F268=" "," ",IF('депозитный калькулятор'!$G$10="ежедневное",H268,IF(AND('депозитный калькулятор'!$G$10="еженедельное",WEEKDAY(F268,2)=7),SUM(OFFSET(H268,-6,0):H268),IF(AND('депозитный калькулятор'!$G$10="еженедельное",F268='депозитный калькулятор'!$D$8),SUM($H$23:H268)-SUM($I$23:I267),IF(AND('депозитный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недели",WEEKDAY(F268,2)=7),MIN(OFFSET(H268,-6,0):H268)*(COUNTIF(OFFSET(H268,-6,0):H268,"&gt;0")+SUMIF(OFFSET(A268,-WEEKDAY(F268,2),0):A268,"=2",OFFSET(A268,-WEEKDAY(F268,2),0):A268)),IF(AND('депозитный калькулятор'!$G$10="еженедельное, на минимальную сумму зафиксированную в течение недели",F268='депозитный калькулятор'!$D$8,WEEKDAY(F268,2)&lt;&gt;7),MIN(OFFSET(H268,-WEEKDAY(F268,2),0):H268)*(COUNTIF(OFFSET(H268,-WEEKDAY(F268,2)+1,0):H268,"&gt;0")+SUM(OFFSET(A268,-WEEKDAY(F268,2),0):A268)),IF(AND('депозитный калькулятор'!$G$10="ежемесячное (в конце месяца)",F268='депозитный калькулятор'!$D$8,EOMONTH(F268,0)&lt;&gt;F268),IF('депозитный калькулятор'!$F$1=1,$H$24,SUM($H$23:H268)-SUM($I$23:I267)),IF(AND('депозитный калькулятор'!$G$10="ежемесячное (в конце месяца)",EOMONTH(F268,0)=F268),SUM($H$23:H268)-SUM($I$23:I267),IF(AND('депозитный калькулятор'!$G$10="ежемесячное (по дням открытия вклада)",F268='депозитный калькулятор'!$D$8,DAY('депозитный калькулятор'!$D$7)&lt;&gt;DAY(F268)),IF('депозитный калькулятор'!$F$1=1,$H$24,SUM($H$23:H268)-SUM($I$23:I267)),IF(AND('депозитный калькулятор'!$G$10="ежемесячное (по дням открытия вклада)",DAY('депозитный калькулятор'!$D$7)=DAY(F268)),SUM($H$23:H268)-SUM($I$23:I267),IF(AND('депозитный калькулятор'!$G$10="ежемесячное, на минимальную сумму зафиксированную в течение месяца",F268='депозитный калькулятор'!$D$8,EOMONTH(F268,0)&lt;&gt;F268),IF('депозитный калькулятор'!$F$1=1,$H$24,IF(AND(OR('депозитный калькулятор'!$G$7="30/365",'депозитный калькулятор'!$G$7="30/360"),DAY(F268)=31),0,MIN(OFFSET(H268,-E268+1,0):H268)*(E268+SUMIF(OFFSET(A268,-E268+1,0):A268,"=2",OFFSET(A268,-E268+1,0):A268)))),IF(AND('депозитный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калькулятор'!$G$7="30/360"),DAY(EOMONTH(F268,0))=31),EOMONTH(F268,0)-1=F268,EOMONTH(F268,0)=F268)),IF(IF(AND(OR('депозитный калькулятор'!$G$7="30/365",'депозитный калькулятор'!$G$7="30/360"),DAY(EOMONTH($F$23,0))=31),F268=EOMONTH($F$23,0)-1,F268=EOMONTH($F$23,0)),MIN(OFFSET(H268,-(DAY(F268)-DAY($F$23)),0):H268)*E268,MIN(OFFSET(H268,-(DAY(F268)-1),0):H268)*IF(AND(OR('депозитный калькулятор'!$G$7="30/365",'депозитный калькулятор'!$G$7="30/360"),DAY(F268)&lt;30),30,DAY(F268))),IF(AND('депозитный калькулятор'!$G$10="ежемесячное, на средний остаток в течение месяца, при условии что остаток больше чем ограничение",F268='депозитный калькулятор'!$D$8,EOMONTH(F268,0)&lt;&gt;F268),IF('депозитный калькулятор'!$F$1=1,$H$24,SUM(OFFSET(Q268,-E268+1,0):Q268)),IF(AND('депозитный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калькулятор'!$G$7="30/360"),DAY(EOMONTH(F268,0))=31),EOMONTH(F268,0)-1=F268,EOMONTH(F268,0)=F268)),IF(IF(AND(OR('депозитный калькулятор'!$G$7="30/365",'депозитный калькулятор'!$G$7="30/360"),DAY(EOMONTH($F$24,0))=31),F268=EOMONTH($F$24,0)-1,F268=EOMONTH($F$24,0)),SUM(OFFSET(Q268,-E268+1,0):Q268),SUM(OFFSET(Q268,-E268+1,0):Q268)),IF('депозитный калькулятор'!$G$10="ежеквартальное",IF(F268&gt;'депозитный калькулятор'!$D$8," ",IF(AND(EOMONTH(F268,0)=F268,OR(MONTH(F268)=3,MONTH(F268)=6,MONTH(F268)=9,MONTH(F268)=12)),IF(EDATE(F268,-3)&lt;'депозитный калькулятор'!$D$7,SUM($H$23:H268),IF(MOD(YEAR(F268),4)=0,IF(AND(EOMONTH(F268,0)=F268,OR(MONTH(F268)=3,MONTH(F268)=6)),SUM(OFFSET(H268,-90,0):H268),IF(AND(EOMONTH(F268,0)=F268,OR(MONTH(F268)=9,MONTH(F268)=12)),SUM(OFFSET(H268,-91,0):H268))),IF(AND(EOMONTH(F268,0)=F268,MONTH(F268)=3),SUM(OFFSET(H268,-89,0):H268),IF(AND(EOMONTH(F268,0)=F268,MONTH(F268)=6),SUM(OFFSET(H268,-90,0):H268),IF(AND(EOMONTH(F268,0)=F268,OR(MONTH(F268)=9,MONTH(F268)=12)),SUM(OFFSET(H268,-91,0):H268)))))),IF(F268='депозитный калькулятор'!$D$8,SUM($H$23:H268)-SUM($I$23:I267),0))),IF('депозитный калькулятор'!$G$10="ежегодное",IF(F268&gt;'депозитный калькулятор'!$D$8," ",IF(F268='депозитный калькулятор'!$D$8,SUM($H$23:H268)-SUM($I$23:I267),IF(AND(EOMONTH(F268,0)=F268,MONTH(F268)=12),IF(MOD(YEAR(F267),4)=0,IF(F268-'депозитный калькулятор'!$D$7&lt;366,SUM($H$23:H268),SUM(OFFSET(H268,-365,0):H268)),IF(F268-'депозитный калькулятор'!$D$7&lt;365,SUM($H$23:H268),SUM(OFFSET(H268,-364,0):H268))),0))),IF(AND('депозитный калькулятор'!$G$10="в конце срока",'депозитный калькулятор'!$D$8=F268),SUM($H$23:H268),0))))))))))))))))))</f>
        <v xml:space="preserve"> </v>
      </c>
      <c r="J268" s="59" t="str">
        <f>IF(F268&gt;'депозитный калькулятор'!$D$8," ",IF('депозитный калькулятор'!$G$16="нет",0,IF(AND('депозитный калькулятор'!$G$17="разовая (в конце срока)",F268='депозитный калькулятор'!$D$8),'депозитный калькулятор'!$G$18,IF(AND('депозитный калькулятор'!$G$17="ежемесячная",EOMONTH(F267,0)=F267),'депозитный калькулятор'!$G$18,IF(AND('депозитный калькулятор'!$G$17="ежегодная",DAY(F267)=31,MONTH(F267)=12),'депозитный калькулятор'!$G$18,IF(AND('депозитный калькулятор'!$G$17="ежемесячная в зависимости от остатка",EOMONTH(F267,0)=F267,P267&gt;0),'депозитный калькулятор'!$G$18,IF(AND('депозитный калькулятор'!$G$17="ежегодная в зависимости от остатка",DAY(F267)=31,MONTH(F267)=12,P267&gt;0),'депозитный калькулятор'!$G$18,0)))))))</f>
        <v xml:space="preserve"> </v>
      </c>
      <c r="K268" s="135" t="str">
        <f>IF($F268=" "," ",IFERROR(VLOOKUP($F268,'депозитный калькулятор'!$B$26:$F$70,2,0),0))</f>
        <v xml:space="preserve"> </v>
      </c>
      <c r="L268" s="135" t="str">
        <f>IF($F268=" "," ",IFERROR(VLOOKUP($F268,'депозитный калькулятор'!$B$26:$F$70,3,0),0))</f>
        <v xml:space="preserve"> </v>
      </c>
      <c r="M268" s="135" t="str">
        <f>IF($F268=" "," ",IFERROR(VLOOKUP($F268,'депозитный калькулятор'!$B$26:$F$70,4,0),0))</f>
        <v xml:space="preserve"> </v>
      </c>
      <c r="N268" s="135" t="str">
        <f>IF($F268=" "," ",IFERROR(VLOOKUP($F268,'депозитный калькулятор'!$B$26:$F$70,5,0),0))</f>
        <v xml:space="preserve"> </v>
      </c>
      <c r="O268" s="146" t="str">
        <f>IF(F268&gt;'депозитный калькулятор'!$D$8," ",IF(F268='депозитный калькулятор'!$D$8,IF(AND($F$24='депозитный калькулятор'!$D$8,'депозитный калькулятор'!$G$13="нет"),-G268-IF(I268=" ",0,I268)-IF(AND(OR('депозитный калькулятор'!$G$7="30/365",'депозитный калькулятор'!$G$7="30/360"),'депозитный калькулятор'!$G$10="в начале срока"),I267,0)-L268+M268-N268,-G268-IF(I268=" ",0,I268)-L268+M268-N268),IF('депозитный калькулятор'!$G$13="есть",M268-N268+IF('депозитный калькулятор'!$G$14="есть",0,-L268),-IF(I268=" ",0,I268)-IF(AND(OR('депозитный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срока"),I267,0)+M268-N268+IF('депозитный калькулятор'!$G$14="есть",0,-L268))))</f>
        <v xml:space="preserve"> </v>
      </c>
      <c r="P268" s="147" t="str">
        <f>IF(F268&gt;'депозитный калькулятор'!$D$8," ",IF(EOMONTH(F267,0)=F267,0,IF(G268&gt;='депозитный калькулятор'!$G$19,P267,P267+1)))</f>
        <v xml:space="preserve"> </v>
      </c>
      <c r="Q268" s="138" t="str">
        <f>IF(F268=" "," ",IF(AND(OR('депозитный калькулятор'!$G$7="30/365",'депозитный калькулятор'!$G$7="30/360"),AND(MONTH(F268)=2,EOMONTH(F268,0)=F268)),IF(DAY(F268)=28,3,2),1)*IF(G268&gt;='депозитный калькулятор'!$G$11,IF(AND('депозитный калькулятор'!$G$7="факт/факт",MOD(YEAR(F268),4)=0),G268*'депозитный калькулятор'!$D$11/366,G268*'депозитный калькулятор'!$G$8),0))</f>
        <v xml:space="preserve"> </v>
      </c>
      <c r="R268" s="148"/>
      <c r="S268" s="62" t="str">
        <f t="shared" ca="1" si="17"/>
        <v xml:space="preserve"> </v>
      </c>
      <c r="T268" s="149" t="str">
        <f ca="1">IF(S268=" "," ",IF('депозитный калькулятор'!$G$7="30/360",DAYS360(U267,IF(DAY(U268)=31,U268-1,U268))+IF(AND(MONTH(U268)=2,U268=EOMONTH(U268,0)),30-DAY(EOMONTH(U268,0)))+T267,VLOOKUP(S268,$C$22:$F$1023,2,0)))</f>
        <v xml:space="preserve"> </v>
      </c>
      <c r="U268" s="64" t="str">
        <f t="shared" ca="1" si="15"/>
        <v xml:space="preserve"> </v>
      </c>
      <c r="V268" s="150" t="str">
        <f t="shared" ca="1" si="18"/>
        <v xml:space="preserve"> </v>
      </c>
      <c r="W268" s="62" t="str">
        <f t="shared" ca="1" si="19"/>
        <v xml:space="preserve"> </v>
      </c>
      <c r="X268" s="141" t="str">
        <f ca="1">IF(S268=" "," ",IFERROR(VLOOKUP(U268,$F$23:$N$1023,7)+VLOOKUP(U268,$F$23:$N$1023,9)+IF(AND('депозитный калькулятор'!$G$13="нет",U268&lt;&gt;'депозитный калькулятор'!$D$8),VLOOKUP(U268,$F$23:$N$1023,4),0),0)+IF(U268='депозитный калькулятор'!$D$8,VLOOKUP(U268,$F$23:$N$1023,2)+VLOOKUP(U268,$F$23:$N$1023,4),0))</f>
        <v xml:space="preserve"> </v>
      </c>
      <c r="Y268" s="142" t="str">
        <f ca="1">IF(S268=" "," ",W268/(1+'депозитный калькулятор'!$K$8)^(T268/IF('депозитный калькулятор'!$G$7="30/360",360,365)))</f>
        <v xml:space="preserve"> </v>
      </c>
      <c r="Z268" s="142" t="str">
        <f ca="1">IF(S268=" "," ",X268/(1+'депозитный калькулятор'!$K$8)^(T268/IF('депозитный калькулятор'!$G$7="30/360",360,365)))</f>
        <v xml:space="preserve"> </v>
      </c>
      <c r="AA268" s="151"/>
      <c r="AB268" s="151"/>
      <c r="AC268" s="155"/>
      <c r="AD268" s="155"/>
    </row>
    <row r="269" spans="1:30" s="2" customFormat="1" ht="15.5" x14ac:dyDescent="0.35">
      <c r="A269" s="41" t="str">
        <f>IF(F269=" "," ",IF(OR('депозитный калькулятор'!$G$7="30/365",'депозитный калькулятор'!$G$7="30/360"),IF(AND(MONTH(F269)=2,DAY(F269)=DAY(EOMONTH(F269,0))),30-DAY(EOMONTH(F269,0)),IF(DAY(F269)=31,1," "))," "))</f>
        <v xml:space="preserve"> </v>
      </c>
      <c r="B269" s="130" t="str">
        <f t="shared" si="16"/>
        <v xml:space="preserve"> </v>
      </c>
      <c r="C269" s="130" t="str">
        <f>IF(OR(B269=0,B269=" ")," ",SUM($B$23:B269))</f>
        <v xml:space="preserve"> </v>
      </c>
      <c r="D269" s="62" t="str">
        <f>IF(D268=" "," ",IF(OR(F268='депозитный калькулятор'!$D$8,F268=" ")," ",D268+1))</f>
        <v xml:space="preserve"> </v>
      </c>
      <c r="E269" s="130" t="str">
        <f>IF(OR(F268='депозитный калькулятор'!$D$8,F268=" ")," ",IF(EOMONTH(F268,0)=F268,1,E268+1))</f>
        <v xml:space="preserve"> </v>
      </c>
      <c r="F269" s="64" t="str">
        <f>IF(F268=" "," ",IF(F268='депозитный калькулятор'!$D$8," ",F268+1))</f>
        <v xml:space="preserve"> </v>
      </c>
      <c r="G269" s="145" t="str">
        <f xml:space="preserve"> IF(F269&gt;'депозитный калькулятор'!$D$8," ",IF('депозитный калькулятор'!$G$13="есть",IF('депозитный калькулятор'!$G$14="есть",G268+IF(I268=" ",0,I268)-J269-K269+L269+M269-N269,G268+IF(I268=" ",0,I268)-J269-K269+M269-N269),IF('депозитный калькулятор'!$G$14="есть",G268-J269-K269+L269+M269-N269,G268-J269-K269+M269-N269)))</f>
        <v xml:space="preserve"> </v>
      </c>
      <c r="H269" s="133" t="str">
        <f>IF(F269&gt;'депозитный калькулятор'!$D$8," ",IF(AND(OR('депозитный калькулятор'!$G$7="30/365",'депозитный калькулятор'!$G$7="30/360"),AND(MONTH(F269)=2,EOMONTH(F269,0)=F269)),IF(DAY(F269)=28,3*G269*'депозитный калькулятор'!$G$8,2*G269*'депозитный калькулятор'!$G$8),IF(AND(OR('депозитный калькулятор'!$G$7="30/365",'депозитный калькулятор'!$G$7="30/360"),DAY(F269)=31)," ",IF(AND('депозитный калькулятор'!$G$7="факт/факт",MOD(YEAR(F269),4)=0),G269*'депозитный калькулятор'!$D$11/366,G269*'депозитный калькулятор'!$G$8))))</f>
        <v xml:space="preserve"> </v>
      </c>
      <c r="I269" s="134" t="str">
        <f ca="1">IF(F269=" "," ",IF('депозитный калькулятор'!$G$10="ежедневное",H269,IF(AND('депозитный калькулятор'!$G$10="еженедельное",WEEKDAY(F269,2)=7),SUM(OFFSET(H269,-6,0):H269),IF(AND('депозитный калькулятор'!$G$10="еженедельное",F269='депозитный калькулятор'!$D$8),SUM($H$23:H269)-SUM($I$23:I268),IF(AND('депозитный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недели",WEEKDAY(F269,2)=7),MIN(OFFSET(H269,-6,0):H269)*(COUNTIF(OFFSET(H269,-6,0):H269,"&gt;0")+SUMIF(OFFSET(A269,-WEEKDAY(F269,2),0):A269,"=2",OFFSET(A269,-WEEKDAY(F269,2),0):A269)),IF(AND('депозитный калькулятор'!$G$10="еженедельное, на минимальную сумму зафиксированную в течение недели",F269='депозитный калькулятор'!$D$8,WEEKDAY(F269,2)&lt;&gt;7),MIN(OFFSET(H269,-WEEKDAY(F269,2),0):H269)*(COUNTIF(OFFSET(H269,-WEEKDAY(F269,2)+1,0):H269,"&gt;0")+SUM(OFFSET(A269,-WEEKDAY(F269,2),0):A269)),IF(AND('депозитный калькулятор'!$G$10="ежемесячное (в конце месяца)",F269='депозитный калькулятор'!$D$8,EOMONTH(F269,0)&lt;&gt;F269),IF('депозитный калькулятор'!$F$1=1,$H$24,SUM($H$23:H269)-SUM($I$23:I268)),IF(AND('депозитный калькулятор'!$G$10="ежемесячное (в конце месяца)",EOMONTH(F269,0)=F269),SUM($H$23:H269)-SUM($I$23:I268),IF(AND('депозитный калькулятор'!$G$10="ежемесячное (по дням открытия вклада)",F269='депозитный калькулятор'!$D$8,DAY('депозитный калькулятор'!$D$7)&lt;&gt;DAY(F269)),IF('депозитный калькулятор'!$F$1=1,$H$24,SUM($H$23:H269)-SUM($I$23:I268)),IF(AND('депозитный калькулятор'!$G$10="ежемесячное (по дням открытия вклада)",DAY('депозитный калькулятор'!$D$7)=DAY(F269)),SUM($H$23:H269)-SUM($I$23:I268),IF(AND('депозитный калькулятор'!$G$10="ежемесячное, на минимальную сумму зафиксированную в течение месяца",F269='депозитный калькулятор'!$D$8,EOMONTH(F269,0)&lt;&gt;F269),IF('депозитный калькулятор'!$F$1=1,$H$24,IF(AND(OR('депозитный калькулятор'!$G$7="30/365",'депозитный калькулятор'!$G$7="30/360"),DAY(F269)=31),0,MIN(OFFSET(H269,-E269+1,0):H269)*(E269+SUMIF(OFFSET(A269,-E269+1,0):A269,"=2",OFFSET(A269,-E269+1,0):A269)))),IF(AND('депозитный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калькулятор'!$G$7="30/360"),DAY(EOMONTH(F269,0))=31),EOMONTH(F269,0)-1=F269,EOMONTH(F269,0)=F269)),IF(IF(AND(OR('депозитный калькулятор'!$G$7="30/365",'депозитный калькулятор'!$G$7="30/360"),DAY(EOMONTH($F$23,0))=31),F269=EOMONTH($F$23,0)-1,F269=EOMONTH($F$23,0)),MIN(OFFSET(H269,-(DAY(F269)-DAY($F$23)),0):H269)*E269,MIN(OFFSET(H269,-(DAY(F269)-1),0):H269)*IF(AND(OR('депозитный калькулятор'!$G$7="30/365",'депозитный калькулятор'!$G$7="30/360"),DAY(F269)&lt;30),30,DAY(F269))),IF(AND('депозитный калькулятор'!$G$10="ежемесячное, на средний остаток в течение месяца, при условии что остаток больше чем ограничение",F269='депозитный калькулятор'!$D$8,EOMONTH(F269,0)&lt;&gt;F269),IF('депозитный калькулятор'!$F$1=1,$H$24,SUM(OFFSET(Q269,-E269+1,0):Q269)),IF(AND('депозитный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калькулятор'!$G$7="30/360"),DAY(EOMONTH(F269,0))=31),EOMONTH(F269,0)-1=F269,EOMONTH(F269,0)=F269)),IF(IF(AND(OR('депозитный калькулятор'!$G$7="30/365",'депозитный калькулятор'!$G$7="30/360"),DAY(EOMONTH($F$24,0))=31),F269=EOMONTH($F$24,0)-1,F269=EOMONTH($F$24,0)),SUM(OFFSET(Q269,-E269+1,0):Q269),SUM(OFFSET(Q269,-E269+1,0):Q269)),IF('депозитный калькулятор'!$G$10="ежеквартальное",IF(F269&gt;'депозитный калькулятор'!$D$8," ",IF(AND(EOMONTH(F269,0)=F269,OR(MONTH(F269)=3,MONTH(F269)=6,MONTH(F269)=9,MONTH(F269)=12)),IF(EDATE(F269,-3)&lt;'депозитный калькулятор'!$D$7,SUM($H$23:H269),IF(MOD(YEAR(F269),4)=0,IF(AND(EOMONTH(F269,0)=F269,OR(MONTH(F269)=3,MONTH(F269)=6)),SUM(OFFSET(H269,-90,0):H269),IF(AND(EOMONTH(F269,0)=F269,OR(MONTH(F269)=9,MONTH(F269)=12)),SUM(OFFSET(H269,-91,0):H269))),IF(AND(EOMONTH(F269,0)=F269,MONTH(F269)=3),SUM(OFFSET(H269,-89,0):H269),IF(AND(EOMONTH(F269,0)=F269,MONTH(F269)=6),SUM(OFFSET(H269,-90,0):H269),IF(AND(EOMONTH(F269,0)=F269,OR(MONTH(F269)=9,MONTH(F269)=12)),SUM(OFFSET(H269,-91,0):H269)))))),IF(F269='депозитный калькулятор'!$D$8,SUM($H$23:H269)-SUM($I$23:I268),0))),IF('депозитный калькулятор'!$G$10="ежегодное",IF(F269&gt;'депозитный калькулятор'!$D$8," ",IF(F269='депозитный калькулятор'!$D$8,SUM($H$23:H269)-SUM($I$23:I268),IF(AND(EOMONTH(F269,0)=F269,MONTH(F269)=12),IF(MOD(YEAR(F268),4)=0,IF(F269-'депозитный калькулятор'!$D$7&lt;366,SUM($H$23:H269),SUM(OFFSET(H269,-365,0):H269)),IF(F269-'депозитный калькулятор'!$D$7&lt;365,SUM($H$23:H269),SUM(OFFSET(H269,-364,0):H269))),0))),IF(AND('депозитный калькулятор'!$G$10="в конце срока",'депозитный калькулятор'!$D$8=F269),SUM($H$23:H269),0))))))))))))))))))</f>
        <v xml:space="preserve"> </v>
      </c>
      <c r="J269" s="59" t="str">
        <f>IF(F269&gt;'депозитный калькулятор'!$D$8," ",IF('депозитный калькулятор'!$G$16="нет",0,IF(AND('депозитный калькулятор'!$G$17="разовая (в конце срока)",F269='депозитный калькулятор'!$D$8),'депозитный калькулятор'!$G$18,IF(AND('депозитный калькулятор'!$G$17="ежемесячная",EOMONTH(F268,0)=F268),'депозитный калькулятор'!$G$18,IF(AND('депозитный калькулятор'!$G$17="ежегодная",DAY(F268)=31,MONTH(F268)=12),'депозитный калькулятор'!$G$18,IF(AND('депозитный калькулятор'!$G$17="ежемесячная в зависимости от остатка",EOMONTH(F268,0)=F268,P268&gt;0),'депозитный калькулятор'!$G$18,IF(AND('депозитный калькулятор'!$G$17="ежегодная в зависимости от остатка",DAY(F268)=31,MONTH(F268)=12,P268&gt;0),'депозитный калькулятор'!$G$18,0)))))))</f>
        <v xml:space="preserve"> </v>
      </c>
      <c r="K269" s="135" t="str">
        <f>IF($F269=" "," ",IFERROR(VLOOKUP($F269,'депозитный калькулятор'!$B$26:$F$70,2,0),0))</f>
        <v xml:space="preserve"> </v>
      </c>
      <c r="L269" s="135" t="str">
        <f>IF($F269=" "," ",IFERROR(VLOOKUP($F269,'депозитный калькулятор'!$B$26:$F$70,3,0),0))</f>
        <v xml:space="preserve"> </v>
      </c>
      <c r="M269" s="135" t="str">
        <f>IF($F269=" "," ",IFERROR(VLOOKUP($F269,'депозитный калькулятор'!$B$26:$F$70,4,0),0))</f>
        <v xml:space="preserve"> </v>
      </c>
      <c r="N269" s="135" t="str">
        <f>IF($F269=" "," ",IFERROR(VLOOKUP($F269,'депозитный калькулятор'!$B$26:$F$70,5,0),0))</f>
        <v xml:space="preserve"> </v>
      </c>
      <c r="O269" s="146" t="str">
        <f>IF(F269&gt;'депозитный калькулятор'!$D$8," ",IF(F269='депозитный калькулятор'!$D$8,IF(AND($F$24='депозитный калькулятор'!$D$8,'депозитный калькулятор'!$G$13="нет"),-G269-IF(I269=" ",0,I269)-IF(AND(OR('депозитный калькулятор'!$G$7="30/365",'депозитный калькулятор'!$G$7="30/360"),'депозитный калькулятор'!$G$10="в начале срока"),I268,0)-L269+M269-N269,-G269-IF(I269=" ",0,I269)-L269+M269-N269),IF('депозитный калькулятор'!$G$13="есть",M269-N269+IF('депозитный калькулятор'!$G$14="есть",0,-L269),-IF(I269=" ",0,I269)-IF(AND(OR('депозитный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срока"),I268,0)+M269-N269+IF('депозитный калькулятор'!$G$14="есть",0,-L269))))</f>
        <v xml:space="preserve"> </v>
      </c>
      <c r="P269" s="147" t="str">
        <f>IF(F269&gt;'депозитный калькулятор'!$D$8," ",IF(EOMONTH(F268,0)=F268,0,IF(G269&gt;='депозитный калькулятор'!$G$19,P268,P268+1)))</f>
        <v xml:space="preserve"> </v>
      </c>
      <c r="Q269" s="138" t="str">
        <f>IF(F269=" "," ",IF(AND(OR('депозитный калькулятор'!$G$7="30/365",'депозитный калькулятор'!$G$7="30/360"),AND(MONTH(F269)=2,EOMONTH(F269,0)=F269)),IF(DAY(F269)=28,3,2),1)*IF(G269&gt;='депозитный калькулятор'!$G$11,IF(AND('депозитный калькулятор'!$G$7="факт/факт",MOD(YEAR(F269),4)=0),G269*'депозитный калькулятор'!$D$11/366,G269*'депозитный калькулятор'!$G$8),0))</f>
        <v xml:space="preserve"> </v>
      </c>
      <c r="R269" s="148"/>
      <c r="S269" s="62" t="str">
        <f t="shared" ca="1" si="17"/>
        <v xml:space="preserve"> </v>
      </c>
      <c r="T269" s="149" t="str">
        <f ca="1">IF(S269=" "," ",IF('депозитный калькулятор'!$G$7="30/360",DAYS360(U268,IF(DAY(U269)=31,U269-1,U269))+IF(AND(MONTH(U269)=2,U269=EOMONTH(U269,0)),30-DAY(EOMONTH(U269,0)))+T268,VLOOKUP(S269,$C$22:$F$1023,2,0)))</f>
        <v xml:space="preserve"> </v>
      </c>
      <c r="U269" s="64" t="str">
        <f t="shared" ca="1" si="15"/>
        <v xml:space="preserve"> </v>
      </c>
      <c r="V269" s="150" t="str">
        <f t="shared" ca="1" si="18"/>
        <v xml:space="preserve"> </v>
      </c>
      <c r="W269" s="62" t="str">
        <f t="shared" ca="1" si="19"/>
        <v xml:space="preserve"> </v>
      </c>
      <c r="X269" s="141" t="str">
        <f ca="1">IF(S269=" "," ",IFERROR(VLOOKUP(U269,$F$23:$N$1023,7)+VLOOKUP(U269,$F$23:$N$1023,9)+IF(AND('депозитный калькулятор'!$G$13="нет",U269&lt;&gt;'депозитный калькулятор'!$D$8),VLOOKUP(U269,$F$23:$N$1023,4),0),0)+IF(U269='депозитный калькулятор'!$D$8,VLOOKUP(U269,$F$23:$N$1023,2)+VLOOKUP(U269,$F$23:$N$1023,4),0))</f>
        <v xml:space="preserve"> </v>
      </c>
      <c r="Y269" s="142" t="str">
        <f ca="1">IF(S269=" "," ",W269/(1+'депозитный калькулятор'!$K$8)^(T269/IF('депозитный калькулятор'!$G$7="30/360",360,365)))</f>
        <v xml:space="preserve"> </v>
      </c>
      <c r="Z269" s="142" t="str">
        <f ca="1">IF(S269=" "," ",X269/(1+'депозитный калькулятор'!$K$8)^(T269/IF('депозитный калькулятор'!$G$7="30/360",360,365)))</f>
        <v xml:space="preserve"> </v>
      </c>
      <c r="AA269" s="151"/>
      <c r="AB269" s="151"/>
      <c r="AC269" s="155"/>
      <c r="AD269" s="155"/>
    </row>
    <row r="270" spans="1:30" s="2" customFormat="1" ht="15.5" x14ac:dyDescent="0.35">
      <c r="A270" s="41" t="str">
        <f>IF(F270=" "," ",IF(OR('депозитный калькулятор'!$G$7="30/365",'депозитный калькулятор'!$G$7="30/360"),IF(AND(MONTH(F270)=2,DAY(F270)=DAY(EOMONTH(F270,0))),30-DAY(EOMONTH(F270,0)),IF(DAY(F270)=31,1," "))," "))</f>
        <v xml:space="preserve"> </v>
      </c>
      <c r="B270" s="130" t="str">
        <f t="shared" si="16"/>
        <v xml:space="preserve"> </v>
      </c>
      <c r="C270" s="130" t="str">
        <f>IF(OR(B270=0,B270=" ")," ",SUM($B$23:B270))</f>
        <v xml:space="preserve"> </v>
      </c>
      <c r="D270" s="62" t="str">
        <f>IF(D269=" "," ",IF(OR(F269='депозитный калькулятор'!$D$8,F269=" ")," ",D269+1))</f>
        <v xml:space="preserve"> </v>
      </c>
      <c r="E270" s="130" t="str">
        <f>IF(OR(F269='депозитный калькулятор'!$D$8,F269=" ")," ",IF(EOMONTH(F269,0)=F269,1,E269+1))</f>
        <v xml:space="preserve"> </v>
      </c>
      <c r="F270" s="64" t="str">
        <f>IF(F269=" "," ",IF(F269='депозитный калькулятор'!$D$8," ",F269+1))</f>
        <v xml:space="preserve"> </v>
      </c>
      <c r="G270" s="145" t="str">
        <f xml:space="preserve"> IF(F270&gt;'депозитный калькулятор'!$D$8," ",IF('депозитный калькулятор'!$G$13="есть",IF('депозитный калькулятор'!$G$14="есть",G269+IF(I269=" ",0,I269)-J270-K270+L270+M270-N270,G269+IF(I269=" ",0,I269)-J270-K270+M270-N270),IF('депозитный калькулятор'!$G$14="есть",G269-J270-K270+L270+M270-N270,G269-J270-K270+M270-N270)))</f>
        <v xml:space="preserve"> </v>
      </c>
      <c r="H270" s="133" t="str">
        <f>IF(F270&gt;'депозитный калькулятор'!$D$8," ",IF(AND(OR('депозитный калькулятор'!$G$7="30/365",'депозитный калькулятор'!$G$7="30/360"),AND(MONTH(F270)=2,EOMONTH(F270,0)=F270)),IF(DAY(F270)=28,3*G270*'депозитный калькулятор'!$G$8,2*G270*'депозитный калькулятор'!$G$8),IF(AND(OR('депозитный калькулятор'!$G$7="30/365",'депозитный калькулятор'!$G$7="30/360"),DAY(F270)=31)," ",IF(AND('депозитный калькулятор'!$G$7="факт/факт",MOD(YEAR(F270),4)=0),G270*'депозитный калькулятор'!$D$11/366,G270*'депозитный калькулятор'!$G$8))))</f>
        <v xml:space="preserve"> </v>
      </c>
      <c r="I270" s="134" t="str">
        <f ca="1">IF(F270=" "," ",IF('депозитный калькулятор'!$G$10="ежедневное",H270,IF(AND('депозитный калькулятор'!$G$10="еженедельное",WEEKDAY(F270,2)=7),SUM(OFFSET(H270,-6,0):H270),IF(AND('депозитный калькулятор'!$G$10="еженедельное",F270='депозитный калькулятор'!$D$8),SUM($H$23:H270)-SUM($I$23:I269),IF(AND('депозитный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недели",WEEKDAY(F270,2)=7),MIN(OFFSET(H270,-6,0):H270)*(COUNTIF(OFFSET(H270,-6,0):H270,"&gt;0")+SUMIF(OFFSET(A270,-WEEKDAY(F270,2),0):A270,"=2",OFFSET(A270,-WEEKDAY(F270,2),0):A270)),IF(AND('депозитный калькулятор'!$G$10="еженедельное, на минимальную сумму зафиксированную в течение недели",F270='депозитный калькулятор'!$D$8,WEEKDAY(F270,2)&lt;&gt;7),MIN(OFFSET(H270,-WEEKDAY(F270,2),0):H270)*(COUNTIF(OFFSET(H270,-WEEKDAY(F270,2)+1,0):H270,"&gt;0")+SUM(OFFSET(A270,-WEEKDAY(F270,2),0):A270)),IF(AND('депозитный калькулятор'!$G$10="ежемесячное (в конце месяца)",F270='депозитный калькулятор'!$D$8,EOMONTH(F270,0)&lt;&gt;F270),IF('депозитный калькулятор'!$F$1=1,$H$24,SUM($H$23:H270)-SUM($I$23:I269)),IF(AND('депозитный калькулятор'!$G$10="ежемесячное (в конце месяца)",EOMONTH(F270,0)=F270),SUM($H$23:H270)-SUM($I$23:I269),IF(AND('депозитный калькулятор'!$G$10="ежемесячное (по дням открытия вклада)",F270='депозитный калькулятор'!$D$8,DAY('депозитный калькулятор'!$D$7)&lt;&gt;DAY(F270)),IF('депозитный калькулятор'!$F$1=1,$H$24,SUM($H$23:H270)-SUM($I$23:I269)),IF(AND('депозитный калькулятор'!$G$10="ежемесячное (по дням открытия вклада)",DAY('депозитный калькулятор'!$D$7)=DAY(F270)),SUM($H$23:H270)-SUM($I$23:I269),IF(AND('депозитный калькулятор'!$G$10="ежемесячное, на минимальную сумму зафиксированную в течение месяца",F270='депозитный калькулятор'!$D$8,EOMONTH(F270,0)&lt;&gt;F270),IF('депозитный калькулятор'!$F$1=1,$H$24,IF(AND(OR('депозитный калькулятор'!$G$7="30/365",'депозитный калькулятор'!$G$7="30/360"),DAY(F270)=31),0,MIN(OFFSET(H270,-E270+1,0):H270)*(E270+SUMIF(OFFSET(A270,-E270+1,0):A270,"=2",OFFSET(A270,-E270+1,0):A270)))),IF(AND('депозитный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калькулятор'!$G$7="30/360"),DAY(EOMONTH(F270,0))=31),EOMONTH(F270,0)-1=F270,EOMONTH(F270,0)=F270)),IF(IF(AND(OR('депозитный калькулятор'!$G$7="30/365",'депозитный калькулятор'!$G$7="30/360"),DAY(EOMONTH($F$23,0))=31),F270=EOMONTH($F$23,0)-1,F270=EOMONTH($F$23,0)),MIN(OFFSET(H270,-(DAY(F270)-DAY($F$23)),0):H270)*E270,MIN(OFFSET(H270,-(DAY(F270)-1),0):H270)*IF(AND(OR('депозитный калькулятор'!$G$7="30/365",'депозитный калькулятор'!$G$7="30/360"),DAY(F270)&lt;30),30,DAY(F270))),IF(AND('депозитный калькулятор'!$G$10="ежемесячное, на средний остаток в течение месяца, при условии что остаток больше чем ограничение",F270='депозитный калькулятор'!$D$8,EOMONTH(F270,0)&lt;&gt;F270),IF('депозитный калькулятор'!$F$1=1,$H$24,SUM(OFFSET(Q270,-E270+1,0):Q270)),IF(AND('депозитный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калькулятор'!$G$7="30/360"),DAY(EOMONTH(F270,0))=31),EOMONTH(F270,0)-1=F270,EOMONTH(F270,0)=F270)),IF(IF(AND(OR('депозитный калькулятор'!$G$7="30/365",'депозитный калькулятор'!$G$7="30/360"),DAY(EOMONTH($F$24,0))=31),F270=EOMONTH($F$24,0)-1,F270=EOMONTH($F$24,0)),SUM(OFFSET(Q270,-E270+1,0):Q270),SUM(OFFSET(Q270,-E270+1,0):Q270)),IF('депозитный калькулятор'!$G$10="ежеквартальное",IF(F270&gt;'депозитный калькулятор'!$D$8," ",IF(AND(EOMONTH(F270,0)=F270,OR(MONTH(F270)=3,MONTH(F270)=6,MONTH(F270)=9,MONTH(F270)=12)),IF(EDATE(F270,-3)&lt;'депозитный калькулятор'!$D$7,SUM($H$23:H270),IF(MOD(YEAR(F270),4)=0,IF(AND(EOMONTH(F270,0)=F270,OR(MONTH(F270)=3,MONTH(F270)=6)),SUM(OFFSET(H270,-90,0):H270),IF(AND(EOMONTH(F270,0)=F270,OR(MONTH(F270)=9,MONTH(F270)=12)),SUM(OFFSET(H270,-91,0):H270))),IF(AND(EOMONTH(F270,0)=F270,MONTH(F270)=3),SUM(OFFSET(H270,-89,0):H270),IF(AND(EOMONTH(F270,0)=F270,MONTH(F270)=6),SUM(OFFSET(H270,-90,0):H270),IF(AND(EOMONTH(F270,0)=F270,OR(MONTH(F270)=9,MONTH(F270)=12)),SUM(OFFSET(H270,-91,0):H270)))))),IF(F270='депозитный калькулятор'!$D$8,SUM($H$23:H270)-SUM($I$23:I269),0))),IF('депозитный калькулятор'!$G$10="ежегодное",IF(F270&gt;'депозитный калькулятор'!$D$8," ",IF(F270='депозитный калькулятор'!$D$8,SUM($H$23:H270)-SUM($I$23:I269),IF(AND(EOMONTH(F270,0)=F270,MONTH(F270)=12),IF(MOD(YEAR(F269),4)=0,IF(F270-'депозитный калькулятор'!$D$7&lt;366,SUM($H$23:H270),SUM(OFFSET(H270,-365,0):H270)),IF(F270-'депозитный калькулятор'!$D$7&lt;365,SUM($H$23:H270),SUM(OFFSET(H270,-364,0):H270))),0))),IF(AND('депозитный калькулятор'!$G$10="в конце срока",'депозитный калькулятор'!$D$8=F270),SUM($H$23:H270),0))))))))))))))))))</f>
        <v xml:space="preserve"> </v>
      </c>
      <c r="J270" s="59" t="str">
        <f>IF(F270&gt;'депозитный калькулятор'!$D$8," ",IF('депозитный калькулятор'!$G$16="нет",0,IF(AND('депозитный калькулятор'!$G$17="разовая (в конце срока)",F270='депозитный калькулятор'!$D$8),'депозитный калькулятор'!$G$18,IF(AND('депозитный калькулятор'!$G$17="ежемесячная",EOMONTH(F269,0)=F269),'депозитный калькулятор'!$G$18,IF(AND('депозитный калькулятор'!$G$17="ежегодная",DAY(F269)=31,MONTH(F269)=12),'депозитный калькулятор'!$G$18,IF(AND('депозитный калькулятор'!$G$17="ежемесячная в зависимости от остатка",EOMONTH(F269,0)=F269,P269&gt;0),'депозитный калькулятор'!$G$18,IF(AND('депозитный калькулятор'!$G$17="ежегодная в зависимости от остатка",DAY(F269)=31,MONTH(F269)=12,P269&gt;0),'депозитный калькулятор'!$G$18,0)))))))</f>
        <v xml:space="preserve"> </v>
      </c>
      <c r="K270" s="135" t="str">
        <f>IF($F270=" "," ",IFERROR(VLOOKUP($F270,'депозитный калькулятор'!$B$26:$F$70,2,0),0))</f>
        <v xml:space="preserve"> </v>
      </c>
      <c r="L270" s="135" t="str">
        <f>IF($F270=" "," ",IFERROR(VLOOKUP($F270,'депозитный калькулятор'!$B$26:$F$70,3,0),0))</f>
        <v xml:space="preserve"> </v>
      </c>
      <c r="M270" s="135" t="str">
        <f>IF($F270=" "," ",IFERROR(VLOOKUP($F270,'депозитный калькулятор'!$B$26:$F$70,4,0),0))</f>
        <v xml:space="preserve"> </v>
      </c>
      <c r="N270" s="135" t="str">
        <f>IF($F270=" "," ",IFERROR(VLOOKUP($F270,'депозитный калькулятор'!$B$26:$F$70,5,0),0))</f>
        <v xml:space="preserve"> </v>
      </c>
      <c r="O270" s="146" t="str">
        <f>IF(F270&gt;'депозитный калькулятор'!$D$8," ",IF(F270='депозитный калькулятор'!$D$8,IF(AND($F$24='депозитный калькулятор'!$D$8,'депозитный калькулятор'!$G$13="нет"),-G270-IF(I270=" ",0,I270)-IF(AND(OR('депозитный калькулятор'!$G$7="30/365",'депозитный калькулятор'!$G$7="30/360"),'депозитный калькулятор'!$G$10="в начале срока"),I269,0)-L270+M270-N270,-G270-IF(I270=" ",0,I270)-L270+M270-N270),IF('депозитный калькулятор'!$G$13="есть",M270-N270+IF('депозитный калькулятор'!$G$14="есть",0,-L270),-IF(I270=" ",0,I270)-IF(AND(OR('депозитный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срока"),I269,0)+M270-N270+IF('депозитный калькулятор'!$G$14="есть",0,-L270))))</f>
        <v xml:space="preserve"> </v>
      </c>
      <c r="P270" s="147" t="str">
        <f>IF(F270&gt;'депозитный калькулятор'!$D$8," ",IF(EOMONTH(F269,0)=F269,0,IF(G270&gt;='депозитный калькулятор'!$G$19,P269,P269+1)))</f>
        <v xml:space="preserve"> </v>
      </c>
      <c r="Q270" s="138" t="str">
        <f>IF(F270=" "," ",IF(AND(OR('депозитный калькулятор'!$G$7="30/365",'депозитный калькулятор'!$G$7="30/360"),AND(MONTH(F270)=2,EOMONTH(F270,0)=F270)),IF(DAY(F270)=28,3,2),1)*IF(G270&gt;='депозитный калькулятор'!$G$11,IF(AND('депозитный калькулятор'!$G$7="факт/факт",MOD(YEAR(F270),4)=0),G270*'депозитный калькулятор'!$D$11/366,G270*'депозитный калькулятор'!$G$8),0))</f>
        <v xml:space="preserve"> </v>
      </c>
      <c r="R270" s="148"/>
      <c r="S270" s="62" t="str">
        <f t="shared" ca="1" si="17"/>
        <v xml:space="preserve"> </v>
      </c>
      <c r="T270" s="149" t="str">
        <f ca="1">IF(S270=" "," ",IF('депозитный калькулятор'!$G$7="30/360",DAYS360(U269,IF(DAY(U270)=31,U270-1,U270))+IF(AND(MONTH(U270)=2,U270=EOMONTH(U270,0)),30-DAY(EOMONTH(U270,0)))+T269,VLOOKUP(S270,$C$22:$F$1023,2,0)))</f>
        <v xml:space="preserve"> </v>
      </c>
      <c r="U270" s="64" t="str">
        <f t="shared" ca="1" si="15"/>
        <v xml:space="preserve"> </v>
      </c>
      <c r="V270" s="150" t="str">
        <f t="shared" ca="1" si="18"/>
        <v xml:space="preserve"> </v>
      </c>
      <c r="W270" s="62" t="str">
        <f t="shared" ca="1" si="19"/>
        <v xml:space="preserve"> </v>
      </c>
      <c r="X270" s="141" t="str">
        <f ca="1">IF(S270=" "," ",IFERROR(VLOOKUP(U270,$F$23:$N$1023,7)+VLOOKUP(U270,$F$23:$N$1023,9)+IF(AND('депозитный калькулятор'!$G$13="нет",U270&lt;&gt;'депозитный калькулятор'!$D$8),VLOOKUP(U270,$F$23:$N$1023,4),0),0)+IF(U270='депозитный калькулятор'!$D$8,VLOOKUP(U270,$F$23:$N$1023,2)+VLOOKUP(U270,$F$23:$N$1023,4),0))</f>
        <v xml:space="preserve"> </v>
      </c>
      <c r="Y270" s="142" t="str">
        <f ca="1">IF(S270=" "," ",W270/(1+'депозитный калькулятор'!$K$8)^(T270/IF('депозитный калькулятор'!$G$7="30/360",360,365)))</f>
        <v xml:space="preserve"> </v>
      </c>
      <c r="Z270" s="142" t="str">
        <f ca="1">IF(S270=" "," ",X270/(1+'депозитный калькулятор'!$K$8)^(T270/IF('депозитный калькулятор'!$G$7="30/360",360,365)))</f>
        <v xml:space="preserve"> </v>
      </c>
      <c r="AA270" s="151"/>
      <c r="AB270" s="151"/>
      <c r="AC270" s="155"/>
      <c r="AD270" s="155"/>
    </row>
    <row r="271" spans="1:30" s="2" customFormat="1" ht="15.5" x14ac:dyDescent="0.35">
      <c r="A271" s="41" t="str">
        <f>IF(F271=" "," ",IF(OR('депозитный калькулятор'!$G$7="30/365",'депозитный калькулятор'!$G$7="30/360"),IF(AND(MONTH(F271)=2,DAY(F271)=DAY(EOMONTH(F271,0))),30-DAY(EOMONTH(F271,0)),IF(DAY(F271)=31,1," "))," "))</f>
        <v xml:space="preserve"> </v>
      </c>
      <c r="B271" s="130" t="str">
        <f t="shared" si="16"/>
        <v xml:space="preserve"> </v>
      </c>
      <c r="C271" s="130" t="str">
        <f>IF(OR(B271=0,B271=" ")," ",SUM($B$23:B271))</f>
        <v xml:space="preserve"> </v>
      </c>
      <c r="D271" s="62" t="str">
        <f>IF(D270=" "," ",IF(OR(F270='депозитный калькулятор'!$D$8,F270=" ")," ",D270+1))</f>
        <v xml:space="preserve"> </v>
      </c>
      <c r="E271" s="130" t="str">
        <f>IF(OR(F270='депозитный калькулятор'!$D$8,F270=" ")," ",IF(EOMONTH(F270,0)=F270,1,E270+1))</f>
        <v xml:space="preserve"> </v>
      </c>
      <c r="F271" s="64" t="str">
        <f>IF(F270=" "," ",IF(F270='депозитный калькулятор'!$D$8," ",F270+1))</f>
        <v xml:space="preserve"> </v>
      </c>
      <c r="G271" s="145" t="str">
        <f xml:space="preserve"> IF(F271&gt;'депозитный калькулятор'!$D$8," ",IF('депозитный калькулятор'!$G$13="есть",IF('депозитный калькулятор'!$G$14="есть",G270+IF(I270=" ",0,I270)-J271-K271+L271+M271-N271,G270+IF(I270=" ",0,I270)-J271-K271+M271-N271),IF('депозитный калькулятор'!$G$14="есть",G270-J271-K271+L271+M271-N271,G270-J271-K271+M271-N271)))</f>
        <v xml:space="preserve"> </v>
      </c>
      <c r="H271" s="133" t="str">
        <f>IF(F271&gt;'депозитный калькулятор'!$D$8," ",IF(AND(OR('депозитный калькулятор'!$G$7="30/365",'депозитный калькулятор'!$G$7="30/360"),AND(MONTH(F271)=2,EOMONTH(F271,0)=F271)),IF(DAY(F271)=28,3*G271*'депозитный калькулятор'!$G$8,2*G271*'депозитный калькулятор'!$G$8),IF(AND(OR('депозитный калькулятор'!$G$7="30/365",'депозитный калькулятор'!$G$7="30/360"),DAY(F271)=31)," ",IF(AND('депозитный калькулятор'!$G$7="факт/факт",MOD(YEAR(F271),4)=0),G271*'депозитный калькулятор'!$D$11/366,G271*'депозитный калькулятор'!$G$8))))</f>
        <v xml:space="preserve"> </v>
      </c>
      <c r="I271" s="134" t="str">
        <f ca="1">IF(F271=" "," ",IF('депозитный калькулятор'!$G$10="ежедневное",H271,IF(AND('депозитный калькулятор'!$G$10="еженедельное",WEEKDAY(F271,2)=7),SUM(OFFSET(H271,-6,0):H271),IF(AND('депозитный калькулятор'!$G$10="еженедельное",F271='депозитный калькулятор'!$D$8),SUM($H$23:H271)-SUM($I$23:I270),IF(AND('депозитный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недели",WEEKDAY(F271,2)=7),MIN(OFFSET(H271,-6,0):H271)*(COUNTIF(OFFSET(H271,-6,0):H271,"&gt;0")+SUMIF(OFFSET(A271,-WEEKDAY(F271,2),0):A271,"=2",OFFSET(A271,-WEEKDAY(F271,2),0):A271)),IF(AND('депозитный калькулятор'!$G$10="еженедельное, на минимальную сумму зафиксированную в течение недели",F271='депозитный калькулятор'!$D$8,WEEKDAY(F271,2)&lt;&gt;7),MIN(OFFSET(H271,-WEEKDAY(F271,2),0):H271)*(COUNTIF(OFFSET(H271,-WEEKDAY(F271,2)+1,0):H271,"&gt;0")+SUM(OFFSET(A271,-WEEKDAY(F271,2),0):A271)),IF(AND('депозитный калькулятор'!$G$10="ежемесячное (в конце месяца)",F271='депозитный калькулятор'!$D$8,EOMONTH(F271,0)&lt;&gt;F271),IF('депозитный калькулятор'!$F$1=1,$H$24,SUM($H$23:H271)-SUM($I$23:I270)),IF(AND('депозитный калькулятор'!$G$10="ежемесячное (в конце месяца)",EOMONTH(F271,0)=F271),SUM($H$23:H271)-SUM($I$23:I270),IF(AND('депозитный калькулятор'!$G$10="ежемесячное (по дням открытия вклада)",F271='депозитный калькулятор'!$D$8,DAY('депозитный калькулятор'!$D$7)&lt;&gt;DAY(F271)),IF('депозитный калькулятор'!$F$1=1,$H$24,SUM($H$23:H271)-SUM($I$23:I270)),IF(AND('депозитный калькулятор'!$G$10="ежемесячное (по дням открытия вклада)",DAY('депозитный калькулятор'!$D$7)=DAY(F271)),SUM($H$23:H271)-SUM($I$23:I270),IF(AND('депозитный калькулятор'!$G$10="ежемесячное, на минимальную сумму зафиксированную в течение месяца",F271='депозитный калькулятор'!$D$8,EOMONTH(F271,0)&lt;&gt;F271),IF('депозитный калькулятор'!$F$1=1,$H$24,IF(AND(OR('депозитный калькулятор'!$G$7="30/365",'депозитный калькулятор'!$G$7="30/360"),DAY(F271)=31),0,MIN(OFFSET(H271,-E271+1,0):H271)*(E271+SUMIF(OFFSET(A271,-E271+1,0):A271,"=2",OFFSET(A271,-E271+1,0):A271)))),IF(AND('депозитный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калькулятор'!$G$7="30/360"),DAY(EOMONTH(F271,0))=31),EOMONTH(F271,0)-1=F271,EOMONTH(F271,0)=F271)),IF(IF(AND(OR('депозитный калькулятор'!$G$7="30/365",'депозитный калькулятор'!$G$7="30/360"),DAY(EOMONTH($F$23,0))=31),F271=EOMONTH($F$23,0)-1,F271=EOMONTH($F$23,0)),MIN(OFFSET(H271,-(DAY(F271)-DAY($F$23)),0):H271)*E271,MIN(OFFSET(H271,-(DAY(F271)-1),0):H271)*IF(AND(OR('депозитный калькулятор'!$G$7="30/365",'депозитный калькулятор'!$G$7="30/360"),DAY(F271)&lt;30),30,DAY(F271))),IF(AND('депозитный калькулятор'!$G$10="ежемесячное, на средний остаток в течение месяца, при условии что остаток больше чем ограничение",F271='депозитный калькулятор'!$D$8,EOMONTH(F271,0)&lt;&gt;F271),IF('депозитный калькулятор'!$F$1=1,$H$24,SUM(OFFSET(Q271,-E271+1,0):Q271)),IF(AND('депозитный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калькулятор'!$G$7="30/360"),DAY(EOMONTH(F271,0))=31),EOMONTH(F271,0)-1=F271,EOMONTH(F271,0)=F271)),IF(IF(AND(OR('депозитный калькулятор'!$G$7="30/365",'депозитный калькулятор'!$G$7="30/360"),DAY(EOMONTH($F$24,0))=31),F271=EOMONTH($F$24,0)-1,F271=EOMONTH($F$24,0)),SUM(OFFSET(Q271,-E271+1,0):Q271),SUM(OFFSET(Q271,-E271+1,0):Q271)),IF('депозитный калькулятор'!$G$10="ежеквартальное",IF(F271&gt;'депозитный калькулятор'!$D$8," ",IF(AND(EOMONTH(F271,0)=F271,OR(MONTH(F271)=3,MONTH(F271)=6,MONTH(F271)=9,MONTH(F271)=12)),IF(EDATE(F271,-3)&lt;'депозитный калькулятор'!$D$7,SUM($H$23:H271),IF(MOD(YEAR(F271),4)=0,IF(AND(EOMONTH(F271,0)=F271,OR(MONTH(F271)=3,MONTH(F271)=6)),SUM(OFFSET(H271,-90,0):H271),IF(AND(EOMONTH(F271,0)=F271,OR(MONTH(F271)=9,MONTH(F271)=12)),SUM(OFFSET(H271,-91,0):H271))),IF(AND(EOMONTH(F271,0)=F271,MONTH(F271)=3),SUM(OFFSET(H271,-89,0):H271),IF(AND(EOMONTH(F271,0)=F271,MONTH(F271)=6),SUM(OFFSET(H271,-90,0):H271),IF(AND(EOMONTH(F271,0)=F271,OR(MONTH(F271)=9,MONTH(F271)=12)),SUM(OFFSET(H271,-91,0):H271)))))),IF(F271='депозитный калькулятор'!$D$8,SUM($H$23:H271)-SUM($I$23:I270),0))),IF('депозитный калькулятор'!$G$10="ежегодное",IF(F271&gt;'депозитный калькулятор'!$D$8," ",IF(F271='депозитный калькулятор'!$D$8,SUM($H$23:H271)-SUM($I$23:I270),IF(AND(EOMONTH(F271,0)=F271,MONTH(F271)=12),IF(MOD(YEAR(F270),4)=0,IF(F271-'депозитный калькулятор'!$D$7&lt;366,SUM($H$23:H271),SUM(OFFSET(H271,-365,0):H271)),IF(F271-'депозитный калькулятор'!$D$7&lt;365,SUM($H$23:H271),SUM(OFFSET(H271,-364,0):H271))),0))),IF(AND('депозитный калькулятор'!$G$10="в конце срока",'депозитный калькулятор'!$D$8=F271),SUM($H$23:H271),0))))))))))))))))))</f>
        <v xml:space="preserve"> </v>
      </c>
      <c r="J271" s="59" t="str">
        <f>IF(F271&gt;'депозитный калькулятор'!$D$8," ",IF('депозитный калькулятор'!$G$16="нет",0,IF(AND('депозитный калькулятор'!$G$17="разовая (в конце срока)",F271='депозитный калькулятор'!$D$8),'депозитный калькулятор'!$G$18,IF(AND('депозитный калькулятор'!$G$17="ежемесячная",EOMONTH(F270,0)=F270),'депозитный калькулятор'!$G$18,IF(AND('депозитный калькулятор'!$G$17="ежегодная",DAY(F270)=31,MONTH(F270)=12),'депозитный калькулятор'!$G$18,IF(AND('депозитный калькулятор'!$G$17="ежемесячная в зависимости от остатка",EOMONTH(F270,0)=F270,P270&gt;0),'депозитный калькулятор'!$G$18,IF(AND('депозитный калькулятор'!$G$17="ежегодная в зависимости от остатка",DAY(F270)=31,MONTH(F270)=12,P270&gt;0),'депозитный калькулятор'!$G$18,0)))))))</f>
        <v xml:space="preserve"> </v>
      </c>
      <c r="K271" s="135" t="str">
        <f>IF($F271=" "," ",IFERROR(VLOOKUP($F271,'депозитный калькулятор'!$B$26:$F$70,2,0),0))</f>
        <v xml:space="preserve"> </v>
      </c>
      <c r="L271" s="135" t="str">
        <f>IF($F271=" "," ",IFERROR(VLOOKUP($F271,'депозитный калькулятор'!$B$26:$F$70,3,0),0))</f>
        <v xml:space="preserve"> </v>
      </c>
      <c r="M271" s="135" t="str">
        <f>IF($F271=" "," ",IFERROR(VLOOKUP($F271,'депозитный калькулятор'!$B$26:$F$70,4,0),0))</f>
        <v xml:space="preserve"> </v>
      </c>
      <c r="N271" s="135" t="str">
        <f>IF($F271=" "," ",IFERROR(VLOOKUP($F271,'депозитный калькулятор'!$B$26:$F$70,5,0),0))</f>
        <v xml:space="preserve"> </v>
      </c>
      <c r="O271" s="146" t="str">
        <f>IF(F271&gt;'депозитный калькулятор'!$D$8," ",IF(F271='депозитный калькулятор'!$D$8,IF(AND($F$24='депозитный калькулятор'!$D$8,'депозитный калькулятор'!$G$13="нет"),-G271-IF(I271=" ",0,I271)-IF(AND(OR('депозитный калькулятор'!$G$7="30/365",'депозитный калькулятор'!$G$7="30/360"),'депозитный калькулятор'!$G$10="в начале срока"),I270,0)-L271+M271-N271,-G271-IF(I271=" ",0,I271)-L271+M271-N271),IF('депозитный калькулятор'!$G$13="есть",M271-N271+IF('депозитный калькулятор'!$G$14="есть",0,-L271),-IF(I271=" ",0,I271)-IF(AND(OR('депозитный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срока"),I270,0)+M271-N271+IF('депозитный калькулятор'!$G$14="есть",0,-L271))))</f>
        <v xml:space="preserve"> </v>
      </c>
      <c r="P271" s="147" t="str">
        <f>IF(F271&gt;'депозитный калькулятор'!$D$8," ",IF(EOMONTH(F270,0)=F270,0,IF(G271&gt;='депозитный калькулятор'!$G$19,P270,P270+1)))</f>
        <v xml:space="preserve"> </v>
      </c>
      <c r="Q271" s="138" t="str">
        <f>IF(F271=" "," ",IF(AND(OR('депозитный калькулятор'!$G$7="30/365",'депозитный калькулятор'!$G$7="30/360"),AND(MONTH(F271)=2,EOMONTH(F271,0)=F271)),IF(DAY(F271)=28,3,2),1)*IF(G271&gt;='депозитный калькулятор'!$G$11,IF(AND('депозитный калькулятор'!$G$7="факт/факт",MOD(YEAR(F271),4)=0),G271*'депозитный калькулятор'!$D$11/366,G271*'депозитный калькулятор'!$G$8),0))</f>
        <v xml:space="preserve"> </v>
      </c>
      <c r="R271" s="148"/>
      <c r="S271" s="62" t="str">
        <f t="shared" ca="1" si="17"/>
        <v xml:space="preserve"> </v>
      </c>
      <c r="T271" s="149" t="str">
        <f ca="1">IF(S271=" "," ",IF('депозитный калькулятор'!$G$7="30/360",DAYS360(U270,IF(DAY(U271)=31,U271-1,U271))+IF(AND(MONTH(U271)=2,U271=EOMONTH(U271,0)),30-DAY(EOMONTH(U271,0)))+T270,VLOOKUP(S271,$C$22:$F$1023,2,0)))</f>
        <v xml:space="preserve"> </v>
      </c>
      <c r="U271" s="64" t="str">
        <f t="shared" ca="1" si="15"/>
        <v xml:space="preserve"> </v>
      </c>
      <c r="V271" s="150" t="str">
        <f t="shared" ca="1" si="18"/>
        <v xml:space="preserve"> </v>
      </c>
      <c r="W271" s="62" t="str">
        <f t="shared" ca="1" si="19"/>
        <v xml:space="preserve"> </v>
      </c>
      <c r="X271" s="141" t="str">
        <f ca="1">IF(S271=" "," ",IFERROR(VLOOKUP(U271,$F$23:$N$1023,7)+VLOOKUP(U271,$F$23:$N$1023,9)+IF(AND('депозитный калькулятор'!$G$13="нет",U271&lt;&gt;'депозитный калькулятор'!$D$8),VLOOKUP(U271,$F$23:$N$1023,4),0),0)+IF(U271='депозитный калькулятор'!$D$8,VLOOKUP(U271,$F$23:$N$1023,2)+VLOOKUP(U271,$F$23:$N$1023,4),0))</f>
        <v xml:space="preserve"> </v>
      </c>
      <c r="Y271" s="142" t="str">
        <f ca="1">IF(S271=" "," ",W271/(1+'депозитный калькулятор'!$K$8)^(T271/IF('депозитный калькулятор'!$G$7="30/360",360,365)))</f>
        <v xml:space="preserve"> </v>
      </c>
      <c r="Z271" s="142" t="str">
        <f ca="1">IF(S271=" "," ",X271/(1+'депозитный калькулятор'!$K$8)^(T271/IF('депозитный калькулятор'!$G$7="30/360",360,365)))</f>
        <v xml:space="preserve"> </v>
      </c>
      <c r="AA271" s="151"/>
      <c r="AB271" s="151"/>
      <c r="AC271" s="155"/>
      <c r="AD271" s="155"/>
    </row>
    <row r="272" spans="1:30" s="2" customFormat="1" ht="15.5" x14ac:dyDescent="0.35">
      <c r="A272" s="41" t="str">
        <f>IF(F272=" "," ",IF(OR('депозитный калькулятор'!$G$7="30/365",'депозитный калькулятор'!$G$7="30/360"),IF(AND(MONTH(F272)=2,DAY(F272)=DAY(EOMONTH(F272,0))),30-DAY(EOMONTH(F272,0)),IF(DAY(F272)=31,1," "))," "))</f>
        <v xml:space="preserve"> </v>
      </c>
      <c r="B272" s="130" t="str">
        <f t="shared" si="16"/>
        <v xml:space="preserve"> </v>
      </c>
      <c r="C272" s="130" t="str">
        <f>IF(OR(B272=0,B272=" ")," ",SUM($B$23:B272))</f>
        <v xml:space="preserve"> </v>
      </c>
      <c r="D272" s="62" t="str">
        <f>IF(D271=" "," ",IF(OR(F271='депозитный калькулятор'!$D$8,F271=" ")," ",D271+1))</f>
        <v xml:space="preserve"> </v>
      </c>
      <c r="E272" s="130" t="str">
        <f>IF(OR(F271='депозитный калькулятор'!$D$8,F271=" ")," ",IF(EOMONTH(F271,0)=F271,1,E271+1))</f>
        <v xml:space="preserve"> </v>
      </c>
      <c r="F272" s="64" t="str">
        <f>IF(F271=" "," ",IF(F271='депозитный калькулятор'!$D$8," ",F271+1))</f>
        <v xml:space="preserve"> </v>
      </c>
      <c r="G272" s="145" t="str">
        <f xml:space="preserve"> IF(F272&gt;'депозитный калькулятор'!$D$8," ",IF('депозитный калькулятор'!$G$13="есть",IF('депозитный калькулятор'!$G$14="есть",G271+IF(I271=" ",0,I271)-J272-K272+L272+M272-N272,G271+IF(I271=" ",0,I271)-J272-K272+M272-N272),IF('депозитный калькулятор'!$G$14="есть",G271-J272-K272+L272+M272-N272,G271-J272-K272+M272-N272)))</f>
        <v xml:space="preserve"> </v>
      </c>
      <c r="H272" s="133" t="str">
        <f>IF(F272&gt;'депозитный калькулятор'!$D$8," ",IF(AND(OR('депозитный калькулятор'!$G$7="30/365",'депозитный калькулятор'!$G$7="30/360"),AND(MONTH(F272)=2,EOMONTH(F272,0)=F272)),IF(DAY(F272)=28,3*G272*'депозитный калькулятор'!$G$8,2*G272*'депозитный калькулятор'!$G$8),IF(AND(OR('депозитный калькулятор'!$G$7="30/365",'депозитный калькулятор'!$G$7="30/360"),DAY(F272)=31)," ",IF(AND('депозитный калькулятор'!$G$7="факт/факт",MOD(YEAR(F272),4)=0),G272*'депозитный калькулятор'!$D$11/366,G272*'депозитный калькулятор'!$G$8))))</f>
        <v xml:space="preserve"> </v>
      </c>
      <c r="I272" s="134" t="str">
        <f ca="1">IF(F272=" "," ",IF('депозитный калькулятор'!$G$10="ежедневное",H272,IF(AND('депозитный калькулятор'!$G$10="еженедельное",WEEKDAY(F272,2)=7),SUM(OFFSET(H272,-6,0):H272),IF(AND('депозитный калькулятор'!$G$10="еженедельное",F272='депозитный калькулятор'!$D$8),SUM($H$23:H272)-SUM($I$23:I271),IF(AND('депозитный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недели",WEEKDAY(F272,2)=7),MIN(OFFSET(H272,-6,0):H272)*(COUNTIF(OFFSET(H272,-6,0):H272,"&gt;0")+SUMIF(OFFSET(A272,-WEEKDAY(F272,2),0):A272,"=2",OFFSET(A272,-WEEKDAY(F272,2),0):A272)),IF(AND('депозитный калькулятор'!$G$10="еженедельное, на минимальную сумму зафиксированную в течение недели",F272='депозитный калькулятор'!$D$8,WEEKDAY(F272,2)&lt;&gt;7),MIN(OFFSET(H272,-WEEKDAY(F272,2),0):H272)*(COUNTIF(OFFSET(H272,-WEEKDAY(F272,2)+1,0):H272,"&gt;0")+SUM(OFFSET(A272,-WEEKDAY(F272,2),0):A272)),IF(AND('депозитный калькулятор'!$G$10="ежемесячное (в конце месяца)",F272='депозитный калькулятор'!$D$8,EOMONTH(F272,0)&lt;&gt;F272),IF('депозитный калькулятор'!$F$1=1,$H$24,SUM($H$23:H272)-SUM($I$23:I271)),IF(AND('депозитный калькулятор'!$G$10="ежемесячное (в конце месяца)",EOMONTH(F272,0)=F272),SUM($H$23:H272)-SUM($I$23:I271),IF(AND('депозитный калькулятор'!$G$10="ежемесячное (по дням открытия вклада)",F272='депозитный калькулятор'!$D$8,DAY('депозитный калькулятор'!$D$7)&lt;&gt;DAY(F272)),IF('депозитный калькулятор'!$F$1=1,$H$24,SUM($H$23:H272)-SUM($I$23:I271)),IF(AND('депозитный калькулятор'!$G$10="ежемесячное (по дням открытия вклада)",DAY('депозитный калькулятор'!$D$7)=DAY(F272)),SUM($H$23:H272)-SUM($I$23:I271),IF(AND('депозитный калькулятор'!$G$10="ежемесячное, на минимальную сумму зафиксированную в течение месяца",F272='депозитный калькулятор'!$D$8,EOMONTH(F272,0)&lt;&gt;F272),IF('депозитный калькулятор'!$F$1=1,$H$24,IF(AND(OR('депозитный калькулятор'!$G$7="30/365",'депозитный калькулятор'!$G$7="30/360"),DAY(F272)=31),0,MIN(OFFSET(H272,-E272+1,0):H272)*(E272+SUMIF(OFFSET(A272,-E272+1,0):A272,"=2",OFFSET(A272,-E272+1,0):A272)))),IF(AND('депозитный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калькулятор'!$G$7="30/360"),DAY(EOMONTH(F272,0))=31),EOMONTH(F272,0)-1=F272,EOMONTH(F272,0)=F272)),IF(IF(AND(OR('депозитный калькулятор'!$G$7="30/365",'депозитный калькулятор'!$G$7="30/360"),DAY(EOMONTH($F$23,0))=31),F272=EOMONTH($F$23,0)-1,F272=EOMONTH($F$23,0)),MIN(OFFSET(H272,-(DAY(F272)-DAY($F$23)),0):H272)*E272,MIN(OFFSET(H272,-(DAY(F272)-1),0):H272)*IF(AND(OR('депозитный калькулятор'!$G$7="30/365",'депозитный калькулятор'!$G$7="30/360"),DAY(F272)&lt;30),30,DAY(F272))),IF(AND('депозитный калькулятор'!$G$10="ежемесячное, на средний остаток в течение месяца, при условии что остаток больше чем ограничение",F272='депозитный калькулятор'!$D$8,EOMONTH(F272,0)&lt;&gt;F272),IF('депозитный калькулятор'!$F$1=1,$H$24,SUM(OFFSET(Q272,-E272+1,0):Q272)),IF(AND('депозитный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калькулятор'!$G$7="30/360"),DAY(EOMONTH(F272,0))=31),EOMONTH(F272,0)-1=F272,EOMONTH(F272,0)=F272)),IF(IF(AND(OR('депозитный калькулятор'!$G$7="30/365",'депозитный калькулятор'!$G$7="30/360"),DAY(EOMONTH($F$24,0))=31),F272=EOMONTH($F$24,0)-1,F272=EOMONTH($F$24,0)),SUM(OFFSET(Q272,-E272+1,0):Q272),SUM(OFFSET(Q272,-E272+1,0):Q272)),IF('депозитный калькулятор'!$G$10="ежеквартальное",IF(F272&gt;'депозитный калькулятор'!$D$8," ",IF(AND(EOMONTH(F272,0)=F272,OR(MONTH(F272)=3,MONTH(F272)=6,MONTH(F272)=9,MONTH(F272)=12)),IF(EDATE(F272,-3)&lt;'депозитный калькулятор'!$D$7,SUM($H$23:H272),IF(MOD(YEAR(F272),4)=0,IF(AND(EOMONTH(F272,0)=F272,OR(MONTH(F272)=3,MONTH(F272)=6)),SUM(OFFSET(H272,-90,0):H272),IF(AND(EOMONTH(F272,0)=F272,OR(MONTH(F272)=9,MONTH(F272)=12)),SUM(OFFSET(H272,-91,0):H272))),IF(AND(EOMONTH(F272,0)=F272,MONTH(F272)=3),SUM(OFFSET(H272,-89,0):H272),IF(AND(EOMONTH(F272,0)=F272,MONTH(F272)=6),SUM(OFFSET(H272,-90,0):H272),IF(AND(EOMONTH(F272,0)=F272,OR(MONTH(F272)=9,MONTH(F272)=12)),SUM(OFFSET(H272,-91,0):H272)))))),IF(F272='депозитный калькулятор'!$D$8,SUM($H$23:H272)-SUM($I$23:I271),0))),IF('депозитный калькулятор'!$G$10="ежегодное",IF(F272&gt;'депозитный калькулятор'!$D$8," ",IF(F272='депозитный калькулятор'!$D$8,SUM($H$23:H272)-SUM($I$23:I271),IF(AND(EOMONTH(F272,0)=F272,MONTH(F272)=12),IF(MOD(YEAR(F271),4)=0,IF(F272-'депозитный калькулятор'!$D$7&lt;366,SUM($H$23:H272),SUM(OFFSET(H272,-365,0):H272)),IF(F272-'депозитный калькулятор'!$D$7&lt;365,SUM($H$23:H272),SUM(OFFSET(H272,-364,0):H272))),0))),IF(AND('депозитный калькулятор'!$G$10="в конце срока",'депозитный калькулятор'!$D$8=F272),SUM($H$23:H272),0))))))))))))))))))</f>
        <v xml:space="preserve"> </v>
      </c>
      <c r="J272" s="59" t="str">
        <f>IF(F272&gt;'депозитный калькулятор'!$D$8," ",IF('депозитный калькулятор'!$G$16="нет",0,IF(AND('депозитный калькулятор'!$G$17="разовая (в конце срока)",F272='депозитный калькулятор'!$D$8),'депозитный калькулятор'!$G$18,IF(AND('депозитный калькулятор'!$G$17="ежемесячная",EOMONTH(F271,0)=F271),'депозитный калькулятор'!$G$18,IF(AND('депозитный калькулятор'!$G$17="ежегодная",DAY(F271)=31,MONTH(F271)=12),'депозитный калькулятор'!$G$18,IF(AND('депозитный калькулятор'!$G$17="ежемесячная в зависимости от остатка",EOMONTH(F271,0)=F271,P271&gt;0),'депозитный калькулятор'!$G$18,IF(AND('депозитный калькулятор'!$G$17="ежегодная в зависимости от остатка",DAY(F271)=31,MONTH(F271)=12,P271&gt;0),'депозитный калькулятор'!$G$18,0)))))))</f>
        <v xml:space="preserve"> </v>
      </c>
      <c r="K272" s="135" t="str">
        <f>IF($F272=" "," ",IFERROR(VLOOKUP($F272,'депозитный калькулятор'!$B$26:$F$70,2,0),0))</f>
        <v xml:space="preserve"> </v>
      </c>
      <c r="L272" s="135" t="str">
        <f>IF($F272=" "," ",IFERROR(VLOOKUP($F272,'депозитный калькулятор'!$B$26:$F$70,3,0),0))</f>
        <v xml:space="preserve"> </v>
      </c>
      <c r="M272" s="135" t="str">
        <f>IF($F272=" "," ",IFERROR(VLOOKUP($F272,'депозитный калькулятор'!$B$26:$F$70,4,0),0))</f>
        <v xml:space="preserve"> </v>
      </c>
      <c r="N272" s="135" t="str">
        <f>IF($F272=" "," ",IFERROR(VLOOKUP($F272,'депозитный калькулятор'!$B$26:$F$70,5,0),0))</f>
        <v xml:space="preserve"> </v>
      </c>
      <c r="O272" s="146" t="str">
        <f>IF(F272&gt;'депозитный калькулятор'!$D$8," ",IF(F272='депозитный калькулятор'!$D$8,IF(AND($F$24='депозитный калькулятор'!$D$8,'депозитный калькулятор'!$G$13="нет"),-G272-IF(I272=" ",0,I272)-IF(AND(OR('депозитный калькулятор'!$G$7="30/365",'депозитный калькулятор'!$G$7="30/360"),'депозитный калькулятор'!$G$10="в начале срока"),I271,0)-L272+M272-N272,-G272-IF(I272=" ",0,I272)-L272+M272-N272),IF('депозитный калькулятор'!$G$13="есть",M272-N272+IF('депозитный калькулятор'!$G$14="есть",0,-L272),-IF(I272=" ",0,I272)-IF(AND(OR('депозитный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срока"),I271,0)+M272-N272+IF('депозитный калькулятор'!$G$14="есть",0,-L272))))</f>
        <v xml:space="preserve"> </v>
      </c>
      <c r="P272" s="147" t="str">
        <f>IF(F272&gt;'депозитный калькулятор'!$D$8," ",IF(EOMONTH(F271,0)=F271,0,IF(G272&gt;='депозитный калькулятор'!$G$19,P271,P271+1)))</f>
        <v xml:space="preserve"> </v>
      </c>
      <c r="Q272" s="138" t="str">
        <f>IF(F272=" "," ",IF(AND(OR('депозитный калькулятор'!$G$7="30/365",'депозитный калькулятор'!$G$7="30/360"),AND(MONTH(F272)=2,EOMONTH(F272,0)=F272)),IF(DAY(F272)=28,3,2),1)*IF(G272&gt;='депозитный калькулятор'!$G$11,IF(AND('депозитный калькулятор'!$G$7="факт/факт",MOD(YEAR(F272),4)=0),G272*'депозитный калькулятор'!$D$11/366,G272*'депозитный калькулятор'!$G$8),0))</f>
        <v xml:space="preserve"> </v>
      </c>
      <c r="R272" s="148"/>
      <c r="S272" s="62" t="str">
        <f t="shared" ca="1" si="17"/>
        <v xml:space="preserve"> </v>
      </c>
      <c r="T272" s="149" t="str">
        <f ca="1">IF(S272=" "," ",IF('депозитный калькулятор'!$G$7="30/360",DAYS360(U271,IF(DAY(U272)=31,U272-1,U272))+IF(AND(MONTH(U272)=2,U272=EOMONTH(U272,0)),30-DAY(EOMONTH(U272,0)))+T271,VLOOKUP(S272,$C$22:$F$1023,2,0)))</f>
        <v xml:space="preserve"> </v>
      </c>
      <c r="U272" s="64" t="str">
        <f t="shared" ca="1" si="15"/>
        <v xml:space="preserve"> </v>
      </c>
      <c r="V272" s="150" t="str">
        <f t="shared" ca="1" si="18"/>
        <v xml:space="preserve"> </v>
      </c>
      <c r="W272" s="62" t="str">
        <f t="shared" ca="1" si="19"/>
        <v xml:space="preserve"> </v>
      </c>
      <c r="X272" s="141" t="str">
        <f ca="1">IF(S272=" "," ",IFERROR(VLOOKUP(U272,$F$23:$N$1023,7)+VLOOKUP(U272,$F$23:$N$1023,9)+IF(AND('депозитный калькулятор'!$G$13="нет",U272&lt;&gt;'депозитный калькулятор'!$D$8),VLOOKUP(U272,$F$23:$N$1023,4),0),0)+IF(U272='депозитный калькулятор'!$D$8,VLOOKUP(U272,$F$23:$N$1023,2)+VLOOKUP(U272,$F$23:$N$1023,4),0))</f>
        <v xml:space="preserve"> </v>
      </c>
      <c r="Y272" s="142" t="str">
        <f ca="1">IF(S272=" "," ",W272/(1+'депозитный калькулятор'!$K$8)^(T272/IF('депозитный калькулятор'!$G$7="30/360",360,365)))</f>
        <v xml:space="preserve"> </v>
      </c>
      <c r="Z272" s="142" t="str">
        <f ca="1">IF(S272=" "," ",X272/(1+'депозитный калькулятор'!$K$8)^(T272/IF('депозитный калькулятор'!$G$7="30/360",360,365)))</f>
        <v xml:space="preserve"> </v>
      </c>
      <c r="AA272" s="151"/>
      <c r="AB272" s="151"/>
      <c r="AC272" s="155"/>
      <c r="AD272" s="155"/>
    </row>
    <row r="273" spans="1:30" s="2" customFormat="1" ht="15.5" x14ac:dyDescent="0.35">
      <c r="A273" s="41" t="str">
        <f>IF(F273=" "," ",IF(OR('депозитный калькулятор'!$G$7="30/365",'депозитный калькулятор'!$G$7="30/360"),IF(AND(MONTH(F273)=2,DAY(F273)=DAY(EOMONTH(F273,0))),30-DAY(EOMONTH(F273,0)),IF(DAY(F273)=31,1," "))," "))</f>
        <v xml:space="preserve"> </v>
      </c>
      <c r="B273" s="130" t="str">
        <f t="shared" si="16"/>
        <v xml:space="preserve"> </v>
      </c>
      <c r="C273" s="130" t="str">
        <f>IF(OR(B273=0,B273=" ")," ",SUM($B$23:B273))</f>
        <v xml:space="preserve"> </v>
      </c>
      <c r="D273" s="62" t="str">
        <f>IF(D272=" "," ",IF(OR(F272='депозитный калькулятор'!$D$8,F272=" ")," ",D272+1))</f>
        <v xml:space="preserve"> </v>
      </c>
      <c r="E273" s="130" t="str">
        <f>IF(OR(F272='депозитный калькулятор'!$D$8,F272=" ")," ",IF(EOMONTH(F272,0)=F272,1,E272+1))</f>
        <v xml:space="preserve"> </v>
      </c>
      <c r="F273" s="64" t="str">
        <f>IF(F272=" "," ",IF(F272='депозитный калькулятор'!$D$8," ",F272+1))</f>
        <v xml:space="preserve"> </v>
      </c>
      <c r="G273" s="145" t="str">
        <f xml:space="preserve"> IF(F273&gt;'депозитный калькулятор'!$D$8," ",IF('депозитный калькулятор'!$G$13="есть",IF('депозитный калькулятор'!$G$14="есть",G272+IF(I272=" ",0,I272)-J273-K273+L273+M273-N273,G272+IF(I272=" ",0,I272)-J273-K273+M273-N273),IF('депозитный калькулятор'!$G$14="есть",G272-J273-K273+L273+M273-N273,G272-J273-K273+M273-N273)))</f>
        <v xml:space="preserve"> </v>
      </c>
      <c r="H273" s="133" t="str">
        <f>IF(F273&gt;'депозитный калькулятор'!$D$8," ",IF(AND(OR('депозитный калькулятор'!$G$7="30/365",'депозитный калькулятор'!$G$7="30/360"),AND(MONTH(F273)=2,EOMONTH(F273,0)=F273)),IF(DAY(F273)=28,3*G273*'депозитный калькулятор'!$G$8,2*G273*'депозитный калькулятор'!$G$8),IF(AND(OR('депозитный калькулятор'!$G$7="30/365",'депозитный калькулятор'!$G$7="30/360"),DAY(F273)=31)," ",IF(AND('депозитный калькулятор'!$G$7="факт/факт",MOD(YEAR(F273),4)=0),G273*'депозитный калькулятор'!$D$11/366,G273*'депозитный калькулятор'!$G$8))))</f>
        <v xml:space="preserve"> </v>
      </c>
      <c r="I273" s="134" t="str">
        <f ca="1">IF(F273=" "," ",IF('депозитный калькулятор'!$G$10="ежедневное",H273,IF(AND('депозитный калькулятор'!$G$10="еженедельное",WEEKDAY(F273,2)=7),SUM(OFFSET(H273,-6,0):H273),IF(AND('депозитный калькулятор'!$G$10="еженедельное",F273='депозитный калькулятор'!$D$8),SUM($H$23:H273)-SUM($I$23:I272),IF(AND('депозитный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недели",WEEKDAY(F273,2)=7),MIN(OFFSET(H273,-6,0):H273)*(COUNTIF(OFFSET(H273,-6,0):H273,"&gt;0")+SUMIF(OFFSET(A273,-WEEKDAY(F273,2),0):A273,"=2",OFFSET(A273,-WEEKDAY(F273,2),0):A273)),IF(AND('депозитный калькулятор'!$G$10="еженедельное, на минимальную сумму зафиксированную в течение недели",F273='депозитный калькулятор'!$D$8,WEEKDAY(F273,2)&lt;&gt;7),MIN(OFFSET(H273,-WEEKDAY(F273,2),0):H273)*(COUNTIF(OFFSET(H273,-WEEKDAY(F273,2)+1,0):H273,"&gt;0")+SUM(OFFSET(A273,-WEEKDAY(F273,2),0):A273)),IF(AND('депозитный калькулятор'!$G$10="ежемесячное (в конце месяца)",F273='депозитный калькулятор'!$D$8,EOMONTH(F273,0)&lt;&gt;F273),IF('депозитный калькулятор'!$F$1=1,$H$24,SUM($H$23:H273)-SUM($I$23:I272)),IF(AND('депозитный калькулятор'!$G$10="ежемесячное (в конце месяца)",EOMONTH(F273,0)=F273),SUM($H$23:H273)-SUM($I$23:I272),IF(AND('депозитный калькулятор'!$G$10="ежемесячное (по дням открытия вклада)",F273='депозитный калькулятор'!$D$8,DAY('депозитный калькулятор'!$D$7)&lt;&gt;DAY(F273)),IF('депозитный калькулятор'!$F$1=1,$H$24,SUM($H$23:H273)-SUM($I$23:I272)),IF(AND('депозитный калькулятор'!$G$10="ежемесячное (по дням открытия вклада)",DAY('депозитный калькулятор'!$D$7)=DAY(F273)),SUM($H$23:H273)-SUM($I$23:I272),IF(AND('депозитный калькулятор'!$G$10="ежемесячное, на минимальную сумму зафиксированную в течение месяца",F273='депозитный калькулятор'!$D$8,EOMONTH(F273,0)&lt;&gt;F273),IF('депозитный калькулятор'!$F$1=1,$H$24,IF(AND(OR('депозитный калькулятор'!$G$7="30/365",'депозитный калькулятор'!$G$7="30/360"),DAY(F273)=31),0,MIN(OFFSET(H273,-E273+1,0):H273)*(E273+SUMIF(OFFSET(A273,-E273+1,0):A273,"=2",OFFSET(A273,-E273+1,0):A273)))),IF(AND('депозитный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калькулятор'!$G$7="30/360"),DAY(EOMONTH(F273,0))=31),EOMONTH(F273,0)-1=F273,EOMONTH(F273,0)=F273)),IF(IF(AND(OR('депозитный калькулятор'!$G$7="30/365",'депозитный калькулятор'!$G$7="30/360"),DAY(EOMONTH($F$23,0))=31),F273=EOMONTH($F$23,0)-1,F273=EOMONTH($F$23,0)),MIN(OFFSET(H273,-(DAY(F273)-DAY($F$23)),0):H273)*E273,MIN(OFFSET(H273,-(DAY(F273)-1),0):H273)*IF(AND(OR('депозитный калькулятор'!$G$7="30/365",'депозитный калькулятор'!$G$7="30/360"),DAY(F273)&lt;30),30,DAY(F273))),IF(AND('депозитный калькулятор'!$G$10="ежемесячное, на средний остаток в течение месяца, при условии что остаток больше чем ограничение",F273='депозитный калькулятор'!$D$8,EOMONTH(F273,0)&lt;&gt;F273),IF('депозитный калькулятор'!$F$1=1,$H$24,SUM(OFFSET(Q273,-E273+1,0):Q273)),IF(AND('депозитный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калькулятор'!$G$7="30/360"),DAY(EOMONTH(F273,0))=31),EOMONTH(F273,0)-1=F273,EOMONTH(F273,0)=F273)),IF(IF(AND(OR('депозитный калькулятор'!$G$7="30/365",'депозитный калькулятор'!$G$7="30/360"),DAY(EOMONTH($F$24,0))=31),F273=EOMONTH($F$24,0)-1,F273=EOMONTH($F$24,0)),SUM(OFFSET(Q273,-E273+1,0):Q273),SUM(OFFSET(Q273,-E273+1,0):Q273)),IF('депозитный калькулятор'!$G$10="ежеквартальное",IF(F273&gt;'депозитный калькулятор'!$D$8," ",IF(AND(EOMONTH(F273,0)=F273,OR(MONTH(F273)=3,MONTH(F273)=6,MONTH(F273)=9,MONTH(F273)=12)),IF(EDATE(F273,-3)&lt;'депозитный калькулятор'!$D$7,SUM($H$23:H273),IF(MOD(YEAR(F273),4)=0,IF(AND(EOMONTH(F273,0)=F273,OR(MONTH(F273)=3,MONTH(F273)=6)),SUM(OFFSET(H273,-90,0):H273),IF(AND(EOMONTH(F273,0)=F273,OR(MONTH(F273)=9,MONTH(F273)=12)),SUM(OFFSET(H273,-91,0):H273))),IF(AND(EOMONTH(F273,0)=F273,MONTH(F273)=3),SUM(OFFSET(H273,-89,0):H273),IF(AND(EOMONTH(F273,0)=F273,MONTH(F273)=6),SUM(OFFSET(H273,-90,0):H273),IF(AND(EOMONTH(F273,0)=F273,OR(MONTH(F273)=9,MONTH(F273)=12)),SUM(OFFSET(H273,-91,0):H273)))))),IF(F273='депозитный калькулятор'!$D$8,SUM($H$23:H273)-SUM($I$23:I272),0))),IF('депозитный калькулятор'!$G$10="ежегодное",IF(F273&gt;'депозитный калькулятор'!$D$8," ",IF(F273='депозитный калькулятор'!$D$8,SUM($H$23:H273)-SUM($I$23:I272),IF(AND(EOMONTH(F273,0)=F273,MONTH(F273)=12),IF(MOD(YEAR(F272),4)=0,IF(F273-'депозитный калькулятор'!$D$7&lt;366,SUM($H$23:H273),SUM(OFFSET(H273,-365,0):H273)),IF(F273-'депозитный калькулятор'!$D$7&lt;365,SUM($H$23:H273),SUM(OFFSET(H273,-364,0):H273))),0))),IF(AND('депозитный калькулятор'!$G$10="в конце срока",'депозитный калькулятор'!$D$8=F273),SUM($H$23:H273),0))))))))))))))))))</f>
        <v xml:space="preserve"> </v>
      </c>
      <c r="J273" s="59" t="str">
        <f>IF(F273&gt;'депозитный калькулятор'!$D$8," ",IF('депозитный калькулятор'!$G$16="нет",0,IF(AND('депозитный калькулятор'!$G$17="разовая (в конце срока)",F273='депозитный калькулятор'!$D$8),'депозитный калькулятор'!$G$18,IF(AND('депозитный калькулятор'!$G$17="ежемесячная",EOMONTH(F272,0)=F272),'депозитный калькулятор'!$G$18,IF(AND('депозитный калькулятор'!$G$17="ежегодная",DAY(F272)=31,MONTH(F272)=12),'депозитный калькулятор'!$G$18,IF(AND('депозитный калькулятор'!$G$17="ежемесячная в зависимости от остатка",EOMONTH(F272,0)=F272,P272&gt;0),'депозитный калькулятор'!$G$18,IF(AND('депозитный калькулятор'!$G$17="ежегодная в зависимости от остатка",DAY(F272)=31,MONTH(F272)=12,P272&gt;0),'депозитный калькулятор'!$G$18,0)))))))</f>
        <v xml:space="preserve"> </v>
      </c>
      <c r="K273" s="135" t="str">
        <f>IF($F273=" "," ",IFERROR(VLOOKUP($F273,'депозитный калькулятор'!$B$26:$F$70,2,0),0))</f>
        <v xml:space="preserve"> </v>
      </c>
      <c r="L273" s="135" t="str">
        <f>IF($F273=" "," ",IFERROR(VLOOKUP($F273,'депозитный калькулятор'!$B$26:$F$70,3,0),0))</f>
        <v xml:space="preserve"> </v>
      </c>
      <c r="M273" s="135" t="str">
        <f>IF($F273=" "," ",IFERROR(VLOOKUP($F273,'депозитный калькулятор'!$B$26:$F$70,4,0),0))</f>
        <v xml:space="preserve"> </v>
      </c>
      <c r="N273" s="135" t="str">
        <f>IF($F273=" "," ",IFERROR(VLOOKUP($F273,'депозитный калькулятор'!$B$26:$F$70,5,0),0))</f>
        <v xml:space="preserve"> </v>
      </c>
      <c r="O273" s="146" t="str">
        <f>IF(F273&gt;'депозитный калькулятор'!$D$8," ",IF(F273='депозитный калькулятор'!$D$8,IF(AND($F$24='депозитный калькулятор'!$D$8,'депозитный калькулятор'!$G$13="нет"),-G273-IF(I273=" ",0,I273)-IF(AND(OR('депозитный калькулятор'!$G$7="30/365",'депозитный калькулятор'!$G$7="30/360"),'депозитный калькулятор'!$G$10="в начале срока"),I272,0)-L273+M273-N273,-G273-IF(I273=" ",0,I273)-L273+M273-N273),IF('депозитный калькулятор'!$G$13="есть",M273-N273+IF('депозитный калькулятор'!$G$14="есть",0,-L273),-IF(I273=" ",0,I273)-IF(AND(OR('депозитный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срока"),I272,0)+M273-N273+IF('депозитный калькулятор'!$G$14="есть",0,-L273))))</f>
        <v xml:space="preserve"> </v>
      </c>
      <c r="P273" s="147" t="str">
        <f>IF(F273&gt;'депозитный калькулятор'!$D$8," ",IF(EOMONTH(F272,0)=F272,0,IF(G273&gt;='депозитный калькулятор'!$G$19,P272,P272+1)))</f>
        <v xml:space="preserve"> </v>
      </c>
      <c r="Q273" s="138" t="str">
        <f>IF(F273=" "," ",IF(AND(OR('депозитный калькулятор'!$G$7="30/365",'депозитный калькулятор'!$G$7="30/360"),AND(MONTH(F273)=2,EOMONTH(F273,0)=F273)),IF(DAY(F273)=28,3,2),1)*IF(G273&gt;='депозитный калькулятор'!$G$11,IF(AND('депозитный калькулятор'!$G$7="факт/факт",MOD(YEAR(F273),4)=0),G273*'депозитный калькулятор'!$D$11/366,G273*'депозитный калькулятор'!$G$8),0))</f>
        <v xml:space="preserve"> </v>
      </c>
      <c r="R273" s="148"/>
      <c r="S273" s="62" t="str">
        <f t="shared" ca="1" si="17"/>
        <v xml:space="preserve"> </v>
      </c>
      <c r="T273" s="149" t="str">
        <f ca="1">IF(S273=" "," ",IF('депозитный калькулятор'!$G$7="30/360",DAYS360(U272,IF(DAY(U273)=31,U273-1,U273))+IF(AND(MONTH(U273)=2,U273=EOMONTH(U273,0)),30-DAY(EOMONTH(U273,0)))+T272,VLOOKUP(S273,$C$22:$F$1023,2,0)))</f>
        <v xml:space="preserve"> </v>
      </c>
      <c r="U273" s="64" t="str">
        <f t="shared" ca="1" si="15"/>
        <v xml:space="preserve"> </v>
      </c>
      <c r="V273" s="150" t="str">
        <f t="shared" ca="1" si="18"/>
        <v xml:space="preserve"> </v>
      </c>
      <c r="W273" s="62" t="str">
        <f t="shared" ca="1" si="19"/>
        <v xml:space="preserve"> </v>
      </c>
      <c r="X273" s="141" t="str">
        <f ca="1">IF(S273=" "," ",IFERROR(VLOOKUP(U273,$F$23:$N$1023,7)+VLOOKUP(U273,$F$23:$N$1023,9)+IF(AND('депозитный калькулятор'!$G$13="нет",U273&lt;&gt;'депозитный калькулятор'!$D$8),VLOOKUP(U273,$F$23:$N$1023,4),0),0)+IF(U273='депозитный калькулятор'!$D$8,VLOOKUP(U273,$F$23:$N$1023,2)+VLOOKUP(U273,$F$23:$N$1023,4),0))</f>
        <v xml:space="preserve"> </v>
      </c>
      <c r="Y273" s="142" t="str">
        <f ca="1">IF(S273=" "," ",W273/(1+'депозитный калькулятор'!$K$8)^(T273/IF('депозитный калькулятор'!$G$7="30/360",360,365)))</f>
        <v xml:space="preserve"> </v>
      </c>
      <c r="Z273" s="142" t="str">
        <f ca="1">IF(S273=" "," ",X273/(1+'депозитный калькулятор'!$K$8)^(T273/IF('депозитный калькулятор'!$G$7="30/360",360,365)))</f>
        <v xml:space="preserve"> </v>
      </c>
      <c r="AA273" s="151"/>
      <c r="AB273" s="151"/>
      <c r="AC273" s="155"/>
      <c r="AD273" s="155"/>
    </row>
    <row r="274" spans="1:30" s="2" customFormat="1" ht="15.5" x14ac:dyDescent="0.35">
      <c r="A274" s="41" t="str">
        <f>IF(F274=" "," ",IF(OR('депозитный калькулятор'!$G$7="30/365",'депозитный калькулятор'!$G$7="30/360"),IF(AND(MONTH(F274)=2,DAY(F274)=DAY(EOMONTH(F274,0))),30-DAY(EOMONTH(F274,0)),IF(DAY(F274)=31,1," "))," "))</f>
        <v xml:space="preserve"> </v>
      </c>
      <c r="B274" s="130" t="str">
        <f t="shared" si="16"/>
        <v xml:space="preserve"> </v>
      </c>
      <c r="C274" s="130" t="str">
        <f>IF(OR(B274=0,B274=" ")," ",SUM($B$23:B274))</f>
        <v xml:space="preserve"> </v>
      </c>
      <c r="D274" s="62" t="str">
        <f>IF(D273=" "," ",IF(OR(F273='депозитный калькулятор'!$D$8,F273=" ")," ",D273+1))</f>
        <v xml:space="preserve"> </v>
      </c>
      <c r="E274" s="130" t="str">
        <f>IF(OR(F273='депозитный калькулятор'!$D$8,F273=" ")," ",IF(EOMONTH(F273,0)=F273,1,E273+1))</f>
        <v xml:space="preserve"> </v>
      </c>
      <c r="F274" s="64" t="str">
        <f>IF(F273=" "," ",IF(F273='депозитный калькулятор'!$D$8," ",F273+1))</f>
        <v xml:space="preserve"> </v>
      </c>
      <c r="G274" s="145" t="str">
        <f xml:space="preserve"> IF(F274&gt;'депозитный калькулятор'!$D$8," ",IF('депозитный калькулятор'!$G$13="есть",IF('депозитный калькулятор'!$G$14="есть",G273+IF(I273=" ",0,I273)-J274-K274+L274+M274-N274,G273+IF(I273=" ",0,I273)-J274-K274+M274-N274),IF('депозитный калькулятор'!$G$14="есть",G273-J274-K274+L274+M274-N274,G273-J274-K274+M274-N274)))</f>
        <v xml:space="preserve"> </v>
      </c>
      <c r="H274" s="133" t="str">
        <f>IF(F274&gt;'депозитный калькулятор'!$D$8," ",IF(AND(OR('депозитный калькулятор'!$G$7="30/365",'депозитный калькулятор'!$G$7="30/360"),AND(MONTH(F274)=2,EOMONTH(F274,0)=F274)),IF(DAY(F274)=28,3*G274*'депозитный калькулятор'!$G$8,2*G274*'депозитный калькулятор'!$G$8),IF(AND(OR('депозитный калькулятор'!$G$7="30/365",'депозитный калькулятор'!$G$7="30/360"),DAY(F274)=31)," ",IF(AND('депозитный калькулятор'!$G$7="факт/факт",MOD(YEAR(F274),4)=0),G274*'депозитный калькулятор'!$D$11/366,G274*'депозитный калькулятор'!$G$8))))</f>
        <v xml:space="preserve"> </v>
      </c>
      <c r="I274" s="134" t="str">
        <f ca="1">IF(F274=" "," ",IF('депозитный калькулятор'!$G$10="ежедневное",H274,IF(AND('депозитный калькулятор'!$G$10="еженедельное",WEEKDAY(F274,2)=7),SUM(OFFSET(H274,-6,0):H274),IF(AND('депозитный калькулятор'!$G$10="еженедельное",F274='депозитный калькулятор'!$D$8),SUM($H$23:H274)-SUM($I$23:I273),IF(AND('депозитный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недели",WEEKDAY(F274,2)=7),MIN(OFFSET(H274,-6,0):H274)*(COUNTIF(OFFSET(H274,-6,0):H274,"&gt;0")+SUMIF(OFFSET(A274,-WEEKDAY(F274,2),0):A274,"=2",OFFSET(A274,-WEEKDAY(F274,2),0):A274)),IF(AND('депозитный калькулятор'!$G$10="еженедельное, на минимальную сумму зафиксированную в течение недели",F274='депозитный калькулятор'!$D$8,WEEKDAY(F274,2)&lt;&gt;7),MIN(OFFSET(H274,-WEEKDAY(F274,2),0):H274)*(COUNTIF(OFFSET(H274,-WEEKDAY(F274,2)+1,0):H274,"&gt;0")+SUM(OFFSET(A274,-WEEKDAY(F274,2),0):A274)),IF(AND('депозитный калькулятор'!$G$10="ежемесячное (в конце месяца)",F274='депозитный калькулятор'!$D$8,EOMONTH(F274,0)&lt;&gt;F274),IF('депозитный калькулятор'!$F$1=1,$H$24,SUM($H$23:H274)-SUM($I$23:I273)),IF(AND('депозитный калькулятор'!$G$10="ежемесячное (в конце месяца)",EOMONTH(F274,0)=F274),SUM($H$23:H274)-SUM($I$23:I273),IF(AND('депозитный калькулятор'!$G$10="ежемесячное (по дням открытия вклада)",F274='депозитный калькулятор'!$D$8,DAY('депозитный калькулятор'!$D$7)&lt;&gt;DAY(F274)),IF('депозитный калькулятор'!$F$1=1,$H$24,SUM($H$23:H274)-SUM($I$23:I273)),IF(AND('депозитный калькулятор'!$G$10="ежемесячное (по дням открытия вклада)",DAY('депозитный калькулятор'!$D$7)=DAY(F274)),SUM($H$23:H274)-SUM($I$23:I273),IF(AND('депозитный калькулятор'!$G$10="ежемесячное, на минимальную сумму зафиксированную в течение месяца",F274='депозитный калькулятор'!$D$8,EOMONTH(F274,0)&lt;&gt;F274),IF('депозитный калькулятор'!$F$1=1,$H$24,IF(AND(OR('депозитный калькулятор'!$G$7="30/365",'депозитный калькулятор'!$G$7="30/360"),DAY(F274)=31),0,MIN(OFFSET(H274,-E274+1,0):H274)*(E274+SUMIF(OFFSET(A274,-E274+1,0):A274,"=2",OFFSET(A274,-E274+1,0):A274)))),IF(AND('депозитный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калькулятор'!$G$7="30/360"),DAY(EOMONTH(F274,0))=31),EOMONTH(F274,0)-1=F274,EOMONTH(F274,0)=F274)),IF(IF(AND(OR('депозитный калькулятор'!$G$7="30/365",'депозитный калькулятор'!$G$7="30/360"),DAY(EOMONTH($F$23,0))=31),F274=EOMONTH($F$23,0)-1,F274=EOMONTH($F$23,0)),MIN(OFFSET(H274,-(DAY(F274)-DAY($F$23)),0):H274)*E274,MIN(OFFSET(H274,-(DAY(F274)-1),0):H274)*IF(AND(OR('депозитный калькулятор'!$G$7="30/365",'депозитный калькулятор'!$G$7="30/360"),DAY(F274)&lt;30),30,DAY(F274))),IF(AND('депозитный калькулятор'!$G$10="ежемесячное, на средний остаток в течение месяца, при условии что остаток больше чем ограничение",F274='депозитный калькулятор'!$D$8,EOMONTH(F274,0)&lt;&gt;F274),IF('депозитный калькулятор'!$F$1=1,$H$24,SUM(OFFSET(Q274,-E274+1,0):Q274)),IF(AND('депозитный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калькулятор'!$G$7="30/360"),DAY(EOMONTH(F274,0))=31),EOMONTH(F274,0)-1=F274,EOMONTH(F274,0)=F274)),IF(IF(AND(OR('депозитный калькулятор'!$G$7="30/365",'депозитный калькулятор'!$G$7="30/360"),DAY(EOMONTH($F$24,0))=31),F274=EOMONTH($F$24,0)-1,F274=EOMONTH($F$24,0)),SUM(OFFSET(Q274,-E274+1,0):Q274),SUM(OFFSET(Q274,-E274+1,0):Q274)),IF('депозитный калькулятор'!$G$10="ежеквартальное",IF(F274&gt;'депозитный калькулятор'!$D$8," ",IF(AND(EOMONTH(F274,0)=F274,OR(MONTH(F274)=3,MONTH(F274)=6,MONTH(F274)=9,MONTH(F274)=12)),IF(EDATE(F274,-3)&lt;'депозитный калькулятор'!$D$7,SUM($H$23:H274),IF(MOD(YEAR(F274),4)=0,IF(AND(EOMONTH(F274,0)=F274,OR(MONTH(F274)=3,MONTH(F274)=6)),SUM(OFFSET(H274,-90,0):H274),IF(AND(EOMONTH(F274,0)=F274,OR(MONTH(F274)=9,MONTH(F274)=12)),SUM(OFFSET(H274,-91,0):H274))),IF(AND(EOMONTH(F274,0)=F274,MONTH(F274)=3),SUM(OFFSET(H274,-89,0):H274),IF(AND(EOMONTH(F274,0)=F274,MONTH(F274)=6),SUM(OFFSET(H274,-90,0):H274),IF(AND(EOMONTH(F274,0)=F274,OR(MONTH(F274)=9,MONTH(F274)=12)),SUM(OFFSET(H274,-91,0):H274)))))),IF(F274='депозитный калькулятор'!$D$8,SUM($H$23:H274)-SUM($I$23:I273),0))),IF('депозитный калькулятор'!$G$10="ежегодное",IF(F274&gt;'депозитный калькулятор'!$D$8," ",IF(F274='депозитный калькулятор'!$D$8,SUM($H$23:H274)-SUM($I$23:I273),IF(AND(EOMONTH(F274,0)=F274,MONTH(F274)=12),IF(MOD(YEAR(F273),4)=0,IF(F274-'депозитный калькулятор'!$D$7&lt;366,SUM($H$23:H274),SUM(OFFSET(H274,-365,0):H274)),IF(F274-'депозитный калькулятор'!$D$7&lt;365,SUM($H$23:H274),SUM(OFFSET(H274,-364,0):H274))),0))),IF(AND('депозитный калькулятор'!$G$10="в конце срока",'депозитный калькулятор'!$D$8=F274),SUM($H$23:H274),0))))))))))))))))))</f>
        <v xml:space="preserve"> </v>
      </c>
      <c r="J274" s="59" t="str">
        <f>IF(F274&gt;'депозитный калькулятор'!$D$8," ",IF('депозитный калькулятор'!$G$16="нет",0,IF(AND('депозитный калькулятор'!$G$17="разовая (в конце срока)",F274='депозитный калькулятор'!$D$8),'депозитный калькулятор'!$G$18,IF(AND('депозитный калькулятор'!$G$17="ежемесячная",EOMONTH(F273,0)=F273),'депозитный калькулятор'!$G$18,IF(AND('депозитный калькулятор'!$G$17="ежегодная",DAY(F273)=31,MONTH(F273)=12),'депозитный калькулятор'!$G$18,IF(AND('депозитный калькулятор'!$G$17="ежемесячная в зависимости от остатка",EOMONTH(F273,0)=F273,P273&gt;0),'депозитный калькулятор'!$G$18,IF(AND('депозитный калькулятор'!$G$17="ежегодная в зависимости от остатка",DAY(F273)=31,MONTH(F273)=12,P273&gt;0),'депозитный калькулятор'!$G$18,0)))))))</f>
        <v xml:space="preserve"> </v>
      </c>
      <c r="K274" s="135" t="str">
        <f>IF($F274=" "," ",IFERROR(VLOOKUP($F274,'депозитный калькулятор'!$B$26:$F$70,2,0),0))</f>
        <v xml:space="preserve"> </v>
      </c>
      <c r="L274" s="135" t="str">
        <f>IF($F274=" "," ",IFERROR(VLOOKUP($F274,'депозитный калькулятор'!$B$26:$F$70,3,0),0))</f>
        <v xml:space="preserve"> </v>
      </c>
      <c r="M274" s="135" t="str">
        <f>IF($F274=" "," ",IFERROR(VLOOKUP($F274,'депозитный калькулятор'!$B$26:$F$70,4,0),0))</f>
        <v xml:space="preserve"> </v>
      </c>
      <c r="N274" s="135" t="str">
        <f>IF($F274=" "," ",IFERROR(VLOOKUP($F274,'депозитный калькулятор'!$B$26:$F$70,5,0),0))</f>
        <v xml:space="preserve"> </v>
      </c>
      <c r="O274" s="146" t="str">
        <f>IF(F274&gt;'депозитный калькулятор'!$D$8," ",IF(F274='депозитный калькулятор'!$D$8,IF(AND($F$24='депозитный калькулятор'!$D$8,'депозитный калькулятор'!$G$13="нет"),-G274-IF(I274=" ",0,I274)-IF(AND(OR('депозитный калькулятор'!$G$7="30/365",'депозитный калькулятор'!$G$7="30/360"),'депозитный калькулятор'!$G$10="в начале срока"),I273,0)-L274+M274-N274,-G274-IF(I274=" ",0,I274)-L274+M274-N274),IF('депозитный калькулятор'!$G$13="есть",M274-N274+IF('депозитный калькулятор'!$G$14="есть",0,-L274),-IF(I274=" ",0,I274)-IF(AND(OR('депозитный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срока"),I273,0)+M274-N274+IF('депозитный калькулятор'!$G$14="есть",0,-L274))))</f>
        <v xml:space="preserve"> </v>
      </c>
      <c r="P274" s="147" t="str">
        <f>IF(F274&gt;'депозитный калькулятор'!$D$8," ",IF(EOMONTH(F273,0)=F273,0,IF(G274&gt;='депозитный калькулятор'!$G$19,P273,P273+1)))</f>
        <v xml:space="preserve"> </v>
      </c>
      <c r="Q274" s="138" t="str">
        <f>IF(F274=" "," ",IF(AND(OR('депозитный калькулятор'!$G$7="30/365",'депозитный калькулятор'!$G$7="30/360"),AND(MONTH(F274)=2,EOMONTH(F274,0)=F274)),IF(DAY(F274)=28,3,2),1)*IF(G274&gt;='депозитный калькулятор'!$G$11,IF(AND('депозитный калькулятор'!$G$7="факт/факт",MOD(YEAR(F274),4)=0),G274*'депозитный калькулятор'!$D$11/366,G274*'депозитный калькулятор'!$G$8),0))</f>
        <v xml:space="preserve"> </v>
      </c>
      <c r="R274" s="148"/>
      <c r="S274" s="62" t="str">
        <f t="shared" ca="1" si="17"/>
        <v xml:space="preserve"> </v>
      </c>
      <c r="T274" s="149" t="str">
        <f ca="1">IF(S274=" "," ",IF('депозитный калькулятор'!$G$7="30/360",DAYS360(U273,IF(DAY(U274)=31,U274-1,U274))+IF(AND(MONTH(U274)=2,U274=EOMONTH(U274,0)),30-DAY(EOMONTH(U274,0)))+T273,VLOOKUP(S274,$C$22:$F$1023,2,0)))</f>
        <v xml:space="preserve"> </v>
      </c>
      <c r="U274" s="64" t="str">
        <f t="shared" ca="1" si="15"/>
        <v xml:space="preserve"> </v>
      </c>
      <c r="V274" s="150" t="str">
        <f t="shared" ca="1" si="18"/>
        <v xml:space="preserve"> </v>
      </c>
      <c r="W274" s="62" t="str">
        <f t="shared" ca="1" si="19"/>
        <v xml:space="preserve"> </v>
      </c>
      <c r="X274" s="141" t="str">
        <f ca="1">IF(S274=" "," ",IFERROR(VLOOKUP(U274,$F$23:$N$1023,7)+VLOOKUP(U274,$F$23:$N$1023,9)+IF(AND('депозитный калькулятор'!$G$13="нет",U274&lt;&gt;'депозитный калькулятор'!$D$8),VLOOKUP(U274,$F$23:$N$1023,4),0),0)+IF(U274='депозитный калькулятор'!$D$8,VLOOKUP(U274,$F$23:$N$1023,2)+VLOOKUP(U274,$F$23:$N$1023,4),0))</f>
        <v xml:space="preserve"> </v>
      </c>
      <c r="Y274" s="142" t="str">
        <f ca="1">IF(S274=" "," ",W274/(1+'депозитный калькулятор'!$K$8)^(T274/IF('депозитный калькулятор'!$G$7="30/360",360,365)))</f>
        <v xml:space="preserve"> </v>
      </c>
      <c r="Z274" s="142" t="str">
        <f ca="1">IF(S274=" "," ",X274/(1+'депозитный калькулятор'!$K$8)^(T274/IF('депозитный калькулятор'!$G$7="30/360",360,365)))</f>
        <v xml:space="preserve"> </v>
      </c>
      <c r="AA274" s="151"/>
      <c r="AB274" s="151"/>
      <c r="AC274" s="155"/>
      <c r="AD274" s="155"/>
    </row>
    <row r="275" spans="1:30" s="2" customFormat="1" ht="15.5" x14ac:dyDescent="0.35">
      <c r="A275" s="41" t="str">
        <f>IF(F275=" "," ",IF(OR('депозитный калькулятор'!$G$7="30/365",'депозитный калькулятор'!$G$7="30/360"),IF(AND(MONTH(F275)=2,DAY(F275)=DAY(EOMONTH(F275,0))),30-DAY(EOMONTH(F275,0)),IF(DAY(F275)=31,1," "))," "))</f>
        <v xml:space="preserve"> </v>
      </c>
      <c r="B275" s="130" t="str">
        <f t="shared" si="16"/>
        <v xml:space="preserve"> </v>
      </c>
      <c r="C275" s="130" t="str">
        <f>IF(OR(B275=0,B275=" ")," ",SUM($B$23:B275))</f>
        <v xml:space="preserve"> </v>
      </c>
      <c r="D275" s="62" t="str">
        <f>IF(D274=" "," ",IF(OR(F274='депозитный калькулятор'!$D$8,F274=" ")," ",D274+1))</f>
        <v xml:space="preserve"> </v>
      </c>
      <c r="E275" s="130" t="str">
        <f>IF(OR(F274='депозитный калькулятор'!$D$8,F274=" ")," ",IF(EOMONTH(F274,0)=F274,1,E274+1))</f>
        <v xml:space="preserve"> </v>
      </c>
      <c r="F275" s="64" t="str">
        <f>IF(F274=" "," ",IF(F274='депозитный калькулятор'!$D$8," ",F274+1))</f>
        <v xml:space="preserve"> </v>
      </c>
      <c r="G275" s="145" t="str">
        <f xml:space="preserve"> IF(F275&gt;'депозитный калькулятор'!$D$8," ",IF('депозитный калькулятор'!$G$13="есть",IF('депозитный калькулятор'!$G$14="есть",G274+IF(I274=" ",0,I274)-J275-K275+L275+M275-N275,G274+IF(I274=" ",0,I274)-J275-K275+M275-N275),IF('депозитный калькулятор'!$G$14="есть",G274-J275-K275+L275+M275-N275,G274-J275-K275+M275-N275)))</f>
        <v xml:space="preserve"> </v>
      </c>
      <c r="H275" s="133" t="str">
        <f>IF(F275&gt;'депозитный калькулятор'!$D$8," ",IF(AND(OR('депозитный калькулятор'!$G$7="30/365",'депозитный калькулятор'!$G$7="30/360"),AND(MONTH(F275)=2,EOMONTH(F275,0)=F275)),IF(DAY(F275)=28,3*G275*'депозитный калькулятор'!$G$8,2*G275*'депозитный калькулятор'!$G$8),IF(AND(OR('депозитный калькулятор'!$G$7="30/365",'депозитный калькулятор'!$G$7="30/360"),DAY(F275)=31)," ",IF(AND('депозитный калькулятор'!$G$7="факт/факт",MOD(YEAR(F275),4)=0),G275*'депозитный калькулятор'!$D$11/366,G275*'депозитный калькулятор'!$G$8))))</f>
        <v xml:space="preserve"> </v>
      </c>
      <c r="I275" s="134" t="str">
        <f ca="1">IF(F275=" "," ",IF('депозитный калькулятор'!$G$10="ежедневное",H275,IF(AND('депозитный калькулятор'!$G$10="еженедельное",WEEKDAY(F275,2)=7),SUM(OFFSET(H275,-6,0):H275),IF(AND('депозитный калькулятор'!$G$10="еженедельное",F275='депозитный калькулятор'!$D$8),SUM($H$23:H275)-SUM($I$23:I274),IF(AND('депозитный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недели",WEEKDAY(F275,2)=7),MIN(OFFSET(H275,-6,0):H275)*(COUNTIF(OFFSET(H275,-6,0):H275,"&gt;0")+SUMIF(OFFSET(A275,-WEEKDAY(F275,2),0):A275,"=2",OFFSET(A275,-WEEKDAY(F275,2),0):A275)),IF(AND('депозитный калькулятор'!$G$10="еженедельное, на минимальную сумму зафиксированную в течение недели",F275='депозитный калькулятор'!$D$8,WEEKDAY(F275,2)&lt;&gt;7),MIN(OFFSET(H275,-WEEKDAY(F275,2),0):H275)*(COUNTIF(OFFSET(H275,-WEEKDAY(F275,2)+1,0):H275,"&gt;0")+SUM(OFFSET(A275,-WEEKDAY(F275,2),0):A275)),IF(AND('депозитный калькулятор'!$G$10="ежемесячное (в конце месяца)",F275='депозитный калькулятор'!$D$8,EOMONTH(F275,0)&lt;&gt;F275),IF('депозитный калькулятор'!$F$1=1,$H$24,SUM($H$23:H275)-SUM($I$23:I274)),IF(AND('депозитный калькулятор'!$G$10="ежемесячное (в конце месяца)",EOMONTH(F275,0)=F275),SUM($H$23:H275)-SUM($I$23:I274),IF(AND('депозитный калькулятор'!$G$10="ежемесячное (по дням открытия вклада)",F275='депозитный калькулятор'!$D$8,DAY('депозитный калькулятор'!$D$7)&lt;&gt;DAY(F275)),IF('депозитный калькулятор'!$F$1=1,$H$24,SUM($H$23:H275)-SUM($I$23:I274)),IF(AND('депозитный калькулятор'!$G$10="ежемесячное (по дням открытия вклада)",DAY('депозитный калькулятор'!$D$7)=DAY(F275)),SUM($H$23:H275)-SUM($I$23:I274),IF(AND('депозитный калькулятор'!$G$10="ежемесячное, на минимальную сумму зафиксированную в течение месяца",F275='депозитный калькулятор'!$D$8,EOMONTH(F275,0)&lt;&gt;F275),IF('депозитный калькулятор'!$F$1=1,$H$24,IF(AND(OR('депозитный калькулятор'!$G$7="30/365",'депозитный калькулятор'!$G$7="30/360"),DAY(F275)=31),0,MIN(OFFSET(H275,-E275+1,0):H275)*(E275+SUMIF(OFFSET(A275,-E275+1,0):A275,"=2",OFFSET(A275,-E275+1,0):A275)))),IF(AND('депозитный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калькулятор'!$G$7="30/360"),DAY(EOMONTH(F275,0))=31),EOMONTH(F275,0)-1=F275,EOMONTH(F275,0)=F275)),IF(IF(AND(OR('депозитный калькулятор'!$G$7="30/365",'депозитный калькулятор'!$G$7="30/360"),DAY(EOMONTH($F$23,0))=31),F275=EOMONTH($F$23,0)-1,F275=EOMONTH($F$23,0)),MIN(OFFSET(H275,-(DAY(F275)-DAY($F$23)),0):H275)*E275,MIN(OFFSET(H275,-(DAY(F275)-1),0):H275)*IF(AND(OR('депозитный калькулятор'!$G$7="30/365",'депозитный калькулятор'!$G$7="30/360"),DAY(F275)&lt;30),30,DAY(F275))),IF(AND('депозитный калькулятор'!$G$10="ежемесячное, на средний остаток в течение месяца, при условии что остаток больше чем ограничение",F275='депозитный калькулятор'!$D$8,EOMONTH(F275,0)&lt;&gt;F275),IF('депозитный калькулятор'!$F$1=1,$H$24,SUM(OFFSET(Q275,-E275+1,0):Q275)),IF(AND('депозитный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калькулятор'!$G$7="30/360"),DAY(EOMONTH(F275,0))=31),EOMONTH(F275,0)-1=F275,EOMONTH(F275,0)=F275)),IF(IF(AND(OR('депозитный калькулятор'!$G$7="30/365",'депозитный калькулятор'!$G$7="30/360"),DAY(EOMONTH($F$24,0))=31),F275=EOMONTH($F$24,0)-1,F275=EOMONTH($F$24,0)),SUM(OFFSET(Q275,-E275+1,0):Q275),SUM(OFFSET(Q275,-E275+1,0):Q275)),IF('депозитный калькулятор'!$G$10="ежеквартальное",IF(F275&gt;'депозитный калькулятор'!$D$8," ",IF(AND(EOMONTH(F275,0)=F275,OR(MONTH(F275)=3,MONTH(F275)=6,MONTH(F275)=9,MONTH(F275)=12)),IF(EDATE(F275,-3)&lt;'депозитный калькулятор'!$D$7,SUM($H$23:H275),IF(MOD(YEAR(F275),4)=0,IF(AND(EOMONTH(F275,0)=F275,OR(MONTH(F275)=3,MONTH(F275)=6)),SUM(OFFSET(H275,-90,0):H275),IF(AND(EOMONTH(F275,0)=F275,OR(MONTH(F275)=9,MONTH(F275)=12)),SUM(OFFSET(H275,-91,0):H275))),IF(AND(EOMONTH(F275,0)=F275,MONTH(F275)=3),SUM(OFFSET(H275,-89,0):H275),IF(AND(EOMONTH(F275,0)=F275,MONTH(F275)=6),SUM(OFFSET(H275,-90,0):H275),IF(AND(EOMONTH(F275,0)=F275,OR(MONTH(F275)=9,MONTH(F275)=12)),SUM(OFFSET(H275,-91,0):H275)))))),IF(F275='депозитный калькулятор'!$D$8,SUM($H$23:H275)-SUM($I$23:I274),0))),IF('депозитный калькулятор'!$G$10="ежегодное",IF(F275&gt;'депозитный калькулятор'!$D$8," ",IF(F275='депозитный калькулятор'!$D$8,SUM($H$23:H275)-SUM($I$23:I274),IF(AND(EOMONTH(F275,0)=F275,MONTH(F275)=12),IF(MOD(YEAR(F274),4)=0,IF(F275-'депозитный калькулятор'!$D$7&lt;366,SUM($H$23:H275),SUM(OFFSET(H275,-365,0):H275)),IF(F275-'депозитный калькулятор'!$D$7&lt;365,SUM($H$23:H275),SUM(OFFSET(H275,-364,0):H275))),0))),IF(AND('депозитный калькулятор'!$G$10="в конце срока",'депозитный калькулятор'!$D$8=F275),SUM($H$23:H275),0))))))))))))))))))</f>
        <v xml:space="preserve"> </v>
      </c>
      <c r="J275" s="59" t="str">
        <f>IF(F275&gt;'депозитный калькулятор'!$D$8," ",IF('депозитный калькулятор'!$G$16="нет",0,IF(AND('депозитный калькулятор'!$G$17="разовая (в конце срока)",F275='депозитный калькулятор'!$D$8),'депозитный калькулятор'!$G$18,IF(AND('депозитный калькулятор'!$G$17="ежемесячная",EOMONTH(F274,0)=F274),'депозитный калькулятор'!$G$18,IF(AND('депозитный калькулятор'!$G$17="ежегодная",DAY(F274)=31,MONTH(F274)=12),'депозитный калькулятор'!$G$18,IF(AND('депозитный калькулятор'!$G$17="ежемесячная в зависимости от остатка",EOMONTH(F274,0)=F274,P274&gt;0),'депозитный калькулятор'!$G$18,IF(AND('депозитный калькулятор'!$G$17="ежегодная в зависимости от остатка",DAY(F274)=31,MONTH(F274)=12,P274&gt;0),'депозитный калькулятор'!$G$18,0)))))))</f>
        <v xml:space="preserve"> </v>
      </c>
      <c r="K275" s="135" t="str">
        <f>IF($F275=" "," ",IFERROR(VLOOKUP($F275,'депозитный калькулятор'!$B$26:$F$70,2,0),0))</f>
        <v xml:space="preserve"> </v>
      </c>
      <c r="L275" s="135" t="str">
        <f>IF($F275=" "," ",IFERROR(VLOOKUP($F275,'депозитный калькулятор'!$B$26:$F$70,3,0),0))</f>
        <v xml:space="preserve"> </v>
      </c>
      <c r="M275" s="135" t="str">
        <f>IF($F275=" "," ",IFERROR(VLOOKUP($F275,'депозитный калькулятор'!$B$26:$F$70,4,0),0))</f>
        <v xml:space="preserve"> </v>
      </c>
      <c r="N275" s="135" t="str">
        <f>IF($F275=" "," ",IFERROR(VLOOKUP($F275,'депозитный калькулятор'!$B$26:$F$70,5,0),0))</f>
        <v xml:space="preserve"> </v>
      </c>
      <c r="O275" s="146" t="str">
        <f>IF(F275&gt;'депозитный калькулятор'!$D$8," ",IF(F275='депозитный калькулятор'!$D$8,IF(AND($F$24='депозитный калькулятор'!$D$8,'депозитный калькулятор'!$G$13="нет"),-G275-IF(I275=" ",0,I275)-IF(AND(OR('депозитный калькулятор'!$G$7="30/365",'депозитный калькулятор'!$G$7="30/360"),'депозитный калькулятор'!$G$10="в начале срока"),I274,0)-L275+M275-N275,-G275-IF(I275=" ",0,I275)-L275+M275-N275),IF('депозитный калькулятор'!$G$13="есть",M275-N275+IF('депозитный калькулятор'!$G$14="есть",0,-L275),-IF(I275=" ",0,I275)-IF(AND(OR('депозитный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срока"),I274,0)+M275-N275+IF('депозитный калькулятор'!$G$14="есть",0,-L275))))</f>
        <v xml:space="preserve"> </v>
      </c>
      <c r="P275" s="147" t="str">
        <f>IF(F275&gt;'депозитный калькулятор'!$D$8," ",IF(EOMONTH(F274,0)=F274,0,IF(G275&gt;='депозитный калькулятор'!$G$19,P274,P274+1)))</f>
        <v xml:space="preserve"> </v>
      </c>
      <c r="Q275" s="138" t="str">
        <f>IF(F275=" "," ",IF(AND(OR('депозитный калькулятор'!$G$7="30/365",'депозитный калькулятор'!$G$7="30/360"),AND(MONTH(F275)=2,EOMONTH(F275,0)=F275)),IF(DAY(F275)=28,3,2),1)*IF(G275&gt;='депозитный калькулятор'!$G$11,IF(AND('депозитный калькулятор'!$G$7="факт/факт",MOD(YEAR(F275),4)=0),G275*'депозитный калькулятор'!$D$11/366,G275*'депозитный калькулятор'!$G$8),0))</f>
        <v xml:space="preserve"> </v>
      </c>
      <c r="R275" s="148"/>
      <c r="S275" s="62" t="str">
        <f t="shared" ca="1" si="17"/>
        <v xml:space="preserve"> </v>
      </c>
      <c r="T275" s="149" t="str">
        <f ca="1">IF(S275=" "," ",IF('депозитный калькулятор'!$G$7="30/360",DAYS360(U274,IF(DAY(U275)=31,U275-1,U275))+IF(AND(MONTH(U275)=2,U275=EOMONTH(U275,0)),30-DAY(EOMONTH(U275,0)))+T274,VLOOKUP(S275,$C$22:$F$1023,2,0)))</f>
        <v xml:space="preserve"> </v>
      </c>
      <c r="U275" s="64" t="str">
        <f t="shared" ca="1" si="15"/>
        <v xml:space="preserve"> </v>
      </c>
      <c r="V275" s="150" t="str">
        <f t="shared" ca="1" si="18"/>
        <v xml:space="preserve"> </v>
      </c>
      <c r="W275" s="62" t="str">
        <f t="shared" ca="1" si="19"/>
        <v xml:space="preserve"> </v>
      </c>
      <c r="X275" s="141" t="str">
        <f ca="1">IF(S275=" "," ",IFERROR(VLOOKUP(U275,$F$23:$N$1023,7)+VLOOKUP(U275,$F$23:$N$1023,9)+IF(AND('депозитный калькулятор'!$G$13="нет",U275&lt;&gt;'депозитный калькулятор'!$D$8),VLOOKUP(U275,$F$23:$N$1023,4),0),0)+IF(U275='депозитный калькулятор'!$D$8,VLOOKUP(U275,$F$23:$N$1023,2)+VLOOKUP(U275,$F$23:$N$1023,4),0))</f>
        <v xml:space="preserve"> </v>
      </c>
      <c r="Y275" s="142" t="str">
        <f ca="1">IF(S275=" "," ",W275/(1+'депозитный калькулятор'!$K$8)^(T275/IF('депозитный калькулятор'!$G$7="30/360",360,365)))</f>
        <v xml:space="preserve"> </v>
      </c>
      <c r="Z275" s="142" t="str">
        <f ca="1">IF(S275=" "," ",X275/(1+'депозитный калькулятор'!$K$8)^(T275/IF('депозитный калькулятор'!$G$7="30/360",360,365)))</f>
        <v xml:space="preserve"> </v>
      </c>
      <c r="AA275" s="151"/>
      <c r="AB275" s="151"/>
      <c r="AC275" s="155"/>
      <c r="AD275" s="155"/>
    </row>
    <row r="276" spans="1:30" s="2" customFormat="1" ht="15.5" x14ac:dyDescent="0.35">
      <c r="A276" s="41" t="str">
        <f>IF(F276=" "," ",IF(OR('депозитный калькулятор'!$G$7="30/365",'депозитный калькулятор'!$G$7="30/360"),IF(AND(MONTH(F276)=2,DAY(F276)=DAY(EOMONTH(F276,0))),30-DAY(EOMONTH(F276,0)),IF(DAY(F276)=31,1," "))," "))</f>
        <v xml:space="preserve"> </v>
      </c>
      <c r="B276" s="130" t="str">
        <f t="shared" si="16"/>
        <v xml:space="preserve"> </v>
      </c>
      <c r="C276" s="130" t="str">
        <f>IF(OR(B276=0,B276=" ")," ",SUM($B$23:B276))</f>
        <v xml:space="preserve"> </v>
      </c>
      <c r="D276" s="62" t="str">
        <f>IF(D275=" "," ",IF(OR(F275='депозитный калькулятор'!$D$8,F275=" ")," ",D275+1))</f>
        <v xml:space="preserve"> </v>
      </c>
      <c r="E276" s="130" t="str">
        <f>IF(OR(F275='депозитный калькулятор'!$D$8,F275=" ")," ",IF(EOMONTH(F275,0)=F275,1,E275+1))</f>
        <v xml:space="preserve"> </v>
      </c>
      <c r="F276" s="64" t="str">
        <f>IF(F275=" "," ",IF(F275='депозитный калькулятор'!$D$8," ",F275+1))</f>
        <v xml:space="preserve"> </v>
      </c>
      <c r="G276" s="145" t="str">
        <f xml:space="preserve"> IF(F276&gt;'депозитный калькулятор'!$D$8," ",IF('депозитный калькулятор'!$G$13="есть",IF('депозитный калькулятор'!$G$14="есть",G275+IF(I275=" ",0,I275)-J276-K276+L276+M276-N276,G275+IF(I275=" ",0,I275)-J276-K276+M276-N276),IF('депозитный калькулятор'!$G$14="есть",G275-J276-K276+L276+M276-N276,G275-J276-K276+M276-N276)))</f>
        <v xml:space="preserve"> </v>
      </c>
      <c r="H276" s="133" t="str">
        <f>IF(F276&gt;'депозитный калькулятор'!$D$8," ",IF(AND(OR('депозитный калькулятор'!$G$7="30/365",'депозитный калькулятор'!$G$7="30/360"),AND(MONTH(F276)=2,EOMONTH(F276,0)=F276)),IF(DAY(F276)=28,3*G276*'депозитный калькулятор'!$G$8,2*G276*'депозитный калькулятор'!$G$8),IF(AND(OR('депозитный калькулятор'!$G$7="30/365",'депозитный калькулятор'!$G$7="30/360"),DAY(F276)=31)," ",IF(AND('депозитный калькулятор'!$G$7="факт/факт",MOD(YEAR(F276),4)=0),G276*'депозитный калькулятор'!$D$11/366,G276*'депозитный калькулятор'!$G$8))))</f>
        <v xml:space="preserve"> </v>
      </c>
      <c r="I276" s="134" t="str">
        <f ca="1">IF(F276=" "," ",IF('депозитный калькулятор'!$G$10="ежедневное",H276,IF(AND('депозитный калькулятор'!$G$10="еженедельное",WEEKDAY(F276,2)=7),SUM(OFFSET(H276,-6,0):H276),IF(AND('депозитный калькулятор'!$G$10="еженедельное",F276='депозитный калькулятор'!$D$8),SUM($H$23:H276)-SUM($I$23:I275),IF(AND('депозитный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недели",WEEKDAY(F276,2)=7),MIN(OFFSET(H276,-6,0):H276)*(COUNTIF(OFFSET(H276,-6,0):H276,"&gt;0")+SUMIF(OFFSET(A276,-WEEKDAY(F276,2),0):A276,"=2",OFFSET(A276,-WEEKDAY(F276,2),0):A276)),IF(AND('депозитный калькулятор'!$G$10="еженедельное, на минимальную сумму зафиксированную в течение недели",F276='депозитный калькулятор'!$D$8,WEEKDAY(F276,2)&lt;&gt;7),MIN(OFFSET(H276,-WEEKDAY(F276,2),0):H276)*(COUNTIF(OFFSET(H276,-WEEKDAY(F276,2)+1,0):H276,"&gt;0")+SUM(OFFSET(A276,-WEEKDAY(F276,2),0):A276)),IF(AND('депозитный калькулятор'!$G$10="ежемесячное (в конце месяца)",F276='депозитный калькулятор'!$D$8,EOMONTH(F276,0)&lt;&gt;F276),IF('депозитный калькулятор'!$F$1=1,$H$24,SUM($H$23:H276)-SUM($I$23:I275)),IF(AND('депозитный калькулятор'!$G$10="ежемесячное (в конце месяца)",EOMONTH(F276,0)=F276),SUM($H$23:H276)-SUM($I$23:I275),IF(AND('депозитный калькулятор'!$G$10="ежемесячное (по дням открытия вклада)",F276='депозитный калькулятор'!$D$8,DAY('депозитный калькулятор'!$D$7)&lt;&gt;DAY(F276)),IF('депозитный калькулятор'!$F$1=1,$H$24,SUM($H$23:H276)-SUM($I$23:I275)),IF(AND('депозитный калькулятор'!$G$10="ежемесячное (по дням открытия вклада)",DAY('депозитный калькулятор'!$D$7)=DAY(F276)),SUM($H$23:H276)-SUM($I$23:I275),IF(AND('депозитный калькулятор'!$G$10="ежемесячное, на минимальную сумму зафиксированную в течение месяца",F276='депозитный калькулятор'!$D$8,EOMONTH(F276,0)&lt;&gt;F276),IF('депозитный калькулятор'!$F$1=1,$H$24,IF(AND(OR('депозитный калькулятор'!$G$7="30/365",'депозитный калькулятор'!$G$7="30/360"),DAY(F276)=31),0,MIN(OFFSET(H276,-E276+1,0):H276)*(E276+SUMIF(OFFSET(A276,-E276+1,0):A276,"=2",OFFSET(A276,-E276+1,0):A276)))),IF(AND('депозитный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калькулятор'!$G$7="30/360"),DAY(EOMONTH(F276,0))=31),EOMONTH(F276,0)-1=F276,EOMONTH(F276,0)=F276)),IF(IF(AND(OR('депозитный калькулятор'!$G$7="30/365",'депозитный калькулятор'!$G$7="30/360"),DAY(EOMONTH($F$23,0))=31),F276=EOMONTH($F$23,0)-1,F276=EOMONTH($F$23,0)),MIN(OFFSET(H276,-(DAY(F276)-DAY($F$23)),0):H276)*E276,MIN(OFFSET(H276,-(DAY(F276)-1),0):H276)*IF(AND(OR('депозитный калькулятор'!$G$7="30/365",'депозитный калькулятор'!$G$7="30/360"),DAY(F276)&lt;30),30,DAY(F276))),IF(AND('депозитный калькулятор'!$G$10="ежемесячное, на средний остаток в течение месяца, при условии что остаток больше чем ограничение",F276='депозитный калькулятор'!$D$8,EOMONTH(F276,0)&lt;&gt;F276),IF('депозитный калькулятор'!$F$1=1,$H$24,SUM(OFFSET(Q276,-E276+1,0):Q276)),IF(AND('депозитный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калькулятор'!$G$7="30/360"),DAY(EOMONTH(F276,0))=31),EOMONTH(F276,0)-1=F276,EOMONTH(F276,0)=F276)),IF(IF(AND(OR('депозитный калькулятор'!$G$7="30/365",'депозитный калькулятор'!$G$7="30/360"),DAY(EOMONTH($F$24,0))=31),F276=EOMONTH($F$24,0)-1,F276=EOMONTH($F$24,0)),SUM(OFFSET(Q276,-E276+1,0):Q276),SUM(OFFSET(Q276,-E276+1,0):Q276)),IF('депозитный калькулятор'!$G$10="ежеквартальное",IF(F276&gt;'депозитный калькулятор'!$D$8," ",IF(AND(EOMONTH(F276,0)=F276,OR(MONTH(F276)=3,MONTH(F276)=6,MONTH(F276)=9,MONTH(F276)=12)),IF(EDATE(F276,-3)&lt;'депозитный калькулятор'!$D$7,SUM($H$23:H276),IF(MOD(YEAR(F276),4)=0,IF(AND(EOMONTH(F276,0)=F276,OR(MONTH(F276)=3,MONTH(F276)=6)),SUM(OFFSET(H276,-90,0):H276),IF(AND(EOMONTH(F276,0)=F276,OR(MONTH(F276)=9,MONTH(F276)=12)),SUM(OFFSET(H276,-91,0):H276))),IF(AND(EOMONTH(F276,0)=F276,MONTH(F276)=3),SUM(OFFSET(H276,-89,0):H276),IF(AND(EOMONTH(F276,0)=F276,MONTH(F276)=6),SUM(OFFSET(H276,-90,0):H276),IF(AND(EOMONTH(F276,0)=F276,OR(MONTH(F276)=9,MONTH(F276)=12)),SUM(OFFSET(H276,-91,0):H276)))))),IF(F276='депозитный калькулятор'!$D$8,SUM($H$23:H276)-SUM($I$23:I275),0))),IF('депозитный калькулятор'!$G$10="ежегодное",IF(F276&gt;'депозитный калькулятор'!$D$8," ",IF(F276='депозитный калькулятор'!$D$8,SUM($H$23:H276)-SUM($I$23:I275),IF(AND(EOMONTH(F276,0)=F276,MONTH(F276)=12),IF(MOD(YEAR(F275),4)=0,IF(F276-'депозитный калькулятор'!$D$7&lt;366,SUM($H$23:H276),SUM(OFFSET(H276,-365,0):H276)),IF(F276-'депозитный калькулятор'!$D$7&lt;365,SUM($H$23:H276),SUM(OFFSET(H276,-364,0):H276))),0))),IF(AND('депозитный калькулятор'!$G$10="в конце срока",'депозитный калькулятор'!$D$8=F276),SUM($H$23:H276),0))))))))))))))))))</f>
        <v xml:space="preserve"> </v>
      </c>
      <c r="J276" s="59" t="str">
        <f>IF(F276&gt;'депозитный калькулятор'!$D$8," ",IF('депозитный калькулятор'!$G$16="нет",0,IF(AND('депозитный калькулятор'!$G$17="разовая (в конце срока)",F276='депозитный калькулятор'!$D$8),'депозитный калькулятор'!$G$18,IF(AND('депозитный калькулятор'!$G$17="ежемесячная",EOMONTH(F275,0)=F275),'депозитный калькулятор'!$G$18,IF(AND('депозитный калькулятор'!$G$17="ежегодная",DAY(F275)=31,MONTH(F275)=12),'депозитный калькулятор'!$G$18,IF(AND('депозитный калькулятор'!$G$17="ежемесячная в зависимости от остатка",EOMONTH(F275,0)=F275,P275&gt;0),'депозитный калькулятор'!$G$18,IF(AND('депозитный калькулятор'!$G$17="ежегодная в зависимости от остатка",DAY(F275)=31,MONTH(F275)=12,P275&gt;0),'депозитный калькулятор'!$G$18,0)))))))</f>
        <v xml:space="preserve"> </v>
      </c>
      <c r="K276" s="135" t="str">
        <f>IF($F276=" "," ",IFERROR(VLOOKUP($F276,'депозитный калькулятор'!$B$26:$F$70,2,0),0))</f>
        <v xml:space="preserve"> </v>
      </c>
      <c r="L276" s="135" t="str">
        <f>IF($F276=" "," ",IFERROR(VLOOKUP($F276,'депозитный калькулятор'!$B$26:$F$70,3,0),0))</f>
        <v xml:space="preserve"> </v>
      </c>
      <c r="M276" s="135" t="str">
        <f>IF($F276=" "," ",IFERROR(VLOOKUP($F276,'депозитный калькулятор'!$B$26:$F$70,4,0),0))</f>
        <v xml:space="preserve"> </v>
      </c>
      <c r="N276" s="135" t="str">
        <f>IF($F276=" "," ",IFERROR(VLOOKUP($F276,'депозитный калькулятор'!$B$26:$F$70,5,0),0))</f>
        <v xml:space="preserve"> </v>
      </c>
      <c r="O276" s="146" t="str">
        <f>IF(F276&gt;'депозитный калькулятор'!$D$8," ",IF(F276='депозитный калькулятор'!$D$8,IF(AND($F$24='депозитный калькулятор'!$D$8,'депозитный калькулятор'!$G$13="нет"),-G276-IF(I276=" ",0,I276)-IF(AND(OR('депозитный калькулятор'!$G$7="30/365",'депозитный калькулятор'!$G$7="30/360"),'депозитный калькулятор'!$G$10="в начале срока"),I275,0)-L276+M276-N276,-G276-IF(I276=" ",0,I276)-L276+M276-N276),IF('депозитный калькулятор'!$G$13="есть",M276-N276+IF('депозитный калькулятор'!$G$14="есть",0,-L276),-IF(I276=" ",0,I276)-IF(AND(OR('депозитный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срока"),I275,0)+M276-N276+IF('депозитный калькулятор'!$G$14="есть",0,-L276))))</f>
        <v xml:space="preserve"> </v>
      </c>
      <c r="P276" s="147" t="str">
        <f>IF(F276&gt;'депозитный калькулятор'!$D$8," ",IF(EOMONTH(F275,0)=F275,0,IF(G276&gt;='депозитный калькулятор'!$G$19,P275,P275+1)))</f>
        <v xml:space="preserve"> </v>
      </c>
      <c r="Q276" s="138" t="str">
        <f>IF(F276=" "," ",IF(AND(OR('депозитный калькулятор'!$G$7="30/365",'депозитный калькулятор'!$G$7="30/360"),AND(MONTH(F276)=2,EOMONTH(F276,0)=F276)),IF(DAY(F276)=28,3,2),1)*IF(G276&gt;='депозитный калькулятор'!$G$11,IF(AND('депозитный калькулятор'!$G$7="факт/факт",MOD(YEAR(F276),4)=0),G276*'депозитный калькулятор'!$D$11/366,G276*'депозитный калькулятор'!$G$8),0))</f>
        <v xml:space="preserve"> </v>
      </c>
      <c r="R276" s="148"/>
      <c r="S276" s="62" t="str">
        <f t="shared" ca="1" si="17"/>
        <v xml:space="preserve"> </v>
      </c>
      <c r="T276" s="149" t="str">
        <f ca="1">IF(S276=" "," ",IF('депозитный калькулятор'!$G$7="30/360",DAYS360(U275,IF(DAY(U276)=31,U276-1,U276))+IF(AND(MONTH(U276)=2,U276=EOMONTH(U276,0)),30-DAY(EOMONTH(U276,0)))+T275,VLOOKUP(S276,$C$22:$F$1023,2,0)))</f>
        <v xml:space="preserve"> </v>
      </c>
      <c r="U276" s="64" t="str">
        <f t="shared" ca="1" si="15"/>
        <v xml:space="preserve"> </v>
      </c>
      <c r="V276" s="150" t="str">
        <f t="shared" ca="1" si="18"/>
        <v xml:space="preserve"> </v>
      </c>
      <c r="W276" s="62" t="str">
        <f t="shared" ca="1" si="19"/>
        <v xml:space="preserve"> </v>
      </c>
      <c r="X276" s="141" t="str">
        <f ca="1">IF(S276=" "," ",IFERROR(VLOOKUP(U276,$F$23:$N$1023,7)+VLOOKUP(U276,$F$23:$N$1023,9)+IF(AND('депозитный калькулятор'!$G$13="нет",U276&lt;&gt;'депозитный калькулятор'!$D$8),VLOOKUP(U276,$F$23:$N$1023,4),0),0)+IF(U276='депозитный калькулятор'!$D$8,VLOOKUP(U276,$F$23:$N$1023,2)+VLOOKUP(U276,$F$23:$N$1023,4),0))</f>
        <v xml:space="preserve"> </v>
      </c>
      <c r="Y276" s="142" t="str">
        <f ca="1">IF(S276=" "," ",W276/(1+'депозитный калькулятор'!$K$8)^(T276/IF('депозитный калькулятор'!$G$7="30/360",360,365)))</f>
        <v xml:space="preserve"> </v>
      </c>
      <c r="Z276" s="142" t="str">
        <f ca="1">IF(S276=" "," ",X276/(1+'депозитный калькулятор'!$K$8)^(T276/IF('депозитный калькулятор'!$G$7="30/360",360,365)))</f>
        <v xml:space="preserve"> </v>
      </c>
      <c r="AA276" s="151"/>
      <c r="AB276" s="151"/>
      <c r="AC276" s="155"/>
      <c r="AD276" s="155"/>
    </row>
    <row r="277" spans="1:30" s="2" customFormat="1" ht="15.5" x14ac:dyDescent="0.35">
      <c r="A277" s="41" t="str">
        <f>IF(F277=" "," ",IF(OR('депозитный калькулятор'!$G$7="30/365",'депозитный калькулятор'!$G$7="30/360"),IF(AND(MONTH(F277)=2,DAY(F277)=DAY(EOMONTH(F277,0))),30-DAY(EOMONTH(F277,0)),IF(DAY(F277)=31,1," "))," "))</f>
        <v xml:space="preserve"> </v>
      </c>
      <c r="B277" s="130" t="str">
        <f t="shared" si="16"/>
        <v xml:space="preserve"> </v>
      </c>
      <c r="C277" s="130" t="str">
        <f>IF(OR(B277=0,B277=" ")," ",SUM($B$23:B277))</f>
        <v xml:space="preserve"> </v>
      </c>
      <c r="D277" s="62" t="str">
        <f>IF(D276=" "," ",IF(OR(F276='депозитный калькулятор'!$D$8,F276=" ")," ",D276+1))</f>
        <v xml:space="preserve"> </v>
      </c>
      <c r="E277" s="130" t="str">
        <f>IF(OR(F276='депозитный калькулятор'!$D$8,F276=" ")," ",IF(EOMONTH(F276,0)=F276,1,E276+1))</f>
        <v xml:space="preserve"> </v>
      </c>
      <c r="F277" s="64" t="str">
        <f>IF(F276=" "," ",IF(F276='депозитный калькулятор'!$D$8," ",F276+1))</f>
        <v xml:space="preserve"> </v>
      </c>
      <c r="G277" s="145" t="str">
        <f xml:space="preserve"> IF(F277&gt;'депозитный калькулятор'!$D$8," ",IF('депозитный калькулятор'!$G$13="есть",IF('депозитный калькулятор'!$G$14="есть",G276+IF(I276=" ",0,I276)-J277-K277+L277+M277-N277,G276+IF(I276=" ",0,I276)-J277-K277+M277-N277),IF('депозитный калькулятор'!$G$14="есть",G276-J277-K277+L277+M277-N277,G276-J277-K277+M277-N277)))</f>
        <v xml:space="preserve"> </v>
      </c>
      <c r="H277" s="133" t="str">
        <f>IF(F277&gt;'депозитный калькулятор'!$D$8," ",IF(AND(OR('депозитный калькулятор'!$G$7="30/365",'депозитный калькулятор'!$G$7="30/360"),AND(MONTH(F277)=2,EOMONTH(F277,0)=F277)),IF(DAY(F277)=28,3*G277*'депозитный калькулятор'!$G$8,2*G277*'депозитный калькулятор'!$G$8),IF(AND(OR('депозитный калькулятор'!$G$7="30/365",'депозитный калькулятор'!$G$7="30/360"),DAY(F277)=31)," ",IF(AND('депозитный калькулятор'!$G$7="факт/факт",MOD(YEAR(F277),4)=0),G277*'депозитный калькулятор'!$D$11/366,G277*'депозитный калькулятор'!$G$8))))</f>
        <v xml:space="preserve"> </v>
      </c>
      <c r="I277" s="134" t="str">
        <f ca="1">IF(F277=" "," ",IF('депозитный калькулятор'!$G$10="ежедневное",H277,IF(AND('депозитный калькулятор'!$G$10="еженедельное",WEEKDAY(F277,2)=7),SUM(OFFSET(H277,-6,0):H277),IF(AND('депозитный калькулятор'!$G$10="еженедельное",F277='депозитный калькулятор'!$D$8),SUM($H$23:H277)-SUM($I$23:I276),IF(AND('депозитный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недели",WEEKDAY(F277,2)=7),MIN(OFFSET(H277,-6,0):H277)*(COUNTIF(OFFSET(H277,-6,0):H277,"&gt;0")+SUMIF(OFFSET(A277,-WEEKDAY(F277,2),0):A277,"=2",OFFSET(A277,-WEEKDAY(F277,2),0):A277)),IF(AND('депозитный калькулятор'!$G$10="еженедельное, на минимальную сумму зафиксированную в течение недели",F277='депозитный калькулятор'!$D$8,WEEKDAY(F277,2)&lt;&gt;7),MIN(OFFSET(H277,-WEEKDAY(F277,2),0):H277)*(COUNTIF(OFFSET(H277,-WEEKDAY(F277,2)+1,0):H277,"&gt;0")+SUM(OFFSET(A277,-WEEKDAY(F277,2),0):A277)),IF(AND('депозитный калькулятор'!$G$10="ежемесячное (в конце месяца)",F277='депозитный калькулятор'!$D$8,EOMONTH(F277,0)&lt;&gt;F277),IF('депозитный калькулятор'!$F$1=1,$H$24,SUM($H$23:H277)-SUM($I$23:I276)),IF(AND('депозитный калькулятор'!$G$10="ежемесячное (в конце месяца)",EOMONTH(F277,0)=F277),SUM($H$23:H277)-SUM($I$23:I276),IF(AND('депозитный калькулятор'!$G$10="ежемесячное (по дням открытия вклада)",F277='депозитный калькулятор'!$D$8,DAY('депозитный калькулятор'!$D$7)&lt;&gt;DAY(F277)),IF('депозитный калькулятор'!$F$1=1,$H$24,SUM($H$23:H277)-SUM($I$23:I276)),IF(AND('депозитный калькулятор'!$G$10="ежемесячное (по дням открытия вклада)",DAY('депозитный калькулятор'!$D$7)=DAY(F277)),SUM($H$23:H277)-SUM($I$23:I276),IF(AND('депозитный калькулятор'!$G$10="ежемесячное, на минимальную сумму зафиксированную в течение месяца",F277='депозитный калькулятор'!$D$8,EOMONTH(F277,0)&lt;&gt;F277),IF('депозитный калькулятор'!$F$1=1,$H$24,IF(AND(OR('депозитный калькулятор'!$G$7="30/365",'депозитный калькулятор'!$G$7="30/360"),DAY(F277)=31),0,MIN(OFFSET(H277,-E277+1,0):H277)*(E277+SUMIF(OFFSET(A277,-E277+1,0):A277,"=2",OFFSET(A277,-E277+1,0):A277)))),IF(AND('депозитный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калькулятор'!$G$7="30/360"),DAY(EOMONTH(F277,0))=31),EOMONTH(F277,0)-1=F277,EOMONTH(F277,0)=F277)),IF(IF(AND(OR('депозитный калькулятор'!$G$7="30/365",'депозитный калькулятор'!$G$7="30/360"),DAY(EOMONTH($F$23,0))=31),F277=EOMONTH($F$23,0)-1,F277=EOMONTH($F$23,0)),MIN(OFFSET(H277,-(DAY(F277)-DAY($F$23)),0):H277)*E277,MIN(OFFSET(H277,-(DAY(F277)-1),0):H277)*IF(AND(OR('депозитный калькулятор'!$G$7="30/365",'депозитный калькулятор'!$G$7="30/360"),DAY(F277)&lt;30),30,DAY(F277))),IF(AND('депозитный калькулятор'!$G$10="ежемесячное, на средний остаток в течение месяца, при условии что остаток больше чем ограничение",F277='депозитный калькулятор'!$D$8,EOMONTH(F277,0)&lt;&gt;F277),IF('депозитный калькулятор'!$F$1=1,$H$24,SUM(OFFSET(Q277,-E277+1,0):Q277)),IF(AND('депозитный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калькулятор'!$G$7="30/360"),DAY(EOMONTH(F277,0))=31),EOMONTH(F277,0)-1=F277,EOMONTH(F277,0)=F277)),IF(IF(AND(OR('депозитный калькулятор'!$G$7="30/365",'депозитный калькулятор'!$G$7="30/360"),DAY(EOMONTH($F$24,0))=31),F277=EOMONTH($F$24,0)-1,F277=EOMONTH($F$24,0)),SUM(OFFSET(Q277,-E277+1,0):Q277),SUM(OFFSET(Q277,-E277+1,0):Q277)),IF('депозитный калькулятор'!$G$10="ежеквартальное",IF(F277&gt;'депозитный калькулятор'!$D$8," ",IF(AND(EOMONTH(F277,0)=F277,OR(MONTH(F277)=3,MONTH(F277)=6,MONTH(F277)=9,MONTH(F277)=12)),IF(EDATE(F277,-3)&lt;'депозитный калькулятор'!$D$7,SUM($H$23:H277),IF(MOD(YEAR(F277),4)=0,IF(AND(EOMONTH(F277,0)=F277,OR(MONTH(F277)=3,MONTH(F277)=6)),SUM(OFFSET(H277,-90,0):H277),IF(AND(EOMONTH(F277,0)=F277,OR(MONTH(F277)=9,MONTH(F277)=12)),SUM(OFFSET(H277,-91,0):H277))),IF(AND(EOMONTH(F277,0)=F277,MONTH(F277)=3),SUM(OFFSET(H277,-89,0):H277),IF(AND(EOMONTH(F277,0)=F277,MONTH(F277)=6),SUM(OFFSET(H277,-90,0):H277),IF(AND(EOMONTH(F277,0)=F277,OR(MONTH(F277)=9,MONTH(F277)=12)),SUM(OFFSET(H277,-91,0):H277)))))),IF(F277='депозитный калькулятор'!$D$8,SUM($H$23:H277)-SUM($I$23:I276),0))),IF('депозитный калькулятор'!$G$10="ежегодное",IF(F277&gt;'депозитный калькулятор'!$D$8," ",IF(F277='депозитный калькулятор'!$D$8,SUM($H$23:H277)-SUM($I$23:I276),IF(AND(EOMONTH(F277,0)=F277,MONTH(F277)=12),IF(MOD(YEAR(F276),4)=0,IF(F277-'депозитный калькулятор'!$D$7&lt;366,SUM($H$23:H277),SUM(OFFSET(H277,-365,0):H277)),IF(F277-'депозитный калькулятор'!$D$7&lt;365,SUM($H$23:H277),SUM(OFFSET(H277,-364,0):H277))),0))),IF(AND('депозитный калькулятор'!$G$10="в конце срока",'депозитный калькулятор'!$D$8=F277),SUM($H$23:H277),0))))))))))))))))))</f>
        <v xml:space="preserve"> </v>
      </c>
      <c r="J277" s="59" t="str">
        <f>IF(F277&gt;'депозитный калькулятор'!$D$8," ",IF('депозитный калькулятор'!$G$16="нет",0,IF(AND('депозитный калькулятор'!$G$17="разовая (в конце срока)",F277='депозитный калькулятор'!$D$8),'депозитный калькулятор'!$G$18,IF(AND('депозитный калькулятор'!$G$17="ежемесячная",EOMONTH(F276,0)=F276),'депозитный калькулятор'!$G$18,IF(AND('депозитный калькулятор'!$G$17="ежегодная",DAY(F276)=31,MONTH(F276)=12),'депозитный калькулятор'!$G$18,IF(AND('депозитный калькулятор'!$G$17="ежемесячная в зависимости от остатка",EOMONTH(F276,0)=F276,P276&gt;0),'депозитный калькулятор'!$G$18,IF(AND('депозитный калькулятор'!$G$17="ежегодная в зависимости от остатка",DAY(F276)=31,MONTH(F276)=12,P276&gt;0),'депозитный калькулятор'!$G$18,0)))))))</f>
        <v xml:space="preserve"> </v>
      </c>
      <c r="K277" s="135" t="str">
        <f>IF($F277=" "," ",IFERROR(VLOOKUP($F277,'депозитный калькулятор'!$B$26:$F$70,2,0),0))</f>
        <v xml:space="preserve"> </v>
      </c>
      <c r="L277" s="135" t="str">
        <f>IF($F277=" "," ",IFERROR(VLOOKUP($F277,'депозитный калькулятор'!$B$26:$F$70,3,0),0))</f>
        <v xml:space="preserve"> </v>
      </c>
      <c r="M277" s="135" t="str">
        <f>IF($F277=" "," ",IFERROR(VLOOKUP($F277,'депозитный калькулятор'!$B$26:$F$70,4,0),0))</f>
        <v xml:space="preserve"> </v>
      </c>
      <c r="N277" s="135" t="str">
        <f>IF($F277=" "," ",IFERROR(VLOOKUP($F277,'депозитный калькулятор'!$B$26:$F$70,5,0),0))</f>
        <v xml:space="preserve"> </v>
      </c>
      <c r="O277" s="146" t="str">
        <f>IF(F277&gt;'депозитный калькулятор'!$D$8," ",IF(F277='депозитный калькулятор'!$D$8,IF(AND($F$24='депозитный калькулятор'!$D$8,'депозитный калькулятор'!$G$13="нет"),-G277-IF(I277=" ",0,I277)-IF(AND(OR('депозитный калькулятор'!$G$7="30/365",'депозитный калькулятор'!$G$7="30/360"),'депозитный калькулятор'!$G$10="в начале срока"),I276,0)-L277+M277-N277,-G277-IF(I277=" ",0,I277)-L277+M277-N277),IF('депозитный калькулятор'!$G$13="есть",M277-N277+IF('депозитный калькулятор'!$G$14="есть",0,-L277),-IF(I277=" ",0,I277)-IF(AND(OR('депозитный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срока"),I276,0)+M277-N277+IF('депозитный калькулятор'!$G$14="есть",0,-L277))))</f>
        <v xml:space="preserve"> </v>
      </c>
      <c r="P277" s="147" t="str">
        <f>IF(F277&gt;'депозитный калькулятор'!$D$8," ",IF(EOMONTH(F276,0)=F276,0,IF(G277&gt;='депозитный калькулятор'!$G$19,P276,P276+1)))</f>
        <v xml:space="preserve"> </v>
      </c>
      <c r="Q277" s="138" t="str">
        <f>IF(F277=" "," ",IF(AND(OR('депозитный калькулятор'!$G$7="30/365",'депозитный калькулятор'!$G$7="30/360"),AND(MONTH(F277)=2,EOMONTH(F277,0)=F277)),IF(DAY(F277)=28,3,2),1)*IF(G277&gt;='депозитный калькулятор'!$G$11,IF(AND('депозитный калькулятор'!$G$7="факт/факт",MOD(YEAR(F277),4)=0),G277*'депозитный калькулятор'!$D$11/366,G277*'депозитный калькулятор'!$G$8),0))</f>
        <v xml:space="preserve"> </v>
      </c>
      <c r="R277" s="148"/>
      <c r="S277" s="62" t="str">
        <f t="shared" ca="1" si="17"/>
        <v xml:space="preserve"> </v>
      </c>
      <c r="T277" s="149" t="str">
        <f ca="1">IF(S277=" "," ",IF('депозитный калькулятор'!$G$7="30/360",DAYS360(U276,IF(DAY(U277)=31,U277-1,U277))+IF(AND(MONTH(U277)=2,U277=EOMONTH(U277,0)),30-DAY(EOMONTH(U277,0)))+T276,VLOOKUP(S277,$C$22:$F$1023,2,0)))</f>
        <v xml:space="preserve"> </v>
      </c>
      <c r="U277" s="64" t="str">
        <f t="shared" ca="1" si="15"/>
        <v xml:space="preserve"> </v>
      </c>
      <c r="V277" s="150" t="str">
        <f t="shared" ca="1" si="18"/>
        <v xml:space="preserve"> </v>
      </c>
      <c r="W277" s="62" t="str">
        <f t="shared" ca="1" si="19"/>
        <v xml:space="preserve"> </v>
      </c>
      <c r="X277" s="141" t="str">
        <f ca="1">IF(S277=" "," ",IFERROR(VLOOKUP(U277,$F$23:$N$1023,7)+VLOOKUP(U277,$F$23:$N$1023,9)+IF(AND('депозитный калькулятор'!$G$13="нет",U277&lt;&gt;'депозитный калькулятор'!$D$8),VLOOKUP(U277,$F$23:$N$1023,4),0),0)+IF(U277='депозитный калькулятор'!$D$8,VLOOKUP(U277,$F$23:$N$1023,2)+VLOOKUP(U277,$F$23:$N$1023,4),0))</f>
        <v xml:space="preserve"> </v>
      </c>
      <c r="Y277" s="142" t="str">
        <f ca="1">IF(S277=" "," ",W277/(1+'депозитный калькулятор'!$K$8)^(T277/IF('депозитный калькулятор'!$G$7="30/360",360,365)))</f>
        <v xml:space="preserve"> </v>
      </c>
      <c r="Z277" s="142" t="str">
        <f ca="1">IF(S277=" "," ",X277/(1+'депозитный калькулятор'!$K$8)^(T277/IF('депозитный калькулятор'!$G$7="30/360",360,365)))</f>
        <v xml:space="preserve"> </v>
      </c>
      <c r="AA277" s="151"/>
      <c r="AB277" s="151"/>
      <c r="AC277" s="155"/>
      <c r="AD277" s="155"/>
    </row>
    <row r="278" spans="1:30" s="2" customFormat="1" ht="15.5" x14ac:dyDescent="0.35">
      <c r="A278" s="41" t="str">
        <f>IF(F278=" "," ",IF(OR('депозитный калькулятор'!$G$7="30/365",'депозитный калькулятор'!$G$7="30/360"),IF(AND(MONTH(F278)=2,DAY(F278)=DAY(EOMONTH(F278,0))),30-DAY(EOMONTH(F278,0)),IF(DAY(F278)=31,1," "))," "))</f>
        <v xml:space="preserve"> </v>
      </c>
      <c r="B278" s="130" t="str">
        <f t="shared" si="16"/>
        <v xml:space="preserve"> </v>
      </c>
      <c r="C278" s="130" t="str">
        <f>IF(OR(B278=0,B278=" ")," ",SUM($B$23:B278))</f>
        <v xml:space="preserve"> </v>
      </c>
      <c r="D278" s="62" t="str">
        <f>IF(D277=" "," ",IF(OR(F277='депозитный калькулятор'!$D$8,F277=" ")," ",D277+1))</f>
        <v xml:space="preserve"> </v>
      </c>
      <c r="E278" s="130" t="str">
        <f>IF(OR(F277='депозитный калькулятор'!$D$8,F277=" ")," ",IF(EOMONTH(F277,0)=F277,1,E277+1))</f>
        <v xml:space="preserve"> </v>
      </c>
      <c r="F278" s="64" t="str">
        <f>IF(F277=" "," ",IF(F277='депозитный калькулятор'!$D$8," ",F277+1))</f>
        <v xml:space="preserve"> </v>
      </c>
      <c r="G278" s="145" t="str">
        <f xml:space="preserve"> IF(F278&gt;'депозитный калькулятор'!$D$8," ",IF('депозитный калькулятор'!$G$13="есть",IF('депозитный калькулятор'!$G$14="есть",G277+IF(I277=" ",0,I277)-J278-K278+L278+M278-N278,G277+IF(I277=" ",0,I277)-J278-K278+M278-N278),IF('депозитный калькулятор'!$G$14="есть",G277-J278-K278+L278+M278-N278,G277-J278-K278+M278-N278)))</f>
        <v xml:space="preserve"> </v>
      </c>
      <c r="H278" s="133" t="str">
        <f>IF(F278&gt;'депозитный калькулятор'!$D$8," ",IF(AND(OR('депозитный калькулятор'!$G$7="30/365",'депозитный калькулятор'!$G$7="30/360"),AND(MONTH(F278)=2,EOMONTH(F278,0)=F278)),IF(DAY(F278)=28,3*G278*'депозитный калькулятор'!$G$8,2*G278*'депозитный калькулятор'!$G$8),IF(AND(OR('депозитный калькулятор'!$G$7="30/365",'депозитный калькулятор'!$G$7="30/360"),DAY(F278)=31)," ",IF(AND('депозитный калькулятор'!$G$7="факт/факт",MOD(YEAR(F278),4)=0),G278*'депозитный калькулятор'!$D$11/366,G278*'депозитный калькулятор'!$G$8))))</f>
        <v xml:space="preserve"> </v>
      </c>
      <c r="I278" s="134" t="str">
        <f ca="1">IF(F278=" "," ",IF('депозитный калькулятор'!$G$10="ежедневное",H278,IF(AND('депозитный калькулятор'!$G$10="еженедельное",WEEKDAY(F278,2)=7),SUM(OFFSET(H278,-6,0):H278),IF(AND('депозитный калькулятор'!$G$10="еженедельное",F278='депозитный калькулятор'!$D$8),SUM($H$23:H278)-SUM($I$23:I277),IF(AND('депозитный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недели",WEEKDAY(F278,2)=7),MIN(OFFSET(H278,-6,0):H278)*(COUNTIF(OFFSET(H278,-6,0):H278,"&gt;0")+SUMIF(OFFSET(A278,-WEEKDAY(F278,2),0):A278,"=2",OFFSET(A278,-WEEKDAY(F278,2),0):A278)),IF(AND('депозитный калькулятор'!$G$10="еженедельное, на минимальную сумму зафиксированную в течение недели",F278='депозитный калькулятор'!$D$8,WEEKDAY(F278,2)&lt;&gt;7),MIN(OFFSET(H278,-WEEKDAY(F278,2),0):H278)*(COUNTIF(OFFSET(H278,-WEEKDAY(F278,2)+1,0):H278,"&gt;0")+SUM(OFFSET(A278,-WEEKDAY(F278,2),0):A278)),IF(AND('депозитный калькулятор'!$G$10="ежемесячное (в конце месяца)",F278='депозитный калькулятор'!$D$8,EOMONTH(F278,0)&lt;&gt;F278),IF('депозитный калькулятор'!$F$1=1,$H$24,SUM($H$23:H278)-SUM($I$23:I277)),IF(AND('депозитный калькулятор'!$G$10="ежемесячное (в конце месяца)",EOMONTH(F278,0)=F278),SUM($H$23:H278)-SUM($I$23:I277),IF(AND('депозитный калькулятор'!$G$10="ежемесячное (по дням открытия вклада)",F278='депозитный калькулятор'!$D$8,DAY('депозитный калькулятор'!$D$7)&lt;&gt;DAY(F278)),IF('депозитный калькулятор'!$F$1=1,$H$24,SUM($H$23:H278)-SUM($I$23:I277)),IF(AND('депозитный калькулятор'!$G$10="ежемесячное (по дням открытия вклада)",DAY('депозитный калькулятор'!$D$7)=DAY(F278)),SUM($H$23:H278)-SUM($I$23:I277),IF(AND('депозитный калькулятор'!$G$10="ежемесячное, на минимальную сумму зафиксированную в течение месяца",F278='депозитный калькулятор'!$D$8,EOMONTH(F278,0)&lt;&gt;F278),IF('депозитный калькулятор'!$F$1=1,$H$24,IF(AND(OR('депозитный калькулятор'!$G$7="30/365",'депозитный калькулятор'!$G$7="30/360"),DAY(F278)=31),0,MIN(OFFSET(H278,-E278+1,0):H278)*(E278+SUMIF(OFFSET(A278,-E278+1,0):A278,"=2",OFFSET(A278,-E278+1,0):A278)))),IF(AND('депозитный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калькулятор'!$G$7="30/360"),DAY(EOMONTH(F278,0))=31),EOMONTH(F278,0)-1=F278,EOMONTH(F278,0)=F278)),IF(IF(AND(OR('депозитный калькулятор'!$G$7="30/365",'депозитный калькулятор'!$G$7="30/360"),DAY(EOMONTH($F$23,0))=31),F278=EOMONTH($F$23,0)-1,F278=EOMONTH($F$23,0)),MIN(OFFSET(H278,-(DAY(F278)-DAY($F$23)),0):H278)*E278,MIN(OFFSET(H278,-(DAY(F278)-1),0):H278)*IF(AND(OR('депозитный калькулятор'!$G$7="30/365",'депозитный калькулятор'!$G$7="30/360"),DAY(F278)&lt;30),30,DAY(F278))),IF(AND('депозитный калькулятор'!$G$10="ежемесячное, на средний остаток в течение месяца, при условии что остаток больше чем ограничение",F278='депозитный калькулятор'!$D$8,EOMONTH(F278,0)&lt;&gt;F278),IF('депозитный калькулятор'!$F$1=1,$H$24,SUM(OFFSET(Q278,-E278+1,0):Q278)),IF(AND('депозитный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калькулятор'!$G$7="30/360"),DAY(EOMONTH(F278,0))=31),EOMONTH(F278,0)-1=F278,EOMONTH(F278,0)=F278)),IF(IF(AND(OR('депозитный калькулятор'!$G$7="30/365",'депозитный калькулятор'!$G$7="30/360"),DAY(EOMONTH($F$24,0))=31),F278=EOMONTH($F$24,0)-1,F278=EOMONTH($F$24,0)),SUM(OFFSET(Q278,-E278+1,0):Q278),SUM(OFFSET(Q278,-E278+1,0):Q278)),IF('депозитный калькулятор'!$G$10="ежеквартальное",IF(F278&gt;'депозитный калькулятор'!$D$8," ",IF(AND(EOMONTH(F278,0)=F278,OR(MONTH(F278)=3,MONTH(F278)=6,MONTH(F278)=9,MONTH(F278)=12)),IF(EDATE(F278,-3)&lt;'депозитный калькулятор'!$D$7,SUM($H$23:H278),IF(MOD(YEAR(F278),4)=0,IF(AND(EOMONTH(F278,0)=F278,OR(MONTH(F278)=3,MONTH(F278)=6)),SUM(OFFSET(H278,-90,0):H278),IF(AND(EOMONTH(F278,0)=F278,OR(MONTH(F278)=9,MONTH(F278)=12)),SUM(OFFSET(H278,-91,0):H278))),IF(AND(EOMONTH(F278,0)=F278,MONTH(F278)=3),SUM(OFFSET(H278,-89,0):H278),IF(AND(EOMONTH(F278,0)=F278,MONTH(F278)=6),SUM(OFFSET(H278,-90,0):H278),IF(AND(EOMONTH(F278,0)=F278,OR(MONTH(F278)=9,MONTH(F278)=12)),SUM(OFFSET(H278,-91,0):H278)))))),IF(F278='депозитный калькулятор'!$D$8,SUM($H$23:H278)-SUM($I$23:I277),0))),IF('депозитный калькулятор'!$G$10="ежегодное",IF(F278&gt;'депозитный калькулятор'!$D$8," ",IF(F278='депозитный калькулятор'!$D$8,SUM($H$23:H278)-SUM($I$23:I277),IF(AND(EOMONTH(F278,0)=F278,MONTH(F278)=12),IF(MOD(YEAR(F277),4)=0,IF(F278-'депозитный калькулятор'!$D$7&lt;366,SUM($H$23:H278),SUM(OFFSET(H278,-365,0):H278)),IF(F278-'депозитный калькулятор'!$D$7&lt;365,SUM($H$23:H278),SUM(OFFSET(H278,-364,0):H278))),0))),IF(AND('депозитный калькулятор'!$G$10="в конце срока",'депозитный калькулятор'!$D$8=F278),SUM($H$23:H278),0))))))))))))))))))</f>
        <v xml:space="preserve"> </v>
      </c>
      <c r="J278" s="59" t="str">
        <f>IF(F278&gt;'депозитный калькулятор'!$D$8," ",IF('депозитный калькулятор'!$G$16="нет",0,IF(AND('депозитный калькулятор'!$G$17="разовая (в конце срока)",F278='депозитный калькулятор'!$D$8),'депозитный калькулятор'!$G$18,IF(AND('депозитный калькулятор'!$G$17="ежемесячная",EOMONTH(F277,0)=F277),'депозитный калькулятор'!$G$18,IF(AND('депозитный калькулятор'!$G$17="ежегодная",DAY(F277)=31,MONTH(F277)=12),'депозитный калькулятор'!$G$18,IF(AND('депозитный калькулятор'!$G$17="ежемесячная в зависимости от остатка",EOMONTH(F277,0)=F277,P277&gt;0),'депозитный калькулятор'!$G$18,IF(AND('депозитный калькулятор'!$G$17="ежегодная в зависимости от остатка",DAY(F277)=31,MONTH(F277)=12,P277&gt;0),'депозитный калькулятор'!$G$18,0)))))))</f>
        <v xml:space="preserve"> </v>
      </c>
      <c r="K278" s="135" t="str">
        <f>IF($F278=" "," ",IFERROR(VLOOKUP($F278,'депозитный калькулятор'!$B$26:$F$70,2,0),0))</f>
        <v xml:space="preserve"> </v>
      </c>
      <c r="L278" s="135" t="str">
        <f>IF($F278=" "," ",IFERROR(VLOOKUP($F278,'депозитный калькулятор'!$B$26:$F$70,3,0),0))</f>
        <v xml:space="preserve"> </v>
      </c>
      <c r="M278" s="135" t="str">
        <f>IF($F278=" "," ",IFERROR(VLOOKUP($F278,'депозитный калькулятор'!$B$26:$F$70,4,0),0))</f>
        <v xml:space="preserve"> </v>
      </c>
      <c r="N278" s="135" t="str">
        <f>IF($F278=" "," ",IFERROR(VLOOKUP($F278,'депозитный калькулятор'!$B$26:$F$70,5,0),0))</f>
        <v xml:space="preserve"> </v>
      </c>
      <c r="O278" s="146" t="str">
        <f>IF(F278&gt;'депозитный калькулятор'!$D$8," ",IF(F278='депозитный калькулятор'!$D$8,IF(AND($F$24='депозитный калькулятор'!$D$8,'депозитный калькулятор'!$G$13="нет"),-G278-IF(I278=" ",0,I278)-IF(AND(OR('депозитный калькулятор'!$G$7="30/365",'депозитный калькулятор'!$G$7="30/360"),'депозитный калькулятор'!$G$10="в начале срока"),I277,0)-L278+M278-N278,-G278-IF(I278=" ",0,I278)-L278+M278-N278),IF('депозитный калькулятор'!$G$13="есть",M278-N278+IF('депозитный калькулятор'!$G$14="есть",0,-L278),-IF(I278=" ",0,I278)-IF(AND(OR('депозитный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срока"),I277,0)+M278-N278+IF('депозитный калькулятор'!$G$14="есть",0,-L278))))</f>
        <v xml:space="preserve"> </v>
      </c>
      <c r="P278" s="147" t="str">
        <f>IF(F278&gt;'депозитный калькулятор'!$D$8," ",IF(EOMONTH(F277,0)=F277,0,IF(G278&gt;='депозитный калькулятор'!$G$19,P277,P277+1)))</f>
        <v xml:space="preserve"> </v>
      </c>
      <c r="Q278" s="138" t="str">
        <f>IF(F278=" "," ",IF(AND(OR('депозитный калькулятор'!$G$7="30/365",'депозитный калькулятор'!$G$7="30/360"),AND(MONTH(F278)=2,EOMONTH(F278,0)=F278)),IF(DAY(F278)=28,3,2),1)*IF(G278&gt;='депозитный калькулятор'!$G$11,IF(AND('депозитный калькулятор'!$G$7="факт/факт",MOD(YEAR(F278),4)=0),G278*'депозитный калькулятор'!$D$11/366,G278*'депозитный калькулятор'!$G$8),0))</f>
        <v xml:space="preserve"> </v>
      </c>
      <c r="R278" s="148"/>
      <c r="S278" s="62" t="str">
        <f t="shared" ca="1" si="17"/>
        <v xml:space="preserve"> </v>
      </c>
      <c r="T278" s="149" t="str">
        <f ca="1">IF(S278=" "," ",IF('депозитный калькулятор'!$G$7="30/360",DAYS360(U277,IF(DAY(U278)=31,U278-1,U278))+IF(AND(MONTH(U278)=2,U278=EOMONTH(U278,0)),30-DAY(EOMONTH(U278,0)))+T277,VLOOKUP(S278,$C$22:$F$1023,2,0)))</f>
        <v xml:space="preserve"> </v>
      </c>
      <c r="U278" s="64" t="str">
        <f t="shared" ca="1" si="15"/>
        <v xml:space="preserve"> </v>
      </c>
      <c r="V278" s="150" t="str">
        <f t="shared" ca="1" si="18"/>
        <v xml:space="preserve"> </v>
      </c>
      <c r="W278" s="62" t="str">
        <f t="shared" ca="1" si="19"/>
        <v xml:space="preserve"> </v>
      </c>
      <c r="X278" s="141" t="str">
        <f ca="1">IF(S278=" "," ",IFERROR(VLOOKUP(U278,$F$23:$N$1023,7)+VLOOKUP(U278,$F$23:$N$1023,9)+IF(AND('депозитный калькулятор'!$G$13="нет",U278&lt;&gt;'депозитный калькулятор'!$D$8),VLOOKUP(U278,$F$23:$N$1023,4),0),0)+IF(U278='депозитный калькулятор'!$D$8,VLOOKUP(U278,$F$23:$N$1023,2)+VLOOKUP(U278,$F$23:$N$1023,4),0))</f>
        <v xml:space="preserve"> </v>
      </c>
      <c r="Y278" s="142" t="str">
        <f ca="1">IF(S278=" "," ",W278/(1+'депозитный калькулятор'!$K$8)^(T278/IF('депозитный калькулятор'!$G$7="30/360",360,365)))</f>
        <v xml:space="preserve"> </v>
      </c>
      <c r="Z278" s="142" t="str">
        <f ca="1">IF(S278=" "," ",X278/(1+'депозитный калькулятор'!$K$8)^(T278/IF('депозитный калькулятор'!$G$7="30/360",360,365)))</f>
        <v xml:space="preserve"> </v>
      </c>
      <c r="AA278" s="151"/>
      <c r="AB278" s="151"/>
      <c r="AC278" s="155"/>
      <c r="AD278" s="155"/>
    </row>
    <row r="279" spans="1:30" s="2" customFormat="1" ht="15.5" x14ac:dyDescent="0.35">
      <c r="A279" s="41" t="str">
        <f>IF(F279=" "," ",IF(OR('депозитный калькулятор'!$G$7="30/365",'депозитный калькулятор'!$G$7="30/360"),IF(AND(MONTH(F279)=2,DAY(F279)=DAY(EOMONTH(F279,0))),30-DAY(EOMONTH(F279,0)),IF(DAY(F279)=31,1," "))," "))</f>
        <v xml:space="preserve"> </v>
      </c>
      <c r="B279" s="130" t="str">
        <f t="shared" si="16"/>
        <v xml:space="preserve"> </v>
      </c>
      <c r="C279" s="130" t="str">
        <f>IF(OR(B279=0,B279=" ")," ",SUM($B$23:B279))</f>
        <v xml:space="preserve"> </v>
      </c>
      <c r="D279" s="62" t="str">
        <f>IF(D278=" "," ",IF(OR(F278='депозитный калькулятор'!$D$8,F278=" ")," ",D278+1))</f>
        <v xml:space="preserve"> </v>
      </c>
      <c r="E279" s="130" t="str">
        <f>IF(OR(F278='депозитный калькулятор'!$D$8,F278=" ")," ",IF(EOMONTH(F278,0)=F278,1,E278+1))</f>
        <v xml:space="preserve"> </v>
      </c>
      <c r="F279" s="64" t="str">
        <f>IF(F278=" "," ",IF(F278='депозитный калькулятор'!$D$8," ",F278+1))</f>
        <v xml:space="preserve"> </v>
      </c>
      <c r="G279" s="145" t="str">
        <f xml:space="preserve"> IF(F279&gt;'депозитный калькулятор'!$D$8," ",IF('депозитный калькулятор'!$G$13="есть",IF('депозитный калькулятор'!$G$14="есть",G278+IF(I278=" ",0,I278)-J279-K279+L279+M279-N279,G278+IF(I278=" ",0,I278)-J279-K279+M279-N279),IF('депозитный калькулятор'!$G$14="есть",G278-J279-K279+L279+M279-N279,G278-J279-K279+M279-N279)))</f>
        <v xml:space="preserve"> </v>
      </c>
      <c r="H279" s="133" t="str">
        <f>IF(F279&gt;'депозитный калькулятор'!$D$8," ",IF(AND(OR('депозитный калькулятор'!$G$7="30/365",'депозитный калькулятор'!$G$7="30/360"),AND(MONTH(F279)=2,EOMONTH(F279,0)=F279)),IF(DAY(F279)=28,3*G279*'депозитный калькулятор'!$G$8,2*G279*'депозитный калькулятор'!$G$8),IF(AND(OR('депозитный калькулятор'!$G$7="30/365",'депозитный калькулятор'!$G$7="30/360"),DAY(F279)=31)," ",IF(AND('депозитный калькулятор'!$G$7="факт/факт",MOD(YEAR(F279),4)=0),G279*'депозитный калькулятор'!$D$11/366,G279*'депозитный калькулятор'!$G$8))))</f>
        <v xml:space="preserve"> </v>
      </c>
      <c r="I279" s="134" t="str">
        <f ca="1">IF(F279=" "," ",IF('депозитный калькулятор'!$G$10="ежедневное",H279,IF(AND('депозитный калькулятор'!$G$10="еженедельное",WEEKDAY(F279,2)=7),SUM(OFFSET(H279,-6,0):H279),IF(AND('депозитный калькулятор'!$G$10="еженедельное",F279='депозитный калькулятор'!$D$8),SUM($H$23:H279)-SUM($I$23:I278),IF(AND('депозитный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недели",WEEKDAY(F279,2)=7),MIN(OFFSET(H279,-6,0):H279)*(COUNTIF(OFFSET(H279,-6,0):H279,"&gt;0")+SUMIF(OFFSET(A279,-WEEKDAY(F279,2),0):A279,"=2",OFFSET(A279,-WEEKDAY(F279,2),0):A279)),IF(AND('депозитный калькулятор'!$G$10="еженедельное, на минимальную сумму зафиксированную в течение недели",F279='депозитный калькулятор'!$D$8,WEEKDAY(F279,2)&lt;&gt;7),MIN(OFFSET(H279,-WEEKDAY(F279,2),0):H279)*(COUNTIF(OFFSET(H279,-WEEKDAY(F279,2)+1,0):H279,"&gt;0")+SUM(OFFSET(A279,-WEEKDAY(F279,2),0):A279)),IF(AND('депозитный калькулятор'!$G$10="ежемесячное (в конце месяца)",F279='депозитный калькулятор'!$D$8,EOMONTH(F279,0)&lt;&gt;F279),IF('депозитный калькулятор'!$F$1=1,$H$24,SUM($H$23:H279)-SUM($I$23:I278)),IF(AND('депозитный калькулятор'!$G$10="ежемесячное (в конце месяца)",EOMONTH(F279,0)=F279),SUM($H$23:H279)-SUM($I$23:I278),IF(AND('депозитный калькулятор'!$G$10="ежемесячное (по дням открытия вклада)",F279='депозитный калькулятор'!$D$8,DAY('депозитный калькулятор'!$D$7)&lt;&gt;DAY(F279)),IF('депозитный калькулятор'!$F$1=1,$H$24,SUM($H$23:H279)-SUM($I$23:I278)),IF(AND('депозитный калькулятор'!$G$10="ежемесячное (по дням открытия вклада)",DAY('депозитный калькулятор'!$D$7)=DAY(F279)),SUM($H$23:H279)-SUM($I$23:I278),IF(AND('депозитный калькулятор'!$G$10="ежемесячное, на минимальную сумму зафиксированную в течение месяца",F279='депозитный калькулятор'!$D$8,EOMONTH(F279,0)&lt;&gt;F279),IF('депозитный калькулятор'!$F$1=1,$H$24,IF(AND(OR('депозитный калькулятор'!$G$7="30/365",'депозитный калькулятор'!$G$7="30/360"),DAY(F279)=31),0,MIN(OFFSET(H279,-E279+1,0):H279)*(E279+SUMIF(OFFSET(A279,-E279+1,0):A279,"=2",OFFSET(A279,-E279+1,0):A279)))),IF(AND('депозитный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калькулятор'!$G$7="30/360"),DAY(EOMONTH(F279,0))=31),EOMONTH(F279,0)-1=F279,EOMONTH(F279,0)=F279)),IF(IF(AND(OR('депозитный калькулятор'!$G$7="30/365",'депозитный калькулятор'!$G$7="30/360"),DAY(EOMONTH($F$23,0))=31),F279=EOMONTH($F$23,0)-1,F279=EOMONTH($F$23,0)),MIN(OFFSET(H279,-(DAY(F279)-DAY($F$23)),0):H279)*E279,MIN(OFFSET(H279,-(DAY(F279)-1),0):H279)*IF(AND(OR('депозитный калькулятор'!$G$7="30/365",'депозитный калькулятор'!$G$7="30/360"),DAY(F279)&lt;30),30,DAY(F279))),IF(AND('депозитный калькулятор'!$G$10="ежемесячное, на средний остаток в течение месяца, при условии что остаток больше чем ограничение",F279='депозитный калькулятор'!$D$8,EOMONTH(F279,0)&lt;&gt;F279),IF('депозитный калькулятор'!$F$1=1,$H$24,SUM(OFFSET(Q279,-E279+1,0):Q279)),IF(AND('депозитный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калькулятор'!$G$7="30/360"),DAY(EOMONTH(F279,0))=31),EOMONTH(F279,0)-1=F279,EOMONTH(F279,0)=F279)),IF(IF(AND(OR('депозитный калькулятор'!$G$7="30/365",'депозитный калькулятор'!$G$7="30/360"),DAY(EOMONTH($F$24,0))=31),F279=EOMONTH($F$24,0)-1,F279=EOMONTH($F$24,0)),SUM(OFFSET(Q279,-E279+1,0):Q279),SUM(OFFSET(Q279,-E279+1,0):Q279)),IF('депозитный калькулятор'!$G$10="ежеквартальное",IF(F279&gt;'депозитный калькулятор'!$D$8," ",IF(AND(EOMONTH(F279,0)=F279,OR(MONTH(F279)=3,MONTH(F279)=6,MONTH(F279)=9,MONTH(F279)=12)),IF(EDATE(F279,-3)&lt;'депозитный калькулятор'!$D$7,SUM($H$23:H279),IF(MOD(YEAR(F279),4)=0,IF(AND(EOMONTH(F279,0)=F279,OR(MONTH(F279)=3,MONTH(F279)=6)),SUM(OFFSET(H279,-90,0):H279),IF(AND(EOMONTH(F279,0)=F279,OR(MONTH(F279)=9,MONTH(F279)=12)),SUM(OFFSET(H279,-91,0):H279))),IF(AND(EOMONTH(F279,0)=F279,MONTH(F279)=3),SUM(OFFSET(H279,-89,0):H279),IF(AND(EOMONTH(F279,0)=F279,MONTH(F279)=6),SUM(OFFSET(H279,-90,0):H279),IF(AND(EOMONTH(F279,0)=F279,OR(MONTH(F279)=9,MONTH(F279)=12)),SUM(OFFSET(H279,-91,0):H279)))))),IF(F279='депозитный калькулятор'!$D$8,SUM($H$23:H279)-SUM($I$23:I278),0))),IF('депозитный калькулятор'!$G$10="ежегодное",IF(F279&gt;'депозитный калькулятор'!$D$8," ",IF(F279='депозитный калькулятор'!$D$8,SUM($H$23:H279)-SUM($I$23:I278),IF(AND(EOMONTH(F279,0)=F279,MONTH(F279)=12),IF(MOD(YEAR(F278),4)=0,IF(F279-'депозитный калькулятор'!$D$7&lt;366,SUM($H$23:H279),SUM(OFFSET(H279,-365,0):H279)),IF(F279-'депозитный калькулятор'!$D$7&lt;365,SUM($H$23:H279),SUM(OFFSET(H279,-364,0):H279))),0))),IF(AND('депозитный калькулятор'!$G$10="в конце срока",'депозитный калькулятор'!$D$8=F279),SUM($H$23:H279),0))))))))))))))))))</f>
        <v xml:space="preserve"> </v>
      </c>
      <c r="J279" s="59" t="str">
        <f>IF(F279&gt;'депозитный калькулятор'!$D$8," ",IF('депозитный калькулятор'!$G$16="нет",0,IF(AND('депозитный калькулятор'!$G$17="разовая (в конце срока)",F279='депозитный калькулятор'!$D$8),'депозитный калькулятор'!$G$18,IF(AND('депозитный калькулятор'!$G$17="ежемесячная",EOMONTH(F278,0)=F278),'депозитный калькулятор'!$G$18,IF(AND('депозитный калькулятор'!$G$17="ежегодная",DAY(F278)=31,MONTH(F278)=12),'депозитный калькулятор'!$G$18,IF(AND('депозитный калькулятор'!$G$17="ежемесячная в зависимости от остатка",EOMONTH(F278,0)=F278,P278&gt;0),'депозитный калькулятор'!$G$18,IF(AND('депозитный калькулятор'!$G$17="ежегодная в зависимости от остатка",DAY(F278)=31,MONTH(F278)=12,P278&gt;0),'депозитный калькулятор'!$G$18,0)))))))</f>
        <v xml:space="preserve"> </v>
      </c>
      <c r="K279" s="135" t="str">
        <f>IF($F279=" "," ",IFERROR(VLOOKUP($F279,'депозитный калькулятор'!$B$26:$F$70,2,0),0))</f>
        <v xml:space="preserve"> </v>
      </c>
      <c r="L279" s="135" t="str">
        <f>IF($F279=" "," ",IFERROR(VLOOKUP($F279,'депозитный калькулятор'!$B$26:$F$70,3,0),0))</f>
        <v xml:space="preserve"> </v>
      </c>
      <c r="M279" s="135" t="str">
        <f>IF($F279=" "," ",IFERROR(VLOOKUP($F279,'депозитный калькулятор'!$B$26:$F$70,4,0),0))</f>
        <v xml:space="preserve"> </v>
      </c>
      <c r="N279" s="135" t="str">
        <f>IF($F279=" "," ",IFERROR(VLOOKUP($F279,'депозитный калькулятор'!$B$26:$F$70,5,0),0))</f>
        <v xml:space="preserve"> </v>
      </c>
      <c r="O279" s="146" t="str">
        <f>IF(F279&gt;'депозитный калькулятор'!$D$8," ",IF(F279='депозитный калькулятор'!$D$8,IF(AND($F$24='депозитный калькулятор'!$D$8,'депозитный калькулятор'!$G$13="нет"),-G279-IF(I279=" ",0,I279)-IF(AND(OR('депозитный калькулятор'!$G$7="30/365",'депозитный калькулятор'!$G$7="30/360"),'депозитный калькулятор'!$G$10="в начале срока"),I278,0)-L279+M279-N279,-G279-IF(I279=" ",0,I279)-L279+M279-N279),IF('депозитный калькулятор'!$G$13="есть",M279-N279+IF('депозитный калькулятор'!$G$14="есть",0,-L279),-IF(I279=" ",0,I279)-IF(AND(OR('депозитный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срока"),I278,0)+M279-N279+IF('депозитный калькулятор'!$G$14="есть",0,-L279))))</f>
        <v xml:space="preserve"> </v>
      </c>
      <c r="P279" s="147" t="str">
        <f>IF(F279&gt;'депозитный калькулятор'!$D$8," ",IF(EOMONTH(F278,0)=F278,0,IF(G279&gt;='депозитный калькулятор'!$G$19,P278,P278+1)))</f>
        <v xml:space="preserve"> </v>
      </c>
      <c r="Q279" s="138" t="str">
        <f>IF(F279=" "," ",IF(AND(OR('депозитный калькулятор'!$G$7="30/365",'депозитный калькулятор'!$G$7="30/360"),AND(MONTH(F279)=2,EOMONTH(F279,0)=F279)),IF(DAY(F279)=28,3,2),1)*IF(G279&gt;='депозитный калькулятор'!$G$11,IF(AND('депозитный калькулятор'!$G$7="факт/факт",MOD(YEAR(F279),4)=0),G279*'депозитный калькулятор'!$D$11/366,G279*'депозитный калькулятор'!$G$8),0))</f>
        <v xml:space="preserve"> </v>
      </c>
      <c r="R279" s="148"/>
      <c r="S279" s="62" t="str">
        <f t="shared" ca="1" si="17"/>
        <v xml:space="preserve"> </v>
      </c>
      <c r="T279" s="149" t="str">
        <f ca="1">IF(S279=" "," ",IF('депозитный калькулятор'!$G$7="30/360",DAYS360(U278,IF(DAY(U279)=31,U279-1,U279))+IF(AND(MONTH(U279)=2,U279=EOMONTH(U279,0)),30-DAY(EOMONTH(U279,0)))+T278,VLOOKUP(S279,$C$22:$F$1023,2,0)))</f>
        <v xml:space="preserve"> </v>
      </c>
      <c r="U279" s="64" t="str">
        <f t="shared" ref="U279:U342" ca="1" si="20">IF(S279=" "," ",VLOOKUP(S279,$C$22:$F$1023,4,0))</f>
        <v xml:space="preserve"> </v>
      </c>
      <c r="V279" s="150" t="str">
        <f t="shared" ca="1" si="18"/>
        <v xml:space="preserve"> </v>
      </c>
      <c r="W279" s="62" t="str">
        <f t="shared" ca="1" si="19"/>
        <v xml:space="preserve"> </v>
      </c>
      <c r="X279" s="141" t="str">
        <f ca="1">IF(S279=" "," ",IFERROR(VLOOKUP(U279,$F$23:$N$1023,7)+VLOOKUP(U279,$F$23:$N$1023,9)+IF(AND('депозитный калькулятор'!$G$13="нет",U279&lt;&gt;'депозитный калькулятор'!$D$8),VLOOKUP(U279,$F$23:$N$1023,4),0),0)+IF(U279='депозитный калькулятор'!$D$8,VLOOKUP(U279,$F$23:$N$1023,2)+VLOOKUP(U279,$F$23:$N$1023,4),0))</f>
        <v xml:space="preserve"> </v>
      </c>
      <c r="Y279" s="142" t="str">
        <f ca="1">IF(S279=" "," ",W279/(1+'депозитный калькулятор'!$K$8)^(T279/IF('депозитный калькулятор'!$G$7="30/360",360,365)))</f>
        <v xml:space="preserve"> </v>
      </c>
      <c r="Z279" s="142" t="str">
        <f ca="1">IF(S279=" "," ",X279/(1+'депозитный калькулятор'!$K$8)^(T279/IF('депозитный калькулятор'!$G$7="30/360",360,365)))</f>
        <v xml:space="preserve"> </v>
      </c>
      <c r="AA279" s="151"/>
      <c r="AB279" s="151"/>
      <c r="AC279" s="155"/>
      <c r="AD279" s="155"/>
    </row>
    <row r="280" spans="1:30" s="2" customFormat="1" ht="15.5" x14ac:dyDescent="0.35">
      <c r="A280" s="41" t="str">
        <f>IF(F280=" "," ",IF(OR('депозитный калькулятор'!$G$7="30/365",'депозитный калькулятор'!$G$7="30/360"),IF(AND(MONTH(F280)=2,DAY(F280)=DAY(EOMONTH(F280,0))),30-DAY(EOMONTH(F280,0)),IF(DAY(F280)=31,1," "))," "))</f>
        <v xml:space="preserve"> </v>
      </c>
      <c r="B280" s="130" t="str">
        <f t="shared" ref="B280:B343" si="21">IF(F280=" "," ",IF(O280&lt;&gt;0,1,0))</f>
        <v xml:space="preserve"> </v>
      </c>
      <c r="C280" s="130" t="str">
        <f>IF(OR(B280=0,B280=" ")," ",SUM($B$23:B280))</f>
        <v xml:space="preserve"> </v>
      </c>
      <c r="D280" s="62" t="str">
        <f>IF(D279=" "," ",IF(OR(F279='депозитный калькулятор'!$D$8,F279=" ")," ",D279+1))</f>
        <v xml:space="preserve"> </v>
      </c>
      <c r="E280" s="130" t="str">
        <f>IF(OR(F279='депозитный калькулятор'!$D$8,F279=" ")," ",IF(EOMONTH(F279,0)=F279,1,E279+1))</f>
        <v xml:space="preserve"> </v>
      </c>
      <c r="F280" s="64" t="str">
        <f>IF(F279=" "," ",IF(F279='депозитный калькулятор'!$D$8," ",F279+1))</f>
        <v xml:space="preserve"> </v>
      </c>
      <c r="G280" s="145" t="str">
        <f xml:space="preserve"> IF(F280&gt;'депозитный калькулятор'!$D$8," ",IF('депозитный калькулятор'!$G$13="есть",IF('депозитный калькулятор'!$G$14="есть",G279+IF(I279=" ",0,I279)-J280-K280+L280+M280-N280,G279+IF(I279=" ",0,I279)-J280-K280+M280-N280),IF('депозитный калькулятор'!$G$14="есть",G279-J280-K280+L280+M280-N280,G279-J280-K280+M280-N280)))</f>
        <v xml:space="preserve"> </v>
      </c>
      <c r="H280" s="133" t="str">
        <f>IF(F280&gt;'депозитный калькулятор'!$D$8," ",IF(AND(OR('депозитный калькулятор'!$G$7="30/365",'депозитный калькулятор'!$G$7="30/360"),AND(MONTH(F280)=2,EOMONTH(F280,0)=F280)),IF(DAY(F280)=28,3*G280*'депозитный калькулятор'!$G$8,2*G280*'депозитный калькулятор'!$G$8),IF(AND(OR('депозитный калькулятор'!$G$7="30/365",'депозитный калькулятор'!$G$7="30/360"),DAY(F280)=31)," ",IF(AND('депозитный калькулятор'!$G$7="факт/факт",MOD(YEAR(F280),4)=0),G280*'депозитный калькулятор'!$D$11/366,G280*'депозитный калькулятор'!$G$8))))</f>
        <v xml:space="preserve"> </v>
      </c>
      <c r="I280" s="134" t="str">
        <f ca="1">IF(F280=" "," ",IF('депозитный калькулятор'!$G$10="ежедневное",H280,IF(AND('депозитный калькулятор'!$G$10="еженедельное",WEEKDAY(F280,2)=7),SUM(OFFSET(H280,-6,0):H280),IF(AND('депозитный калькулятор'!$G$10="еженедельное",F280='депозитный калькулятор'!$D$8),SUM($H$23:H280)-SUM($I$23:I279),IF(AND('депозитный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недели",WEEKDAY(F280,2)=7),MIN(OFFSET(H280,-6,0):H280)*(COUNTIF(OFFSET(H280,-6,0):H280,"&gt;0")+SUMIF(OFFSET(A280,-WEEKDAY(F280,2),0):A280,"=2",OFFSET(A280,-WEEKDAY(F280,2),0):A280)),IF(AND('депозитный калькулятор'!$G$10="еженедельное, на минимальную сумму зафиксированную в течение недели",F280='депозитный калькулятор'!$D$8,WEEKDAY(F280,2)&lt;&gt;7),MIN(OFFSET(H280,-WEEKDAY(F280,2),0):H280)*(COUNTIF(OFFSET(H280,-WEEKDAY(F280,2)+1,0):H280,"&gt;0")+SUM(OFFSET(A280,-WEEKDAY(F280,2),0):A280)),IF(AND('депозитный калькулятор'!$G$10="ежемесячное (в конце месяца)",F280='депозитный калькулятор'!$D$8,EOMONTH(F280,0)&lt;&gt;F280),IF('депозитный калькулятор'!$F$1=1,$H$24,SUM($H$23:H280)-SUM($I$23:I279)),IF(AND('депозитный калькулятор'!$G$10="ежемесячное (в конце месяца)",EOMONTH(F280,0)=F280),SUM($H$23:H280)-SUM($I$23:I279),IF(AND('депозитный калькулятор'!$G$10="ежемесячное (по дням открытия вклада)",F280='депозитный калькулятор'!$D$8,DAY('депозитный калькулятор'!$D$7)&lt;&gt;DAY(F280)),IF('депозитный калькулятор'!$F$1=1,$H$24,SUM($H$23:H280)-SUM($I$23:I279)),IF(AND('депозитный калькулятор'!$G$10="ежемесячное (по дням открытия вклада)",DAY('депозитный калькулятор'!$D$7)=DAY(F280)),SUM($H$23:H280)-SUM($I$23:I279),IF(AND('депозитный калькулятор'!$G$10="ежемесячное, на минимальную сумму зафиксированную в течение месяца",F280='депозитный калькулятор'!$D$8,EOMONTH(F280,0)&lt;&gt;F280),IF('депозитный калькулятор'!$F$1=1,$H$24,IF(AND(OR('депозитный калькулятор'!$G$7="30/365",'депозитный калькулятор'!$G$7="30/360"),DAY(F280)=31),0,MIN(OFFSET(H280,-E280+1,0):H280)*(E280+SUMIF(OFFSET(A280,-E280+1,0):A280,"=2",OFFSET(A280,-E280+1,0):A280)))),IF(AND('депозитный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калькулятор'!$G$7="30/360"),DAY(EOMONTH(F280,0))=31),EOMONTH(F280,0)-1=F280,EOMONTH(F280,0)=F280)),IF(IF(AND(OR('депозитный калькулятор'!$G$7="30/365",'депозитный калькулятор'!$G$7="30/360"),DAY(EOMONTH($F$23,0))=31),F280=EOMONTH($F$23,0)-1,F280=EOMONTH($F$23,0)),MIN(OFFSET(H280,-(DAY(F280)-DAY($F$23)),0):H280)*E280,MIN(OFFSET(H280,-(DAY(F280)-1),0):H280)*IF(AND(OR('депозитный калькулятор'!$G$7="30/365",'депозитный калькулятор'!$G$7="30/360"),DAY(F280)&lt;30),30,DAY(F280))),IF(AND('депозитный калькулятор'!$G$10="ежемесячное, на средний остаток в течение месяца, при условии что остаток больше чем ограничение",F280='депозитный калькулятор'!$D$8,EOMONTH(F280,0)&lt;&gt;F280),IF('депозитный калькулятор'!$F$1=1,$H$24,SUM(OFFSET(Q280,-E280+1,0):Q280)),IF(AND('депозитный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калькулятор'!$G$7="30/360"),DAY(EOMONTH(F280,0))=31),EOMONTH(F280,0)-1=F280,EOMONTH(F280,0)=F280)),IF(IF(AND(OR('депозитный калькулятор'!$G$7="30/365",'депозитный калькулятор'!$G$7="30/360"),DAY(EOMONTH($F$24,0))=31),F280=EOMONTH($F$24,0)-1,F280=EOMONTH($F$24,0)),SUM(OFFSET(Q280,-E280+1,0):Q280),SUM(OFFSET(Q280,-E280+1,0):Q280)),IF('депозитный калькулятор'!$G$10="ежеквартальное",IF(F280&gt;'депозитный калькулятор'!$D$8," ",IF(AND(EOMONTH(F280,0)=F280,OR(MONTH(F280)=3,MONTH(F280)=6,MONTH(F280)=9,MONTH(F280)=12)),IF(EDATE(F280,-3)&lt;'депозитный калькулятор'!$D$7,SUM($H$23:H280),IF(MOD(YEAR(F280),4)=0,IF(AND(EOMONTH(F280,0)=F280,OR(MONTH(F280)=3,MONTH(F280)=6)),SUM(OFFSET(H280,-90,0):H280),IF(AND(EOMONTH(F280,0)=F280,OR(MONTH(F280)=9,MONTH(F280)=12)),SUM(OFFSET(H280,-91,0):H280))),IF(AND(EOMONTH(F280,0)=F280,MONTH(F280)=3),SUM(OFFSET(H280,-89,0):H280),IF(AND(EOMONTH(F280,0)=F280,MONTH(F280)=6),SUM(OFFSET(H280,-90,0):H280),IF(AND(EOMONTH(F280,0)=F280,OR(MONTH(F280)=9,MONTH(F280)=12)),SUM(OFFSET(H280,-91,0):H280)))))),IF(F280='депозитный калькулятор'!$D$8,SUM($H$23:H280)-SUM($I$23:I279),0))),IF('депозитный калькулятор'!$G$10="ежегодное",IF(F280&gt;'депозитный калькулятор'!$D$8," ",IF(F280='депозитный калькулятор'!$D$8,SUM($H$23:H280)-SUM($I$23:I279),IF(AND(EOMONTH(F280,0)=F280,MONTH(F280)=12),IF(MOD(YEAR(F279),4)=0,IF(F280-'депозитный калькулятор'!$D$7&lt;366,SUM($H$23:H280),SUM(OFFSET(H280,-365,0):H280)),IF(F280-'депозитный калькулятор'!$D$7&lt;365,SUM($H$23:H280),SUM(OFFSET(H280,-364,0):H280))),0))),IF(AND('депозитный калькулятор'!$G$10="в конце срока",'депозитный калькулятор'!$D$8=F280),SUM($H$23:H280),0))))))))))))))))))</f>
        <v xml:space="preserve"> </v>
      </c>
      <c r="J280" s="59" t="str">
        <f>IF(F280&gt;'депозитный калькулятор'!$D$8," ",IF('депозитный калькулятор'!$G$16="нет",0,IF(AND('депозитный калькулятор'!$G$17="разовая (в конце срока)",F280='депозитный калькулятор'!$D$8),'депозитный калькулятор'!$G$18,IF(AND('депозитный калькулятор'!$G$17="ежемесячная",EOMONTH(F279,0)=F279),'депозитный калькулятор'!$G$18,IF(AND('депозитный калькулятор'!$G$17="ежегодная",DAY(F279)=31,MONTH(F279)=12),'депозитный калькулятор'!$G$18,IF(AND('депозитный калькулятор'!$G$17="ежемесячная в зависимости от остатка",EOMONTH(F279,0)=F279,P279&gt;0),'депозитный калькулятор'!$G$18,IF(AND('депозитный калькулятор'!$G$17="ежегодная в зависимости от остатка",DAY(F279)=31,MONTH(F279)=12,P279&gt;0),'депозитный калькулятор'!$G$18,0)))))))</f>
        <v xml:space="preserve"> </v>
      </c>
      <c r="K280" s="135" t="str">
        <f>IF($F280=" "," ",IFERROR(VLOOKUP($F280,'депозитный калькулятор'!$B$26:$F$70,2,0),0))</f>
        <v xml:space="preserve"> </v>
      </c>
      <c r="L280" s="135" t="str">
        <f>IF($F280=" "," ",IFERROR(VLOOKUP($F280,'депозитный калькулятор'!$B$26:$F$70,3,0),0))</f>
        <v xml:space="preserve"> </v>
      </c>
      <c r="M280" s="135" t="str">
        <f>IF($F280=" "," ",IFERROR(VLOOKUP($F280,'депозитный калькулятор'!$B$26:$F$70,4,0),0))</f>
        <v xml:space="preserve"> </v>
      </c>
      <c r="N280" s="135" t="str">
        <f>IF($F280=" "," ",IFERROR(VLOOKUP($F280,'депозитный калькулятор'!$B$26:$F$70,5,0),0))</f>
        <v xml:space="preserve"> </v>
      </c>
      <c r="O280" s="146" t="str">
        <f>IF(F280&gt;'депозитный калькулятор'!$D$8," ",IF(F280='депозитный калькулятор'!$D$8,IF(AND($F$24='депозитный калькулятор'!$D$8,'депозитный калькулятор'!$G$13="нет"),-G280-IF(I280=" ",0,I280)-IF(AND(OR('депозитный калькулятор'!$G$7="30/365",'депозитный калькулятор'!$G$7="30/360"),'депозитный калькулятор'!$G$10="в начале срока"),I279,0)-L280+M280-N280,-G280-IF(I280=" ",0,I280)-L280+M280-N280),IF('депозитный калькулятор'!$G$13="есть",M280-N280+IF('депозитный калькулятор'!$G$14="есть",0,-L280),-IF(I280=" ",0,I280)-IF(AND(OR('депозитный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срока"),I279,0)+M280-N280+IF('депозитный калькулятор'!$G$14="есть",0,-L280))))</f>
        <v xml:space="preserve"> </v>
      </c>
      <c r="P280" s="147" t="str">
        <f>IF(F280&gt;'депозитный калькулятор'!$D$8," ",IF(EOMONTH(F279,0)=F279,0,IF(G280&gt;='депозитный калькулятор'!$G$19,P279,P279+1)))</f>
        <v xml:space="preserve"> </v>
      </c>
      <c r="Q280" s="138" t="str">
        <f>IF(F280=" "," ",IF(AND(OR('депозитный калькулятор'!$G$7="30/365",'депозитный калькулятор'!$G$7="30/360"),AND(MONTH(F280)=2,EOMONTH(F280,0)=F280)),IF(DAY(F280)=28,3,2),1)*IF(G280&gt;='депозитный калькулятор'!$G$11,IF(AND('депозитный калькулятор'!$G$7="факт/факт",MOD(YEAR(F280),4)=0),G280*'депозитный калькулятор'!$D$11/366,G280*'депозитный калькулятор'!$G$8),0))</f>
        <v xml:space="preserve"> </v>
      </c>
      <c r="R280" s="148"/>
      <c r="S280" s="62" t="str">
        <f t="shared" ref="S280:S343" ca="1" si="22">IF(S279&lt;COUNTIFS($B$23:$B$1023,"&gt;0"),S279+1," ")</f>
        <v xml:space="preserve"> </v>
      </c>
      <c r="T280" s="149" t="str">
        <f ca="1">IF(S280=" "," ",IF('депозитный калькулятор'!$G$7="30/360",DAYS360(U279,IF(DAY(U280)=31,U280-1,U280))+IF(AND(MONTH(U280)=2,U280=EOMONTH(U280,0)),30-DAY(EOMONTH(U280,0)))+T279,VLOOKUP(S280,$C$22:$F$1023,2,0)))</f>
        <v xml:space="preserve"> </v>
      </c>
      <c r="U280" s="64" t="str">
        <f t="shared" ca="1" si="20"/>
        <v xml:space="preserve"> </v>
      </c>
      <c r="V280" s="150" t="str">
        <f t="shared" ref="V280:V343" ca="1" si="23">VLOOKUP(U280,$F$24:$O$1023,10)</f>
        <v xml:space="preserve"> </v>
      </c>
      <c r="W280" s="62" t="str">
        <f t="shared" ref="W280:W343" ca="1" si="24">IF(S280=" "," ",VLOOKUP(U280,$F$24:$N$1023,8))</f>
        <v xml:space="preserve"> </v>
      </c>
      <c r="X280" s="141" t="str">
        <f ca="1">IF(S280=" "," ",IFERROR(VLOOKUP(U280,$F$23:$N$1023,7)+VLOOKUP(U280,$F$23:$N$1023,9)+IF(AND('депозитный калькулятор'!$G$13="нет",U280&lt;&gt;'депозитный калькулятор'!$D$8),VLOOKUP(U280,$F$23:$N$1023,4),0),0)+IF(U280='депозитный калькулятор'!$D$8,VLOOKUP(U280,$F$23:$N$1023,2)+VLOOKUP(U280,$F$23:$N$1023,4),0))</f>
        <v xml:space="preserve"> </v>
      </c>
      <c r="Y280" s="142" t="str">
        <f ca="1">IF(S280=" "," ",W280/(1+'депозитный калькулятор'!$K$8)^(T280/IF('депозитный калькулятор'!$G$7="30/360",360,365)))</f>
        <v xml:space="preserve"> </v>
      </c>
      <c r="Z280" s="142" t="str">
        <f ca="1">IF(S280=" "," ",X280/(1+'депозитный калькулятор'!$K$8)^(T280/IF('депозитный калькулятор'!$G$7="30/360",360,365)))</f>
        <v xml:space="preserve"> </v>
      </c>
      <c r="AA280" s="151"/>
      <c r="AB280" s="151"/>
      <c r="AC280" s="155"/>
      <c r="AD280" s="155"/>
    </row>
    <row r="281" spans="1:30" s="2" customFormat="1" ht="15.5" x14ac:dyDescent="0.35">
      <c r="A281" s="41" t="str">
        <f>IF(F281=" "," ",IF(OR('депозитный калькулятор'!$G$7="30/365",'депозитный калькулятор'!$G$7="30/360"),IF(AND(MONTH(F281)=2,DAY(F281)=DAY(EOMONTH(F281,0))),30-DAY(EOMONTH(F281,0)),IF(DAY(F281)=31,1," "))," "))</f>
        <v xml:space="preserve"> </v>
      </c>
      <c r="B281" s="130" t="str">
        <f t="shared" si="21"/>
        <v xml:space="preserve"> </v>
      </c>
      <c r="C281" s="130" t="str">
        <f>IF(OR(B281=0,B281=" ")," ",SUM($B$23:B281))</f>
        <v xml:space="preserve"> </v>
      </c>
      <c r="D281" s="62" t="str">
        <f>IF(D280=" "," ",IF(OR(F280='депозитный калькулятор'!$D$8,F280=" ")," ",D280+1))</f>
        <v xml:space="preserve"> </v>
      </c>
      <c r="E281" s="130" t="str">
        <f>IF(OR(F280='депозитный калькулятор'!$D$8,F280=" ")," ",IF(EOMONTH(F280,0)=F280,1,E280+1))</f>
        <v xml:space="preserve"> </v>
      </c>
      <c r="F281" s="64" t="str">
        <f>IF(F280=" "," ",IF(F280='депозитный калькулятор'!$D$8," ",F280+1))</f>
        <v xml:space="preserve"> </v>
      </c>
      <c r="G281" s="145" t="str">
        <f xml:space="preserve"> IF(F281&gt;'депозитный калькулятор'!$D$8," ",IF('депозитный калькулятор'!$G$13="есть",IF('депозитный калькулятор'!$G$14="есть",G280+IF(I280=" ",0,I280)-J281-K281+L281+M281-N281,G280+IF(I280=" ",0,I280)-J281-K281+M281-N281),IF('депозитный калькулятор'!$G$14="есть",G280-J281-K281+L281+M281-N281,G280-J281-K281+M281-N281)))</f>
        <v xml:space="preserve"> </v>
      </c>
      <c r="H281" s="133" t="str">
        <f>IF(F281&gt;'депозитный калькулятор'!$D$8," ",IF(AND(OR('депозитный калькулятор'!$G$7="30/365",'депозитный калькулятор'!$G$7="30/360"),AND(MONTH(F281)=2,EOMONTH(F281,0)=F281)),IF(DAY(F281)=28,3*G281*'депозитный калькулятор'!$G$8,2*G281*'депозитный калькулятор'!$G$8),IF(AND(OR('депозитный калькулятор'!$G$7="30/365",'депозитный калькулятор'!$G$7="30/360"),DAY(F281)=31)," ",IF(AND('депозитный калькулятор'!$G$7="факт/факт",MOD(YEAR(F281),4)=0),G281*'депозитный калькулятор'!$D$11/366,G281*'депозитный калькулятор'!$G$8))))</f>
        <v xml:space="preserve"> </v>
      </c>
      <c r="I281" s="134" t="str">
        <f ca="1">IF(F281=" "," ",IF('депозитный калькулятор'!$G$10="ежедневное",H281,IF(AND('депозитный калькулятор'!$G$10="еженедельное",WEEKDAY(F281,2)=7),SUM(OFFSET(H281,-6,0):H281),IF(AND('депозитный калькулятор'!$G$10="еженедельное",F281='депозитный калькулятор'!$D$8),SUM($H$23:H281)-SUM($I$23:I280),IF(AND('депозитный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недели",WEEKDAY(F281,2)=7),MIN(OFFSET(H281,-6,0):H281)*(COUNTIF(OFFSET(H281,-6,0):H281,"&gt;0")+SUMIF(OFFSET(A281,-WEEKDAY(F281,2),0):A281,"=2",OFFSET(A281,-WEEKDAY(F281,2),0):A281)),IF(AND('депозитный калькулятор'!$G$10="еженедельное, на минимальную сумму зафиксированную в течение недели",F281='депозитный калькулятор'!$D$8,WEEKDAY(F281,2)&lt;&gt;7),MIN(OFFSET(H281,-WEEKDAY(F281,2),0):H281)*(COUNTIF(OFFSET(H281,-WEEKDAY(F281,2)+1,0):H281,"&gt;0")+SUM(OFFSET(A281,-WEEKDAY(F281,2),0):A281)),IF(AND('депозитный калькулятор'!$G$10="ежемесячное (в конце месяца)",F281='депозитный калькулятор'!$D$8,EOMONTH(F281,0)&lt;&gt;F281),IF('депозитный калькулятор'!$F$1=1,$H$24,SUM($H$23:H281)-SUM($I$23:I280)),IF(AND('депозитный калькулятор'!$G$10="ежемесячное (в конце месяца)",EOMONTH(F281,0)=F281),SUM($H$23:H281)-SUM($I$23:I280),IF(AND('депозитный калькулятор'!$G$10="ежемесячное (по дням открытия вклада)",F281='депозитный калькулятор'!$D$8,DAY('депозитный калькулятор'!$D$7)&lt;&gt;DAY(F281)),IF('депозитный калькулятор'!$F$1=1,$H$24,SUM($H$23:H281)-SUM($I$23:I280)),IF(AND('депозитный калькулятор'!$G$10="ежемесячное (по дням открытия вклада)",DAY('депозитный калькулятор'!$D$7)=DAY(F281)),SUM($H$23:H281)-SUM($I$23:I280),IF(AND('депозитный калькулятор'!$G$10="ежемесячное, на минимальную сумму зафиксированную в течение месяца",F281='депозитный калькулятор'!$D$8,EOMONTH(F281,0)&lt;&gt;F281),IF('депозитный калькулятор'!$F$1=1,$H$24,IF(AND(OR('депозитный калькулятор'!$G$7="30/365",'депозитный калькулятор'!$G$7="30/360"),DAY(F281)=31),0,MIN(OFFSET(H281,-E281+1,0):H281)*(E281+SUMIF(OFFSET(A281,-E281+1,0):A281,"=2",OFFSET(A281,-E281+1,0):A281)))),IF(AND('депозитный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калькулятор'!$G$7="30/360"),DAY(EOMONTH(F281,0))=31),EOMONTH(F281,0)-1=F281,EOMONTH(F281,0)=F281)),IF(IF(AND(OR('депозитный калькулятор'!$G$7="30/365",'депозитный калькулятор'!$G$7="30/360"),DAY(EOMONTH($F$23,0))=31),F281=EOMONTH($F$23,0)-1,F281=EOMONTH($F$23,0)),MIN(OFFSET(H281,-(DAY(F281)-DAY($F$23)),0):H281)*E281,MIN(OFFSET(H281,-(DAY(F281)-1),0):H281)*IF(AND(OR('депозитный калькулятор'!$G$7="30/365",'депозитный калькулятор'!$G$7="30/360"),DAY(F281)&lt;30),30,DAY(F281))),IF(AND('депозитный калькулятор'!$G$10="ежемесячное, на средний остаток в течение месяца, при условии что остаток больше чем ограничение",F281='депозитный калькулятор'!$D$8,EOMONTH(F281,0)&lt;&gt;F281),IF('депозитный калькулятор'!$F$1=1,$H$24,SUM(OFFSET(Q281,-E281+1,0):Q281)),IF(AND('депозитный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калькулятор'!$G$7="30/360"),DAY(EOMONTH(F281,0))=31),EOMONTH(F281,0)-1=F281,EOMONTH(F281,0)=F281)),IF(IF(AND(OR('депозитный калькулятор'!$G$7="30/365",'депозитный калькулятор'!$G$7="30/360"),DAY(EOMONTH($F$24,0))=31),F281=EOMONTH($F$24,0)-1,F281=EOMONTH($F$24,0)),SUM(OFFSET(Q281,-E281+1,0):Q281),SUM(OFFSET(Q281,-E281+1,0):Q281)),IF('депозитный калькулятор'!$G$10="ежеквартальное",IF(F281&gt;'депозитный калькулятор'!$D$8," ",IF(AND(EOMONTH(F281,0)=F281,OR(MONTH(F281)=3,MONTH(F281)=6,MONTH(F281)=9,MONTH(F281)=12)),IF(EDATE(F281,-3)&lt;'депозитный калькулятор'!$D$7,SUM($H$23:H281),IF(MOD(YEAR(F281),4)=0,IF(AND(EOMONTH(F281,0)=F281,OR(MONTH(F281)=3,MONTH(F281)=6)),SUM(OFFSET(H281,-90,0):H281),IF(AND(EOMONTH(F281,0)=F281,OR(MONTH(F281)=9,MONTH(F281)=12)),SUM(OFFSET(H281,-91,0):H281))),IF(AND(EOMONTH(F281,0)=F281,MONTH(F281)=3),SUM(OFFSET(H281,-89,0):H281),IF(AND(EOMONTH(F281,0)=F281,MONTH(F281)=6),SUM(OFFSET(H281,-90,0):H281),IF(AND(EOMONTH(F281,0)=F281,OR(MONTH(F281)=9,MONTH(F281)=12)),SUM(OFFSET(H281,-91,0):H281)))))),IF(F281='депозитный калькулятор'!$D$8,SUM($H$23:H281)-SUM($I$23:I280),0))),IF('депозитный калькулятор'!$G$10="ежегодное",IF(F281&gt;'депозитный калькулятор'!$D$8," ",IF(F281='депозитный калькулятор'!$D$8,SUM($H$23:H281)-SUM($I$23:I280),IF(AND(EOMONTH(F281,0)=F281,MONTH(F281)=12),IF(MOD(YEAR(F280),4)=0,IF(F281-'депозитный калькулятор'!$D$7&lt;366,SUM($H$23:H281),SUM(OFFSET(H281,-365,0):H281)),IF(F281-'депозитный калькулятор'!$D$7&lt;365,SUM($H$23:H281),SUM(OFFSET(H281,-364,0):H281))),0))),IF(AND('депозитный калькулятор'!$G$10="в конце срока",'депозитный калькулятор'!$D$8=F281),SUM($H$23:H281),0))))))))))))))))))</f>
        <v xml:space="preserve"> </v>
      </c>
      <c r="J281" s="59" t="str">
        <f>IF(F281&gt;'депозитный калькулятор'!$D$8," ",IF('депозитный калькулятор'!$G$16="нет",0,IF(AND('депозитный калькулятор'!$G$17="разовая (в конце срока)",F281='депозитный калькулятор'!$D$8),'депозитный калькулятор'!$G$18,IF(AND('депозитный калькулятор'!$G$17="ежемесячная",EOMONTH(F280,0)=F280),'депозитный калькулятор'!$G$18,IF(AND('депозитный калькулятор'!$G$17="ежегодная",DAY(F280)=31,MONTH(F280)=12),'депозитный калькулятор'!$G$18,IF(AND('депозитный калькулятор'!$G$17="ежемесячная в зависимости от остатка",EOMONTH(F280,0)=F280,P280&gt;0),'депозитный калькулятор'!$G$18,IF(AND('депозитный калькулятор'!$G$17="ежегодная в зависимости от остатка",DAY(F280)=31,MONTH(F280)=12,P280&gt;0),'депозитный калькулятор'!$G$18,0)))))))</f>
        <v xml:space="preserve"> </v>
      </c>
      <c r="K281" s="135" t="str">
        <f>IF($F281=" "," ",IFERROR(VLOOKUP($F281,'депозитный калькулятор'!$B$26:$F$70,2,0),0))</f>
        <v xml:space="preserve"> </v>
      </c>
      <c r="L281" s="135" t="str">
        <f>IF($F281=" "," ",IFERROR(VLOOKUP($F281,'депозитный калькулятор'!$B$26:$F$70,3,0),0))</f>
        <v xml:space="preserve"> </v>
      </c>
      <c r="M281" s="135" t="str">
        <f>IF($F281=" "," ",IFERROR(VLOOKUP($F281,'депозитный калькулятор'!$B$26:$F$70,4,0),0))</f>
        <v xml:space="preserve"> </v>
      </c>
      <c r="N281" s="135" t="str">
        <f>IF($F281=" "," ",IFERROR(VLOOKUP($F281,'депозитный калькулятор'!$B$26:$F$70,5,0),0))</f>
        <v xml:space="preserve"> </v>
      </c>
      <c r="O281" s="146" t="str">
        <f>IF(F281&gt;'депозитный калькулятор'!$D$8," ",IF(F281='депозитный калькулятор'!$D$8,IF(AND($F$24='депозитный калькулятор'!$D$8,'депозитный калькулятор'!$G$13="нет"),-G281-IF(I281=" ",0,I281)-IF(AND(OR('депозитный калькулятор'!$G$7="30/365",'депозитный калькулятор'!$G$7="30/360"),'депозитный калькулятор'!$G$10="в начале срока"),I280,0)-L281+M281-N281,-G281-IF(I281=" ",0,I281)-L281+M281-N281),IF('депозитный калькулятор'!$G$13="есть",M281-N281+IF('депозитный калькулятор'!$G$14="есть",0,-L281),-IF(I281=" ",0,I281)-IF(AND(OR('депозитный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срока"),I280,0)+M281-N281+IF('депозитный калькулятор'!$G$14="есть",0,-L281))))</f>
        <v xml:space="preserve"> </v>
      </c>
      <c r="P281" s="147" t="str">
        <f>IF(F281&gt;'депозитный калькулятор'!$D$8," ",IF(EOMONTH(F280,0)=F280,0,IF(G281&gt;='депозитный калькулятор'!$G$19,P280,P280+1)))</f>
        <v xml:space="preserve"> </v>
      </c>
      <c r="Q281" s="138" t="str">
        <f>IF(F281=" "," ",IF(AND(OR('депозитный калькулятор'!$G$7="30/365",'депозитный калькулятор'!$G$7="30/360"),AND(MONTH(F281)=2,EOMONTH(F281,0)=F281)),IF(DAY(F281)=28,3,2),1)*IF(G281&gt;='депозитный калькулятор'!$G$11,IF(AND('депозитный калькулятор'!$G$7="факт/факт",MOD(YEAR(F281),4)=0),G281*'депозитный калькулятор'!$D$11/366,G281*'депозитный калькулятор'!$G$8),0))</f>
        <v xml:space="preserve"> </v>
      </c>
      <c r="R281" s="148"/>
      <c r="S281" s="62" t="str">
        <f t="shared" ca="1" si="22"/>
        <v xml:space="preserve"> </v>
      </c>
      <c r="T281" s="149" t="str">
        <f ca="1">IF(S281=" "," ",IF('депозитный калькулятор'!$G$7="30/360",DAYS360(U280,IF(DAY(U281)=31,U281-1,U281))+IF(AND(MONTH(U281)=2,U281=EOMONTH(U281,0)),30-DAY(EOMONTH(U281,0)))+T280,VLOOKUP(S281,$C$22:$F$1023,2,0)))</f>
        <v xml:space="preserve"> </v>
      </c>
      <c r="U281" s="64" t="str">
        <f t="shared" ca="1" si="20"/>
        <v xml:space="preserve"> </v>
      </c>
      <c r="V281" s="150" t="str">
        <f t="shared" ca="1" si="23"/>
        <v xml:space="preserve"> </v>
      </c>
      <c r="W281" s="62" t="str">
        <f t="shared" ca="1" si="24"/>
        <v xml:space="preserve"> </v>
      </c>
      <c r="X281" s="141" t="str">
        <f ca="1">IF(S281=" "," ",IFERROR(VLOOKUP(U281,$F$23:$N$1023,7)+VLOOKUP(U281,$F$23:$N$1023,9)+IF(AND('депозитный калькулятор'!$G$13="нет",U281&lt;&gt;'депозитный калькулятор'!$D$8),VLOOKUP(U281,$F$23:$N$1023,4),0),0)+IF(U281='депозитный калькулятор'!$D$8,VLOOKUP(U281,$F$23:$N$1023,2)+VLOOKUP(U281,$F$23:$N$1023,4),0))</f>
        <v xml:space="preserve"> </v>
      </c>
      <c r="Y281" s="142" t="str">
        <f ca="1">IF(S281=" "," ",W281/(1+'депозитный калькулятор'!$K$8)^(T281/IF('депозитный калькулятор'!$G$7="30/360",360,365)))</f>
        <v xml:space="preserve"> </v>
      </c>
      <c r="Z281" s="142" t="str">
        <f ca="1">IF(S281=" "," ",X281/(1+'депозитный калькулятор'!$K$8)^(T281/IF('депозитный калькулятор'!$G$7="30/360",360,365)))</f>
        <v xml:space="preserve"> </v>
      </c>
      <c r="AA281" s="151"/>
      <c r="AB281" s="151"/>
      <c r="AC281" s="155"/>
      <c r="AD281" s="155"/>
    </row>
    <row r="282" spans="1:30" s="2" customFormat="1" ht="15.5" x14ac:dyDescent="0.35">
      <c r="A282" s="41" t="str">
        <f>IF(F282=" "," ",IF(OR('депозитный калькулятор'!$G$7="30/365",'депозитный калькулятор'!$G$7="30/360"),IF(AND(MONTH(F282)=2,DAY(F282)=DAY(EOMONTH(F282,0))),30-DAY(EOMONTH(F282,0)),IF(DAY(F282)=31,1," "))," "))</f>
        <v xml:space="preserve"> </v>
      </c>
      <c r="B282" s="130" t="str">
        <f t="shared" si="21"/>
        <v xml:space="preserve"> </v>
      </c>
      <c r="C282" s="130" t="str">
        <f>IF(OR(B282=0,B282=" ")," ",SUM($B$23:B282))</f>
        <v xml:space="preserve"> </v>
      </c>
      <c r="D282" s="62" t="str">
        <f>IF(D281=" "," ",IF(OR(F281='депозитный калькулятор'!$D$8,F281=" ")," ",D281+1))</f>
        <v xml:space="preserve"> </v>
      </c>
      <c r="E282" s="130" t="str">
        <f>IF(OR(F281='депозитный калькулятор'!$D$8,F281=" ")," ",IF(EOMONTH(F281,0)=F281,1,E281+1))</f>
        <v xml:space="preserve"> </v>
      </c>
      <c r="F282" s="64" t="str">
        <f>IF(F281=" "," ",IF(F281='депозитный калькулятор'!$D$8," ",F281+1))</f>
        <v xml:space="preserve"> </v>
      </c>
      <c r="G282" s="145" t="str">
        <f xml:space="preserve"> IF(F282&gt;'депозитный калькулятор'!$D$8," ",IF('депозитный калькулятор'!$G$13="есть",IF('депозитный калькулятор'!$G$14="есть",G281+IF(I281=" ",0,I281)-J282-K282+L282+M282-N282,G281+IF(I281=" ",0,I281)-J282-K282+M282-N282),IF('депозитный калькулятор'!$G$14="есть",G281-J282-K282+L282+M282-N282,G281-J282-K282+M282-N282)))</f>
        <v xml:space="preserve"> </v>
      </c>
      <c r="H282" s="133" t="str">
        <f>IF(F282&gt;'депозитный калькулятор'!$D$8," ",IF(AND(OR('депозитный калькулятор'!$G$7="30/365",'депозитный калькулятор'!$G$7="30/360"),AND(MONTH(F282)=2,EOMONTH(F282,0)=F282)),IF(DAY(F282)=28,3*G282*'депозитный калькулятор'!$G$8,2*G282*'депозитный калькулятор'!$G$8),IF(AND(OR('депозитный калькулятор'!$G$7="30/365",'депозитный калькулятор'!$G$7="30/360"),DAY(F282)=31)," ",IF(AND('депозитный калькулятор'!$G$7="факт/факт",MOD(YEAR(F282),4)=0),G282*'депозитный калькулятор'!$D$11/366,G282*'депозитный калькулятор'!$G$8))))</f>
        <v xml:space="preserve"> </v>
      </c>
      <c r="I282" s="134" t="str">
        <f ca="1">IF(F282=" "," ",IF('депозитный калькулятор'!$G$10="ежедневное",H282,IF(AND('депозитный калькулятор'!$G$10="еженедельное",WEEKDAY(F282,2)=7),SUM(OFFSET(H282,-6,0):H282),IF(AND('депозитный калькулятор'!$G$10="еженедельное",F282='депозитный калькулятор'!$D$8),SUM($H$23:H282)-SUM($I$23:I281),IF(AND('депозитный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недели",WEEKDAY(F282,2)=7),MIN(OFFSET(H282,-6,0):H282)*(COUNTIF(OFFSET(H282,-6,0):H282,"&gt;0")+SUMIF(OFFSET(A282,-WEEKDAY(F282,2),0):A282,"=2",OFFSET(A282,-WEEKDAY(F282,2),0):A282)),IF(AND('депозитный калькулятор'!$G$10="еженедельное, на минимальную сумму зафиксированную в течение недели",F282='депозитный калькулятор'!$D$8,WEEKDAY(F282,2)&lt;&gt;7),MIN(OFFSET(H282,-WEEKDAY(F282,2),0):H282)*(COUNTIF(OFFSET(H282,-WEEKDAY(F282,2)+1,0):H282,"&gt;0")+SUM(OFFSET(A282,-WEEKDAY(F282,2),0):A282)),IF(AND('депозитный калькулятор'!$G$10="ежемесячное (в конце месяца)",F282='депозитный калькулятор'!$D$8,EOMONTH(F282,0)&lt;&gt;F282),IF('депозитный калькулятор'!$F$1=1,$H$24,SUM($H$23:H282)-SUM($I$23:I281)),IF(AND('депозитный калькулятор'!$G$10="ежемесячное (в конце месяца)",EOMONTH(F282,0)=F282),SUM($H$23:H282)-SUM($I$23:I281),IF(AND('депозитный калькулятор'!$G$10="ежемесячное (по дням открытия вклада)",F282='депозитный калькулятор'!$D$8,DAY('депозитный калькулятор'!$D$7)&lt;&gt;DAY(F282)),IF('депозитный калькулятор'!$F$1=1,$H$24,SUM($H$23:H282)-SUM($I$23:I281)),IF(AND('депозитный калькулятор'!$G$10="ежемесячное (по дням открытия вклада)",DAY('депозитный калькулятор'!$D$7)=DAY(F282)),SUM($H$23:H282)-SUM($I$23:I281),IF(AND('депозитный калькулятор'!$G$10="ежемесячное, на минимальную сумму зафиксированную в течение месяца",F282='депозитный калькулятор'!$D$8,EOMONTH(F282,0)&lt;&gt;F282),IF('депозитный калькулятор'!$F$1=1,$H$24,IF(AND(OR('депозитный калькулятор'!$G$7="30/365",'депозитный калькулятор'!$G$7="30/360"),DAY(F282)=31),0,MIN(OFFSET(H282,-E282+1,0):H282)*(E282+SUMIF(OFFSET(A282,-E282+1,0):A282,"=2",OFFSET(A282,-E282+1,0):A282)))),IF(AND('депозитный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калькулятор'!$G$7="30/360"),DAY(EOMONTH(F282,0))=31),EOMONTH(F282,0)-1=F282,EOMONTH(F282,0)=F282)),IF(IF(AND(OR('депозитный калькулятор'!$G$7="30/365",'депозитный калькулятор'!$G$7="30/360"),DAY(EOMONTH($F$23,0))=31),F282=EOMONTH($F$23,0)-1,F282=EOMONTH($F$23,0)),MIN(OFFSET(H282,-(DAY(F282)-DAY($F$23)),0):H282)*E282,MIN(OFFSET(H282,-(DAY(F282)-1),0):H282)*IF(AND(OR('депозитный калькулятор'!$G$7="30/365",'депозитный калькулятор'!$G$7="30/360"),DAY(F282)&lt;30),30,DAY(F282))),IF(AND('депозитный калькулятор'!$G$10="ежемесячное, на средний остаток в течение месяца, при условии что остаток больше чем ограничение",F282='депозитный калькулятор'!$D$8,EOMONTH(F282,0)&lt;&gt;F282),IF('депозитный калькулятор'!$F$1=1,$H$24,SUM(OFFSET(Q282,-E282+1,0):Q282)),IF(AND('депозитный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калькулятор'!$G$7="30/360"),DAY(EOMONTH(F282,0))=31),EOMONTH(F282,0)-1=F282,EOMONTH(F282,0)=F282)),IF(IF(AND(OR('депозитный калькулятор'!$G$7="30/365",'депозитный калькулятор'!$G$7="30/360"),DAY(EOMONTH($F$24,0))=31),F282=EOMONTH($F$24,0)-1,F282=EOMONTH($F$24,0)),SUM(OFFSET(Q282,-E282+1,0):Q282),SUM(OFFSET(Q282,-E282+1,0):Q282)),IF('депозитный калькулятор'!$G$10="ежеквартальное",IF(F282&gt;'депозитный калькулятор'!$D$8," ",IF(AND(EOMONTH(F282,0)=F282,OR(MONTH(F282)=3,MONTH(F282)=6,MONTH(F282)=9,MONTH(F282)=12)),IF(EDATE(F282,-3)&lt;'депозитный калькулятор'!$D$7,SUM($H$23:H282),IF(MOD(YEAR(F282),4)=0,IF(AND(EOMONTH(F282,0)=F282,OR(MONTH(F282)=3,MONTH(F282)=6)),SUM(OFFSET(H282,-90,0):H282),IF(AND(EOMONTH(F282,0)=F282,OR(MONTH(F282)=9,MONTH(F282)=12)),SUM(OFFSET(H282,-91,0):H282))),IF(AND(EOMONTH(F282,0)=F282,MONTH(F282)=3),SUM(OFFSET(H282,-89,0):H282),IF(AND(EOMONTH(F282,0)=F282,MONTH(F282)=6),SUM(OFFSET(H282,-90,0):H282),IF(AND(EOMONTH(F282,0)=F282,OR(MONTH(F282)=9,MONTH(F282)=12)),SUM(OFFSET(H282,-91,0):H282)))))),IF(F282='депозитный калькулятор'!$D$8,SUM($H$23:H282)-SUM($I$23:I281),0))),IF('депозитный калькулятор'!$G$10="ежегодное",IF(F282&gt;'депозитный калькулятор'!$D$8," ",IF(F282='депозитный калькулятор'!$D$8,SUM($H$23:H282)-SUM($I$23:I281),IF(AND(EOMONTH(F282,0)=F282,MONTH(F282)=12),IF(MOD(YEAR(F281),4)=0,IF(F282-'депозитный калькулятор'!$D$7&lt;366,SUM($H$23:H282),SUM(OFFSET(H282,-365,0):H282)),IF(F282-'депозитный калькулятор'!$D$7&lt;365,SUM($H$23:H282),SUM(OFFSET(H282,-364,0):H282))),0))),IF(AND('депозитный калькулятор'!$G$10="в конце срока",'депозитный калькулятор'!$D$8=F282),SUM($H$23:H282),0))))))))))))))))))</f>
        <v xml:space="preserve"> </v>
      </c>
      <c r="J282" s="59" t="str">
        <f>IF(F282&gt;'депозитный калькулятор'!$D$8," ",IF('депозитный калькулятор'!$G$16="нет",0,IF(AND('депозитный калькулятор'!$G$17="разовая (в конце срока)",F282='депозитный калькулятор'!$D$8),'депозитный калькулятор'!$G$18,IF(AND('депозитный калькулятор'!$G$17="ежемесячная",EOMONTH(F281,0)=F281),'депозитный калькулятор'!$G$18,IF(AND('депозитный калькулятор'!$G$17="ежегодная",DAY(F281)=31,MONTH(F281)=12),'депозитный калькулятор'!$G$18,IF(AND('депозитный калькулятор'!$G$17="ежемесячная в зависимости от остатка",EOMONTH(F281,0)=F281,P281&gt;0),'депозитный калькулятор'!$G$18,IF(AND('депозитный калькулятор'!$G$17="ежегодная в зависимости от остатка",DAY(F281)=31,MONTH(F281)=12,P281&gt;0),'депозитный калькулятор'!$G$18,0)))))))</f>
        <v xml:space="preserve"> </v>
      </c>
      <c r="K282" s="135" t="str">
        <f>IF($F282=" "," ",IFERROR(VLOOKUP($F282,'депозитный калькулятор'!$B$26:$F$70,2,0),0))</f>
        <v xml:space="preserve"> </v>
      </c>
      <c r="L282" s="135" t="str">
        <f>IF($F282=" "," ",IFERROR(VLOOKUP($F282,'депозитный калькулятор'!$B$26:$F$70,3,0),0))</f>
        <v xml:space="preserve"> </v>
      </c>
      <c r="M282" s="135" t="str">
        <f>IF($F282=" "," ",IFERROR(VLOOKUP($F282,'депозитный калькулятор'!$B$26:$F$70,4,0),0))</f>
        <v xml:space="preserve"> </v>
      </c>
      <c r="N282" s="135" t="str">
        <f>IF($F282=" "," ",IFERROR(VLOOKUP($F282,'депозитный калькулятор'!$B$26:$F$70,5,0),0))</f>
        <v xml:space="preserve"> </v>
      </c>
      <c r="O282" s="146" t="str">
        <f>IF(F282&gt;'депозитный калькулятор'!$D$8," ",IF(F282='депозитный калькулятор'!$D$8,IF(AND($F$24='депозитный калькулятор'!$D$8,'депозитный калькулятор'!$G$13="нет"),-G282-IF(I282=" ",0,I282)-IF(AND(OR('депозитный калькулятор'!$G$7="30/365",'депозитный калькулятор'!$G$7="30/360"),'депозитный калькулятор'!$G$10="в начале срока"),I281,0)-L282+M282-N282,-G282-IF(I282=" ",0,I282)-L282+M282-N282),IF('депозитный калькулятор'!$G$13="есть",M282-N282+IF('депозитный калькулятор'!$G$14="есть",0,-L282),-IF(I282=" ",0,I282)-IF(AND(OR('депозитный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срока"),I281,0)+M282-N282+IF('депозитный калькулятор'!$G$14="есть",0,-L282))))</f>
        <v xml:space="preserve"> </v>
      </c>
      <c r="P282" s="147" t="str">
        <f>IF(F282&gt;'депозитный калькулятор'!$D$8," ",IF(EOMONTH(F281,0)=F281,0,IF(G282&gt;='депозитный калькулятор'!$G$19,P281,P281+1)))</f>
        <v xml:space="preserve"> </v>
      </c>
      <c r="Q282" s="138" t="str">
        <f>IF(F282=" "," ",IF(AND(OR('депозитный калькулятор'!$G$7="30/365",'депозитный калькулятор'!$G$7="30/360"),AND(MONTH(F282)=2,EOMONTH(F282,0)=F282)),IF(DAY(F282)=28,3,2),1)*IF(G282&gt;='депозитный калькулятор'!$G$11,IF(AND('депозитный калькулятор'!$G$7="факт/факт",MOD(YEAR(F282),4)=0),G282*'депозитный калькулятор'!$D$11/366,G282*'депозитный калькулятор'!$G$8),0))</f>
        <v xml:space="preserve"> </v>
      </c>
      <c r="R282" s="148"/>
      <c r="S282" s="62" t="str">
        <f t="shared" ca="1" si="22"/>
        <v xml:space="preserve"> </v>
      </c>
      <c r="T282" s="149" t="str">
        <f ca="1">IF(S282=" "," ",IF('депозитный калькулятор'!$G$7="30/360",DAYS360(U281,IF(DAY(U282)=31,U282-1,U282))+IF(AND(MONTH(U282)=2,U282=EOMONTH(U282,0)),30-DAY(EOMONTH(U282,0)))+T281,VLOOKUP(S282,$C$22:$F$1023,2,0)))</f>
        <v xml:space="preserve"> </v>
      </c>
      <c r="U282" s="64" t="str">
        <f t="shared" ca="1" si="20"/>
        <v xml:space="preserve"> </v>
      </c>
      <c r="V282" s="150" t="str">
        <f t="shared" ca="1" si="23"/>
        <v xml:space="preserve"> </v>
      </c>
      <c r="W282" s="62" t="str">
        <f t="shared" ca="1" si="24"/>
        <v xml:space="preserve"> </v>
      </c>
      <c r="X282" s="141" t="str">
        <f ca="1">IF(S282=" "," ",IFERROR(VLOOKUP(U282,$F$23:$N$1023,7)+VLOOKUP(U282,$F$23:$N$1023,9)+IF(AND('депозитный калькулятор'!$G$13="нет",U282&lt;&gt;'депозитный калькулятор'!$D$8),VLOOKUP(U282,$F$23:$N$1023,4),0),0)+IF(U282='депозитный калькулятор'!$D$8,VLOOKUP(U282,$F$23:$N$1023,2)+VLOOKUP(U282,$F$23:$N$1023,4),0))</f>
        <v xml:space="preserve"> </v>
      </c>
      <c r="Y282" s="142" t="str">
        <f ca="1">IF(S282=" "," ",W282/(1+'депозитный калькулятор'!$K$8)^(T282/IF('депозитный калькулятор'!$G$7="30/360",360,365)))</f>
        <v xml:space="preserve"> </v>
      </c>
      <c r="Z282" s="142" t="str">
        <f ca="1">IF(S282=" "," ",X282/(1+'депозитный калькулятор'!$K$8)^(T282/IF('депозитный калькулятор'!$G$7="30/360",360,365)))</f>
        <v xml:space="preserve"> </v>
      </c>
      <c r="AA282" s="151"/>
      <c r="AB282" s="151"/>
      <c r="AC282" s="155"/>
      <c r="AD282" s="155"/>
    </row>
    <row r="283" spans="1:30" s="2" customFormat="1" ht="15.5" x14ac:dyDescent="0.35">
      <c r="A283" s="41" t="str">
        <f>IF(F283=" "," ",IF(OR('депозитный калькулятор'!$G$7="30/365",'депозитный калькулятор'!$G$7="30/360"),IF(AND(MONTH(F283)=2,DAY(F283)=DAY(EOMONTH(F283,0))),30-DAY(EOMONTH(F283,0)),IF(DAY(F283)=31,1," "))," "))</f>
        <v xml:space="preserve"> </v>
      </c>
      <c r="B283" s="130" t="str">
        <f t="shared" si="21"/>
        <v xml:space="preserve"> </v>
      </c>
      <c r="C283" s="130" t="str">
        <f>IF(OR(B283=0,B283=" ")," ",SUM($B$23:B283))</f>
        <v xml:space="preserve"> </v>
      </c>
      <c r="D283" s="62" t="str">
        <f>IF(D282=" "," ",IF(OR(F282='депозитный калькулятор'!$D$8,F282=" ")," ",D282+1))</f>
        <v xml:space="preserve"> </v>
      </c>
      <c r="E283" s="130" t="str">
        <f>IF(OR(F282='депозитный калькулятор'!$D$8,F282=" ")," ",IF(EOMONTH(F282,0)=F282,1,E282+1))</f>
        <v xml:space="preserve"> </v>
      </c>
      <c r="F283" s="64" t="str">
        <f>IF(F282=" "," ",IF(F282='депозитный калькулятор'!$D$8," ",F282+1))</f>
        <v xml:space="preserve"> </v>
      </c>
      <c r="G283" s="145" t="str">
        <f xml:space="preserve"> IF(F283&gt;'депозитный калькулятор'!$D$8," ",IF('депозитный калькулятор'!$G$13="есть",IF('депозитный калькулятор'!$G$14="есть",G282+IF(I282=" ",0,I282)-J283-K283+L283+M283-N283,G282+IF(I282=" ",0,I282)-J283-K283+M283-N283),IF('депозитный калькулятор'!$G$14="есть",G282-J283-K283+L283+M283-N283,G282-J283-K283+M283-N283)))</f>
        <v xml:space="preserve"> </v>
      </c>
      <c r="H283" s="133" t="str">
        <f>IF(F283&gt;'депозитный калькулятор'!$D$8," ",IF(AND(OR('депозитный калькулятор'!$G$7="30/365",'депозитный калькулятор'!$G$7="30/360"),AND(MONTH(F283)=2,EOMONTH(F283,0)=F283)),IF(DAY(F283)=28,3*G283*'депозитный калькулятор'!$G$8,2*G283*'депозитный калькулятор'!$G$8),IF(AND(OR('депозитный калькулятор'!$G$7="30/365",'депозитный калькулятор'!$G$7="30/360"),DAY(F283)=31)," ",IF(AND('депозитный калькулятор'!$G$7="факт/факт",MOD(YEAR(F283),4)=0),G283*'депозитный калькулятор'!$D$11/366,G283*'депозитный калькулятор'!$G$8))))</f>
        <v xml:space="preserve"> </v>
      </c>
      <c r="I283" s="134" t="str">
        <f ca="1">IF(F283=" "," ",IF('депозитный калькулятор'!$G$10="ежедневное",H283,IF(AND('депозитный калькулятор'!$G$10="еженедельное",WEEKDAY(F283,2)=7),SUM(OFFSET(H283,-6,0):H283),IF(AND('депозитный калькулятор'!$G$10="еженедельное",F283='депозитный калькулятор'!$D$8),SUM($H$23:H283)-SUM($I$23:I282),IF(AND('депозитный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недели",WEEKDAY(F283,2)=7),MIN(OFFSET(H283,-6,0):H283)*(COUNTIF(OFFSET(H283,-6,0):H283,"&gt;0")+SUMIF(OFFSET(A283,-WEEKDAY(F283,2),0):A283,"=2",OFFSET(A283,-WEEKDAY(F283,2),0):A283)),IF(AND('депозитный калькулятор'!$G$10="еженедельное, на минимальную сумму зафиксированную в течение недели",F283='депозитный калькулятор'!$D$8,WEEKDAY(F283,2)&lt;&gt;7),MIN(OFFSET(H283,-WEEKDAY(F283,2),0):H283)*(COUNTIF(OFFSET(H283,-WEEKDAY(F283,2)+1,0):H283,"&gt;0")+SUM(OFFSET(A283,-WEEKDAY(F283,2),0):A283)),IF(AND('депозитный калькулятор'!$G$10="ежемесячное (в конце месяца)",F283='депозитный калькулятор'!$D$8,EOMONTH(F283,0)&lt;&gt;F283),IF('депозитный калькулятор'!$F$1=1,$H$24,SUM($H$23:H283)-SUM($I$23:I282)),IF(AND('депозитный калькулятор'!$G$10="ежемесячное (в конце месяца)",EOMONTH(F283,0)=F283),SUM($H$23:H283)-SUM($I$23:I282),IF(AND('депозитный калькулятор'!$G$10="ежемесячное (по дням открытия вклада)",F283='депозитный калькулятор'!$D$8,DAY('депозитный калькулятор'!$D$7)&lt;&gt;DAY(F283)),IF('депозитный калькулятор'!$F$1=1,$H$24,SUM($H$23:H283)-SUM($I$23:I282)),IF(AND('депозитный калькулятор'!$G$10="ежемесячное (по дням открытия вклада)",DAY('депозитный калькулятор'!$D$7)=DAY(F283)),SUM($H$23:H283)-SUM($I$23:I282),IF(AND('депозитный калькулятор'!$G$10="ежемесячное, на минимальную сумму зафиксированную в течение месяца",F283='депозитный калькулятор'!$D$8,EOMONTH(F283,0)&lt;&gt;F283),IF('депозитный калькулятор'!$F$1=1,$H$24,IF(AND(OR('депозитный калькулятор'!$G$7="30/365",'депозитный калькулятор'!$G$7="30/360"),DAY(F283)=31),0,MIN(OFFSET(H283,-E283+1,0):H283)*(E283+SUMIF(OFFSET(A283,-E283+1,0):A283,"=2",OFFSET(A283,-E283+1,0):A283)))),IF(AND('депозитный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калькулятор'!$G$7="30/360"),DAY(EOMONTH(F283,0))=31),EOMONTH(F283,0)-1=F283,EOMONTH(F283,0)=F283)),IF(IF(AND(OR('депозитный калькулятор'!$G$7="30/365",'депозитный калькулятор'!$G$7="30/360"),DAY(EOMONTH($F$23,0))=31),F283=EOMONTH($F$23,0)-1,F283=EOMONTH($F$23,0)),MIN(OFFSET(H283,-(DAY(F283)-DAY($F$23)),0):H283)*E283,MIN(OFFSET(H283,-(DAY(F283)-1),0):H283)*IF(AND(OR('депозитный калькулятор'!$G$7="30/365",'депозитный калькулятор'!$G$7="30/360"),DAY(F283)&lt;30),30,DAY(F283))),IF(AND('депозитный калькулятор'!$G$10="ежемесячное, на средний остаток в течение месяца, при условии что остаток больше чем ограничение",F283='депозитный калькулятор'!$D$8,EOMONTH(F283,0)&lt;&gt;F283),IF('депозитный калькулятор'!$F$1=1,$H$24,SUM(OFFSET(Q283,-E283+1,0):Q283)),IF(AND('депозитный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калькулятор'!$G$7="30/360"),DAY(EOMONTH(F283,0))=31),EOMONTH(F283,0)-1=F283,EOMONTH(F283,0)=F283)),IF(IF(AND(OR('депозитный калькулятор'!$G$7="30/365",'депозитный калькулятор'!$G$7="30/360"),DAY(EOMONTH($F$24,0))=31),F283=EOMONTH($F$24,0)-1,F283=EOMONTH($F$24,0)),SUM(OFFSET(Q283,-E283+1,0):Q283),SUM(OFFSET(Q283,-E283+1,0):Q283)),IF('депозитный калькулятор'!$G$10="ежеквартальное",IF(F283&gt;'депозитный калькулятор'!$D$8," ",IF(AND(EOMONTH(F283,0)=F283,OR(MONTH(F283)=3,MONTH(F283)=6,MONTH(F283)=9,MONTH(F283)=12)),IF(EDATE(F283,-3)&lt;'депозитный калькулятор'!$D$7,SUM($H$23:H283),IF(MOD(YEAR(F283),4)=0,IF(AND(EOMONTH(F283,0)=F283,OR(MONTH(F283)=3,MONTH(F283)=6)),SUM(OFFSET(H283,-90,0):H283),IF(AND(EOMONTH(F283,0)=F283,OR(MONTH(F283)=9,MONTH(F283)=12)),SUM(OFFSET(H283,-91,0):H283))),IF(AND(EOMONTH(F283,0)=F283,MONTH(F283)=3),SUM(OFFSET(H283,-89,0):H283),IF(AND(EOMONTH(F283,0)=F283,MONTH(F283)=6),SUM(OFFSET(H283,-90,0):H283),IF(AND(EOMONTH(F283,0)=F283,OR(MONTH(F283)=9,MONTH(F283)=12)),SUM(OFFSET(H283,-91,0):H283)))))),IF(F283='депозитный калькулятор'!$D$8,SUM($H$23:H283)-SUM($I$23:I282),0))),IF('депозитный калькулятор'!$G$10="ежегодное",IF(F283&gt;'депозитный калькулятор'!$D$8," ",IF(F283='депозитный калькулятор'!$D$8,SUM($H$23:H283)-SUM($I$23:I282),IF(AND(EOMONTH(F283,0)=F283,MONTH(F283)=12),IF(MOD(YEAR(F282),4)=0,IF(F283-'депозитный калькулятор'!$D$7&lt;366,SUM($H$23:H283),SUM(OFFSET(H283,-365,0):H283)),IF(F283-'депозитный калькулятор'!$D$7&lt;365,SUM($H$23:H283),SUM(OFFSET(H283,-364,0):H283))),0))),IF(AND('депозитный калькулятор'!$G$10="в конце срока",'депозитный калькулятор'!$D$8=F283),SUM($H$23:H283),0))))))))))))))))))</f>
        <v xml:space="preserve"> </v>
      </c>
      <c r="J283" s="59" t="str">
        <f>IF(F283&gt;'депозитный калькулятор'!$D$8," ",IF('депозитный калькулятор'!$G$16="нет",0,IF(AND('депозитный калькулятор'!$G$17="разовая (в конце срока)",F283='депозитный калькулятор'!$D$8),'депозитный калькулятор'!$G$18,IF(AND('депозитный калькулятор'!$G$17="ежемесячная",EOMONTH(F282,0)=F282),'депозитный калькулятор'!$G$18,IF(AND('депозитный калькулятор'!$G$17="ежегодная",DAY(F282)=31,MONTH(F282)=12),'депозитный калькулятор'!$G$18,IF(AND('депозитный калькулятор'!$G$17="ежемесячная в зависимости от остатка",EOMONTH(F282,0)=F282,P282&gt;0),'депозитный калькулятор'!$G$18,IF(AND('депозитный калькулятор'!$G$17="ежегодная в зависимости от остатка",DAY(F282)=31,MONTH(F282)=12,P282&gt;0),'депозитный калькулятор'!$G$18,0)))))))</f>
        <v xml:space="preserve"> </v>
      </c>
      <c r="K283" s="135" t="str">
        <f>IF($F283=" "," ",IFERROR(VLOOKUP($F283,'депозитный калькулятор'!$B$26:$F$70,2,0),0))</f>
        <v xml:space="preserve"> </v>
      </c>
      <c r="L283" s="135" t="str">
        <f>IF($F283=" "," ",IFERROR(VLOOKUP($F283,'депозитный калькулятор'!$B$26:$F$70,3,0),0))</f>
        <v xml:space="preserve"> </v>
      </c>
      <c r="M283" s="135" t="str">
        <f>IF($F283=" "," ",IFERROR(VLOOKUP($F283,'депозитный калькулятор'!$B$26:$F$70,4,0),0))</f>
        <v xml:space="preserve"> </v>
      </c>
      <c r="N283" s="135" t="str">
        <f>IF($F283=" "," ",IFERROR(VLOOKUP($F283,'депозитный калькулятор'!$B$26:$F$70,5,0),0))</f>
        <v xml:space="preserve"> </v>
      </c>
      <c r="O283" s="146" t="str">
        <f>IF(F283&gt;'депозитный калькулятор'!$D$8," ",IF(F283='депозитный калькулятор'!$D$8,IF(AND($F$24='депозитный калькулятор'!$D$8,'депозитный калькулятор'!$G$13="нет"),-G283-IF(I283=" ",0,I283)-IF(AND(OR('депозитный калькулятор'!$G$7="30/365",'депозитный калькулятор'!$G$7="30/360"),'депозитный калькулятор'!$G$10="в начале срока"),I282,0)-L283+M283-N283,-G283-IF(I283=" ",0,I283)-L283+M283-N283),IF('депозитный калькулятор'!$G$13="есть",M283-N283+IF('депозитный калькулятор'!$G$14="есть",0,-L283),-IF(I283=" ",0,I283)-IF(AND(OR('депозитный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срока"),I282,0)+M283-N283+IF('депозитный калькулятор'!$G$14="есть",0,-L283))))</f>
        <v xml:space="preserve"> </v>
      </c>
      <c r="P283" s="147" t="str">
        <f>IF(F283&gt;'депозитный калькулятор'!$D$8," ",IF(EOMONTH(F282,0)=F282,0,IF(G283&gt;='депозитный калькулятор'!$G$19,P282,P282+1)))</f>
        <v xml:space="preserve"> </v>
      </c>
      <c r="Q283" s="138" t="str">
        <f>IF(F283=" "," ",IF(AND(OR('депозитный калькулятор'!$G$7="30/365",'депозитный калькулятор'!$G$7="30/360"),AND(MONTH(F283)=2,EOMONTH(F283,0)=F283)),IF(DAY(F283)=28,3,2),1)*IF(G283&gt;='депозитный калькулятор'!$G$11,IF(AND('депозитный калькулятор'!$G$7="факт/факт",MOD(YEAR(F283),4)=0),G283*'депозитный калькулятор'!$D$11/366,G283*'депозитный калькулятор'!$G$8),0))</f>
        <v xml:space="preserve"> </v>
      </c>
      <c r="R283" s="148"/>
      <c r="S283" s="62" t="str">
        <f t="shared" ca="1" si="22"/>
        <v xml:space="preserve"> </v>
      </c>
      <c r="T283" s="149" t="str">
        <f ca="1">IF(S283=" "," ",IF('депозитный калькулятор'!$G$7="30/360",DAYS360(U282,IF(DAY(U283)=31,U283-1,U283))+IF(AND(MONTH(U283)=2,U283=EOMONTH(U283,0)),30-DAY(EOMONTH(U283,0)))+T282,VLOOKUP(S283,$C$22:$F$1023,2,0)))</f>
        <v xml:space="preserve"> </v>
      </c>
      <c r="U283" s="64" t="str">
        <f t="shared" ca="1" si="20"/>
        <v xml:space="preserve"> </v>
      </c>
      <c r="V283" s="150" t="str">
        <f t="shared" ca="1" si="23"/>
        <v xml:space="preserve"> </v>
      </c>
      <c r="W283" s="62" t="str">
        <f t="shared" ca="1" si="24"/>
        <v xml:space="preserve"> </v>
      </c>
      <c r="X283" s="141" t="str">
        <f ca="1">IF(S283=" "," ",IFERROR(VLOOKUP(U283,$F$23:$N$1023,7)+VLOOKUP(U283,$F$23:$N$1023,9)+IF(AND('депозитный калькулятор'!$G$13="нет",U283&lt;&gt;'депозитный калькулятор'!$D$8),VLOOKUP(U283,$F$23:$N$1023,4),0),0)+IF(U283='депозитный калькулятор'!$D$8,VLOOKUP(U283,$F$23:$N$1023,2)+VLOOKUP(U283,$F$23:$N$1023,4),0))</f>
        <v xml:space="preserve"> </v>
      </c>
      <c r="Y283" s="142" t="str">
        <f ca="1">IF(S283=" "," ",W283/(1+'депозитный калькулятор'!$K$8)^(T283/IF('депозитный калькулятор'!$G$7="30/360",360,365)))</f>
        <v xml:space="preserve"> </v>
      </c>
      <c r="Z283" s="142" t="str">
        <f ca="1">IF(S283=" "," ",X283/(1+'депозитный калькулятор'!$K$8)^(T283/IF('депозитный калькулятор'!$G$7="30/360",360,365)))</f>
        <v xml:space="preserve"> </v>
      </c>
      <c r="AA283" s="151"/>
      <c r="AB283" s="151"/>
      <c r="AC283" s="155"/>
      <c r="AD283" s="155"/>
    </row>
    <row r="284" spans="1:30" s="2" customFormat="1" ht="15.5" x14ac:dyDescent="0.35">
      <c r="A284" s="41" t="str">
        <f>IF(F284=" "," ",IF(OR('депозитный калькулятор'!$G$7="30/365",'депозитный калькулятор'!$G$7="30/360"),IF(AND(MONTH(F284)=2,DAY(F284)=DAY(EOMONTH(F284,0))),30-DAY(EOMONTH(F284,0)),IF(DAY(F284)=31,1," "))," "))</f>
        <v xml:space="preserve"> </v>
      </c>
      <c r="B284" s="130" t="str">
        <f t="shared" si="21"/>
        <v xml:space="preserve"> </v>
      </c>
      <c r="C284" s="130" t="str">
        <f>IF(OR(B284=0,B284=" ")," ",SUM($B$23:B284))</f>
        <v xml:space="preserve"> </v>
      </c>
      <c r="D284" s="62" t="str">
        <f>IF(D283=" "," ",IF(OR(F283='депозитный калькулятор'!$D$8,F283=" ")," ",D283+1))</f>
        <v xml:space="preserve"> </v>
      </c>
      <c r="E284" s="130" t="str">
        <f>IF(OR(F283='депозитный калькулятор'!$D$8,F283=" ")," ",IF(EOMONTH(F283,0)=F283,1,E283+1))</f>
        <v xml:space="preserve"> </v>
      </c>
      <c r="F284" s="64" t="str">
        <f>IF(F283=" "," ",IF(F283='депозитный калькулятор'!$D$8," ",F283+1))</f>
        <v xml:space="preserve"> </v>
      </c>
      <c r="G284" s="145" t="str">
        <f xml:space="preserve"> IF(F284&gt;'депозитный калькулятор'!$D$8," ",IF('депозитный калькулятор'!$G$13="есть",IF('депозитный калькулятор'!$G$14="есть",G283+IF(I283=" ",0,I283)-J284-K284+L284+M284-N284,G283+IF(I283=" ",0,I283)-J284-K284+M284-N284),IF('депозитный калькулятор'!$G$14="есть",G283-J284-K284+L284+M284-N284,G283-J284-K284+M284-N284)))</f>
        <v xml:space="preserve"> </v>
      </c>
      <c r="H284" s="133" t="str">
        <f>IF(F284&gt;'депозитный калькулятор'!$D$8," ",IF(AND(OR('депозитный калькулятор'!$G$7="30/365",'депозитный калькулятор'!$G$7="30/360"),AND(MONTH(F284)=2,EOMONTH(F284,0)=F284)),IF(DAY(F284)=28,3*G284*'депозитный калькулятор'!$G$8,2*G284*'депозитный калькулятор'!$G$8),IF(AND(OR('депозитный калькулятор'!$G$7="30/365",'депозитный калькулятор'!$G$7="30/360"),DAY(F284)=31)," ",IF(AND('депозитный калькулятор'!$G$7="факт/факт",MOD(YEAR(F284),4)=0),G284*'депозитный калькулятор'!$D$11/366,G284*'депозитный калькулятор'!$G$8))))</f>
        <v xml:space="preserve"> </v>
      </c>
      <c r="I284" s="134" t="str">
        <f ca="1">IF(F284=" "," ",IF('депозитный калькулятор'!$G$10="ежедневное",H284,IF(AND('депозитный калькулятор'!$G$10="еженедельное",WEEKDAY(F284,2)=7),SUM(OFFSET(H284,-6,0):H284),IF(AND('депозитный калькулятор'!$G$10="еженедельное",F284='депозитный калькулятор'!$D$8),SUM($H$23:H284)-SUM($I$23:I283),IF(AND('депозитный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недели",WEEKDAY(F284,2)=7),MIN(OFFSET(H284,-6,0):H284)*(COUNTIF(OFFSET(H284,-6,0):H284,"&gt;0")+SUMIF(OFFSET(A284,-WEEKDAY(F284,2),0):A284,"=2",OFFSET(A284,-WEEKDAY(F284,2),0):A284)),IF(AND('депозитный калькулятор'!$G$10="еженедельное, на минимальную сумму зафиксированную в течение недели",F284='депозитный калькулятор'!$D$8,WEEKDAY(F284,2)&lt;&gt;7),MIN(OFFSET(H284,-WEEKDAY(F284,2),0):H284)*(COUNTIF(OFFSET(H284,-WEEKDAY(F284,2)+1,0):H284,"&gt;0")+SUM(OFFSET(A284,-WEEKDAY(F284,2),0):A284)),IF(AND('депозитный калькулятор'!$G$10="ежемесячное (в конце месяца)",F284='депозитный калькулятор'!$D$8,EOMONTH(F284,0)&lt;&gt;F284),IF('депозитный калькулятор'!$F$1=1,$H$24,SUM($H$23:H284)-SUM($I$23:I283)),IF(AND('депозитный калькулятор'!$G$10="ежемесячное (в конце месяца)",EOMONTH(F284,0)=F284),SUM($H$23:H284)-SUM($I$23:I283),IF(AND('депозитный калькулятор'!$G$10="ежемесячное (по дням открытия вклада)",F284='депозитный калькулятор'!$D$8,DAY('депозитный калькулятор'!$D$7)&lt;&gt;DAY(F284)),IF('депозитный калькулятор'!$F$1=1,$H$24,SUM($H$23:H284)-SUM($I$23:I283)),IF(AND('депозитный калькулятор'!$G$10="ежемесячное (по дням открытия вклада)",DAY('депозитный калькулятор'!$D$7)=DAY(F284)),SUM($H$23:H284)-SUM($I$23:I283),IF(AND('депозитный калькулятор'!$G$10="ежемесячное, на минимальную сумму зафиксированную в течение месяца",F284='депозитный калькулятор'!$D$8,EOMONTH(F284,0)&lt;&gt;F284),IF('депозитный калькулятор'!$F$1=1,$H$24,IF(AND(OR('депозитный калькулятор'!$G$7="30/365",'депозитный калькулятор'!$G$7="30/360"),DAY(F284)=31),0,MIN(OFFSET(H284,-E284+1,0):H284)*(E284+SUMIF(OFFSET(A284,-E284+1,0):A284,"=2",OFFSET(A284,-E284+1,0):A284)))),IF(AND('депозитный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калькулятор'!$G$7="30/360"),DAY(EOMONTH(F284,0))=31),EOMONTH(F284,0)-1=F284,EOMONTH(F284,0)=F284)),IF(IF(AND(OR('депозитный калькулятор'!$G$7="30/365",'депозитный калькулятор'!$G$7="30/360"),DAY(EOMONTH($F$23,0))=31),F284=EOMONTH($F$23,0)-1,F284=EOMONTH($F$23,0)),MIN(OFFSET(H284,-(DAY(F284)-DAY($F$23)),0):H284)*E284,MIN(OFFSET(H284,-(DAY(F284)-1),0):H284)*IF(AND(OR('депозитный калькулятор'!$G$7="30/365",'депозитный калькулятор'!$G$7="30/360"),DAY(F284)&lt;30),30,DAY(F284))),IF(AND('депозитный калькулятор'!$G$10="ежемесячное, на средний остаток в течение месяца, при условии что остаток больше чем ограничение",F284='депозитный калькулятор'!$D$8,EOMONTH(F284,0)&lt;&gt;F284),IF('депозитный калькулятор'!$F$1=1,$H$24,SUM(OFFSET(Q284,-E284+1,0):Q284)),IF(AND('депозитный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калькулятор'!$G$7="30/360"),DAY(EOMONTH(F284,0))=31),EOMONTH(F284,0)-1=F284,EOMONTH(F284,0)=F284)),IF(IF(AND(OR('депозитный калькулятор'!$G$7="30/365",'депозитный калькулятор'!$G$7="30/360"),DAY(EOMONTH($F$24,0))=31),F284=EOMONTH($F$24,0)-1,F284=EOMONTH($F$24,0)),SUM(OFFSET(Q284,-E284+1,0):Q284),SUM(OFFSET(Q284,-E284+1,0):Q284)),IF('депозитный калькулятор'!$G$10="ежеквартальное",IF(F284&gt;'депозитный калькулятор'!$D$8," ",IF(AND(EOMONTH(F284,0)=F284,OR(MONTH(F284)=3,MONTH(F284)=6,MONTH(F284)=9,MONTH(F284)=12)),IF(EDATE(F284,-3)&lt;'депозитный калькулятор'!$D$7,SUM($H$23:H284),IF(MOD(YEAR(F284),4)=0,IF(AND(EOMONTH(F284,0)=F284,OR(MONTH(F284)=3,MONTH(F284)=6)),SUM(OFFSET(H284,-90,0):H284),IF(AND(EOMONTH(F284,0)=F284,OR(MONTH(F284)=9,MONTH(F284)=12)),SUM(OFFSET(H284,-91,0):H284))),IF(AND(EOMONTH(F284,0)=F284,MONTH(F284)=3),SUM(OFFSET(H284,-89,0):H284),IF(AND(EOMONTH(F284,0)=F284,MONTH(F284)=6),SUM(OFFSET(H284,-90,0):H284),IF(AND(EOMONTH(F284,0)=F284,OR(MONTH(F284)=9,MONTH(F284)=12)),SUM(OFFSET(H284,-91,0):H284)))))),IF(F284='депозитный калькулятор'!$D$8,SUM($H$23:H284)-SUM($I$23:I283),0))),IF('депозитный калькулятор'!$G$10="ежегодное",IF(F284&gt;'депозитный калькулятор'!$D$8," ",IF(F284='депозитный калькулятор'!$D$8,SUM($H$23:H284)-SUM($I$23:I283),IF(AND(EOMONTH(F284,0)=F284,MONTH(F284)=12),IF(MOD(YEAR(F283),4)=0,IF(F284-'депозитный калькулятор'!$D$7&lt;366,SUM($H$23:H284),SUM(OFFSET(H284,-365,0):H284)),IF(F284-'депозитный калькулятор'!$D$7&lt;365,SUM($H$23:H284),SUM(OFFSET(H284,-364,0):H284))),0))),IF(AND('депозитный калькулятор'!$G$10="в конце срока",'депозитный калькулятор'!$D$8=F284),SUM($H$23:H284),0))))))))))))))))))</f>
        <v xml:space="preserve"> </v>
      </c>
      <c r="J284" s="59" t="str">
        <f>IF(F284&gt;'депозитный калькулятор'!$D$8," ",IF('депозитный калькулятор'!$G$16="нет",0,IF(AND('депозитный калькулятор'!$G$17="разовая (в конце срока)",F284='депозитный калькулятор'!$D$8),'депозитный калькулятор'!$G$18,IF(AND('депозитный калькулятор'!$G$17="ежемесячная",EOMONTH(F283,0)=F283),'депозитный калькулятор'!$G$18,IF(AND('депозитный калькулятор'!$G$17="ежегодная",DAY(F283)=31,MONTH(F283)=12),'депозитный калькулятор'!$G$18,IF(AND('депозитный калькулятор'!$G$17="ежемесячная в зависимости от остатка",EOMONTH(F283,0)=F283,P283&gt;0),'депозитный калькулятор'!$G$18,IF(AND('депозитный калькулятор'!$G$17="ежегодная в зависимости от остатка",DAY(F283)=31,MONTH(F283)=12,P283&gt;0),'депозитный калькулятор'!$G$18,0)))))))</f>
        <v xml:space="preserve"> </v>
      </c>
      <c r="K284" s="135" t="str">
        <f>IF($F284=" "," ",IFERROR(VLOOKUP($F284,'депозитный калькулятор'!$B$26:$F$70,2,0),0))</f>
        <v xml:space="preserve"> </v>
      </c>
      <c r="L284" s="135" t="str">
        <f>IF($F284=" "," ",IFERROR(VLOOKUP($F284,'депозитный калькулятор'!$B$26:$F$70,3,0),0))</f>
        <v xml:space="preserve"> </v>
      </c>
      <c r="M284" s="135" t="str">
        <f>IF($F284=" "," ",IFERROR(VLOOKUP($F284,'депозитный калькулятор'!$B$26:$F$70,4,0),0))</f>
        <v xml:space="preserve"> </v>
      </c>
      <c r="N284" s="135" t="str">
        <f>IF($F284=" "," ",IFERROR(VLOOKUP($F284,'депозитный калькулятор'!$B$26:$F$70,5,0),0))</f>
        <v xml:space="preserve"> </v>
      </c>
      <c r="O284" s="146" t="str">
        <f>IF(F284&gt;'депозитный калькулятор'!$D$8," ",IF(F284='депозитный калькулятор'!$D$8,IF(AND($F$24='депозитный калькулятор'!$D$8,'депозитный калькулятор'!$G$13="нет"),-G284-IF(I284=" ",0,I284)-IF(AND(OR('депозитный калькулятор'!$G$7="30/365",'депозитный калькулятор'!$G$7="30/360"),'депозитный калькулятор'!$G$10="в начале срока"),I283,0)-L284+M284-N284,-G284-IF(I284=" ",0,I284)-L284+M284-N284),IF('депозитный калькулятор'!$G$13="есть",M284-N284+IF('депозитный калькулятор'!$G$14="есть",0,-L284),-IF(I284=" ",0,I284)-IF(AND(OR('депозитный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срока"),I283,0)+M284-N284+IF('депозитный калькулятор'!$G$14="есть",0,-L284))))</f>
        <v xml:space="preserve"> </v>
      </c>
      <c r="P284" s="147" t="str">
        <f>IF(F284&gt;'депозитный калькулятор'!$D$8," ",IF(EOMONTH(F283,0)=F283,0,IF(G284&gt;='депозитный калькулятор'!$G$19,P283,P283+1)))</f>
        <v xml:space="preserve"> </v>
      </c>
      <c r="Q284" s="138" t="str">
        <f>IF(F284=" "," ",IF(AND(OR('депозитный калькулятор'!$G$7="30/365",'депозитный калькулятор'!$G$7="30/360"),AND(MONTH(F284)=2,EOMONTH(F284,0)=F284)),IF(DAY(F284)=28,3,2),1)*IF(G284&gt;='депозитный калькулятор'!$G$11,IF(AND('депозитный калькулятор'!$G$7="факт/факт",MOD(YEAR(F284),4)=0),G284*'депозитный калькулятор'!$D$11/366,G284*'депозитный калькулятор'!$G$8),0))</f>
        <v xml:space="preserve"> </v>
      </c>
      <c r="R284" s="148"/>
      <c r="S284" s="62" t="str">
        <f t="shared" ca="1" si="22"/>
        <v xml:space="preserve"> </v>
      </c>
      <c r="T284" s="149" t="str">
        <f ca="1">IF(S284=" "," ",IF('депозитный калькулятор'!$G$7="30/360",DAYS360(U283,IF(DAY(U284)=31,U284-1,U284))+IF(AND(MONTH(U284)=2,U284=EOMONTH(U284,0)),30-DAY(EOMONTH(U284,0)))+T283,VLOOKUP(S284,$C$22:$F$1023,2,0)))</f>
        <v xml:space="preserve"> </v>
      </c>
      <c r="U284" s="64" t="str">
        <f t="shared" ca="1" si="20"/>
        <v xml:space="preserve"> </v>
      </c>
      <c r="V284" s="150" t="str">
        <f t="shared" ca="1" si="23"/>
        <v xml:space="preserve"> </v>
      </c>
      <c r="W284" s="62" t="str">
        <f t="shared" ca="1" si="24"/>
        <v xml:space="preserve"> </v>
      </c>
      <c r="X284" s="141" t="str">
        <f ca="1">IF(S284=" "," ",IFERROR(VLOOKUP(U284,$F$23:$N$1023,7)+VLOOKUP(U284,$F$23:$N$1023,9)+IF(AND('депозитный калькулятор'!$G$13="нет",U284&lt;&gt;'депозитный калькулятор'!$D$8),VLOOKUP(U284,$F$23:$N$1023,4),0),0)+IF(U284='депозитный калькулятор'!$D$8,VLOOKUP(U284,$F$23:$N$1023,2)+VLOOKUP(U284,$F$23:$N$1023,4),0))</f>
        <v xml:space="preserve"> </v>
      </c>
      <c r="Y284" s="142" t="str">
        <f ca="1">IF(S284=" "," ",W284/(1+'депозитный калькулятор'!$K$8)^(T284/IF('депозитный калькулятор'!$G$7="30/360",360,365)))</f>
        <v xml:space="preserve"> </v>
      </c>
      <c r="Z284" s="142" t="str">
        <f ca="1">IF(S284=" "," ",X284/(1+'депозитный калькулятор'!$K$8)^(T284/IF('депозитный калькулятор'!$G$7="30/360",360,365)))</f>
        <v xml:space="preserve"> </v>
      </c>
      <c r="AA284" s="151"/>
      <c r="AB284" s="151"/>
      <c r="AC284" s="155"/>
      <c r="AD284" s="155"/>
    </row>
    <row r="285" spans="1:30" s="2" customFormat="1" ht="15.5" x14ac:dyDescent="0.35">
      <c r="A285" s="41" t="str">
        <f>IF(F285=" "," ",IF(OR('депозитный калькулятор'!$G$7="30/365",'депозитный калькулятор'!$G$7="30/360"),IF(AND(MONTH(F285)=2,DAY(F285)=DAY(EOMONTH(F285,0))),30-DAY(EOMONTH(F285,0)),IF(DAY(F285)=31,1," "))," "))</f>
        <v xml:space="preserve"> </v>
      </c>
      <c r="B285" s="130" t="str">
        <f t="shared" si="21"/>
        <v xml:space="preserve"> </v>
      </c>
      <c r="C285" s="130" t="str">
        <f>IF(OR(B285=0,B285=" ")," ",SUM($B$23:B285))</f>
        <v xml:space="preserve"> </v>
      </c>
      <c r="D285" s="62" t="str">
        <f>IF(D284=" "," ",IF(OR(F284='депозитный калькулятор'!$D$8,F284=" ")," ",D284+1))</f>
        <v xml:space="preserve"> </v>
      </c>
      <c r="E285" s="130" t="str">
        <f>IF(OR(F284='депозитный калькулятор'!$D$8,F284=" ")," ",IF(EOMONTH(F284,0)=F284,1,E284+1))</f>
        <v xml:space="preserve"> </v>
      </c>
      <c r="F285" s="64" t="str">
        <f>IF(F284=" "," ",IF(F284='депозитный калькулятор'!$D$8," ",F284+1))</f>
        <v xml:space="preserve"> </v>
      </c>
      <c r="G285" s="145" t="str">
        <f xml:space="preserve"> IF(F285&gt;'депозитный калькулятор'!$D$8," ",IF('депозитный калькулятор'!$G$13="есть",IF('депозитный калькулятор'!$G$14="есть",G284+IF(I284=" ",0,I284)-J285-K285+L285+M285-N285,G284+IF(I284=" ",0,I284)-J285-K285+M285-N285),IF('депозитный калькулятор'!$G$14="есть",G284-J285-K285+L285+M285-N285,G284-J285-K285+M285-N285)))</f>
        <v xml:space="preserve"> </v>
      </c>
      <c r="H285" s="133" t="str">
        <f>IF(F285&gt;'депозитный калькулятор'!$D$8," ",IF(AND(OR('депозитный калькулятор'!$G$7="30/365",'депозитный калькулятор'!$G$7="30/360"),AND(MONTH(F285)=2,EOMONTH(F285,0)=F285)),IF(DAY(F285)=28,3*G285*'депозитный калькулятор'!$G$8,2*G285*'депозитный калькулятор'!$G$8),IF(AND(OR('депозитный калькулятор'!$G$7="30/365",'депозитный калькулятор'!$G$7="30/360"),DAY(F285)=31)," ",IF(AND('депозитный калькулятор'!$G$7="факт/факт",MOD(YEAR(F285),4)=0),G285*'депозитный калькулятор'!$D$11/366,G285*'депозитный калькулятор'!$G$8))))</f>
        <v xml:space="preserve"> </v>
      </c>
      <c r="I285" s="134" t="str">
        <f ca="1">IF(F285=" "," ",IF('депозитный калькулятор'!$G$10="ежедневное",H285,IF(AND('депозитный калькулятор'!$G$10="еженедельное",WEEKDAY(F285,2)=7),SUM(OFFSET(H285,-6,0):H285),IF(AND('депозитный калькулятор'!$G$10="еженедельное",F285='депозитный калькулятор'!$D$8),SUM($H$23:H285)-SUM($I$23:I284),IF(AND('депозитный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недели",WEEKDAY(F285,2)=7),MIN(OFFSET(H285,-6,0):H285)*(COUNTIF(OFFSET(H285,-6,0):H285,"&gt;0")+SUMIF(OFFSET(A285,-WEEKDAY(F285,2),0):A285,"=2",OFFSET(A285,-WEEKDAY(F285,2),0):A285)),IF(AND('депозитный калькулятор'!$G$10="еженедельное, на минимальную сумму зафиксированную в течение недели",F285='депозитный калькулятор'!$D$8,WEEKDAY(F285,2)&lt;&gt;7),MIN(OFFSET(H285,-WEEKDAY(F285,2),0):H285)*(COUNTIF(OFFSET(H285,-WEEKDAY(F285,2)+1,0):H285,"&gt;0")+SUM(OFFSET(A285,-WEEKDAY(F285,2),0):A285)),IF(AND('депозитный калькулятор'!$G$10="ежемесячное (в конце месяца)",F285='депозитный калькулятор'!$D$8,EOMONTH(F285,0)&lt;&gt;F285),IF('депозитный калькулятор'!$F$1=1,$H$24,SUM($H$23:H285)-SUM($I$23:I284)),IF(AND('депозитный калькулятор'!$G$10="ежемесячное (в конце месяца)",EOMONTH(F285,0)=F285),SUM($H$23:H285)-SUM($I$23:I284),IF(AND('депозитный калькулятор'!$G$10="ежемесячное (по дням открытия вклада)",F285='депозитный калькулятор'!$D$8,DAY('депозитный калькулятор'!$D$7)&lt;&gt;DAY(F285)),IF('депозитный калькулятор'!$F$1=1,$H$24,SUM($H$23:H285)-SUM($I$23:I284)),IF(AND('депозитный калькулятор'!$G$10="ежемесячное (по дням открытия вклада)",DAY('депозитный калькулятор'!$D$7)=DAY(F285)),SUM($H$23:H285)-SUM($I$23:I284),IF(AND('депозитный калькулятор'!$G$10="ежемесячное, на минимальную сумму зафиксированную в течение месяца",F285='депозитный калькулятор'!$D$8,EOMONTH(F285,0)&lt;&gt;F285),IF('депозитный калькулятор'!$F$1=1,$H$24,IF(AND(OR('депозитный калькулятор'!$G$7="30/365",'депозитный калькулятор'!$G$7="30/360"),DAY(F285)=31),0,MIN(OFFSET(H285,-E285+1,0):H285)*(E285+SUMIF(OFFSET(A285,-E285+1,0):A285,"=2",OFFSET(A285,-E285+1,0):A285)))),IF(AND('депозитный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калькулятор'!$G$7="30/360"),DAY(EOMONTH(F285,0))=31),EOMONTH(F285,0)-1=F285,EOMONTH(F285,0)=F285)),IF(IF(AND(OR('депозитный калькулятор'!$G$7="30/365",'депозитный калькулятор'!$G$7="30/360"),DAY(EOMONTH($F$23,0))=31),F285=EOMONTH($F$23,0)-1,F285=EOMONTH($F$23,0)),MIN(OFFSET(H285,-(DAY(F285)-DAY($F$23)),0):H285)*E285,MIN(OFFSET(H285,-(DAY(F285)-1),0):H285)*IF(AND(OR('депозитный калькулятор'!$G$7="30/365",'депозитный калькулятор'!$G$7="30/360"),DAY(F285)&lt;30),30,DAY(F285))),IF(AND('депозитный калькулятор'!$G$10="ежемесячное, на средний остаток в течение месяца, при условии что остаток больше чем ограничение",F285='депозитный калькулятор'!$D$8,EOMONTH(F285,0)&lt;&gt;F285),IF('депозитный калькулятор'!$F$1=1,$H$24,SUM(OFFSET(Q285,-E285+1,0):Q285)),IF(AND('депозитный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калькулятор'!$G$7="30/360"),DAY(EOMONTH(F285,0))=31),EOMONTH(F285,0)-1=F285,EOMONTH(F285,0)=F285)),IF(IF(AND(OR('депозитный калькулятор'!$G$7="30/365",'депозитный калькулятор'!$G$7="30/360"),DAY(EOMONTH($F$24,0))=31),F285=EOMONTH($F$24,0)-1,F285=EOMONTH($F$24,0)),SUM(OFFSET(Q285,-E285+1,0):Q285),SUM(OFFSET(Q285,-E285+1,0):Q285)),IF('депозитный калькулятор'!$G$10="ежеквартальное",IF(F285&gt;'депозитный калькулятор'!$D$8," ",IF(AND(EOMONTH(F285,0)=F285,OR(MONTH(F285)=3,MONTH(F285)=6,MONTH(F285)=9,MONTH(F285)=12)),IF(EDATE(F285,-3)&lt;'депозитный калькулятор'!$D$7,SUM($H$23:H285),IF(MOD(YEAR(F285),4)=0,IF(AND(EOMONTH(F285,0)=F285,OR(MONTH(F285)=3,MONTH(F285)=6)),SUM(OFFSET(H285,-90,0):H285),IF(AND(EOMONTH(F285,0)=F285,OR(MONTH(F285)=9,MONTH(F285)=12)),SUM(OFFSET(H285,-91,0):H285))),IF(AND(EOMONTH(F285,0)=F285,MONTH(F285)=3),SUM(OFFSET(H285,-89,0):H285),IF(AND(EOMONTH(F285,0)=F285,MONTH(F285)=6),SUM(OFFSET(H285,-90,0):H285),IF(AND(EOMONTH(F285,0)=F285,OR(MONTH(F285)=9,MONTH(F285)=12)),SUM(OFFSET(H285,-91,0):H285)))))),IF(F285='депозитный калькулятор'!$D$8,SUM($H$23:H285)-SUM($I$23:I284),0))),IF('депозитный калькулятор'!$G$10="ежегодное",IF(F285&gt;'депозитный калькулятор'!$D$8," ",IF(F285='депозитный калькулятор'!$D$8,SUM($H$23:H285)-SUM($I$23:I284),IF(AND(EOMONTH(F285,0)=F285,MONTH(F285)=12),IF(MOD(YEAR(F284),4)=0,IF(F285-'депозитный калькулятор'!$D$7&lt;366,SUM($H$23:H285),SUM(OFFSET(H285,-365,0):H285)),IF(F285-'депозитный калькулятор'!$D$7&lt;365,SUM($H$23:H285),SUM(OFFSET(H285,-364,0):H285))),0))),IF(AND('депозитный калькулятор'!$G$10="в конце срока",'депозитный калькулятор'!$D$8=F285),SUM($H$23:H285),0))))))))))))))))))</f>
        <v xml:space="preserve"> </v>
      </c>
      <c r="J285" s="59" t="str">
        <f>IF(F285&gt;'депозитный калькулятор'!$D$8," ",IF('депозитный калькулятор'!$G$16="нет",0,IF(AND('депозитный калькулятор'!$G$17="разовая (в конце срока)",F285='депозитный калькулятор'!$D$8),'депозитный калькулятор'!$G$18,IF(AND('депозитный калькулятор'!$G$17="ежемесячная",EOMONTH(F284,0)=F284),'депозитный калькулятор'!$G$18,IF(AND('депозитный калькулятор'!$G$17="ежегодная",DAY(F284)=31,MONTH(F284)=12),'депозитный калькулятор'!$G$18,IF(AND('депозитный калькулятор'!$G$17="ежемесячная в зависимости от остатка",EOMONTH(F284,0)=F284,P284&gt;0),'депозитный калькулятор'!$G$18,IF(AND('депозитный калькулятор'!$G$17="ежегодная в зависимости от остатка",DAY(F284)=31,MONTH(F284)=12,P284&gt;0),'депозитный калькулятор'!$G$18,0)))))))</f>
        <v xml:space="preserve"> </v>
      </c>
      <c r="K285" s="135" t="str">
        <f>IF($F285=" "," ",IFERROR(VLOOKUP($F285,'депозитный калькулятор'!$B$26:$F$70,2,0),0))</f>
        <v xml:space="preserve"> </v>
      </c>
      <c r="L285" s="135" t="str">
        <f>IF($F285=" "," ",IFERROR(VLOOKUP($F285,'депозитный калькулятор'!$B$26:$F$70,3,0),0))</f>
        <v xml:space="preserve"> </v>
      </c>
      <c r="M285" s="135" t="str">
        <f>IF($F285=" "," ",IFERROR(VLOOKUP($F285,'депозитный калькулятор'!$B$26:$F$70,4,0),0))</f>
        <v xml:space="preserve"> </v>
      </c>
      <c r="N285" s="135" t="str">
        <f>IF($F285=" "," ",IFERROR(VLOOKUP($F285,'депозитный калькулятор'!$B$26:$F$70,5,0),0))</f>
        <v xml:space="preserve"> </v>
      </c>
      <c r="O285" s="146" t="str">
        <f>IF(F285&gt;'депозитный калькулятор'!$D$8," ",IF(F285='депозитный калькулятор'!$D$8,IF(AND($F$24='депозитный калькулятор'!$D$8,'депозитный калькулятор'!$G$13="нет"),-G285-IF(I285=" ",0,I285)-IF(AND(OR('депозитный калькулятор'!$G$7="30/365",'депозитный калькулятор'!$G$7="30/360"),'депозитный калькулятор'!$G$10="в начале срока"),I284,0)-L285+M285-N285,-G285-IF(I285=" ",0,I285)-L285+M285-N285),IF('депозитный калькулятор'!$G$13="есть",M285-N285+IF('депозитный калькулятор'!$G$14="есть",0,-L285),-IF(I285=" ",0,I285)-IF(AND(OR('депозитный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срока"),I284,0)+M285-N285+IF('депозитный калькулятор'!$G$14="есть",0,-L285))))</f>
        <v xml:space="preserve"> </v>
      </c>
      <c r="P285" s="147" t="str">
        <f>IF(F285&gt;'депозитный калькулятор'!$D$8," ",IF(EOMONTH(F284,0)=F284,0,IF(G285&gt;='депозитный калькулятор'!$G$19,P284,P284+1)))</f>
        <v xml:space="preserve"> </v>
      </c>
      <c r="Q285" s="138" t="str">
        <f>IF(F285=" "," ",IF(AND(OR('депозитный калькулятор'!$G$7="30/365",'депозитный калькулятор'!$G$7="30/360"),AND(MONTH(F285)=2,EOMONTH(F285,0)=F285)),IF(DAY(F285)=28,3,2),1)*IF(G285&gt;='депозитный калькулятор'!$G$11,IF(AND('депозитный калькулятор'!$G$7="факт/факт",MOD(YEAR(F285),4)=0),G285*'депозитный калькулятор'!$D$11/366,G285*'депозитный калькулятор'!$G$8),0))</f>
        <v xml:space="preserve"> </v>
      </c>
      <c r="R285" s="148"/>
      <c r="S285" s="62" t="str">
        <f t="shared" ca="1" si="22"/>
        <v xml:space="preserve"> </v>
      </c>
      <c r="T285" s="149" t="str">
        <f ca="1">IF(S285=" "," ",IF('депозитный калькулятор'!$G$7="30/360",DAYS360(U284,IF(DAY(U285)=31,U285-1,U285))+IF(AND(MONTH(U285)=2,U285=EOMONTH(U285,0)),30-DAY(EOMONTH(U285,0)))+T284,VLOOKUP(S285,$C$22:$F$1023,2,0)))</f>
        <v xml:space="preserve"> </v>
      </c>
      <c r="U285" s="64" t="str">
        <f t="shared" ca="1" si="20"/>
        <v xml:space="preserve"> </v>
      </c>
      <c r="V285" s="150" t="str">
        <f t="shared" ca="1" si="23"/>
        <v xml:space="preserve"> </v>
      </c>
      <c r="W285" s="62" t="str">
        <f t="shared" ca="1" si="24"/>
        <v xml:space="preserve"> </v>
      </c>
      <c r="X285" s="141" t="str">
        <f ca="1">IF(S285=" "," ",IFERROR(VLOOKUP(U285,$F$23:$N$1023,7)+VLOOKUP(U285,$F$23:$N$1023,9)+IF(AND('депозитный калькулятор'!$G$13="нет",U285&lt;&gt;'депозитный калькулятор'!$D$8),VLOOKUP(U285,$F$23:$N$1023,4),0),0)+IF(U285='депозитный калькулятор'!$D$8,VLOOKUP(U285,$F$23:$N$1023,2)+VLOOKUP(U285,$F$23:$N$1023,4),0))</f>
        <v xml:space="preserve"> </v>
      </c>
      <c r="Y285" s="142" t="str">
        <f ca="1">IF(S285=" "," ",W285/(1+'депозитный калькулятор'!$K$8)^(T285/IF('депозитный калькулятор'!$G$7="30/360",360,365)))</f>
        <v xml:space="preserve"> </v>
      </c>
      <c r="Z285" s="142" t="str">
        <f ca="1">IF(S285=" "," ",X285/(1+'депозитный калькулятор'!$K$8)^(T285/IF('депозитный калькулятор'!$G$7="30/360",360,365)))</f>
        <v xml:space="preserve"> </v>
      </c>
      <c r="AA285" s="151"/>
      <c r="AB285" s="151"/>
      <c r="AC285" s="155"/>
      <c r="AD285" s="155"/>
    </row>
    <row r="286" spans="1:30" s="2" customFormat="1" ht="15.5" x14ac:dyDescent="0.35">
      <c r="A286" s="41" t="str">
        <f>IF(F286=" "," ",IF(OR('депозитный калькулятор'!$G$7="30/365",'депозитный калькулятор'!$G$7="30/360"),IF(AND(MONTH(F286)=2,DAY(F286)=DAY(EOMONTH(F286,0))),30-DAY(EOMONTH(F286,0)),IF(DAY(F286)=31,1," "))," "))</f>
        <v xml:space="preserve"> </v>
      </c>
      <c r="B286" s="130" t="str">
        <f t="shared" si="21"/>
        <v xml:space="preserve"> </v>
      </c>
      <c r="C286" s="130" t="str">
        <f>IF(OR(B286=0,B286=" ")," ",SUM($B$23:B286))</f>
        <v xml:space="preserve"> </v>
      </c>
      <c r="D286" s="62" t="str">
        <f>IF(D285=" "," ",IF(OR(F285='депозитный калькулятор'!$D$8,F285=" ")," ",D285+1))</f>
        <v xml:space="preserve"> </v>
      </c>
      <c r="E286" s="130" t="str">
        <f>IF(OR(F285='депозитный калькулятор'!$D$8,F285=" ")," ",IF(EOMONTH(F285,0)=F285,1,E285+1))</f>
        <v xml:space="preserve"> </v>
      </c>
      <c r="F286" s="64" t="str">
        <f>IF(F285=" "," ",IF(F285='депозитный калькулятор'!$D$8," ",F285+1))</f>
        <v xml:space="preserve"> </v>
      </c>
      <c r="G286" s="145" t="str">
        <f xml:space="preserve"> IF(F286&gt;'депозитный калькулятор'!$D$8," ",IF('депозитный калькулятор'!$G$13="есть",IF('депозитный калькулятор'!$G$14="есть",G285+IF(I285=" ",0,I285)-J286-K286+L286+M286-N286,G285+IF(I285=" ",0,I285)-J286-K286+M286-N286),IF('депозитный калькулятор'!$G$14="есть",G285-J286-K286+L286+M286-N286,G285-J286-K286+M286-N286)))</f>
        <v xml:space="preserve"> </v>
      </c>
      <c r="H286" s="133" t="str">
        <f>IF(F286&gt;'депозитный калькулятор'!$D$8," ",IF(AND(OR('депозитный калькулятор'!$G$7="30/365",'депозитный калькулятор'!$G$7="30/360"),AND(MONTH(F286)=2,EOMONTH(F286,0)=F286)),IF(DAY(F286)=28,3*G286*'депозитный калькулятор'!$G$8,2*G286*'депозитный калькулятор'!$G$8),IF(AND(OR('депозитный калькулятор'!$G$7="30/365",'депозитный калькулятор'!$G$7="30/360"),DAY(F286)=31)," ",IF(AND('депозитный калькулятор'!$G$7="факт/факт",MOD(YEAR(F286),4)=0),G286*'депозитный калькулятор'!$D$11/366,G286*'депозитный калькулятор'!$G$8))))</f>
        <v xml:space="preserve"> </v>
      </c>
      <c r="I286" s="134" t="str">
        <f ca="1">IF(F286=" "," ",IF('депозитный калькулятор'!$G$10="ежедневное",H286,IF(AND('депозитный калькулятор'!$G$10="еженедельное",WEEKDAY(F286,2)=7),SUM(OFFSET(H286,-6,0):H286),IF(AND('депозитный калькулятор'!$G$10="еженедельное",F286='депозитный калькулятор'!$D$8),SUM($H$23:H286)-SUM($I$23:I285),IF(AND('депозитный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недели",WEEKDAY(F286,2)=7),MIN(OFFSET(H286,-6,0):H286)*(COUNTIF(OFFSET(H286,-6,0):H286,"&gt;0")+SUMIF(OFFSET(A286,-WEEKDAY(F286,2),0):A286,"=2",OFFSET(A286,-WEEKDAY(F286,2),0):A286)),IF(AND('депозитный калькулятор'!$G$10="еженедельное, на минимальную сумму зафиксированную в течение недели",F286='депозитный калькулятор'!$D$8,WEEKDAY(F286,2)&lt;&gt;7),MIN(OFFSET(H286,-WEEKDAY(F286,2),0):H286)*(COUNTIF(OFFSET(H286,-WEEKDAY(F286,2)+1,0):H286,"&gt;0")+SUM(OFFSET(A286,-WEEKDAY(F286,2),0):A286)),IF(AND('депозитный калькулятор'!$G$10="ежемесячное (в конце месяца)",F286='депозитный калькулятор'!$D$8,EOMONTH(F286,0)&lt;&gt;F286),IF('депозитный калькулятор'!$F$1=1,$H$24,SUM($H$23:H286)-SUM($I$23:I285)),IF(AND('депозитный калькулятор'!$G$10="ежемесячное (в конце месяца)",EOMONTH(F286,0)=F286),SUM($H$23:H286)-SUM($I$23:I285),IF(AND('депозитный калькулятор'!$G$10="ежемесячное (по дням открытия вклада)",F286='депозитный калькулятор'!$D$8,DAY('депозитный калькулятор'!$D$7)&lt;&gt;DAY(F286)),IF('депозитный калькулятор'!$F$1=1,$H$24,SUM($H$23:H286)-SUM($I$23:I285)),IF(AND('депозитный калькулятор'!$G$10="ежемесячное (по дням открытия вклада)",DAY('депозитный калькулятор'!$D$7)=DAY(F286)),SUM($H$23:H286)-SUM($I$23:I285),IF(AND('депозитный калькулятор'!$G$10="ежемесячное, на минимальную сумму зафиксированную в течение месяца",F286='депозитный калькулятор'!$D$8,EOMONTH(F286,0)&lt;&gt;F286),IF('депозитный калькулятор'!$F$1=1,$H$24,IF(AND(OR('депозитный калькулятор'!$G$7="30/365",'депозитный калькулятор'!$G$7="30/360"),DAY(F286)=31),0,MIN(OFFSET(H286,-E286+1,0):H286)*(E286+SUMIF(OFFSET(A286,-E286+1,0):A286,"=2",OFFSET(A286,-E286+1,0):A286)))),IF(AND('депозитный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калькулятор'!$G$7="30/360"),DAY(EOMONTH(F286,0))=31),EOMONTH(F286,0)-1=F286,EOMONTH(F286,0)=F286)),IF(IF(AND(OR('депозитный калькулятор'!$G$7="30/365",'депозитный калькулятор'!$G$7="30/360"),DAY(EOMONTH($F$23,0))=31),F286=EOMONTH($F$23,0)-1,F286=EOMONTH($F$23,0)),MIN(OFFSET(H286,-(DAY(F286)-DAY($F$23)),0):H286)*E286,MIN(OFFSET(H286,-(DAY(F286)-1),0):H286)*IF(AND(OR('депозитный калькулятор'!$G$7="30/365",'депозитный калькулятор'!$G$7="30/360"),DAY(F286)&lt;30),30,DAY(F286))),IF(AND('депозитный калькулятор'!$G$10="ежемесячное, на средний остаток в течение месяца, при условии что остаток больше чем ограничение",F286='депозитный калькулятор'!$D$8,EOMONTH(F286,0)&lt;&gt;F286),IF('депозитный калькулятор'!$F$1=1,$H$24,SUM(OFFSET(Q286,-E286+1,0):Q286)),IF(AND('депозитный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калькулятор'!$G$7="30/360"),DAY(EOMONTH(F286,0))=31),EOMONTH(F286,0)-1=F286,EOMONTH(F286,0)=F286)),IF(IF(AND(OR('депозитный калькулятор'!$G$7="30/365",'депозитный калькулятор'!$G$7="30/360"),DAY(EOMONTH($F$24,0))=31),F286=EOMONTH($F$24,0)-1,F286=EOMONTH($F$24,0)),SUM(OFFSET(Q286,-E286+1,0):Q286),SUM(OFFSET(Q286,-E286+1,0):Q286)),IF('депозитный калькулятор'!$G$10="ежеквартальное",IF(F286&gt;'депозитный калькулятор'!$D$8," ",IF(AND(EOMONTH(F286,0)=F286,OR(MONTH(F286)=3,MONTH(F286)=6,MONTH(F286)=9,MONTH(F286)=12)),IF(EDATE(F286,-3)&lt;'депозитный калькулятор'!$D$7,SUM($H$23:H286),IF(MOD(YEAR(F286),4)=0,IF(AND(EOMONTH(F286,0)=F286,OR(MONTH(F286)=3,MONTH(F286)=6)),SUM(OFFSET(H286,-90,0):H286),IF(AND(EOMONTH(F286,0)=F286,OR(MONTH(F286)=9,MONTH(F286)=12)),SUM(OFFSET(H286,-91,0):H286))),IF(AND(EOMONTH(F286,0)=F286,MONTH(F286)=3),SUM(OFFSET(H286,-89,0):H286),IF(AND(EOMONTH(F286,0)=F286,MONTH(F286)=6),SUM(OFFSET(H286,-90,0):H286),IF(AND(EOMONTH(F286,0)=F286,OR(MONTH(F286)=9,MONTH(F286)=12)),SUM(OFFSET(H286,-91,0):H286)))))),IF(F286='депозитный калькулятор'!$D$8,SUM($H$23:H286)-SUM($I$23:I285),0))),IF('депозитный калькулятор'!$G$10="ежегодное",IF(F286&gt;'депозитный калькулятор'!$D$8," ",IF(F286='депозитный калькулятор'!$D$8,SUM($H$23:H286)-SUM($I$23:I285),IF(AND(EOMONTH(F286,0)=F286,MONTH(F286)=12),IF(MOD(YEAR(F285),4)=0,IF(F286-'депозитный калькулятор'!$D$7&lt;366,SUM($H$23:H286),SUM(OFFSET(H286,-365,0):H286)),IF(F286-'депозитный калькулятор'!$D$7&lt;365,SUM($H$23:H286),SUM(OFFSET(H286,-364,0):H286))),0))),IF(AND('депозитный калькулятор'!$G$10="в конце срока",'депозитный калькулятор'!$D$8=F286),SUM($H$23:H286),0))))))))))))))))))</f>
        <v xml:space="preserve"> </v>
      </c>
      <c r="J286" s="59" t="str">
        <f>IF(F286&gt;'депозитный калькулятор'!$D$8," ",IF('депозитный калькулятор'!$G$16="нет",0,IF(AND('депозитный калькулятор'!$G$17="разовая (в конце срока)",F286='депозитный калькулятор'!$D$8),'депозитный калькулятор'!$G$18,IF(AND('депозитный калькулятор'!$G$17="ежемесячная",EOMONTH(F285,0)=F285),'депозитный калькулятор'!$G$18,IF(AND('депозитный калькулятор'!$G$17="ежегодная",DAY(F285)=31,MONTH(F285)=12),'депозитный калькулятор'!$G$18,IF(AND('депозитный калькулятор'!$G$17="ежемесячная в зависимости от остатка",EOMONTH(F285,0)=F285,P285&gt;0),'депозитный калькулятор'!$G$18,IF(AND('депозитный калькулятор'!$G$17="ежегодная в зависимости от остатка",DAY(F285)=31,MONTH(F285)=12,P285&gt;0),'депозитный калькулятор'!$G$18,0)))))))</f>
        <v xml:space="preserve"> </v>
      </c>
      <c r="K286" s="135" t="str">
        <f>IF($F286=" "," ",IFERROR(VLOOKUP($F286,'депозитный калькулятор'!$B$26:$F$70,2,0),0))</f>
        <v xml:space="preserve"> </v>
      </c>
      <c r="L286" s="135" t="str">
        <f>IF($F286=" "," ",IFERROR(VLOOKUP($F286,'депозитный калькулятор'!$B$26:$F$70,3,0),0))</f>
        <v xml:space="preserve"> </v>
      </c>
      <c r="M286" s="135" t="str">
        <f>IF($F286=" "," ",IFERROR(VLOOKUP($F286,'депозитный калькулятор'!$B$26:$F$70,4,0),0))</f>
        <v xml:space="preserve"> </v>
      </c>
      <c r="N286" s="135" t="str">
        <f>IF($F286=" "," ",IFERROR(VLOOKUP($F286,'депозитный калькулятор'!$B$26:$F$70,5,0),0))</f>
        <v xml:space="preserve"> </v>
      </c>
      <c r="O286" s="146" t="str">
        <f>IF(F286&gt;'депозитный калькулятор'!$D$8," ",IF(F286='депозитный калькулятор'!$D$8,IF(AND($F$24='депозитный калькулятор'!$D$8,'депозитный калькулятор'!$G$13="нет"),-G286-IF(I286=" ",0,I286)-IF(AND(OR('депозитный калькулятор'!$G$7="30/365",'депозитный калькулятор'!$G$7="30/360"),'депозитный калькулятор'!$G$10="в начале срока"),I285,0)-L286+M286-N286,-G286-IF(I286=" ",0,I286)-L286+M286-N286),IF('депозитный калькулятор'!$G$13="есть",M286-N286+IF('депозитный калькулятор'!$G$14="есть",0,-L286),-IF(I286=" ",0,I286)-IF(AND(OR('депозитный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срока"),I285,0)+M286-N286+IF('депозитный калькулятор'!$G$14="есть",0,-L286))))</f>
        <v xml:space="preserve"> </v>
      </c>
      <c r="P286" s="147" t="str">
        <f>IF(F286&gt;'депозитный калькулятор'!$D$8," ",IF(EOMONTH(F285,0)=F285,0,IF(G286&gt;='депозитный калькулятор'!$G$19,P285,P285+1)))</f>
        <v xml:space="preserve"> </v>
      </c>
      <c r="Q286" s="138" t="str">
        <f>IF(F286=" "," ",IF(AND(OR('депозитный калькулятор'!$G$7="30/365",'депозитный калькулятор'!$G$7="30/360"),AND(MONTH(F286)=2,EOMONTH(F286,0)=F286)),IF(DAY(F286)=28,3,2),1)*IF(G286&gt;='депозитный калькулятор'!$G$11,IF(AND('депозитный калькулятор'!$G$7="факт/факт",MOD(YEAR(F286),4)=0),G286*'депозитный калькулятор'!$D$11/366,G286*'депозитный калькулятор'!$G$8),0))</f>
        <v xml:space="preserve"> </v>
      </c>
      <c r="R286" s="148"/>
      <c r="S286" s="62" t="str">
        <f t="shared" ca="1" si="22"/>
        <v xml:space="preserve"> </v>
      </c>
      <c r="T286" s="149" t="str">
        <f ca="1">IF(S286=" "," ",IF('депозитный калькулятор'!$G$7="30/360",DAYS360(U285,IF(DAY(U286)=31,U286-1,U286))+IF(AND(MONTH(U286)=2,U286=EOMONTH(U286,0)),30-DAY(EOMONTH(U286,0)))+T285,VLOOKUP(S286,$C$22:$F$1023,2,0)))</f>
        <v xml:space="preserve"> </v>
      </c>
      <c r="U286" s="64" t="str">
        <f t="shared" ca="1" si="20"/>
        <v xml:space="preserve"> </v>
      </c>
      <c r="V286" s="150" t="str">
        <f t="shared" ca="1" si="23"/>
        <v xml:space="preserve"> </v>
      </c>
      <c r="W286" s="62" t="str">
        <f t="shared" ca="1" si="24"/>
        <v xml:space="preserve"> </v>
      </c>
      <c r="X286" s="141" t="str">
        <f ca="1">IF(S286=" "," ",IFERROR(VLOOKUP(U286,$F$23:$N$1023,7)+VLOOKUP(U286,$F$23:$N$1023,9)+IF(AND('депозитный калькулятор'!$G$13="нет",U286&lt;&gt;'депозитный калькулятор'!$D$8),VLOOKUP(U286,$F$23:$N$1023,4),0),0)+IF(U286='депозитный калькулятор'!$D$8,VLOOKUP(U286,$F$23:$N$1023,2)+VLOOKUP(U286,$F$23:$N$1023,4),0))</f>
        <v xml:space="preserve"> </v>
      </c>
      <c r="Y286" s="142" t="str">
        <f ca="1">IF(S286=" "," ",W286/(1+'депозитный калькулятор'!$K$8)^(T286/IF('депозитный калькулятор'!$G$7="30/360",360,365)))</f>
        <v xml:space="preserve"> </v>
      </c>
      <c r="Z286" s="142" t="str">
        <f ca="1">IF(S286=" "," ",X286/(1+'депозитный калькулятор'!$K$8)^(T286/IF('депозитный калькулятор'!$G$7="30/360",360,365)))</f>
        <v xml:space="preserve"> </v>
      </c>
      <c r="AA286" s="151"/>
      <c r="AB286" s="151"/>
      <c r="AC286" s="155"/>
      <c r="AD286" s="155"/>
    </row>
    <row r="287" spans="1:30" s="2" customFormat="1" ht="15.5" x14ac:dyDescent="0.35">
      <c r="A287" s="41" t="str">
        <f>IF(F287=" "," ",IF(OR('депозитный калькулятор'!$G$7="30/365",'депозитный калькулятор'!$G$7="30/360"),IF(AND(MONTH(F287)=2,DAY(F287)=DAY(EOMONTH(F287,0))),30-DAY(EOMONTH(F287,0)),IF(DAY(F287)=31,1," "))," "))</f>
        <v xml:space="preserve"> </v>
      </c>
      <c r="B287" s="130" t="str">
        <f t="shared" si="21"/>
        <v xml:space="preserve"> </v>
      </c>
      <c r="C287" s="130" t="str">
        <f>IF(OR(B287=0,B287=" ")," ",SUM($B$23:B287))</f>
        <v xml:space="preserve"> </v>
      </c>
      <c r="D287" s="62" t="str">
        <f>IF(D286=" "," ",IF(OR(F286='депозитный калькулятор'!$D$8,F286=" ")," ",D286+1))</f>
        <v xml:space="preserve"> </v>
      </c>
      <c r="E287" s="130" t="str">
        <f>IF(OR(F286='депозитный калькулятор'!$D$8,F286=" ")," ",IF(EOMONTH(F286,0)=F286,1,E286+1))</f>
        <v xml:space="preserve"> </v>
      </c>
      <c r="F287" s="64" t="str">
        <f>IF(F286=" "," ",IF(F286='депозитный калькулятор'!$D$8," ",F286+1))</f>
        <v xml:space="preserve"> </v>
      </c>
      <c r="G287" s="145" t="str">
        <f xml:space="preserve"> IF(F287&gt;'депозитный калькулятор'!$D$8," ",IF('депозитный калькулятор'!$G$13="есть",IF('депозитный калькулятор'!$G$14="есть",G286+IF(I286=" ",0,I286)-J287-K287+L287+M287-N287,G286+IF(I286=" ",0,I286)-J287-K287+M287-N287),IF('депозитный калькулятор'!$G$14="есть",G286-J287-K287+L287+M287-N287,G286-J287-K287+M287-N287)))</f>
        <v xml:space="preserve"> </v>
      </c>
      <c r="H287" s="133" t="str">
        <f>IF(F287&gt;'депозитный калькулятор'!$D$8," ",IF(AND(OR('депозитный калькулятор'!$G$7="30/365",'депозитный калькулятор'!$G$7="30/360"),AND(MONTH(F287)=2,EOMONTH(F287,0)=F287)),IF(DAY(F287)=28,3*G287*'депозитный калькулятор'!$G$8,2*G287*'депозитный калькулятор'!$G$8),IF(AND(OR('депозитный калькулятор'!$G$7="30/365",'депозитный калькулятор'!$G$7="30/360"),DAY(F287)=31)," ",IF(AND('депозитный калькулятор'!$G$7="факт/факт",MOD(YEAR(F287),4)=0),G287*'депозитный калькулятор'!$D$11/366,G287*'депозитный калькулятор'!$G$8))))</f>
        <v xml:space="preserve"> </v>
      </c>
      <c r="I287" s="134" t="str">
        <f ca="1">IF(F287=" "," ",IF('депозитный калькулятор'!$G$10="ежедневное",H287,IF(AND('депозитный калькулятор'!$G$10="еженедельное",WEEKDAY(F287,2)=7),SUM(OFFSET(H287,-6,0):H287),IF(AND('депозитный калькулятор'!$G$10="еженедельное",F287='депозитный калькулятор'!$D$8),SUM($H$23:H287)-SUM($I$23:I286),IF(AND('депозитный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недели",WEEKDAY(F287,2)=7),MIN(OFFSET(H287,-6,0):H287)*(COUNTIF(OFFSET(H287,-6,0):H287,"&gt;0")+SUMIF(OFFSET(A287,-WEEKDAY(F287,2),0):A287,"=2",OFFSET(A287,-WEEKDAY(F287,2),0):A287)),IF(AND('депозитный калькулятор'!$G$10="еженедельное, на минимальную сумму зафиксированную в течение недели",F287='депозитный калькулятор'!$D$8,WEEKDAY(F287,2)&lt;&gt;7),MIN(OFFSET(H287,-WEEKDAY(F287,2),0):H287)*(COUNTIF(OFFSET(H287,-WEEKDAY(F287,2)+1,0):H287,"&gt;0")+SUM(OFFSET(A287,-WEEKDAY(F287,2),0):A287)),IF(AND('депозитный калькулятор'!$G$10="ежемесячное (в конце месяца)",F287='депозитный калькулятор'!$D$8,EOMONTH(F287,0)&lt;&gt;F287),IF('депозитный калькулятор'!$F$1=1,$H$24,SUM($H$23:H287)-SUM($I$23:I286)),IF(AND('депозитный калькулятор'!$G$10="ежемесячное (в конце месяца)",EOMONTH(F287,0)=F287),SUM($H$23:H287)-SUM($I$23:I286),IF(AND('депозитный калькулятор'!$G$10="ежемесячное (по дням открытия вклада)",F287='депозитный калькулятор'!$D$8,DAY('депозитный калькулятор'!$D$7)&lt;&gt;DAY(F287)),IF('депозитный калькулятор'!$F$1=1,$H$24,SUM($H$23:H287)-SUM($I$23:I286)),IF(AND('депозитный калькулятор'!$G$10="ежемесячное (по дням открытия вклада)",DAY('депозитный калькулятор'!$D$7)=DAY(F287)),SUM($H$23:H287)-SUM($I$23:I286),IF(AND('депозитный калькулятор'!$G$10="ежемесячное, на минимальную сумму зафиксированную в течение месяца",F287='депозитный калькулятор'!$D$8,EOMONTH(F287,0)&lt;&gt;F287),IF('депозитный калькулятор'!$F$1=1,$H$24,IF(AND(OR('депозитный калькулятор'!$G$7="30/365",'депозитный калькулятор'!$G$7="30/360"),DAY(F287)=31),0,MIN(OFFSET(H287,-E287+1,0):H287)*(E287+SUMIF(OFFSET(A287,-E287+1,0):A287,"=2",OFFSET(A287,-E287+1,0):A287)))),IF(AND('депозитный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калькулятор'!$G$7="30/360"),DAY(EOMONTH(F287,0))=31),EOMONTH(F287,0)-1=F287,EOMONTH(F287,0)=F287)),IF(IF(AND(OR('депозитный калькулятор'!$G$7="30/365",'депозитный калькулятор'!$G$7="30/360"),DAY(EOMONTH($F$23,0))=31),F287=EOMONTH($F$23,0)-1,F287=EOMONTH($F$23,0)),MIN(OFFSET(H287,-(DAY(F287)-DAY($F$23)),0):H287)*E287,MIN(OFFSET(H287,-(DAY(F287)-1),0):H287)*IF(AND(OR('депозитный калькулятор'!$G$7="30/365",'депозитный калькулятор'!$G$7="30/360"),DAY(F287)&lt;30),30,DAY(F287))),IF(AND('депозитный калькулятор'!$G$10="ежемесячное, на средний остаток в течение месяца, при условии что остаток больше чем ограничение",F287='депозитный калькулятор'!$D$8,EOMONTH(F287,0)&lt;&gt;F287),IF('депозитный калькулятор'!$F$1=1,$H$24,SUM(OFFSET(Q287,-E287+1,0):Q287)),IF(AND('депозитный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калькулятор'!$G$7="30/360"),DAY(EOMONTH(F287,0))=31),EOMONTH(F287,0)-1=F287,EOMONTH(F287,0)=F287)),IF(IF(AND(OR('депозитный калькулятор'!$G$7="30/365",'депозитный калькулятор'!$G$7="30/360"),DAY(EOMONTH($F$24,0))=31),F287=EOMONTH($F$24,0)-1,F287=EOMONTH($F$24,0)),SUM(OFFSET(Q287,-E287+1,0):Q287),SUM(OFFSET(Q287,-E287+1,0):Q287)),IF('депозитный калькулятор'!$G$10="ежеквартальное",IF(F287&gt;'депозитный калькулятор'!$D$8," ",IF(AND(EOMONTH(F287,0)=F287,OR(MONTH(F287)=3,MONTH(F287)=6,MONTH(F287)=9,MONTH(F287)=12)),IF(EDATE(F287,-3)&lt;'депозитный калькулятор'!$D$7,SUM($H$23:H287),IF(MOD(YEAR(F287),4)=0,IF(AND(EOMONTH(F287,0)=F287,OR(MONTH(F287)=3,MONTH(F287)=6)),SUM(OFFSET(H287,-90,0):H287),IF(AND(EOMONTH(F287,0)=F287,OR(MONTH(F287)=9,MONTH(F287)=12)),SUM(OFFSET(H287,-91,0):H287))),IF(AND(EOMONTH(F287,0)=F287,MONTH(F287)=3),SUM(OFFSET(H287,-89,0):H287),IF(AND(EOMONTH(F287,0)=F287,MONTH(F287)=6),SUM(OFFSET(H287,-90,0):H287),IF(AND(EOMONTH(F287,0)=F287,OR(MONTH(F287)=9,MONTH(F287)=12)),SUM(OFFSET(H287,-91,0):H287)))))),IF(F287='депозитный калькулятор'!$D$8,SUM($H$23:H287)-SUM($I$23:I286),0))),IF('депозитный калькулятор'!$G$10="ежегодное",IF(F287&gt;'депозитный калькулятор'!$D$8," ",IF(F287='депозитный калькулятор'!$D$8,SUM($H$23:H287)-SUM($I$23:I286),IF(AND(EOMONTH(F287,0)=F287,MONTH(F287)=12),IF(MOD(YEAR(F286),4)=0,IF(F287-'депозитный калькулятор'!$D$7&lt;366,SUM($H$23:H287),SUM(OFFSET(H287,-365,0):H287)),IF(F287-'депозитный калькулятор'!$D$7&lt;365,SUM($H$23:H287),SUM(OFFSET(H287,-364,0):H287))),0))),IF(AND('депозитный калькулятор'!$G$10="в конце срока",'депозитный калькулятор'!$D$8=F287),SUM($H$23:H287),0))))))))))))))))))</f>
        <v xml:space="preserve"> </v>
      </c>
      <c r="J287" s="59" t="str">
        <f>IF(F287&gt;'депозитный калькулятор'!$D$8," ",IF('депозитный калькулятор'!$G$16="нет",0,IF(AND('депозитный калькулятор'!$G$17="разовая (в конце срока)",F287='депозитный калькулятор'!$D$8),'депозитный калькулятор'!$G$18,IF(AND('депозитный калькулятор'!$G$17="ежемесячная",EOMONTH(F286,0)=F286),'депозитный калькулятор'!$G$18,IF(AND('депозитный калькулятор'!$G$17="ежегодная",DAY(F286)=31,MONTH(F286)=12),'депозитный калькулятор'!$G$18,IF(AND('депозитный калькулятор'!$G$17="ежемесячная в зависимости от остатка",EOMONTH(F286,0)=F286,P286&gt;0),'депозитный калькулятор'!$G$18,IF(AND('депозитный калькулятор'!$G$17="ежегодная в зависимости от остатка",DAY(F286)=31,MONTH(F286)=12,P286&gt;0),'депозитный калькулятор'!$G$18,0)))))))</f>
        <v xml:space="preserve"> </v>
      </c>
      <c r="K287" s="135" t="str">
        <f>IF($F287=" "," ",IFERROR(VLOOKUP($F287,'депозитный калькулятор'!$B$26:$F$70,2,0),0))</f>
        <v xml:space="preserve"> </v>
      </c>
      <c r="L287" s="135" t="str">
        <f>IF($F287=" "," ",IFERROR(VLOOKUP($F287,'депозитный калькулятор'!$B$26:$F$70,3,0),0))</f>
        <v xml:space="preserve"> </v>
      </c>
      <c r="M287" s="135" t="str">
        <f>IF($F287=" "," ",IFERROR(VLOOKUP($F287,'депозитный калькулятор'!$B$26:$F$70,4,0),0))</f>
        <v xml:space="preserve"> </v>
      </c>
      <c r="N287" s="135" t="str">
        <f>IF($F287=" "," ",IFERROR(VLOOKUP($F287,'депозитный калькулятор'!$B$26:$F$70,5,0),0))</f>
        <v xml:space="preserve"> </v>
      </c>
      <c r="O287" s="146" t="str">
        <f>IF(F287&gt;'депозитный калькулятор'!$D$8," ",IF(F287='депозитный калькулятор'!$D$8,IF(AND($F$24='депозитный калькулятор'!$D$8,'депозитный калькулятор'!$G$13="нет"),-G287-IF(I287=" ",0,I287)-IF(AND(OR('депозитный калькулятор'!$G$7="30/365",'депозитный калькулятор'!$G$7="30/360"),'депозитный калькулятор'!$G$10="в начале срока"),I286,0)-L287+M287-N287,-G287-IF(I287=" ",0,I287)-L287+M287-N287),IF('депозитный калькулятор'!$G$13="есть",M287-N287+IF('депозитный калькулятор'!$G$14="есть",0,-L287),-IF(I287=" ",0,I287)-IF(AND(OR('депозитный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срока"),I286,0)+M287-N287+IF('депозитный калькулятор'!$G$14="есть",0,-L287))))</f>
        <v xml:space="preserve"> </v>
      </c>
      <c r="P287" s="147" t="str">
        <f>IF(F287&gt;'депозитный калькулятор'!$D$8," ",IF(EOMONTH(F286,0)=F286,0,IF(G287&gt;='депозитный калькулятор'!$G$19,P286,P286+1)))</f>
        <v xml:space="preserve"> </v>
      </c>
      <c r="Q287" s="138" t="str">
        <f>IF(F287=" "," ",IF(AND(OR('депозитный калькулятор'!$G$7="30/365",'депозитный калькулятор'!$G$7="30/360"),AND(MONTH(F287)=2,EOMONTH(F287,0)=F287)),IF(DAY(F287)=28,3,2),1)*IF(G287&gt;='депозитный калькулятор'!$G$11,IF(AND('депозитный калькулятор'!$G$7="факт/факт",MOD(YEAR(F287),4)=0),G287*'депозитный калькулятор'!$D$11/366,G287*'депозитный калькулятор'!$G$8),0))</f>
        <v xml:space="preserve"> </v>
      </c>
      <c r="R287" s="148"/>
      <c r="S287" s="62" t="str">
        <f t="shared" ca="1" si="22"/>
        <v xml:space="preserve"> </v>
      </c>
      <c r="T287" s="149" t="str">
        <f ca="1">IF(S287=" "," ",IF('депозитный калькулятор'!$G$7="30/360",DAYS360(U286,IF(DAY(U287)=31,U287-1,U287))+IF(AND(MONTH(U287)=2,U287=EOMONTH(U287,0)),30-DAY(EOMONTH(U287,0)))+T286,VLOOKUP(S287,$C$22:$F$1023,2,0)))</f>
        <v xml:space="preserve"> </v>
      </c>
      <c r="U287" s="64" t="str">
        <f t="shared" ca="1" si="20"/>
        <v xml:space="preserve"> </v>
      </c>
      <c r="V287" s="150" t="str">
        <f t="shared" ca="1" si="23"/>
        <v xml:space="preserve"> </v>
      </c>
      <c r="W287" s="62" t="str">
        <f t="shared" ca="1" si="24"/>
        <v xml:space="preserve"> </v>
      </c>
      <c r="X287" s="141" t="str">
        <f ca="1">IF(S287=" "," ",IFERROR(VLOOKUP(U287,$F$23:$N$1023,7)+VLOOKUP(U287,$F$23:$N$1023,9)+IF(AND('депозитный калькулятор'!$G$13="нет",U287&lt;&gt;'депозитный калькулятор'!$D$8),VLOOKUP(U287,$F$23:$N$1023,4),0),0)+IF(U287='депозитный калькулятор'!$D$8,VLOOKUP(U287,$F$23:$N$1023,2)+VLOOKUP(U287,$F$23:$N$1023,4),0))</f>
        <v xml:space="preserve"> </v>
      </c>
      <c r="Y287" s="142" t="str">
        <f ca="1">IF(S287=" "," ",W287/(1+'депозитный калькулятор'!$K$8)^(T287/IF('депозитный калькулятор'!$G$7="30/360",360,365)))</f>
        <v xml:space="preserve"> </v>
      </c>
      <c r="Z287" s="142" t="str">
        <f ca="1">IF(S287=" "," ",X287/(1+'депозитный калькулятор'!$K$8)^(T287/IF('депозитный калькулятор'!$G$7="30/360",360,365)))</f>
        <v xml:space="preserve"> </v>
      </c>
      <c r="AA287" s="151"/>
      <c r="AB287" s="151"/>
      <c r="AC287" s="155"/>
      <c r="AD287" s="155"/>
    </row>
    <row r="288" spans="1:30" s="2" customFormat="1" ht="15.5" x14ac:dyDescent="0.35">
      <c r="A288" s="41" t="str">
        <f>IF(F288=" "," ",IF(OR('депозитный калькулятор'!$G$7="30/365",'депозитный калькулятор'!$G$7="30/360"),IF(AND(MONTH(F288)=2,DAY(F288)=DAY(EOMONTH(F288,0))),30-DAY(EOMONTH(F288,0)),IF(DAY(F288)=31,1," "))," "))</f>
        <v xml:space="preserve"> </v>
      </c>
      <c r="B288" s="130" t="str">
        <f t="shared" si="21"/>
        <v xml:space="preserve"> </v>
      </c>
      <c r="C288" s="130" t="str">
        <f>IF(OR(B288=0,B288=" ")," ",SUM($B$23:B288))</f>
        <v xml:space="preserve"> </v>
      </c>
      <c r="D288" s="62" t="str">
        <f>IF(D287=" "," ",IF(OR(F287='депозитный калькулятор'!$D$8,F287=" ")," ",D287+1))</f>
        <v xml:space="preserve"> </v>
      </c>
      <c r="E288" s="130" t="str">
        <f>IF(OR(F287='депозитный калькулятор'!$D$8,F287=" ")," ",IF(EOMONTH(F287,0)=F287,1,E287+1))</f>
        <v xml:space="preserve"> </v>
      </c>
      <c r="F288" s="64" t="str">
        <f>IF(F287=" "," ",IF(F287='депозитный калькулятор'!$D$8," ",F287+1))</f>
        <v xml:space="preserve"> </v>
      </c>
      <c r="G288" s="145" t="str">
        <f xml:space="preserve"> IF(F288&gt;'депозитный калькулятор'!$D$8," ",IF('депозитный калькулятор'!$G$13="есть",IF('депозитный калькулятор'!$G$14="есть",G287+IF(I287=" ",0,I287)-J288-K288+L288+M288-N288,G287+IF(I287=" ",0,I287)-J288-K288+M288-N288),IF('депозитный калькулятор'!$G$14="есть",G287-J288-K288+L288+M288-N288,G287-J288-K288+M288-N288)))</f>
        <v xml:space="preserve"> </v>
      </c>
      <c r="H288" s="133" t="str">
        <f>IF(F288&gt;'депозитный калькулятор'!$D$8," ",IF(AND(OR('депозитный калькулятор'!$G$7="30/365",'депозитный калькулятор'!$G$7="30/360"),AND(MONTH(F288)=2,EOMONTH(F288,0)=F288)),IF(DAY(F288)=28,3*G288*'депозитный калькулятор'!$G$8,2*G288*'депозитный калькулятор'!$G$8),IF(AND(OR('депозитный калькулятор'!$G$7="30/365",'депозитный калькулятор'!$G$7="30/360"),DAY(F288)=31)," ",IF(AND('депозитный калькулятор'!$G$7="факт/факт",MOD(YEAR(F288),4)=0),G288*'депозитный калькулятор'!$D$11/366,G288*'депозитный калькулятор'!$G$8))))</f>
        <v xml:space="preserve"> </v>
      </c>
      <c r="I288" s="134" t="str">
        <f ca="1">IF(F288=" "," ",IF('депозитный калькулятор'!$G$10="ежедневное",H288,IF(AND('депозитный калькулятор'!$G$10="еженедельное",WEEKDAY(F288,2)=7),SUM(OFFSET(H288,-6,0):H288),IF(AND('депозитный калькулятор'!$G$10="еженедельное",F288='депозитный калькулятор'!$D$8),SUM($H$23:H288)-SUM($I$23:I287),IF(AND('депозитный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недели",WEEKDAY(F288,2)=7),MIN(OFFSET(H288,-6,0):H288)*(COUNTIF(OFFSET(H288,-6,0):H288,"&gt;0")+SUMIF(OFFSET(A288,-WEEKDAY(F288,2),0):A288,"=2",OFFSET(A288,-WEEKDAY(F288,2),0):A288)),IF(AND('депозитный калькулятор'!$G$10="еженедельное, на минимальную сумму зафиксированную в течение недели",F288='депозитный калькулятор'!$D$8,WEEKDAY(F288,2)&lt;&gt;7),MIN(OFFSET(H288,-WEEKDAY(F288,2),0):H288)*(COUNTIF(OFFSET(H288,-WEEKDAY(F288,2)+1,0):H288,"&gt;0")+SUM(OFFSET(A288,-WEEKDAY(F288,2),0):A288)),IF(AND('депозитный калькулятор'!$G$10="ежемесячное (в конце месяца)",F288='депозитный калькулятор'!$D$8,EOMONTH(F288,0)&lt;&gt;F288),IF('депозитный калькулятор'!$F$1=1,$H$24,SUM($H$23:H288)-SUM($I$23:I287)),IF(AND('депозитный калькулятор'!$G$10="ежемесячное (в конце месяца)",EOMONTH(F288,0)=F288),SUM($H$23:H288)-SUM($I$23:I287),IF(AND('депозитный калькулятор'!$G$10="ежемесячное (по дням открытия вклада)",F288='депозитный калькулятор'!$D$8,DAY('депозитный калькулятор'!$D$7)&lt;&gt;DAY(F288)),IF('депозитный калькулятор'!$F$1=1,$H$24,SUM($H$23:H288)-SUM($I$23:I287)),IF(AND('депозитный калькулятор'!$G$10="ежемесячное (по дням открытия вклада)",DAY('депозитный калькулятор'!$D$7)=DAY(F288)),SUM($H$23:H288)-SUM($I$23:I287),IF(AND('депозитный калькулятор'!$G$10="ежемесячное, на минимальную сумму зафиксированную в течение месяца",F288='депозитный калькулятор'!$D$8,EOMONTH(F288,0)&lt;&gt;F288),IF('депозитный калькулятор'!$F$1=1,$H$24,IF(AND(OR('депозитный калькулятор'!$G$7="30/365",'депозитный калькулятор'!$G$7="30/360"),DAY(F288)=31),0,MIN(OFFSET(H288,-E288+1,0):H288)*(E288+SUMIF(OFFSET(A288,-E288+1,0):A288,"=2",OFFSET(A288,-E288+1,0):A288)))),IF(AND('депозитный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калькулятор'!$G$7="30/360"),DAY(EOMONTH(F288,0))=31),EOMONTH(F288,0)-1=F288,EOMONTH(F288,0)=F288)),IF(IF(AND(OR('депозитный калькулятор'!$G$7="30/365",'депозитный калькулятор'!$G$7="30/360"),DAY(EOMONTH($F$23,0))=31),F288=EOMONTH($F$23,0)-1,F288=EOMONTH($F$23,0)),MIN(OFFSET(H288,-(DAY(F288)-DAY($F$23)),0):H288)*E288,MIN(OFFSET(H288,-(DAY(F288)-1),0):H288)*IF(AND(OR('депозитный калькулятор'!$G$7="30/365",'депозитный калькулятор'!$G$7="30/360"),DAY(F288)&lt;30),30,DAY(F288))),IF(AND('депозитный калькулятор'!$G$10="ежемесячное, на средний остаток в течение месяца, при условии что остаток больше чем ограничение",F288='депозитный калькулятор'!$D$8,EOMONTH(F288,0)&lt;&gt;F288),IF('депозитный калькулятор'!$F$1=1,$H$24,SUM(OFFSET(Q288,-E288+1,0):Q288)),IF(AND('депозитный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калькулятор'!$G$7="30/360"),DAY(EOMONTH(F288,0))=31),EOMONTH(F288,0)-1=F288,EOMONTH(F288,0)=F288)),IF(IF(AND(OR('депозитный калькулятор'!$G$7="30/365",'депозитный калькулятор'!$G$7="30/360"),DAY(EOMONTH($F$24,0))=31),F288=EOMONTH($F$24,0)-1,F288=EOMONTH($F$24,0)),SUM(OFFSET(Q288,-E288+1,0):Q288),SUM(OFFSET(Q288,-E288+1,0):Q288)),IF('депозитный калькулятор'!$G$10="ежеквартальное",IF(F288&gt;'депозитный калькулятор'!$D$8," ",IF(AND(EOMONTH(F288,0)=F288,OR(MONTH(F288)=3,MONTH(F288)=6,MONTH(F288)=9,MONTH(F288)=12)),IF(EDATE(F288,-3)&lt;'депозитный калькулятор'!$D$7,SUM($H$23:H288),IF(MOD(YEAR(F288),4)=0,IF(AND(EOMONTH(F288,0)=F288,OR(MONTH(F288)=3,MONTH(F288)=6)),SUM(OFFSET(H288,-90,0):H288),IF(AND(EOMONTH(F288,0)=F288,OR(MONTH(F288)=9,MONTH(F288)=12)),SUM(OFFSET(H288,-91,0):H288))),IF(AND(EOMONTH(F288,0)=F288,MONTH(F288)=3),SUM(OFFSET(H288,-89,0):H288),IF(AND(EOMONTH(F288,0)=F288,MONTH(F288)=6),SUM(OFFSET(H288,-90,0):H288),IF(AND(EOMONTH(F288,0)=F288,OR(MONTH(F288)=9,MONTH(F288)=12)),SUM(OFFSET(H288,-91,0):H288)))))),IF(F288='депозитный калькулятор'!$D$8,SUM($H$23:H288)-SUM($I$23:I287),0))),IF('депозитный калькулятор'!$G$10="ежегодное",IF(F288&gt;'депозитный калькулятор'!$D$8," ",IF(F288='депозитный калькулятор'!$D$8,SUM($H$23:H288)-SUM($I$23:I287),IF(AND(EOMONTH(F288,0)=F288,MONTH(F288)=12),IF(MOD(YEAR(F287),4)=0,IF(F288-'депозитный калькулятор'!$D$7&lt;366,SUM($H$23:H288),SUM(OFFSET(H288,-365,0):H288)),IF(F288-'депозитный калькулятор'!$D$7&lt;365,SUM($H$23:H288),SUM(OFFSET(H288,-364,0):H288))),0))),IF(AND('депозитный калькулятор'!$G$10="в конце срока",'депозитный калькулятор'!$D$8=F288),SUM($H$23:H288),0))))))))))))))))))</f>
        <v xml:space="preserve"> </v>
      </c>
      <c r="J288" s="59" t="str">
        <f>IF(F288&gt;'депозитный калькулятор'!$D$8," ",IF('депозитный калькулятор'!$G$16="нет",0,IF(AND('депозитный калькулятор'!$G$17="разовая (в конце срока)",F288='депозитный калькулятор'!$D$8),'депозитный калькулятор'!$G$18,IF(AND('депозитный калькулятор'!$G$17="ежемесячная",EOMONTH(F287,0)=F287),'депозитный калькулятор'!$G$18,IF(AND('депозитный калькулятор'!$G$17="ежегодная",DAY(F287)=31,MONTH(F287)=12),'депозитный калькулятор'!$G$18,IF(AND('депозитный калькулятор'!$G$17="ежемесячная в зависимости от остатка",EOMONTH(F287,0)=F287,P287&gt;0),'депозитный калькулятор'!$G$18,IF(AND('депозитный калькулятор'!$G$17="ежегодная в зависимости от остатка",DAY(F287)=31,MONTH(F287)=12,P287&gt;0),'депозитный калькулятор'!$G$18,0)))))))</f>
        <v xml:space="preserve"> </v>
      </c>
      <c r="K288" s="135" t="str">
        <f>IF($F288=" "," ",IFERROR(VLOOKUP($F288,'депозитный калькулятор'!$B$26:$F$70,2,0),0))</f>
        <v xml:space="preserve"> </v>
      </c>
      <c r="L288" s="135" t="str">
        <f>IF($F288=" "," ",IFERROR(VLOOKUP($F288,'депозитный калькулятор'!$B$26:$F$70,3,0),0))</f>
        <v xml:space="preserve"> </v>
      </c>
      <c r="M288" s="135" t="str">
        <f>IF($F288=" "," ",IFERROR(VLOOKUP($F288,'депозитный калькулятор'!$B$26:$F$70,4,0),0))</f>
        <v xml:space="preserve"> </v>
      </c>
      <c r="N288" s="135" t="str">
        <f>IF($F288=" "," ",IFERROR(VLOOKUP($F288,'депозитный калькулятор'!$B$26:$F$70,5,0),0))</f>
        <v xml:space="preserve"> </v>
      </c>
      <c r="O288" s="146" t="str">
        <f>IF(F288&gt;'депозитный калькулятор'!$D$8," ",IF(F288='депозитный калькулятор'!$D$8,IF(AND($F$24='депозитный калькулятор'!$D$8,'депозитный калькулятор'!$G$13="нет"),-G288-IF(I288=" ",0,I288)-IF(AND(OR('депозитный калькулятор'!$G$7="30/365",'депозитный калькулятор'!$G$7="30/360"),'депозитный калькулятор'!$G$10="в начале срока"),I287,0)-L288+M288-N288,-G288-IF(I288=" ",0,I288)-L288+M288-N288),IF('депозитный калькулятор'!$G$13="есть",M288-N288+IF('депозитный калькулятор'!$G$14="есть",0,-L288),-IF(I288=" ",0,I288)-IF(AND(OR('депозитный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срока"),I287,0)+M288-N288+IF('депозитный калькулятор'!$G$14="есть",0,-L288))))</f>
        <v xml:space="preserve"> </v>
      </c>
      <c r="P288" s="147" t="str">
        <f>IF(F288&gt;'депозитный калькулятор'!$D$8," ",IF(EOMONTH(F287,0)=F287,0,IF(G288&gt;='депозитный калькулятор'!$G$19,P287,P287+1)))</f>
        <v xml:space="preserve"> </v>
      </c>
      <c r="Q288" s="138" t="str">
        <f>IF(F288=" "," ",IF(AND(OR('депозитный калькулятор'!$G$7="30/365",'депозитный калькулятор'!$G$7="30/360"),AND(MONTH(F288)=2,EOMONTH(F288,0)=F288)),IF(DAY(F288)=28,3,2),1)*IF(G288&gt;='депозитный калькулятор'!$G$11,IF(AND('депозитный калькулятор'!$G$7="факт/факт",MOD(YEAR(F288),4)=0),G288*'депозитный калькулятор'!$D$11/366,G288*'депозитный калькулятор'!$G$8),0))</f>
        <v xml:space="preserve"> </v>
      </c>
      <c r="R288" s="148"/>
      <c r="S288" s="62" t="str">
        <f t="shared" ca="1" si="22"/>
        <v xml:space="preserve"> </v>
      </c>
      <c r="T288" s="149" t="str">
        <f ca="1">IF(S288=" "," ",IF('депозитный калькулятор'!$G$7="30/360",DAYS360(U287,IF(DAY(U288)=31,U288-1,U288))+IF(AND(MONTH(U288)=2,U288=EOMONTH(U288,0)),30-DAY(EOMONTH(U288,0)))+T287,VLOOKUP(S288,$C$22:$F$1023,2,0)))</f>
        <v xml:space="preserve"> </v>
      </c>
      <c r="U288" s="64" t="str">
        <f t="shared" ca="1" si="20"/>
        <v xml:space="preserve"> </v>
      </c>
      <c r="V288" s="150" t="str">
        <f t="shared" ca="1" si="23"/>
        <v xml:space="preserve"> </v>
      </c>
      <c r="W288" s="62" t="str">
        <f t="shared" ca="1" si="24"/>
        <v xml:space="preserve"> </v>
      </c>
      <c r="X288" s="141" t="str">
        <f ca="1">IF(S288=" "," ",IFERROR(VLOOKUP(U288,$F$23:$N$1023,7)+VLOOKUP(U288,$F$23:$N$1023,9)+IF(AND('депозитный калькулятор'!$G$13="нет",U288&lt;&gt;'депозитный калькулятор'!$D$8),VLOOKUP(U288,$F$23:$N$1023,4),0),0)+IF(U288='депозитный калькулятор'!$D$8,VLOOKUP(U288,$F$23:$N$1023,2)+VLOOKUP(U288,$F$23:$N$1023,4),0))</f>
        <v xml:space="preserve"> </v>
      </c>
      <c r="Y288" s="142" t="str">
        <f ca="1">IF(S288=" "," ",W288/(1+'депозитный калькулятор'!$K$8)^(T288/IF('депозитный калькулятор'!$G$7="30/360",360,365)))</f>
        <v xml:space="preserve"> </v>
      </c>
      <c r="Z288" s="142" t="str">
        <f ca="1">IF(S288=" "," ",X288/(1+'депозитный калькулятор'!$K$8)^(T288/IF('депозитный калькулятор'!$G$7="30/360",360,365)))</f>
        <v xml:space="preserve"> </v>
      </c>
      <c r="AA288" s="151"/>
      <c r="AB288" s="151"/>
      <c r="AC288" s="155"/>
      <c r="AD288" s="155"/>
    </row>
    <row r="289" spans="1:30" s="2" customFormat="1" ht="15.5" x14ac:dyDescent="0.35">
      <c r="A289" s="41" t="str">
        <f>IF(F289=" "," ",IF(OR('депозитный калькулятор'!$G$7="30/365",'депозитный калькулятор'!$G$7="30/360"),IF(AND(MONTH(F289)=2,DAY(F289)=DAY(EOMONTH(F289,0))),30-DAY(EOMONTH(F289,0)),IF(DAY(F289)=31,1," "))," "))</f>
        <v xml:space="preserve"> </v>
      </c>
      <c r="B289" s="130" t="str">
        <f t="shared" si="21"/>
        <v xml:space="preserve"> </v>
      </c>
      <c r="C289" s="130" t="str">
        <f>IF(OR(B289=0,B289=" ")," ",SUM($B$23:B289))</f>
        <v xml:space="preserve"> </v>
      </c>
      <c r="D289" s="62" t="str">
        <f>IF(D288=" "," ",IF(OR(F288='депозитный калькулятор'!$D$8,F288=" ")," ",D288+1))</f>
        <v xml:space="preserve"> </v>
      </c>
      <c r="E289" s="130" t="str">
        <f>IF(OR(F288='депозитный калькулятор'!$D$8,F288=" ")," ",IF(EOMONTH(F288,0)=F288,1,E288+1))</f>
        <v xml:space="preserve"> </v>
      </c>
      <c r="F289" s="64" t="str">
        <f>IF(F288=" "," ",IF(F288='депозитный калькулятор'!$D$8," ",F288+1))</f>
        <v xml:space="preserve"> </v>
      </c>
      <c r="G289" s="145" t="str">
        <f xml:space="preserve"> IF(F289&gt;'депозитный калькулятор'!$D$8," ",IF('депозитный калькулятор'!$G$13="есть",IF('депозитный калькулятор'!$G$14="есть",G288+IF(I288=" ",0,I288)-J289-K289+L289+M289-N289,G288+IF(I288=" ",0,I288)-J289-K289+M289-N289),IF('депозитный калькулятор'!$G$14="есть",G288-J289-K289+L289+M289-N289,G288-J289-K289+M289-N289)))</f>
        <v xml:space="preserve"> </v>
      </c>
      <c r="H289" s="133" t="str">
        <f>IF(F289&gt;'депозитный калькулятор'!$D$8," ",IF(AND(OR('депозитный калькулятор'!$G$7="30/365",'депозитный калькулятор'!$G$7="30/360"),AND(MONTH(F289)=2,EOMONTH(F289,0)=F289)),IF(DAY(F289)=28,3*G289*'депозитный калькулятор'!$G$8,2*G289*'депозитный калькулятор'!$G$8),IF(AND(OR('депозитный калькулятор'!$G$7="30/365",'депозитный калькулятор'!$G$7="30/360"),DAY(F289)=31)," ",IF(AND('депозитный калькулятор'!$G$7="факт/факт",MOD(YEAR(F289),4)=0),G289*'депозитный калькулятор'!$D$11/366,G289*'депозитный калькулятор'!$G$8))))</f>
        <v xml:space="preserve"> </v>
      </c>
      <c r="I289" s="134" t="str">
        <f ca="1">IF(F289=" "," ",IF('депозитный калькулятор'!$G$10="ежедневное",H289,IF(AND('депозитный калькулятор'!$G$10="еженедельное",WEEKDAY(F289,2)=7),SUM(OFFSET(H289,-6,0):H289),IF(AND('депозитный калькулятор'!$G$10="еженедельное",F289='депозитный калькулятор'!$D$8),SUM($H$23:H289)-SUM($I$23:I288),IF(AND('депозитный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недели",WEEKDAY(F289,2)=7),MIN(OFFSET(H289,-6,0):H289)*(COUNTIF(OFFSET(H289,-6,0):H289,"&gt;0")+SUMIF(OFFSET(A289,-WEEKDAY(F289,2),0):A289,"=2",OFFSET(A289,-WEEKDAY(F289,2),0):A289)),IF(AND('депозитный калькулятор'!$G$10="еженедельное, на минимальную сумму зафиксированную в течение недели",F289='депозитный калькулятор'!$D$8,WEEKDAY(F289,2)&lt;&gt;7),MIN(OFFSET(H289,-WEEKDAY(F289,2),0):H289)*(COUNTIF(OFFSET(H289,-WEEKDAY(F289,2)+1,0):H289,"&gt;0")+SUM(OFFSET(A289,-WEEKDAY(F289,2),0):A289)),IF(AND('депозитный калькулятор'!$G$10="ежемесячное (в конце месяца)",F289='депозитный калькулятор'!$D$8,EOMONTH(F289,0)&lt;&gt;F289),IF('депозитный калькулятор'!$F$1=1,$H$24,SUM($H$23:H289)-SUM($I$23:I288)),IF(AND('депозитный калькулятор'!$G$10="ежемесячное (в конце месяца)",EOMONTH(F289,0)=F289),SUM($H$23:H289)-SUM($I$23:I288),IF(AND('депозитный калькулятор'!$G$10="ежемесячное (по дням открытия вклада)",F289='депозитный калькулятор'!$D$8,DAY('депозитный калькулятор'!$D$7)&lt;&gt;DAY(F289)),IF('депозитный калькулятор'!$F$1=1,$H$24,SUM($H$23:H289)-SUM($I$23:I288)),IF(AND('депозитный калькулятор'!$G$10="ежемесячное (по дням открытия вклада)",DAY('депозитный калькулятор'!$D$7)=DAY(F289)),SUM($H$23:H289)-SUM($I$23:I288),IF(AND('депозитный калькулятор'!$G$10="ежемесячное, на минимальную сумму зафиксированную в течение месяца",F289='депозитный калькулятор'!$D$8,EOMONTH(F289,0)&lt;&gt;F289),IF('депозитный калькулятор'!$F$1=1,$H$24,IF(AND(OR('депозитный калькулятор'!$G$7="30/365",'депозитный калькулятор'!$G$7="30/360"),DAY(F289)=31),0,MIN(OFFSET(H289,-E289+1,0):H289)*(E289+SUMIF(OFFSET(A289,-E289+1,0):A289,"=2",OFFSET(A289,-E289+1,0):A289)))),IF(AND('депозитный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калькулятор'!$G$7="30/360"),DAY(EOMONTH(F289,0))=31),EOMONTH(F289,0)-1=F289,EOMONTH(F289,0)=F289)),IF(IF(AND(OR('депозитный калькулятор'!$G$7="30/365",'депозитный калькулятор'!$G$7="30/360"),DAY(EOMONTH($F$23,0))=31),F289=EOMONTH($F$23,0)-1,F289=EOMONTH($F$23,0)),MIN(OFFSET(H289,-(DAY(F289)-DAY($F$23)),0):H289)*E289,MIN(OFFSET(H289,-(DAY(F289)-1),0):H289)*IF(AND(OR('депозитный калькулятор'!$G$7="30/365",'депозитный калькулятор'!$G$7="30/360"),DAY(F289)&lt;30),30,DAY(F289))),IF(AND('депозитный калькулятор'!$G$10="ежемесячное, на средний остаток в течение месяца, при условии что остаток больше чем ограничение",F289='депозитный калькулятор'!$D$8,EOMONTH(F289,0)&lt;&gt;F289),IF('депозитный калькулятор'!$F$1=1,$H$24,SUM(OFFSET(Q289,-E289+1,0):Q289)),IF(AND('депозитный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калькулятор'!$G$7="30/360"),DAY(EOMONTH(F289,0))=31),EOMONTH(F289,0)-1=F289,EOMONTH(F289,0)=F289)),IF(IF(AND(OR('депозитный калькулятор'!$G$7="30/365",'депозитный калькулятор'!$G$7="30/360"),DAY(EOMONTH($F$24,0))=31),F289=EOMONTH($F$24,0)-1,F289=EOMONTH($F$24,0)),SUM(OFFSET(Q289,-E289+1,0):Q289),SUM(OFFSET(Q289,-E289+1,0):Q289)),IF('депозитный калькулятор'!$G$10="ежеквартальное",IF(F289&gt;'депозитный калькулятор'!$D$8," ",IF(AND(EOMONTH(F289,0)=F289,OR(MONTH(F289)=3,MONTH(F289)=6,MONTH(F289)=9,MONTH(F289)=12)),IF(EDATE(F289,-3)&lt;'депозитный калькулятор'!$D$7,SUM($H$23:H289),IF(MOD(YEAR(F289),4)=0,IF(AND(EOMONTH(F289,0)=F289,OR(MONTH(F289)=3,MONTH(F289)=6)),SUM(OFFSET(H289,-90,0):H289),IF(AND(EOMONTH(F289,0)=F289,OR(MONTH(F289)=9,MONTH(F289)=12)),SUM(OFFSET(H289,-91,0):H289))),IF(AND(EOMONTH(F289,0)=F289,MONTH(F289)=3),SUM(OFFSET(H289,-89,0):H289),IF(AND(EOMONTH(F289,0)=F289,MONTH(F289)=6),SUM(OFFSET(H289,-90,0):H289),IF(AND(EOMONTH(F289,0)=F289,OR(MONTH(F289)=9,MONTH(F289)=12)),SUM(OFFSET(H289,-91,0):H289)))))),IF(F289='депозитный калькулятор'!$D$8,SUM($H$23:H289)-SUM($I$23:I288),0))),IF('депозитный калькулятор'!$G$10="ежегодное",IF(F289&gt;'депозитный калькулятор'!$D$8," ",IF(F289='депозитный калькулятор'!$D$8,SUM($H$23:H289)-SUM($I$23:I288),IF(AND(EOMONTH(F289,0)=F289,MONTH(F289)=12),IF(MOD(YEAR(F288),4)=0,IF(F289-'депозитный калькулятор'!$D$7&lt;366,SUM($H$23:H289),SUM(OFFSET(H289,-365,0):H289)),IF(F289-'депозитный калькулятор'!$D$7&lt;365,SUM($H$23:H289),SUM(OFFSET(H289,-364,0):H289))),0))),IF(AND('депозитный калькулятор'!$G$10="в конце срока",'депозитный калькулятор'!$D$8=F289),SUM($H$23:H289),0))))))))))))))))))</f>
        <v xml:space="preserve"> </v>
      </c>
      <c r="J289" s="59" t="str">
        <f>IF(F289&gt;'депозитный калькулятор'!$D$8," ",IF('депозитный калькулятор'!$G$16="нет",0,IF(AND('депозитный калькулятор'!$G$17="разовая (в конце срока)",F289='депозитный калькулятор'!$D$8),'депозитный калькулятор'!$G$18,IF(AND('депозитный калькулятор'!$G$17="ежемесячная",EOMONTH(F288,0)=F288),'депозитный калькулятор'!$G$18,IF(AND('депозитный калькулятор'!$G$17="ежегодная",DAY(F288)=31,MONTH(F288)=12),'депозитный калькулятор'!$G$18,IF(AND('депозитный калькулятор'!$G$17="ежемесячная в зависимости от остатка",EOMONTH(F288,0)=F288,P288&gt;0),'депозитный калькулятор'!$G$18,IF(AND('депозитный калькулятор'!$G$17="ежегодная в зависимости от остатка",DAY(F288)=31,MONTH(F288)=12,P288&gt;0),'депозитный калькулятор'!$G$18,0)))))))</f>
        <v xml:space="preserve"> </v>
      </c>
      <c r="K289" s="135" t="str">
        <f>IF($F289=" "," ",IFERROR(VLOOKUP($F289,'депозитный калькулятор'!$B$26:$F$70,2,0),0))</f>
        <v xml:space="preserve"> </v>
      </c>
      <c r="L289" s="135" t="str">
        <f>IF($F289=" "," ",IFERROR(VLOOKUP($F289,'депозитный калькулятор'!$B$26:$F$70,3,0),0))</f>
        <v xml:space="preserve"> </v>
      </c>
      <c r="M289" s="135" t="str">
        <f>IF($F289=" "," ",IFERROR(VLOOKUP($F289,'депозитный калькулятор'!$B$26:$F$70,4,0),0))</f>
        <v xml:space="preserve"> </v>
      </c>
      <c r="N289" s="135" t="str">
        <f>IF($F289=" "," ",IFERROR(VLOOKUP($F289,'депозитный калькулятор'!$B$26:$F$70,5,0),0))</f>
        <v xml:space="preserve"> </v>
      </c>
      <c r="O289" s="146" t="str">
        <f>IF(F289&gt;'депозитный калькулятор'!$D$8," ",IF(F289='депозитный калькулятор'!$D$8,IF(AND($F$24='депозитный калькулятор'!$D$8,'депозитный калькулятор'!$G$13="нет"),-G289-IF(I289=" ",0,I289)-IF(AND(OR('депозитный калькулятор'!$G$7="30/365",'депозитный калькулятор'!$G$7="30/360"),'депозитный калькулятор'!$G$10="в начале срока"),I288,0)-L289+M289-N289,-G289-IF(I289=" ",0,I289)-L289+M289-N289),IF('депозитный калькулятор'!$G$13="есть",M289-N289+IF('депозитный калькулятор'!$G$14="есть",0,-L289),-IF(I289=" ",0,I289)-IF(AND(OR('депозитный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срока"),I288,0)+M289-N289+IF('депозитный калькулятор'!$G$14="есть",0,-L289))))</f>
        <v xml:space="preserve"> </v>
      </c>
      <c r="P289" s="147" t="str">
        <f>IF(F289&gt;'депозитный калькулятор'!$D$8," ",IF(EOMONTH(F288,0)=F288,0,IF(G289&gt;='депозитный калькулятор'!$G$19,P288,P288+1)))</f>
        <v xml:space="preserve"> </v>
      </c>
      <c r="Q289" s="138" t="str">
        <f>IF(F289=" "," ",IF(AND(OR('депозитный калькулятор'!$G$7="30/365",'депозитный калькулятор'!$G$7="30/360"),AND(MONTH(F289)=2,EOMONTH(F289,0)=F289)),IF(DAY(F289)=28,3,2),1)*IF(G289&gt;='депозитный калькулятор'!$G$11,IF(AND('депозитный калькулятор'!$G$7="факт/факт",MOD(YEAR(F289),4)=0),G289*'депозитный калькулятор'!$D$11/366,G289*'депозитный калькулятор'!$G$8),0))</f>
        <v xml:space="preserve"> </v>
      </c>
      <c r="R289" s="148"/>
      <c r="S289" s="62" t="str">
        <f t="shared" ca="1" si="22"/>
        <v xml:space="preserve"> </v>
      </c>
      <c r="T289" s="149" t="str">
        <f ca="1">IF(S289=" "," ",IF('депозитный калькулятор'!$G$7="30/360",DAYS360(U288,IF(DAY(U289)=31,U289-1,U289))+IF(AND(MONTH(U289)=2,U289=EOMONTH(U289,0)),30-DAY(EOMONTH(U289,0)))+T288,VLOOKUP(S289,$C$22:$F$1023,2,0)))</f>
        <v xml:space="preserve"> </v>
      </c>
      <c r="U289" s="64" t="str">
        <f t="shared" ca="1" si="20"/>
        <v xml:space="preserve"> </v>
      </c>
      <c r="V289" s="150" t="str">
        <f t="shared" ca="1" si="23"/>
        <v xml:space="preserve"> </v>
      </c>
      <c r="W289" s="62" t="str">
        <f t="shared" ca="1" si="24"/>
        <v xml:space="preserve"> </v>
      </c>
      <c r="X289" s="141" t="str">
        <f ca="1">IF(S289=" "," ",IFERROR(VLOOKUP(U289,$F$23:$N$1023,7)+VLOOKUP(U289,$F$23:$N$1023,9)+IF(AND('депозитный калькулятор'!$G$13="нет",U289&lt;&gt;'депозитный калькулятор'!$D$8),VLOOKUP(U289,$F$23:$N$1023,4),0),0)+IF(U289='депозитный калькулятор'!$D$8,VLOOKUP(U289,$F$23:$N$1023,2)+VLOOKUP(U289,$F$23:$N$1023,4),0))</f>
        <v xml:space="preserve"> </v>
      </c>
      <c r="Y289" s="142" t="str">
        <f ca="1">IF(S289=" "," ",W289/(1+'депозитный калькулятор'!$K$8)^(T289/IF('депозитный калькулятор'!$G$7="30/360",360,365)))</f>
        <v xml:space="preserve"> </v>
      </c>
      <c r="Z289" s="142" t="str">
        <f ca="1">IF(S289=" "," ",X289/(1+'депозитный калькулятор'!$K$8)^(T289/IF('депозитный калькулятор'!$G$7="30/360",360,365)))</f>
        <v xml:space="preserve"> </v>
      </c>
      <c r="AA289" s="151"/>
      <c r="AB289" s="151"/>
      <c r="AC289" s="155"/>
      <c r="AD289" s="155"/>
    </row>
    <row r="290" spans="1:30" s="2" customFormat="1" ht="15.5" x14ac:dyDescent="0.35">
      <c r="A290" s="41" t="str">
        <f>IF(F290=" "," ",IF(OR('депозитный калькулятор'!$G$7="30/365",'депозитный калькулятор'!$G$7="30/360"),IF(AND(MONTH(F290)=2,DAY(F290)=DAY(EOMONTH(F290,0))),30-DAY(EOMONTH(F290,0)),IF(DAY(F290)=31,1," "))," "))</f>
        <v xml:space="preserve"> </v>
      </c>
      <c r="B290" s="130" t="str">
        <f t="shared" si="21"/>
        <v xml:space="preserve"> </v>
      </c>
      <c r="C290" s="130" t="str">
        <f>IF(OR(B290=0,B290=" ")," ",SUM($B$23:B290))</f>
        <v xml:space="preserve"> </v>
      </c>
      <c r="D290" s="62" t="str">
        <f>IF(D289=" "," ",IF(OR(F289='депозитный калькулятор'!$D$8,F289=" ")," ",D289+1))</f>
        <v xml:space="preserve"> </v>
      </c>
      <c r="E290" s="130" t="str">
        <f>IF(OR(F289='депозитный калькулятор'!$D$8,F289=" ")," ",IF(EOMONTH(F289,0)=F289,1,E289+1))</f>
        <v xml:space="preserve"> </v>
      </c>
      <c r="F290" s="64" t="str">
        <f>IF(F289=" "," ",IF(F289='депозитный калькулятор'!$D$8," ",F289+1))</f>
        <v xml:space="preserve"> </v>
      </c>
      <c r="G290" s="145" t="str">
        <f xml:space="preserve"> IF(F290&gt;'депозитный калькулятор'!$D$8," ",IF('депозитный калькулятор'!$G$13="есть",IF('депозитный калькулятор'!$G$14="есть",G289+IF(I289=" ",0,I289)-J290-K290+L290+M290-N290,G289+IF(I289=" ",0,I289)-J290-K290+M290-N290),IF('депозитный калькулятор'!$G$14="есть",G289-J290-K290+L290+M290-N290,G289-J290-K290+M290-N290)))</f>
        <v xml:space="preserve"> </v>
      </c>
      <c r="H290" s="133" t="str">
        <f>IF(F290&gt;'депозитный калькулятор'!$D$8," ",IF(AND(OR('депозитный калькулятор'!$G$7="30/365",'депозитный калькулятор'!$G$7="30/360"),AND(MONTH(F290)=2,EOMONTH(F290,0)=F290)),IF(DAY(F290)=28,3*G290*'депозитный калькулятор'!$G$8,2*G290*'депозитный калькулятор'!$G$8),IF(AND(OR('депозитный калькулятор'!$G$7="30/365",'депозитный калькулятор'!$G$7="30/360"),DAY(F290)=31)," ",IF(AND('депозитный калькулятор'!$G$7="факт/факт",MOD(YEAR(F290),4)=0),G290*'депозитный калькулятор'!$D$11/366,G290*'депозитный калькулятор'!$G$8))))</f>
        <v xml:space="preserve"> </v>
      </c>
      <c r="I290" s="134" t="str">
        <f ca="1">IF(F290=" "," ",IF('депозитный калькулятор'!$G$10="ежедневное",H290,IF(AND('депозитный калькулятор'!$G$10="еженедельное",WEEKDAY(F290,2)=7),SUM(OFFSET(H290,-6,0):H290),IF(AND('депозитный калькулятор'!$G$10="еженедельное",F290='депозитный калькулятор'!$D$8),SUM($H$23:H290)-SUM($I$23:I289),IF(AND('депозитный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недели",WEEKDAY(F290,2)=7),MIN(OFFSET(H290,-6,0):H290)*(COUNTIF(OFFSET(H290,-6,0):H290,"&gt;0")+SUMIF(OFFSET(A290,-WEEKDAY(F290,2),0):A290,"=2",OFFSET(A290,-WEEKDAY(F290,2),0):A290)),IF(AND('депозитный калькулятор'!$G$10="еженедельное, на минимальную сумму зафиксированную в течение недели",F290='депозитный калькулятор'!$D$8,WEEKDAY(F290,2)&lt;&gt;7),MIN(OFFSET(H290,-WEEKDAY(F290,2),0):H290)*(COUNTIF(OFFSET(H290,-WEEKDAY(F290,2)+1,0):H290,"&gt;0")+SUM(OFFSET(A290,-WEEKDAY(F290,2),0):A290)),IF(AND('депозитный калькулятор'!$G$10="ежемесячное (в конце месяца)",F290='депозитный калькулятор'!$D$8,EOMONTH(F290,0)&lt;&gt;F290),IF('депозитный калькулятор'!$F$1=1,$H$24,SUM($H$23:H290)-SUM($I$23:I289)),IF(AND('депозитный калькулятор'!$G$10="ежемесячное (в конце месяца)",EOMONTH(F290,0)=F290),SUM($H$23:H290)-SUM($I$23:I289),IF(AND('депозитный калькулятор'!$G$10="ежемесячное (по дням открытия вклада)",F290='депозитный калькулятор'!$D$8,DAY('депозитный калькулятор'!$D$7)&lt;&gt;DAY(F290)),IF('депозитный калькулятор'!$F$1=1,$H$24,SUM($H$23:H290)-SUM($I$23:I289)),IF(AND('депозитный калькулятор'!$G$10="ежемесячное (по дням открытия вклада)",DAY('депозитный калькулятор'!$D$7)=DAY(F290)),SUM($H$23:H290)-SUM($I$23:I289),IF(AND('депозитный калькулятор'!$G$10="ежемесячное, на минимальную сумму зафиксированную в течение месяца",F290='депозитный калькулятор'!$D$8,EOMONTH(F290,0)&lt;&gt;F290),IF('депозитный калькулятор'!$F$1=1,$H$24,IF(AND(OR('депозитный калькулятор'!$G$7="30/365",'депозитный калькулятор'!$G$7="30/360"),DAY(F290)=31),0,MIN(OFFSET(H290,-E290+1,0):H290)*(E290+SUMIF(OFFSET(A290,-E290+1,0):A290,"=2",OFFSET(A290,-E290+1,0):A290)))),IF(AND('депозитный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калькулятор'!$G$7="30/360"),DAY(EOMONTH(F290,0))=31),EOMONTH(F290,0)-1=F290,EOMONTH(F290,0)=F290)),IF(IF(AND(OR('депозитный калькулятор'!$G$7="30/365",'депозитный калькулятор'!$G$7="30/360"),DAY(EOMONTH($F$23,0))=31),F290=EOMONTH($F$23,0)-1,F290=EOMONTH($F$23,0)),MIN(OFFSET(H290,-(DAY(F290)-DAY($F$23)),0):H290)*E290,MIN(OFFSET(H290,-(DAY(F290)-1),0):H290)*IF(AND(OR('депозитный калькулятор'!$G$7="30/365",'депозитный калькулятор'!$G$7="30/360"),DAY(F290)&lt;30),30,DAY(F290))),IF(AND('депозитный калькулятор'!$G$10="ежемесячное, на средний остаток в течение месяца, при условии что остаток больше чем ограничение",F290='депозитный калькулятор'!$D$8,EOMONTH(F290,0)&lt;&gt;F290),IF('депозитный калькулятор'!$F$1=1,$H$24,SUM(OFFSET(Q290,-E290+1,0):Q290)),IF(AND('депозитный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калькулятор'!$G$7="30/360"),DAY(EOMONTH(F290,0))=31),EOMONTH(F290,0)-1=F290,EOMONTH(F290,0)=F290)),IF(IF(AND(OR('депозитный калькулятор'!$G$7="30/365",'депозитный калькулятор'!$G$7="30/360"),DAY(EOMONTH($F$24,0))=31),F290=EOMONTH($F$24,0)-1,F290=EOMONTH($F$24,0)),SUM(OFFSET(Q290,-E290+1,0):Q290),SUM(OFFSET(Q290,-E290+1,0):Q290)),IF('депозитный калькулятор'!$G$10="ежеквартальное",IF(F290&gt;'депозитный калькулятор'!$D$8," ",IF(AND(EOMONTH(F290,0)=F290,OR(MONTH(F290)=3,MONTH(F290)=6,MONTH(F290)=9,MONTH(F290)=12)),IF(EDATE(F290,-3)&lt;'депозитный калькулятор'!$D$7,SUM($H$23:H290),IF(MOD(YEAR(F290),4)=0,IF(AND(EOMONTH(F290,0)=F290,OR(MONTH(F290)=3,MONTH(F290)=6)),SUM(OFFSET(H290,-90,0):H290),IF(AND(EOMONTH(F290,0)=F290,OR(MONTH(F290)=9,MONTH(F290)=12)),SUM(OFFSET(H290,-91,0):H290))),IF(AND(EOMONTH(F290,0)=F290,MONTH(F290)=3),SUM(OFFSET(H290,-89,0):H290),IF(AND(EOMONTH(F290,0)=F290,MONTH(F290)=6),SUM(OFFSET(H290,-90,0):H290),IF(AND(EOMONTH(F290,0)=F290,OR(MONTH(F290)=9,MONTH(F290)=12)),SUM(OFFSET(H290,-91,0):H290)))))),IF(F290='депозитный калькулятор'!$D$8,SUM($H$23:H290)-SUM($I$23:I289),0))),IF('депозитный калькулятор'!$G$10="ежегодное",IF(F290&gt;'депозитный калькулятор'!$D$8," ",IF(F290='депозитный калькулятор'!$D$8,SUM($H$23:H290)-SUM($I$23:I289),IF(AND(EOMONTH(F290,0)=F290,MONTH(F290)=12),IF(MOD(YEAR(F289),4)=0,IF(F290-'депозитный калькулятор'!$D$7&lt;366,SUM($H$23:H290),SUM(OFFSET(H290,-365,0):H290)),IF(F290-'депозитный калькулятор'!$D$7&lt;365,SUM($H$23:H290),SUM(OFFSET(H290,-364,0):H290))),0))),IF(AND('депозитный калькулятор'!$G$10="в конце срока",'депозитный калькулятор'!$D$8=F290),SUM($H$23:H290),0))))))))))))))))))</f>
        <v xml:space="preserve"> </v>
      </c>
      <c r="J290" s="59" t="str">
        <f>IF(F290&gt;'депозитный калькулятор'!$D$8," ",IF('депозитный калькулятор'!$G$16="нет",0,IF(AND('депозитный калькулятор'!$G$17="разовая (в конце срока)",F290='депозитный калькулятор'!$D$8),'депозитный калькулятор'!$G$18,IF(AND('депозитный калькулятор'!$G$17="ежемесячная",EOMONTH(F289,0)=F289),'депозитный калькулятор'!$G$18,IF(AND('депозитный калькулятор'!$G$17="ежегодная",DAY(F289)=31,MONTH(F289)=12),'депозитный калькулятор'!$G$18,IF(AND('депозитный калькулятор'!$G$17="ежемесячная в зависимости от остатка",EOMONTH(F289,0)=F289,P289&gt;0),'депозитный калькулятор'!$G$18,IF(AND('депозитный калькулятор'!$G$17="ежегодная в зависимости от остатка",DAY(F289)=31,MONTH(F289)=12,P289&gt;0),'депозитный калькулятор'!$G$18,0)))))))</f>
        <v xml:space="preserve"> </v>
      </c>
      <c r="K290" s="135" t="str">
        <f>IF($F290=" "," ",IFERROR(VLOOKUP($F290,'депозитный калькулятор'!$B$26:$F$70,2,0),0))</f>
        <v xml:space="preserve"> </v>
      </c>
      <c r="L290" s="135" t="str">
        <f>IF($F290=" "," ",IFERROR(VLOOKUP($F290,'депозитный калькулятор'!$B$26:$F$70,3,0),0))</f>
        <v xml:space="preserve"> </v>
      </c>
      <c r="M290" s="135" t="str">
        <f>IF($F290=" "," ",IFERROR(VLOOKUP($F290,'депозитный калькулятор'!$B$26:$F$70,4,0),0))</f>
        <v xml:space="preserve"> </v>
      </c>
      <c r="N290" s="135" t="str">
        <f>IF($F290=" "," ",IFERROR(VLOOKUP($F290,'депозитный калькулятор'!$B$26:$F$70,5,0),0))</f>
        <v xml:space="preserve"> </v>
      </c>
      <c r="O290" s="146" t="str">
        <f>IF(F290&gt;'депозитный калькулятор'!$D$8," ",IF(F290='депозитный калькулятор'!$D$8,IF(AND($F$24='депозитный калькулятор'!$D$8,'депозитный калькулятор'!$G$13="нет"),-G290-IF(I290=" ",0,I290)-IF(AND(OR('депозитный калькулятор'!$G$7="30/365",'депозитный калькулятор'!$G$7="30/360"),'депозитный калькулятор'!$G$10="в начале срока"),I289,0)-L290+M290-N290,-G290-IF(I290=" ",0,I290)-L290+M290-N290),IF('депозитный калькулятор'!$G$13="есть",M290-N290+IF('депозитный калькулятор'!$G$14="есть",0,-L290),-IF(I290=" ",0,I290)-IF(AND(OR('депозитный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срока"),I289,0)+M290-N290+IF('депозитный калькулятор'!$G$14="есть",0,-L290))))</f>
        <v xml:space="preserve"> </v>
      </c>
      <c r="P290" s="147" t="str">
        <f>IF(F290&gt;'депозитный калькулятор'!$D$8," ",IF(EOMONTH(F289,0)=F289,0,IF(G290&gt;='депозитный калькулятор'!$G$19,P289,P289+1)))</f>
        <v xml:space="preserve"> </v>
      </c>
      <c r="Q290" s="138" t="str">
        <f>IF(F290=" "," ",IF(AND(OR('депозитный калькулятор'!$G$7="30/365",'депозитный калькулятор'!$G$7="30/360"),AND(MONTH(F290)=2,EOMONTH(F290,0)=F290)),IF(DAY(F290)=28,3,2),1)*IF(G290&gt;='депозитный калькулятор'!$G$11,IF(AND('депозитный калькулятор'!$G$7="факт/факт",MOD(YEAR(F290),4)=0),G290*'депозитный калькулятор'!$D$11/366,G290*'депозитный калькулятор'!$G$8),0))</f>
        <v xml:space="preserve"> </v>
      </c>
      <c r="R290" s="148"/>
      <c r="S290" s="62" t="str">
        <f t="shared" ca="1" si="22"/>
        <v xml:space="preserve"> </v>
      </c>
      <c r="T290" s="149" t="str">
        <f ca="1">IF(S290=" "," ",IF('депозитный калькулятор'!$G$7="30/360",DAYS360(U289,IF(DAY(U290)=31,U290-1,U290))+IF(AND(MONTH(U290)=2,U290=EOMONTH(U290,0)),30-DAY(EOMONTH(U290,0)))+T289,VLOOKUP(S290,$C$22:$F$1023,2,0)))</f>
        <v xml:space="preserve"> </v>
      </c>
      <c r="U290" s="64" t="str">
        <f t="shared" ca="1" si="20"/>
        <v xml:space="preserve"> </v>
      </c>
      <c r="V290" s="150" t="str">
        <f t="shared" ca="1" si="23"/>
        <v xml:space="preserve"> </v>
      </c>
      <c r="W290" s="62" t="str">
        <f t="shared" ca="1" si="24"/>
        <v xml:space="preserve"> </v>
      </c>
      <c r="X290" s="141" t="str">
        <f ca="1">IF(S290=" "," ",IFERROR(VLOOKUP(U290,$F$23:$N$1023,7)+VLOOKUP(U290,$F$23:$N$1023,9)+IF(AND('депозитный калькулятор'!$G$13="нет",U290&lt;&gt;'депозитный калькулятор'!$D$8),VLOOKUP(U290,$F$23:$N$1023,4),0),0)+IF(U290='депозитный калькулятор'!$D$8,VLOOKUP(U290,$F$23:$N$1023,2)+VLOOKUP(U290,$F$23:$N$1023,4),0))</f>
        <v xml:space="preserve"> </v>
      </c>
      <c r="Y290" s="142" t="str">
        <f ca="1">IF(S290=" "," ",W290/(1+'депозитный калькулятор'!$K$8)^(T290/IF('депозитный калькулятор'!$G$7="30/360",360,365)))</f>
        <v xml:space="preserve"> </v>
      </c>
      <c r="Z290" s="142" t="str">
        <f ca="1">IF(S290=" "," ",X290/(1+'депозитный калькулятор'!$K$8)^(T290/IF('депозитный калькулятор'!$G$7="30/360",360,365)))</f>
        <v xml:space="preserve"> </v>
      </c>
      <c r="AA290" s="151"/>
      <c r="AB290" s="151"/>
      <c r="AC290" s="155"/>
      <c r="AD290" s="155"/>
    </row>
    <row r="291" spans="1:30" s="2" customFormat="1" ht="15.5" x14ac:dyDescent="0.35">
      <c r="A291" s="41" t="str">
        <f>IF(F291=" "," ",IF(OR('депозитный калькулятор'!$G$7="30/365",'депозитный калькулятор'!$G$7="30/360"),IF(AND(MONTH(F291)=2,DAY(F291)=DAY(EOMONTH(F291,0))),30-DAY(EOMONTH(F291,0)),IF(DAY(F291)=31,1," "))," "))</f>
        <v xml:space="preserve"> </v>
      </c>
      <c r="B291" s="130" t="str">
        <f t="shared" si="21"/>
        <v xml:space="preserve"> </v>
      </c>
      <c r="C291" s="130" t="str">
        <f>IF(OR(B291=0,B291=" ")," ",SUM($B$23:B291))</f>
        <v xml:space="preserve"> </v>
      </c>
      <c r="D291" s="62" t="str">
        <f>IF(D290=" "," ",IF(OR(F290='депозитный калькулятор'!$D$8,F290=" ")," ",D290+1))</f>
        <v xml:space="preserve"> </v>
      </c>
      <c r="E291" s="130" t="str">
        <f>IF(OR(F290='депозитный калькулятор'!$D$8,F290=" ")," ",IF(EOMONTH(F290,0)=F290,1,E290+1))</f>
        <v xml:space="preserve"> </v>
      </c>
      <c r="F291" s="64" t="str">
        <f>IF(F290=" "," ",IF(F290='депозитный калькулятор'!$D$8," ",F290+1))</f>
        <v xml:space="preserve"> </v>
      </c>
      <c r="G291" s="145" t="str">
        <f xml:space="preserve"> IF(F291&gt;'депозитный калькулятор'!$D$8," ",IF('депозитный калькулятор'!$G$13="есть",IF('депозитный калькулятор'!$G$14="есть",G290+IF(I290=" ",0,I290)-J291-K291+L291+M291-N291,G290+IF(I290=" ",0,I290)-J291-K291+M291-N291),IF('депозитный калькулятор'!$G$14="есть",G290-J291-K291+L291+M291-N291,G290-J291-K291+M291-N291)))</f>
        <v xml:space="preserve"> </v>
      </c>
      <c r="H291" s="133" t="str">
        <f>IF(F291&gt;'депозитный калькулятор'!$D$8," ",IF(AND(OR('депозитный калькулятор'!$G$7="30/365",'депозитный калькулятор'!$G$7="30/360"),AND(MONTH(F291)=2,EOMONTH(F291,0)=F291)),IF(DAY(F291)=28,3*G291*'депозитный калькулятор'!$G$8,2*G291*'депозитный калькулятор'!$G$8),IF(AND(OR('депозитный калькулятор'!$G$7="30/365",'депозитный калькулятор'!$G$7="30/360"),DAY(F291)=31)," ",IF(AND('депозитный калькулятор'!$G$7="факт/факт",MOD(YEAR(F291),4)=0),G291*'депозитный калькулятор'!$D$11/366,G291*'депозитный калькулятор'!$G$8))))</f>
        <v xml:space="preserve"> </v>
      </c>
      <c r="I291" s="134" t="str">
        <f ca="1">IF(F291=" "," ",IF('депозитный калькулятор'!$G$10="ежедневное",H291,IF(AND('депозитный калькулятор'!$G$10="еженедельное",WEEKDAY(F291,2)=7),SUM(OFFSET(H291,-6,0):H291),IF(AND('депозитный калькулятор'!$G$10="еженедельное",F291='депозитный калькулятор'!$D$8),SUM($H$23:H291)-SUM($I$23:I290),IF(AND('депозитный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недели",WEEKDAY(F291,2)=7),MIN(OFFSET(H291,-6,0):H291)*(COUNTIF(OFFSET(H291,-6,0):H291,"&gt;0")+SUMIF(OFFSET(A291,-WEEKDAY(F291,2),0):A291,"=2",OFFSET(A291,-WEEKDAY(F291,2),0):A291)),IF(AND('депозитный калькулятор'!$G$10="еженедельное, на минимальную сумму зафиксированную в течение недели",F291='депозитный калькулятор'!$D$8,WEEKDAY(F291,2)&lt;&gt;7),MIN(OFFSET(H291,-WEEKDAY(F291,2),0):H291)*(COUNTIF(OFFSET(H291,-WEEKDAY(F291,2)+1,0):H291,"&gt;0")+SUM(OFFSET(A291,-WEEKDAY(F291,2),0):A291)),IF(AND('депозитный калькулятор'!$G$10="ежемесячное (в конце месяца)",F291='депозитный калькулятор'!$D$8,EOMONTH(F291,0)&lt;&gt;F291),IF('депозитный калькулятор'!$F$1=1,$H$24,SUM($H$23:H291)-SUM($I$23:I290)),IF(AND('депозитный калькулятор'!$G$10="ежемесячное (в конце месяца)",EOMONTH(F291,0)=F291),SUM($H$23:H291)-SUM($I$23:I290),IF(AND('депозитный калькулятор'!$G$10="ежемесячное (по дням открытия вклада)",F291='депозитный калькулятор'!$D$8,DAY('депозитный калькулятор'!$D$7)&lt;&gt;DAY(F291)),IF('депозитный калькулятор'!$F$1=1,$H$24,SUM($H$23:H291)-SUM($I$23:I290)),IF(AND('депозитный калькулятор'!$G$10="ежемесячное (по дням открытия вклада)",DAY('депозитный калькулятор'!$D$7)=DAY(F291)),SUM($H$23:H291)-SUM($I$23:I290),IF(AND('депозитный калькулятор'!$G$10="ежемесячное, на минимальную сумму зафиксированную в течение месяца",F291='депозитный калькулятор'!$D$8,EOMONTH(F291,0)&lt;&gt;F291),IF('депозитный калькулятор'!$F$1=1,$H$24,IF(AND(OR('депозитный калькулятор'!$G$7="30/365",'депозитный калькулятор'!$G$7="30/360"),DAY(F291)=31),0,MIN(OFFSET(H291,-E291+1,0):H291)*(E291+SUMIF(OFFSET(A291,-E291+1,0):A291,"=2",OFFSET(A291,-E291+1,0):A291)))),IF(AND('депозитный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калькулятор'!$G$7="30/360"),DAY(EOMONTH(F291,0))=31),EOMONTH(F291,0)-1=F291,EOMONTH(F291,0)=F291)),IF(IF(AND(OR('депозитный калькулятор'!$G$7="30/365",'депозитный калькулятор'!$G$7="30/360"),DAY(EOMONTH($F$23,0))=31),F291=EOMONTH($F$23,0)-1,F291=EOMONTH($F$23,0)),MIN(OFFSET(H291,-(DAY(F291)-DAY($F$23)),0):H291)*E291,MIN(OFFSET(H291,-(DAY(F291)-1),0):H291)*IF(AND(OR('депозитный калькулятор'!$G$7="30/365",'депозитный калькулятор'!$G$7="30/360"),DAY(F291)&lt;30),30,DAY(F291))),IF(AND('депозитный калькулятор'!$G$10="ежемесячное, на средний остаток в течение месяца, при условии что остаток больше чем ограничение",F291='депозитный калькулятор'!$D$8,EOMONTH(F291,0)&lt;&gt;F291),IF('депозитный калькулятор'!$F$1=1,$H$24,SUM(OFFSET(Q291,-E291+1,0):Q291)),IF(AND('депозитный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калькулятор'!$G$7="30/360"),DAY(EOMONTH(F291,0))=31),EOMONTH(F291,0)-1=F291,EOMONTH(F291,0)=F291)),IF(IF(AND(OR('депозитный калькулятор'!$G$7="30/365",'депозитный калькулятор'!$G$7="30/360"),DAY(EOMONTH($F$24,0))=31),F291=EOMONTH($F$24,0)-1,F291=EOMONTH($F$24,0)),SUM(OFFSET(Q291,-E291+1,0):Q291),SUM(OFFSET(Q291,-E291+1,0):Q291)),IF('депозитный калькулятор'!$G$10="ежеквартальное",IF(F291&gt;'депозитный калькулятор'!$D$8," ",IF(AND(EOMONTH(F291,0)=F291,OR(MONTH(F291)=3,MONTH(F291)=6,MONTH(F291)=9,MONTH(F291)=12)),IF(EDATE(F291,-3)&lt;'депозитный калькулятор'!$D$7,SUM($H$23:H291),IF(MOD(YEAR(F291),4)=0,IF(AND(EOMONTH(F291,0)=F291,OR(MONTH(F291)=3,MONTH(F291)=6)),SUM(OFFSET(H291,-90,0):H291),IF(AND(EOMONTH(F291,0)=F291,OR(MONTH(F291)=9,MONTH(F291)=12)),SUM(OFFSET(H291,-91,0):H291))),IF(AND(EOMONTH(F291,0)=F291,MONTH(F291)=3),SUM(OFFSET(H291,-89,0):H291),IF(AND(EOMONTH(F291,0)=F291,MONTH(F291)=6),SUM(OFFSET(H291,-90,0):H291),IF(AND(EOMONTH(F291,0)=F291,OR(MONTH(F291)=9,MONTH(F291)=12)),SUM(OFFSET(H291,-91,0):H291)))))),IF(F291='депозитный калькулятор'!$D$8,SUM($H$23:H291)-SUM($I$23:I290),0))),IF('депозитный калькулятор'!$G$10="ежегодное",IF(F291&gt;'депозитный калькулятор'!$D$8," ",IF(F291='депозитный калькулятор'!$D$8,SUM($H$23:H291)-SUM($I$23:I290),IF(AND(EOMONTH(F291,0)=F291,MONTH(F291)=12),IF(MOD(YEAR(F290),4)=0,IF(F291-'депозитный калькулятор'!$D$7&lt;366,SUM($H$23:H291),SUM(OFFSET(H291,-365,0):H291)),IF(F291-'депозитный калькулятор'!$D$7&lt;365,SUM($H$23:H291),SUM(OFFSET(H291,-364,0):H291))),0))),IF(AND('депозитный калькулятор'!$G$10="в конце срока",'депозитный калькулятор'!$D$8=F291),SUM($H$23:H291),0))))))))))))))))))</f>
        <v xml:space="preserve"> </v>
      </c>
      <c r="J291" s="59" t="str">
        <f>IF(F291&gt;'депозитный калькулятор'!$D$8," ",IF('депозитный калькулятор'!$G$16="нет",0,IF(AND('депозитный калькулятор'!$G$17="разовая (в конце срока)",F291='депозитный калькулятор'!$D$8),'депозитный калькулятор'!$G$18,IF(AND('депозитный калькулятор'!$G$17="ежемесячная",EOMONTH(F290,0)=F290),'депозитный калькулятор'!$G$18,IF(AND('депозитный калькулятор'!$G$17="ежегодная",DAY(F290)=31,MONTH(F290)=12),'депозитный калькулятор'!$G$18,IF(AND('депозитный калькулятор'!$G$17="ежемесячная в зависимости от остатка",EOMONTH(F290,0)=F290,P290&gt;0),'депозитный калькулятор'!$G$18,IF(AND('депозитный калькулятор'!$G$17="ежегодная в зависимости от остатка",DAY(F290)=31,MONTH(F290)=12,P290&gt;0),'депозитный калькулятор'!$G$18,0)))))))</f>
        <v xml:space="preserve"> </v>
      </c>
      <c r="K291" s="135" t="str">
        <f>IF($F291=" "," ",IFERROR(VLOOKUP($F291,'депозитный калькулятор'!$B$26:$F$70,2,0),0))</f>
        <v xml:space="preserve"> </v>
      </c>
      <c r="L291" s="135" t="str">
        <f>IF($F291=" "," ",IFERROR(VLOOKUP($F291,'депозитный калькулятор'!$B$26:$F$70,3,0),0))</f>
        <v xml:space="preserve"> </v>
      </c>
      <c r="M291" s="135" t="str">
        <f>IF($F291=" "," ",IFERROR(VLOOKUP($F291,'депозитный калькулятор'!$B$26:$F$70,4,0),0))</f>
        <v xml:space="preserve"> </v>
      </c>
      <c r="N291" s="135" t="str">
        <f>IF($F291=" "," ",IFERROR(VLOOKUP($F291,'депозитный калькулятор'!$B$26:$F$70,5,0),0))</f>
        <v xml:space="preserve"> </v>
      </c>
      <c r="O291" s="146" t="str">
        <f>IF(F291&gt;'депозитный калькулятор'!$D$8," ",IF(F291='депозитный калькулятор'!$D$8,IF(AND($F$24='депозитный калькулятор'!$D$8,'депозитный калькулятор'!$G$13="нет"),-G291-IF(I291=" ",0,I291)-IF(AND(OR('депозитный калькулятор'!$G$7="30/365",'депозитный калькулятор'!$G$7="30/360"),'депозитный калькулятор'!$G$10="в начале срока"),I290,0)-L291+M291-N291,-G291-IF(I291=" ",0,I291)-L291+M291-N291),IF('депозитный калькулятор'!$G$13="есть",M291-N291+IF('депозитный калькулятор'!$G$14="есть",0,-L291),-IF(I291=" ",0,I291)-IF(AND(OR('депозитный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срока"),I290,0)+M291-N291+IF('депозитный калькулятор'!$G$14="есть",0,-L291))))</f>
        <v xml:space="preserve"> </v>
      </c>
      <c r="P291" s="147" t="str">
        <f>IF(F291&gt;'депозитный калькулятор'!$D$8," ",IF(EOMONTH(F290,0)=F290,0,IF(G291&gt;='депозитный калькулятор'!$G$19,P290,P290+1)))</f>
        <v xml:space="preserve"> </v>
      </c>
      <c r="Q291" s="138" t="str">
        <f>IF(F291=" "," ",IF(AND(OR('депозитный калькулятор'!$G$7="30/365",'депозитный калькулятор'!$G$7="30/360"),AND(MONTH(F291)=2,EOMONTH(F291,0)=F291)),IF(DAY(F291)=28,3,2),1)*IF(G291&gt;='депозитный калькулятор'!$G$11,IF(AND('депозитный калькулятор'!$G$7="факт/факт",MOD(YEAR(F291),4)=0),G291*'депозитный калькулятор'!$D$11/366,G291*'депозитный калькулятор'!$G$8),0))</f>
        <v xml:space="preserve"> </v>
      </c>
      <c r="R291" s="148"/>
      <c r="S291" s="62" t="str">
        <f t="shared" ca="1" si="22"/>
        <v xml:space="preserve"> </v>
      </c>
      <c r="T291" s="149" t="str">
        <f ca="1">IF(S291=" "," ",IF('депозитный калькулятор'!$G$7="30/360",DAYS360(U290,IF(DAY(U291)=31,U291-1,U291))+IF(AND(MONTH(U291)=2,U291=EOMONTH(U291,0)),30-DAY(EOMONTH(U291,0)))+T290,VLOOKUP(S291,$C$22:$F$1023,2,0)))</f>
        <v xml:space="preserve"> </v>
      </c>
      <c r="U291" s="64" t="str">
        <f t="shared" ca="1" si="20"/>
        <v xml:space="preserve"> </v>
      </c>
      <c r="V291" s="150" t="str">
        <f t="shared" ca="1" si="23"/>
        <v xml:space="preserve"> </v>
      </c>
      <c r="W291" s="62" t="str">
        <f t="shared" ca="1" si="24"/>
        <v xml:space="preserve"> </v>
      </c>
      <c r="X291" s="141" t="str">
        <f ca="1">IF(S291=" "," ",IFERROR(VLOOKUP(U291,$F$23:$N$1023,7)+VLOOKUP(U291,$F$23:$N$1023,9)+IF(AND('депозитный калькулятор'!$G$13="нет",U291&lt;&gt;'депозитный калькулятор'!$D$8),VLOOKUP(U291,$F$23:$N$1023,4),0),0)+IF(U291='депозитный калькулятор'!$D$8,VLOOKUP(U291,$F$23:$N$1023,2)+VLOOKUP(U291,$F$23:$N$1023,4),0))</f>
        <v xml:space="preserve"> </v>
      </c>
      <c r="Y291" s="142" t="str">
        <f ca="1">IF(S291=" "," ",W291/(1+'депозитный калькулятор'!$K$8)^(T291/IF('депозитный калькулятор'!$G$7="30/360",360,365)))</f>
        <v xml:space="preserve"> </v>
      </c>
      <c r="Z291" s="142" t="str">
        <f ca="1">IF(S291=" "," ",X291/(1+'депозитный калькулятор'!$K$8)^(T291/IF('депозитный калькулятор'!$G$7="30/360",360,365)))</f>
        <v xml:space="preserve"> </v>
      </c>
      <c r="AA291" s="151"/>
      <c r="AB291" s="151"/>
      <c r="AC291" s="155"/>
      <c r="AD291" s="155"/>
    </row>
    <row r="292" spans="1:30" s="2" customFormat="1" ht="15.5" x14ac:dyDescent="0.35">
      <c r="A292" s="41" t="str">
        <f>IF(F292=" "," ",IF(OR('депозитный калькулятор'!$G$7="30/365",'депозитный калькулятор'!$G$7="30/360"),IF(AND(MONTH(F292)=2,DAY(F292)=DAY(EOMONTH(F292,0))),30-DAY(EOMONTH(F292,0)),IF(DAY(F292)=31,1," "))," "))</f>
        <v xml:space="preserve"> </v>
      </c>
      <c r="B292" s="130" t="str">
        <f t="shared" si="21"/>
        <v xml:space="preserve"> </v>
      </c>
      <c r="C292" s="130" t="str">
        <f>IF(OR(B292=0,B292=" ")," ",SUM($B$23:B292))</f>
        <v xml:space="preserve"> </v>
      </c>
      <c r="D292" s="62" t="str">
        <f>IF(D291=" "," ",IF(OR(F291='депозитный калькулятор'!$D$8,F291=" ")," ",D291+1))</f>
        <v xml:space="preserve"> </v>
      </c>
      <c r="E292" s="130" t="str">
        <f>IF(OR(F291='депозитный калькулятор'!$D$8,F291=" ")," ",IF(EOMONTH(F291,0)=F291,1,E291+1))</f>
        <v xml:space="preserve"> </v>
      </c>
      <c r="F292" s="64" t="str">
        <f>IF(F291=" "," ",IF(F291='депозитный калькулятор'!$D$8," ",F291+1))</f>
        <v xml:space="preserve"> </v>
      </c>
      <c r="G292" s="145" t="str">
        <f xml:space="preserve"> IF(F292&gt;'депозитный калькулятор'!$D$8," ",IF('депозитный калькулятор'!$G$13="есть",IF('депозитный калькулятор'!$G$14="есть",G291+IF(I291=" ",0,I291)-J292-K292+L292+M292-N292,G291+IF(I291=" ",0,I291)-J292-K292+M292-N292),IF('депозитный калькулятор'!$G$14="есть",G291-J292-K292+L292+M292-N292,G291-J292-K292+M292-N292)))</f>
        <v xml:space="preserve"> </v>
      </c>
      <c r="H292" s="133" t="str">
        <f>IF(F292&gt;'депозитный калькулятор'!$D$8," ",IF(AND(OR('депозитный калькулятор'!$G$7="30/365",'депозитный калькулятор'!$G$7="30/360"),AND(MONTH(F292)=2,EOMONTH(F292,0)=F292)),IF(DAY(F292)=28,3*G292*'депозитный калькулятор'!$G$8,2*G292*'депозитный калькулятор'!$G$8),IF(AND(OR('депозитный калькулятор'!$G$7="30/365",'депозитный калькулятор'!$G$7="30/360"),DAY(F292)=31)," ",IF(AND('депозитный калькулятор'!$G$7="факт/факт",MOD(YEAR(F292),4)=0),G292*'депозитный калькулятор'!$D$11/366,G292*'депозитный калькулятор'!$G$8))))</f>
        <v xml:space="preserve"> </v>
      </c>
      <c r="I292" s="134" t="str">
        <f ca="1">IF(F292=" "," ",IF('депозитный калькулятор'!$G$10="ежедневное",H292,IF(AND('депозитный калькулятор'!$G$10="еженедельное",WEEKDAY(F292,2)=7),SUM(OFFSET(H292,-6,0):H292),IF(AND('депозитный калькулятор'!$G$10="еженедельное",F292='депозитный калькулятор'!$D$8),SUM($H$23:H292)-SUM($I$23:I291),IF(AND('депозитный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недели",WEEKDAY(F292,2)=7),MIN(OFFSET(H292,-6,0):H292)*(COUNTIF(OFFSET(H292,-6,0):H292,"&gt;0")+SUMIF(OFFSET(A292,-WEEKDAY(F292,2),0):A292,"=2",OFFSET(A292,-WEEKDAY(F292,2),0):A292)),IF(AND('депозитный калькулятор'!$G$10="еженедельное, на минимальную сумму зафиксированную в течение недели",F292='депозитный калькулятор'!$D$8,WEEKDAY(F292,2)&lt;&gt;7),MIN(OFFSET(H292,-WEEKDAY(F292,2),0):H292)*(COUNTIF(OFFSET(H292,-WEEKDAY(F292,2)+1,0):H292,"&gt;0")+SUM(OFFSET(A292,-WEEKDAY(F292,2),0):A292)),IF(AND('депозитный калькулятор'!$G$10="ежемесячное (в конце месяца)",F292='депозитный калькулятор'!$D$8,EOMONTH(F292,0)&lt;&gt;F292),IF('депозитный калькулятор'!$F$1=1,$H$24,SUM($H$23:H292)-SUM($I$23:I291)),IF(AND('депозитный калькулятор'!$G$10="ежемесячное (в конце месяца)",EOMONTH(F292,0)=F292),SUM($H$23:H292)-SUM($I$23:I291),IF(AND('депозитный калькулятор'!$G$10="ежемесячное (по дням открытия вклада)",F292='депозитный калькулятор'!$D$8,DAY('депозитный калькулятор'!$D$7)&lt;&gt;DAY(F292)),IF('депозитный калькулятор'!$F$1=1,$H$24,SUM($H$23:H292)-SUM($I$23:I291)),IF(AND('депозитный калькулятор'!$G$10="ежемесячное (по дням открытия вклада)",DAY('депозитный калькулятор'!$D$7)=DAY(F292)),SUM($H$23:H292)-SUM($I$23:I291),IF(AND('депозитный калькулятор'!$G$10="ежемесячное, на минимальную сумму зафиксированную в течение месяца",F292='депозитный калькулятор'!$D$8,EOMONTH(F292,0)&lt;&gt;F292),IF('депозитный калькулятор'!$F$1=1,$H$24,IF(AND(OR('депозитный калькулятор'!$G$7="30/365",'депозитный калькулятор'!$G$7="30/360"),DAY(F292)=31),0,MIN(OFFSET(H292,-E292+1,0):H292)*(E292+SUMIF(OFFSET(A292,-E292+1,0):A292,"=2",OFFSET(A292,-E292+1,0):A292)))),IF(AND('депозитный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калькулятор'!$G$7="30/360"),DAY(EOMONTH(F292,0))=31),EOMONTH(F292,0)-1=F292,EOMONTH(F292,0)=F292)),IF(IF(AND(OR('депозитный калькулятор'!$G$7="30/365",'депозитный калькулятор'!$G$7="30/360"),DAY(EOMONTH($F$23,0))=31),F292=EOMONTH($F$23,0)-1,F292=EOMONTH($F$23,0)),MIN(OFFSET(H292,-(DAY(F292)-DAY($F$23)),0):H292)*E292,MIN(OFFSET(H292,-(DAY(F292)-1),0):H292)*IF(AND(OR('депозитный калькулятор'!$G$7="30/365",'депозитный калькулятор'!$G$7="30/360"),DAY(F292)&lt;30),30,DAY(F292))),IF(AND('депозитный калькулятор'!$G$10="ежемесячное, на средний остаток в течение месяца, при условии что остаток больше чем ограничение",F292='депозитный калькулятор'!$D$8,EOMONTH(F292,0)&lt;&gt;F292),IF('депозитный калькулятор'!$F$1=1,$H$24,SUM(OFFSET(Q292,-E292+1,0):Q292)),IF(AND('депозитный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калькулятор'!$G$7="30/360"),DAY(EOMONTH(F292,0))=31),EOMONTH(F292,0)-1=F292,EOMONTH(F292,0)=F292)),IF(IF(AND(OR('депозитный калькулятор'!$G$7="30/365",'депозитный калькулятор'!$G$7="30/360"),DAY(EOMONTH($F$24,0))=31),F292=EOMONTH($F$24,0)-1,F292=EOMONTH($F$24,0)),SUM(OFFSET(Q292,-E292+1,0):Q292),SUM(OFFSET(Q292,-E292+1,0):Q292)),IF('депозитный калькулятор'!$G$10="ежеквартальное",IF(F292&gt;'депозитный калькулятор'!$D$8," ",IF(AND(EOMONTH(F292,0)=F292,OR(MONTH(F292)=3,MONTH(F292)=6,MONTH(F292)=9,MONTH(F292)=12)),IF(EDATE(F292,-3)&lt;'депозитный калькулятор'!$D$7,SUM($H$23:H292),IF(MOD(YEAR(F292),4)=0,IF(AND(EOMONTH(F292,0)=F292,OR(MONTH(F292)=3,MONTH(F292)=6)),SUM(OFFSET(H292,-90,0):H292),IF(AND(EOMONTH(F292,0)=F292,OR(MONTH(F292)=9,MONTH(F292)=12)),SUM(OFFSET(H292,-91,0):H292))),IF(AND(EOMONTH(F292,0)=F292,MONTH(F292)=3),SUM(OFFSET(H292,-89,0):H292),IF(AND(EOMONTH(F292,0)=F292,MONTH(F292)=6),SUM(OFFSET(H292,-90,0):H292),IF(AND(EOMONTH(F292,0)=F292,OR(MONTH(F292)=9,MONTH(F292)=12)),SUM(OFFSET(H292,-91,0):H292)))))),IF(F292='депозитный калькулятор'!$D$8,SUM($H$23:H292)-SUM($I$23:I291),0))),IF('депозитный калькулятор'!$G$10="ежегодное",IF(F292&gt;'депозитный калькулятор'!$D$8," ",IF(F292='депозитный калькулятор'!$D$8,SUM($H$23:H292)-SUM($I$23:I291),IF(AND(EOMONTH(F292,0)=F292,MONTH(F292)=12),IF(MOD(YEAR(F291),4)=0,IF(F292-'депозитный калькулятор'!$D$7&lt;366,SUM($H$23:H292),SUM(OFFSET(H292,-365,0):H292)),IF(F292-'депозитный калькулятор'!$D$7&lt;365,SUM($H$23:H292),SUM(OFFSET(H292,-364,0):H292))),0))),IF(AND('депозитный калькулятор'!$G$10="в конце срока",'депозитный калькулятор'!$D$8=F292),SUM($H$23:H292),0))))))))))))))))))</f>
        <v xml:space="preserve"> </v>
      </c>
      <c r="J292" s="59" t="str">
        <f>IF(F292&gt;'депозитный калькулятор'!$D$8," ",IF('депозитный калькулятор'!$G$16="нет",0,IF(AND('депозитный калькулятор'!$G$17="разовая (в конце срока)",F292='депозитный калькулятор'!$D$8),'депозитный калькулятор'!$G$18,IF(AND('депозитный калькулятор'!$G$17="ежемесячная",EOMONTH(F291,0)=F291),'депозитный калькулятор'!$G$18,IF(AND('депозитный калькулятор'!$G$17="ежегодная",DAY(F291)=31,MONTH(F291)=12),'депозитный калькулятор'!$G$18,IF(AND('депозитный калькулятор'!$G$17="ежемесячная в зависимости от остатка",EOMONTH(F291,0)=F291,P291&gt;0),'депозитный калькулятор'!$G$18,IF(AND('депозитный калькулятор'!$G$17="ежегодная в зависимости от остатка",DAY(F291)=31,MONTH(F291)=12,P291&gt;0),'депозитный калькулятор'!$G$18,0)))))))</f>
        <v xml:space="preserve"> </v>
      </c>
      <c r="K292" s="135" t="str">
        <f>IF($F292=" "," ",IFERROR(VLOOKUP($F292,'депозитный калькулятор'!$B$26:$F$70,2,0),0))</f>
        <v xml:space="preserve"> </v>
      </c>
      <c r="L292" s="135" t="str">
        <f>IF($F292=" "," ",IFERROR(VLOOKUP($F292,'депозитный калькулятор'!$B$26:$F$70,3,0),0))</f>
        <v xml:space="preserve"> </v>
      </c>
      <c r="M292" s="135" t="str">
        <f>IF($F292=" "," ",IFERROR(VLOOKUP($F292,'депозитный калькулятор'!$B$26:$F$70,4,0),0))</f>
        <v xml:space="preserve"> </v>
      </c>
      <c r="N292" s="135" t="str">
        <f>IF($F292=" "," ",IFERROR(VLOOKUP($F292,'депозитный калькулятор'!$B$26:$F$70,5,0),0))</f>
        <v xml:space="preserve"> </v>
      </c>
      <c r="O292" s="146" t="str">
        <f>IF(F292&gt;'депозитный калькулятор'!$D$8," ",IF(F292='депозитный калькулятор'!$D$8,IF(AND($F$24='депозитный калькулятор'!$D$8,'депозитный калькулятор'!$G$13="нет"),-G292-IF(I292=" ",0,I292)-IF(AND(OR('депозитный калькулятор'!$G$7="30/365",'депозитный калькулятор'!$G$7="30/360"),'депозитный калькулятор'!$G$10="в начале срока"),I291,0)-L292+M292-N292,-G292-IF(I292=" ",0,I292)-L292+M292-N292),IF('депозитный калькулятор'!$G$13="есть",M292-N292+IF('депозитный калькулятор'!$G$14="есть",0,-L292),-IF(I292=" ",0,I292)-IF(AND(OR('депозитный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срока"),I291,0)+M292-N292+IF('депозитный калькулятор'!$G$14="есть",0,-L292))))</f>
        <v xml:space="preserve"> </v>
      </c>
      <c r="P292" s="147" t="str">
        <f>IF(F292&gt;'депозитный калькулятор'!$D$8," ",IF(EOMONTH(F291,0)=F291,0,IF(G292&gt;='депозитный калькулятор'!$G$19,P291,P291+1)))</f>
        <v xml:space="preserve"> </v>
      </c>
      <c r="Q292" s="138" t="str">
        <f>IF(F292=" "," ",IF(AND(OR('депозитный калькулятор'!$G$7="30/365",'депозитный калькулятор'!$G$7="30/360"),AND(MONTH(F292)=2,EOMONTH(F292,0)=F292)),IF(DAY(F292)=28,3,2),1)*IF(G292&gt;='депозитный калькулятор'!$G$11,IF(AND('депозитный калькулятор'!$G$7="факт/факт",MOD(YEAR(F292),4)=0),G292*'депозитный калькулятор'!$D$11/366,G292*'депозитный калькулятор'!$G$8),0))</f>
        <v xml:space="preserve"> </v>
      </c>
      <c r="R292" s="148"/>
      <c r="S292" s="62" t="str">
        <f t="shared" ca="1" si="22"/>
        <v xml:space="preserve"> </v>
      </c>
      <c r="T292" s="149" t="str">
        <f ca="1">IF(S292=" "," ",IF('депозитный калькулятор'!$G$7="30/360",DAYS360(U291,IF(DAY(U292)=31,U292-1,U292))+IF(AND(MONTH(U292)=2,U292=EOMONTH(U292,0)),30-DAY(EOMONTH(U292,0)))+T291,VLOOKUP(S292,$C$22:$F$1023,2,0)))</f>
        <v xml:space="preserve"> </v>
      </c>
      <c r="U292" s="64" t="str">
        <f t="shared" ca="1" si="20"/>
        <v xml:space="preserve"> </v>
      </c>
      <c r="V292" s="150" t="str">
        <f t="shared" ca="1" si="23"/>
        <v xml:space="preserve"> </v>
      </c>
      <c r="W292" s="62" t="str">
        <f t="shared" ca="1" si="24"/>
        <v xml:space="preserve"> </v>
      </c>
      <c r="X292" s="141" t="str">
        <f ca="1">IF(S292=" "," ",IFERROR(VLOOKUP(U292,$F$23:$N$1023,7)+VLOOKUP(U292,$F$23:$N$1023,9)+IF(AND('депозитный калькулятор'!$G$13="нет",U292&lt;&gt;'депозитный калькулятор'!$D$8),VLOOKUP(U292,$F$23:$N$1023,4),0),0)+IF(U292='депозитный калькулятор'!$D$8,VLOOKUP(U292,$F$23:$N$1023,2)+VLOOKUP(U292,$F$23:$N$1023,4),0))</f>
        <v xml:space="preserve"> </v>
      </c>
      <c r="Y292" s="142" t="str">
        <f ca="1">IF(S292=" "," ",W292/(1+'депозитный калькулятор'!$K$8)^(T292/IF('депозитный калькулятор'!$G$7="30/360",360,365)))</f>
        <v xml:space="preserve"> </v>
      </c>
      <c r="Z292" s="142" t="str">
        <f ca="1">IF(S292=" "," ",X292/(1+'депозитный калькулятор'!$K$8)^(T292/IF('депозитный калькулятор'!$G$7="30/360",360,365)))</f>
        <v xml:space="preserve"> </v>
      </c>
      <c r="AA292" s="151"/>
      <c r="AB292" s="151"/>
      <c r="AC292" s="155"/>
      <c r="AD292" s="155"/>
    </row>
    <row r="293" spans="1:30" s="2" customFormat="1" ht="15.5" x14ac:dyDescent="0.35">
      <c r="A293" s="41" t="str">
        <f>IF(F293=" "," ",IF(OR('депозитный калькулятор'!$G$7="30/365",'депозитный калькулятор'!$G$7="30/360"),IF(AND(MONTH(F293)=2,DAY(F293)=DAY(EOMONTH(F293,0))),30-DAY(EOMONTH(F293,0)),IF(DAY(F293)=31,1," "))," "))</f>
        <v xml:space="preserve"> </v>
      </c>
      <c r="B293" s="130" t="str">
        <f t="shared" si="21"/>
        <v xml:space="preserve"> </v>
      </c>
      <c r="C293" s="130" t="str">
        <f>IF(OR(B293=0,B293=" ")," ",SUM($B$23:B293))</f>
        <v xml:space="preserve"> </v>
      </c>
      <c r="D293" s="62" t="str">
        <f>IF(D292=" "," ",IF(OR(F292='депозитный калькулятор'!$D$8,F292=" ")," ",D292+1))</f>
        <v xml:space="preserve"> </v>
      </c>
      <c r="E293" s="130" t="str">
        <f>IF(OR(F292='депозитный калькулятор'!$D$8,F292=" ")," ",IF(EOMONTH(F292,0)=F292,1,E292+1))</f>
        <v xml:space="preserve"> </v>
      </c>
      <c r="F293" s="64" t="str">
        <f>IF(F292=" "," ",IF(F292='депозитный калькулятор'!$D$8," ",F292+1))</f>
        <v xml:space="preserve"> </v>
      </c>
      <c r="G293" s="145" t="str">
        <f xml:space="preserve"> IF(F293&gt;'депозитный калькулятор'!$D$8," ",IF('депозитный калькулятор'!$G$13="есть",IF('депозитный калькулятор'!$G$14="есть",G292+IF(I292=" ",0,I292)-J293-K293+L293+M293-N293,G292+IF(I292=" ",0,I292)-J293-K293+M293-N293),IF('депозитный калькулятор'!$G$14="есть",G292-J293-K293+L293+M293-N293,G292-J293-K293+M293-N293)))</f>
        <v xml:space="preserve"> </v>
      </c>
      <c r="H293" s="133" t="str">
        <f>IF(F293&gt;'депозитный калькулятор'!$D$8," ",IF(AND(OR('депозитный калькулятор'!$G$7="30/365",'депозитный калькулятор'!$G$7="30/360"),AND(MONTH(F293)=2,EOMONTH(F293,0)=F293)),IF(DAY(F293)=28,3*G293*'депозитный калькулятор'!$G$8,2*G293*'депозитный калькулятор'!$G$8),IF(AND(OR('депозитный калькулятор'!$G$7="30/365",'депозитный калькулятор'!$G$7="30/360"),DAY(F293)=31)," ",IF(AND('депозитный калькулятор'!$G$7="факт/факт",MOD(YEAR(F293),4)=0),G293*'депозитный калькулятор'!$D$11/366,G293*'депозитный калькулятор'!$G$8))))</f>
        <v xml:space="preserve"> </v>
      </c>
      <c r="I293" s="134" t="str">
        <f ca="1">IF(F293=" "," ",IF('депозитный калькулятор'!$G$10="ежедневное",H293,IF(AND('депозитный калькулятор'!$G$10="еженедельное",WEEKDAY(F293,2)=7),SUM(OFFSET(H293,-6,0):H293),IF(AND('депозитный калькулятор'!$G$10="еженедельное",F293='депозитный калькулятор'!$D$8),SUM($H$23:H293)-SUM($I$23:I292),IF(AND('депозитный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недели",WEEKDAY(F293,2)=7),MIN(OFFSET(H293,-6,0):H293)*(COUNTIF(OFFSET(H293,-6,0):H293,"&gt;0")+SUMIF(OFFSET(A293,-WEEKDAY(F293,2),0):A293,"=2",OFFSET(A293,-WEEKDAY(F293,2),0):A293)),IF(AND('депозитный калькулятор'!$G$10="еженедельное, на минимальную сумму зафиксированную в течение недели",F293='депозитный калькулятор'!$D$8,WEEKDAY(F293,2)&lt;&gt;7),MIN(OFFSET(H293,-WEEKDAY(F293,2),0):H293)*(COUNTIF(OFFSET(H293,-WEEKDAY(F293,2)+1,0):H293,"&gt;0")+SUM(OFFSET(A293,-WEEKDAY(F293,2),0):A293)),IF(AND('депозитный калькулятор'!$G$10="ежемесячное (в конце месяца)",F293='депозитный калькулятор'!$D$8,EOMONTH(F293,0)&lt;&gt;F293),IF('депозитный калькулятор'!$F$1=1,$H$24,SUM($H$23:H293)-SUM($I$23:I292)),IF(AND('депозитный калькулятор'!$G$10="ежемесячное (в конце месяца)",EOMONTH(F293,0)=F293),SUM($H$23:H293)-SUM($I$23:I292),IF(AND('депозитный калькулятор'!$G$10="ежемесячное (по дням открытия вклада)",F293='депозитный калькулятор'!$D$8,DAY('депозитный калькулятор'!$D$7)&lt;&gt;DAY(F293)),IF('депозитный калькулятор'!$F$1=1,$H$24,SUM($H$23:H293)-SUM($I$23:I292)),IF(AND('депозитный калькулятор'!$G$10="ежемесячное (по дням открытия вклада)",DAY('депозитный калькулятор'!$D$7)=DAY(F293)),SUM($H$23:H293)-SUM($I$23:I292),IF(AND('депозитный калькулятор'!$G$10="ежемесячное, на минимальную сумму зафиксированную в течение месяца",F293='депозитный калькулятор'!$D$8,EOMONTH(F293,0)&lt;&gt;F293),IF('депозитный калькулятор'!$F$1=1,$H$24,IF(AND(OR('депозитный калькулятор'!$G$7="30/365",'депозитный калькулятор'!$G$7="30/360"),DAY(F293)=31),0,MIN(OFFSET(H293,-E293+1,0):H293)*(E293+SUMIF(OFFSET(A293,-E293+1,0):A293,"=2",OFFSET(A293,-E293+1,0):A293)))),IF(AND('депозитный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калькулятор'!$G$7="30/360"),DAY(EOMONTH(F293,0))=31),EOMONTH(F293,0)-1=F293,EOMONTH(F293,0)=F293)),IF(IF(AND(OR('депозитный калькулятор'!$G$7="30/365",'депозитный калькулятор'!$G$7="30/360"),DAY(EOMONTH($F$23,0))=31),F293=EOMONTH($F$23,0)-1,F293=EOMONTH($F$23,0)),MIN(OFFSET(H293,-(DAY(F293)-DAY($F$23)),0):H293)*E293,MIN(OFFSET(H293,-(DAY(F293)-1),0):H293)*IF(AND(OR('депозитный калькулятор'!$G$7="30/365",'депозитный калькулятор'!$G$7="30/360"),DAY(F293)&lt;30),30,DAY(F293))),IF(AND('депозитный калькулятор'!$G$10="ежемесячное, на средний остаток в течение месяца, при условии что остаток больше чем ограничение",F293='депозитный калькулятор'!$D$8,EOMONTH(F293,0)&lt;&gt;F293),IF('депозитный калькулятор'!$F$1=1,$H$24,SUM(OFFSET(Q293,-E293+1,0):Q293)),IF(AND('депозитный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калькулятор'!$G$7="30/360"),DAY(EOMONTH(F293,0))=31),EOMONTH(F293,0)-1=F293,EOMONTH(F293,0)=F293)),IF(IF(AND(OR('депозитный калькулятор'!$G$7="30/365",'депозитный калькулятор'!$G$7="30/360"),DAY(EOMONTH($F$24,0))=31),F293=EOMONTH($F$24,0)-1,F293=EOMONTH($F$24,0)),SUM(OFFSET(Q293,-E293+1,0):Q293),SUM(OFFSET(Q293,-E293+1,0):Q293)),IF('депозитный калькулятор'!$G$10="ежеквартальное",IF(F293&gt;'депозитный калькулятор'!$D$8," ",IF(AND(EOMONTH(F293,0)=F293,OR(MONTH(F293)=3,MONTH(F293)=6,MONTH(F293)=9,MONTH(F293)=12)),IF(EDATE(F293,-3)&lt;'депозитный калькулятор'!$D$7,SUM($H$23:H293),IF(MOD(YEAR(F293),4)=0,IF(AND(EOMONTH(F293,0)=F293,OR(MONTH(F293)=3,MONTH(F293)=6)),SUM(OFFSET(H293,-90,0):H293),IF(AND(EOMONTH(F293,0)=F293,OR(MONTH(F293)=9,MONTH(F293)=12)),SUM(OFFSET(H293,-91,0):H293))),IF(AND(EOMONTH(F293,0)=F293,MONTH(F293)=3),SUM(OFFSET(H293,-89,0):H293),IF(AND(EOMONTH(F293,0)=F293,MONTH(F293)=6),SUM(OFFSET(H293,-90,0):H293),IF(AND(EOMONTH(F293,0)=F293,OR(MONTH(F293)=9,MONTH(F293)=12)),SUM(OFFSET(H293,-91,0):H293)))))),IF(F293='депозитный калькулятор'!$D$8,SUM($H$23:H293)-SUM($I$23:I292),0))),IF('депозитный калькулятор'!$G$10="ежегодное",IF(F293&gt;'депозитный калькулятор'!$D$8," ",IF(F293='депозитный калькулятор'!$D$8,SUM($H$23:H293)-SUM($I$23:I292),IF(AND(EOMONTH(F293,0)=F293,MONTH(F293)=12),IF(MOD(YEAR(F292),4)=0,IF(F293-'депозитный калькулятор'!$D$7&lt;366,SUM($H$23:H293),SUM(OFFSET(H293,-365,0):H293)),IF(F293-'депозитный калькулятор'!$D$7&lt;365,SUM($H$23:H293),SUM(OFFSET(H293,-364,0):H293))),0))),IF(AND('депозитный калькулятор'!$G$10="в конце срока",'депозитный калькулятор'!$D$8=F293),SUM($H$23:H293),0))))))))))))))))))</f>
        <v xml:space="preserve"> </v>
      </c>
      <c r="J293" s="59" t="str">
        <f>IF(F293&gt;'депозитный калькулятор'!$D$8," ",IF('депозитный калькулятор'!$G$16="нет",0,IF(AND('депозитный калькулятор'!$G$17="разовая (в конце срока)",F293='депозитный калькулятор'!$D$8),'депозитный калькулятор'!$G$18,IF(AND('депозитный калькулятор'!$G$17="ежемесячная",EOMONTH(F292,0)=F292),'депозитный калькулятор'!$G$18,IF(AND('депозитный калькулятор'!$G$17="ежегодная",DAY(F292)=31,MONTH(F292)=12),'депозитный калькулятор'!$G$18,IF(AND('депозитный калькулятор'!$G$17="ежемесячная в зависимости от остатка",EOMONTH(F292,0)=F292,P292&gt;0),'депозитный калькулятор'!$G$18,IF(AND('депозитный калькулятор'!$G$17="ежегодная в зависимости от остатка",DAY(F292)=31,MONTH(F292)=12,P292&gt;0),'депозитный калькулятор'!$G$18,0)))))))</f>
        <v xml:space="preserve"> </v>
      </c>
      <c r="K293" s="135" t="str">
        <f>IF($F293=" "," ",IFERROR(VLOOKUP($F293,'депозитный калькулятор'!$B$26:$F$70,2,0),0))</f>
        <v xml:space="preserve"> </v>
      </c>
      <c r="L293" s="135" t="str">
        <f>IF($F293=" "," ",IFERROR(VLOOKUP($F293,'депозитный калькулятор'!$B$26:$F$70,3,0),0))</f>
        <v xml:space="preserve"> </v>
      </c>
      <c r="M293" s="135" t="str">
        <f>IF($F293=" "," ",IFERROR(VLOOKUP($F293,'депозитный калькулятор'!$B$26:$F$70,4,0),0))</f>
        <v xml:space="preserve"> </v>
      </c>
      <c r="N293" s="135" t="str">
        <f>IF($F293=" "," ",IFERROR(VLOOKUP($F293,'депозитный калькулятор'!$B$26:$F$70,5,0),0))</f>
        <v xml:space="preserve"> </v>
      </c>
      <c r="O293" s="146" t="str">
        <f>IF(F293&gt;'депозитный калькулятор'!$D$8," ",IF(F293='депозитный калькулятор'!$D$8,IF(AND($F$24='депозитный калькулятор'!$D$8,'депозитный калькулятор'!$G$13="нет"),-G293-IF(I293=" ",0,I293)-IF(AND(OR('депозитный калькулятор'!$G$7="30/365",'депозитный калькулятор'!$G$7="30/360"),'депозитный калькулятор'!$G$10="в начале срока"),I292,0)-L293+M293-N293,-G293-IF(I293=" ",0,I293)-L293+M293-N293),IF('депозитный калькулятор'!$G$13="есть",M293-N293+IF('депозитный калькулятор'!$G$14="есть",0,-L293),-IF(I293=" ",0,I293)-IF(AND(OR('депозитный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срока"),I292,0)+M293-N293+IF('депозитный калькулятор'!$G$14="есть",0,-L293))))</f>
        <v xml:space="preserve"> </v>
      </c>
      <c r="P293" s="147" t="str">
        <f>IF(F293&gt;'депозитный калькулятор'!$D$8," ",IF(EOMONTH(F292,0)=F292,0,IF(G293&gt;='депозитный калькулятор'!$G$19,P292,P292+1)))</f>
        <v xml:space="preserve"> </v>
      </c>
      <c r="Q293" s="138" t="str">
        <f>IF(F293=" "," ",IF(AND(OR('депозитный калькулятор'!$G$7="30/365",'депозитный калькулятор'!$G$7="30/360"),AND(MONTH(F293)=2,EOMONTH(F293,0)=F293)),IF(DAY(F293)=28,3,2),1)*IF(G293&gt;='депозитный калькулятор'!$G$11,IF(AND('депозитный калькулятор'!$G$7="факт/факт",MOD(YEAR(F293),4)=0),G293*'депозитный калькулятор'!$D$11/366,G293*'депозитный калькулятор'!$G$8),0))</f>
        <v xml:space="preserve"> </v>
      </c>
      <c r="R293" s="148"/>
      <c r="S293" s="62" t="str">
        <f t="shared" ca="1" si="22"/>
        <v xml:space="preserve"> </v>
      </c>
      <c r="T293" s="149" t="str">
        <f ca="1">IF(S293=" "," ",IF('депозитный калькулятор'!$G$7="30/360",DAYS360(U292,IF(DAY(U293)=31,U293-1,U293))+IF(AND(MONTH(U293)=2,U293=EOMONTH(U293,0)),30-DAY(EOMONTH(U293,0)))+T292,VLOOKUP(S293,$C$22:$F$1023,2,0)))</f>
        <v xml:space="preserve"> </v>
      </c>
      <c r="U293" s="64" t="str">
        <f t="shared" ca="1" si="20"/>
        <v xml:space="preserve"> </v>
      </c>
      <c r="V293" s="150" t="str">
        <f t="shared" ca="1" si="23"/>
        <v xml:space="preserve"> </v>
      </c>
      <c r="W293" s="62" t="str">
        <f t="shared" ca="1" si="24"/>
        <v xml:space="preserve"> </v>
      </c>
      <c r="X293" s="141" t="str">
        <f ca="1">IF(S293=" "," ",IFERROR(VLOOKUP(U293,$F$23:$N$1023,7)+VLOOKUP(U293,$F$23:$N$1023,9)+IF(AND('депозитный калькулятор'!$G$13="нет",U293&lt;&gt;'депозитный калькулятор'!$D$8),VLOOKUP(U293,$F$23:$N$1023,4),0),0)+IF(U293='депозитный калькулятор'!$D$8,VLOOKUP(U293,$F$23:$N$1023,2)+VLOOKUP(U293,$F$23:$N$1023,4),0))</f>
        <v xml:space="preserve"> </v>
      </c>
      <c r="Y293" s="142" t="str">
        <f ca="1">IF(S293=" "," ",W293/(1+'депозитный калькулятор'!$K$8)^(T293/IF('депозитный калькулятор'!$G$7="30/360",360,365)))</f>
        <v xml:space="preserve"> </v>
      </c>
      <c r="Z293" s="142" t="str">
        <f ca="1">IF(S293=" "," ",X293/(1+'депозитный калькулятор'!$K$8)^(T293/IF('депозитный калькулятор'!$G$7="30/360",360,365)))</f>
        <v xml:space="preserve"> </v>
      </c>
      <c r="AA293" s="151"/>
      <c r="AB293" s="151"/>
      <c r="AC293" s="155"/>
      <c r="AD293" s="155"/>
    </row>
    <row r="294" spans="1:30" s="2" customFormat="1" ht="15.5" x14ac:dyDescent="0.35">
      <c r="A294" s="41" t="str">
        <f>IF(F294=" "," ",IF(OR('депозитный калькулятор'!$G$7="30/365",'депозитный калькулятор'!$G$7="30/360"),IF(AND(MONTH(F294)=2,DAY(F294)=DAY(EOMONTH(F294,0))),30-DAY(EOMONTH(F294,0)),IF(DAY(F294)=31,1," "))," "))</f>
        <v xml:space="preserve"> </v>
      </c>
      <c r="B294" s="130" t="str">
        <f t="shared" si="21"/>
        <v xml:space="preserve"> </v>
      </c>
      <c r="C294" s="130" t="str">
        <f>IF(OR(B294=0,B294=" ")," ",SUM($B$23:B294))</f>
        <v xml:space="preserve"> </v>
      </c>
      <c r="D294" s="62" t="str">
        <f>IF(D293=" "," ",IF(OR(F293='депозитный калькулятор'!$D$8,F293=" ")," ",D293+1))</f>
        <v xml:space="preserve"> </v>
      </c>
      <c r="E294" s="130" t="str">
        <f>IF(OR(F293='депозитный калькулятор'!$D$8,F293=" ")," ",IF(EOMONTH(F293,0)=F293,1,E293+1))</f>
        <v xml:space="preserve"> </v>
      </c>
      <c r="F294" s="64" t="str">
        <f>IF(F293=" "," ",IF(F293='депозитный калькулятор'!$D$8," ",F293+1))</f>
        <v xml:space="preserve"> </v>
      </c>
      <c r="G294" s="145" t="str">
        <f xml:space="preserve"> IF(F294&gt;'депозитный калькулятор'!$D$8," ",IF('депозитный калькулятор'!$G$13="есть",IF('депозитный калькулятор'!$G$14="есть",G293+IF(I293=" ",0,I293)-J294-K294+L294+M294-N294,G293+IF(I293=" ",0,I293)-J294-K294+M294-N294),IF('депозитный калькулятор'!$G$14="есть",G293-J294-K294+L294+M294-N294,G293-J294-K294+M294-N294)))</f>
        <v xml:space="preserve"> </v>
      </c>
      <c r="H294" s="133" t="str">
        <f>IF(F294&gt;'депозитный калькулятор'!$D$8," ",IF(AND(OR('депозитный калькулятор'!$G$7="30/365",'депозитный калькулятор'!$G$7="30/360"),AND(MONTH(F294)=2,EOMONTH(F294,0)=F294)),IF(DAY(F294)=28,3*G294*'депозитный калькулятор'!$G$8,2*G294*'депозитный калькулятор'!$G$8),IF(AND(OR('депозитный калькулятор'!$G$7="30/365",'депозитный калькулятор'!$G$7="30/360"),DAY(F294)=31)," ",IF(AND('депозитный калькулятор'!$G$7="факт/факт",MOD(YEAR(F294),4)=0),G294*'депозитный калькулятор'!$D$11/366,G294*'депозитный калькулятор'!$G$8))))</f>
        <v xml:space="preserve"> </v>
      </c>
      <c r="I294" s="134" t="str">
        <f ca="1">IF(F294=" "," ",IF('депозитный калькулятор'!$G$10="ежедневное",H294,IF(AND('депозитный калькулятор'!$G$10="еженедельное",WEEKDAY(F294,2)=7),SUM(OFFSET(H294,-6,0):H294),IF(AND('депозитный калькулятор'!$G$10="еженедельное",F294='депозитный калькулятор'!$D$8),SUM($H$23:H294)-SUM($I$23:I293),IF(AND('депозитный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недели",WEEKDAY(F294,2)=7),MIN(OFFSET(H294,-6,0):H294)*(COUNTIF(OFFSET(H294,-6,0):H294,"&gt;0")+SUMIF(OFFSET(A294,-WEEKDAY(F294,2),0):A294,"=2",OFFSET(A294,-WEEKDAY(F294,2),0):A294)),IF(AND('депозитный калькулятор'!$G$10="еженедельное, на минимальную сумму зафиксированную в течение недели",F294='депозитный калькулятор'!$D$8,WEEKDAY(F294,2)&lt;&gt;7),MIN(OFFSET(H294,-WEEKDAY(F294,2),0):H294)*(COUNTIF(OFFSET(H294,-WEEKDAY(F294,2)+1,0):H294,"&gt;0")+SUM(OFFSET(A294,-WEEKDAY(F294,2),0):A294)),IF(AND('депозитный калькулятор'!$G$10="ежемесячное (в конце месяца)",F294='депозитный калькулятор'!$D$8,EOMONTH(F294,0)&lt;&gt;F294),IF('депозитный калькулятор'!$F$1=1,$H$24,SUM($H$23:H294)-SUM($I$23:I293)),IF(AND('депозитный калькулятор'!$G$10="ежемесячное (в конце месяца)",EOMONTH(F294,0)=F294),SUM($H$23:H294)-SUM($I$23:I293),IF(AND('депозитный калькулятор'!$G$10="ежемесячное (по дням открытия вклада)",F294='депозитный калькулятор'!$D$8,DAY('депозитный калькулятор'!$D$7)&lt;&gt;DAY(F294)),IF('депозитный калькулятор'!$F$1=1,$H$24,SUM($H$23:H294)-SUM($I$23:I293)),IF(AND('депозитный калькулятор'!$G$10="ежемесячное (по дням открытия вклада)",DAY('депозитный калькулятор'!$D$7)=DAY(F294)),SUM($H$23:H294)-SUM($I$23:I293),IF(AND('депозитный калькулятор'!$G$10="ежемесячное, на минимальную сумму зафиксированную в течение месяца",F294='депозитный калькулятор'!$D$8,EOMONTH(F294,0)&lt;&gt;F294),IF('депозитный калькулятор'!$F$1=1,$H$24,IF(AND(OR('депозитный калькулятор'!$G$7="30/365",'депозитный калькулятор'!$G$7="30/360"),DAY(F294)=31),0,MIN(OFFSET(H294,-E294+1,0):H294)*(E294+SUMIF(OFFSET(A294,-E294+1,0):A294,"=2",OFFSET(A294,-E294+1,0):A294)))),IF(AND('депозитный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калькулятор'!$G$7="30/360"),DAY(EOMONTH(F294,0))=31),EOMONTH(F294,0)-1=F294,EOMONTH(F294,0)=F294)),IF(IF(AND(OR('депозитный калькулятор'!$G$7="30/365",'депозитный калькулятор'!$G$7="30/360"),DAY(EOMONTH($F$23,0))=31),F294=EOMONTH($F$23,0)-1,F294=EOMONTH($F$23,0)),MIN(OFFSET(H294,-(DAY(F294)-DAY($F$23)),0):H294)*E294,MIN(OFFSET(H294,-(DAY(F294)-1),0):H294)*IF(AND(OR('депозитный калькулятор'!$G$7="30/365",'депозитный калькулятор'!$G$7="30/360"),DAY(F294)&lt;30),30,DAY(F294))),IF(AND('депозитный калькулятор'!$G$10="ежемесячное, на средний остаток в течение месяца, при условии что остаток больше чем ограничение",F294='депозитный калькулятор'!$D$8,EOMONTH(F294,0)&lt;&gt;F294),IF('депозитный калькулятор'!$F$1=1,$H$24,SUM(OFFSET(Q294,-E294+1,0):Q294)),IF(AND('депозитный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калькулятор'!$G$7="30/360"),DAY(EOMONTH(F294,0))=31),EOMONTH(F294,0)-1=F294,EOMONTH(F294,0)=F294)),IF(IF(AND(OR('депозитный калькулятор'!$G$7="30/365",'депозитный калькулятор'!$G$7="30/360"),DAY(EOMONTH($F$24,0))=31),F294=EOMONTH($F$24,0)-1,F294=EOMONTH($F$24,0)),SUM(OFFSET(Q294,-E294+1,0):Q294),SUM(OFFSET(Q294,-E294+1,0):Q294)),IF('депозитный калькулятор'!$G$10="ежеквартальное",IF(F294&gt;'депозитный калькулятор'!$D$8," ",IF(AND(EOMONTH(F294,0)=F294,OR(MONTH(F294)=3,MONTH(F294)=6,MONTH(F294)=9,MONTH(F294)=12)),IF(EDATE(F294,-3)&lt;'депозитный калькулятор'!$D$7,SUM($H$23:H294),IF(MOD(YEAR(F294),4)=0,IF(AND(EOMONTH(F294,0)=F294,OR(MONTH(F294)=3,MONTH(F294)=6)),SUM(OFFSET(H294,-90,0):H294),IF(AND(EOMONTH(F294,0)=F294,OR(MONTH(F294)=9,MONTH(F294)=12)),SUM(OFFSET(H294,-91,0):H294))),IF(AND(EOMONTH(F294,0)=F294,MONTH(F294)=3),SUM(OFFSET(H294,-89,0):H294),IF(AND(EOMONTH(F294,0)=F294,MONTH(F294)=6),SUM(OFFSET(H294,-90,0):H294),IF(AND(EOMONTH(F294,0)=F294,OR(MONTH(F294)=9,MONTH(F294)=12)),SUM(OFFSET(H294,-91,0):H294)))))),IF(F294='депозитный калькулятор'!$D$8,SUM($H$23:H294)-SUM($I$23:I293),0))),IF('депозитный калькулятор'!$G$10="ежегодное",IF(F294&gt;'депозитный калькулятор'!$D$8," ",IF(F294='депозитный калькулятор'!$D$8,SUM($H$23:H294)-SUM($I$23:I293),IF(AND(EOMONTH(F294,0)=F294,MONTH(F294)=12),IF(MOD(YEAR(F293),4)=0,IF(F294-'депозитный калькулятор'!$D$7&lt;366,SUM($H$23:H294),SUM(OFFSET(H294,-365,0):H294)),IF(F294-'депозитный калькулятор'!$D$7&lt;365,SUM($H$23:H294),SUM(OFFSET(H294,-364,0):H294))),0))),IF(AND('депозитный калькулятор'!$G$10="в конце срока",'депозитный калькулятор'!$D$8=F294),SUM($H$23:H294),0))))))))))))))))))</f>
        <v xml:space="preserve"> </v>
      </c>
      <c r="J294" s="59" t="str">
        <f>IF(F294&gt;'депозитный калькулятор'!$D$8," ",IF('депозитный калькулятор'!$G$16="нет",0,IF(AND('депозитный калькулятор'!$G$17="разовая (в конце срока)",F294='депозитный калькулятор'!$D$8),'депозитный калькулятор'!$G$18,IF(AND('депозитный калькулятор'!$G$17="ежемесячная",EOMONTH(F293,0)=F293),'депозитный калькулятор'!$G$18,IF(AND('депозитный калькулятор'!$G$17="ежегодная",DAY(F293)=31,MONTH(F293)=12),'депозитный калькулятор'!$G$18,IF(AND('депозитный калькулятор'!$G$17="ежемесячная в зависимости от остатка",EOMONTH(F293,0)=F293,P293&gt;0),'депозитный калькулятор'!$G$18,IF(AND('депозитный калькулятор'!$G$17="ежегодная в зависимости от остатка",DAY(F293)=31,MONTH(F293)=12,P293&gt;0),'депозитный калькулятор'!$G$18,0)))))))</f>
        <v xml:space="preserve"> </v>
      </c>
      <c r="K294" s="135" t="str">
        <f>IF($F294=" "," ",IFERROR(VLOOKUP($F294,'депозитный калькулятор'!$B$26:$F$70,2,0),0))</f>
        <v xml:space="preserve"> </v>
      </c>
      <c r="L294" s="135" t="str">
        <f>IF($F294=" "," ",IFERROR(VLOOKUP($F294,'депозитный калькулятор'!$B$26:$F$70,3,0),0))</f>
        <v xml:space="preserve"> </v>
      </c>
      <c r="M294" s="135" t="str">
        <f>IF($F294=" "," ",IFERROR(VLOOKUP($F294,'депозитный калькулятор'!$B$26:$F$70,4,0),0))</f>
        <v xml:space="preserve"> </v>
      </c>
      <c r="N294" s="135" t="str">
        <f>IF($F294=" "," ",IFERROR(VLOOKUP($F294,'депозитный калькулятор'!$B$26:$F$70,5,0),0))</f>
        <v xml:space="preserve"> </v>
      </c>
      <c r="O294" s="146" t="str">
        <f>IF(F294&gt;'депозитный калькулятор'!$D$8," ",IF(F294='депозитный калькулятор'!$D$8,IF(AND($F$24='депозитный калькулятор'!$D$8,'депозитный калькулятор'!$G$13="нет"),-G294-IF(I294=" ",0,I294)-IF(AND(OR('депозитный калькулятор'!$G$7="30/365",'депозитный калькулятор'!$G$7="30/360"),'депозитный калькулятор'!$G$10="в начале срока"),I293,0)-L294+M294-N294,-G294-IF(I294=" ",0,I294)-L294+M294-N294),IF('депозитный калькулятор'!$G$13="есть",M294-N294+IF('депозитный калькулятор'!$G$14="есть",0,-L294),-IF(I294=" ",0,I294)-IF(AND(OR('депозитный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срока"),I293,0)+M294-N294+IF('депозитный калькулятор'!$G$14="есть",0,-L294))))</f>
        <v xml:space="preserve"> </v>
      </c>
      <c r="P294" s="147" t="str">
        <f>IF(F294&gt;'депозитный калькулятор'!$D$8," ",IF(EOMONTH(F293,0)=F293,0,IF(G294&gt;='депозитный калькулятор'!$G$19,P293,P293+1)))</f>
        <v xml:space="preserve"> </v>
      </c>
      <c r="Q294" s="138" t="str">
        <f>IF(F294=" "," ",IF(AND(OR('депозитный калькулятор'!$G$7="30/365",'депозитный калькулятор'!$G$7="30/360"),AND(MONTH(F294)=2,EOMONTH(F294,0)=F294)),IF(DAY(F294)=28,3,2),1)*IF(G294&gt;='депозитный калькулятор'!$G$11,IF(AND('депозитный калькулятор'!$G$7="факт/факт",MOD(YEAR(F294),4)=0),G294*'депозитный калькулятор'!$D$11/366,G294*'депозитный калькулятор'!$G$8),0))</f>
        <v xml:space="preserve"> </v>
      </c>
      <c r="R294" s="148"/>
      <c r="S294" s="62" t="str">
        <f t="shared" ca="1" si="22"/>
        <v xml:space="preserve"> </v>
      </c>
      <c r="T294" s="149" t="str">
        <f ca="1">IF(S294=" "," ",IF('депозитный калькулятор'!$G$7="30/360",DAYS360(U293,IF(DAY(U294)=31,U294-1,U294))+IF(AND(MONTH(U294)=2,U294=EOMONTH(U294,0)),30-DAY(EOMONTH(U294,0)))+T293,VLOOKUP(S294,$C$22:$F$1023,2,0)))</f>
        <v xml:space="preserve"> </v>
      </c>
      <c r="U294" s="64" t="str">
        <f t="shared" ca="1" si="20"/>
        <v xml:space="preserve"> </v>
      </c>
      <c r="V294" s="150" t="str">
        <f t="shared" ca="1" si="23"/>
        <v xml:space="preserve"> </v>
      </c>
      <c r="W294" s="62" t="str">
        <f t="shared" ca="1" si="24"/>
        <v xml:space="preserve"> </v>
      </c>
      <c r="X294" s="141" t="str">
        <f ca="1">IF(S294=" "," ",IFERROR(VLOOKUP(U294,$F$23:$N$1023,7)+VLOOKUP(U294,$F$23:$N$1023,9)+IF(AND('депозитный калькулятор'!$G$13="нет",U294&lt;&gt;'депозитный калькулятор'!$D$8),VLOOKUP(U294,$F$23:$N$1023,4),0),0)+IF(U294='депозитный калькулятор'!$D$8,VLOOKUP(U294,$F$23:$N$1023,2)+VLOOKUP(U294,$F$23:$N$1023,4),0))</f>
        <v xml:space="preserve"> </v>
      </c>
      <c r="Y294" s="142" t="str">
        <f ca="1">IF(S294=" "," ",W294/(1+'депозитный калькулятор'!$K$8)^(T294/IF('депозитный калькулятор'!$G$7="30/360",360,365)))</f>
        <v xml:space="preserve"> </v>
      </c>
      <c r="Z294" s="142" t="str">
        <f ca="1">IF(S294=" "," ",X294/(1+'депозитный калькулятор'!$K$8)^(T294/IF('депозитный калькулятор'!$G$7="30/360",360,365)))</f>
        <v xml:space="preserve"> </v>
      </c>
      <c r="AA294" s="151"/>
      <c r="AB294" s="151"/>
      <c r="AC294" s="155"/>
      <c r="AD294" s="155"/>
    </row>
    <row r="295" spans="1:30" s="2" customFormat="1" ht="15.5" x14ac:dyDescent="0.35">
      <c r="A295" s="41" t="str">
        <f>IF(F295=" "," ",IF(OR('депозитный калькулятор'!$G$7="30/365",'депозитный калькулятор'!$G$7="30/360"),IF(AND(MONTH(F295)=2,DAY(F295)=DAY(EOMONTH(F295,0))),30-DAY(EOMONTH(F295,0)),IF(DAY(F295)=31,1," "))," "))</f>
        <v xml:space="preserve"> </v>
      </c>
      <c r="B295" s="130" t="str">
        <f t="shared" si="21"/>
        <v xml:space="preserve"> </v>
      </c>
      <c r="C295" s="130" t="str">
        <f>IF(OR(B295=0,B295=" ")," ",SUM($B$23:B295))</f>
        <v xml:space="preserve"> </v>
      </c>
      <c r="D295" s="62" t="str">
        <f>IF(D294=" "," ",IF(OR(F294='депозитный калькулятор'!$D$8,F294=" ")," ",D294+1))</f>
        <v xml:space="preserve"> </v>
      </c>
      <c r="E295" s="130" t="str">
        <f>IF(OR(F294='депозитный калькулятор'!$D$8,F294=" ")," ",IF(EOMONTH(F294,0)=F294,1,E294+1))</f>
        <v xml:space="preserve"> </v>
      </c>
      <c r="F295" s="64" t="str">
        <f>IF(F294=" "," ",IF(F294='депозитный калькулятор'!$D$8," ",F294+1))</f>
        <v xml:space="preserve"> </v>
      </c>
      <c r="G295" s="145" t="str">
        <f xml:space="preserve"> IF(F295&gt;'депозитный калькулятор'!$D$8," ",IF('депозитный калькулятор'!$G$13="есть",IF('депозитный калькулятор'!$G$14="есть",G294+IF(I294=" ",0,I294)-J295-K295+L295+M295-N295,G294+IF(I294=" ",0,I294)-J295-K295+M295-N295),IF('депозитный калькулятор'!$G$14="есть",G294-J295-K295+L295+M295-N295,G294-J295-K295+M295-N295)))</f>
        <v xml:space="preserve"> </v>
      </c>
      <c r="H295" s="133" t="str">
        <f>IF(F295&gt;'депозитный калькулятор'!$D$8," ",IF(AND(OR('депозитный калькулятор'!$G$7="30/365",'депозитный калькулятор'!$G$7="30/360"),AND(MONTH(F295)=2,EOMONTH(F295,0)=F295)),IF(DAY(F295)=28,3*G295*'депозитный калькулятор'!$G$8,2*G295*'депозитный калькулятор'!$G$8),IF(AND(OR('депозитный калькулятор'!$G$7="30/365",'депозитный калькулятор'!$G$7="30/360"),DAY(F295)=31)," ",IF(AND('депозитный калькулятор'!$G$7="факт/факт",MOD(YEAR(F295),4)=0),G295*'депозитный калькулятор'!$D$11/366,G295*'депозитный калькулятор'!$G$8))))</f>
        <v xml:space="preserve"> </v>
      </c>
      <c r="I295" s="134" t="str">
        <f ca="1">IF(F295=" "," ",IF('депозитный калькулятор'!$G$10="ежедневное",H295,IF(AND('депозитный калькулятор'!$G$10="еженедельное",WEEKDAY(F295,2)=7),SUM(OFFSET(H295,-6,0):H295),IF(AND('депозитный калькулятор'!$G$10="еженедельное",F295='депозитный калькулятор'!$D$8),SUM($H$23:H295)-SUM($I$23:I294),IF(AND('депозитный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недели",WEEKDAY(F295,2)=7),MIN(OFFSET(H295,-6,0):H295)*(COUNTIF(OFFSET(H295,-6,0):H295,"&gt;0")+SUMIF(OFFSET(A295,-WEEKDAY(F295,2),0):A295,"=2",OFFSET(A295,-WEEKDAY(F295,2),0):A295)),IF(AND('депозитный калькулятор'!$G$10="еженедельное, на минимальную сумму зафиксированную в течение недели",F295='депозитный калькулятор'!$D$8,WEEKDAY(F295,2)&lt;&gt;7),MIN(OFFSET(H295,-WEEKDAY(F295,2),0):H295)*(COUNTIF(OFFSET(H295,-WEEKDAY(F295,2)+1,0):H295,"&gt;0")+SUM(OFFSET(A295,-WEEKDAY(F295,2),0):A295)),IF(AND('депозитный калькулятор'!$G$10="ежемесячное (в конце месяца)",F295='депозитный калькулятор'!$D$8,EOMONTH(F295,0)&lt;&gt;F295),IF('депозитный калькулятор'!$F$1=1,$H$24,SUM($H$23:H295)-SUM($I$23:I294)),IF(AND('депозитный калькулятор'!$G$10="ежемесячное (в конце месяца)",EOMONTH(F295,0)=F295),SUM($H$23:H295)-SUM($I$23:I294),IF(AND('депозитный калькулятор'!$G$10="ежемесячное (по дням открытия вклада)",F295='депозитный калькулятор'!$D$8,DAY('депозитный калькулятор'!$D$7)&lt;&gt;DAY(F295)),IF('депозитный калькулятор'!$F$1=1,$H$24,SUM($H$23:H295)-SUM($I$23:I294)),IF(AND('депозитный калькулятор'!$G$10="ежемесячное (по дням открытия вклада)",DAY('депозитный калькулятор'!$D$7)=DAY(F295)),SUM($H$23:H295)-SUM($I$23:I294),IF(AND('депозитный калькулятор'!$G$10="ежемесячное, на минимальную сумму зафиксированную в течение месяца",F295='депозитный калькулятор'!$D$8,EOMONTH(F295,0)&lt;&gt;F295),IF('депозитный калькулятор'!$F$1=1,$H$24,IF(AND(OR('депозитный калькулятор'!$G$7="30/365",'депозитный калькулятор'!$G$7="30/360"),DAY(F295)=31),0,MIN(OFFSET(H295,-E295+1,0):H295)*(E295+SUMIF(OFFSET(A295,-E295+1,0):A295,"=2",OFFSET(A295,-E295+1,0):A295)))),IF(AND('депозитный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калькулятор'!$G$7="30/360"),DAY(EOMONTH(F295,0))=31),EOMONTH(F295,0)-1=F295,EOMONTH(F295,0)=F295)),IF(IF(AND(OR('депозитный калькулятор'!$G$7="30/365",'депозитный калькулятор'!$G$7="30/360"),DAY(EOMONTH($F$23,0))=31),F295=EOMONTH($F$23,0)-1,F295=EOMONTH($F$23,0)),MIN(OFFSET(H295,-(DAY(F295)-DAY($F$23)),0):H295)*E295,MIN(OFFSET(H295,-(DAY(F295)-1),0):H295)*IF(AND(OR('депозитный калькулятор'!$G$7="30/365",'депозитный калькулятор'!$G$7="30/360"),DAY(F295)&lt;30),30,DAY(F295))),IF(AND('депозитный калькулятор'!$G$10="ежемесячное, на средний остаток в течение месяца, при условии что остаток больше чем ограничение",F295='депозитный калькулятор'!$D$8,EOMONTH(F295,0)&lt;&gt;F295),IF('депозитный калькулятор'!$F$1=1,$H$24,SUM(OFFSET(Q295,-E295+1,0):Q295)),IF(AND('депозитный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калькулятор'!$G$7="30/360"),DAY(EOMONTH(F295,0))=31),EOMONTH(F295,0)-1=F295,EOMONTH(F295,0)=F295)),IF(IF(AND(OR('депозитный калькулятор'!$G$7="30/365",'депозитный калькулятор'!$G$7="30/360"),DAY(EOMONTH($F$24,0))=31),F295=EOMONTH($F$24,0)-1,F295=EOMONTH($F$24,0)),SUM(OFFSET(Q295,-E295+1,0):Q295),SUM(OFFSET(Q295,-E295+1,0):Q295)),IF('депозитный калькулятор'!$G$10="ежеквартальное",IF(F295&gt;'депозитный калькулятор'!$D$8," ",IF(AND(EOMONTH(F295,0)=F295,OR(MONTH(F295)=3,MONTH(F295)=6,MONTH(F295)=9,MONTH(F295)=12)),IF(EDATE(F295,-3)&lt;'депозитный калькулятор'!$D$7,SUM($H$23:H295),IF(MOD(YEAR(F295),4)=0,IF(AND(EOMONTH(F295,0)=F295,OR(MONTH(F295)=3,MONTH(F295)=6)),SUM(OFFSET(H295,-90,0):H295),IF(AND(EOMONTH(F295,0)=F295,OR(MONTH(F295)=9,MONTH(F295)=12)),SUM(OFFSET(H295,-91,0):H295))),IF(AND(EOMONTH(F295,0)=F295,MONTH(F295)=3),SUM(OFFSET(H295,-89,0):H295),IF(AND(EOMONTH(F295,0)=F295,MONTH(F295)=6),SUM(OFFSET(H295,-90,0):H295),IF(AND(EOMONTH(F295,0)=F295,OR(MONTH(F295)=9,MONTH(F295)=12)),SUM(OFFSET(H295,-91,0):H295)))))),IF(F295='депозитный калькулятор'!$D$8,SUM($H$23:H295)-SUM($I$23:I294),0))),IF('депозитный калькулятор'!$G$10="ежегодное",IF(F295&gt;'депозитный калькулятор'!$D$8," ",IF(F295='депозитный калькулятор'!$D$8,SUM($H$23:H295)-SUM($I$23:I294),IF(AND(EOMONTH(F295,0)=F295,MONTH(F295)=12),IF(MOD(YEAR(F294),4)=0,IF(F295-'депозитный калькулятор'!$D$7&lt;366,SUM($H$23:H295),SUM(OFFSET(H295,-365,0):H295)),IF(F295-'депозитный калькулятор'!$D$7&lt;365,SUM($H$23:H295),SUM(OFFSET(H295,-364,0):H295))),0))),IF(AND('депозитный калькулятор'!$G$10="в конце срока",'депозитный калькулятор'!$D$8=F295),SUM($H$23:H295),0))))))))))))))))))</f>
        <v xml:space="preserve"> </v>
      </c>
      <c r="J295" s="59" t="str">
        <f>IF(F295&gt;'депозитный калькулятор'!$D$8," ",IF('депозитный калькулятор'!$G$16="нет",0,IF(AND('депозитный калькулятор'!$G$17="разовая (в конце срока)",F295='депозитный калькулятор'!$D$8),'депозитный калькулятор'!$G$18,IF(AND('депозитный калькулятор'!$G$17="ежемесячная",EOMONTH(F294,0)=F294),'депозитный калькулятор'!$G$18,IF(AND('депозитный калькулятор'!$G$17="ежегодная",DAY(F294)=31,MONTH(F294)=12),'депозитный калькулятор'!$G$18,IF(AND('депозитный калькулятор'!$G$17="ежемесячная в зависимости от остатка",EOMONTH(F294,0)=F294,P294&gt;0),'депозитный калькулятор'!$G$18,IF(AND('депозитный калькулятор'!$G$17="ежегодная в зависимости от остатка",DAY(F294)=31,MONTH(F294)=12,P294&gt;0),'депозитный калькулятор'!$G$18,0)))))))</f>
        <v xml:space="preserve"> </v>
      </c>
      <c r="K295" s="135" t="str">
        <f>IF($F295=" "," ",IFERROR(VLOOKUP($F295,'депозитный калькулятор'!$B$26:$F$70,2,0),0))</f>
        <v xml:space="preserve"> </v>
      </c>
      <c r="L295" s="135" t="str">
        <f>IF($F295=" "," ",IFERROR(VLOOKUP($F295,'депозитный калькулятор'!$B$26:$F$70,3,0),0))</f>
        <v xml:space="preserve"> </v>
      </c>
      <c r="M295" s="135" t="str">
        <f>IF($F295=" "," ",IFERROR(VLOOKUP($F295,'депозитный калькулятор'!$B$26:$F$70,4,0),0))</f>
        <v xml:space="preserve"> </v>
      </c>
      <c r="N295" s="135" t="str">
        <f>IF($F295=" "," ",IFERROR(VLOOKUP($F295,'депозитный калькулятор'!$B$26:$F$70,5,0),0))</f>
        <v xml:space="preserve"> </v>
      </c>
      <c r="O295" s="146" t="str">
        <f>IF(F295&gt;'депозитный калькулятор'!$D$8," ",IF(F295='депозитный калькулятор'!$D$8,IF(AND($F$24='депозитный калькулятор'!$D$8,'депозитный калькулятор'!$G$13="нет"),-G295-IF(I295=" ",0,I295)-IF(AND(OR('депозитный калькулятор'!$G$7="30/365",'депозитный калькулятор'!$G$7="30/360"),'депозитный калькулятор'!$G$10="в начале срока"),I294,0)-L295+M295-N295,-G295-IF(I295=" ",0,I295)-L295+M295-N295),IF('депозитный калькулятор'!$G$13="есть",M295-N295+IF('депозитный калькулятор'!$G$14="есть",0,-L295),-IF(I295=" ",0,I295)-IF(AND(OR('депозитный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срока"),I294,0)+M295-N295+IF('депозитный калькулятор'!$G$14="есть",0,-L295))))</f>
        <v xml:space="preserve"> </v>
      </c>
      <c r="P295" s="147" t="str">
        <f>IF(F295&gt;'депозитный калькулятор'!$D$8," ",IF(EOMONTH(F294,0)=F294,0,IF(G295&gt;='депозитный калькулятор'!$G$19,P294,P294+1)))</f>
        <v xml:space="preserve"> </v>
      </c>
      <c r="Q295" s="138" t="str">
        <f>IF(F295=" "," ",IF(AND(OR('депозитный калькулятор'!$G$7="30/365",'депозитный калькулятор'!$G$7="30/360"),AND(MONTH(F295)=2,EOMONTH(F295,0)=F295)),IF(DAY(F295)=28,3,2),1)*IF(G295&gt;='депозитный калькулятор'!$G$11,IF(AND('депозитный калькулятор'!$G$7="факт/факт",MOD(YEAR(F295),4)=0),G295*'депозитный калькулятор'!$D$11/366,G295*'депозитный калькулятор'!$G$8),0))</f>
        <v xml:space="preserve"> </v>
      </c>
      <c r="R295" s="148"/>
      <c r="S295" s="62" t="str">
        <f t="shared" ca="1" si="22"/>
        <v xml:space="preserve"> </v>
      </c>
      <c r="T295" s="149" t="str">
        <f ca="1">IF(S295=" "," ",IF('депозитный калькулятор'!$G$7="30/360",DAYS360(U294,IF(DAY(U295)=31,U295-1,U295))+IF(AND(MONTH(U295)=2,U295=EOMONTH(U295,0)),30-DAY(EOMONTH(U295,0)))+T294,VLOOKUP(S295,$C$22:$F$1023,2,0)))</f>
        <v xml:space="preserve"> </v>
      </c>
      <c r="U295" s="64" t="str">
        <f t="shared" ca="1" si="20"/>
        <v xml:space="preserve"> </v>
      </c>
      <c r="V295" s="150" t="str">
        <f t="shared" ca="1" si="23"/>
        <v xml:space="preserve"> </v>
      </c>
      <c r="W295" s="62" t="str">
        <f t="shared" ca="1" si="24"/>
        <v xml:space="preserve"> </v>
      </c>
      <c r="X295" s="141" t="str">
        <f ca="1">IF(S295=" "," ",IFERROR(VLOOKUP(U295,$F$23:$N$1023,7)+VLOOKUP(U295,$F$23:$N$1023,9)+IF(AND('депозитный калькулятор'!$G$13="нет",U295&lt;&gt;'депозитный калькулятор'!$D$8),VLOOKUP(U295,$F$23:$N$1023,4),0),0)+IF(U295='депозитный калькулятор'!$D$8,VLOOKUP(U295,$F$23:$N$1023,2)+VLOOKUP(U295,$F$23:$N$1023,4),0))</f>
        <v xml:space="preserve"> </v>
      </c>
      <c r="Y295" s="142" t="str">
        <f ca="1">IF(S295=" "," ",W295/(1+'депозитный калькулятор'!$K$8)^(T295/IF('депозитный калькулятор'!$G$7="30/360",360,365)))</f>
        <v xml:space="preserve"> </v>
      </c>
      <c r="Z295" s="142" t="str">
        <f ca="1">IF(S295=" "," ",X295/(1+'депозитный калькулятор'!$K$8)^(T295/IF('депозитный калькулятор'!$G$7="30/360",360,365)))</f>
        <v xml:space="preserve"> </v>
      </c>
      <c r="AA295" s="151"/>
      <c r="AB295" s="151"/>
      <c r="AC295" s="155"/>
      <c r="AD295" s="155"/>
    </row>
    <row r="296" spans="1:30" s="2" customFormat="1" ht="15.5" x14ac:dyDescent="0.35">
      <c r="A296" s="41" t="str">
        <f>IF(F296=" "," ",IF(OR('депозитный калькулятор'!$G$7="30/365",'депозитный калькулятор'!$G$7="30/360"),IF(AND(MONTH(F296)=2,DAY(F296)=DAY(EOMONTH(F296,0))),30-DAY(EOMONTH(F296,0)),IF(DAY(F296)=31,1," "))," "))</f>
        <v xml:space="preserve"> </v>
      </c>
      <c r="B296" s="130" t="str">
        <f t="shared" si="21"/>
        <v xml:space="preserve"> </v>
      </c>
      <c r="C296" s="130" t="str">
        <f>IF(OR(B296=0,B296=" ")," ",SUM($B$23:B296))</f>
        <v xml:space="preserve"> </v>
      </c>
      <c r="D296" s="62" t="str">
        <f>IF(D295=" "," ",IF(OR(F295='депозитный калькулятор'!$D$8,F295=" ")," ",D295+1))</f>
        <v xml:space="preserve"> </v>
      </c>
      <c r="E296" s="130" t="str">
        <f>IF(OR(F295='депозитный калькулятор'!$D$8,F295=" ")," ",IF(EOMONTH(F295,0)=F295,1,E295+1))</f>
        <v xml:space="preserve"> </v>
      </c>
      <c r="F296" s="64" t="str">
        <f>IF(F295=" "," ",IF(F295='депозитный калькулятор'!$D$8," ",F295+1))</f>
        <v xml:space="preserve"> </v>
      </c>
      <c r="G296" s="145" t="str">
        <f xml:space="preserve"> IF(F296&gt;'депозитный калькулятор'!$D$8," ",IF('депозитный калькулятор'!$G$13="есть",IF('депозитный калькулятор'!$G$14="есть",G295+IF(I295=" ",0,I295)-J296-K296+L296+M296-N296,G295+IF(I295=" ",0,I295)-J296-K296+M296-N296),IF('депозитный калькулятор'!$G$14="есть",G295-J296-K296+L296+M296-N296,G295-J296-K296+M296-N296)))</f>
        <v xml:space="preserve"> </v>
      </c>
      <c r="H296" s="133" t="str">
        <f>IF(F296&gt;'депозитный калькулятор'!$D$8," ",IF(AND(OR('депозитный калькулятор'!$G$7="30/365",'депозитный калькулятор'!$G$7="30/360"),AND(MONTH(F296)=2,EOMONTH(F296,0)=F296)),IF(DAY(F296)=28,3*G296*'депозитный калькулятор'!$G$8,2*G296*'депозитный калькулятор'!$G$8),IF(AND(OR('депозитный калькулятор'!$G$7="30/365",'депозитный калькулятор'!$G$7="30/360"),DAY(F296)=31)," ",IF(AND('депозитный калькулятор'!$G$7="факт/факт",MOD(YEAR(F296),4)=0),G296*'депозитный калькулятор'!$D$11/366,G296*'депозитный калькулятор'!$G$8))))</f>
        <v xml:space="preserve"> </v>
      </c>
      <c r="I296" s="134" t="str">
        <f ca="1">IF(F296=" "," ",IF('депозитный калькулятор'!$G$10="ежедневное",H296,IF(AND('депозитный калькулятор'!$G$10="еженедельное",WEEKDAY(F296,2)=7),SUM(OFFSET(H296,-6,0):H296),IF(AND('депозитный калькулятор'!$G$10="еженедельное",F296='депозитный калькулятор'!$D$8),SUM($H$23:H296)-SUM($I$23:I295),IF(AND('депозитный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недели",WEEKDAY(F296,2)=7),MIN(OFFSET(H296,-6,0):H296)*(COUNTIF(OFFSET(H296,-6,0):H296,"&gt;0")+SUMIF(OFFSET(A296,-WEEKDAY(F296,2),0):A296,"=2",OFFSET(A296,-WEEKDAY(F296,2),0):A296)),IF(AND('депозитный калькулятор'!$G$10="еженедельное, на минимальную сумму зафиксированную в течение недели",F296='депозитный калькулятор'!$D$8,WEEKDAY(F296,2)&lt;&gt;7),MIN(OFFSET(H296,-WEEKDAY(F296,2),0):H296)*(COUNTIF(OFFSET(H296,-WEEKDAY(F296,2)+1,0):H296,"&gt;0")+SUM(OFFSET(A296,-WEEKDAY(F296,2),0):A296)),IF(AND('депозитный калькулятор'!$G$10="ежемесячное (в конце месяца)",F296='депозитный калькулятор'!$D$8,EOMONTH(F296,0)&lt;&gt;F296),IF('депозитный калькулятор'!$F$1=1,$H$24,SUM($H$23:H296)-SUM($I$23:I295)),IF(AND('депозитный калькулятор'!$G$10="ежемесячное (в конце месяца)",EOMONTH(F296,0)=F296),SUM($H$23:H296)-SUM($I$23:I295),IF(AND('депозитный калькулятор'!$G$10="ежемесячное (по дням открытия вклада)",F296='депозитный калькулятор'!$D$8,DAY('депозитный калькулятор'!$D$7)&lt;&gt;DAY(F296)),IF('депозитный калькулятор'!$F$1=1,$H$24,SUM($H$23:H296)-SUM($I$23:I295)),IF(AND('депозитный калькулятор'!$G$10="ежемесячное (по дням открытия вклада)",DAY('депозитный калькулятор'!$D$7)=DAY(F296)),SUM($H$23:H296)-SUM($I$23:I295),IF(AND('депозитный калькулятор'!$G$10="ежемесячное, на минимальную сумму зафиксированную в течение месяца",F296='депозитный калькулятор'!$D$8,EOMONTH(F296,0)&lt;&gt;F296),IF('депозитный калькулятор'!$F$1=1,$H$24,IF(AND(OR('депозитный калькулятор'!$G$7="30/365",'депозитный калькулятор'!$G$7="30/360"),DAY(F296)=31),0,MIN(OFFSET(H296,-E296+1,0):H296)*(E296+SUMIF(OFFSET(A296,-E296+1,0):A296,"=2",OFFSET(A296,-E296+1,0):A296)))),IF(AND('депозитный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калькулятор'!$G$7="30/360"),DAY(EOMONTH(F296,0))=31),EOMONTH(F296,0)-1=F296,EOMONTH(F296,0)=F296)),IF(IF(AND(OR('депозитный калькулятор'!$G$7="30/365",'депозитный калькулятор'!$G$7="30/360"),DAY(EOMONTH($F$23,0))=31),F296=EOMONTH($F$23,0)-1,F296=EOMONTH($F$23,0)),MIN(OFFSET(H296,-(DAY(F296)-DAY($F$23)),0):H296)*E296,MIN(OFFSET(H296,-(DAY(F296)-1),0):H296)*IF(AND(OR('депозитный калькулятор'!$G$7="30/365",'депозитный калькулятор'!$G$7="30/360"),DAY(F296)&lt;30),30,DAY(F296))),IF(AND('депозитный калькулятор'!$G$10="ежемесячное, на средний остаток в течение месяца, при условии что остаток больше чем ограничение",F296='депозитный калькулятор'!$D$8,EOMONTH(F296,0)&lt;&gt;F296),IF('депозитный калькулятор'!$F$1=1,$H$24,SUM(OFFSET(Q296,-E296+1,0):Q296)),IF(AND('депозитный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калькулятор'!$G$7="30/360"),DAY(EOMONTH(F296,0))=31),EOMONTH(F296,0)-1=F296,EOMONTH(F296,0)=F296)),IF(IF(AND(OR('депозитный калькулятор'!$G$7="30/365",'депозитный калькулятор'!$G$7="30/360"),DAY(EOMONTH($F$24,0))=31),F296=EOMONTH($F$24,0)-1,F296=EOMONTH($F$24,0)),SUM(OFFSET(Q296,-E296+1,0):Q296),SUM(OFFSET(Q296,-E296+1,0):Q296)),IF('депозитный калькулятор'!$G$10="ежеквартальное",IF(F296&gt;'депозитный калькулятор'!$D$8," ",IF(AND(EOMONTH(F296,0)=F296,OR(MONTH(F296)=3,MONTH(F296)=6,MONTH(F296)=9,MONTH(F296)=12)),IF(EDATE(F296,-3)&lt;'депозитный калькулятор'!$D$7,SUM($H$23:H296),IF(MOD(YEAR(F296),4)=0,IF(AND(EOMONTH(F296,0)=F296,OR(MONTH(F296)=3,MONTH(F296)=6)),SUM(OFFSET(H296,-90,0):H296),IF(AND(EOMONTH(F296,0)=F296,OR(MONTH(F296)=9,MONTH(F296)=12)),SUM(OFFSET(H296,-91,0):H296))),IF(AND(EOMONTH(F296,0)=F296,MONTH(F296)=3),SUM(OFFSET(H296,-89,0):H296),IF(AND(EOMONTH(F296,0)=F296,MONTH(F296)=6),SUM(OFFSET(H296,-90,0):H296),IF(AND(EOMONTH(F296,0)=F296,OR(MONTH(F296)=9,MONTH(F296)=12)),SUM(OFFSET(H296,-91,0):H296)))))),IF(F296='депозитный калькулятор'!$D$8,SUM($H$23:H296)-SUM($I$23:I295),0))),IF('депозитный калькулятор'!$G$10="ежегодное",IF(F296&gt;'депозитный калькулятор'!$D$8," ",IF(F296='депозитный калькулятор'!$D$8,SUM($H$23:H296)-SUM($I$23:I295),IF(AND(EOMONTH(F296,0)=F296,MONTH(F296)=12),IF(MOD(YEAR(F295),4)=0,IF(F296-'депозитный калькулятор'!$D$7&lt;366,SUM($H$23:H296),SUM(OFFSET(H296,-365,0):H296)),IF(F296-'депозитный калькулятор'!$D$7&lt;365,SUM($H$23:H296),SUM(OFFSET(H296,-364,0):H296))),0))),IF(AND('депозитный калькулятор'!$G$10="в конце срока",'депозитный калькулятор'!$D$8=F296),SUM($H$23:H296),0))))))))))))))))))</f>
        <v xml:space="preserve"> </v>
      </c>
      <c r="J296" s="59" t="str">
        <f>IF(F296&gt;'депозитный калькулятор'!$D$8," ",IF('депозитный калькулятор'!$G$16="нет",0,IF(AND('депозитный калькулятор'!$G$17="разовая (в конце срока)",F296='депозитный калькулятор'!$D$8),'депозитный калькулятор'!$G$18,IF(AND('депозитный калькулятор'!$G$17="ежемесячная",EOMONTH(F295,0)=F295),'депозитный калькулятор'!$G$18,IF(AND('депозитный калькулятор'!$G$17="ежегодная",DAY(F295)=31,MONTH(F295)=12),'депозитный калькулятор'!$G$18,IF(AND('депозитный калькулятор'!$G$17="ежемесячная в зависимости от остатка",EOMONTH(F295,0)=F295,P295&gt;0),'депозитный калькулятор'!$G$18,IF(AND('депозитный калькулятор'!$G$17="ежегодная в зависимости от остатка",DAY(F295)=31,MONTH(F295)=12,P295&gt;0),'депозитный калькулятор'!$G$18,0)))))))</f>
        <v xml:space="preserve"> </v>
      </c>
      <c r="K296" s="135" t="str">
        <f>IF($F296=" "," ",IFERROR(VLOOKUP($F296,'депозитный калькулятор'!$B$26:$F$70,2,0),0))</f>
        <v xml:space="preserve"> </v>
      </c>
      <c r="L296" s="135" t="str">
        <f>IF($F296=" "," ",IFERROR(VLOOKUP($F296,'депозитный калькулятор'!$B$26:$F$70,3,0),0))</f>
        <v xml:space="preserve"> </v>
      </c>
      <c r="M296" s="135" t="str">
        <f>IF($F296=" "," ",IFERROR(VLOOKUP($F296,'депозитный калькулятор'!$B$26:$F$70,4,0),0))</f>
        <v xml:space="preserve"> </v>
      </c>
      <c r="N296" s="135" t="str">
        <f>IF($F296=" "," ",IFERROR(VLOOKUP($F296,'депозитный калькулятор'!$B$26:$F$70,5,0),0))</f>
        <v xml:space="preserve"> </v>
      </c>
      <c r="O296" s="146" t="str">
        <f>IF(F296&gt;'депозитный калькулятор'!$D$8," ",IF(F296='депозитный калькулятор'!$D$8,IF(AND($F$24='депозитный калькулятор'!$D$8,'депозитный калькулятор'!$G$13="нет"),-G296-IF(I296=" ",0,I296)-IF(AND(OR('депозитный калькулятор'!$G$7="30/365",'депозитный калькулятор'!$G$7="30/360"),'депозитный калькулятор'!$G$10="в начале срока"),I295,0)-L296+M296-N296,-G296-IF(I296=" ",0,I296)-L296+M296-N296),IF('депозитный калькулятор'!$G$13="есть",M296-N296+IF('депозитный калькулятор'!$G$14="есть",0,-L296),-IF(I296=" ",0,I296)-IF(AND(OR('депозитный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срока"),I295,0)+M296-N296+IF('депозитный калькулятор'!$G$14="есть",0,-L296))))</f>
        <v xml:space="preserve"> </v>
      </c>
      <c r="P296" s="147" t="str">
        <f>IF(F296&gt;'депозитный калькулятор'!$D$8," ",IF(EOMONTH(F295,0)=F295,0,IF(G296&gt;='депозитный калькулятор'!$G$19,P295,P295+1)))</f>
        <v xml:space="preserve"> </v>
      </c>
      <c r="Q296" s="138" t="str">
        <f>IF(F296=" "," ",IF(AND(OR('депозитный калькулятор'!$G$7="30/365",'депозитный калькулятор'!$G$7="30/360"),AND(MONTH(F296)=2,EOMONTH(F296,0)=F296)),IF(DAY(F296)=28,3,2),1)*IF(G296&gt;='депозитный калькулятор'!$G$11,IF(AND('депозитный калькулятор'!$G$7="факт/факт",MOD(YEAR(F296),4)=0),G296*'депозитный калькулятор'!$D$11/366,G296*'депозитный калькулятор'!$G$8),0))</f>
        <v xml:space="preserve"> </v>
      </c>
      <c r="R296" s="148"/>
      <c r="S296" s="62" t="str">
        <f t="shared" ca="1" si="22"/>
        <v xml:space="preserve"> </v>
      </c>
      <c r="T296" s="149" t="str">
        <f ca="1">IF(S296=" "," ",IF('депозитный калькулятор'!$G$7="30/360",DAYS360(U295,IF(DAY(U296)=31,U296-1,U296))+IF(AND(MONTH(U296)=2,U296=EOMONTH(U296,0)),30-DAY(EOMONTH(U296,0)))+T295,VLOOKUP(S296,$C$22:$F$1023,2,0)))</f>
        <v xml:space="preserve"> </v>
      </c>
      <c r="U296" s="64" t="str">
        <f t="shared" ca="1" si="20"/>
        <v xml:space="preserve"> </v>
      </c>
      <c r="V296" s="150" t="str">
        <f t="shared" ca="1" si="23"/>
        <v xml:space="preserve"> </v>
      </c>
      <c r="W296" s="62" t="str">
        <f t="shared" ca="1" si="24"/>
        <v xml:space="preserve"> </v>
      </c>
      <c r="X296" s="141" t="str">
        <f ca="1">IF(S296=" "," ",IFERROR(VLOOKUP(U296,$F$23:$N$1023,7)+VLOOKUP(U296,$F$23:$N$1023,9)+IF(AND('депозитный калькулятор'!$G$13="нет",U296&lt;&gt;'депозитный калькулятор'!$D$8),VLOOKUP(U296,$F$23:$N$1023,4),0),0)+IF(U296='депозитный калькулятор'!$D$8,VLOOKUP(U296,$F$23:$N$1023,2)+VLOOKUP(U296,$F$23:$N$1023,4),0))</f>
        <v xml:space="preserve"> </v>
      </c>
      <c r="Y296" s="142" t="str">
        <f ca="1">IF(S296=" "," ",W296/(1+'депозитный калькулятор'!$K$8)^(T296/IF('депозитный калькулятор'!$G$7="30/360",360,365)))</f>
        <v xml:space="preserve"> </v>
      </c>
      <c r="Z296" s="142" t="str">
        <f ca="1">IF(S296=" "," ",X296/(1+'депозитный калькулятор'!$K$8)^(T296/IF('депозитный калькулятор'!$G$7="30/360",360,365)))</f>
        <v xml:space="preserve"> </v>
      </c>
      <c r="AA296" s="151"/>
      <c r="AB296" s="151"/>
      <c r="AC296" s="155"/>
      <c r="AD296" s="155"/>
    </row>
    <row r="297" spans="1:30" s="2" customFormat="1" ht="15.5" x14ac:dyDescent="0.35">
      <c r="A297" s="41" t="str">
        <f>IF(F297=" "," ",IF(OR('депозитный калькулятор'!$G$7="30/365",'депозитный калькулятор'!$G$7="30/360"),IF(AND(MONTH(F297)=2,DAY(F297)=DAY(EOMONTH(F297,0))),30-DAY(EOMONTH(F297,0)),IF(DAY(F297)=31,1," "))," "))</f>
        <v xml:space="preserve"> </v>
      </c>
      <c r="B297" s="130" t="str">
        <f t="shared" si="21"/>
        <v xml:space="preserve"> </v>
      </c>
      <c r="C297" s="130" t="str">
        <f>IF(OR(B297=0,B297=" ")," ",SUM($B$23:B297))</f>
        <v xml:space="preserve"> </v>
      </c>
      <c r="D297" s="62" t="str">
        <f>IF(D296=" "," ",IF(OR(F296='депозитный калькулятор'!$D$8,F296=" ")," ",D296+1))</f>
        <v xml:space="preserve"> </v>
      </c>
      <c r="E297" s="130" t="str">
        <f>IF(OR(F296='депозитный калькулятор'!$D$8,F296=" ")," ",IF(EOMONTH(F296,0)=F296,1,E296+1))</f>
        <v xml:space="preserve"> </v>
      </c>
      <c r="F297" s="64" t="str">
        <f>IF(F296=" "," ",IF(F296='депозитный калькулятор'!$D$8," ",F296+1))</f>
        <v xml:space="preserve"> </v>
      </c>
      <c r="G297" s="145" t="str">
        <f xml:space="preserve"> IF(F297&gt;'депозитный калькулятор'!$D$8," ",IF('депозитный калькулятор'!$G$13="есть",IF('депозитный калькулятор'!$G$14="есть",G296+IF(I296=" ",0,I296)-J297-K297+L297+M297-N297,G296+IF(I296=" ",0,I296)-J297-K297+M297-N297),IF('депозитный калькулятор'!$G$14="есть",G296-J297-K297+L297+M297-N297,G296-J297-K297+M297-N297)))</f>
        <v xml:space="preserve"> </v>
      </c>
      <c r="H297" s="133" t="str">
        <f>IF(F297&gt;'депозитный калькулятор'!$D$8," ",IF(AND(OR('депозитный калькулятор'!$G$7="30/365",'депозитный калькулятор'!$G$7="30/360"),AND(MONTH(F297)=2,EOMONTH(F297,0)=F297)),IF(DAY(F297)=28,3*G297*'депозитный калькулятор'!$G$8,2*G297*'депозитный калькулятор'!$G$8),IF(AND(OR('депозитный калькулятор'!$G$7="30/365",'депозитный калькулятор'!$G$7="30/360"),DAY(F297)=31)," ",IF(AND('депозитный калькулятор'!$G$7="факт/факт",MOD(YEAR(F297),4)=0),G297*'депозитный калькулятор'!$D$11/366,G297*'депозитный калькулятор'!$G$8))))</f>
        <v xml:space="preserve"> </v>
      </c>
      <c r="I297" s="134" t="str">
        <f ca="1">IF(F297=" "," ",IF('депозитный калькулятор'!$G$10="ежедневное",H297,IF(AND('депозитный калькулятор'!$G$10="еженедельное",WEEKDAY(F297,2)=7),SUM(OFFSET(H297,-6,0):H297),IF(AND('депозитный калькулятор'!$G$10="еженедельное",F297='депозитный калькулятор'!$D$8),SUM($H$23:H297)-SUM($I$23:I296),IF(AND('депозитный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недели",WEEKDAY(F297,2)=7),MIN(OFFSET(H297,-6,0):H297)*(COUNTIF(OFFSET(H297,-6,0):H297,"&gt;0")+SUMIF(OFFSET(A297,-WEEKDAY(F297,2),0):A297,"=2",OFFSET(A297,-WEEKDAY(F297,2),0):A297)),IF(AND('депозитный калькулятор'!$G$10="еженедельное, на минимальную сумму зафиксированную в течение недели",F297='депозитный калькулятор'!$D$8,WEEKDAY(F297,2)&lt;&gt;7),MIN(OFFSET(H297,-WEEKDAY(F297,2),0):H297)*(COUNTIF(OFFSET(H297,-WEEKDAY(F297,2)+1,0):H297,"&gt;0")+SUM(OFFSET(A297,-WEEKDAY(F297,2),0):A297)),IF(AND('депозитный калькулятор'!$G$10="ежемесячное (в конце месяца)",F297='депозитный калькулятор'!$D$8,EOMONTH(F297,0)&lt;&gt;F297),IF('депозитный калькулятор'!$F$1=1,$H$24,SUM($H$23:H297)-SUM($I$23:I296)),IF(AND('депозитный калькулятор'!$G$10="ежемесячное (в конце месяца)",EOMONTH(F297,0)=F297),SUM($H$23:H297)-SUM($I$23:I296),IF(AND('депозитный калькулятор'!$G$10="ежемесячное (по дням открытия вклада)",F297='депозитный калькулятор'!$D$8,DAY('депозитный калькулятор'!$D$7)&lt;&gt;DAY(F297)),IF('депозитный калькулятор'!$F$1=1,$H$24,SUM($H$23:H297)-SUM($I$23:I296)),IF(AND('депозитный калькулятор'!$G$10="ежемесячное (по дням открытия вклада)",DAY('депозитный калькулятор'!$D$7)=DAY(F297)),SUM($H$23:H297)-SUM($I$23:I296),IF(AND('депозитный калькулятор'!$G$10="ежемесячное, на минимальную сумму зафиксированную в течение месяца",F297='депозитный калькулятор'!$D$8,EOMONTH(F297,0)&lt;&gt;F297),IF('депозитный калькулятор'!$F$1=1,$H$24,IF(AND(OR('депозитный калькулятор'!$G$7="30/365",'депозитный калькулятор'!$G$7="30/360"),DAY(F297)=31),0,MIN(OFFSET(H297,-E297+1,0):H297)*(E297+SUMIF(OFFSET(A297,-E297+1,0):A297,"=2",OFFSET(A297,-E297+1,0):A297)))),IF(AND('депозитный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калькулятор'!$G$7="30/360"),DAY(EOMONTH(F297,0))=31),EOMONTH(F297,0)-1=F297,EOMONTH(F297,0)=F297)),IF(IF(AND(OR('депозитный калькулятор'!$G$7="30/365",'депозитный калькулятор'!$G$7="30/360"),DAY(EOMONTH($F$23,0))=31),F297=EOMONTH($F$23,0)-1,F297=EOMONTH($F$23,0)),MIN(OFFSET(H297,-(DAY(F297)-DAY($F$23)),0):H297)*E297,MIN(OFFSET(H297,-(DAY(F297)-1),0):H297)*IF(AND(OR('депозитный калькулятор'!$G$7="30/365",'депозитный калькулятор'!$G$7="30/360"),DAY(F297)&lt;30),30,DAY(F297))),IF(AND('депозитный калькулятор'!$G$10="ежемесячное, на средний остаток в течение месяца, при условии что остаток больше чем ограничение",F297='депозитный калькулятор'!$D$8,EOMONTH(F297,0)&lt;&gt;F297),IF('депозитный калькулятор'!$F$1=1,$H$24,SUM(OFFSET(Q297,-E297+1,0):Q297)),IF(AND('депозитный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калькулятор'!$G$7="30/360"),DAY(EOMONTH(F297,0))=31),EOMONTH(F297,0)-1=F297,EOMONTH(F297,0)=F297)),IF(IF(AND(OR('депозитный калькулятор'!$G$7="30/365",'депозитный калькулятор'!$G$7="30/360"),DAY(EOMONTH($F$24,0))=31),F297=EOMONTH($F$24,0)-1,F297=EOMONTH($F$24,0)),SUM(OFFSET(Q297,-E297+1,0):Q297),SUM(OFFSET(Q297,-E297+1,0):Q297)),IF('депозитный калькулятор'!$G$10="ежеквартальное",IF(F297&gt;'депозитный калькулятор'!$D$8," ",IF(AND(EOMONTH(F297,0)=F297,OR(MONTH(F297)=3,MONTH(F297)=6,MONTH(F297)=9,MONTH(F297)=12)),IF(EDATE(F297,-3)&lt;'депозитный калькулятор'!$D$7,SUM($H$23:H297),IF(MOD(YEAR(F297),4)=0,IF(AND(EOMONTH(F297,0)=F297,OR(MONTH(F297)=3,MONTH(F297)=6)),SUM(OFFSET(H297,-90,0):H297),IF(AND(EOMONTH(F297,0)=F297,OR(MONTH(F297)=9,MONTH(F297)=12)),SUM(OFFSET(H297,-91,0):H297))),IF(AND(EOMONTH(F297,0)=F297,MONTH(F297)=3),SUM(OFFSET(H297,-89,0):H297),IF(AND(EOMONTH(F297,0)=F297,MONTH(F297)=6),SUM(OFFSET(H297,-90,0):H297),IF(AND(EOMONTH(F297,0)=F297,OR(MONTH(F297)=9,MONTH(F297)=12)),SUM(OFFSET(H297,-91,0):H297)))))),IF(F297='депозитный калькулятор'!$D$8,SUM($H$23:H297)-SUM($I$23:I296),0))),IF('депозитный калькулятор'!$G$10="ежегодное",IF(F297&gt;'депозитный калькулятор'!$D$8," ",IF(F297='депозитный калькулятор'!$D$8,SUM($H$23:H297)-SUM($I$23:I296),IF(AND(EOMONTH(F297,0)=F297,MONTH(F297)=12),IF(MOD(YEAR(F296),4)=0,IF(F297-'депозитный калькулятор'!$D$7&lt;366,SUM($H$23:H297),SUM(OFFSET(H297,-365,0):H297)),IF(F297-'депозитный калькулятор'!$D$7&lt;365,SUM($H$23:H297),SUM(OFFSET(H297,-364,0):H297))),0))),IF(AND('депозитный калькулятор'!$G$10="в конце срока",'депозитный калькулятор'!$D$8=F297),SUM($H$23:H297),0))))))))))))))))))</f>
        <v xml:space="preserve"> </v>
      </c>
      <c r="J297" s="59" t="str">
        <f>IF(F297&gt;'депозитный калькулятор'!$D$8," ",IF('депозитный калькулятор'!$G$16="нет",0,IF(AND('депозитный калькулятор'!$G$17="разовая (в конце срока)",F297='депозитный калькулятор'!$D$8),'депозитный калькулятор'!$G$18,IF(AND('депозитный калькулятор'!$G$17="ежемесячная",EOMONTH(F296,0)=F296),'депозитный калькулятор'!$G$18,IF(AND('депозитный калькулятор'!$G$17="ежегодная",DAY(F296)=31,MONTH(F296)=12),'депозитный калькулятор'!$G$18,IF(AND('депозитный калькулятор'!$G$17="ежемесячная в зависимости от остатка",EOMONTH(F296,0)=F296,P296&gt;0),'депозитный калькулятор'!$G$18,IF(AND('депозитный калькулятор'!$G$17="ежегодная в зависимости от остатка",DAY(F296)=31,MONTH(F296)=12,P296&gt;0),'депозитный калькулятор'!$G$18,0)))))))</f>
        <v xml:space="preserve"> </v>
      </c>
      <c r="K297" s="135" t="str">
        <f>IF($F297=" "," ",IFERROR(VLOOKUP($F297,'депозитный калькулятор'!$B$26:$F$70,2,0),0))</f>
        <v xml:space="preserve"> </v>
      </c>
      <c r="L297" s="135" t="str">
        <f>IF($F297=" "," ",IFERROR(VLOOKUP($F297,'депозитный калькулятор'!$B$26:$F$70,3,0),0))</f>
        <v xml:space="preserve"> </v>
      </c>
      <c r="M297" s="135" t="str">
        <f>IF($F297=" "," ",IFERROR(VLOOKUP($F297,'депозитный калькулятор'!$B$26:$F$70,4,0),0))</f>
        <v xml:space="preserve"> </v>
      </c>
      <c r="N297" s="135" t="str">
        <f>IF($F297=" "," ",IFERROR(VLOOKUP($F297,'депозитный калькулятор'!$B$26:$F$70,5,0),0))</f>
        <v xml:space="preserve"> </v>
      </c>
      <c r="O297" s="146" t="str">
        <f>IF(F297&gt;'депозитный калькулятор'!$D$8," ",IF(F297='депозитный калькулятор'!$D$8,IF(AND($F$24='депозитный калькулятор'!$D$8,'депозитный калькулятор'!$G$13="нет"),-G297-IF(I297=" ",0,I297)-IF(AND(OR('депозитный калькулятор'!$G$7="30/365",'депозитный калькулятор'!$G$7="30/360"),'депозитный калькулятор'!$G$10="в начале срока"),I296,0)-L297+M297-N297,-G297-IF(I297=" ",0,I297)-L297+M297-N297),IF('депозитный калькулятор'!$G$13="есть",M297-N297+IF('депозитный калькулятор'!$G$14="есть",0,-L297),-IF(I297=" ",0,I297)-IF(AND(OR('депозитный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срока"),I296,0)+M297-N297+IF('депозитный калькулятор'!$G$14="есть",0,-L297))))</f>
        <v xml:space="preserve"> </v>
      </c>
      <c r="P297" s="147" t="str">
        <f>IF(F297&gt;'депозитный калькулятор'!$D$8," ",IF(EOMONTH(F296,0)=F296,0,IF(G297&gt;='депозитный калькулятор'!$G$19,P296,P296+1)))</f>
        <v xml:space="preserve"> </v>
      </c>
      <c r="Q297" s="138" t="str">
        <f>IF(F297=" "," ",IF(AND(OR('депозитный калькулятор'!$G$7="30/365",'депозитный калькулятор'!$G$7="30/360"),AND(MONTH(F297)=2,EOMONTH(F297,0)=F297)),IF(DAY(F297)=28,3,2),1)*IF(G297&gt;='депозитный калькулятор'!$G$11,IF(AND('депозитный калькулятор'!$G$7="факт/факт",MOD(YEAR(F297),4)=0),G297*'депозитный калькулятор'!$D$11/366,G297*'депозитный калькулятор'!$G$8),0))</f>
        <v xml:space="preserve"> </v>
      </c>
      <c r="R297" s="148"/>
      <c r="S297" s="62" t="str">
        <f t="shared" ca="1" si="22"/>
        <v xml:space="preserve"> </v>
      </c>
      <c r="T297" s="149" t="str">
        <f ca="1">IF(S297=" "," ",IF('депозитный калькулятор'!$G$7="30/360",DAYS360(U296,IF(DAY(U297)=31,U297-1,U297))+IF(AND(MONTH(U297)=2,U297=EOMONTH(U297,0)),30-DAY(EOMONTH(U297,0)))+T296,VLOOKUP(S297,$C$22:$F$1023,2,0)))</f>
        <v xml:space="preserve"> </v>
      </c>
      <c r="U297" s="64" t="str">
        <f t="shared" ca="1" si="20"/>
        <v xml:space="preserve"> </v>
      </c>
      <c r="V297" s="150" t="str">
        <f t="shared" ca="1" si="23"/>
        <v xml:space="preserve"> </v>
      </c>
      <c r="W297" s="62" t="str">
        <f t="shared" ca="1" si="24"/>
        <v xml:space="preserve"> </v>
      </c>
      <c r="X297" s="141" t="str">
        <f ca="1">IF(S297=" "," ",IFERROR(VLOOKUP(U297,$F$23:$N$1023,7)+VLOOKUP(U297,$F$23:$N$1023,9)+IF(AND('депозитный калькулятор'!$G$13="нет",U297&lt;&gt;'депозитный калькулятор'!$D$8),VLOOKUP(U297,$F$23:$N$1023,4),0),0)+IF(U297='депозитный калькулятор'!$D$8,VLOOKUP(U297,$F$23:$N$1023,2)+VLOOKUP(U297,$F$23:$N$1023,4),0))</f>
        <v xml:space="preserve"> </v>
      </c>
      <c r="Y297" s="142" t="str">
        <f ca="1">IF(S297=" "," ",W297/(1+'депозитный калькулятор'!$K$8)^(T297/IF('депозитный калькулятор'!$G$7="30/360",360,365)))</f>
        <v xml:space="preserve"> </v>
      </c>
      <c r="Z297" s="142" t="str">
        <f ca="1">IF(S297=" "," ",X297/(1+'депозитный калькулятор'!$K$8)^(T297/IF('депозитный калькулятор'!$G$7="30/360",360,365)))</f>
        <v xml:space="preserve"> </v>
      </c>
      <c r="AA297" s="151"/>
      <c r="AB297" s="151"/>
      <c r="AC297" s="155"/>
      <c r="AD297" s="155"/>
    </row>
    <row r="298" spans="1:30" s="2" customFormat="1" ht="15.5" x14ac:dyDescent="0.35">
      <c r="A298" s="41" t="str">
        <f>IF(F298=" "," ",IF(OR('депозитный калькулятор'!$G$7="30/365",'депозитный калькулятор'!$G$7="30/360"),IF(AND(MONTH(F298)=2,DAY(F298)=DAY(EOMONTH(F298,0))),30-DAY(EOMONTH(F298,0)),IF(DAY(F298)=31,1," "))," "))</f>
        <v xml:space="preserve"> </v>
      </c>
      <c r="B298" s="130" t="str">
        <f t="shared" si="21"/>
        <v xml:space="preserve"> </v>
      </c>
      <c r="C298" s="130" t="str">
        <f>IF(OR(B298=0,B298=" ")," ",SUM($B$23:B298))</f>
        <v xml:space="preserve"> </v>
      </c>
      <c r="D298" s="62" t="str">
        <f>IF(D297=" "," ",IF(OR(F297='депозитный калькулятор'!$D$8,F297=" ")," ",D297+1))</f>
        <v xml:space="preserve"> </v>
      </c>
      <c r="E298" s="130" t="str">
        <f>IF(OR(F297='депозитный калькулятор'!$D$8,F297=" ")," ",IF(EOMONTH(F297,0)=F297,1,E297+1))</f>
        <v xml:space="preserve"> </v>
      </c>
      <c r="F298" s="64" t="str">
        <f>IF(F297=" "," ",IF(F297='депозитный калькулятор'!$D$8," ",F297+1))</f>
        <v xml:space="preserve"> </v>
      </c>
      <c r="G298" s="145" t="str">
        <f xml:space="preserve"> IF(F298&gt;'депозитный калькулятор'!$D$8," ",IF('депозитный калькулятор'!$G$13="есть",IF('депозитный калькулятор'!$G$14="есть",G297+IF(I297=" ",0,I297)-J298-K298+L298+M298-N298,G297+IF(I297=" ",0,I297)-J298-K298+M298-N298),IF('депозитный калькулятор'!$G$14="есть",G297-J298-K298+L298+M298-N298,G297-J298-K298+M298-N298)))</f>
        <v xml:space="preserve"> </v>
      </c>
      <c r="H298" s="133" t="str">
        <f>IF(F298&gt;'депозитный калькулятор'!$D$8," ",IF(AND(OR('депозитный калькулятор'!$G$7="30/365",'депозитный калькулятор'!$G$7="30/360"),AND(MONTH(F298)=2,EOMONTH(F298,0)=F298)),IF(DAY(F298)=28,3*G298*'депозитный калькулятор'!$G$8,2*G298*'депозитный калькулятор'!$G$8),IF(AND(OR('депозитный калькулятор'!$G$7="30/365",'депозитный калькулятор'!$G$7="30/360"),DAY(F298)=31)," ",IF(AND('депозитный калькулятор'!$G$7="факт/факт",MOD(YEAR(F298),4)=0),G298*'депозитный калькулятор'!$D$11/366,G298*'депозитный калькулятор'!$G$8))))</f>
        <v xml:space="preserve"> </v>
      </c>
      <c r="I298" s="134" t="str">
        <f ca="1">IF(F298=" "," ",IF('депозитный калькулятор'!$G$10="ежедневное",H298,IF(AND('депозитный калькулятор'!$G$10="еженедельное",WEEKDAY(F298,2)=7),SUM(OFFSET(H298,-6,0):H298),IF(AND('депозитный калькулятор'!$G$10="еженедельное",F298='депозитный калькулятор'!$D$8),SUM($H$23:H298)-SUM($I$23:I297),IF(AND('депозитный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недели",WEEKDAY(F298,2)=7),MIN(OFFSET(H298,-6,0):H298)*(COUNTIF(OFFSET(H298,-6,0):H298,"&gt;0")+SUMIF(OFFSET(A298,-WEEKDAY(F298,2),0):A298,"=2",OFFSET(A298,-WEEKDAY(F298,2),0):A298)),IF(AND('депозитный калькулятор'!$G$10="еженедельное, на минимальную сумму зафиксированную в течение недели",F298='депозитный калькулятор'!$D$8,WEEKDAY(F298,2)&lt;&gt;7),MIN(OFFSET(H298,-WEEKDAY(F298,2),0):H298)*(COUNTIF(OFFSET(H298,-WEEKDAY(F298,2)+1,0):H298,"&gt;0")+SUM(OFFSET(A298,-WEEKDAY(F298,2),0):A298)),IF(AND('депозитный калькулятор'!$G$10="ежемесячное (в конце месяца)",F298='депозитный калькулятор'!$D$8,EOMONTH(F298,0)&lt;&gt;F298),IF('депозитный калькулятор'!$F$1=1,$H$24,SUM($H$23:H298)-SUM($I$23:I297)),IF(AND('депозитный калькулятор'!$G$10="ежемесячное (в конце месяца)",EOMONTH(F298,0)=F298),SUM($H$23:H298)-SUM($I$23:I297),IF(AND('депозитный калькулятор'!$G$10="ежемесячное (по дням открытия вклада)",F298='депозитный калькулятор'!$D$8,DAY('депозитный калькулятор'!$D$7)&lt;&gt;DAY(F298)),IF('депозитный калькулятор'!$F$1=1,$H$24,SUM($H$23:H298)-SUM($I$23:I297)),IF(AND('депозитный калькулятор'!$G$10="ежемесячное (по дням открытия вклада)",DAY('депозитный калькулятор'!$D$7)=DAY(F298)),SUM($H$23:H298)-SUM($I$23:I297),IF(AND('депозитный калькулятор'!$G$10="ежемесячное, на минимальную сумму зафиксированную в течение месяца",F298='депозитный калькулятор'!$D$8,EOMONTH(F298,0)&lt;&gt;F298),IF('депозитный калькулятор'!$F$1=1,$H$24,IF(AND(OR('депозитный калькулятор'!$G$7="30/365",'депозитный калькулятор'!$G$7="30/360"),DAY(F298)=31),0,MIN(OFFSET(H298,-E298+1,0):H298)*(E298+SUMIF(OFFSET(A298,-E298+1,0):A298,"=2",OFFSET(A298,-E298+1,0):A298)))),IF(AND('депозитный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калькулятор'!$G$7="30/360"),DAY(EOMONTH(F298,0))=31),EOMONTH(F298,0)-1=F298,EOMONTH(F298,0)=F298)),IF(IF(AND(OR('депозитный калькулятор'!$G$7="30/365",'депозитный калькулятор'!$G$7="30/360"),DAY(EOMONTH($F$23,0))=31),F298=EOMONTH($F$23,0)-1,F298=EOMONTH($F$23,0)),MIN(OFFSET(H298,-(DAY(F298)-DAY($F$23)),0):H298)*E298,MIN(OFFSET(H298,-(DAY(F298)-1),0):H298)*IF(AND(OR('депозитный калькулятор'!$G$7="30/365",'депозитный калькулятор'!$G$7="30/360"),DAY(F298)&lt;30),30,DAY(F298))),IF(AND('депозитный калькулятор'!$G$10="ежемесячное, на средний остаток в течение месяца, при условии что остаток больше чем ограничение",F298='депозитный калькулятор'!$D$8,EOMONTH(F298,0)&lt;&gt;F298),IF('депозитный калькулятор'!$F$1=1,$H$24,SUM(OFFSET(Q298,-E298+1,0):Q298)),IF(AND('депозитный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калькулятор'!$G$7="30/360"),DAY(EOMONTH(F298,0))=31),EOMONTH(F298,0)-1=F298,EOMONTH(F298,0)=F298)),IF(IF(AND(OR('депозитный калькулятор'!$G$7="30/365",'депозитный калькулятор'!$G$7="30/360"),DAY(EOMONTH($F$24,0))=31),F298=EOMONTH($F$24,0)-1,F298=EOMONTH($F$24,0)),SUM(OFFSET(Q298,-E298+1,0):Q298),SUM(OFFSET(Q298,-E298+1,0):Q298)),IF('депозитный калькулятор'!$G$10="ежеквартальное",IF(F298&gt;'депозитный калькулятор'!$D$8," ",IF(AND(EOMONTH(F298,0)=F298,OR(MONTH(F298)=3,MONTH(F298)=6,MONTH(F298)=9,MONTH(F298)=12)),IF(EDATE(F298,-3)&lt;'депозитный калькулятор'!$D$7,SUM($H$23:H298),IF(MOD(YEAR(F298),4)=0,IF(AND(EOMONTH(F298,0)=F298,OR(MONTH(F298)=3,MONTH(F298)=6)),SUM(OFFSET(H298,-90,0):H298),IF(AND(EOMONTH(F298,0)=F298,OR(MONTH(F298)=9,MONTH(F298)=12)),SUM(OFFSET(H298,-91,0):H298))),IF(AND(EOMONTH(F298,0)=F298,MONTH(F298)=3),SUM(OFFSET(H298,-89,0):H298),IF(AND(EOMONTH(F298,0)=F298,MONTH(F298)=6),SUM(OFFSET(H298,-90,0):H298),IF(AND(EOMONTH(F298,0)=F298,OR(MONTH(F298)=9,MONTH(F298)=12)),SUM(OFFSET(H298,-91,0):H298)))))),IF(F298='депозитный калькулятор'!$D$8,SUM($H$23:H298)-SUM($I$23:I297),0))),IF('депозитный калькулятор'!$G$10="ежегодное",IF(F298&gt;'депозитный калькулятор'!$D$8," ",IF(F298='депозитный калькулятор'!$D$8,SUM($H$23:H298)-SUM($I$23:I297),IF(AND(EOMONTH(F298,0)=F298,MONTH(F298)=12),IF(MOD(YEAR(F297),4)=0,IF(F298-'депозитный калькулятор'!$D$7&lt;366,SUM($H$23:H298),SUM(OFFSET(H298,-365,0):H298)),IF(F298-'депозитный калькулятор'!$D$7&lt;365,SUM($H$23:H298),SUM(OFFSET(H298,-364,0):H298))),0))),IF(AND('депозитный калькулятор'!$G$10="в конце срока",'депозитный калькулятор'!$D$8=F298),SUM($H$23:H298),0))))))))))))))))))</f>
        <v xml:space="preserve"> </v>
      </c>
      <c r="J298" s="59" t="str">
        <f>IF(F298&gt;'депозитный калькулятор'!$D$8," ",IF('депозитный калькулятор'!$G$16="нет",0,IF(AND('депозитный калькулятор'!$G$17="разовая (в конце срока)",F298='депозитный калькулятор'!$D$8),'депозитный калькулятор'!$G$18,IF(AND('депозитный калькулятор'!$G$17="ежемесячная",EOMONTH(F297,0)=F297),'депозитный калькулятор'!$G$18,IF(AND('депозитный калькулятор'!$G$17="ежегодная",DAY(F297)=31,MONTH(F297)=12),'депозитный калькулятор'!$G$18,IF(AND('депозитный калькулятор'!$G$17="ежемесячная в зависимости от остатка",EOMONTH(F297,0)=F297,P297&gt;0),'депозитный калькулятор'!$G$18,IF(AND('депозитный калькулятор'!$G$17="ежегодная в зависимости от остатка",DAY(F297)=31,MONTH(F297)=12,P297&gt;0),'депозитный калькулятор'!$G$18,0)))))))</f>
        <v xml:space="preserve"> </v>
      </c>
      <c r="K298" s="135" t="str">
        <f>IF($F298=" "," ",IFERROR(VLOOKUP($F298,'депозитный калькулятор'!$B$26:$F$70,2,0),0))</f>
        <v xml:space="preserve"> </v>
      </c>
      <c r="L298" s="135" t="str">
        <f>IF($F298=" "," ",IFERROR(VLOOKUP($F298,'депозитный калькулятор'!$B$26:$F$70,3,0),0))</f>
        <v xml:space="preserve"> </v>
      </c>
      <c r="M298" s="135" t="str">
        <f>IF($F298=" "," ",IFERROR(VLOOKUP($F298,'депозитный калькулятор'!$B$26:$F$70,4,0),0))</f>
        <v xml:space="preserve"> </v>
      </c>
      <c r="N298" s="135" t="str">
        <f>IF($F298=" "," ",IFERROR(VLOOKUP($F298,'депозитный калькулятор'!$B$26:$F$70,5,0),0))</f>
        <v xml:space="preserve"> </v>
      </c>
      <c r="O298" s="146" t="str">
        <f>IF(F298&gt;'депозитный калькулятор'!$D$8," ",IF(F298='депозитный калькулятор'!$D$8,IF(AND($F$24='депозитный калькулятор'!$D$8,'депозитный калькулятор'!$G$13="нет"),-G298-IF(I298=" ",0,I298)-IF(AND(OR('депозитный калькулятор'!$G$7="30/365",'депозитный калькулятор'!$G$7="30/360"),'депозитный калькулятор'!$G$10="в начале срока"),I297,0)-L298+M298-N298,-G298-IF(I298=" ",0,I298)-L298+M298-N298),IF('депозитный калькулятор'!$G$13="есть",M298-N298+IF('депозитный калькулятор'!$G$14="есть",0,-L298),-IF(I298=" ",0,I298)-IF(AND(OR('депозитный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срока"),I297,0)+M298-N298+IF('депозитный калькулятор'!$G$14="есть",0,-L298))))</f>
        <v xml:space="preserve"> </v>
      </c>
      <c r="P298" s="147" t="str">
        <f>IF(F298&gt;'депозитный калькулятор'!$D$8," ",IF(EOMONTH(F297,0)=F297,0,IF(G298&gt;='депозитный калькулятор'!$G$19,P297,P297+1)))</f>
        <v xml:space="preserve"> </v>
      </c>
      <c r="Q298" s="138" t="str">
        <f>IF(F298=" "," ",IF(AND(OR('депозитный калькулятор'!$G$7="30/365",'депозитный калькулятор'!$G$7="30/360"),AND(MONTH(F298)=2,EOMONTH(F298,0)=F298)),IF(DAY(F298)=28,3,2),1)*IF(G298&gt;='депозитный калькулятор'!$G$11,IF(AND('депозитный калькулятор'!$G$7="факт/факт",MOD(YEAR(F298),4)=0),G298*'депозитный калькулятор'!$D$11/366,G298*'депозитный калькулятор'!$G$8),0))</f>
        <v xml:space="preserve"> </v>
      </c>
      <c r="R298" s="148"/>
      <c r="S298" s="62" t="str">
        <f t="shared" ca="1" si="22"/>
        <v xml:space="preserve"> </v>
      </c>
      <c r="T298" s="149" t="str">
        <f ca="1">IF(S298=" "," ",IF('депозитный калькулятор'!$G$7="30/360",DAYS360(U297,IF(DAY(U298)=31,U298-1,U298))+IF(AND(MONTH(U298)=2,U298=EOMONTH(U298,0)),30-DAY(EOMONTH(U298,0)))+T297,VLOOKUP(S298,$C$22:$F$1023,2,0)))</f>
        <v xml:space="preserve"> </v>
      </c>
      <c r="U298" s="64" t="str">
        <f t="shared" ca="1" si="20"/>
        <v xml:space="preserve"> </v>
      </c>
      <c r="V298" s="150" t="str">
        <f t="shared" ca="1" si="23"/>
        <v xml:space="preserve"> </v>
      </c>
      <c r="W298" s="62" t="str">
        <f t="shared" ca="1" si="24"/>
        <v xml:space="preserve"> </v>
      </c>
      <c r="X298" s="141" t="str">
        <f ca="1">IF(S298=" "," ",IFERROR(VLOOKUP(U298,$F$23:$N$1023,7)+VLOOKUP(U298,$F$23:$N$1023,9)+IF(AND('депозитный калькулятор'!$G$13="нет",U298&lt;&gt;'депозитный калькулятор'!$D$8),VLOOKUP(U298,$F$23:$N$1023,4),0),0)+IF(U298='депозитный калькулятор'!$D$8,VLOOKUP(U298,$F$23:$N$1023,2)+VLOOKUP(U298,$F$23:$N$1023,4),0))</f>
        <v xml:space="preserve"> </v>
      </c>
      <c r="Y298" s="142" t="str">
        <f ca="1">IF(S298=" "," ",W298/(1+'депозитный калькулятор'!$K$8)^(T298/IF('депозитный калькулятор'!$G$7="30/360",360,365)))</f>
        <v xml:space="preserve"> </v>
      </c>
      <c r="Z298" s="142" t="str">
        <f ca="1">IF(S298=" "," ",X298/(1+'депозитный калькулятор'!$K$8)^(T298/IF('депозитный калькулятор'!$G$7="30/360",360,365)))</f>
        <v xml:space="preserve"> </v>
      </c>
      <c r="AA298" s="151"/>
      <c r="AB298" s="151"/>
      <c r="AC298" s="155"/>
      <c r="AD298" s="155"/>
    </row>
    <row r="299" spans="1:30" s="2" customFormat="1" ht="15.5" x14ac:dyDescent="0.35">
      <c r="A299" s="41" t="str">
        <f>IF(F299=" "," ",IF(OR('депозитный калькулятор'!$G$7="30/365",'депозитный калькулятор'!$G$7="30/360"),IF(AND(MONTH(F299)=2,DAY(F299)=DAY(EOMONTH(F299,0))),30-DAY(EOMONTH(F299,0)),IF(DAY(F299)=31,1," "))," "))</f>
        <v xml:space="preserve"> </v>
      </c>
      <c r="B299" s="130" t="str">
        <f t="shared" si="21"/>
        <v xml:space="preserve"> </v>
      </c>
      <c r="C299" s="130" t="str">
        <f>IF(OR(B299=0,B299=" ")," ",SUM($B$23:B299))</f>
        <v xml:space="preserve"> </v>
      </c>
      <c r="D299" s="62" t="str">
        <f>IF(D298=" "," ",IF(OR(F298='депозитный калькулятор'!$D$8,F298=" ")," ",D298+1))</f>
        <v xml:space="preserve"> </v>
      </c>
      <c r="E299" s="130" t="str">
        <f>IF(OR(F298='депозитный калькулятор'!$D$8,F298=" ")," ",IF(EOMONTH(F298,0)=F298,1,E298+1))</f>
        <v xml:space="preserve"> </v>
      </c>
      <c r="F299" s="64" t="str">
        <f>IF(F298=" "," ",IF(F298='депозитный калькулятор'!$D$8," ",F298+1))</f>
        <v xml:space="preserve"> </v>
      </c>
      <c r="G299" s="145" t="str">
        <f xml:space="preserve"> IF(F299&gt;'депозитный калькулятор'!$D$8," ",IF('депозитный калькулятор'!$G$13="есть",IF('депозитный калькулятор'!$G$14="есть",G298+IF(I298=" ",0,I298)-J299-K299+L299+M299-N299,G298+IF(I298=" ",0,I298)-J299-K299+M299-N299),IF('депозитный калькулятор'!$G$14="есть",G298-J299-K299+L299+M299-N299,G298-J299-K299+M299-N299)))</f>
        <v xml:space="preserve"> </v>
      </c>
      <c r="H299" s="133" t="str">
        <f>IF(F299&gt;'депозитный калькулятор'!$D$8," ",IF(AND(OR('депозитный калькулятор'!$G$7="30/365",'депозитный калькулятор'!$G$7="30/360"),AND(MONTH(F299)=2,EOMONTH(F299,0)=F299)),IF(DAY(F299)=28,3*G299*'депозитный калькулятор'!$G$8,2*G299*'депозитный калькулятор'!$G$8),IF(AND(OR('депозитный калькулятор'!$G$7="30/365",'депозитный калькулятор'!$G$7="30/360"),DAY(F299)=31)," ",IF(AND('депозитный калькулятор'!$G$7="факт/факт",MOD(YEAR(F299),4)=0),G299*'депозитный калькулятор'!$D$11/366,G299*'депозитный калькулятор'!$G$8))))</f>
        <v xml:space="preserve"> </v>
      </c>
      <c r="I299" s="134" t="str">
        <f ca="1">IF(F299=" "," ",IF('депозитный калькулятор'!$G$10="ежедневное",H299,IF(AND('депозитный калькулятор'!$G$10="еженедельное",WEEKDAY(F299,2)=7),SUM(OFFSET(H299,-6,0):H299),IF(AND('депозитный калькулятор'!$G$10="еженедельное",F299='депозитный калькулятор'!$D$8),SUM($H$23:H299)-SUM($I$23:I298),IF(AND('депозитный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недели",WEEKDAY(F299,2)=7),MIN(OFFSET(H299,-6,0):H299)*(COUNTIF(OFFSET(H299,-6,0):H299,"&gt;0")+SUMIF(OFFSET(A299,-WEEKDAY(F299,2),0):A299,"=2",OFFSET(A299,-WEEKDAY(F299,2),0):A299)),IF(AND('депозитный калькулятор'!$G$10="еженедельное, на минимальную сумму зафиксированную в течение недели",F299='депозитный калькулятор'!$D$8,WEEKDAY(F299,2)&lt;&gt;7),MIN(OFFSET(H299,-WEEKDAY(F299,2),0):H299)*(COUNTIF(OFFSET(H299,-WEEKDAY(F299,2)+1,0):H299,"&gt;0")+SUM(OFFSET(A299,-WEEKDAY(F299,2),0):A299)),IF(AND('депозитный калькулятор'!$G$10="ежемесячное (в конце месяца)",F299='депозитный калькулятор'!$D$8,EOMONTH(F299,0)&lt;&gt;F299),IF('депозитный калькулятор'!$F$1=1,$H$24,SUM($H$23:H299)-SUM($I$23:I298)),IF(AND('депозитный калькулятор'!$G$10="ежемесячное (в конце месяца)",EOMONTH(F299,0)=F299),SUM($H$23:H299)-SUM($I$23:I298),IF(AND('депозитный калькулятор'!$G$10="ежемесячное (по дням открытия вклада)",F299='депозитный калькулятор'!$D$8,DAY('депозитный калькулятор'!$D$7)&lt;&gt;DAY(F299)),IF('депозитный калькулятор'!$F$1=1,$H$24,SUM($H$23:H299)-SUM($I$23:I298)),IF(AND('депозитный калькулятор'!$G$10="ежемесячное (по дням открытия вклада)",DAY('депозитный калькулятор'!$D$7)=DAY(F299)),SUM($H$23:H299)-SUM($I$23:I298),IF(AND('депозитный калькулятор'!$G$10="ежемесячное, на минимальную сумму зафиксированную в течение месяца",F299='депозитный калькулятор'!$D$8,EOMONTH(F299,0)&lt;&gt;F299),IF('депозитный калькулятор'!$F$1=1,$H$24,IF(AND(OR('депозитный калькулятор'!$G$7="30/365",'депозитный калькулятор'!$G$7="30/360"),DAY(F299)=31),0,MIN(OFFSET(H299,-E299+1,0):H299)*(E299+SUMIF(OFFSET(A299,-E299+1,0):A299,"=2",OFFSET(A299,-E299+1,0):A299)))),IF(AND('депозитный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калькулятор'!$G$7="30/360"),DAY(EOMONTH(F299,0))=31),EOMONTH(F299,0)-1=F299,EOMONTH(F299,0)=F299)),IF(IF(AND(OR('депозитный калькулятор'!$G$7="30/365",'депозитный калькулятор'!$G$7="30/360"),DAY(EOMONTH($F$23,0))=31),F299=EOMONTH($F$23,0)-1,F299=EOMONTH($F$23,0)),MIN(OFFSET(H299,-(DAY(F299)-DAY($F$23)),0):H299)*E299,MIN(OFFSET(H299,-(DAY(F299)-1),0):H299)*IF(AND(OR('депозитный калькулятор'!$G$7="30/365",'депозитный калькулятор'!$G$7="30/360"),DAY(F299)&lt;30),30,DAY(F299))),IF(AND('депозитный калькулятор'!$G$10="ежемесячное, на средний остаток в течение месяца, при условии что остаток больше чем ограничение",F299='депозитный калькулятор'!$D$8,EOMONTH(F299,0)&lt;&gt;F299),IF('депозитный калькулятор'!$F$1=1,$H$24,SUM(OFFSET(Q299,-E299+1,0):Q299)),IF(AND('депозитный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калькулятор'!$G$7="30/360"),DAY(EOMONTH(F299,0))=31),EOMONTH(F299,0)-1=F299,EOMONTH(F299,0)=F299)),IF(IF(AND(OR('депозитный калькулятор'!$G$7="30/365",'депозитный калькулятор'!$G$7="30/360"),DAY(EOMONTH($F$24,0))=31),F299=EOMONTH($F$24,0)-1,F299=EOMONTH($F$24,0)),SUM(OFFSET(Q299,-E299+1,0):Q299),SUM(OFFSET(Q299,-E299+1,0):Q299)),IF('депозитный калькулятор'!$G$10="ежеквартальное",IF(F299&gt;'депозитный калькулятор'!$D$8," ",IF(AND(EOMONTH(F299,0)=F299,OR(MONTH(F299)=3,MONTH(F299)=6,MONTH(F299)=9,MONTH(F299)=12)),IF(EDATE(F299,-3)&lt;'депозитный калькулятор'!$D$7,SUM($H$23:H299),IF(MOD(YEAR(F299),4)=0,IF(AND(EOMONTH(F299,0)=F299,OR(MONTH(F299)=3,MONTH(F299)=6)),SUM(OFFSET(H299,-90,0):H299),IF(AND(EOMONTH(F299,0)=F299,OR(MONTH(F299)=9,MONTH(F299)=12)),SUM(OFFSET(H299,-91,0):H299))),IF(AND(EOMONTH(F299,0)=F299,MONTH(F299)=3),SUM(OFFSET(H299,-89,0):H299),IF(AND(EOMONTH(F299,0)=F299,MONTH(F299)=6),SUM(OFFSET(H299,-90,0):H299),IF(AND(EOMONTH(F299,0)=F299,OR(MONTH(F299)=9,MONTH(F299)=12)),SUM(OFFSET(H299,-91,0):H299)))))),IF(F299='депозитный калькулятор'!$D$8,SUM($H$23:H299)-SUM($I$23:I298),0))),IF('депозитный калькулятор'!$G$10="ежегодное",IF(F299&gt;'депозитный калькулятор'!$D$8," ",IF(F299='депозитный калькулятор'!$D$8,SUM($H$23:H299)-SUM($I$23:I298),IF(AND(EOMONTH(F299,0)=F299,MONTH(F299)=12),IF(MOD(YEAR(F298),4)=0,IF(F299-'депозитный калькулятор'!$D$7&lt;366,SUM($H$23:H299),SUM(OFFSET(H299,-365,0):H299)),IF(F299-'депозитный калькулятор'!$D$7&lt;365,SUM($H$23:H299),SUM(OFFSET(H299,-364,0):H299))),0))),IF(AND('депозитный калькулятор'!$G$10="в конце срока",'депозитный калькулятор'!$D$8=F299),SUM($H$23:H299),0))))))))))))))))))</f>
        <v xml:space="preserve"> </v>
      </c>
      <c r="J299" s="59" t="str">
        <f>IF(F299&gt;'депозитный калькулятор'!$D$8," ",IF('депозитный калькулятор'!$G$16="нет",0,IF(AND('депозитный калькулятор'!$G$17="разовая (в конце срока)",F299='депозитный калькулятор'!$D$8),'депозитный калькулятор'!$G$18,IF(AND('депозитный калькулятор'!$G$17="ежемесячная",EOMONTH(F298,0)=F298),'депозитный калькулятор'!$G$18,IF(AND('депозитный калькулятор'!$G$17="ежегодная",DAY(F298)=31,MONTH(F298)=12),'депозитный калькулятор'!$G$18,IF(AND('депозитный калькулятор'!$G$17="ежемесячная в зависимости от остатка",EOMONTH(F298,0)=F298,P298&gt;0),'депозитный калькулятор'!$G$18,IF(AND('депозитный калькулятор'!$G$17="ежегодная в зависимости от остатка",DAY(F298)=31,MONTH(F298)=12,P298&gt;0),'депозитный калькулятор'!$G$18,0)))))))</f>
        <v xml:space="preserve"> </v>
      </c>
      <c r="K299" s="135" t="str">
        <f>IF($F299=" "," ",IFERROR(VLOOKUP($F299,'депозитный калькулятор'!$B$26:$F$70,2,0),0))</f>
        <v xml:space="preserve"> </v>
      </c>
      <c r="L299" s="135" t="str">
        <f>IF($F299=" "," ",IFERROR(VLOOKUP($F299,'депозитный калькулятор'!$B$26:$F$70,3,0),0))</f>
        <v xml:space="preserve"> </v>
      </c>
      <c r="M299" s="135" t="str">
        <f>IF($F299=" "," ",IFERROR(VLOOKUP($F299,'депозитный калькулятор'!$B$26:$F$70,4,0),0))</f>
        <v xml:space="preserve"> </v>
      </c>
      <c r="N299" s="135" t="str">
        <f>IF($F299=" "," ",IFERROR(VLOOKUP($F299,'депозитный калькулятор'!$B$26:$F$70,5,0),0))</f>
        <v xml:space="preserve"> </v>
      </c>
      <c r="O299" s="146" t="str">
        <f>IF(F299&gt;'депозитный калькулятор'!$D$8," ",IF(F299='депозитный калькулятор'!$D$8,IF(AND($F$24='депозитный калькулятор'!$D$8,'депозитный калькулятор'!$G$13="нет"),-G299-IF(I299=" ",0,I299)-IF(AND(OR('депозитный калькулятор'!$G$7="30/365",'депозитный калькулятор'!$G$7="30/360"),'депозитный калькулятор'!$G$10="в начале срока"),I298,0)-L299+M299-N299,-G299-IF(I299=" ",0,I299)-L299+M299-N299),IF('депозитный калькулятор'!$G$13="есть",M299-N299+IF('депозитный калькулятор'!$G$14="есть",0,-L299),-IF(I299=" ",0,I299)-IF(AND(OR('депозитный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срока"),I298,0)+M299-N299+IF('депозитный калькулятор'!$G$14="есть",0,-L299))))</f>
        <v xml:space="preserve"> </v>
      </c>
      <c r="P299" s="147" t="str">
        <f>IF(F299&gt;'депозитный калькулятор'!$D$8," ",IF(EOMONTH(F298,0)=F298,0,IF(G299&gt;='депозитный калькулятор'!$G$19,P298,P298+1)))</f>
        <v xml:space="preserve"> </v>
      </c>
      <c r="Q299" s="138" t="str">
        <f>IF(F299=" "," ",IF(AND(OR('депозитный калькулятор'!$G$7="30/365",'депозитный калькулятор'!$G$7="30/360"),AND(MONTH(F299)=2,EOMONTH(F299,0)=F299)),IF(DAY(F299)=28,3,2),1)*IF(G299&gt;='депозитный калькулятор'!$G$11,IF(AND('депозитный калькулятор'!$G$7="факт/факт",MOD(YEAR(F299),4)=0),G299*'депозитный калькулятор'!$D$11/366,G299*'депозитный калькулятор'!$G$8),0))</f>
        <v xml:space="preserve"> </v>
      </c>
      <c r="R299" s="148"/>
      <c r="S299" s="62" t="str">
        <f t="shared" ca="1" si="22"/>
        <v xml:space="preserve"> </v>
      </c>
      <c r="T299" s="149" t="str">
        <f ca="1">IF(S299=" "," ",IF('депозитный калькулятор'!$G$7="30/360",DAYS360(U298,IF(DAY(U299)=31,U299-1,U299))+IF(AND(MONTH(U299)=2,U299=EOMONTH(U299,0)),30-DAY(EOMONTH(U299,0)))+T298,VLOOKUP(S299,$C$22:$F$1023,2,0)))</f>
        <v xml:space="preserve"> </v>
      </c>
      <c r="U299" s="64" t="str">
        <f t="shared" ca="1" si="20"/>
        <v xml:space="preserve"> </v>
      </c>
      <c r="V299" s="150" t="str">
        <f t="shared" ca="1" si="23"/>
        <v xml:space="preserve"> </v>
      </c>
      <c r="W299" s="62" t="str">
        <f t="shared" ca="1" si="24"/>
        <v xml:space="preserve"> </v>
      </c>
      <c r="X299" s="141" t="str">
        <f ca="1">IF(S299=" "," ",IFERROR(VLOOKUP(U299,$F$23:$N$1023,7)+VLOOKUP(U299,$F$23:$N$1023,9)+IF(AND('депозитный калькулятор'!$G$13="нет",U299&lt;&gt;'депозитный калькулятор'!$D$8),VLOOKUP(U299,$F$23:$N$1023,4),0),0)+IF(U299='депозитный калькулятор'!$D$8,VLOOKUP(U299,$F$23:$N$1023,2)+VLOOKUP(U299,$F$23:$N$1023,4),0))</f>
        <v xml:space="preserve"> </v>
      </c>
      <c r="Y299" s="142" t="str">
        <f ca="1">IF(S299=" "," ",W299/(1+'депозитный калькулятор'!$K$8)^(T299/IF('депозитный калькулятор'!$G$7="30/360",360,365)))</f>
        <v xml:space="preserve"> </v>
      </c>
      <c r="Z299" s="142" t="str">
        <f ca="1">IF(S299=" "," ",X299/(1+'депозитный калькулятор'!$K$8)^(T299/IF('депозитный калькулятор'!$G$7="30/360",360,365)))</f>
        <v xml:space="preserve"> </v>
      </c>
      <c r="AA299" s="151"/>
      <c r="AB299" s="151"/>
      <c r="AC299" s="155"/>
      <c r="AD299" s="155"/>
    </row>
    <row r="300" spans="1:30" s="2" customFormat="1" ht="15.5" x14ac:dyDescent="0.35">
      <c r="A300" s="41" t="str">
        <f>IF(F300=" "," ",IF(OR('депозитный калькулятор'!$G$7="30/365",'депозитный калькулятор'!$G$7="30/360"),IF(AND(MONTH(F300)=2,DAY(F300)=DAY(EOMONTH(F300,0))),30-DAY(EOMONTH(F300,0)),IF(DAY(F300)=31,1," "))," "))</f>
        <v xml:space="preserve"> </v>
      </c>
      <c r="B300" s="130" t="str">
        <f t="shared" si="21"/>
        <v xml:space="preserve"> </v>
      </c>
      <c r="C300" s="130" t="str">
        <f>IF(OR(B300=0,B300=" ")," ",SUM($B$23:B300))</f>
        <v xml:space="preserve"> </v>
      </c>
      <c r="D300" s="62" t="str">
        <f>IF(D299=" "," ",IF(OR(F299='депозитный калькулятор'!$D$8,F299=" ")," ",D299+1))</f>
        <v xml:space="preserve"> </v>
      </c>
      <c r="E300" s="130" t="str">
        <f>IF(OR(F299='депозитный калькулятор'!$D$8,F299=" ")," ",IF(EOMONTH(F299,0)=F299,1,E299+1))</f>
        <v xml:space="preserve"> </v>
      </c>
      <c r="F300" s="64" t="str">
        <f>IF(F299=" "," ",IF(F299='депозитный калькулятор'!$D$8," ",F299+1))</f>
        <v xml:space="preserve"> </v>
      </c>
      <c r="G300" s="145" t="str">
        <f xml:space="preserve"> IF(F300&gt;'депозитный калькулятор'!$D$8," ",IF('депозитный калькулятор'!$G$13="есть",IF('депозитный калькулятор'!$G$14="есть",G299+IF(I299=" ",0,I299)-J300-K300+L300+M300-N300,G299+IF(I299=" ",0,I299)-J300-K300+M300-N300),IF('депозитный калькулятор'!$G$14="есть",G299-J300-K300+L300+M300-N300,G299-J300-K300+M300-N300)))</f>
        <v xml:space="preserve"> </v>
      </c>
      <c r="H300" s="133" t="str">
        <f>IF(F300&gt;'депозитный калькулятор'!$D$8," ",IF(AND(OR('депозитный калькулятор'!$G$7="30/365",'депозитный калькулятор'!$G$7="30/360"),AND(MONTH(F300)=2,EOMONTH(F300,0)=F300)),IF(DAY(F300)=28,3*G300*'депозитный калькулятор'!$G$8,2*G300*'депозитный калькулятор'!$G$8),IF(AND(OR('депозитный калькулятор'!$G$7="30/365",'депозитный калькулятор'!$G$7="30/360"),DAY(F300)=31)," ",IF(AND('депозитный калькулятор'!$G$7="факт/факт",MOD(YEAR(F300),4)=0),G300*'депозитный калькулятор'!$D$11/366,G300*'депозитный калькулятор'!$G$8))))</f>
        <v xml:space="preserve"> </v>
      </c>
      <c r="I300" s="134" t="str">
        <f ca="1">IF(F300=" "," ",IF('депозитный калькулятор'!$G$10="ежедневное",H300,IF(AND('депозитный калькулятор'!$G$10="еженедельное",WEEKDAY(F300,2)=7),SUM(OFFSET(H300,-6,0):H300),IF(AND('депозитный калькулятор'!$G$10="еженедельное",F300='депозитный калькулятор'!$D$8),SUM($H$23:H300)-SUM($I$23:I299),IF(AND('депозитный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недели",WEEKDAY(F300,2)=7),MIN(OFFSET(H300,-6,0):H300)*(COUNTIF(OFFSET(H300,-6,0):H300,"&gt;0")+SUMIF(OFFSET(A300,-WEEKDAY(F300,2),0):A300,"=2",OFFSET(A300,-WEEKDAY(F300,2),0):A300)),IF(AND('депозитный калькулятор'!$G$10="еженедельное, на минимальную сумму зафиксированную в течение недели",F300='депозитный калькулятор'!$D$8,WEEKDAY(F300,2)&lt;&gt;7),MIN(OFFSET(H300,-WEEKDAY(F300,2),0):H300)*(COUNTIF(OFFSET(H300,-WEEKDAY(F300,2)+1,0):H300,"&gt;0")+SUM(OFFSET(A300,-WEEKDAY(F300,2),0):A300)),IF(AND('депозитный калькулятор'!$G$10="ежемесячное (в конце месяца)",F300='депозитный калькулятор'!$D$8,EOMONTH(F300,0)&lt;&gt;F300),IF('депозитный калькулятор'!$F$1=1,$H$24,SUM($H$23:H300)-SUM($I$23:I299)),IF(AND('депозитный калькулятор'!$G$10="ежемесячное (в конце месяца)",EOMONTH(F300,0)=F300),SUM($H$23:H300)-SUM($I$23:I299),IF(AND('депозитный калькулятор'!$G$10="ежемесячное (по дням открытия вклада)",F300='депозитный калькулятор'!$D$8,DAY('депозитный калькулятор'!$D$7)&lt;&gt;DAY(F300)),IF('депозитный калькулятор'!$F$1=1,$H$24,SUM($H$23:H300)-SUM($I$23:I299)),IF(AND('депозитный калькулятор'!$G$10="ежемесячное (по дням открытия вклада)",DAY('депозитный калькулятор'!$D$7)=DAY(F300)),SUM($H$23:H300)-SUM($I$23:I299),IF(AND('депозитный калькулятор'!$G$10="ежемесячное, на минимальную сумму зафиксированную в течение месяца",F300='депозитный калькулятор'!$D$8,EOMONTH(F300,0)&lt;&gt;F300),IF('депозитный калькулятор'!$F$1=1,$H$24,IF(AND(OR('депозитный калькулятор'!$G$7="30/365",'депозитный калькулятор'!$G$7="30/360"),DAY(F300)=31),0,MIN(OFFSET(H300,-E300+1,0):H300)*(E300+SUMIF(OFFSET(A300,-E300+1,0):A300,"=2",OFFSET(A300,-E300+1,0):A300)))),IF(AND('депозитный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калькулятор'!$G$7="30/360"),DAY(EOMONTH(F300,0))=31),EOMONTH(F300,0)-1=F300,EOMONTH(F300,0)=F300)),IF(IF(AND(OR('депозитный калькулятор'!$G$7="30/365",'депозитный калькулятор'!$G$7="30/360"),DAY(EOMONTH($F$23,0))=31),F300=EOMONTH($F$23,0)-1,F300=EOMONTH($F$23,0)),MIN(OFFSET(H300,-(DAY(F300)-DAY($F$23)),0):H300)*E300,MIN(OFFSET(H300,-(DAY(F300)-1),0):H300)*IF(AND(OR('депозитный калькулятор'!$G$7="30/365",'депозитный калькулятор'!$G$7="30/360"),DAY(F300)&lt;30),30,DAY(F300))),IF(AND('депозитный калькулятор'!$G$10="ежемесячное, на средний остаток в течение месяца, при условии что остаток больше чем ограничение",F300='депозитный калькулятор'!$D$8,EOMONTH(F300,0)&lt;&gt;F300),IF('депозитный калькулятор'!$F$1=1,$H$24,SUM(OFFSET(Q300,-E300+1,0):Q300)),IF(AND('депозитный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калькулятор'!$G$7="30/360"),DAY(EOMONTH(F300,0))=31),EOMONTH(F300,0)-1=F300,EOMONTH(F300,0)=F300)),IF(IF(AND(OR('депозитный калькулятор'!$G$7="30/365",'депозитный калькулятор'!$G$7="30/360"),DAY(EOMONTH($F$24,0))=31),F300=EOMONTH($F$24,0)-1,F300=EOMONTH($F$24,0)),SUM(OFFSET(Q300,-E300+1,0):Q300),SUM(OFFSET(Q300,-E300+1,0):Q300)),IF('депозитный калькулятор'!$G$10="ежеквартальное",IF(F300&gt;'депозитный калькулятор'!$D$8," ",IF(AND(EOMONTH(F300,0)=F300,OR(MONTH(F300)=3,MONTH(F300)=6,MONTH(F300)=9,MONTH(F300)=12)),IF(EDATE(F300,-3)&lt;'депозитный калькулятор'!$D$7,SUM($H$23:H300),IF(MOD(YEAR(F300),4)=0,IF(AND(EOMONTH(F300,0)=F300,OR(MONTH(F300)=3,MONTH(F300)=6)),SUM(OFFSET(H300,-90,0):H300),IF(AND(EOMONTH(F300,0)=F300,OR(MONTH(F300)=9,MONTH(F300)=12)),SUM(OFFSET(H300,-91,0):H300))),IF(AND(EOMONTH(F300,0)=F300,MONTH(F300)=3),SUM(OFFSET(H300,-89,0):H300),IF(AND(EOMONTH(F300,0)=F300,MONTH(F300)=6),SUM(OFFSET(H300,-90,0):H300),IF(AND(EOMONTH(F300,0)=F300,OR(MONTH(F300)=9,MONTH(F300)=12)),SUM(OFFSET(H300,-91,0):H300)))))),IF(F300='депозитный калькулятор'!$D$8,SUM($H$23:H300)-SUM($I$23:I299),0))),IF('депозитный калькулятор'!$G$10="ежегодное",IF(F300&gt;'депозитный калькулятор'!$D$8," ",IF(F300='депозитный калькулятор'!$D$8,SUM($H$23:H300)-SUM($I$23:I299),IF(AND(EOMONTH(F300,0)=F300,MONTH(F300)=12),IF(MOD(YEAR(F299),4)=0,IF(F300-'депозитный калькулятор'!$D$7&lt;366,SUM($H$23:H300),SUM(OFFSET(H300,-365,0):H300)),IF(F300-'депозитный калькулятор'!$D$7&lt;365,SUM($H$23:H300),SUM(OFFSET(H300,-364,0):H300))),0))),IF(AND('депозитный калькулятор'!$G$10="в конце срока",'депозитный калькулятор'!$D$8=F300),SUM($H$23:H300),0))))))))))))))))))</f>
        <v xml:space="preserve"> </v>
      </c>
      <c r="J300" s="59" t="str">
        <f>IF(F300&gt;'депозитный калькулятор'!$D$8," ",IF('депозитный калькулятор'!$G$16="нет",0,IF(AND('депозитный калькулятор'!$G$17="разовая (в конце срока)",F300='депозитный калькулятор'!$D$8),'депозитный калькулятор'!$G$18,IF(AND('депозитный калькулятор'!$G$17="ежемесячная",EOMONTH(F299,0)=F299),'депозитный калькулятор'!$G$18,IF(AND('депозитный калькулятор'!$G$17="ежегодная",DAY(F299)=31,MONTH(F299)=12),'депозитный калькулятор'!$G$18,IF(AND('депозитный калькулятор'!$G$17="ежемесячная в зависимости от остатка",EOMONTH(F299,0)=F299,P299&gt;0),'депозитный калькулятор'!$G$18,IF(AND('депозитный калькулятор'!$G$17="ежегодная в зависимости от остатка",DAY(F299)=31,MONTH(F299)=12,P299&gt;0),'депозитный калькулятор'!$G$18,0)))))))</f>
        <v xml:space="preserve"> </v>
      </c>
      <c r="K300" s="135" t="str">
        <f>IF($F300=" "," ",IFERROR(VLOOKUP($F300,'депозитный калькулятор'!$B$26:$F$70,2,0),0))</f>
        <v xml:space="preserve"> </v>
      </c>
      <c r="L300" s="135" t="str">
        <f>IF($F300=" "," ",IFERROR(VLOOKUP($F300,'депозитный калькулятор'!$B$26:$F$70,3,0),0))</f>
        <v xml:space="preserve"> </v>
      </c>
      <c r="M300" s="135" t="str">
        <f>IF($F300=" "," ",IFERROR(VLOOKUP($F300,'депозитный калькулятор'!$B$26:$F$70,4,0),0))</f>
        <v xml:space="preserve"> </v>
      </c>
      <c r="N300" s="135" t="str">
        <f>IF($F300=" "," ",IFERROR(VLOOKUP($F300,'депозитный калькулятор'!$B$26:$F$70,5,0),0))</f>
        <v xml:space="preserve"> </v>
      </c>
      <c r="O300" s="146" t="str">
        <f>IF(F300&gt;'депозитный калькулятор'!$D$8," ",IF(F300='депозитный калькулятор'!$D$8,IF(AND($F$24='депозитный калькулятор'!$D$8,'депозитный калькулятор'!$G$13="нет"),-G300-IF(I300=" ",0,I300)-IF(AND(OR('депозитный калькулятор'!$G$7="30/365",'депозитный калькулятор'!$G$7="30/360"),'депозитный калькулятор'!$G$10="в начале срока"),I299,0)-L300+M300-N300,-G300-IF(I300=" ",0,I300)-L300+M300-N300),IF('депозитный калькулятор'!$G$13="есть",M300-N300+IF('депозитный калькулятор'!$G$14="есть",0,-L300),-IF(I300=" ",0,I300)-IF(AND(OR('депозитный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срока"),I299,0)+M300-N300+IF('депозитный калькулятор'!$G$14="есть",0,-L300))))</f>
        <v xml:space="preserve"> </v>
      </c>
      <c r="P300" s="147" t="str">
        <f>IF(F300&gt;'депозитный калькулятор'!$D$8," ",IF(EOMONTH(F299,0)=F299,0,IF(G300&gt;='депозитный калькулятор'!$G$19,P299,P299+1)))</f>
        <v xml:space="preserve"> </v>
      </c>
      <c r="Q300" s="138" t="str">
        <f>IF(F300=" "," ",IF(AND(OR('депозитный калькулятор'!$G$7="30/365",'депозитный калькулятор'!$G$7="30/360"),AND(MONTH(F300)=2,EOMONTH(F300,0)=F300)),IF(DAY(F300)=28,3,2),1)*IF(G300&gt;='депозитный калькулятор'!$G$11,IF(AND('депозитный калькулятор'!$G$7="факт/факт",MOD(YEAR(F300),4)=0),G300*'депозитный калькулятор'!$D$11/366,G300*'депозитный калькулятор'!$G$8),0))</f>
        <v xml:space="preserve"> </v>
      </c>
      <c r="R300" s="148"/>
      <c r="S300" s="62" t="str">
        <f t="shared" ca="1" si="22"/>
        <v xml:space="preserve"> </v>
      </c>
      <c r="T300" s="149" t="str">
        <f ca="1">IF(S300=" "," ",IF('депозитный калькулятор'!$G$7="30/360",DAYS360(U299,IF(DAY(U300)=31,U300-1,U300))+IF(AND(MONTH(U300)=2,U300=EOMONTH(U300,0)),30-DAY(EOMONTH(U300,0)))+T299,VLOOKUP(S300,$C$22:$F$1023,2,0)))</f>
        <v xml:space="preserve"> </v>
      </c>
      <c r="U300" s="64" t="str">
        <f t="shared" ca="1" si="20"/>
        <v xml:space="preserve"> </v>
      </c>
      <c r="V300" s="150" t="str">
        <f t="shared" ca="1" si="23"/>
        <v xml:space="preserve"> </v>
      </c>
      <c r="W300" s="62" t="str">
        <f t="shared" ca="1" si="24"/>
        <v xml:space="preserve"> </v>
      </c>
      <c r="X300" s="141" t="str">
        <f ca="1">IF(S300=" "," ",IFERROR(VLOOKUP(U300,$F$23:$N$1023,7)+VLOOKUP(U300,$F$23:$N$1023,9)+IF(AND('депозитный калькулятор'!$G$13="нет",U300&lt;&gt;'депозитный калькулятор'!$D$8),VLOOKUP(U300,$F$23:$N$1023,4),0),0)+IF(U300='депозитный калькулятор'!$D$8,VLOOKUP(U300,$F$23:$N$1023,2)+VLOOKUP(U300,$F$23:$N$1023,4),0))</f>
        <v xml:space="preserve"> </v>
      </c>
      <c r="Y300" s="142" t="str">
        <f ca="1">IF(S300=" "," ",W300/(1+'депозитный калькулятор'!$K$8)^(T300/IF('депозитный калькулятор'!$G$7="30/360",360,365)))</f>
        <v xml:space="preserve"> </v>
      </c>
      <c r="Z300" s="142" t="str">
        <f ca="1">IF(S300=" "," ",X300/(1+'депозитный калькулятор'!$K$8)^(T300/IF('депозитный калькулятор'!$G$7="30/360",360,365)))</f>
        <v xml:space="preserve"> </v>
      </c>
      <c r="AA300" s="151"/>
      <c r="AB300" s="151"/>
      <c r="AC300" s="155"/>
      <c r="AD300" s="155"/>
    </row>
    <row r="301" spans="1:30" s="2" customFormat="1" ht="15.5" x14ac:dyDescent="0.35">
      <c r="A301" s="41" t="str">
        <f>IF(F301=" "," ",IF(OR('депозитный калькулятор'!$G$7="30/365",'депозитный калькулятор'!$G$7="30/360"),IF(AND(MONTH(F301)=2,DAY(F301)=DAY(EOMONTH(F301,0))),30-DAY(EOMONTH(F301,0)),IF(DAY(F301)=31,1," "))," "))</f>
        <v xml:space="preserve"> </v>
      </c>
      <c r="B301" s="130" t="str">
        <f t="shared" si="21"/>
        <v xml:space="preserve"> </v>
      </c>
      <c r="C301" s="130" t="str">
        <f>IF(OR(B301=0,B301=" ")," ",SUM($B$23:B301))</f>
        <v xml:space="preserve"> </v>
      </c>
      <c r="D301" s="62" t="str">
        <f>IF(D300=" "," ",IF(OR(F300='депозитный калькулятор'!$D$8,F300=" ")," ",D300+1))</f>
        <v xml:space="preserve"> </v>
      </c>
      <c r="E301" s="130" t="str">
        <f>IF(OR(F300='депозитный калькулятор'!$D$8,F300=" ")," ",IF(EOMONTH(F300,0)=F300,1,E300+1))</f>
        <v xml:space="preserve"> </v>
      </c>
      <c r="F301" s="64" t="str">
        <f>IF(F300=" "," ",IF(F300='депозитный калькулятор'!$D$8," ",F300+1))</f>
        <v xml:space="preserve"> </v>
      </c>
      <c r="G301" s="145" t="str">
        <f xml:space="preserve"> IF(F301&gt;'депозитный калькулятор'!$D$8," ",IF('депозитный калькулятор'!$G$13="есть",IF('депозитный калькулятор'!$G$14="есть",G300+IF(I300=" ",0,I300)-J301-K301+L301+M301-N301,G300+IF(I300=" ",0,I300)-J301-K301+M301-N301),IF('депозитный калькулятор'!$G$14="есть",G300-J301-K301+L301+M301-N301,G300-J301-K301+M301-N301)))</f>
        <v xml:space="preserve"> </v>
      </c>
      <c r="H301" s="133" t="str">
        <f>IF(F301&gt;'депозитный калькулятор'!$D$8," ",IF(AND(OR('депозитный калькулятор'!$G$7="30/365",'депозитный калькулятор'!$G$7="30/360"),AND(MONTH(F301)=2,EOMONTH(F301,0)=F301)),IF(DAY(F301)=28,3*G301*'депозитный калькулятор'!$G$8,2*G301*'депозитный калькулятор'!$G$8),IF(AND(OR('депозитный калькулятор'!$G$7="30/365",'депозитный калькулятор'!$G$7="30/360"),DAY(F301)=31)," ",IF(AND('депозитный калькулятор'!$G$7="факт/факт",MOD(YEAR(F301),4)=0),G301*'депозитный калькулятор'!$D$11/366,G301*'депозитный калькулятор'!$G$8))))</f>
        <v xml:space="preserve"> </v>
      </c>
      <c r="I301" s="134" t="str">
        <f ca="1">IF(F301=" "," ",IF('депозитный калькулятор'!$G$10="ежедневное",H301,IF(AND('депозитный калькулятор'!$G$10="еженедельное",WEEKDAY(F301,2)=7),SUM(OFFSET(H301,-6,0):H301),IF(AND('депозитный калькулятор'!$G$10="еженедельное",F301='депозитный калькулятор'!$D$8),SUM($H$23:H301)-SUM($I$23:I300),IF(AND('депозитный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недели",WEEKDAY(F301,2)=7),MIN(OFFSET(H301,-6,0):H301)*(COUNTIF(OFFSET(H301,-6,0):H301,"&gt;0")+SUMIF(OFFSET(A301,-WEEKDAY(F301,2),0):A301,"=2",OFFSET(A301,-WEEKDAY(F301,2),0):A301)),IF(AND('депозитный калькулятор'!$G$10="еженедельное, на минимальную сумму зафиксированную в течение недели",F301='депозитный калькулятор'!$D$8,WEEKDAY(F301,2)&lt;&gt;7),MIN(OFFSET(H301,-WEEKDAY(F301,2),0):H301)*(COUNTIF(OFFSET(H301,-WEEKDAY(F301,2)+1,0):H301,"&gt;0")+SUM(OFFSET(A301,-WEEKDAY(F301,2),0):A301)),IF(AND('депозитный калькулятор'!$G$10="ежемесячное (в конце месяца)",F301='депозитный калькулятор'!$D$8,EOMONTH(F301,0)&lt;&gt;F301),IF('депозитный калькулятор'!$F$1=1,$H$24,SUM($H$23:H301)-SUM($I$23:I300)),IF(AND('депозитный калькулятор'!$G$10="ежемесячное (в конце месяца)",EOMONTH(F301,0)=F301),SUM($H$23:H301)-SUM($I$23:I300),IF(AND('депозитный калькулятор'!$G$10="ежемесячное (по дням открытия вклада)",F301='депозитный калькулятор'!$D$8,DAY('депозитный калькулятор'!$D$7)&lt;&gt;DAY(F301)),IF('депозитный калькулятор'!$F$1=1,$H$24,SUM($H$23:H301)-SUM($I$23:I300)),IF(AND('депозитный калькулятор'!$G$10="ежемесячное (по дням открытия вклада)",DAY('депозитный калькулятор'!$D$7)=DAY(F301)),SUM($H$23:H301)-SUM($I$23:I300),IF(AND('депозитный калькулятор'!$G$10="ежемесячное, на минимальную сумму зафиксированную в течение месяца",F301='депозитный калькулятор'!$D$8,EOMONTH(F301,0)&lt;&gt;F301),IF('депозитный калькулятор'!$F$1=1,$H$24,IF(AND(OR('депозитный калькулятор'!$G$7="30/365",'депозитный калькулятор'!$G$7="30/360"),DAY(F301)=31),0,MIN(OFFSET(H301,-E301+1,0):H301)*(E301+SUMIF(OFFSET(A301,-E301+1,0):A301,"=2",OFFSET(A301,-E301+1,0):A301)))),IF(AND('депозитный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калькулятор'!$G$7="30/360"),DAY(EOMONTH(F301,0))=31),EOMONTH(F301,0)-1=F301,EOMONTH(F301,0)=F301)),IF(IF(AND(OR('депозитный калькулятор'!$G$7="30/365",'депозитный калькулятор'!$G$7="30/360"),DAY(EOMONTH($F$23,0))=31),F301=EOMONTH($F$23,0)-1,F301=EOMONTH($F$23,0)),MIN(OFFSET(H301,-(DAY(F301)-DAY($F$23)),0):H301)*E301,MIN(OFFSET(H301,-(DAY(F301)-1),0):H301)*IF(AND(OR('депозитный калькулятор'!$G$7="30/365",'депозитный калькулятор'!$G$7="30/360"),DAY(F301)&lt;30),30,DAY(F301))),IF(AND('депозитный калькулятор'!$G$10="ежемесячное, на средний остаток в течение месяца, при условии что остаток больше чем ограничение",F301='депозитный калькулятор'!$D$8,EOMONTH(F301,0)&lt;&gt;F301),IF('депозитный калькулятор'!$F$1=1,$H$24,SUM(OFFSET(Q301,-E301+1,0):Q301)),IF(AND('депозитный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калькулятор'!$G$7="30/360"),DAY(EOMONTH(F301,0))=31),EOMONTH(F301,0)-1=F301,EOMONTH(F301,0)=F301)),IF(IF(AND(OR('депозитный калькулятор'!$G$7="30/365",'депозитный калькулятор'!$G$7="30/360"),DAY(EOMONTH($F$24,0))=31),F301=EOMONTH($F$24,0)-1,F301=EOMONTH($F$24,0)),SUM(OFFSET(Q301,-E301+1,0):Q301),SUM(OFFSET(Q301,-E301+1,0):Q301)),IF('депозитный калькулятор'!$G$10="ежеквартальное",IF(F301&gt;'депозитный калькулятор'!$D$8," ",IF(AND(EOMONTH(F301,0)=F301,OR(MONTH(F301)=3,MONTH(F301)=6,MONTH(F301)=9,MONTH(F301)=12)),IF(EDATE(F301,-3)&lt;'депозитный калькулятор'!$D$7,SUM($H$23:H301),IF(MOD(YEAR(F301),4)=0,IF(AND(EOMONTH(F301,0)=F301,OR(MONTH(F301)=3,MONTH(F301)=6)),SUM(OFFSET(H301,-90,0):H301),IF(AND(EOMONTH(F301,0)=F301,OR(MONTH(F301)=9,MONTH(F301)=12)),SUM(OFFSET(H301,-91,0):H301))),IF(AND(EOMONTH(F301,0)=F301,MONTH(F301)=3),SUM(OFFSET(H301,-89,0):H301),IF(AND(EOMONTH(F301,0)=F301,MONTH(F301)=6),SUM(OFFSET(H301,-90,0):H301),IF(AND(EOMONTH(F301,0)=F301,OR(MONTH(F301)=9,MONTH(F301)=12)),SUM(OFFSET(H301,-91,0):H301)))))),IF(F301='депозитный калькулятор'!$D$8,SUM($H$23:H301)-SUM($I$23:I300),0))),IF('депозитный калькулятор'!$G$10="ежегодное",IF(F301&gt;'депозитный калькулятор'!$D$8," ",IF(F301='депозитный калькулятор'!$D$8,SUM($H$23:H301)-SUM($I$23:I300),IF(AND(EOMONTH(F301,0)=F301,MONTH(F301)=12),IF(MOD(YEAR(F300),4)=0,IF(F301-'депозитный калькулятор'!$D$7&lt;366,SUM($H$23:H301),SUM(OFFSET(H301,-365,0):H301)),IF(F301-'депозитный калькулятор'!$D$7&lt;365,SUM($H$23:H301),SUM(OFFSET(H301,-364,0):H301))),0))),IF(AND('депозитный калькулятор'!$G$10="в конце срока",'депозитный калькулятор'!$D$8=F301),SUM($H$23:H301),0))))))))))))))))))</f>
        <v xml:space="preserve"> </v>
      </c>
      <c r="J301" s="59" t="str">
        <f>IF(F301&gt;'депозитный калькулятор'!$D$8," ",IF('депозитный калькулятор'!$G$16="нет",0,IF(AND('депозитный калькулятор'!$G$17="разовая (в конце срока)",F301='депозитный калькулятор'!$D$8),'депозитный калькулятор'!$G$18,IF(AND('депозитный калькулятор'!$G$17="ежемесячная",EOMONTH(F300,0)=F300),'депозитный калькулятор'!$G$18,IF(AND('депозитный калькулятор'!$G$17="ежегодная",DAY(F300)=31,MONTH(F300)=12),'депозитный калькулятор'!$G$18,IF(AND('депозитный калькулятор'!$G$17="ежемесячная в зависимости от остатка",EOMONTH(F300,0)=F300,P300&gt;0),'депозитный калькулятор'!$G$18,IF(AND('депозитный калькулятор'!$G$17="ежегодная в зависимости от остатка",DAY(F300)=31,MONTH(F300)=12,P300&gt;0),'депозитный калькулятор'!$G$18,0)))))))</f>
        <v xml:space="preserve"> </v>
      </c>
      <c r="K301" s="135" t="str">
        <f>IF($F301=" "," ",IFERROR(VLOOKUP($F301,'депозитный калькулятор'!$B$26:$F$70,2,0),0))</f>
        <v xml:space="preserve"> </v>
      </c>
      <c r="L301" s="135" t="str">
        <f>IF($F301=" "," ",IFERROR(VLOOKUP($F301,'депозитный калькулятор'!$B$26:$F$70,3,0),0))</f>
        <v xml:space="preserve"> </v>
      </c>
      <c r="M301" s="135" t="str">
        <f>IF($F301=" "," ",IFERROR(VLOOKUP($F301,'депозитный калькулятор'!$B$26:$F$70,4,0),0))</f>
        <v xml:space="preserve"> </v>
      </c>
      <c r="N301" s="135" t="str">
        <f>IF($F301=" "," ",IFERROR(VLOOKUP($F301,'депозитный калькулятор'!$B$26:$F$70,5,0),0))</f>
        <v xml:space="preserve"> </v>
      </c>
      <c r="O301" s="146" t="str">
        <f>IF(F301&gt;'депозитный калькулятор'!$D$8," ",IF(F301='депозитный калькулятор'!$D$8,IF(AND($F$24='депозитный калькулятор'!$D$8,'депозитный калькулятор'!$G$13="нет"),-G301-IF(I301=" ",0,I301)-IF(AND(OR('депозитный калькулятор'!$G$7="30/365",'депозитный калькулятор'!$G$7="30/360"),'депозитный калькулятор'!$G$10="в начале срока"),I300,0)-L301+M301-N301,-G301-IF(I301=" ",0,I301)-L301+M301-N301),IF('депозитный калькулятор'!$G$13="есть",M301-N301+IF('депозитный калькулятор'!$G$14="есть",0,-L301),-IF(I301=" ",0,I301)-IF(AND(OR('депозитный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срока"),I300,0)+M301-N301+IF('депозитный калькулятор'!$G$14="есть",0,-L301))))</f>
        <v xml:space="preserve"> </v>
      </c>
      <c r="P301" s="147" t="str">
        <f>IF(F301&gt;'депозитный калькулятор'!$D$8," ",IF(EOMONTH(F300,0)=F300,0,IF(G301&gt;='депозитный калькулятор'!$G$19,P300,P300+1)))</f>
        <v xml:space="preserve"> </v>
      </c>
      <c r="Q301" s="138" t="str">
        <f>IF(F301=" "," ",IF(AND(OR('депозитный калькулятор'!$G$7="30/365",'депозитный калькулятор'!$G$7="30/360"),AND(MONTH(F301)=2,EOMONTH(F301,0)=F301)),IF(DAY(F301)=28,3,2),1)*IF(G301&gt;='депозитный калькулятор'!$G$11,IF(AND('депозитный калькулятор'!$G$7="факт/факт",MOD(YEAR(F301),4)=0),G301*'депозитный калькулятор'!$D$11/366,G301*'депозитный калькулятор'!$G$8),0))</f>
        <v xml:space="preserve"> </v>
      </c>
      <c r="R301" s="148"/>
      <c r="S301" s="62" t="str">
        <f t="shared" ca="1" si="22"/>
        <v xml:space="preserve"> </v>
      </c>
      <c r="T301" s="149" t="str">
        <f ca="1">IF(S301=" "," ",IF('депозитный калькулятор'!$G$7="30/360",DAYS360(U300,IF(DAY(U301)=31,U301-1,U301))+IF(AND(MONTH(U301)=2,U301=EOMONTH(U301,0)),30-DAY(EOMONTH(U301,0)))+T300,VLOOKUP(S301,$C$22:$F$1023,2,0)))</f>
        <v xml:space="preserve"> </v>
      </c>
      <c r="U301" s="64" t="str">
        <f t="shared" ca="1" si="20"/>
        <v xml:space="preserve"> </v>
      </c>
      <c r="V301" s="150" t="str">
        <f t="shared" ca="1" si="23"/>
        <v xml:space="preserve"> </v>
      </c>
      <c r="W301" s="62" t="str">
        <f t="shared" ca="1" si="24"/>
        <v xml:space="preserve"> </v>
      </c>
      <c r="X301" s="141" t="str">
        <f ca="1">IF(S301=" "," ",IFERROR(VLOOKUP(U301,$F$23:$N$1023,7)+VLOOKUP(U301,$F$23:$N$1023,9)+IF(AND('депозитный калькулятор'!$G$13="нет",U301&lt;&gt;'депозитный калькулятор'!$D$8),VLOOKUP(U301,$F$23:$N$1023,4),0),0)+IF(U301='депозитный калькулятор'!$D$8,VLOOKUP(U301,$F$23:$N$1023,2)+VLOOKUP(U301,$F$23:$N$1023,4),0))</f>
        <v xml:space="preserve"> </v>
      </c>
      <c r="Y301" s="142" t="str">
        <f ca="1">IF(S301=" "," ",W301/(1+'депозитный калькулятор'!$K$8)^(T301/IF('депозитный калькулятор'!$G$7="30/360",360,365)))</f>
        <v xml:space="preserve"> </v>
      </c>
      <c r="Z301" s="142" t="str">
        <f ca="1">IF(S301=" "," ",X301/(1+'депозитный калькулятор'!$K$8)^(T301/IF('депозитный калькулятор'!$G$7="30/360",360,365)))</f>
        <v xml:space="preserve"> </v>
      </c>
      <c r="AA301" s="151"/>
      <c r="AB301" s="151"/>
      <c r="AC301" s="155"/>
      <c r="AD301" s="155"/>
    </row>
    <row r="302" spans="1:30" s="2" customFormat="1" ht="15.5" x14ac:dyDescent="0.35">
      <c r="A302" s="41" t="str">
        <f>IF(F302=" "," ",IF(OR('депозитный калькулятор'!$G$7="30/365",'депозитный калькулятор'!$G$7="30/360"),IF(AND(MONTH(F302)=2,DAY(F302)=DAY(EOMONTH(F302,0))),30-DAY(EOMONTH(F302,0)),IF(DAY(F302)=31,1," "))," "))</f>
        <v xml:space="preserve"> </v>
      </c>
      <c r="B302" s="130" t="str">
        <f t="shared" si="21"/>
        <v xml:space="preserve"> </v>
      </c>
      <c r="C302" s="130" t="str">
        <f>IF(OR(B302=0,B302=" ")," ",SUM($B$23:B302))</f>
        <v xml:space="preserve"> </v>
      </c>
      <c r="D302" s="62" t="str">
        <f>IF(D301=" "," ",IF(OR(F301='депозитный калькулятор'!$D$8,F301=" ")," ",D301+1))</f>
        <v xml:space="preserve"> </v>
      </c>
      <c r="E302" s="130" t="str">
        <f>IF(OR(F301='депозитный калькулятор'!$D$8,F301=" ")," ",IF(EOMONTH(F301,0)=F301,1,E301+1))</f>
        <v xml:space="preserve"> </v>
      </c>
      <c r="F302" s="64" t="str">
        <f>IF(F301=" "," ",IF(F301='депозитный калькулятор'!$D$8," ",F301+1))</f>
        <v xml:space="preserve"> </v>
      </c>
      <c r="G302" s="145" t="str">
        <f xml:space="preserve"> IF(F302&gt;'депозитный калькулятор'!$D$8," ",IF('депозитный калькулятор'!$G$13="есть",IF('депозитный калькулятор'!$G$14="есть",G301+IF(I301=" ",0,I301)-J302-K302+L302+M302-N302,G301+IF(I301=" ",0,I301)-J302-K302+M302-N302),IF('депозитный калькулятор'!$G$14="есть",G301-J302-K302+L302+M302-N302,G301-J302-K302+M302-N302)))</f>
        <v xml:space="preserve"> </v>
      </c>
      <c r="H302" s="133" t="str">
        <f>IF(F302&gt;'депозитный калькулятор'!$D$8," ",IF(AND(OR('депозитный калькулятор'!$G$7="30/365",'депозитный калькулятор'!$G$7="30/360"),AND(MONTH(F302)=2,EOMONTH(F302,0)=F302)),IF(DAY(F302)=28,3*G302*'депозитный калькулятор'!$G$8,2*G302*'депозитный калькулятор'!$G$8),IF(AND(OR('депозитный калькулятор'!$G$7="30/365",'депозитный калькулятор'!$G$7="30/360"),DAY(F302)=31)," ",IF(AND('депозитный калькулятор'!$G$7="факт/факт",MOD(YEAR(F302),4)=0),G302*'депозитный калькулятор'!$D$11/366,G302*'депозитный калькулятор'!$G$8))))</f>
        <v xml:space="preserve"> </v>
      </c>
      <c r="I302" s="134" t="str">
        <f ca="1">IF(F302=" "," ",IF('депозитный калькулятор'!$G$10="ежедневное",H302,IF(AND('депозитный калькулятор'!$G$10="еженедельное",WEEKDAY(F302,2)=7),SUM(OFFSET(H302,-6,0):H302),IF(AND('депозитный калькулятор'!$G$10="еженедельное",F302='депозитный калькулятор'!$D$8),SUM($H$23:H302)-SUM($I$23:I301),IF(AND('депозитный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недели",WEEKDAY(F302,2)=7),MIN(OFFSET(H302,-6,0):H302)*(COUNTIF(OFFSET(H302,-6,0):H302,"&gt;0")+SUMIF(OFFSET(A302,-WEEKDAY(F302,2),0):A302,"=2",OFFSET(A302,-WEEKDAY(F302,2),0):A302)),IF(AND('депозитный калькулятор'!$G$10="еженедельное, на минимальную сумму зафиксированную в течение недели",F302='депозитный калькулятор'!$D$8,WEEKDAY(F302,2)&lt;&gt;7),MIN(OFFSET(H302,-WEEKDAY(F302,2),0):H302)*(COUNTIF(OFFSET(H302,-WEEKDAY(F302,2)+1,0):H302,"&gt;0")+SUM(OFFSET(A302,-WEEKDAY(F302,2),0):A302)),IF(AND('депозитный калькулятор'!$G$10="ежемесячное (в конце месяца)",F302='депозитный калькулятор'!$D$8,EOMONTH(F302,0)&lt;&gt;F302),IF('депозитный калькулятор'!$F$1=1,$H$24,SUM($H$23:H302)-SUM($I$23:I301)),IF(AND('депозитный калькулятор'!$G$10="ежемесячное (в конце месяца)",EOMONTH(F302,0)=F302),SUM($H$23:H302)-SUM($I$23:I301),IF(AND('депозитный калькулятор'!$G$10="ежемесячное (по дням открытия вклада)",F302='депозитный калькулятор'!$D$8,DAY('депозитный калькулятор'!$D$7)&lt;&gt;DAY(F302)),IF('депозитный калькулятор'!$F$1=1,$H$24,SUM($H$23:H302)-SUM($I$23:I301)),IF(AND('депозитный калькулятор'!$G$10="ежемесячное (по дням открытия вклада)",DAY('депозитный калькулятор'!$D$7)=DAY(F302)),SUM($H$23:H302)-SUM($I$23:I301),IF(AND('депозитный калькулятор'!$G$10="ежемесячное, на минимальную сумму зафиксированную в течение месяца",F302='депозитный калькулятор'!$D$8,EOMONTH(F302,0)&lt;&gt;F302),IF('депозитный калькулятор'!$F$1=1,$H$24,IF(AND(OR('депозитный калькулятор'!$G$7="30/365",'депозитный калькулятор'!$G$7="30/360"),DAY(F302)=31),0,MIN(OFFSET(H302,-E302+1,0):H302)*(E302+SUMIF(OFFSET(A302,-E302+1,0):A302,"=2",OFFSET(A302,-E302+1,0):A302)))),IF(AND('депозитный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калькулятор'!$G$7="30/360"),DAY(EOMONTH(F302,0))=31),EOMONTH(F302,0)-1=F302,EOMONTH(F302,0)=F302)),IF(IF(AND(OR('депозитный калькулятор'!$G$7="30/365",'депозитный калькулятор'!$G$7="30/360"),DAY(EOMONTH($F$23,0))=31),F302=EOMONTH($F$23,0)-1,F302=EOMONTH($F$23,0)),MIN(OFFSET(H302,-(DAY(F302)-DAY($F$23)),0):H302)*E302,MIN(OFFSET(H302,-(DAY(F302)-1),0):H302)*IF(AND(OR('депозитный калькулятор'!$G$7="30/365",'депозитный калькулятор'!$G$7="30/360"),DAY(F302)&lt;30),30,DAY(F302))),IF(AND('депозитный калькулятор'!$G$10="ежемесячное, на средний остаток в течение месяца, при условии что остаток больше чем ограничение",F302='депозитный калькулятор'!$D$8,EOMONTH(F302,0)&lt;&gt;F302),IF('депозитный калькулятор'!$F$1=1,$H$24,SUM(OFFSET(Q302,-E302+1,0):Q302)),IF(AND('депозитный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калькулятор'!$G$7="30/360"),DAY(EOMONTH(F302,0))=31),EOMONTH(F302,0)-1=F302,EOMONTH(F302,0)=F302)),IF(IF(AND(OR('депозитный калькулятор'!$G$7="30/365",'депозитный калькулятор'!$G$7="30/360"),DAY(EOMONTH($F$24,0))=31),F302=EOMONTH($F$24,0)-1,F302=EOMONTH($F$24,0)),SUM(OFFSET(Q302,-E302+1,0):Q302),SUM(OFFSET(Q302,-E302+1,0):Q302)),IF('депозитный калькулятор'!$G$10="ежеквартальное",IF(F302&gt;'депозитный калькулятор'!$D$8," ",IF(AND(EOMONTH(F302,0)=F302,OR(MONTH(F302)=3,MONTH(F302)=6,MONTH(F302)=9,MONTH(F302)=12)),IF(EDATE(F302,-3)&lt;'депозитный калькулятор'!$D$7,SUM($H$23:H302),IF(MOD(YEAR(F302),4)=0,IF(AND(EOMONTH(F302,0)=F302,OR(MONTH(F302)=3,MONTH(F302)=6)),SUM(OFFSET(H302,-90,0):H302),IF(AND(EOMONTH(F302,0)=F302,OR(MONTH(F302)=9,MONTH(F302)=12)),SUM(OFFSET(H302,-91,0):H302))),IF(AND(EOMONTH(F302,0)=F302,MONTH(F302)=3),SUM(OFFSET(H302,-89,0):H302),IF(AND(EOMONTH(F302,0)=F302,MONTH(F302)=6),SUM(OFFSET(H302,-90,0):H302),IF(AND(EOMONTH(F302,0)=F302,OR(MONTH(F302)=9,MONTH(F302)=12)),SUM(OFFSET(H302,-91,0):H302)))))),IF(F302='депозитный калькулятор'!$D$8,SUM($H$23:H302)-SUM($I$23:I301),0))),IF('депозитный калькулятор'!$G$10="ежегодное",IF(F302&gt;'депозитный калькулятор'!$D$8," ",IF(F302='депозитный калькулятор'!$D$8,SUM($H$23:H302)-SUM($I$23:I301),IF(AND(EOMONTH(F302,0)=F302,MONTH(F302)=12),IF(MOD(YEAR(F301),4)=0,IF(F302-'депозитный калькулятор'!$D$7&lt;366,SUM($H$23:H302),SUM(OFFSET(H302,-365,0):H302)),IF(F302-'депозитный калькулятор'!$D$7&lt;365,SUM($H$23:H302),SUM(OFFSET(H302,-364,0):H302))),0))),IF(AND('депозитный калькулятор'!$G$10="в конце срока",'депозитный калькулятор'!$D$8=F302),SUM($H$23:H302),0))))))))))))))))))</f>
        <v xml:space="preserve"> </v>
      </c>
      <c r="J302" s="59" t="str">
        <f>IF(F302&gt;'депозитный калькулятор'!$D$8," ",IF('депозитный калькулятор'!$G$16="нет",0,IF(AND('депозитный калькулятор'!$G$17="разовая (в конце срока)",F302='депозитный калькулятор'!$D$8),'депозитный калькулятор'!$G$18,IF(AND('депозитный калькулятор'!$G$17="ежемесячная",EOMONTH(F301,0)=F301),'депозитный калькулятор'!$G$18,IF(AND('депозитный калькулятор'!$G$17="ежегодная",DAY(F301)=31,MONTH(F301)=12),'депозитный калькулятор'!$G$18,IF(AND('депозитный калькулятор'!$G$17="ежемесячная в зависимости от остатка",EOMONTH(F301,0)=F301,P301&gt;0),'депозитный калькулятор'!$G$18,IF(AND('депозитный калькулятор'!$G$17="ежегодная в зависимости от остатка",DAY(F301)=31,MONTH(F301)=12,P301&gt;0),'депозитный калькулятор'!$G$18,0)))))))</f>
        <v xml:space="preserve"> </v>
      </c>
      <c r="K302" s="135" t="str">
        <f>IF($F302=" "," ",IFERROR(VLOOKUP($F302,'депозитный калькулятор'!$B$26:$F$70,2,0),0))</f>
        <v xml:space="preserve"> </v>
      </c>
      <c r="L302" s="135" t="str">
        <f>IF($F302=" "," ",IFERROR(VLOOKUP($F302,'депозитный калькулятор'!$B$26:$F$70,3,0),0))</f>
        <v xml:space="preserve"> </v>
      </c>
      <c r="M302" s="135" t="str">
        <f>IF($F302=" "," ",IFERROR(VLOOKUP($F302,'депозитный калькулятор'!$B$26:$F$70,4,0),0))</f>
        <v xml:space="preserve"> </v>
      </c>
      <c r="N302" s="135" t="str">
        <f>IF($F302=" "," ",IFERROR(VLOOKUP($F302,'депозитный калькулятор'!$B$26:$F$70,5,0),0))</f>
        <v xml:space="preserve"> </v>
      </c>
      <c r="O302" s="146" t="str">
        <f>IF(F302&gt;'депозитный калькулятор'!$D$8," ",IF(F302='депозитный калькулятор'!$D$8,IF(AND($F$24='депозитный калькулятор'!$D$8,'депозитный калькулятор'!$G$13="нет"),-G302-IF(I302=" ",0,I302)-IF(AND(OR('депозитный калькулятор'!$G$7="30/365",'депозитный калькулятор'!$G$7="30/360"),'депозитный калькулятор'!$G$10="в начале срока"),I301,0)-L302+M302-N302,-G302-IF(I302=" ",0,I302)-L302+M302-N302),IF('депозитный калькулятор'!$G$13="есть",M302-N302+IF('депозитный калькулятор'!$G$14="есть",0,-L302),-IF(I302=" ",0,I302)-IF(AND(OR('депозитный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срока"),I301,0)+M302-N302+IF('депозитный калькулятор'!$G$14="есть",0,-L302))))</f>
        <v xml:space="preserve"> </v>
      </c>
      <c r="P302" s="147" t="str">
        <f>IF(F302&gt;'депозитный калькулятор'!$D$8," ",IF(EOMONTH(F301,0)=F301,0,IF(G302&gt;='депозитный калькулятор'!$G$19,P301,P301+1)))</f>
        <v xml:space="preserve"> </v>
      </c>
      <c r="Q302" s="138" t="str">
        <f>IF(F302=" "," ",IF(AND(OR('депозитный калькулятор'!$G$7="30/365",'депозитный калькулятор'!$G$7="30/360"),AND(MONTH(F302)=2,EOMONTH(F302,0)=F302)),IF(DAY(F302)=28,3,2),1)*IF(G302&gt;='депозитный калькулятор'!$G$11,IF(AND('депозитный калькулятор'!$G$7="факт/факт",MOD(YEAR(F302),4)=0),G302*'депозитный калькулятор'!$D$11/366,G302*'депозитный калькулятор'!$G$8),0))</f>
        <v xml:space="preserve"> </v>
      </c>
      <c r="R302" s="148"/>
      <c r="S302" s="62" t="str">
        <f t="shared" ca="1" si="22"/>
        <v xml:space="preserve"> </v>
      </c>
      <c r="T302" s="149" t="str">
        <f ca="1">IF(S302=" "," ",IF('депозитный калькулятор'!$G$7="30/360",DAYS360(U301,IF(DAY(U302)=31,U302-1,U302))+IF(AND(MONTH(U302)=2,U302=EOMONTH(U302,0)),30-DAY(EOMONTH(U302,0)))+T301,VLOOKUP(S302,$C$22:$F$1023,2,0)))</f>
        <v xml:space="preserve"> </v>
      </c>
      <c r="U302" s="64" t="str">
        <f t="shared" ca="1" si="20"/>
        <v xml:space="preserve"> </v>
      </c>
      <c r="V302" s="150" t="str">
        <f t="shared" ca="1" si="23"/>
        <v xml:space="preserve"> </v>
      </c>
      <c r="W302" s="62" t="str">
        <f t="shared" ca="1" si="24"/>
        <v xml:space="preserve"> </v>
      </c>
      <c r="X302" s="141" t="str">
        <f ca="1">IF(S302=" "," ",IFERROR(VLOOKUP(U302,$F$23:$N$1023,7)+VLOOKUP(U302,$F$23:$N$1023,9)+IF(AND('депозитный калькулятор'!$G$13="нет",U302&lt;&gt;'депозитный калькулятор'!$D$8),VLOOKUP(U302,$F$23:$N$1023,4),0),0)+IF(U302='депозитный калькулятор'!$D$8,VLOOKUP(U302,$F$23:$N$1023,2)+VLOOKUP(U302,$F$23:$N$1023,4),0))</f>
        <v xml:space="preserve"> </v>
      </c>
      <c r="Y302" s="142" t="str">
        <f ca="1">IF(S302=" "," ",W302/(1+'депозитный калькулятор'!$K$8)^(T302/IF('депозитный калькулятор'!$G$7="30/360",360,365)))</f>
        <v xml:space="preserve"> </v>
      </c>
      <c r="Z302" s="142" t="str">
        <f ca="1">IF(S302=" "," ",X302/(1+'депозитный калькулятор'!$K$8)^(T302/IF('депозитный калькулятор'!$G$7="30/360",360,365)))</f>
        <v xml:space="preserve"> </v>
      </c>
      <c r="AA302" s="151"/>
      <c r="AB302" s="151"/>
      <c r="AC302" s="155"/>
      <c r="AD302" s="155"/>
    </row>
    <row r="303" spans="1:30" s="2" customFormat="1" ht="15.5" x14ac:dyDescent="0.35">
      <c r="A303" s="41" t="str">
        <f>IF(F303=" "," ",IF(OR('депозитный калькулятор'!$G$7="30/365",'депозитный калькулятор'!$G$7="30/360"),IF(AND(MONTH(F303)=2,DAY(F303)=DAY(EOMONTH(F303,0))),30-DAY(EOMONTH(F303,0)),IF(DAY(F303)=31,1," "))," "))</f>
        <v xml:space="preserve"> </v>
      </c>
      <c r="B303" s="130" t="str">
        <f t="shared" si="21"/>
        <v xml:space="preserve"> </v>
      </c>
      <c r="C303" s="130" t="str">
        <f>IF(OR(B303=0,B303=" ")," ",SUM($B$23:B303))</f>
        <v xml:space="preserve"> </v>
      </c>
      <c r="D303" s="62" t="str">
        <f>IF(D302=" "," ",IF(OR(F302='депозитный калькулятор'!$D$8,F302=" ")," ",D302+1))</f>
        <v xml:space="preserve"> </v>
      </c>
      <c r="E303" s="130" t="str">
        <f>IF(OR(F302='депозитный калькулятор'!$D$8,F302=" ")," ",IF(EOMONTH(F302,0)=F302,1,E302+1))</f>
        <v xml:space="preserve"> </v>
      </c>
      <c r="F303" s="64" t="str">
        <f>IF(F302=" "," ",IF(F302='депозитный калькулятор'!$D$8," ",F302+1))</f>
        <v xml:space="preserve"> </v>
      </c>
      <c r="G303" s="145" t="str">
        <f xml:space="preserve"> IF(F303&gt;'депозитный калькулятор'!$D$8," ",IF('депозитный калькулятор'!$G$13="есть",IF('депозитный калькулятор'!$G$14="есть",G302+IF(I302=" ",0,I302)-J303-K303+L303+M303-N303,G302+IF(I302=" ",0,I302)-J303-K303+M303-N303),IF('депозитный калькулятор'!$G$14="есть",G302-J303-K303+L303+M303-N303,G302-J303-K303+M303-N303)))</f>
        <v xml:space="preserve"> </v>
      </c>
      <c r="H303" s="133" t="str">
        <f>IF(F303&gt;'депозитный калькулятор'!$D$8," ",IF(AND(OR('депозитный калькулятор'!$G$7="30/365",'депозитный калькулятор'!$G$7="30/360"),AND(MONTH(F303)=2,EOMONTH(F303,0)=F303)),IF(DAY(F303)=28,3*G303*'депозитный калькулятор'!$G$8,2*G303*'депозитный калькулятор'!$G$8),IF(AND(OR('депозитный калькулятор'!$G$7="30/365",'депозитный калькулятор'!$G$7="30/360"),DAY(F303)=31)," ",IF(AND('депозитный калькулятор'!$G$7="факт/факт",MOD(YEAR(F303),4)=0),G303*'депозитный калькулятор'!$D$11/366,G303*'депозитный калькулятор'!$G$8))))</f>
        <v xml:space="preserve"> </v>
      </c>
      <c r="I303" s="134" t="str">
        <f ca="1">IF(F303=" "," ",IF('депозитный калькулятор'!$G$10="ежедневное",H303,IF(AND('депозитный калькулятор'!$G$10="еженедельное",WEEKDAY(F303,2)=7),SUM(OFFSET(H303,-6,0):H303),IF(AND('депозитный калькулятор'!$G$10="еженедельное",F303='депозитный калькулятор'!$D$8),SUM($H$23:H303)-SUM($I$23:I302),IF(AND('депозитный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недели",WEEKDAY(F303,2)=7),MIN(OFFSET(H303,-6,0):H303)*(COUNTIF(OFFSET(H303,-6,0):H303,"&gt;0")+SUMIF(OFFSET(A303,-WEEKDAY(F303,2),0):A303,"=2",OFFSET(A303,-WEEKDAY(F303,2),0):A303)),IF(AND('депозитный калькулятор'!$G$10="еженедельное, на минимальную сумму зафиксированную в течение недели",F303='депозитный калькулятор'!$D$8,WEEKDAY(F303,2)&lt;&gt;7),MIN(OFFSET(H303,-WEEKDAY(F303,2),0):H303)*(COUNTIF(OFFSET(H303,-WEEKDAY(F303,2)+1,0):H303,"&gt;0")+SUM(OFFSET(A303,-WEEKDAY(F303,2),0):A303)),IF(AND('депозитный калькулятор'!$G$10="ежемесячное (в конце месяца)",F303='депозитный калькулятор'!$D$8,EOMONTH(F303,0)&lt;&gt;F303),IF('депозитный калькулятор'!$F$1=1,$H$24,SUM($H$23:H303)-SUM($I$23:I302)),IF(AND('депозитный калькулятор'!$G$10="ежемесячное (в конце месяца)",EOMONTH(F303,0)=F303),SUM($H$23:H303)-SUM($I$23:I302),IF(AND('депозитный калькулятор'!$G$10="ежемесячное (по дням открытия вклада)",F303='депозитный калькулятор'!$D$8,DAY('депозитный калькулятор'!$D$7)&lt;&gt;DAY(F303)),IF('депозитный калькулятор'!$F$1=1,$H$24,SUM($H$23:H303)-SUM($I$23:I302)),IF(AND('депозитный калькулятор'!$G$10="ежемесячное (по дням открытия вклада)",DAY('депозитный калькулятор'!$D$7)=DAY(F303)),SUM($H$23:H303)-SUM($I$23:I302),IF(AND('депозитный калькулятор'!$G$10="ежемесячное, на минимальную сумму зафиксированную в течение месяца",F303='депозитный калькулятор'!$D$8,EOMONTH(F303,0)&lt;&gt;F303),IF('депозитный калькулятор'!$F$1=1,$H$24,IF(AND(OR('депозитный калькулятор'!$G$7="30/365",'депозитный калькулятор'!$G$7="30/360"),DAY(F303)=31),0,MIN(OFFSET(H303,-E303+1,0):H303)*(E303+SUMIF(OFFSET(A303,-E303+1,0):A303,"=2",OFFSET(A303,-E303+1,0):A303)))),IF(AND('депозитный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калькулятор'!$G$7="30/360"),DAY(EOMONTH(F303,0))=31),EOMONTH(F303,0)-1=F303,EOMONTH(F303,0)=F303)),IF(IF(AND(OR('депозитный калькулятор'!$G$7="30/365",'депозитный калькулятор'!$G$7="30/360"),DAY(EOMONTH($F$23,0))=31),F303=EOMONTH($F$23,0)-1,F303=EOMONTH($F$23,0)),MIN(OFFSET(H303,-(DAY(F303)-DAY($F$23)),0):H303)*E303,MIN(OFFSET(H303,-(DAY(F303)-1),0):H303)*IF(AND(OR('депозитный калькулятор'!$G$7="30/365",'депозитный калькулятор'!$G$7="30/360"),DAY(F303)&lt;30),30,DAY(F303))),IF(AND('депозитный калькулятор'!$G$10="ежемесячное, на средний остаток в течение месяца, при условии что остаток больше чем ограничение",F303='депозитный калькулятор'!$D$8,EOMONTH(F303,0)&lt;&gt;F303),IF('депозитный калькулятор'!$F$1=1,$H$24,SUM(OFFSET(Q303,-E303+1,0):Q303)),IF(AND('депозитный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калькулятор'!$G$7="30/360"),DAY(EOMONTH(F303,0))=31),EOMONTH(F303,0)-1=F303,EOMONTH(F303,0)=F303)),IF(IF(AND(OR('депозитный калькулятор'!$G$7="30/365",'депозитный калькулятор'!$G$7="30/360"),DAY(EOMONTH($F$24,0))=31),F303=EOMONTH($F$24,0)-1,F303=EOMONTH($F$24,0)),SUM(OFFSET(Q303,-E303+1,0):Q303),SUM(OFFSET(Q303,-E303+1,0):Q303)),IF('депозитный калькулятор'!$G$10="ежеквартальное",IF(F303&gt;'депозитный калькулятор'!$D$8," ",IF(AND(EOMONTH(F303,0)=F303,OR(MONTH(F303)=3,MONTH(F303)=6,MONTH(F303)=9,MONTH(F303)=12)),IF(EDATE(F303,-3)&lt;'депозитный калькулятор'!$D$7,SUM($H$23:H303),IF(MOD(YEAR(F303),4)=0,IF(AND(EOMONTH(F303,0)=F303,OR(MONTH(F303)=3,MONTH(F303)=6)),SUM(OFFSET(H303,-90,0):H303),IF(AND(EOMONTH(F303,0)=F303,OR(MONTH(F303)=9,MONTH(F303)=12)),SUM(OFFSET(H303,-91,0):H303))),IF(AND(EOMONTH(F303,0)=F303,MONTH(F303)=3),SUM(OFFSET(H303,-89,0):H303),IF(AND(EOMONTH(F303,0)=F303,MONTH(F303)=6),SUM(OFFSET(H303,-90,0):H303),IF(AND(EOMONTH(F303,0)=F303,OR(MONTH(F303)=9,MONTH(F303)=12)),SUM(OFFSET(H303,-91,0):H303)))))),IF(F303='депозитный калькулятор'!$D$8,SUM($H$23:H303)-SUM($I$23:I302),0))),IF('депозитный калькулятор'!$G$10="ежегодное",IF(F303&gt;'депозитный калькулятор'!$D$8," ",IF(F303='депозитный калькулятор'!$D$8,SUM($H$23:H303)-SUM($I$23:I302),IF(AND(EOMONTH(F303,0)=F303,MONTH(F303)=12),IF(MOD(YEAR(F302),4)=0,IF(F303-'депозитный калькулятор'!$D$7&lt;366,SUM($H$23:H303),SUM(OFFSET(H303,-365,0):H303)),IF(F303-'депозитный калькулятор'!$D$7&lt;365,SUM($H$23:H303),SUM(OFFSET(H303,-364,0):H303))),0))),IF(AND('депозитный калькулятор'!$G$10="в конце срока",'депозитный калькулятор'!$D$8=F303),SUM($H$23:H303),0))))))))))))))))))</f>
        <v xml:space="preserve"> </v>
      </c>
      <c r="J303" s="59" t="str">
        <f>IF(F303&gt;'депозитный калькулятор'!$D$8," ",IF('депозитный калькулятор'!$G$16="нет",0,IF(AND('депозитный калькулятор'!$G$17="разовая (в конце срока)",F303='депозитный калькулятор'!$D$8),'депозитный калькулятор'!$G$18,IF(AND('депозитный калькулятор'!$G$17="ежемесячная",EOMONTH(F302,0)=F302),'депозитный калькулятор'!$G$18,IF(AND('депозитный калькулятор'!$G$17="ежегодная",DAY(F302)=31,MONTH(F302)=12),'депозитный калькулятор'!$G$18,IF(AND('депозитный калькулятор'!$G$17="ежемесячная в зависимости от остатка",EOMONTH(F302,0)=F302,P302&gt;0),'депозитный калькулятор'!$G$18,IF(AND('депозитный калькулятор'!$G$17="ежегодная в зависимости от остатка",DAY(F302)=31,MONTH(F302)=12,P302&gt;0),'депозитный калькулятор'!$G$18,0)))))))</f>
        <v xml:space="preserve"> </v>
      </c>
      <c r="K303" s="135" t="str">
        <f>IF($F303=" "," ",IFERROR(VLOOKUP($F303,'депозитный калькулятор'!$B$26:$F$70,2,0),0))</f>
        <v xml:space="preserve"> </v>
      </c>
      <c r="L303" s="135" t="str">
        <f>IF($F303=" "," ",IFERROR(VLOOKUP($F303,'депозитный калькулятор'!$B$26:$F$70,3,0),0))</f>
        <v xml:space="preserve"> </v>
      </c>
      <c r="M303" s="135" t="str">
        <f>IF($F303=" "," ",IFERROR(VLOOKUP($F303,'депозитный калькулятор'!$B$26:$F$70,4,0),0))</f>
        <v xml:space="preserve"> </v>
      </c>
      <c r="N303" s="135" t="str">
        <f>IF($F303=" "," ",IFERROR(VLOOKUP($F303,'депозитный калькулятор'!$B$26:$F$70,5,0),0))</f>
        <v xml:space="preserve"> </v>
      </c>
      <c r="O303" s="146" t="str">
        <f>IF(F303&gt;'депозитный калькулятор'!$D$8," ",IF(F303='депозитный калькулятор'!$D$8,IF(AND($F$24='депозитный калькулятор'!$D$8,'депозитный калькулятор'!$G$13="нет"),-G303-IF(I303=" ",0,I303)-IF(AND(OR('депозитный калькулятор'!$G$7="30/365",'депозитный калькулятор'!$G$7="30/360"),'депозитный калькулятор'!$G$10="в начале срока"),I302,0)-L303+M303-N303,-G303-IF(I303=" ",0,I303)-L303+M303-N303),IF('депозитный калькулятор'!$G$13="есть",M303-N303+IF('депозитный калькулятор'!$G$14="есть",0,-L303),-IF(I303=" ",0,I303)-IF(AND(OR('депозитный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срока"),I302,0)+M303-N303+IF('депозитный калькулятор'!$G$14="есть",0,-L303))))</f>
        <v xml:space="preserve"> </v>
      </c>
      <c r="P303" s="147" t="str">
        <f>IF(F303&gt;'депозитный калькулятор'!$D$8," ",IF(EOMONTH(F302,0)=F302,0,IF(G303&gt;='депозитный калькулятор'!$G$19,P302,P302+1)))</f>
        <v xml:space="preserve"> </v>
      </c>
      <c r="Q303" s="138" t="str">
        <f>IF(F303=" "," ",IF(AND(OR('депозитный калькулятор'!$G$7="30/365",'депозитный калькулятор'!$G$7="30/360"),AND(MONTH(F303)=2,EOMONTH(F303,0)=F303)),IF(DAY(F303)=28,3,2),1)*IF(G303&gt;='депозитный калькулятор'!$G$11,IF(AND('депозитный калькулятор'!$G$7="факт/факт",MOD(YEAR(F303),4)=0),G303*'депозитный калькулятор'!$D$11/366,G303*'депозитный калькулятор'!$G$8),0))</f>
        <v xml:space="preserve"> </v>
      </c>
      <c r="R303" s="148"/>
      <c r="S303" s="62" t="str">
        <f t="shared" ca="1" si="22"/>
        <v xml:space="preserve"> </v>
      </c>
      <c r="T303" s="149" t="str">
        <f ca="1">IF(S303=" "," ",IF('депозитный калькулятор'!$G$7="30/360",DAYS360(U302,IF(DAY(U303)=31,U303-1,U303))+IF(AND(MONTH(U303)=2,U303=EOMONTH(U303,0)),30-DAY(EOMONTH(U303,0)))+T302,VLOOKUP(S303,$C$22:$F$1023,2,0)))</f>
        <v xml:space="preserve"> </v>
      </c>
      <c r="U303" s="64" t="str">
        <f t="shared" ca="1" si="20"/>
        <v xml:space="preserve"> </v>
      </c>
      <c r="V303" s="150" t="str">
        <f t="shared" ca="1" si="23"/>
        <v xml:space="preserve"> </v>
      </c>
      <c r="W303" s="62" t="str">
        <f t="shared" ca="1" si="24"/>
        <v xml:space="preserve"> </v>
      </c>
      <c r="X303" s="141" t="str">
        <f ca="1">IF(S303=" "," ",IFERROR(VLOOKUP(U303,$F$23:$N$1023,7)+VLOOKUP(U303,$F$23:$N$1023,9)+IF(AND('депозитный калькулятор'!$G$13="нет",U303&lt;&gt;'депозитный калькулятор'!$D$8),VLOOKUP(U303,$F$23:$N$1023,4),0),0)+IF(U303='депозитный калькулятор'!$D$8,VLOOKUP(U303,$F$23:$N$1023,2)+VLOOKUP(U303,$F$23:$N$1023,4),0))</f>
        <v xml:space="preserve"> </v>
      </c>
      <c r="Y303" s="142" t="str">
        <f ca="1">IF(S303=" "," ",W303/(1+'депозитный калькулятор'!$K$8)^(T303/IF('депозитный калькулятор'!$G$7="30/360",360,365)))</f>
        <v xml:space="preserve"> </v>
      </c>
      <c r="Z303" s="142" t="str">
        <f ca="1">IF(S303=" "," ",X303/(1+'депозитный калькулятор'!$K$8)^(T303/IF('депозитный калькулятор'!$G$7="30/360",360,365)))</f>
        <v xml:space="preserve"> </v>
      </c>
      <c r="AA303" s="151"/>
      <c r="AB303" s="151"/>
      <c r="AC303" s="155"/>
      <c r="AD303" s="155"/>
    </row>
    <row r="304" spans="1:30" s="2" customFormat="1" ht="15.5" x14ac:dyDescent="0.35">
      <c r="A304" s="41" t="str">
        <f>IF(F304=" "," ",IF(OR('депозитный калькулятор'!$G$7="30/365",'депозитный калькулятор'!$G$7="30/360"),IF(AND(MONTH(F304)=2,DAY(F304)=DAY(EOMONTH(F304,0))),30-DAY(EOMONTH(F304,0)),IF(DAY(F304)=31,1," "))," "))</f>
        <v xml:space="preserve"> </v>
      </c>
      <c r="B304" s="130" t="str">
        <f t="shared" si="21"/>
        <v xml:space="preserve"> </v>
      </c>
      <c r="C304" s="130" t="str">
        <f>IF(OR(B304=0,B304=" ")," ",SUM($B$23:B304))</f>
        <v xml:space="preserve"> </v>
      </c>
      <c r="D304" s="62" t="str">
        <f>IF(D303=" "," ",IF(OR(F303='депозитный калькулятор'!$D$8,F303=" ")," ",D303+1))</f>
        <v xml:space="preserve"> </v>
      </c>
      <c r="E304" s="130" t="str">
        <f>IF(OR(F303='депозитный калькулятор'!$D$8,F303=" ")," ",IF(EOMONTH(F303,0)=F303,1,E303+1))</f>
        <v xml:space="preserve"> </v>
      </c>
      <c r="F304" s="64" t="str">
        <f>IF(F303=" "," ",IF(F303='депозитный калькулятор'!$D$8," ",F303+1))</f>
        <v xml:space="preserve"> </v>
      </c>
      <c r="G304" s="145" t="str">
        <f xml:space="preserve"> IF(F304&gt;'депозитный калькулятор'!$D$8," ",IF('депозитный калькулятор'!$G$13="есть",IF('депозитный калькулятор'!$G$14="есть",G303+IF(I303=" ",0,I303)-J304-K304+L304+M304-N304,G303+IF(I303=" ",0,I303)-J304-K304+M304-N304),IF('депозитный калькулятор'!$G$14="есть",G303-J304-K304+L304+M304-N304,G303-J304-K304+M304-N304)))</f>
        <v xml:space="preserve"> </v>
      </c>
      <c r="H304" s="133" t="str">
        <f>IF(F304&gt;'депозитный калькулятор'!$D$8," ",IF(AND(OR('депозитный калькулятор'!$G$7="30/365",'депозитный калькулятор'!$G$7="30/360"),AND(MONTH(F304)=2,EOMONTH(F304,0)=F304)),IF(DAY(F304)=28,3*G304*'депозитный калькулятор'!$G$8,2*G304*'депозитный калькулятор'!$G$8),IF(AND(OR('депозитный калькулятор'!$G$7="30/365",'депозитный калькулятор'!$G$7="30/360"),DAY(F304)=31)," ",IF(AND('депозитный калькулятор'!$G$7="факт/факт",MOD(YEAR(F304),4)=0),G304*'депозитный калькулятор'!$D$11/366,G304*'депозитный калькулятор'!$G$8))))</f>
        <v xml:space="preserve"> </v>
      </c>
      <c r="I304" s="134" t="str">
        <f ca="1">IF(F304=" "," ",IF('депозитный калькулятор'!$G$10="ежедневное",H304,IF(AND('депозитный калькулятор'!$G$10="еженедельное",WEEKDAY(F304,2)=7),SUM(OFFSET(H304,-6,0):H304),IF(AND('депозитный калькулятор'!$G$10="еженедельное",F304='депозитный калькулятор'!$D$8),SUM($H$23:H304)-SUM($I$23:I303),IF(AND('депозитный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недели",WEEKDAY(F304,2)=7),MIN(OFFSET(H304,-6,0):H304)*(COUNTIF(OFFSET(H304,-6,0):H304,"&gt;0")+SUMIF(OFFSET(A304,-WEEKDAY(F304,2),0):A304,"=2",OFFSET(A304,-WEEKDAY(F304,2),0):A304)),IF(AND('депозитный калькулятор'!$G$10="еженедельное, на минимальную сумму зафиксированную в течение недели",F304='депозитный калькулятор'!$D$8,WEEKDAY(F304,2)&lt;&gt;7),MIN(OFFSET(H304,-WEEKDAY(F304,2),0):H304)*(COUNTIF(OFFSET(H304,-WEEKDAY(F304,2)+1,0):H304,"&gt;0")+SUM(OFFSET(A304,-WEEKDAY(F304,2),0):A304)),IF(AND('депозитный калькулятор'!$G$10="ежемесячное (в конце месяца)",F304='депозитный калькулятор'!$D$8,EOMONTH(F304,0)&lt;&gt;F304),IF('депозитный калькулятор'!$F$1=1,$H$24,SUM($H$23:H304)-SUM($I$23:I303)),IF(AND('депозитный калькулятор'!$G$10="ежемесячное (в конце месяца)",EOMONTH(F304,0)=F304),SUM($H$23:H304)-SUM($I$23:I303),IF(AND('депозитный калькулятор'!$G$10="ежемесячное (по дням открытия вклада)",F304='депозитный калькулятор'!$D$8,DAY('депозитный калькулятор'!$D$7)&lt;&gt;DAY(F304)),IF('депозитный калькулятор'!$F$1=1,$H$24,SUM($H$23:H304)-SUM($I$23:I303)),IF(AND('депозитный калькулятор'!$G$10="ежемесячное (по дням открытия вклада)",DAY('депозитный калькулятор'!$D$7)=DAY(F304)),SUM($H$23:H304)-SUM($I$23:I303),IF(AND('депозитный калькулятор'!$G$10="ежемесячное, на минимальную сумму зафиксированную в течение месяца",F304='депозитный калькулятор'!$D$8,EOMONTH(F304,0)&lt;&gt;F304),IF('депозитный калькулятор'!$F$1=1,$H$24,IF(AND(OR('депозитный калькулятор'!$G$7="30/365",'депозитный калькулятор'!$G$7="30/360"),DAY(F304)=31),0,MIN(OFFSET(H304,-E304+1,0):H304)*(E304+SUMIF(OFFSET(A304,-E304+1,0):A304,"=2",OFFSET(A304,-E304+1,0):A304)))),IF(AND('депозитный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калькулятор'!$G$7="30/360"),DAY(EOMONTH(F304,0))=31),EOMONTH(F304,0)-1=F304,EOMONTH(F304,0)=F304)),IF(IF(AND(OR('депозитный калькулятор'!$G$7="30/365",'депозитный калькулятор'!$G$7="30/360"),DAY(EOMONTH($F$23,0))=31),F304=EOMONTH($F$23,0)-1,F304=EOMONTH($F$23,0)),MIN(OFFSET(H304,-(DAY(F304)-DAY($F$23)),0):H304)*E304,MIN(OFFSET(H304,-(DAY(F304)-1),0):H304)*IF(AND(OR('депозитный калькулятор'!$G$7="30/365",'депозитный калькулятор'!$G$7="30/360"),DAY(F304)&lt;30),30,DAY(F304))),IF(AND('депозитный калькулятор'!$G$10="ежемесячное, на средний остаток в течение месяца, при условии что остаток больше чем ограничение",F304='депозитный калькулятор'!$D$8,EOMONTH(F304,0)&lt;&gt;F304),IF('депозитный калькулятор'!$F$1=1,$H$24,SUM(OFFSET(Q304,-E304+1,0):Q304)),IF(AND('депозитный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калькулятор'!$G$7="30/360"),DAY(EOMONTH(F304,0))=31),EOMONTH(F304,0)-1=F304,EOMONTH(F304,0)=F304)),IF(IF(AND(OR('депозитный калькулятор'!$G$7="30/365",'депозитный калькулятор'!$G$7="30/360"),DAY(EOMONTH($F$24,0))=31),F304=EOMONTH($F$24,0)-1,F304=EOMONTH($F$24,0)),SUM(OFFSET(Q304,-E304+1,0):Q304),SUM(OFFSET(Q304,-E304+1,0):Q304)),IF('депозитный калькулятор'!$G$10="ежеквартальное",IF(F304&gt;'депозитный калькулятор'!$D$8," ",IF(AND(EOMONTH(F304,0)=F304,OR(MONTH(F304)=3,MONTH(F304)=6,MONTH(F304)=9,MONTH(F304)=12)),IF(EDATE(F304,-3)&lt;'депозитный калькулятор'!$D$7,SUM($H$23:H304),IF(MOD(YEAR(F304),4)=0,IF(AND(EOMONTH(F304,0)=F304,OR(MONTH(F304)=3,MONTH(F304)=6)),SUM(OFFSET(H304,-90,0):H304),IF(AND(EOMONTH(F304,0)=F304,OR(MONTH(F304)=9,MONTH(F304)=12)),SUM(OFFSET(H304,-91,0):H304))),IF(AND(EOMONTH(F304,0)=F304,MONTH(F304)=3),SUM(OFFSET(H304,-89,0):H304),IF(AND(EOMONTH(F304,0)=F304,MONTH(F304)=6),SUM(OFFSET(H304,-90,0):H304),IF(AND(EOMONTH(F304,0)=F304,OR(MONTH(F304)=9,MONTH(F304)=12)),SUM(OFFSET(H304,-91,0):H304)))))),IF(F304='депозитный калькулятор'!$D$8,SUM($H$23:H304)-SUM($I$23:I303),0))),IF('депозитный калькулятор'!$G$10="ежегодное",IF(F304&gt;'депозитный калькулятор'!$D$8," ",IF(F304='депозитный калькулятор'!$D$8,SUM($H$23:H304)-SUM($I$23:I303),IF(AND(EOMONTH(F304,0)=F304,MONTH(F304)=12),IF(MOD(YEAR(F303),4)=0,IF(F304-'депозитный калькулятор'!$D$7&lt;366,SUM($H$23:H304),SUM(OFFSET(H304,-365,0):H304)),IF(F304-'депозитный калькулятор'!$D$7&lt;365,SUM($H$23:H304),SUM(OFFSET(H304,-364,0):H304))),0))),IF(AND('депозитный калькулятор'!$G$10="в конце срока",'депозитный калькулятор'!$D$8=F304),SUM($H$23:H304),0))))))))))))))))))</f>
        <v xml:space="preserve"> </v>
      </c>
      <c r="J304" s="59" t="str">
        <f>IF(F304&gt;'депозитный калькулятор'!$D$8," ",IF('депозитный калькулятор'!$G$16="нет",0,IF(AND('депозитный калькулятор'!$G$17="разовая (в конце срока)",F304='депозитный калькулятор'!$D$8),'депозитный калькулятор'!$G$18,IF(AND('депозитный калькулятор'!$G$17="ежемесячная",EOMONTH(F303,0)=F303),'депозитный калькулятор'!$G$18,IF(AND('депозитный калькулятор'!$G$17="ежегодная",DAY(F303)=31,MONTH(F303)=12),'депозитный калькулятор'!$G$18,IF(AND('депозитный калькулятор'!$G$17="ежемесячная в зависимости от остатка",EOMONTH(F303,0)=F303,P303&gt;0),'депозитный калькулятор'!$G$18,IF(AND('депозитный калькулятор'!$G$17="ежегодная в зависимости от остатка",DAY(F303)=31,MONTH(F303)=12,P303&gt;0),'депозитный калькулятор'!$G$18,0)))))))</f>
        <v xml:space="preserve"> </v>
      </c>
      <c r="K304" s="135" t="str">
        <f>IF($F304=" "," ",IFERROR(VLOOKUP($F304,'депозитный калькулятор'!$B$26:$F$70,2,0),0))</f>
        <v xml:space="preserve"> </v>
      </c>
      <c r="L304" s="135" t="str">
        <f>IF($F304=" "," ",IFERROR(VLOOKUP($F304,'депозитный калькулятор'!$B$26:$F$70,3,0),0))</f>
        <v xml:space="preserve"> </v>
      </c>
      <c r="M304" s="135" t="str">
        <f>IF($F304=" "," ",IFERROR(VLOOKUP($F304,'депозитный калькулятор'!$B$26:$F$70,4,0),0))</f>
        <v xml:space="preserve"> </v>
      </c>
      <c r="N304" s="135" t="str">
        <f>IF($F304=" "," ",IFERROR(VLOOKUP($F304,'депозитный калькулятор'!$B$26:$F$70,5,0),0))</f>
        <v xml:space="preserve"> </v>
      </c>
      <c r="O304" s="146" t="str">
        <f>IF(F304&gt;'депозитный калькулятор'!$D$8," ",IF(F304='депозитный калькулятор'!$D$8,IF(AND($F$24='депозитный калькулятор'!$D$8,'депозитный калькулятор'!$G$13="нет"),-G304-IF(I304=" ",0,I304)-IF(AND(OR('депозитный калькулятор'!$G$7="30/365",'депозитный калькулятор'!$G$7="30/360"),'депозитный калькулятор'!$G$10="в начале срока"),I303,0)-L304+M304-N304,-G304-IF(I304=" ",0,I304)-L304+M304-N304),IF('депозитный калькулятор'!$G$13="есть",M304-N304+IF('депозитный калькулятор'!$G$14="есть",0,-L304),-IF(I304=" ",0,I304)-IF(AND(OR('депозитный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срока"),I303,0)+M304-N304+IF('депозитный калькулятор'!$G$14="есть",0,-L304))))</f>
        <v xml:space="preserve"> </v>
      </c>
      <c r="P304" s="147" t="str">
        <f>IF(F304&gt;'депозитный калькулятор'!$D$8," ",IF(EOMONTH(F303,0)=F303,0,IF(G304&gt;='депозитный калькулятор'!$G$19,P303,P303+1)))</f>
        <v xml:space="preserve"> </v>
      </c>
      <c r="Q304" s="138" t="str">
        <f>IF(F304=" "," ",IF(AND(OR('депозитный калькулятор'!$G$7="30/365",'депозитный калькулятор'!$G$7="30/360"),AND(MONTH(F304)=2,EOMONTH(F304,0)=F304)),IF(DAY(F304)=28,3,2),1)*IF(G304&gt;='депозитный калькулятор'!$G$11,IF(AND('депозитный калькулятор'!$G$7="факт/факт",MOD(YEAR(F304),4)=0),G304*'депозитный калькулятор'!$D$11/366,G304*'депозитный калькулятор'!$G$8),0))</f>
        <v xml:space="preserve"> </v>
      </c>
      <c r="R304" s="148"/>
      <c r="S304" s="62" t="str">
        <f t="shared" ca="1" si="22"/>
        <v xml:space="preserve"> </v>
      </c>
      <c r="T304" s="149" t="str">
        <f ca="1">IF(S304=" "," ",IF('депозитный калькулятор'!$G$7="30/360",DAYS360(U303,IF(DAY(U304)=31,U304-1,U304))+IF(AND(MONTH(U304)=2,U304=EOMONTH(U304,0)),30-DAY(EOMONTH(U304,0)))+T303,VLOOKUP(S304,$C$22:$F$1023,2,0)))</f>
        <v xml:space="preserve"> </v>
      </c>
      <c r="U304" s="64" t="str">
        <f t="shared" ca="1" si="20"/>
        <v xml:space="preserve"> </v>
      </c>
      <c r="V304" s="150" t="str">
        <f t="shared" ca="1" si="23"/>
        <v xml:space="preserve"> </v>
      </c>
      <c r="W304" s="62" t="str">
        <f t="shared" ca="1" si="24"/>
        <v xml:space="preserve"> </v>
      </c>
      <c r="X304" s="141" t="str">
        <f ca="1">IF(S304=" "," ",IFERROR(VLOOKUP(U304,$F$23:$N$1023,7)+VLOOKUP(U304,$F$23:$N$1023,9)+IF(AND('депозитный калькулятор'!$G$13="нет",U304&lt;&gt;'депозитный калькулятор'!$D$8),VLOOKUP(U304,$F$23:$N$1023,4),0),0)+IF(U304='депозитный калькулятор'!$D$8,VLOOKUP(U304,$F$23:$N$1023,2)+VLOOKUP(U304,$F$23:$N$1023,4),0))</f>
        <v xml:space="preserve"> </v>
      </c>
      <c r="Y304" s="142" t="str">
        <f ca="1">IF(S304=" "," ",W304/(1+'депозитный калькулятор'!$K$8)^(T304/IF('депозитный калькулятор'!$G$7="30/360",360,365)))</f>
        <v xml:space="preserve"> </v>
      </c>
      <c r="Z304" s="142" t="str">
        <f ca="1">IF(S304=" "," ",X304/(1+'депозитный калькулятор'!$K$8)^(T304/IF('депозитный калькулятор'!$G$7="30/360",360,365)))</f>
        <v xml:space="preserve"> </v>
      </c>
      <c r="AA304" s="151"/>
      <c r="AB304" s="151"/>
      <c r="AC304" s="155"/>
      <c r="AD304" s="155"/>
    </row>
    <row r="305" spans="1:30" s="2" customFormat="1" ht="15.5" x14ac:dyDescent="0.35">
      <c r="A305" s="41" t="str">
        <f>IF(F305=" "," ",IF(OR('депозитный калькулятор'!$G$7="30/365",'депозитный калькулятор'!$G$7="30/360"),IF(AND(MONTH(F305)=2,DAY(F305)=DAY(EOMONTH(F305,0))),30-DAY(EOMONTH(F305,0)),IF(DAY(F305)=31,1," "))," "))</f>
        <v xml:space="preserve"> </v>
      </c>
      <c r="B305" s="130" t="str">
        <f t="shared" si="21"/>
        <v xml:space="preserve"> </v>
      </c>
      <c r="C305" s="130" t="str">
        <f>IF(OR(B305=0,B305=" ")," ",SUM($B$23:B305))</f>
        <v xml:space="preserve"> </v>
      </c>
      <c r="D305" s="62" t="str">
        <f>IF(D304=" "," ",IF(OR(F304='депозитный калькулятор'!$D$8,F304=" ")," ",D304+1))</f>
        <v xml:space="preserve"> </v>
      </c>
      <c r="E305" s="130" t="str">
        <f>IF(OR(F304='депозитный калькулятор'!$D$8,F304=" ")," ",IF(EOMONTH(F304,0)=F304,1,E304+1))</f>
        <v xml:space="preserve"> </v>
      </c>
      <c r="F305" s="64" t="str">
        <f>IF(F304=" "," ",IF(F304='депозитный калькулятор'!$D$8," ",F304+1))</f>
        <v xml:space="preserve"> </v>
      </c>
      <c r="G305" s="145" t="str">
        <f xml:space="preserve"> IF(F305&gt;'депозитный калькулятор'!$D$8," ",IF('депозитный калькулятор'!$G$13="есть",IF('депозитный калькулятор'!$G$14="есть",G304+IF(I304=" ",0,I304)-J305-K305+L305+M305-N305,G304+IF(I304=" ",0,I304)-J305-K305+M305-N305),IF('депозитный калькулятор'!$G$14="есть",G304-J305-K305+L305+M305-N305,G304-J305-K305+M305-N305)))</f>
        <v xml:space="preserve"> </v>
      </c>
      <c r="H305" s="133" t="str">
        <f>IF(F305&gt;'депозитный калькулятор'!$D$8," ",IF(AND(OR('депозитный калькулятор'!$G$7="30/365",'депозитный калькулятор'!$G$7="30/360"),AND(MONTH(F305)=2,EOMONTH(F305,0)=F305)),IF(DAY(F305)=28,3*G305*'депозитный калькулятор'!$G$8,2*G305*'депозитный калькулятор'!$G$8),IF(AND(OR('депозитный калькулятор'!$G$7="30/365",'депозитный калькулятор'!$G$7="30/360"),DAY(F305)=31)," ",IF(AND('депозитный калькулятор'!$G$7="факт/факт",MOD(YEAR(F305),4)=0),G305*'депозитный калькулятор'!$D$11/366,G305*'депозитный калькулятор'!$G$8))))</f>
        <v xml:space="preserve"> </v>
      </c>
      <c r="I305" s="134" t="str">
        <f ca="1">IF(F305=" "," ",IF('депозитный калькулятор'!$G$10="ежедневное",H305,IF(AND('депозитный калькулятор'!$G$10="еженедельное",WEEKDAY(F305,2)=7),SUM(OFFSET(H305,-6,0):H305),IF(AND('депозитный калькулятор'!$G$10="еженедельное",F305='депозитный калькулятор'!$D$8),SUM($H$23:H305)-SUM($I$23:I304),IF(AND('депозитный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недели",WEEKDAY(F305,2)=7),MIN(OFFSET(H305,-6,0):H305)*(COUNTIF(OFFSET(H305,-6,0):H305,"&gt;0")+SUMIF(OFFSET(A305,-WEEKDAY(F305,2),0):A305,"=2",OFFSET(A305,-WEEKDAY(F305,2),0):A305)),IF(AND('депозитный калькулятор'!$G$10="еженедельное, на минимальную сумму зафиксированную в течение недели",F305='депозитный калькулятор'!$D$8,WEEKDAY(F305,2)&lt;&gt;7),MIN(OFFSET(H305,-WEEKDAY(F305,2),0):H305)*(COUNTIF(OFFSET(H305,-WEEKDAY(F305,2)+1,0):H305,"&gt;0")+SUM(OFFSET(A305,-WEEKDAY(F305,2),0):A305)),IF(AND('депозитный калькулятор'!$G$10="ежемесячное (в конце месяца)",F305='депозитный калькулятор'!$D$8,EOMONTH(F305,0)&lt;&gt;F305),IF('депозитный калькулятор'!$F$1=1,$H$24,SUM($H$23:H305)-SUM($I$23:I304)),IF(AND('депозитный калькулятор'!$G$10="ежемесячное (в конце месяца)",EOMONTH(F305,0)=F305),SUM($H$23:H305)-SUM($I$23:I304),IF(AND('депозитный калькулятор'!$G$10="ежемесячное (по дням открытия вклада)",F305='депозитный калькулятор'!$D$8,DAY('депозитный калькулятор'!$D$7)&lt;&gt;DAY(F305)),IF('депозитный калькулятор'!$F$1=1,$H$24,SUM($H$23:H305)-SUM($I$23:I304)),IF(AND('депозитный калькулятор'!$G$10="ежемесячное (по дням открытия вклада)",DAY('депозитный калькулятор'!$D$7)=DAY(F305)),SUM($H$23:H305)-SUM($I$23:I304),IF(AND('депозитный калькулятор'!$G$10="ежемесячное, на минимальную сумму зафиксированную в течение месяца",F305='депозитный калькулятор'!$D$8,EOMONTH(F305,0)&lt;&gt;F305),IF('депозитный калькулятор'!$F$1=1,$H$24,IF(AND(OR('депозитный калькулятор'!$G$7="30/365",'депозитный калькулятор'!$G$7="30/360"),DAY(F305)=31),0,MIN(OFFSET(H305,-E305+1,0):H305)*(E305+SUMIF(OFFSET(A305,-E305+1,0):A305,"=2",OFFSET(A305,-E305+1,0):A305)))),IF(AND('депозитный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калькулятор'!$G$7="30/360"),DAY(EOMONTH(F305,0))=31),EOMONTH(F305,0)-1=F305,EOMONTH(F305,0)=F305)),IF(IF(AND(OR('депозитный калькулятор'!$G$7="30/365",'депозитный калькулятор'!$G$7="30/360"),DAY(EOMONTH($F$23,0))=31),F305=EOMONTH($F$23,0)-1,F305=EOMONTH($F$23,0)),MIN(OFFSET(H305,-(DAY(F305)-DAY($F$23)),0):H305)*E305,MIN(OFFSET(H305,-(DAY(F305)-1),0):H305)*IF(AND(OR('депозитный калькулятор'!$G$7="30/365",'депозитный калькулятор'!$G$7="30/360"),DAY(F305)&lt;30),30,DAY(F305))),IF(AND('депозитный калькулятор'!$G$10="ежемесячное, на средний остаток в течение месяца, при условии что остаток больше чем ограничение",F305='депозитный калькулятор'!$D$8,EOMONTH(F305,0)&lt;&gt;F305),IF('депозитный калькулятор'!$F$1=1,$H$24,SUM(OFFSET(Q305,-E305+1,0):Q305)),IF(AND('депозитный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калькулятор'!$G$7="30/360"),DAY(EOMONTH(F305,0))=31),EOMONTH(F305,0)-1=F305,EOMONTH(F305,0)=F305)),IF(IF(AND(OR('депозитный калькулятор'!$G$7="30/365",'депозитный калькулятор'!$G$7="30/360"),DAY(EOMONTH($F$24,0))=31),F305=EOMONTH($F$24,0)-1,F305=EOMONTH($F$24,0)),SUM(OFFSET(Q305,-E305+1,0):Q305),SUM(OFFSET(Q305,-E305+1,0):Q305)),IF('депозитный калькулятор'!$G$10="ежеквартальное",IF(F305&gt;'депозитный калькулятор'!$D$8," ",IF(AND(EOMONTH(F305,0)=F305,OR(MONTH(F305)=3,MONTH(F305)=6,MONTH(F305)=9,MONTH(F305)=12)),IF(EDATE(F305,-3)&lt;'депозитный калькулятор'!$D$7,SUM($H$23:H305),IF(MOD(YEAR(F305),4)=0,IF(AND(EOMONTH(F305,0)=F305,OR(MONTH(F305)=3,MONTH(F305)=6)),SUM(OFFSET(H305,-90,0):H305),IF(AND(EOMONTH(F305,0)=F305,OR(MONTH(F305)=9,MONTH(F305)=12)),SUM(OFFSET(H305,-91,0):H305))),IF(AND(EOMONTH(F305,0)=F305,MONTH(F305)=3),SUM(OFFSET(H305,-89,0):H305),IF(AND(EOMONTH(F305,0)=F305,MONTH(F305)=6),SUM(OFFSET(H305,-90,0):H305),IF(AND(EOMONTH(F305,0)=F305,OR(MONTH(F305)=9,MONTH(F305)=12)),SUM(OFFSET(H305,-91,0):H305)))))),IF(F305='депозитный калькулятор'!$D$8,SUM($H$23:H305)-SUM($I$23:I304),0))),IF('депозитный калькулятор'!$G$10="ежегодное",IF(F305&gt;'депозитный калькулятор'!$D$8," ",IF(F305='депозитный калькулятор'!$D$8,SUM($H$23:H305)-SUM($I$23:I304),IF(AND(EOMONTH(F305,0)=F305,MONTH(F305)=12),IF(MOD(YEAR(F304),4)=0,IF(F305-'депозитный калькулятор'!$D$7&lt;366,SUM($H$23:H305),SUM(OFFSET(H305,-365,0):H305)),IF(F305-'депозитный калькулятор'!$D$7&lt;365,SUM($H$23:H305),SUM(OFFSET(H305,-364,0):H305))),0))),IF(AND('депозитный калькулятор'!$G$10="в конце срока",'депозитный калькулятор'!$D$8=F305),SUM($H$23:H305),0))))))))))))))))))</f>
        <v xml:space="preserve"> </v>
      </c>
      <c r="J305" s="59" t="str">
        <f>IF(F305&gt;'депозитный калькулятор'!$D$8," ",IF('депозитный калькулятор'!$G$16="нет",0,IF(AND('депозитный калькулятор'!$G$17="разовая (в конце срока)",F305='депозитный калькулятор'!$D$8),'депозитный калькулятор'!$G$18,IF(AND('депозитный калькулятор'!$G$17="ежемесячная",EOMONTH(F304,0)=F304),'депозитный калькулятор'!$G$18,IF(AND('депозитный калькулятор'!$G$17="ежегодная",DAY(F304)=31,MONTH(F304)=12),'депозитный калькулятор'!$G$18,IF(AND('депозитный калькулятор'!$G$17="ежемесячная в зависимости от остатка",EOMONTH(F304,0)=F304,P304&gt;0),'депозитный калькулятор'!$G$18,IF(AND('депозитный калькулятор'!$G$17="ежегодная в зависимости от остатка",DAY(F304)=31,MONTH(F304)=12,P304&gt;0),'депозитный калькулятор'!$G$18,0)))))))</f>
        <v xml:space="preserve"> </v>
      </c>
      <c r="K305" s="135" t="str">
        <f>IF($F305=" "," ",IFERROR(VLOOKUP($F305,'депозитный калькулятор'!$B$26:$F$70,2,0),0))</f>
        <v xml:space="preserve"> </v>
      </c>
      <c r="L305" s="135" t="str">
        <f>IF($F305=" "," ",IFERROR(VLOOKUP($F305,'депозитный калькулятор'!$B$26:$F$70,3,0),0))</f>
        <v xml:space="preserve"> </v>
      </c>
      <c r="M305" s="135" t="str">
        <f>IF($F305=" "," ",IFERROR(VLOOKUP($F305,'депозитный калькулятор'!$B$26:$F$70,4,0),0))</f>
        <v xml:space="preserve"> </v>
      </c>
      <c r="N305" s="135" t="str">
        <f>IF($F305=" "," ",IFERROR(VLOOKUP($F305,'депозитный калькулятор'!$B$26:$F$70,5,0),0))</f>
        <v xml:space="preserve"> </v>
      </c>
      <c r="O305" s="146" t="str">
        <f>IF(F305&gt;'депозитный калькулятор'!$D$8," ",IF(F305='депозитный калькулятор'!$D$8,IF(AND($F$24='депозитный калькулятор'!$D$8,'депозитный калькулятор'!$G$13="нет"),-G305-IF(I305=" ",0,I305)-IF(AND(OR('депозитный калькулятор'!$G$7="30/365",'депозитный калькулятор'!$G$7="30/360"),'депозитный калькулятор'!$G$10="в начале срока"),I304,0)-L305+M305-N305,-G305-IF(I305=" ",0,I305)-L305+M305-N305),IF('депозитный калькулятор'!$G$13="есть",M305-N305+IF('депозитный калькулятор'!$G$14="есть",0,-L305),-IF(I305=" ",0,I305)-IF(AND(OR('депозитный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срока"),I304,0)+M305-N305+IF('депозитный калькулятор'!$G$14="есть",0,-L305))))</f>
        <v xml:space="preserve"> </v>
      </c>
      <c r="P305" s="147" t="str">
        <f>IF(F305&gt;'депозитный калькулятор'!$D$8," ",IF(EOMONTH(F304,0)=F304,0,IF(G305&gt;='депозитный калькулятор'!$G$19,P304,P304+1)))</f>
        <v xml:space="preserve"> </v>
      </c>
      <c r="Q305" s="138" t="str">
        <f>IF(F305=" "," ",IF(AND(OR('депозитный калькулятор'!$G$7="30/365",'депозитный калькулятор'!$G$7="30/360"),AND(MONTH(F305)=2,EOMONTH(F305,0)=F305)),IF(DAY(F305)=28,3,2),1)*IF(G305&gt;='депозитный калькулятор'!$G$11,IF(AND('депозитный калькулятор'!$G$7="факт/факт",MOD(YEAR(F305),4)=0),G305*'депозитный калькулятор'!$D$11/366,G305*'депозитный калькулятор'!$G$8),0))</f>
        <v xml:space="preserve"> </v>
      </c>
      <c r="R305" s="148"/>
      <c r="S305" s="62" t="str">
        <f t="shared" ca="1" si="22"/>
        <v xml:space="preserve"> </v>
      </c>
      <c r="T305" s="149" t="str">
        <f ca="1">IF(S305=" "," ",IF('депозитный калькулятор'!$G$7="30/360",DAYS360(U304,IF(DAY(U305)=31,U305-1,U305))+IF(AND(MONTH(U305)=2,U305=EOMONTH(U305,0)),30-DAY(EOMONTH(U305,0)))+T304,VLOOKUP(S305,$C$22:$F$1023,2,0)))</f>
        <v xml:space="preserve"> </v>
      </c>
      <c r="U305" s="64" t="str">
        <f t="shared" ca="1" si="20"/>
        <v xml:space="preserve"> </v>
      </c>
      <c r="V305" s="150" t="str">
        <f t="shared" ca="1" si="23"/>
        <v xml:space="preserve"> </v>
      </c>
      <c r="W305" s="62" t="str">
        <f t="shared" ca="1" si="24"/>
        <v xml:space="preserve"> </v>
      </c>
      <c r="X305" s="141" t="str">
        <f ca="1">IF(S305=" "," ",IFERROR(VLOOKUP(U305,$F$23:$N$1023,7)+VLOOKUP(U305,$F$23:$N$1023,9)+IF(AND('депозитный калькулятор'!$G$13="нет",U305&lt;&gt;'депозитный калькулятор'!$D$8),VLOOKUP(U305,$F$23:$N$1023,4),0),0)+IF(U305='депозитный калькулятор'!$D$8,VLOOKUP(U305,$F$23:$N$1023,2)+VLOOKUP(U305,$F$23:$N$1023,4),0))</f>
        <v xml:space="preserve"> </v>
      </c>
      <c r="Y305" s="142" t="str">
        <f ca="1">IF(S305=" "," ",W305/(1+'депозитный калькулятор'!$K$8)^(T305/IF('депозитный калькулятор'!$G$7="30/360",360,365)))</f>
        <v xml:space="preserve"> </v>
      </c>
      <c r="Z305" s="142" t="str">
        <f ca="1">IF(S305=" "," ",X305/(1+'депозитный калькулятор'!$K$8)^(T305/IF('депозитный калькулятор'!$G$7="30/360",360,365)))</f>
        <v xml:space="preserve"> </v>
      </c>
      <c r="AA305" s="151"/>
      <c r="AB305" s="151"/>
      <c r="AC305" s="155"/>
      <c r="AD305" s="155"/>
    </row>
    <row r="306" spans="1:30" s="2" customFormat="1" ht="15.5" x14ac:dyDescent="0.35">
      <c r="A306" s="41" t="str">
        <f>IF(F306=" "," ",IF(OR('депозитный калькулятор'!$G$7="30/365",'депозитный калькулятор'!$G$7="30/360"),IF(AND(MONTH(F306)=2,DAY(F306)=DAY(EOMONTH(F306,0))),30-DAY(EOMONTH(F306,0)),IF(DAY(F306)=31,1," "))," "))</f>
        <v xml:space="preserve"> </v>
      </c>
      <c r="B306" s="130" t="str">
        <f t="shared" si="21"/>
        <v xml:space="preserve"> </v>
      </c>
      <c r="C306" s="130" t="str">
        <f>IF(OR(B306=0,B306=" ")," ",SUM($B$23:B306))</f>
        <v xml:space="preserve"> </v>
      </c>
      <c r="D306" s="62" t="str">
        <f>IF(D305=" "," ",IF(OR(F305='депозитный калькулятор'!$D$8,F305=" ")," ",D305+1))</f>
        <v xml:space="preserve"> </v>
      </c>
      <c r="E306" s="130" t="str">
        <f>IF(OR(F305='депозитный калькулятор'!$D$8,F305=" ")," ",IF(EOMONTH(F305,0)=F305,1,E305+1))</f>
        <v xml:space="preserve"> </v>
      </c>
      <c r="F306" s="64" t="str">
        <f>IF(F305=" "," ",IF(F305='депозитный калькулятор'!$D$8," ",F305+1))</f>
        <v xml:space="preserve"> </v>
      </c>
      <c r="G306" s="145" t="str">
        <f xml:space="preserve"> IF(F306&gt;'депозитный калькулятор'!$D$8," ",IF('депозитный калькулятор'!$G$13="есть",IF('депозитный калькулятор'!$G$14="есть",G305+IF(I305=" ",0,I305)-J306-K306+L306+M306-N306,G305+IF(I305=" ",0,I305)-J306-K306+M306-N306),IF('депозитный калькулятор'!$G$14="есть",G305-J306-K306+L306+M306-N306,G305-J306-K306+M306-N306)))</f>
        <v xml:space="preserve"> </v>
      </c>
      <c r="H306" s="133" t="str">
        <f>IF(F306&gt;'депозитный калькулятор'!$D$8," ",IF(AND(OR('депозитный калькулятор'!$G$7="30/365",'депозитный калькулятор'!$G$7="30/360"),AND(MONTH(F306)=2,EOMONTH(F306,0)=F306)),IF(DAY(F306)=28,3*G306*'депозитный калькулятор'!$G$8,2*G306*'депозитный калькулятор'!$G$8),IF(AND(OR('депозитный калькулятор'!$G$7="30/365",'депозитный калькулятор'!$G$7="30/360"),DAY(F306)=31)," ",IF(AND('депозитный калькулятор'!$G$7="факт/факт",MOD(YEAR(F306),4)=0),G306*'депозитный калькулятор'!$D$11/366,G306*'депозитный калькулятор'!$G$8))))</f>
        <v xml:space="preserve"> </v>
      </c>
      <c r="I306" s="134" t="str">
        <f ca="1">IF(F306=" "," ",IF('депозитный калькулятор'!$G$10="ежедневное",H306,IF(AND('депозитный калькулятор'!$G$10="еженедельное",WEEKDAY(F306,2)=7),SUM(OFFSET(H306,-6,0):H306),IF(AND('депозитный калькулятор'!$G$10="еженедельное",F306='депозитный калькулятор'!$D$8),SUM($H$23:H306)-SUM($I$23:I305),IF(AND('депозитный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недели",WEEKDAY(F306,2)=7),MIN(OFFSET(H306,-6,0):H306)*(COUNTIF(OFFSET(H306,-6,0):H306,"&gt;0")+SUMIF(OFFSET(A306,-WEEKDAY(F306,2),0):A306,"=2",OFFSET(A306,-WEEKDAY(F306,2),0):A306)),IF(AND('депозитный калькулятор'!$G$10="еженедельное, на минимальную сумму зафиксированную в течение недели",F306='депозитный калькулятор'!$D$8,WEEKDAY(F306,2)&lt;&gt;7),MIN(OFFSET(H306,-WEEKDAY(F306,2),0):H306)*(COUNTIF(OFFSET(H306,-WEEKDAY(F306,2)+1,0):H306,"&gt;0")+SUM(OFFSET(A306,-WEEKDAY(F306,2),0):A306)),IF(AND('депозитный калькулятор'!$G$10="ежемесячное (в конце месяца)",F306='депозитный калькулятор'!$D$8,EOMONTH(F306,0)&lt;&gt;F306),IF('депозитный калькулятор'!$F$1=1,$H$24,SUM($H$23:H306)-SUM($I$23:I305)),IF(AND('депозитный калькулятор'!$G$10="ежемесячное (в конце месяца)",EOMONTH(F306,0)=F306),SUM($H$23:H306)-SUM($I$23:I305),IF(AND('депозитный калькулятор'!$G$10="ежемесячное (по дням открытия вклада)",F306='депозитный калькулятор'!$D$8,DAY('депозитный калькулятор'!$D$7)&lt;&gt;DAY(F306)),IF('депозитный калькулятор'!$F$1=1,$H$24,SUM($H$23:H306)-SUM($I$23:I305)),IF(AND('депозитный калькулятор'!$G$10="ежемесячное (по дням открытия вклада)",DAY('депозитный калькулятор'!$D$7)=DAY(F306)),SUM($H$23:H306)-SUM($I$23:I305),IF(AND('депозитный калькулятор'!$G$10="ежемесячное, на минимальную сумму зафиксированную в течение месяца",F306='депозитный калькулятор'!$D$8,EOMONTH(F306,0)&lt;&gt;F306),IF('депозитный калькулятор'!$F$1=1,$H$24,IF(AND(OR('депозитный калькулятор'!$G$7="30/365",'депозитный калькулятор'!$G$7="30/360"),DAY(F306)=31),0,MIN(OFFSET(H306,-E306+1,0):H306)*(E306+SUMIF(OFFSET(A306,-E306+1,0):A306,"=2",OFFSET(A306,-E306+1,0):A306)))),IF(AND('депозитный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калькулятор'!$G$7="30/360"),DAY(EOMONTH(F306,0))=31),EOMONTH(F306,0)-1=F306,EOMONTH(F306,0)=F306)),IF(IF(AND(OR('депозитный калькулятор'!$G$7="30/365",'депозитный калькулятор'!$G$7="30/360"),DAY(EOMONTH($F$23,0))=31),F306=EOMONTH($F$23,0)-1,F306=EOMONTH($F$23,0)),MIN(OFFSET(H306,-(DAY(F306)-DAY($F$23)),0):H306)*E306,MIN(OFFSET(H306,-(DAY(F306)-1),0):H306)*IF(AND(OR('депозитный калькулятор'!$G$7="30/365",'депозитный калькулятор'!$G$7="30/360"),DAY(F306)&lt;30),30,DAY(F306))),IF(AND('депозитный калькулятор'!$G$10="ежемесячное, на средний остаток в течение месяца, при условии что остаток больше чем ограничение",F306='депозитный калькулятор'!$D$8,EOMONTH(F306,0)&lt;&gt;F306),IF('депозитный калькулятор'!$F$1=1,$H$24,SUM(OFFSET(Q306,-E306+1,0):Q306)),IF(AND('депозитный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калькулятор'!$G$7="30/360"),DAY(EOMONTH(F306,0))=31),EOMONTH(F306,0)-1=F306,EOMONTH(F306,0)=F306)),IF(IF(AND(OR('депозитный калькулятор'!$G$7="30/365",'депозитный калькулятор'!$G$7="30/360"),DAY(EOMONTH($F$24,0))=31),F306=EOMONTH($F$24,0)-1,F306=EOMONTH($F$24,0)),SUM(OFFSET(Q306,-E306+1,0):Q306),SUM(OFFSET(Q306,-E306+1,0):Q306)),IF('депозитный калькулятор'!$G$10="ежеквартальное",IF(F306&gt;'депозитный калькулятор'!$D$8," ",IF(AND(EOMONTH(F306,0)=F306,OR(MONTH(F306)=3,MONTH(F306)=6,MONTH(F306)=9,MONTH(F306)=12)),IF(EDATE(F306,-3)&lt;'депозитный калькулятор'!$D$7,SUM($H$23:H306),IF(MOD(YEAR(F306),4)=0,IF(AND(EOMONTH(F306,0)=F306,OR(MONTH(F306)=3,MONTH(F306)=6)),SUM(OFFSET(H306,-90,0):H306),IF(AND(EOMONTH(F306,0)=F306,OR(MONTH(F306)=9,MONTH(F306)=12)),SUM(OFFSET(H306,-91,0):H306))),IF(AND(EOMONTH(F306,0)=F306,MONTH(F306)=3),SUM(OFFSET(H306,-89,0):H306),IF(AND(EOMONTH(F306,0)=F306,MONTH(F306)=6),SUM(OFFSET(H306,-90,0):H306),IF(AND(EOMONTH(F306,0)=F306,OR(MONTH(F306)=9,MONTH(F306)=12)),SUM(OFFSET(H306,-91,0):H306)))))),IF(F306='депозитный калькулятор'!$D$8,SUM($H$23:H306)-SUM($I$23:I305),0))),IF('депозитный калькулятор'!$G$10="ежегодное",IF(F306&gt;'депозитный калькулятор'!$D$8," ",IF(F306='депозитный калькулятор'!$D$8,SUM($H$23:H306)-SUM($I$23:I305),IF(AND(EOMONTH(F306,0)=F306,MONTH(F306)=12),IF(MOD(YEAR(F305),4)=0,IF(F306-'депозитный калькулятор'!$D$7&lt;366,SUM($H$23:H306),SUM(OFFSET(H306,-365,0):H306)),IF(F306-'депозитный калькулятор'!$D$7&lt;365,SUM($H$23:H306),SUM(OFFSET(H306,-364,0):H306))),0))),IF(AND('депозитный калькулятор'!$G$10="в конце срока",'депозитный калькулятор'!$D$8=F306),SUM($H$23:H306),0))))))))))))))))))</f>
        <v xml:space="preserve"> </v>
      </c>
      <c r="J306" s="59" t="str">
        <f>IF(F306&gt;'депозитный калькулятор'!$D$8," ",IF('депозитный калькулятор'!$G$16="нет",0,IF(AND('депозитный калькулятор'!$G$17="разовая (в конце срока)",F306='депозитный калькулятор'!$D$8),'депозитный калькулятор'!$G$18,IF(AND('депозитный калькулятор'!$G$17="ежемесячная",EOMONTH(F305,0)=F305),'депозитный калькулятор'!$G$18,IF(AND('депозитный калькулятор'!$G$17="ежегодная",DAY(F305)=31,MONTH(F305)=12),'депозитный калькулятор'!$G$18,IF(AND('депозитный калькулятор'!$G$17="ежемесячная в зависимости от остатка",EOMONTH(F305,0)=F305,P305&gt;0),'депозитный калькулятор'!$G$18,IF(AND('депозитный калькулятор'!$G$17="ежегодная в зависимости от остатка",DAY(F305)=31,MONTH(F305)=12,P305&gt;0),'депозитный калькулятор'!$G$18,0)))))))</f>
        <v xml:space="preserve"> </v>
      </c>
      <c r="K306" s="135" t="str">
        <f>IF($F306=" "," ",IFERROR(VLOOKUP($F306,'депозитный калькулятор'!$B$26:$F$70,2,0),0))</f>
        <v xml:space="preserve"> </v>
      </c>
      <c r="L306" s="135" t="str">
        <f>IF($F306=" "," ",IFERROR(VLOOKUP($F306,'депозитный калькулятор'!$B$26:$F$70,3,0),0))</f>
        <v xml:space="preserve"> </v>
      </c>
      <c r="M306" s="135" t="str">
        <f>IF($F306=" "," ",IFERROR(VLOOKUP($F306,'депозитный калькулятор'!$B$26:$F$70,4,0),0))</f>
        <v xml:space="preserve"> </v>
      </c>
      <c r="N306" s="135" t="str">
        <f>IF($F306=" "," ",IFERROR(VLOOKUP($F306,'депозитный калькулятор'!$B$26:$F$70,5,0),0))</f>
        <v xml:space="preserve"> </v>
      </c>
      <c r="O306" s="146" t="str">
        <f>IF(F306&gt;'депозитный калькулятор'!$D$8," ",IF(F306='депозитный калькулятор'!$D$8,IF(AND($F$24='депозитный калькулятор'!$D$8,'депозитный калькулятор'!$G$13="нет"),-G306-IF(I306=" ",0,I306)-IF(AND(OR('депозитный калькулятор'!$G$7="30/365",'депозитный калькулятор'!$G$7="30/360"),'депозитный калькулятор'!$G$10="в начале срока"),I305,0)-L306+M306-N306,-G306-IF(I306=" ",0,I306)-L306+M306-N306),IF('депозитный калькулятор'!$G$13="есть",M306-N306+IF('депозитный калькулятор'!$G$14="есть",0,-L306),-IF(I306=" ",0,I306)-IF(AND(OR('депозитный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срока"),I305,0)+M306-N306+IF('депозитный калькулятор'!$G$14="есть",0,-L306))))</f>
        <v xml:space="preserve"> </v>
      </c>
      <c r="P306" s="147" t="str">
        <f>IF(F306&gt;'депозитный калькулятор'!$D$8," ",IF(EOMONTH(F305,0)=F305,0,IF(G306&gt;='депозитный калькулятор'!$G$19,P305,P305+1)))</f>
        <v xml:space="preserve"> </v>
      </c>
      <c r="Q306" s="138" t="str">
        <f>IF(F306=" "," ",IF(AND(OR('депозитный калькулятор'!$G$7="30/365",'депозитный калькулятор'!$G$7="30/360"),AND(MONTH(F306)=2,EOMONTH(F306,0)=F306)),IF(DAY(F306)=28,3,2),1)*IF(G306&gt;='депозитный калькулятор'!$G$11,IF(AND('депозитный калькулятор'!$G$7="факт/факт",MOD(YEAR(F306),4)=0),G306*'депозитный калькулятор'!$D$11/366,G306*'депозитный калькулятор'!$G$8),0))</f>
        <v xml:space="preserve"> </v>
      </c>
      <c r="R306" s="148"/>
      <c r="S306" s="62" t="str">
        <f t="shared" ca="1" si="22"/>
        <v xml:space="preserve"> </v>
      </c>
      <c r="T306" s="149" t="str">
        <f ca="1">IF(S306=" "," ",IF('депозитный калькулятор'!$G$7="30/360",DAYS360(U305,IF(DAY(U306)=31,U306-1,U306))+IF(AND(MONTH(U306)=2,U306=EOMONTH(U306,0)),30-DAY(EOMONTH(U306,0)))+T305,VLOOKUP(S306,$C$22:$F$1023,2,0)))</f>
        <v xml:space="preserve"> </v>
      </c>
      <c r="U306" s="64" t="str">
        <f t="shared" ca="1" si="20"/>
        <v xml:space="preserve"> </v>
      </c>
      <c r="V306" s="150" t="str">
        <f t="shared" ca="1" si="23"/>
        <v xml:space="preserve"> </v>
      </c>
      <c r="W306" s="62" t="str">
        <f t="shared" ca="1" si="24"/>
        <v xml:space="preserve"> </v>
      </c>
      <c r="X306" s="141" t="str">
        <f ca="1">IF(S306=" "," ",IFERROR(VLOOKUP(U306,$F$23:$N$1023,7)+VLOOKUP(U306,$F$23:$N$1023,9)+IF(AND('депозитный калькулятор'!$G$13="нет",U306&lt;&gt;'депозитный калькулятор'!$D$8),VLOOKUP(U306,$F$23:$N$1023,4),0),0)+IF(U306='депозитный калькулятор'!$D$8,VLOOKUP(U306,$F$23:$N$1023,2)+VLOOKUP(U306,$F$23:$N$1023,4),0))</f>
        <v xml:space="preserve"> </v>
      </c>
      <c r="Y306" s="142" t="str">
        <f ca="1">IF(S306=" "," ",W306/(1+'депозитный калькулятор'!$K$8)^(T306/IF('депозитный калькулятор'!$G$7="30/360",360,365)))</f>
        <v xml:space="preserve"> </v>
      </c>
      <c r="Z306" s="142" t="str">
        <f ca="1">IF(S306=" "," ",X306/(1+'депозитный калькулятор'!$K$8)^(T306/IF('депозитный калькулятор'!$G$7="30/360",360,365)))</f>
        <v xml:space="preserve"> </v>
      </c>
      <c r="AA306" s="151"/>
      <c r="AB306" s="151"/>
      <c r="AC306" s="155"/>
      <c r="AD306" s="155"/>
    </row>
    <row r="307" spans="1:30" s="2" customFormat="1" ht="15.5" x14ac:dyDescent="0.35">
      <c r="A307" s="41" t="str">
        <f>IF(F307=" "," ",IF(OR('депозитный калькулятор'!$G$7="30/365",'депозитный калькулятор'!$G$7="30/360"),IF(AND(MONTH(F307)=2,DAY(F307)=DAY(EOMONTH(F307,0))),30-DAY(EOMONTH(F307,0)),IF(DAY(F307)=31,1," "))," "))</f>
        <v xml:space="preserve"> </v>
      </c>
      <c r="B307" s="130" t="str">
        <f t="shared" si="21"/>
        <v xml:space="preserve"> </v>
      </c>
      <c r="C307" s="130" t="str">
        <f>IF(OR(B307=0,B307=" ")," ",SUM($B$23:B307))</f>
        <v xml:space="preserve"> </v>
      </c>
      <c r="D307" s="62" t="str">
        <f>IF(D306=" "," ",IF(OR(F306='депозитный калькулятор'!$D$8,F306=" ")," ",D306+1))</f>
        <v xml:space="preserve"> </v>
      </c>
      <c r="E307" s="130" t="str">
        <f>IF(OR(F306='депозитный калькулятор'!$D$8,F306=" ")," ",IF(EOMONTH(F306,0)=F306,1,E306+1))</f>
        <v xml:space="preserve"> </v>
      </c>
      <c r="F307" s="64" t="str">
        <f>IF(F306=" "," ",IF(F306='депозитный калькулятор'!$D$8," ",F306+1))</f>
        <v xml:space="preserve"> </v>
      </c>
      <c r="G307" s="145" t="str">
        <f xml:space="preserve"> IF(F307&gt;'депозитный калькулятор'!$D$8," ",IF('депозитный калькулятор'!$G$13="есть",IF('депозитный калькулятор'!$G$14="есть",G306+IF(I306=" ",0,I306)-J307-K307+L307+M307-N307,G306+IF(I306=" ",0,I306)-J307-K307+M307-N307),IF('депозитный калькулятор'!$G$14="есть",G306-J307-K307+L307+M307-N307,G306-J307-K307+M307-N307)))</f>
        <v xml:space="preserve"> </v>
      </c>
      <c r="H307" s="133" t="str">
        <f>IF(F307&gt;'депозитный калькулятор'!$D$8," ",IF(AND(OR('депозитный калькулятор'!$G$7="30/365",'депозитный калькулятор'!$G$7="30/360"),AND(MONTH(F307)=2,EOMONTH(F307,0)=F307)),IF(DAY(F307)=28,3*G307*'депозитный калькулятор'!$G$8,2*G307*'депозитный калькулятор'!$G$8),IF(AND(OR('депозитный калькулятор'!$G$7="30/365",'депозитный калькулятор'!$G$7="30/360"),DAY(F307)=31)," ",IF(AND('депозитный калькулятор'!$G$7="факт/факт",MOD(YEAR(F307),4)=0),G307*'депозитный калькулятор'!$D$11/366,G307*'депозитный калькулятор'!$G$8))))</f>
        <v xml:space="preserve"> </v>
      </c>
      <c r="I307" s="134" t="str">
        <f ca="1">IF(F307=" "," ",IF('депозитный калькулятор'!$G$10="ежедневное",H307,IF(AND('депозитный калькулятор'!$G$10="еженедельное",WEEKDAY(F307,2)=7),SUM(OFFSET(H307,-6,0):H307),IF(AND('депозитный калькулятор'!$G$10="еженедельное",F307='депозитный калькулятор'!$D$8),SUM($H$23:H307)-SUM($I$23:I306),IF(AND('депозитный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недели",WEEKDAY(F307,2)=7),MIN(OFFSET(H307,-6,0):H307)*(COUNTIF(OFFSET(H307,-6,0):H307,"&gt;0")+SUMIF(OFFSET(A307,-WEEKDAY(F307,2),0):A307,"=2",OFFSET(A307,-WEEKDAY(F307,2),0):A307)),IF(AND('депозитный калькулятор'!$G$10="еженедельное, на минимальную сумму зафиксированную в течение недели",F307='депозитный калькулятор'!$D$8,WEEKDAY(F307,2)&lt;&gt;7),MIN(OFFSET(H307,-WEEKDAY(F307,2),0):H307)*(COUNTIF(OFFSET(H307,-WEEKDAY(F307,2)+1,0):H307,"&gt;0")+SUM(OFFSET(A307,-WEEKDAY(F307,2),0):A307)),IF(AND('депозитный калькулятор'!$G$10="ежемесячное (в конце месяца)",F307='депозитный калькулятор'!$D$8,EOMONTH(F307,0)&lt;&gt;F307),IF('депозитный калькулятор'!$F$1=1,$H$24,SUM($H$23:H307)-SUM($I$23:I306)),IF(AND('депозитный калькулятор'!$G$10="ежемесячное (в конце месяца)",EOMONTH(F307,0)=F307),SUM($H$23:H307)-SUM($I$23:I306),IF(AND('депозитный калькулятор'!$G$10="ежемесячное (по дням открытия вклада)",F307='депозитный калькулятор'!$D$8,DAY('депозитный калькулятор'!$D$7)&lt;&gt;DAY(F307)),IF('депозитный калькулятор'!$F$1=1,$H$24,SUM($H$23:H307)-SUM($I$23:I306)),IF(AND('депозитный калькулятор'!$G$10="ежемесячное (по дням открытия вклада)",DAY('депозитный калькулятор'!$D$7)=DAY(F307)),SUM($H$23:H307)-SUM($I$23:I306),IF(AND('депозитный калькулятор'!$G$10="ежемесячное, на минимальную сумму зафиксированную в течение месяца",F307='депозитный калькулятор'!$D$8,EOMONTH(F307,0)&lt;&gt;F307),IF('депозитный калькулятор'!$F$1=1,$H$24,IF(AND(OR('депозитный калькулятор'!$G$7="30/365",'депозитный калькулятор'!$G$7="30/360"),DAY(F307)=31),0,MIN(OFFSET(H307,-E307+1,0):H307)*(E307+SUMIF(OFFSET(A307,-E307+1,0):A307,"=2",OFFSET(A307,-E307+1,0):A307)))),IF(AND('депозитный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калькулятор'!$G$7="30/360"),DAY(EOMONTH(F307,0))=31),EOMONTH(F307,0)-1=F307,EOMONTH(F307,0)=F307)),IF(IF(AND(OR('депозитный калькулятор'!$G$7="30/365",'депозитный калькулятор'!$G$7="30/360"),DAY(EOMONTH($F$23,0))=31),F307=EOMONTH($F$23,0)-1,F307=EOMONTH($F$23,0)),MIN(OFFSET(H307,-(DAY(F307)-DAY($F$23)),0):H307)*E307,MIN(OFFSET(H307,-(DAY(F307)-1),0):H307)*IF(AND(OR('депозитный калькулятор'!$G$7="30/365",'депозитный калькулятор'!$G$7="30/360"),DAY(F307)&lt;30),30,DAY(F307))),IF(AND('депозитный калькулятор'!$G$10="ежемесячное, на средний остаток в течение месяца, при условии что остаток больше чем ограничение",F307='депозитный калькулятор'!$D$8,EOMONTH(F307,0)&lt;&gt;F307),IF('депозитный калькулятор'!$F$1=1,$H$24,SUM(OFFSET(Q307,-E307+1,0):Q307)),IF(AND('депозитный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калькулятор'!$G$7="30/360"),DAY(EOMONTH(F307,0))=31),EOMONTH(F307,0)-1=F307,EOMONTH(F307,0)=F307)),IF(IF(AND(OR('депозитный калькулятор'!$G$7="30/365",'депозитный калькулятор'!$G$7="30/360"),DAY(EOMONTH($F$24,0))=31),F307=EOMONTH($F$24,0)-1,F307=EOMONTH($F$24,0)),SUM(OFFSET(Q307,-E307+1,0):Q307),SUM(OFFSET(Q307,-E307+1,0):Q307)),IF('депозитный калькулятор'!$G$10="ежеквартальное",IF(F307&gt;'депозитный калькулятор'!$D$8," ",IF(AND(EOMONTH(F307,0)=F307,OR(MONTH(F307)=3,MONTH(F307)=6,MONTH(F307)=9,MONTH(F307)=12)),IF(EDATE(F307,-3)&lt;'депозитный калькулятор'!$D$7,SUM($H$23:H307),IF(MOD(YEAR(F307),4)=0,IF(AND(EOMONTH(F307,0)=F307,OR(MONTH(F307)=3,MONTH(F307)=6)),SUM(OFFSET(H307,-90,0):H307),IF(AND(EOMONTH(F307,0)=F307,OR(MONTH(F307)=9,MONTH(F307)=12)),SUM(OFFSET(H307,-91,0):H307))),IF(AND(EOMONTH(F307,0)=F307,MONTH(F307)=3),SUM(OFFSET(H307,-89,0):H307),IF(AND(EOMONTH(F307,0)=F307,MONTH(F307)=6),SUM(OFFSET(H307,-90,0):H307),IF(AND(EOMONTH(F307,0)=F307,OR(MONTH(F307)=9,MONTH(F307)=12)),SUM(OFFSET(H307,-91,0):H307)))))),IF(F307='депозитный калькулятор'!$D$8,SUM($H$23:H307)-SUM($I$23:I306),0))),IF('депозитный калькулятор'!$G$10="ежегодное",IF(F307&gt;'депозитный калькулятор'!$D$8," ",IF(F307='депозитный калькулятор'!$D$8,SUM($H$23:H307)-SUM($I$23:I306),IF(AND(EOMONTH(F307,0)=F307,MONTH(F307)=12),IF(MOD(YEAR(F306),4)=0,IF(F307-'депозитный калькулятор'!$D$7&lt;366,SUM($H$23:H307),SUM(OFFSET(H307,-365,0):H307)),IF(F307-'депозитный калькулятор'!$D$7&lt;365,SUM($H$23:H307),SUM(OFFSET(H307,-364,0):H307))),0))),IF(AND('депозитный калькулятор'!$G$10="в конце срока",'депозитный калькулятор'!$D$8=F307),SUM($H$23:H307),0))))))))))))))))))</f>
        <v xml:space="preserve"> </v>
      </c>
      <c r="J307" s="59" t="str">
        <f>IF(F307&gt;'депозитный калькулятор'!$D$8," ",IF('депозитный калькулятор'!$G$16="нет",0,IF(AND('депозитный калькулятор'!$G$17="разовая (в конце срока)",F307='депозитный калькулятор'!$D$8),'депозитный калькулятор'!$G$18,IF(AND('депозитный калькулятор'!$G$17="ежемесячная",EOMONTH(F306,0)=F306),'депозитный калькулятор'!$G$18,IF(AND('депозитный калькулятор'!$G$17="ежегодная",DAY(F306)=31,MONTH(F306)=12),'депозитный калькулятор'!$G$18,IF(AND('депозитный калькулятор'!$G$17="ежемесячная в зависимости от остатка",EOMONTH(F306,0)=F306,P306&gt;0),'депозитный калькулятор'!$G$18,IF(AND('депозитный калькулятор'!$G$17="ежегодная в зависимости от остатка",DAY(F306)=31,MONTH(F306)=12,P306&gt;0),'депозитный калькулятор'!$G$18,0)))))))</f>
        <v xml:space="preserve"> </v>
      </c>
      <c r="K307" s="135" t="str">
        <f>IF($F307=" "," ",IFERROR(VLOOKUP($F307,'депозитный калькулятор'!$B$26:$F$70,2,0),0))</f>
        <v xml:space="preserve"> </v>
      </c>
      <c r="L307" s="135" t="str">
        <f>IF($F307=" "," ",IFERROR(VLOOKUP($F307,'депозитный калькулятор'!$B$26:$F$70,3,0),0))</f>
        <v xml:space="preserve"> </v>
      </c>
      <c r="M307" s="135" t="str">
        <f>IF($F307=" "," ",IFERROR(VLOOKUP($F307,'депозитный калькулятор'!$B$26:$F$70,4,0),0))</f>
        <v xml:space="preserve"> </v>
      </c>
      <c r="N307" s="135" t="str">
        <f>IF($F307=" "," ",IFERROR(VLOOKUP($F307,'депозитный калькулятор'!$B$26:$F$70,5,0),0))</f>
        <v xml:space="preserve"> </v>
      </c>
      <c r="O307" s="146" t="str">
        <f>IF(F307&gt;'депозитный калькулятор'!$D$8," ",IF(F307='депозитный калькулятор'!$D$8,IF(AND($F$24='депозитный калькулятор'!$D$8,'депозитный калькулятор'!$G$13="нет"),-G307-IF(I307=" ",0,I307)-IF(AND(OR('депозитный калькулятор'!$G$7="30/365",'депозитный калькулятор'!$G$7="30/360"),'депозитный калькулятор'!$G$10="в начале срока"),I306,0)-L307+M307-N307,-G307-IF(I307=" ",0,I307)-L307+M307-N307),IF('депозитный калькулятор'!$G$13="есть",M307-N307+IF('депозитный калькулятор'!$G$14="есть",0,-L307),-IF(I307=" ",0,I307)-IF(AND(OR('депозитный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срока"),I306,0)+M307-N307+IF('депозитный калькулятор'!$G$14="есть",0,-L307))))</f>
        <v xml:space="preserve"> </v>
      </c>
      <c r="P307" s="147" t="str">
        <f>IF(F307&gt;'депозитный калькулятор'!$D$8," ",IF(EOMONTH(F306,0)=F306,0,IF(G307&gt;='депозитный калькулятор'!$G$19,P306,P306+1)))</f>
        <v xml:space="preserve"> </v>
      </c>
      <c r="Q307" s="138" t="str">
        <f>IF(F307=" "," ",IF(AND(OR('депозитный калькулятор'!$G$7="30/365",'депозитный калькулятор'!$G$7="30/360"),AND(MONTH(F307)=2,EOMONTH(F307,0)=F307)),IF(DAY(F307)=28,3,2),1)*IF(G307&gt;='депозитный калькулятор'!$G$11,IF(AND('депозитный калькулятор'!$G$7="факт/факт",MOD(YEAR(F307),4)=0),G307*'депозитный калькулятор'!$D$11/366,G307*'депозитный калькулятор'!$G$8),0))</f>
        <v xml:space="preserve"> </v>
      </c>
      <c r="R307" s="148"/>
      <c r="S307" s="62" t="str">
        <f t="shared" ca="1" si="22"/>
        <v xml:space="preserve"> </v>
      </c>
      <c r="T307" s="149" t="str">
        <f ca="1">IF(S307=" "," ",IF('депозитный калькулятор'!$G$7="30/360",DAYS360(U306,IF(DAY(U307)=31,U307-1,U307))+IF(AND(MONTH(U307)=2,U307=EOMONTH(U307,0)),30-DAY(EOMONTH(U307,0)))+T306,VLOOKUP(S307,$C$22:$F$1023,2,0)))</f>
        <v xml:space="preserve"> </v>
      </c>
      <c r="U307" s="64" t="str">
        <f t="shared" ca="1" si="20"/>
        <v xml:space="preserve"> </v>
      </c>
      <c r="V307" s="150" t="str">
        <f t="shared" ca="1" si="23"/>
        <v xml:space="preserve"> </v>
      </c>
      <c r="W307" s="62" t="str">
        <f t="shared" ca="1" si="24"/>
        <v xml:space="preserve"> </v>
      </c>
      <c r="X307" s="141" t="str">
        <f ca="1">IF(S307=" "," ",IFERROR(VLOOKUP(U307,$F$23:$N$1023,7)+VLOOKUP(U307,$F$23:$N$1023,9)+IF(AND('депозитный калькулятор'!$G$13="нет",U307&lt;&gt;'депозитный калькулятор'!$D$8),VLOOKUP(U307,$F$23:$N$1023,4),0),0)+IF(U307='депозитный калькулятор'!$D$8,VLOOKUP(U307,$F$23:$N$1023,2)+VLOOKUP(U307,$F$23:$N$1023,4),0))</f>
        <v xml:space="preserve"> </v>
      </c>
      <c r="Y307" s="142" t="str">
        <f ca="1">IF(S307=" "," ",W307/(1+'депозитный калькулятор'!$K$8)^(T307/IF('депозитный калькулятор'!$G$7="30/360",360,365)))</f>
        <v xml:space="preserve"> </v>
      </c>
      <c r="Z307" s="142" t="str">
        <f ca="1">IF(S307=" "," ",X307/(1+'депозитный калькулятор'!$K$8)^(T307/IF('депозитный калькулятор'!$G$7="30/360",360,365)))</f>
        <v xml:space="preserve"> </v>
      </c>
      <c r="AA307" s="151"/>
      <c r="AB307" s="151"/>
      <c r="AC307" s="155"/>
      <c r="AD307" s="155"/>
    </row>
    <row r="308" spans="1:30" s="2" customFormat="1" ht="15.5" x14ac:dyDescent="0.35">
      <c r="A308" s="41" t="str">
        <f>IF(F308=" "," ",IF(OR('депозитный калькулятор'!$G$7="30/365",'депозитный калькулятор'!$G$7="30/360"),IF(AND(MONTH(F308)=2,DAY(F308)=DAY(EOMONTH(F308,0))),30-DAY(EOMONTH(F308,0)),IF(DAY(F308)=31,1," "))," "))</f>
        <v xml:space="preserve"> </v>
      </c>
      <c r="B308" s="130" t="str">
        <f t="shared" si="21"/>
        <v xml:space="preserve"> </v>
      </c>
      <c r="C308" s="130" t="str">
        <f>IF(OR(B308=0,B308=" ")," ",SUM($B$23:B308))</f>
        <v xml:space="preserve"> </v>
      </c>
      <c r="D308" s="62" t="str">
        <f>IF(D307=" "," ",IF(OR(F307='депозитный калькулятор'!$D$8,F307=" ")," ",D307+1))</f>
        <v xml:space="preserve"> </v>
      </c>
      <c r="E308" s="130" t="str">
        <f>IF(OR(F307='депозитный калькулятор'!$D$8,F307=" ")," ",IF(EOMONTH(F307,0)=F307,1,E307+1))</f>
        <v xml:space="preserve"> </v>
      </c>
      <c r="F308" s="64" t="str">
        <f>IF(F307=" "," ",IF(F307='депозитный калькулятор'!$D$8," ",F307+1))</f>
        <v xml:space="preserve"> </v>
      </c>
      <c r="G308" s="145" t="str">
        <f xml:space="preserve"> IF(F308&gt;'депозитный калькулятор'!$D$8," ",IF('депозитный калькулятор'!$G$13="есть",IF('депозитный калькулятор'!$G$14="есть",G307+IF(I307=" ",0,I307)-J308-K308+L308+M308-N308,G307+IF(I307=" ",0,I307)-J308-K308+M308-N308),IF('депозитный калькулятор'!$G$14="есть",G307-J308-K308+L308+M308-N308,G307-J308-K308+M308-N308)))</f>
        <v xml:space="preserve"> </v>
      </c>
      <c r="H308" s="133" t="str">
        <f>IF(F308&gt;'депозитный калькулятор'!$D$8," ",IF(AND(OR('депозитный калькулятор'!$G$7="30/365",'депозитный калькулятор'!$G$7="30/360"),AND(MONTH(F308)=2,EOMONTH(F308,0)=F308)),IF(DAY(F308)=28,3*G308*'депозитный калькулятор'!$G$8,2*G308*'депозитный калькулятор'!$G$8),IF(AND(OR('депозитный калькулятор'!$G$7="30/365",'депозитный калькулятор'!$G$7="30/360"),DAY(F308)=31)," ",IF(AND('депозитный калькулятор'!$G$7="факт/факт",MOD(YEAR(F308),4)=0),G308*'депозитный калькулятор'!$D$11/366,G308*'депозитный калькулятор'!$G$8))))</f>
        <v xml:space="preserve"> </v>
      </c>
      <c r="I308" s="134" t="str">
        <f ca="1">IF(F308=" "," ",IF('депозитный калькулятор'!$G$10="ежедневное",H308,IF(AND('депозитный калькулятор'!$G$10="еженедельное",WEEKDAY(F308,2)=7),SUM(OFFSET(H308,-6,0):H308),IF(AND('депозитный калькулятор'!$G$10="еженедельное",F308='депозитный калькулятор'!$D$8),SUM($H$23:H308)-SUM($I$23:I307),IF(AND('депозитный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недели",WEEKDAY(F308,2)=7),MIN(OFFSET(H308,-6,0):H308)*(COUNTIF(OFFSET(H308,-6,0):H308,"&gt;0")+SUMIF(OFFSET(A308,-WEEKDAY(F308,2),0):A308,"=2",OFFSET(A308,-WEEKDAY(F308,2),0):A308)),IF(AND('депозитный калькулятор'!$G$10="еженедельное, на минимальную сумму зафиксированную в течение недели",F308='депозитный калькулятор'!$D$8,WEEKDAY(F308,2)&lt;&gt;7),MIN(OFFSET(H308,-WEEKDAY(F308,2),0):H308)*(COUNTIF(OFFSET(H308,-WEEKDAY(F308,2)+1,0):H308,"&gt;0")+SUM(OFFSET(A308,-WEEKDAY(F308,2),0):A308)),IF(AND('депозитный калькулятор'!$G$10="ежемесячное (в конце месяца)",F308='депозитный калькулятор'!$D$8,EOMONTH(F308,0)&lt;&gt;F308),IF('депозитный калькулятор'!$F$1=1,$H$24,SUM($H$23:H308)-SUM($I$23:I307)),IF(AND('депозитный калькулятор'!$G$10="ежемесячное (в конце месяца)",EOMONTH(F308,0)=F308),SUM($H$23:H308)-SUM($I$23:I307),IF(AND('депозитный калькулятор'!$G$10="ежемесячное (по дням открытия вклада)",F308='депозитный калькулятор'!$D$8,DAY('депозитный калькулятор'!$D$7)&lt;&gt;DAY(F308)),IF('депозитный калькулятор'!$F$1=1,$H$24,SUM($H$23:H308)-SUM($I$23:I307)),IF(AND('депозитный калькулятор'!$G$10="ежемесячное (по дням открытия вклада)",DAY('депозитный калькулятор'!$D$7)=DAY(F308)),SUM($H$23:H308)-SUM($I$23:I307),IF(AND('депозитный калькулятор'!$G$10="ежемесячное, на минимальную сумму зафиксированную в течение месяца",F308='депозитный калькулятор'!$D$8,EOMONTH(F308,0)&lt;&gt;F308),IF('депозитный калькулятор'!$F$1=1,$H$24,IF(AND(OR('депозитный калькулятор'!$G$7="30/365",'депозитный калькулятор'!$G$7="30/360"),DAY(F308)=31),0,MIN(OFFSET(H308,-E308+1,0):H308)*(E308+SUMIF(OFFSET(A308,-E308+1,0):A308,"=2",OFFSET(A308,-E308+1,0):A308)))),IF(AND('депозитный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калькулятор'!$G$7="30/360"),DAY(EOMONTH(F308,0))=31),EOMONTH(F308,0)-1=F308,EOMONTH(F308,0)=F308)),IF(IF(AND(OR('депозитный калькулятор'!$G$7="30/365",'депозитный калькулятор'!$G$7="30/360"),DAY(EOMONTH($F$23,0))=31),F308=EOMONTH($F$23,0)-1,F308=EOMONTH($F$23,0)),MIN(OFFSET(H308,-(DAY(F308)-DAY($F$23)),0):H308)*E308,MIN(OFFSET(H308,-(DAY(F308)-1),0):H308)*IF(AND(OR('депозитный калькулятор'!$G$7="30/365",'депозитный калькулятор'!$G$7="30/360"),DAY(F308)&lt;30),30,DAY(F308))),IF(AND('депозитный калькулятор'!$G$10="ежемесячное, на средний остаток в течение месяца, при условии что остаток больше чем ограничение",F308='депозитный калькулятор'!$D$8,EOMONTH(F308,0)&lt;&gt;F308),IF('депозитный калькулятор'!$F$1=1,$H$24,SUM(OFFSET(Q308,-E308+1,0):Q308)),IF(AND('депозитный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калькулятор'!$G$7="30/360"),DAY(EOMONTH(F308,0))=31),EOMONTH(F308,0)-1=F308,EOMONTH(F308,0)=F308)),IF(IF(AND(OR('депозитный калькулятор'!$G$7="30/365",'депозитный калькулятор'!$G$7="30/360"),DAY(EOMONTH($F$24,0))=31),F308=EOMONTH($F$24,0)-1,F308=EOMONTH($F$24,0)),SUM(OFFSET(Q308,-E308+1,0):Q308),SUM(OFFSET(Q308,-E308+1,0):Q308)),IF('депозитный калькулятор'!$G$10="ежеквартальное",IF(F308&gt;'депозитный калькулятор'!$D$8," ",IF(AND(EOMONTH(F308,0)=F308,OR(MONTH(F308)=3,MONTH(F308)=6,MONTH(F308)=9,MONTH(F308)=12)),IF(EDATE(F308,-3)&lt;'депозитный калькулятор'!$D$7,SUM($H$23:H308),IF(MOD(YEAR(F308),4)=0,IF(AND(EOMONTH(F308,0)=F308,OR(MONTH(F308)=3,MONTH(F308)=6)),SUM(OFFSET(H308,-90,0):H308),IF(AND(EOMONTH(F308,0)=F308,OR(MONTH(F308)=9,MONTH(F308)=12)),SUM(OFFSET(H308,-91,0):H308))),IF(AND(EOMONTH(F308,0)=F308,MONTH(F308)=3),SUM(OFFSET(H308,-89,0):H308),IF(AND(EOMONTH(F308,0)=F308,MONTH(F308)=6),SUM(OFFSET(H308,-90,0):H308),IF(AND(EOMONTH(F308,0)=F308,OR(MONTH(F308)=9,MONTH(F308)=12)),SUM(OFFSET(H308,-91,0):H308)))))),IF(F308='депозитный калькулятор'!$D$8,SUM($H$23:H308)-SUM($I$23:I307),0))),IF('депозитный калькулятор'!$G$10="ежегодное",IF(F308&gt;'депозитный калькулятор'!$D$8," ",IF(F308='депозитный калькулятор'!$D$8,SUM($H$23:H308)-SUM($I$23:I307),IF(AND(EOMONTH(F308,0)=F308,MONTH(F308)=12),IF(MOD(YEAR(F307),4)=0,IF(F308-'депозитный калькулятор'!$D$7&lt;366,SUM($H$23:H308),SUM(OFFSET(H308,-365,0):H308)),IF(F308-'депозитный калькулятор'!$D$7&lt;365,SUM($H$23:H308),SUM(OFFSET(H308,-364,0):H308))),0))),IF(AND('депозитный калькулятор'!$G$10="в конце срока",'депозитный калькулятор'!$D$8=F308),SUM($H$23:H308),0))))))))))))))))))</f>
        <v xml:space="preserve"> </v>
      </c>
      <c r="J308" s="59" t="str">
        <f>IF(F308&gt;'депозитный калькулятор'!$D$8," ",IF('депозитный калькулятор'!$G$16="нет",0,IF(AND('депозитный калькулятор'!$G$17="разовая (в конце срока)",F308='депозитный калькулятор'!$D$8),'депозитный калькулятор'!$G$18,IF(AND('депозитный калькулятор'!$G$17="ежемесячная",EOMONTH(F307,0)=F307),'депозитный калькулятор'!$G$18,IF(AND('депозитный калькулятор'!$G$17="ежегодная",DAY(F307)=31,MONTH(F307)=12),'депозитный калькулятор'!$G$18,IF(AND('депозитный калькулятор'!$G$17="ежемесячная в зависимости от остатка",EOMONTH(F307,0)=F307,P307&gt;0),'депозитный калькулятор'!$G$18,IF(AND('депозитный калькулятор'!$G$17="ежегодная в зависимости от остатка",DAY(F307)=31,MONTH(F307)=12,P307&gt;0),'депозитный калькулятор'!$G$18,0)))))))</f>
        <v xml:space="preserve"> </v>
      </c>
      <c r="K308" s="135" t="str">
        <f>IF($F308=" "," ",IFERROR(VLOOKUP($F308,'депозитный калькулятор'!$B$26:$F$70,2,0),0))</f>
        <v xml:space="preserve"> </v>
      </c>
      <c r="L308" s="135" t="str">
        <f>IF($F308=" "," ",IFERROR(VLOOKUP($F308,'депозитный калькулятор'!$B$26:$F$70,3,0),0))</f>
        <v xml:space="preserve"> </v>
      </c>
      <c r="M308" s="135" t="str">
        <f>IF($F308=" "," ",IFERROR(VLOOKUP($F308,'депозитный калькулятор'!$B$26:$F$70,4,0),0))</f>
        <v xml:space="preserve"> </v>
      </c>
      <c r="N308" s="135" t="str">
        <f>IF($F308=" "," ",IFERROR(VLOOKUP($F308,'депозитный калькулятор'!$B$26:$F$70,5,0),0))</f>
        <v xml:space="preserve"> </v>
      </c>
      <c r="O308" s="146" t="str">
        <f>IF(F308&gt;'депозитный калькулятор'!$D$8," ",IF(F308='депозитный калькулятор'!$D$8,IF(AND($F$24='депозитный калькулятор'!$D$8,'депозитный калькулятор'!$G$13="нет"),-G308-IF(I308=" ",0,I308)-IF(AND(OR('депозитный калькулятор'!$G$7="30/365",'депозитный калькулятор'!$G$7="30/360"),'депозитный калькулятор'!$G$10="в начале срока"),I307,0)-L308+M308-N308,-G308-IF(I308=" ",0,I308)-L308+M308-N308),IF('депозитный калькулятор'!$G$13="есть",M308-N308+IF('депозитный калькулятор'!$G$14="есть",0,-L308),-IF(I308=" ",0,I308)-IF(AND(OR('депозитный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срока"),I307,0)+M308-N308+IF('депозитный калькулятор'!$G$14="есть",0,-L308))))</f>
        <v xml:space="preserve"> </v>
      </c>
      <c r="P308" s="147" t="str">
        <f>IF(F308&gt;'депозитный калькулятор'!$D$8," ",IF(EOMONTH(F307,0)=F307,0,IF(G308&gt;='депозитный калькулятор'!$G$19,P307,P307+1)))</f>
        <v xml:space="preserve"> </v>
      </c>
      <c r="Q308" s="138" t="str">
        <f>IF(F308=" "," ",IF(AND(OR('депозитный калькулятор'!$G$7="30/365",'депозитный калькулятор'!$G$7="30/360"),AND(MONTH(F308)=2,EOMONTH(F308,0)=F308)),IF(DAY(F308)=28,3,2),1)*IF(G308&gt;='депозитный калькулятор'!$G$11,IF(AND('депозитный калькулятор'!$G$7="факт/факт",MOD(YEAR(F308),4)=0),G308*'депозитный калькулятор'!$D$11/366,G308*'депозитный калькулятор'!$G$8),0))</f>
        <v xml:space="preserve"> </v>
      </c>
      <c r="R308" s="148"/>
      <c r="S308" s="62" t="str">
        <f t="shared" ca="1" si="22"/>
        <v xml:space="preserve"> </v>
      </c>
      <c r="T308" s="149" t="str">
        <f ca="1">IF(S308=" "," ",IF('депозитный калькулятор'!$G$7="30/360",DAYS360(U307,IF(DAY(U308)=31,U308-1,U308))+IF(AND(MONTH(U308)=2,U308=EOMONTH(U308,0)),30-DAY(EOMONTH(U308,0)))+T307,VLOOKUP(S308,$C$22:$F$1023,2,0)))</f>
        <v xml:space="preserve"> </v>
      </c>
      <c r="U308" s="64" t="str">
        <f t="shared" ca="1" si="20"/>
        <v xml:space="preserve"> </v>
      </c>
      <c r="V308" s="150" t="str">
        <f t="shared" ca="1" si="23"/>
        <v xml:space="preserve"> </v>
      </c>
      <c r="W308" s="62" t="str">
        <f t="shared" ca="1" si="24"/>
        <v xml:space="preserve"> </v>
      </c>
      <c r="X308" s="141" t="str">
        <f ca="1">IF(S308=" "," ",IFERROR(VLOOKUP(U308,$F$23:$N$1023,7)+VLOOKUP(U308,$F$23:$N$1023,9)+IF(AND('депозитный калькулятор'!$G$13="нет",U308&lt;&gt;'депозитный калькулятор'!$D$8),VLOOKUP(U308,$F$23:$N$1023,4),0),0)+IF(U308='депозитный калькулятор'!$D$8,VLOOKUP(U308,$F$23:$N$1023,2)+VLOOKUP(U308,$F$23:$N$1023,4),0))</f>
        <v xml:space="preserve"> </v>
      </c>
      <c r="Y308" s="142" t="str">
        <f ca="1">IF(S308=" "," ",W308/(1+'депозитный калькулятор'!$K$8)^(T308/IF('депозитный калькулятор'!$G$7="30/360",360,365)))</f>
        <v xml:space="preserve"> </v>
      </c>
      <c r="Z308" s="142" t="str">
        <f ca="1">IF(S308=" "," ",X308/(1+'депозитный калькулятор'!$K$8)^(T308/IF('депозитный калькулятор'!$G$7="30/360",360,365)))</f>
        <v xml:space="preserve"> </v>
      </c>
      <c r="AA308" s="151"/>
      <c r="AB308" s="151"/>
      <c r="AC308" s="155"/>
      <c r="AD308" s="155"/>
    </row>
    <row r="309" spans="1:30" s="2" customFormat="1" ht="15.5" x14ac:dyDescent="0.35">
      <c r="A309" s="41" t="str">
        <f>IF(F309=" "," ",IF(OR('депозитный калькулятор'!$G$7="30/365",'депозитный калькулятор'!$G$7="30/360"),IF(AND(MONTH(F309)=2,DAY(F309)=DAY(EOMONTH(F309,0))),30-DAY(EOMONTH(F309,0)),IF(DAY(F309)=31,1," "))," "))</f>
        <v xml:space="preserve"> </v>
      </c>
      <c r="B309" s="130" t="str">
        <f t="shared" si="21"/>
        <v xml:space="preserve"> </v>
      </c>
      <c r="C309" s="130" t="str">
        <f>IF(OR(B309=0,B309=" ")," ",SUM($B$23:B309))</f>
        <v xml:space="preserve"> </v>
      </c>
      <c r="D309" s="62" t="str">
        <f>IF(D308=" "," ",IF(OR(F308='депозитный калькулятор'!$D$8,F308=" ")," ",D308+1))</f>
        <v xml:space="preserve"> </v>
      </c>
      <c r="E309" s="130" t="str">
        <f>IF(OR(F308='депозитный калькулятор'!$D$8,F308=" ")," ",IF(EOMONTH(F308,0)=F308,1,E308+1))</f>
        <v xml:space="preserve"> </v>
      </c>
      <c r="F309" s="64" t="str">
        <f>IF(F308=" "," ",IF(F308='депозитный калькулятор'!$D$8," ",F308+1))</f>
        <v xml:space="preserve"> </v>
      </c>
      <c r="G309" s="145" t="str">
        <f xml:space="preserve"> IF(F309&gt;'депозитный калькулятор'!$D$8," ",IF('депозитный калькулятор'!$G$13="есть",IF('депозитный калькулятор'!$G$14="есть",G308+IF(I308=" ",0,I308)-J309-K309+L309+M309-N309,G308+IF(I308=" ",0,I308)-J309-K309+M309-N309),IF('депозитный калькулятор'!$G$14="есть",G308-J309-K309+L309+M309-N309,G308-J309-K309+M309-N309)))</f>
        <v xml:space="preserve"> </v>
      </c>
      <c r="H309" s="133" t="str">
        <f>IF(F309&gt;'депозитный калькулятор'!$D$8," ",IF(AND(OR('депозитный калькулятор'!$G$7="30/365",'депозитный калькулятор'!$G$7="30/360"),AND(MONTH(F309)=2,EOMONTH(F309,0)=F309)),IF(DAY(F309)=28,3*G309*'депозитный калькулятор'!$G$8,2*G309*'депозитный калькулятор'!$G$8),IF(AND(OR('депозитный калькулятор'!$G$7="30/365",'депозитный калькулятор'!$G$7="30/360"),DAY(F309)=31)," ",IF(AND('депозитный калькулятор'!$G$7="факт/факт",MOD(YEAR(F309),4)=0),G309*'депозитный калькулятор'!$D$11/366,G309*'депозитный калькулятор'!$G$8))))</f>
        <v xml:space="preserve"> </v>
      </c>
      <c r="I309" s="134" t="str">
        <f ca="1">IF(F309=" "," ",IF('депозитный калькулятор'!$G$10="ежедневное",H309,IF(AND('депозитный калькулятор'!$G$10="еженедельное",WEEKDAY(F309,2)=7),SUM(OFFSET(H309,-6,0):H309),IF(AND('депозитный калькулятор'!$G$10="еженедельное",F309='депозитный калькулятор'!$D$8),SUM($H$23:H309)-SUM($I$23:I308),IF(AND('депозитный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недели",WEEKDAY(F309,2)=7),MIN(OFFSET(H309,-6,0):H309)*(COUNTIF(OFFSET(H309,-6,0):H309,"&gt;0")+SUMIF(OFFSET(A309,-WEEKDAY(F309,2),0):A309,"=2",OFFSET(A309,-WEEKDAY(F309,2),0):A309)),IF(AND('депозитный калькулятор'!$G$10="еженедельное, на минимальную сумму зафиксированную в течение недели",F309='депозитный калькулятор'!$D$8,WEEKDAY(F309,2)&lt;&gt;7),MIN(OFFSET(H309,-WEEKDAY(F309,2),0):H309)*(COUNTIF(OFFSET(H309,-WEEKDAY(F309,2)+1,0):H309,"&gt;0")+SUM(OFFSET(A309,-WEEKDAY(F309,2),0):A309)),IF(AND('депозитный калькулятор'!$G$10="ежемесячное (в конце месяца)",F309='депозитный калькулятор'!$D$8,EOMONTH(F309,0)&lt;&gt;F309),IF('депозитный калькулятор'!$F$1=1,$H$24,SUM($H$23:H309)-SUM($I$23:I308)),IF(AND('депозитный калькулятор'!$G$10="ежемесячное (в конце месяца)",EOMONTH(F309,0)=F309),SUM($H$23:H309)-SUM($I$23:I308),IF(AND('депозитный калькулятор'!$G$10="ежемесячное (по дням открытия вклада)",F309='депозитный калькулятор'!$D$8,DAY('депозитный калькулятор'!$D$7)&lt;&gt;DAY(F309)),IF('депозитный калькулятор'!$F$1=1,$H$24,SUM($H$23:H309)-SUM($I$23:I308)),IF(AND('депозитный калькулятор'!$G$10="ежемесячное (по дням открытия вклада)",DAY('депозитный калькулятор'!$D$7)=DAY(F309)),SUM($H$23:H309)-SUM($I$23:I308),IF(AND('депозитный калькулятор'!$G$10="ежемесячное, на минимальную сумму зафиксированную в течение месяца",F309='депозитный калькулятор'!$D$8,EOMONTH(F309,0)&lt;&gt;F309),IF('депозитный калькулятор'!$F$1=1,$H$24,IF(AND(OR('депозитный калькулятор'!$G$7="30/365",'депозитный калькулятор'!$G$7="30/360"),DAY(F309)=31),0,MIN(OFFSET(H309,-E309+1,0):H309)*(E309+SUMIF(OFFSET(A309,-E309+1,0):A309,"=2",OFFSET(A309,-E309+1,0):A309)))),IF(AND('депозитный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калькулятор'!$G$7="30/360"),DAY(EOMONTH(F309,0))=31),EOMONTH(F309,0)-1=F309,EOMONTH(F309,0)=F309)),IF(IF(AND(OR('депозитный калькулятор'!$G$7="30/365",'депозитный калькулятор'!$G$7="30/360"),DAY(EOMONTH($F$23,0))=31),F309=EOMONTH($F$23,0)-1,F309=EOMONTH($F$23,0)),MIN(OFFSET(H309,-(DAY(F309)-DAY($F$23)),0):H309)*E309,MIN(OFFSET(H309,-(DAY(F309)-1),0):H309)*IF(AND(OR('депозитный калькулятор'!$G$7="30/365",'депозитный калькулятор'!$G$7="30/360"),DAY(F309)&lt;30),30,DAY(F309))),IF(AND('депозитный калькулятор'!$G$10="ежемесячное, на средний остаток в течение месяца, при условии что остаток больше чем ограничение",F309='депозитный калькулятор'!$D$8,EOMONTH(F309,0)&lt;&gt;F309),IF('депозитный калькулятор'!$F$1=1,$H$24,SUM(OFFSET(Q309,-E309+1,0):Q309)),IF(AND('депозитный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калькулятор'!$G$7="30/360"),DAY(EOMONTH(F309,0))=31),EOMONTH(F309,0)-1=F309,EOMONTH(F309,0)=F309)),IF(IF(AND(OR('депозитный калькулятор'!$G$7="30/365",'депозитный калькулятор'!$G$7="30/360"),DAY(EOMONTH($F$24,0))=31),F309=EOMONTH($F$24,0)-1,F309=EOMONTH($F$24,0)),SUM(OFFSET(Q309,-E309+1,0):Q309),SUM(OFFSET(Q309,-E309+1,0):Q309)),IF('депозитный калькулятор'!$G$10="ежеквартальное",IF(F309&gt;'депозитный калькулятор'!$D$8," ",IF(AND(EOMONTH(F309,0)=F309,OR(MONTH(F309)=3,MONTH(F309)=6,MONTH(F309)=9,MONTH(F309)=12)),IF(EDATE(F309,-3)&lt;'депозитный калькулятор'!$D$7,SUM($H$23:H309),IF(MOD(YEAR(F309),4)=0,IF(AND(EOMONTH(F309,0)=F309,OR(MONTH(F309)=3,MONTH(F309)=6)),SUM(OFFSET(H309,-90,0):H309),IF(AND(EOMONTH(F309,0)=F309,OR(MONTH(F309)=9,MONTH(F309)=12)),SUM(OFFSET(H309,-91,0):H309))),IF(AND(EOMONTH(F309,0)=F309,MONTH(F309)=3),SUM(OFFSET(H309,-89,0):H309),IF(AND(EOMONTH(F309,0)=F309,MONTH(F309)=6),SUM(OFFSET(H309,-90,0):H309),IF(AND(EOMONTH(F309,0)=F309,OR(MONTH(F309)=9,MONTH(F309)=12)),SUM(OFFSET(H309,-91,0):H309)))))),IF(F309='депозитный калькулятор'!$D$8,SUM($H$23:H309)-SUM($I$23:I308),0))),IF('депозитный калькулятор'!$G$10="ежегодное",IF(F309&gt;'депозитный калькулятор'!$D$8," ",IF(F309='депозитный калькулятор'!$D$8,SUM($H$23:H309)-SUM($I$23:I308),IF(AND(EOMONTH(F309,0)=F309,MONTH(F309)=12),IF(MOD(YEAR(F308),4)=0,IF(F309-'депозитный калькулятор'!$D$7&lt;366,SUM($H$23:H309),SUM(OFFSET(H309,-365,0):H309)),IF(F309-'депозитный калькулятор'!$D$7&lt;365,SUM($H$23:H309),SUM(OFFSET(H309,-364,0):H309))),0))),IF(AND('депозитный калькулятор'!$G$10="в конце срока",'депозитный калькулятор'!$D$8=F309),SUM($H$23:H309),0))))))))))))))))))</f>
        <v xml:space="preserve"> </v>
      </c>
      <c r="J309" s="59" t="str">
        <f>IF(F309&gt;'депозитный калькулятор'!$D$8," ",IF('депозитный калькулятор'!$G$16="нет",0,IF(AND('депозитный калькулятор'!$G$17="разовая (в конце срока)",F309='депозитный калькулятор'!$D$8),'депозитный калькулятор'!$G$18,IF(AND('депозитный калькулятор'!$G$17="ежемесячная",EOMONTH(F308,0)=F308),'депозитный калькулятор'!$G$18,IF(AND('депозитный калькулятор'!$G$17="ежегодная",DAY(F308)=31,MONTH(F308)=12),'депозитный калькулятор'!$G$18,IF(AND('депозитный калькулятор'!$G$17="ежемесячная в зависимости от остатка",EOMONTH(F308,0)=F308,P308&gt;0),'депозитный калькулятор'!$G$18,IF(AND('депозитный калькулятор'!$G$17="ежегодная в зависимости от остатка",DAY(F308)=31,MONTH(F308)=12,P308&gt;0),'депозитный калькулятор'!$G$18,0)))))))</f>
        <v xml:space="preserve"> </v>
      </c>
      <c r="K309" s="135" t="str">
        <f>IF($F309=" "," ",IFERROR(VLOOKUP($F309,'депозитный калькулятор'!$B$26:$F$70,2,0),0))</f>
        <v xml:space="preserve"> </v>
      </c>
      <c r="L309" s="135" t="str">
        <f>IF($F309=" "," ",IFERROR(VLOOKUP($F309,'депозитный калькулятор'!$B$26:$F$70,3,0),0))</f>
        <v xml:space="preserve"> </v>
      </c>
      <c r="M309" s="135" t="str">
        <f>IF($F309=" "," ",IFERROR(VLOOKUP($F309,'депозитный калькулятор'!$B$26:$F$70,4,0),0))</f>
        <v xml:space="preserve"> </v>
      </c>
      <c r="N309" s="135" t="str">
        <f>IF($F309=" "," ",IFERROR(VLOOKUP($F309,'депозитный калькулятор'!$B$26:$F$70,5,0),0))</f>
        <v xml:space="preserve"> </v>
      </c>
      <c r="O309" s="146" t="str">
        <f>IF(F309&gt;'депозитный калькулятор'!$D$8," ",IF(F309='депозитный калькулятор'!$D$8,IF(AND($F$24='депозитный калькулятор'!$D$8,'депозитный калькулятор'!$G$13="нет"),-G309-IF(I309=" ",0,I309)-IF(AND(OR('депозитный калькулятор'!$G$7="30/365",'депозитный калькулятор'!$G$7="30/360"),'депозитный калькулятор'!$G$10="в начале срока"),I308,0)-L309+M309-N309,-G309-IF(I309=" ",0,I309)-L309+M309-N309),IF('депозитный калькулятор'!$G$13="есть",M309-N309+IF('депозитный калькулятор'!$G$14="есть",0,-L309),-IF(I309=" ",0,I309)-IF(AND(OR('депозитный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срока"),I308,0)+M309-N309+IF('депозитный калькулятор'!$G$14="есть",0,-L309))))</f>
        <v xml:space="preserve"> </v>
      </c>
      <c r="P309" s="147" t="str">
        <f>IF(F309&gt;'депозитный калькулятор'!$D$8," ",IF(EOMONTH(F308,0)=F308,0,IF(G309&gt;='депозитный калькулятор'!$G$19,P308,P308+1)))</f>
        <v xml:space="preserve"> </v>
      </c>
      <c r="Q309" s="138" t="str">
        <f>IF(F309=" "," ",IF(AND(OR('депозитный калькулятор'!$G$7="30/365",'депозитный калькулятор'!$G$7="30/360"),AND(MONTH(F309)=2,EOMONTH(F309,0)=F309)),IF(DAY(F309)=28,3,2),1)*IF(G309&gt;='депозитный калькулятор'!$G$11,IF(AND('депозитный калькулятор'!$G$7="факт/факт",MOD(YEAR(F309),4)=0),G309*'депозитный калькулятор'!$D$11/366,G309*'депозитный калькулятор'!$G$8),0))</f>
        <v xml:space="preserve"> </v>
      </c>
      <c r="R309" s="148"/>
      <c r="S309" s="62" t="str">
        <f t="shared" ca="1" si="22"/>
        <v xml:space="preserve"> </v>
      </c>
      <c r="T309" s="149" t="str">
        <f ca="1">IF(S309=" "," ",IF('депозитный калькулятор'!$G$7="30/360",DAYS360(U308,IF(DAY(U309)=31,U309-1,U309))+IF(AND(MONTH(U309)=2,U309=EOMONTH(U309,0)),30-DAY(EOMONTH(U309,0)))+T308,VLOOKUP(S309,$C$22:$F$1023,2,0)))</f>
        <v xml:space="preserve"> </v>
      </c>
      <c r="U309" s="64" t="str">
        <f t="shared" ca="1" si="20"/>
        <v xml:space="preserve"> </v>
      </c>
      <c r="V309" s="150" t="str">
        <f t="shared" ca="1" si="23"/>
        <v xml:space="preserve"> </v>
      </c>
      <c r="W309" s="62" t="str">
        <f t="shared" ca="1" si="24"/>
        <v xml:space="preserve"> </v>
      </c>
      <c r="X309" s="141" t="str">
        <f ca="1">IF(S309=" "," ",IFERROR(VLOOKUP(U309,$F$23:$N$1023,7)+VLOOKUP(U309,$F$23:$N$1023,9)+IF(AND('депозитный калькулятор'!$G$13="нет",U309&lt;&gt;'депозитный калькулятор'!$D$8),VLOOKUP(U309,$F$23:$N$1023,4),0),0)+IF(U309='депозитный калькулятор'!$D$8,VLOOKUP(U309,$F$23:$N$1023,2)+VLOOKUP(U309,$F$23:$N$1023,4),0))</f>
        <v xml:space="preserve"> </v>
      </c>
      <c r="Y309" s="142" t="str">
        <f ca="1">IF(S309=" "," ",W309/(1+'депозитный калькулятор'!$K$8)^(T309/IF('депозитный калькулятор'!$G$7="30/360",360,365)))</f>
        <v xml:space="preserve"> </v>
      </c>
      <c r="Z309" s="142" t="str">
        <f ca="1">IF(S309=" "," ",X309/(1+'депозитный калькулятор'!$K$8)^(T309/IF('депозитный калькулятор'!$G$7="30/360",360,365)))</f>
        <v xml:space="preserve"> </v>
      </c>
      <c r="AA309" s="151"/>
      <c r="AB309" s="151"/>
      <c r="AC309" s="155"/>
      <c r="AD309" s="155"/>
    </row>
    <row r="310" spans="1:30" s="2" customFormat="1" ht="15.5" x14ac:dyDescent="0.35">
      <c r="A310" s="41" t="str">
        <f>IF(F310=" "," ",IF(OR('депозитный калькулятор'!$G$7="30/365",'депозитный калькулятор'!$G$7="30/360"),IF(AND(MONTH(F310)=2,DAY(F310)=DAY(EOMONTH(F310,0))),30-DAY(EOMONTH(F310,0)),IF(DAY(F310)=31,1," "))," "))</f>
        <v xml:space="preserve"> </v>
      </c>
      <c r="B310" s="130" t="str">
        <f t="shared" si="21"/>
        <v xml:space="preserve"> </v>
      </c>
      <c r="C310" s="130" t="str">
        <f>IF(OR(B310=0,B310=" ")," ",SUM($B$23:B310))</f>
        <v xml:space="preserve"> </v>
      </c>
      <c r="D310" s="62" t="str">
        <f>IF(D309=" "," ",IF(OR(F309='депозитный калькулятор'!$D$8,F309=" ")," ",D309+1))</f>
        <v xml:space="preserve"> </v>
      </c>
      <c r="E310" s="130" t="str">
        <f>IF(OR(F309='депозитный калькулятор'!$D$8,F309=" ")," ",IF(EOMONTH(F309,0)=F309,1,E309+1))</f>
        <v xml:space="preserve"> </v>
      </c>
      <c r="F310" s="64" t="str">
        <f>IF(F309=" "," ",IF(F309='депозитный калькулятор'!$D$8," ",F309+1))</f>
        <v xml:space="preserve"> </v>
      </c>
      <c r="G310" s="145" t="str">
        <f xml:space="preserve"> IF(F310&gt;'депозитный калькулятор'!$D$8," ",IF('депозитный калькулятор'!$G$13="есть",IF('депозитный калькулятор'!$G$14="есть",G309+IF(I309=" ",0,I309)-J310-K310+L310+M310-N310,G309+IF(I309=" ",0,I309)-J310-K310+M310-N310),IF('депозитный калькулятор'!$G$14="есть",G309-J310-K310+L310+M310-N310,G309-J310-K310+M310-N310)))</f>
        <v xml:space="preserve"> </v>
      </c>
      <c r="H310" s="133" t="str">
        <f>IF(F310&gt;'депозитный калькулятор'!$D$8," ",IF(AND(OR('депозитный калькулятор'!$G$7="30/365",'депозитный калькулятор'!$G$7="30/360"),AND(MONTH(F310)=2,EOMONTH(F310,0)=F310)),IF(DAY(F310)=28,3*G310*'депозитный калькулятор'!$G$8,2*G310*'депозитный калькулятор'!$G$8),IF(AND(OR('депозитный калькулятор'!$G$7="30/365",'депозитный калькулятор'!$G$7="30/360"),DAY(F310)=31)," ",IF(AND('депозитный калькулятор'!$G$7="факт/факт",MOD(YEAR(F310),4)=0),G310*'депозитный калькулятор'!$D$11/366,G310*'депозитный калькулятор'!$G$8))))</f>
        <v xml:space="preserve"> </v>
      </c>
      <c r="I310" s="134" t="str">
        <f ca="1">IF(F310=" "," ",IF('депозитный калькулятор'!$G$10="ежедневное",H310,IF(AND('депозитный калькулятор'!$G$10="еженедельное",WEEKDAY(F310,2)=7),SUM(OFFSET(H310,-6,0):H310),IF(AND('депозитный калькулятор'!$G$10="еженедельное",F310='депозитный калькулятор'!$D$8),SUM($H$23:H310)-SUM($I$23:I309),IF(AND('депозитный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недели",WEEKDAY(F310,2)=7),MIN(OFFSET(H310,-6,0):H310)*(COUNTIF(OFFSET(H310,-6,0):H310,"&gt;0")+SUMIF(OFFSET(A310,-WEEKDAY(F310,2),0):A310,"=2",OFFSET(A310,-WEEKDAY(F310,2),0):A310)),IF(AND('депозитный калькулятор'!$G$10="еженедельное, на минимальную сумму зафиксированную в течение недели",F310='депозитный калькулятор'!$D$8,WEEKDAY(F310,2)&lt;&gt;7),MIN(OFFSET(H310,-WEEKDAY(F310,2),0):H310)*(COUNTIF(OFFSET(H310,-WEEKDAY(F310,2)+1,0):H310,"&gt;0")+SUM(OFFSET(A310,-WEEKDAY(F310,2),0):A310)),IF(AND('депозитный калькулятор'!$G$10="ежемесячное (в конце месяца)",F310='депозитный калькулятор'!$D$8,EOMONTH(F310,0)&lt;&gt;F310),IF('депозитный калькулятор'!$F$1=1,$H$24,SUM($H$23:H310)-SUM($I$23:I309)),IF(AND('депозитный калькулятор'!$G$10="ежемесячное (в конце месяца)",EOMONTH(F310,0)=F310),SUM($H$23:H310)-SUM($I$23:I309),IF(AND('депозитный калькулятор'!$G$10="ежемесячное (по дням открытия вклада)",F310='депозитный калькулятор'!$D$8,DAY('депозитный калькулятор'!$D$7)&lt;&gt;DAY(F310)),IF('депозитный калькулятор'!$F$1=1,$H$24,SUM($H$23:H310)-SUM($I$23:I309)),IF(AND('депозитный калькулятор'!$G$10="ежемесячное (по дням открытия вклада)",DAY('депозитный калькулятор'!$D$7)=DAY(F310)),SUM($H$23:H310)-SUM($I$23:I309),IF(AND('депозитный калькулятор'!$G$10="ежемесячное, на минимальную сумму зафиксированную в течение месяца",F310='депозитный калькулятор'!$D$8,EOMONTH(F310,0)&lt;&gt;F310),IF('депозитный калькулятор'!$F$1=1,$H$24,IF(AND(OR('депозитный калькулятор'!$G$7="30/365",'депозитный калькулятор'!$G$7="30/360"),DAY(F310)=31),0,MIN(OFFSET(H310,-E310+1,0):H310)*(E310+SUMIF(OFFSET(A310,-E310+1,0):A310,"=2",OFFSET(A310,-E310+1,0):A310)))),IF(AND('депозитный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калькулятор'!$G$7="30/360"),DAY(EOMONTH(F310,0))=31),EOMONTH(F310,0)-1=F310,EOMONTH(F310,0)=F310)),IF(IF(AND(OR('депозитный калькулятор'!$G$7="30/365",'депозитный калькулятор'!$G$7="30/360"),DAY(EOMONTH($F$23,0))=31),F310=EOMONTH($F$23,0)-1,F310=EOMONTH($F$23,0)),MIN(OFFSET(H310,-(DAY(F310)-DAY($F$23)),0):H310)*E310,MIN(OFFSET(H310,-(DAY(F310)-1),0):H310)*IF(AND(OR('депозитный калькулятор'!$G$7="30/365",'депозитный калькулятор'!$G$7="30/360"),DAY(F310)&lt;30),30,DAY(F310))),IF(AND('депозитный калькулятор'!$G$10="ежемесячное, на средний остаток в течение месяца, при условии что остаток больше чем ограничение",F310='депозитный калькулятор'!$D$8,EOMONTH(F310,0)&lt;&gt;F310),IF('депозитный калькулятор'!$F$1=1,$H$24,SUM(OFFSET(Q310,-E310+1,0):Q310)),IF(AND('депозитный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калькулятор'!$G$7="30/360"),DAY(EOMONTH(F310,0))=31),EOMONTH(F310,0)-1=F310,EOMONTH(F310,0)=F310)),IF(IF(AND(OR('депозитный калькулятор'!$G$7="30/365",'депозитный калькулятор'!$G$7="30/360"),DAY(EOMONTH($F$24,0))=31),F310=EOMONTH($F$24,0)-1,F310=EOMONTH($F$24,0)),SUM(OFFSET(Q310,-E310+1,0):Q310),SUM(OFFSET(Q310,-E310+1,0):Q310)),IF('депозитный калькулятор'!$G$10="ежеквартальное",IF(F310&gt;'депозитный калькулятор'!$D$8," ",IF(AND(EOMONTH(F310,0)=F310,OR(MONTH(F310)=3,MONTH(F310)=6,MONTH(F310)=9,MONTH(F310)=12)),IF(EDATE(F310,-3)&lt;'депозитный калькулятор'!$D$7,SUM($H$23:H310),IF(MOD(YEAR(F310),4)=0,IF(AND(EOMONTH(F310,0)=F310,OR(MONTH(F310)=3,MONTH(F310)=6)),SUM(OFFSET(H310,-90,0):H310),IF(AND(EOMONTH(F310,0)=F310,OR(MONTH(F310)=9,MONTH(F310)=12)),SUM(OFFSET(H310,-91,0):H310))),IF(AND(EOMONTH(F310,0)=F310,MONTH(F310)=3),SUM(OFFSET(H310,-89,0):H310),IF(AND(EOMONTH(F310,0)=F310,MONTH(F310)=6),SUM(OFFSET(H310,-90,0):H310),IF(AND(EOMONTH(F310,0)=F310,OR(MONTH(F310)=9,MONTH(F310)=12)),SUM(OFFSET(H310,-91,0):H310)))))),IF(F310='депозитный калькулятор'!$D$8,SUM($H$23:H310)-SUM($I$23:I309),0))),IF('депозитный калькулятор'!$G$10="ежегодное",IF(F310&gt;'депозитный калькулятор'!$D$8," ",IF(F310='депозитный калькулятор'!$D$8,SUM($H$23:H310)-SUM($I$23:I309),IF(AND(EOMONTH(F310,0)=F310,MONTH(F310)=12),IF(MOD(YEAR(F309),4)=0,IF(F310-'депозитный калькулятор'!$D$7&lt;366,SUM($H$23:H310),SUM(OFFSET(H310,-365,0):H310)),IF(F310-'депозитный калькулятор'!$D$7&lt;365,SUM($H$23:H310),SUM(OFFSET(H310,-364,0):H310))),0))),IF(AND('депозитный калькулятор'!$G$10="в конце срока",'депозитный калькулятор'!$D$8=F310),SUM($H$23:H310),0))))))))))))))))))</f>
        <v xml:space="preserve"> </v>
      </c>
      <c r="J310" s="59" t="str">
        <f>IF(F310&gt;'депозитный калькулятор'!$D$8," ",IF('депозитный калькулятор'!$G$16="нет",0,IF(AND('депозитный калькулятор'!$G$17="разовая (в конце срока)",F310='депозитный калькулятор'!$D$8),'депозитный калькулятор'!$G$18,IF(AND('депозитный калькулятор'!$G$17="ежемесячная",EOMONTH(F309,0)=F309),'депозитный калькулятор'!$G$18,IF(AND('депозитный калькулятор'!$G$17="ежегодная",DAY(F309)=31,MONTH(F309)=12),'депозитный калькулятор'!$G$18,IF(AND('депозитный калькулятор'!$G$17="ежемесячная в зависимости от остатка",EOMONTH(F309,0)=F309,P309&gt;0),'депозитный калькулятор'!$G$18,IF(AND('депозитный калькулятор'!$G$17="ежегодная в зависимости от остатка",DAY(F309)=31,MONTH(F309)=12,P309&gt;0),'депозитный калькулятор'!$G$18,0)))))))</f>
        <v xml:space="preserve"> </v>
      </c>
      <c r="K310" s="135" t="str">
        <f>IF($F310=" "," ",IFERROR(VLOOKUP($F310,'депозитный калькулятор'!$B$26:$F$70,2,0),0))</f>
        <v xml:space="preserve"> </v>
      </c>
      <c r="L310" s="135" t="str">
        <f>IF($F310=" "," ",IFERROR(VLOOKUP($F310,'депозитный калькулятор'!$B$26:$F$70,3,0),0))</f>
        <v xml:space="preserve"> </v>
      </c>
      <c r="M310" s="135" t="str">
        <f>IF($F310=" "," ",IFERROR(VLOOKUP($F310,'депозитный калькулятор'!$B$26:$F$70,4,0),0))</f>
        <v xml:space="preserve"> </v>
      </c>
      <c r="N310" s="135" t="str">
        <f>IF($F310=" "," ",IFERROR(VLOOKUP($F310,'депозитный калькулятор'!$B$26:$F$70,5,0),0))</f>
        <v xml:space="preserve"> </v>
      </c>
      <c r="O310" s="146" t="str">
        <f>IF(F310&gt;'депозитный калькулятор'!$D$8," ",IF(F310='депозитный калькулятор'!$D$8,IF(AND($F$24='депозитный калькулятор'!$D$8,'депозитный калькулятор'!$G$13="нет"),-G310-IF(I310=" ",0,I310)-IF(AND(OR('депозитный калькулятор'!$G$7="30/365",'депозитный калькулятор'!$G$7="30/360"),'депозитный калькулятор'!$G$10="в начале срока"),I309,0)-L310+M310-N310,-G310-IF(I310=" ",0,I310)-L310+M310-N310),IF('депозитный калькулятор'!$G$13="есть",M310-N310+IF('депозитный калькулятор'!$G$14="есть",0,-L310),-IF(I310=" ",0,I310)-IF(AND(OR('депозитный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срока"),I309,0)+M310-N310+IF('депозитный калькулятор'!$G$14="есть",0,-L310))))</f>
        <v xml:space="preserve"> </v>
      </c>
      <c r="P310" s="147" t="str">
        <f>IF(F310&gt;'депозитный калькулятор'!$D$8," ",IF(EOMONTH(F309,0)=F309,0,IF(G310&gt;='депозитный калькулятор'!$G$19,P309,P309+1)))</f>
        <v xml:space="preserve"> </v>
      </c>
      <c r="Q310" s="138" t="str">
        <f>IF(F310=" "," ",IF(AND(OR('депозитный калькулятор'!$G$7="30/365",'депозитный калькулятор'!$G$7="30/360"),AND(MONTH(F310)=2,EOMONTH(F310,0)=F310)),IF(DAY(F310)=28,3,2),1)*IF(G310&gt;='депозитный калькулятор'!$G$11,IF(AND('депозитный калькулятор'!$G$7="факт/факт",MOD(YEAR(F310),4)=0),G310*'депозитный калькулятор'!$D$11/366,G310*'депозитный калькулятор'!$G$8),0))</f>
        <v xml:space="preserve"> </v>
      </c>
      <c r="R310" s="148"/>
      <c r="S310" s="62" t="str">
        <f t="shared" ca="1" si="22"/>
        <v xml:space="preserve"> </v>
      </c>
      <c r="T310" s="149" t="str">
        <f ca="1">IF(S310=" "," ",IF('депозитный калькулятор'!$G$7="30/360",DAYS360(U309,IF(DAY(U310)=31,U310-1,U310))+IF(AND(MONTH(U310)=2,U310=EOMONTH(U310,0)),30-DAY(EOMONTH(U310,0)))+T309,VLOOKUP(S310,$C$22:$F$1023,2,0)))</f>
        <v xml:space="preserve"> </v>
      </c>
      <c r="U310" s="64" t="str">
        <f t="shared" ca="1" si="20"/>
        <v xml:space="preserve"> </v>
      </c>
      <c r="V310" s="150" t="str">
        <f t="shared" ca="1" si="23"/>
        <v xml:space="preserve"> </v>
      </c>
      <c r="W310" s="62" t="str">
        <f t="shared" ca="1" si="24"/>
        <v xml:space="preserve"> </v>
      </c>
      <c r="X310" s="141" t="str">
        <f ca="1">IF(S310=" "," ",IFERROR(VLOOKUP(U310,$F$23:$N$1023,7)+VLOOKUP(U310,$F$23:$N$1023,9)+IF(AND('депозитный калькулятор'!$G$13="нет",U310&lt;&gt;'депозитный калькулятор'!$D$8),VLOOKUP(U310,$F$23:$N$1023,4),0),0)+IF(U310='депозитный калькулятор'!$D$8,VLOOKUP(U310,$F$23:$N$1023,2)+VLOOKUP(U310,$F$23:$N$1023,4),0))</f>
        <v xml:space="preserve"> </v>
      </c>
      <c r="Y310" s="142" t="str">
        <f ca="1">IF(S310=" "," ",W310/(1+'депозитный калькулятор'!$K$8)^(T310/IF('депозитный калькулятор'!$G$7="30/360",360,365)))</f>
        <v xml:space="preserve"> </v>
      </c>
      <c r="Z310" s="142" t="str">
        <f ca="1">IF(S310=" "," ",X310/(1+'депозитный калькулятор'!$K$8)^(T310/IF('депозитный калькулятор'!$G$7="30/360",360,365)))</f>
        <v xml:space="preserve"> </v>
      </c>
      <c r="AA310" s="151"/>
      <c r="AB310" s="151"/>
      <c r="AC310" s="155"/>
      <c r="AD310" s="155"/>
    </row>
    <row r="311" spans="1:30" s="2" customFormat="1" ht="15.5" x14ac:dyDescent="0.35">
      <c r="A311" s="41" t="str">
        <f>IF(F311=" "," ",IF(OR('депозитный калькулятор'!$G$7="30/365",'депозитный калькулятор'!$G$7="30/360"),IF(AND(MONTH(F311)=2,DAY(F311)=DAY(EOMONTH(F311,0))),30-DAY(EOMONTH(F311,0)),IF(DAY(F311)=31,1," "))," "))</f>
        <v xml:space="preserve"> </v>
      </c>
      <c r="B311" s="130" t="str">
        <f t="shared" si="21"/>
        <v xml:space="preserve"> </v>
      </c>
      <c r="C311" s="130" t="str">
        <f>IF(OR(B311=0,B311=" ")," ",SUM($B$23:B311))</f>
        <v xml:space="preserve"> </v>
      </c>
      <c r="D311" s="62" t="str">
        <f>IF(D310=" "," ",IF(OR(F310='депозитный калькулятор'!$D$8,F310=" ")," ",D310+1))</f>
        <v xml:space="preserve"> </v>
      </c>
      <c r="E311" s="130" t="str">
        <f>IF(OR(F310='депозитный калькулятор'!$D$8,F310=" ")," ",IF(EOMONTH(F310,0)=F310,1,E310+1))</f>
        <v xml:space="preserve"> </v>
      </c>
      <c r="F311" s="64" t="str">
        <f>IF(F310=" "," ",IF(F310='депозитный калькулятор'!$D$8," ",F310+1))</f>
        <v xml:space="preserve"> </v>
      </c>
      <c r="G311" s="145" t="str">
        <f xml:space="preserve"> IF(F311&gt;'депозитный калькулятор'!$D$8," ",IF('депозитный калькулятор'!$G$13="есть",IF('депозитный калькулятор'!$G$14="есть",G310+IF(I310=" ",0,I310)-J311-K311+L311+M311-N311,G310+IF(I310=" ",0,I310)-J311-K311+M311-N311),IF('депозитный калькулятор'!$G$14="есть",G310-J311-K311+L311+M311-N311,G310-J311-K311+M311-N311)))</f>
        <v xml:space="preserve"> </v>
      </c>
      <c r="H311" s="133" t="str">
        <f>IF(F311&gt;'депозитный калькулятор'!$D$8," ",IF(AND(OR('депозитный калькулятор'!$G$7="30/365",'депозитный калькулятор'!$G$7="30/360"),AND(MONTH(F311)=2,EOMONTH(F311,0)=F311)),IF(DAY(F311)=28,3*G311*'депозитный калькулятор'!$G$8,2*G311*'депозитный калькулятор'!$G$8),IF(AND(OR('депозитный калькулятор'!$G$7="30/365",'депозитный калькулятор'!$G$7="30/360"),DAY(F311)=31)," ",IF(AND('депозитный калькулятор'!$G$7="факт/факт",MOD(YEAR(F311),4)=0),G311*'депозитный калькулятор'!$D$11/366,G311*'депозитный калькулятор'!$G$8))))</f>
        <v xml:space="preserve"> </v>
      </c>
      <c r="I311" s="134" t="str">
        <f ca="1">IF(F311=" "," ",IF('депозитный калькулятор'!$G$10="ежедневное",H311,IF(AND('депозитный калькулятор'!$G$10="еженедельное",WEEKDAY(F311,2)=7),SUM(OFFSET(H311,-6,0):H311),IF(AND('депозитный калькулятор'!$G$10="еженедельное",F311='депозитный калькулятор'!$D$8),SUM($H$23:H311)-SUM($I$23:I310),IF(AND('депозитный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недели",WEEKDAY(F311,2)=7),MIN(OFFSET(H311,-6,0):H311)*(COUNTIF(OFFSET(H311,-6,0):H311,"&gt;0")+SUMIF(OFFSET(A311,-WEEKDAY(F311,2),0):A311,"=2",OFFSET(A311,-WEEKDAY(F311,2),0):A311)),IF(AND('депозитный калькулятор'!$G$10="еженедельное, на минимальную сумму зафиксированную в течение недели",F311='депозитный калькулятор'!$D$8,WEEKDAY(F311,2)&lt;&gt;7),MIN(OFFSET(H311,-WEEKDAY(F311,2),0):H311)*(COUNTIF(OFFSET(H311,-WEEKDAY(F311,2)+1,0):H311,"&gt;0")+SUM(OFFSET(A311,-WEEKDAY(F311,2),0):A311)),IF(AND('депозитный калькулятор'!$G$10="ежемесячное (в конце месяца)",F311='депозитный калькулятор'!$D$8,EOMONTH(F311,0)&lt;&gt;F311),IF('депозитный калькулятор'!$F$1=1,$H$24,SUM($H$23:H311)-SUM($I$23:I310)),IF(AND('депозитный калькулятор'!$G$10="ежемесячное (в конце месяца)",EOMONTH(F311,0)=F311),SUM($H$23:H311)-SUM($I$23:I310),IF(AND('депозитный калькулятор'!$G$10="ежемесячное (по дням открытия вклада)",F311='депозитный калькулятор'!$D$8,DAY('депозитный калькулятор'!$D$7)&lt;&gt;DAY(F311)),IF('депозитный калькулятор'!$F$1=1,$H$24,SUM($H$23:H311)-SUM($I$23:I310)),IF(AND('депозитный калькулятор'!$G$10="ежемесячное (по дням открытия вклада)",DAY('депозитный калькулятор'!$D$7)=DAY(F311)),SUM($H$23:H311)-SUM($I$23:I310),IF(AND('депозитный калькулятор'!$G$10="ежемесячное, на минимальную сумму зафиксированную в течение месяца",F311='депозитный калькулятор'!$D$8,EOMONTH(F311,0)&lt;&gt;F311),IF('депозитный калькулятор'!$F$1=1,$H$24,IF(AND(OR('депозитный калькулятор'!$G$7="30/365",'депозитный калькулятор'!$G$7="30/360"),DAY(F311)=31),0,MIN(OFFSET(H311,-E311+1,0):H311)*(E311+SUMIF(OFFSET(A311,-E311+1,0):A311,"=2",OFFSET(A311,-E311+1,0):A311)))),IF(AND('депозитный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калькулятор'!$G$7="30/360"),DAY(EOMONTH(F311,0))=31),EOMONTH(F311,0)-1=F311,EOMONTH(F311,0)=F311)),IF(IF(AND(OR('депозитный калькулятор'!$G$7="30/365",'депозитный калькулятор'!$G$7="30/360"),DAY(EOMONTH($F$23,0))=31),F311=EOMONTH($F$23,0)-1,F311=EOMONTH($F$23,0)),MIN(OFFSET(H311,-(DAY(F311)-DAY($F$23)),0):H311)*E311,MIN(OFFSET(H311,-(DAY(F311)-1),0):H311)*IF(AND(OR('депозитный калькулятор'!$G$7="30/365",'депозитный калькулятор'!$G$7="30/360"),DAY(F311)&lt;30),30,DAY(F311))),IF(AND('депозитный калькулятор'!$G$10="ежемесячное, на средний остаток в течение месяца, при условии что остаток больше чем ограничение",F311='депозитный калькулятор'!$D$8,EOMONTH(F311,0)&lt;&gt;F311),IF('депозитный калькулятор'!$F$1=1,$H$24,SUM(OFFSET(Q311,-E311+1,0):Q311)),IF(AND('депозитный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калькулятор'!$G$7="30/360"),DAY(EOMONTH(F311,0))=31),EOMONTH(F311,0)-1=F311,EOMONTH(F311,0)=F311)),IF(IF(AND(OR('депозитный калькулятор'!$G$7="30/365",'депозитный калькулятор'!$G$7="30/360"),DAY(EOMONTH($F$24,0))=31),F311=EOMONTH($F$24,0)-1,F311=EOMONTH($F$24,0)),SUM(OFFSET(Q311,-E311+1,0):Q311),SUM(OFFSET(Q311,-E311+1,0):Q311)),IF('депозитный калькулятор'!$G$10="ежеквартальное",IF(F311&gt;'депозитный калькулятор'!$D$8," ",IF(AND(EOMONTH(F311,0)=F311,OR(MONTH(F311)=3,MONTH(F311)=6,MONTH(F311)=9,MONTH(F311)=12)),IF(EDATE(F311,-3)&lt;'депозитный калькулятор'!$D$7,SUM($H$23:H311),IF(MOD(YEAR(F311),4)=0,IF(AND(EOMONTH(F311,0)=F311,OR(MONTH(F311)=3,MONTH(F311)=6)),SUM(OFFSET(H311,-90,0):H311),IF(AND(EOMONTH(F311,0)=F311,OR(MONTH(F311)=9,MONTH(F311)=12)),SUM(OFFSET(H311,-91,0):H311))),IF(AND(EOMONTH(F311,0)=F311,MONTH(F311)=3),SUM(OFFSET(H311,-89,0):H311),IF(AND(EOMONTH(F311,0)=F311,MONTH(F311)=6),SUM(OFFSET(H311,-90,0):H311),IF(AND(EOMONTH(F311,0)=F311,OR(MONTH(F311)=9,MONTH(F311)=12)),SUM(OFFSET(H311,-91,0):H311)))))),IF(F311='депозитный калькулятор'!$D$8,SUM($H$23:H311)-SUM($I$23:I310),0))),IF('депозитный калькулятор'!$G$10="ежегодное",IF(F311&gt;'депозитный калькулятор'!$D$8," ",IF(F311='депозитный калькулятор'!$D$8,SUM($H$23:H311)-SUM($I$23:I310),IF(AND(EOMONTH(F311,0)=F311,MONTH(F311)=12),IF(MOD(YEAR(F310),4)=0,IF(F311-'депозитный калькулятор'!$D$7&lt;366,SUM($H$23:H311),SUM(OFFSET(H311,-365,0):H311)),IF(F311-'депозитный калькулятор'!$D$7&lt;365,SUM($H$23:H311),SUM(OFFSET(H311,-364,0):H311))),0))),IF(AND('депозитный калькулятор'!$G$10="в конце срока",'депозитный калькулятор'!$D$8=F311),SUM($H$23:H311),0))))))))))))))))))</f>
        <v xml:space="preserve"> </v>
      </c>
      <c r="J311" s="59" t="str">
        <f>IF(F311&gt;'депозитный калькулятор'!$D$8," ",IF('депозитный калькулятор'!$G$16="нет",0,IF(AND('депозитный калькулятор'!$G$17="разовая (в конце срока)",F311='депозитный калькулятор'!$D$8),'депозитный калькулятор'!$G$18,IF(AND('депозитный калькулятор'!$G$17="ежемесячная",EOMONTH(F310,0)=F310),'депозитный калькулятор'!$G$18,IF(AND('депозитный калькулятор'!$G$17="ежегодная",DAY(F310)=31,MONTH(F310)=12),'депозитный калькулятор'!$G$18,IF(AND('депозитный калькулятор'!$G$17="ежемесячная в зависимости от остатка",EOMONTH(F310,0)=F310,P310&gt;0),'депозитный калькулятор'!$G$18,IF(AND('депозитный калькулятор'!$G$17="ежегодная в зависимости от остатка",DAY(F310)=31,MONTH(F310)=12,P310&gt;0),'депозитный калькулятор'!$G$18,0)))))))</f>
        <v xml:space="preserve"> </v>
      </c>
      <c r="K311" s="135" t="str">
        <f>IF($F311=" "," ",IFERROR(VLOOKUP($F311,'депозитный калькулятор'!$B$26:$F$70,2,0),0))</f>
        <v xml:space="preserve"> </v>
      </c>
      <c r="L311" s="135" t="str">
        <f>IF($F311=" "," ",IFERROR(VLOOKUP($F311,'депозитный калькулятор'!$B$26:$F$70,3,0),0))</f>
        <v xml:space="preserve"> </v>
      </c>
      <c r="M311" s="135" t="str">
        <f>IF($F311=" "," ",IFERROR(VLOOKUP($F311,'депозитный калькулятор'!$B$26:$F$70,4,0),0))</f>
        <v xml:space="preserve"> </v>
      </c>
      <c r="N311" s="135" t="str">
        <f>IF($F311=" "," ",IFERROR(VLOOKUP($F311,'депозитный калькулятор'!$B$26:$F$70,5,0),0))</f>
        <v xml:space="preserve"> </v>
      </c>
      <c r="O311" s="146" t="str">
        <f>IF(F311&gt;'депозитный калькулятор'!$D$8," ",IF(F311='депозитный калькулятор'!$D$8,IF(AND($F$24='депозитный калькулятор'!$D$8,'депозитный калькулятор'!$G$13="нет"),-G311-IF(I311=" ",0,I311)-IF(AND(OR('депозитный калькулятор'!$G$7="30/365",'депозитный калькулятор'!$G$7="30/360"),'депозитный калькулятор'!$G$10="в начале срока"),I310,0)-L311+M311-N311,-G311-IF(I311=" ",0,I311)-L311+M311-N311),IF('депозитный калькулятор'!$G$13="есть",M311-N311+IF('депозитный калькулятор'!$G$14="есть",0,-L311),-IF(I311=" ",0,I311)-IF(AND(OR('депозитный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срока"),I310,0)+M311-N311+IF('депозитный калькулятор'!$G$14="есть",0,-L311))))</f>
        <v xml:space="preserve"> </v>
      </c>
      <c r="P311" s="147" t="str">
        <f>IF(F311&gt;'депозитный калькулятор'!$D$8," ",IF(EOMONTH(F310,0)=F310,0,IF(G311&gt;='депозитный калькулятор'!$G$19,P310,P310+1)))</f>
        <v xml:space="preserve"> </v>
      </c>
      <c r="Q311" s="138" t="str">
        <f>IF(F311=" "," ",IF(AND(OR('депозитный калькулятор'!$G$7="30/365",'депозитный калькулятор'!$G$7="30/360"),AND(MONTH(F311)=2,EOMONTH(F311,0)=F311)),IF(DAY(F311)=28,3,2),1)*IF(G311&gt;='депозитный калькулятор'!$G$11,IF(AND('депозитный калькулятор'!$G$7="факт/факт",MOD(YEAR(F311),4)=0),G311*'депозитный калькулятор'!$D$11/366,G311*'депозитный калькулятор'!$G$8),0))</f>
        <v xml:space="preserve"> </v>
      </c>
      <c r="R311" s="148"/>
      <c r="S311" s="62" t="str">
        <f t="shared" ca="1" si="22"/>
        <v xml:space="preserve"> </v>
      </c>
      <c r="T311" s="149" t="str">
        <f ca="1">IF(S311=" "," ",IF('депозитный калькулятор'!$G$7="30/360",DAYS360(U310,IF(DAY(U311)=31,U311-1,U311))+IF(AND(MONTH(U311)=2,U311=EOMONTH(U311,0)),30-DAY(EOMONTH(U311,0)))+T310,VLOOKUP(S311,$C$22:$F$1023,2,0)))</f>
        <v xml:space="preserve"> </v>
      </c>
      <c r="U311" s="64" t="str">
        <f t="shared" ca="1" si="20"/>
        <v xml:space="preserve"> </v>
      </c>
      <c r="V311" s="150" t="str">
        <f t="shared" ca="1" si="23"/>
        <v xml:space="preserve"> </v>
      </c>
      <c r="W311" s="62" t="str">
        <f t="shared" ca="1" si="24"/>
        <v xml:space="preserve"> </v>
      </c>
      <c r="X311" s="141" t="str">
        <f ca="1">IF(S311=" "," ",IFERROR(VLOOKUP(U311,$F$23:$N$1023,7)+VLOOKUP(U311,$F$23:$N$1023,9)+IF(AND('депозитный калькулятор'!$G$13="нет",U311&lt;&gt;'депозитный калькулятор'!$D$8),VLOOKUP(U311,$F$23:$N$1023,4),0),0)+IF(U311='депозитный калькулятор'!$D$8,VLOOKUP(U311,$F$23:$N$1023,2)+VLOOKUP(U311,$F$23:$N$1023,4),0))</f>
        <v xml:space="preserve"> </v>
      </c>
      <c r="Y311" s="142" t="str">
        <f ca="1">IF(S311=" "," ",W311/(1+'депозитный калькулятор'!$K$8)^(T311/IF('депозитный калькулятор'!$G$7="30/360",360,365)))</f>
        <v xml:space="preserve"> </v>
      </c>
      <c r="Z311" s="142" t="str">
        <f ca="1">IF(S311=" "," ",X311/(1+'депозитный калькулятор'!$K$8)^(T311/IF('депозитный калькулятор'!$G$7="30/360",360,365)))</f>
        <v xml:space="preserve"> </v>
      </c>
      <c r="AA311" s="151"/>
      <c r="AB311" s="151"/>
      <c r="AC311" s="155"/>
      <c r="AD311" s="155"/>
    </row>
    <row r="312" spans="1:30" s="2" customFormat="1" ht="15.5" x14ac:dyDescent="0.35">
      <c r="A312" s="41" t="str">
        <f>IF(F312=" "," ",IF(OR('депозитный калькулятор'!$G$7="30/365",'депозитный калькулятор'!$G$7="30/360"),IF(AND(MONTH(F312)=2,DAY(F312)=DAY(EOMONTH(F312,0))),30-DAY(EOMONTH(F312,0)),IF(DAY(F312)=31,1," "))," "))</f>
        <v xml:space="preserve"> </v>
      </c>
      <c r="B312" s="130" t="str">
        <f t="shared" si="21"/>
        <v xml:space="preserve"> </v>
      </c>
      <c r="C312" s="130" t="str">
        <f>IF(OR(B312=0,B312=" ")," ",SUM($B$23:B312))</f>
        <v xml:space="preserve"> </v>
      </c>
      <c r="D312" s="62" t="str">
        <f>IF(D311=" "," ",IF(OR(F311='депозитный калькулятор'!$D$8,F311=" ")," ",D311+1))</f>
        <v xml:space="preserve"> </v>
      </c>
      <c r="E312" s="130" t="str">
        <f>IF(OR(F311='депозитный калькулятор'!$D$8,F311=" ")," ",IF(EOMONTH(F311,0)=F311,1,E311+1))</f>
        <v xml:space="preserve"> </v>
      </c>
      <c r="F312" s="64" t="str">
        <f>IF(F311=" "," ",IF(F311='депозитный калькулятор'!$D$8," ",F311+1))</f>
        <v xml:space="preserve"> </v>
      </c>
      <c r="G312" s="145" t="str">
        <f xml:space="preserve"> IF(F312&gt;'депозитный калькулятор'!$D$8," ",IF('депозитный калькулятор'!$G$13="есть",IF('депозитный калькулятор'!$G$14="есть",G311+IF(I311=" ",0,I311)-J312-K312+L312+M312-N312,G311+IF(I311=" ",0,I311)-J312-K312+M312-N312),IF('депозитный калькулятор'!$G$14="есть",G311-J312-K312+L312+M312-N312,G311-J312-K312+M312-N312)))</f>
        <v xml:space="preserve"> </v>
      </c>
      <c r="H312" s="133" t="str">
        <f>IF(F312&gt;'депозитный калькулятор'!$D$8," ",IF(AND(OR('депозитный калькулятор'!$G$7="30/365",'депозитный калькулятор'!$G$7="30/360"),AND(MONTH(F312)=2,EOMONTH(F312,0)=F312)),IF(DAY(F312)=28,3*G312*'депозитный калькулятор'!$G$8,2*G312*'депозитный калькулятор'!$G$8),IF(AND(OR('депозитный калькулятор'!$G$7="30/365",'депозитный калькулятор'!$G$7="30/360"),DAY(F312)=31)," ",IF(AND('депозитный калькулятор'!$G$7="факт/факт",MOD(YEAR(F312),4)=0),G312*'депозитный калькулятор'!$D$11/366,G312*'депозитный калькулятор'!$G$8))))</f>
        <v xml:space="preserve"> </v>
      </c>
      <c r="I312" s="134" t="str">
        <f ca="1">IF(F312=" "," ",IF('депозитный калькулятор'!$G$10="ежедневное",H312,IF(AND('депозитный калькулятор'!$G$10="еженедельное",WEEKDAY(F312,2)=7),SUM(OFFSET(H312,-6,0):H312),IF(AND('депозитный калькулятор'!$G$10="еженедельное",F312='депозитный калькулятор'!$D$8),SUM($H$23:H312)-SUM($I$23:I311),IF(AND('депозитный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недели",WEEKDAY(F312,2)=7),MIN(OFFSET(H312,-6,0):H312)*(COUNTIF(OFFSET(H312,-6,0):H312,"&gt;0")+SUMIF(OFFSET(A312,-WEEKDAY(F312,2),0):A312,"=2",OFFSET(A312,-WEEKDAY(F312,2),0):A312)),IF(AND('депозитный калькулятор'!$G$10="еженедельное, на минимальную сумму зафиксированную в течение недели",F312='депозитный калькулятор'!$D$8,WEEKDAY(F312,2)&lt;&gt;7),MIN(OFFSET(H312,-WEEKDAY(F312,2),0):H312)*(COUNTIF(OFFSET(H312,-WEEKDAY(F312,2)+1,0):H312,"&gt;0")+SUM(OFFSET(A312,-WEEKDAY(F312,2),0):A312)),IF(AND('депозитный калькулятор'!$G$10="ежемесячное (в конце месяца)",F312='депозитный калькулятор'!$D$8,EOMONTH(F312,0)&lt;&gt;F312),IF('депозитный калькулятор'!$F$1=1,$H$24,SUM($H$23:H312)-SUM($I$23:I311)),IF(AND('депозитный калькулятор'!$G$10="ежемесячное (в конце месяца)",EOMONTH(F312,0)=F312),SUM($H$23:H312)-SUM($I$23:I311),IF(AND('депозитный калькулятор'!$G$10="ежемесячное (по дням открытия вклада)",F312='депозитный калькулятор'!$D$8,DAY('депозитный калькулятор'!$D$7)&lt;&gt;DAY(F312)),IF('депозитный калькулятор'!$F$1=1,$H$24,SUM($H$23:H312)-SUM($I$23:I311)),IF(AND('депозитный калькулятор'!$G$10="ежемесячное (по дням открытия вклада)",DAY('депозитный калькулятор'!$D$7)=DAY(F312)),SUM($H$23:H312)-SUM($I$23:I311),IF(AND('депозитный калькулятор'!$G$10="ежемесячное, на минимальную сумму зафиксированную в течение месяца",F312='депозитный калькулятор'!$D$8,EOMONTH(F312,0)&lt;&gt;F312),IF('депозитный калькулятор'!$F$1=1,$H$24,IF(AND(OR('депозитный калькулятор'!$G$7="30/365",'депозитный калькулятор'!$G$7="30/360"),DAY(F312)=31),0,MIN(OFFSET(H312,-E312+1,0):H312)*(E312+SUMIF(OFFSET(A312,-E312+1,0):A312,"=2",OFFSET(A312,-E312+1,0):A312)))),IF(AND('депозитный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калькулятор'!$G$7="30/360"),DAY(EOMONTH(F312,0))=31),EOMONTH(F312,0)-1=F312,EOMONTH(F312,0)=F312)),IF(IF(AND(OR('депозитный калькулятор'!$G$7="30/365",'депозитный калькулятор'!$G$7="30/360"),DAY(EOMONTH($F$23,0))=31),F312=EOMONTH($F$23,0)-1,F312=EOMONTH($F$23,0)),MIN(OFFSET(H312,-(DAY(F312)-DAY($F$23)),0):H312)*E312,MIN(OFFSET(H312,-(DAY(F312)-1),0):H312)*IF(AND(OR('депозитный калькулятор'!$G$7="30/365",'депозитный калькулятор'!$G$7="30/360"),DAY(F312)&lt;30),30,DAY(F312))),IF(AND('депозитный калькулятор'!$G$10="ежемесячное, на средний остаток в течение месяца, при условии что остаток больше чем ограничение",F312='депозитный калькулятор'!$D$8,EOMONTH(F312,0)&lt;&gt;F312),IF('депозитный калькулятор'!$F$1=1,$H$24,SUM(OFFSET(Q312,-E312+1,0):Q312)),IF(AND('депозитный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калькулятор'!$G$7="30/360"),DAY(EOMONTH(F312,0))=31),EOMONTH(F312,0)-1=F312,EOMONTH(F312,0)=F312)),IF(IF(AND(OR('депозитный калькулятор'!$G$7="30/365",'депозитный калькулятор'!$G$7="30/360"),DAY(EOMONTH($F$24,0))=31),F312=EOMONTH($F$24,0)-1,F312=EOMONTH($F$24,0)),SUM(OFFSET(Q312,-E312+1,0):Q312),SUM(OFFSET(Q312,-E312+1,0):Q312)),IF('депозитный калькулятор'!$G$10="ежеквартальное",IF(F312&gt;'депозитный калькулятор'!$D$8," ",IF(AND(EOMONTH(F312,0)=F312,OR(MONTH(F312)=3,MONTH(F312)=6,MONTH(F312)=9,MONTH(F312)=12)),IF(EDATE(F312,-3)&lt;'депозитный калькулятор'!$D$7,SUM($H$23:H312),IF(MOD(YEAR(F312),4)=0,IF(AND(EOMONTH(F312,0)=F312,OR(MONTH(F312)=3,MONTH(F312)=6)),SUM(OFFSET(H312,-90,0):H312),IF(AND(EOMONTH(F312,0)=F312,OR(MONTH(F312)=9,MONTH(F312)=12)),SUM(OFFSET(H312,-91,0):H312))),IF(AND(EOMONTH(F312,0)=F312,MONTH(F312)=3),SUM(OFFSET(H312,-89,0):H312),IF(AND(EOMONTH(F312,0)=F312,MONTH(F312)=6),SUM(OFFSET(H312,-90,0):H312),IF(AND(EOMONTH(F312,0)=F312,OR(MONTH(F312)=9,MONTH(F312)=12)),SUM(OFFSET(H312,-91,0):H312)))))),IF(F312='депозитный калькулятор'!$D$8,SUM($H$23:H312)-SUM($I$23:I311),0))),IF('депозитный калькулятор'!$G$10="ежегодное",IF(F312&gt;'депозитный калькулятор'!$D$8," ",IF(F312='депозитный калькулятор'!$D$8,SUM($H$23:H312)-SUM($I$23:I311),IF(AND(EOMONTH(F312,0)=F312,MONTH(F312)=12),IF(MOD(YEAR(F311),4)=0,IF(F312-'депозитный калькулятор'!$D$7&lt;366,SUM($H$23:H312),SUM(OFFSET(H312,-365,0):H312)),IF(F312-'депозитный калькулятор'!$D$7&lt;365,SUM($H$23:H312),SUM(OFFSET(H312,-364,0):H312))),0))),IF(AND('депозитный калькулятор'!$G$10="в конце срока",'депозитный калькулятор'!$D$8=F312),SUM($H$23:H312),0))))))))))))))))))</f>
        <v xml:space="preserve"> </v>
      </c>
      <c r="J312" s="59" t="str">
        <f>IF(F312&gt;'депозитный калькулятор'!$D$8," ",IF('депозитный калькулятор'!$G$16="нет",0,IF(AND('депозитный калькулятор'!$G$17="разовая (в конце срока)",F312='депозитный калькулятор'!$D$8),'депозитный калькулятор'!$G$18,IF(AND('депозитный калькулятор'!$G$17="ежемесячная",EOMONTH(F311,0)=F311),'депозитный калькулятор'!$G$18,IF(AND('депозитный калькулятор'!$G$17="ежегодная",DAY(F311)=31,MONTH(F311)=12),'депозитный калькулятор'!$G$18,IF(AND('депозитный калькулятор'!$G$17="ежемесячная в зависимости от остатка",EOMONTH(F311,0)=F311,P311&gt;0),'депозитный калькулятор'!$G$18,IF(AND('депозитный калькулятор'!$G$17="ежегодная в зависимости от остатка",DAY(F311)=31,MONTH(F311)=12,P311&gt;0),'депозитный калькулятор'!$G$18,0)))))))</f>
        <v xml:space="preserve"> </v>
      </c>
      <c r="K312" s="135" t="str">
        <f>IF($F312=" "," ",IFERROR(VLOOKUP($F312,'депозитный калькулятор'!$B$26:$F$70,2,0),0))</f>
        <v xml:space="preserve"> </v>
      </c>
      <c r="L312" s="135" t="str">
        <f>IF($F312=" "," ",IFERROR(VLOOKUP($F312,'депозитный калькулятор'!$B$26:$F$70,3,0),0))</f>
        <v xml:space="preserve"> </v>
      </c>
      <c r="M312" s="135" t="str">
        <f>IF($F312=" "," ",IFERROR(VLOOKUP($F312,'депозитный калькулятор'!$B$26:$F$70,4,0),0))</f>
        <v xml:space="preserve"> </v>
      </c>
      <c r="N312" s="135" t="str">
        <f>IF($F312=" "," ",IFERROR(VLOOKUP($F312,'депозитный калькулятор'!$B$26:$F$70,5,0),0))</f>
        <v xml:space="preserve"> </v>
      </c>
      <c r="O312" s="146" t="str">
        <f>IF(F312&gt;'депозитный калькулятор'!$D$8," ",IF(F312='депозитный калькулятор'!$D$8,IF(AND($F$24='депозитный калькулятор'!$D$8,'депозитный калькулятор'!$G$13="нет"),-G312-IF(I312=" ",0,I312)-IF(AND(OR('депозитный калькулятор'!$G$7="30/365",'депозитный калькулятор'!$G$7="30/360"),'депозитный калькулятор'!$G$10="в начале срока"),I311,0)-L312+M312-N312,-G312-IF(I312=" ",0,I312)-L312+M312-N312),IF('депозитный калькулятор'!$G$13="есть",M312-N312+IF('депозитный калькулятор'!$G$14="есть",0,-L312),-IF(I312=" ",0,I312)-IF(AND(OR('депозитный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срока"),I311,0)+M312-N312+IF('депозитный калькулятор'!$G$14="есть",0,-L312))))</f>
        <v xml:space="preserve"> </v>
      </c>
      <c r="P312" s="147" t="str">
        <f>IF(F312&gt;'депозитный калькулятор'!$D$8," ",IF(EOMONTH(F311,0)=F311,0,IF(G312&gt;='депозитный калькулятор'!$G$19,P311,P311+1)))</f>
        <v xml:space="preserve"> </v>
      </c>
      <c r="Q312" s="138" t="str">
        <f>IF(F312=" "," ",IF(AND(OR('депозитный калькулятор'!$G$7="30/365",'депозитный калькулятор'!$G$7="30/360"),AND(MONTH(F312)=2,EOMONTH(F312,0)=F312)),IF(DAY(F312)=28,3,2),1)*IF(G312&gt;='депозитный калькулятор'!$G$11,IF(AND('депозитный калькулятор'!$G$7="факт/факт",MOD(YEAR(F312),4)=0),G312*'депозитный калькулятор'!$D$11/366,G312*'депозитный калькулятор'!$G$8),0))</f>
        <v xml:space="preserve"> </v>
      </c>
      <c r="R312" s="148"/>
      <c r="S312" s="62" t="str">
        <f t="shared" ca="1" si="22"/>
        <v xml:space="preserve"> </v>
      </c>
      <c r="T312" s="149" t="str">
        <f ca="1">IF(S312=" "," ",IF('депозитный калькулятор'!$G$7="30/360",DAYS360(U311,IF(DAY(U312)=31,U312-1,U312))+IF(AND(MONTH(U312)=2,U312=EOMONTH(U312,0)),30-DAY(EOMONTH(U312,0)))+T311,VLOOKUP(S312,$C$22:$F$1023,2,0)))</f>
        <v xml:space="preserve"> </v>
      </c>
      <c r="U312" s="64" t="str">
        <f t="shared" ca="1" si="20"/>
        <v xml:space="preserve"> </v>
      </c>
      <c r="V312" s="150" t="str">
        <f t="shared" ca="1" si="23"/>
        <v xml:space="preserve"> </v>
      </c>
      <c r="W312" s="62" t="str">
        <f t="shared" ca="1" si="24"/>
        <v xml:space="preserve"> </v>
      </c>
      <c r="X312" s="141" t="str">
        <f ca="1">IF(S312=" "," ",IFERROR(VLOOKUP(U312,$F$23:$N$1023,7)+VLOOKUP(U312,$F$23:$N$1023,9)+IF(AND('депозитный калькулятор'!$G$13="нет",U312&lt;&gt;'депозитный калькулятор'!$D$8),VLOOKUP(U312,$F$23:$N$1023,4),0),0)+IF(U312='депозитный калькулятор'!$D$8,VLOOKUP(U312,$F$23:$N$1023,2)+VLOOKUP(U312,$F$23:$N$1023,4),0))</f>
        <v xml:space="preserve"> </v>
      </c>
      <c r="Y312" s="142" t="str">
        <f ca="1">IF(S312=" "," ",W312/(1+'депозитный калькулятор'!$K$8)^(T312/IF('депозитный калькулятор'!$G$7="30/360",360,365)))</f>
        <v xml:space="preserve"> </v>
      </c>
      <c r="Z312" s="142" t="str">
        <f ca="1">IF(S312=" "," ",X312/(1+'депозитный калькулятор'!$K$8)^(T312/IF('депозитный калькулятор'!$G$7="30/360",360,365)))</f>
        <v xml:space="preserve"> </v>
      </c>
      <c r="AA312" s="151"/>
      <c r="AB312" s="151"/>
      <c r="AC312" s="155"/>
      <c r="AD312" s="155"/>
    </row>
    <row r="313" spans="1:30" s="2" customFormat="1" ht="15.5" x14ac:dyDescent="0.35">
      <c r="A313" s="41" t="str">
        <f>IF(F313=" "," ",IF(OR('депозитный калькулятор'!$G$7="30/365",'депозитный калькулятор'!$G$7="30/360"),IF(AND(MONTH(F313)=2,DAY(F313)=DAY(EOMONTH(F313,0))),30-DAY(EOMONTH(F313,0)),IF(DAY(F313)=31,1," "))," "))</f>
        <v xml:space="preserve"> </v>
      </c>
      <c r="B313" s="130" t="str">
        <f t="shared" si="21"/>
        <v xml:space="preserve"> </v>
      </c>
      <c r="C313" s="130" t="str">
        <f>IF(OR(B313=0,B313=" ")," ",SUM($B$23:B313))</f>
        <v xml:space="preserve"> </v>
      </c>
      <c r="D313" s="62" t="str">
        <f>IF(D312=" "," ",IF(OR(F312='депозитный калькулятор'!$D$8,F312=" ")," ",D312+1))</f>
        <v xml:space="preserve"> </v>
      </c>
      <c r="E313" s="130" t="str">
        <f>IF(OR(F312='депозитный калькулятор'!$D$8,F312=" ")," ",IF(EOMONTH(F312,0)=F312,1,E312+1))</f>
        <v xml:space="preserve"> </v>
      </c>
      <c r="F313" s="64" t="str">
        <f>IF(F312=" "," ",IF(F312='депозитный калькулятор'!$D$8," ",F312+1))</f>
        <v xml:space="preserve"> </v>
      </c>
      <c r="G313" s="145" t="str">
        <f xml:space="preserve"> IF(F313&gt;'депозитный калькулятор'!$D$8," ",IF('депозитный калькулятор'!$G$13="есть",IF('депозитный калькулятор'!$G$14="есть",G312+IF(I312=" ",0,I312)-J313-K313+L313+M313-N313,G312+IF(I312=" ",0,I312)-J313-K313+M313-N313),IF('депозитный калькулятор'!$G$14="есть",G312-J313-K313+L313+M313-N313,G312-J313-K313+M313-N313)))</f>
        <v xml:space="preserve"> </v>
      </c>
      <c r="H313" s="133" t="str">
        <f>IF(F313&gt;'депозитный калькулятор'!$D$8," ",IF(AND(OR('депозитный калькулятор'!$G$7="30/365",'депозитный калькулятор'!$G$7="30/360"),AND(MONTH(F313)=2,EOMONTH(F313,0)=F313)),IF(DAY(F313)=28,3*G313*'депозитный калькулятор'!$G$8,2*G313*'депозитный калькулятор'!$G$8),IF(AND(OR('депозитный калькулятор'!$G$7="30/365",'депозитный калькулятор'!$G$7="30/360"),DAY(F313)=31)," ",IF(AND('депозитный калькулятор'!$G$7="факт/факт",MOD(YEAR(F313),4)=0),G313*'депозитный калькулятор'!$D$11/366,G313*'депозитный калькулятор'!$G$8))))</f>
        <v xml:space="preserve"> </v>
      </c>
      <c r="I313" s="134" t="str">
        <f ca="1">IF(F313=" "," ",IF('депозитный калькулятор'!$G$10="ежедневное",H313,IF(AND('депозитный калькулятор'!$G$10="еженедельное",WEEKDAY(F313,2)=7),SUM(OFFSET(H313,-6,0):H313),IF(AND('депозитный калькулятор'!$G$10="еженедельное",F313='депозитный калькулятор'!$D$8),SUM($H$23:H313)-SUM($I$23:I312),IF(AND('депозитный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недели",WEEKDAY(F313,2)=7),MIN(OFFSET(H313,-6,0):H313)*(COUNTIF(OFFSET(H313,-6,0):H313,"&gt;0")+SUMIF(OFFSET(A313,-WEEKDAY(F313,2),0):A313,"=2",OFFSET(A313,-WEEKDAY(F313,2),0):A313)),IF(AND('депозитный калькулятор'!$G$10="еженедельное, на минимальную сумму зафиксированную в течение недели",F313='депозитный калькулятор'!$D$8,WEEKDAY(F313,2)&lt;&gt;7),MIN(OFFSET(H313,-WEEKDAY(F313,2),0):H313)*(COUNTIF(OFFSET(H313,-WEEKDAY(F313,2)+1,0):H313,"&gt;0")+SUM(OFFSET(A313,-WEEKDAY(F313,2),0):A313)),IF(AND('депозитный калькулятор'!$G$10="ежемесячное (в конце месяца)",F313='депозитный калькулятор'!$D$8,EOMONTH(F313,0)&lt;&gt;F313),IF('депозитный калькулятор'!$F$1=1,$H$24,SUM($H$23:H313)-SUM($I$23:I312)),IF(AND('депозитный калькулятор'!$G$10="ежемесячное (в конце месяца)",EOMONTH(F313,0)=F313),SUM($H$23:H313)-SUM($I$23:I312),IF(AND('депозитный калькулятор'!$G$10="ежемесячное (по дням открытия вклада)",F313='депозитный калькулятор'!$D$8,DAY('депозитный калькулятор'!$D$7)&lt;&gt;DAY(F313)),IF('депозитный калькулятор'!$F$1=1,$H$24,SUM($H$23:H313)-SUM($I$23:I312)),IF(AND('депозитный калькулятор'!$G$10="ежемесячное (по дням открытия вклада)",DAY('депозитный калькулятор'!$D$7)=DAY(F313)),SUM($H$23:H313)-SUM($I$23:I312),IF(AND('депозитный калькулятор'!$G$10="ежемесячное, на минимальную сумму зафиксированную в течение месяца",F313='депозитный калькулятор'!$D$8,EOMONTH(F313,0)&lt;&gt;F313),IF('депозитный калькулятор'!$F$1=1,$H$24,IF(AND(OR('депозитный калькулятор'!$G$7="30/365",'депозитный калькулятор'!$G$7="30/360"),DAY(F313)=31),0,MIN(OFFSET(H313,-E313+1,0):H313)*(E313+SUMIF(OFFSET(A313,-E313+1,0):A313,"=2",OFFSET(A313,-E313+1,0):A313)))),IF(AND('депозитный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калькулятор'!$G$7="30/360"),DAY(EOMONTH(F313,0))=31),EOMONTH(F313,0)-1=F313,EOMONTH(F313,0)=F313)),IF(IF(AND(OR('депозитный калькулятор'!$G$7="30/365",'депозитный калькулятор'!$G$7="30/360"),DAY(EOMONTH($F$23,0))=31),F313=EOMONTH($F$23,0)-1,F313=EOMONTH($F$23,0)),MIN(OFFSET(H313,-(DAY(F313)-DAY($F$23)),0):H313)*E313,MIN(OFFSET(H313,-(DAY(F313)-1),0):H313)*IF(AND(OR('депозитный калькулятор'!$G$7="30/365",'депозитный калькулятор'!$G$7="30/360"),DAY(F313)&lt;30),30,DAY(F313))),IF(AND('депозитный калькулятор'!$G$10="ежемесячное, на средний остаток в течение месяца, при условии что остаток больше чем ограничение",F313='депозитный калькулятор'!$D$8,EOMONTH(F313,0)&lt;&gt;F313),IF('депозитный калькулятор'!$F$1=1,$H$24,SUM(OFFSET(Q313,-E313+1,0):Q313)),IF(AND('депозитный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калькулятор'!$G$7="30/360"),DAY(EOMONTH(F313,0))=31),EOMONTH(F313,0)-1=F313,EOMONTH(F313,0)=F313)),IF(IF(AND(OR('депозитный калькулятор'!$G$7="30/365",'депозитный калькулятор'!$G$7="30/360"),DAY(EOMONTH($F$24,0))=31),F313=EOMONTH($F$24,0)-1,F313=EOMONTH($F$24,0)),SUM(OFFSET(Q313,-E313+1,0):Q313),SUM(OFFSET(Q313,-E313+1,0):Q313)),IF('депозитный калькулятор'!$G$10="ежеквартальное",IF(F313&gt;'депозитный калькулятор'!$D$8," ",IF(AND(EOMONTH(F313,0)=F313,OR(MONTH(F313)=3,MONTH(F313)=6,MONTH(F313)=9,MONTH(F313)=12)),IF(EDATE(F313,-3)&lt;'депозитный калькулятор'!$D$7,SUM($H$23:H313),IF(MOD(YEAR(F313),4)=0,IF(AND(EOMONTH(F313,0)=F313,OR(MONTH(F313)=3,MONTH(F313)=6)),SUM(OFFSET(H313,-90,0):H313),IF(AND(EOMONTH(F313,0)=F313,OR(MONTH(F313)=9,MONTH(F313)=12)),SUM(OFFSET(H313,-91,0):H313))),IF(AND(EOMONTH(F313,0)=F313,MONTH(F313)=3),SUM(OFFSET(H313,-89,0):H313),IF(AND(EOMONTH(F313,0)=F313,MONTH(F313)=6),SUM(OFFSET(H313,-90,0):H313),IF(AND(EOMONTH(F313,0)=F313,OR(MONTH(F313)=9,MONTH(F313)=12)),SUM(OFFSET(H313,-91,0):H313)))))),IF(F313='депозитный калькулятор'!$D$8,SUM($H$23:H313)-SUM($I$23:I312),0))),IF('депозитный калькулятор'!$G$10="ежегодное",IF(F313&gt;'депозитный калькулятор'!$D$8," ",IF(F313='депозитный калькулятор'!$D$8,SUM($H$23:H313)-SUM($I$23:I312),IF(AND(EOMONTH(F313,0)=F313,MONTH(F313)=12),IF(MOD(YEAR(F312),4)=0,IF(F313-'депозитный калькулятор'!$D$7&lt;366,SUM($H$23:H313),SUM(OFFSET(H313,-365,0):H313)),IF(F313-'депозитный калькулятор'!$D$7&lt;365,SUM($H$23:H313),SUM(OFFSET(H313,-364,0):H313))),0))),IF(AND('депозитный калькулятор'!$G$10="в конце срока",'депозитный калькулятор'!$D$8=F313),SUM($H$23:H313),0))))))))))))))))))</f>
        <v xml:space="preserve"> </v>
      </c>
      <c r="J313" s="59" t="str">
        <f>IF(F313&gt;'депозитный калькулятор'!$D$8," ",IF('депозитный калькулятор'!$G$16="нет",0,IF(AND('депозитный калькулятор'!$G$17="разовая (в конце срока)",F313='депозитный калькулятор'!$D$8),'депозитный калькулятор'!$G$18,IF(AND('депозитный калькулятор'!$G$17="ежемесячная",EOMONTH(F312,0)=F312),'депозитный калькулятор'!$G$18,IF(AND('депозитный калькулятор'!$G$17="ежегодная",DAY(F312)=31,MONTH(F312)=12),'депозитный калькулятор'!$G$18,IF(AND('депозитный калькулятор'!$G$17="ежемесячная в зависимости от остатка",EOMONTH(F312,0)=F312,P312&gt;0),'депозитный калькулятор'!$G$18,IF(AND('депозитный калькулятор'!$G$17="ежегодная в зависимости от остатка",DAY(F312)=31,MONTH(F312)=12,P312&gt;0),'депозитный калькулятор'!$G$18,0)))))))</f>
        <v xml:space="preserve"> </v>
      </c>
      <c r="K313" s="135" t="str">
        <f>IF($F313=" "," ",IFERROR(VLOOKUP($F313,'депозитный калькулятор'!$B$26:$F$70,2,0),0))</f>
        <v xml:space="preserve"> </v>
      </c>
      <c r="L313" s="135" t="str">
        <f>IF($F313=" "," ",IFERROR(VLOOKUP($F313,'депозитный калькулятор'!$B$26:$F$70,3,0),0))</f>
        <v xml:space="preserve"> </v>
      </c>
      <c r="M313" s="135" t="str">
        <f>IF($F313=" "," ",IFERROR(VLOOKUP($F313,'депозитный калькулятор'!$B$26:$F$70,4,0),0))</f>
        <v xml:space="preserve"> </v>
      </c>
      <c r="N313" s="135" t="str">
        <f>IF($F313=" "," ",IFERROR(VLOOKUP($F313,'депозитный калькулятор'!$B$26:$F$70,5,0),0))</f>
        <v xml:space="preserve"> </v>
      </c>
      <c r="O313" s="146" t="str">
        <f>IF(F313&gt;'депозитный калькулятор'!$D$8," ",IF(F313='депозитный калькулятор'!$D$8,IF(AND($F$24='депозитный калькулятор'!$D$8,'депозитный калькулятор'!$G$13="нет"),-G313-IF(I313=" ",0,I313)-IF(AND(OR('депозитный калькулятор'!$G$7="30/365",'депозитный калькулятор'!$G$7="30/360"),'депозитный калькулятор'!$G$10="в начале срока"),I312,0)-L313+M313-N313,-G313-IF(I313=" ",0,I313)-L313+M313-N313),IF('депозитный калькулятор'!$G$13="есть",M313-N313+IF('депозитный калькулятор'!$G$14="есть",0,-L313),-IF(I313=" ",0,I313)-IF(AND(OR('депозитный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срока"),I312,0)+M313-N313+IF('депозитный калькулятор'!$G$14="есть",0,-L313))))</f>
        <v xml:space="preserve"> </v>
      </c>
      <c r="P313" s="147" t="str">
        <f>IF(F313&gt;'депозитный калькулятор'!$D$8," ",IF(EOMONTH(F312,0)=F312,0,IF(G313&gt;='депозитный калькулятор'!$G$19,P312,P312+1)))</f>
        <v xml:space="preserve"> </v>
      </c>
      <c r="Q313" s="138" t="str">
        <f>IF(F313=" "," ",IF(AND(OR('депозитный калькулятор'!$G$7="30/365",'депозитный калькулятор'!$G$7="30/360"),AND(MONTH(F313)=2,EOMONTH(F313,0)=F313)),IF(DAY(F313)=28,3,2),1)*IF(G313&gt;='депозитный калькулятор'!$G$11,IF(AND('депозитный калькулятор'!$G$7="факт/факт",MOD(YEAR(F313),4)=0),G313*'депозитный калькулятор'!$D$11/366,G313*'депозитный калькулятор'!$G$8),0))</f>
        <v xml:space="preserve"> </v>
      </c>
      <c r="R313" s="148"/>
      <c r="S313" s="62" t="str">
        <f t="shared" ca="1" si="22"/>
        <v xml:space="preserve"> </v>
      </c>
      <c r="T313" s="149" t="str">
        <f ca="1">IF(S313=" "," ",IF('депозитный калькулятор'!$G$7="30/360",DAYS360(U312,IF(DAY(U313)=31,U313-1,U313))+IF(AND(MONTH(U313)=2,U313=EOMONTH(U313,0)),30-DAY(EOMONTH(U313,0)))+T312,VLOOKUP(S313,$C$22:$F$1023,2,0)))</f>
        <v xml:space="preserve"> </v>
      </c>
      <c r="U313" s="64" t="str">
        <f t="shared" ca="1" si="20"/>
        <v xml:space="preserve"> </v>
      </c>
      <c r="V313" s="150" t="str">
        <f t="shared" ca="1" si="23"/>
        <v xml:space="preserve"> </v>
      </c>
      <c r="W313" s="62" t="str">
        <f t="shared" ca="1" si="24"/>
        <v xml:space="preserve"> </v>
      </c>
      <c r="X313" s="141" t="str">
        <f ca="1">IF(S313=" "," ",IFERROR(VLOOKUP(U313,$F$23:$N$1023,7)+VLOOKUP(U313,$F$23:$N$1023,9)+IF(AND('депозитный калькулятор'!$G$13="нет",U313&lt;&gt;'депозитный калькулятор'!$D$8),VLOOKUP(U313,$F$23:$N$1023,4),0),0)+IF(U313='депозитный калькулятор'!$D$8,VLOOKUP(U313,$F$23:$N$1023,2)+VLOOKUP(U313,$F$23:$N$1023,4),0))</f>
        <v xml:space="preserve"> </v>
      </c>
      <c r="Y313" s="142" t="str">
        <f ca="1">IF(S313=" "," ",W313/(1+'депозитный калькулятор'!$K$8)^(T313/IF('депозитный калькулятор'!$G$7="30/360",360,365)))</f>
        <v xml:space="preserve"> </v>
      </c>
      <c r="Z313" s="142" t="str">
        <f ca="1">IF(S313=" "," ",X313/(1+'депозитный калькулятор'!$K$8)^(T313/IF('депозитный калькулятор'!$G$7="30/360",360,365)))</f>
        <v xml:space="preserve"> </v>
      </c>
      <c r="AA313" s="151"/>
      <c r="AB313" s="151"/>
      <c r="AC313" s="155"/>
      <c r="AD313" s="155"/>
    </row>
    <row r="314" spans="1:30" s="2" customFormat="1" ht="15.5" x14ac:dyDescent="0.35">
      <c r="A314" s="41" t="str">
        <f>IF(F314=" "," ",IF(OR('депозитный калькулятор'!$G$7="30/365",'депозитный калькулятор'!$G$7="30/360"),IF(AND(MONTH(F314)=2,DAY(F314)=DAY(EOMONTH(F314,0))),30-DAY(EOMONTH(F314,0)),IF(DAY(F314)=31,1," "))," "))</f>
        <v xml:space="preserve"> </v>
      </c>
      <c r="B314" s="130" t="str">
        <f t="shared" si="21"/>
        <v xml:space="preserve"> </v>
      </c>
      <c r="C314" s="130" t="str">
        <f>IF(OR(B314=0,B314=" ")," ",SUM($B$23:B314))</f>
        <v xml:space="preserve"> </v>
      </c>
      <c r="D314" s="62" t="str">
        <f>IF(D313=" "," ",IF(OR(F313='депозитный калькулятор'!$D$8,F313=" ")," ",D313+1))</f>
        <v xml:space="preserve"> </v>
      </c>
      <c r="E314" s="130" t="str">
        <f>IF(OR(F313='депозитный калькулятор'!$D$8,F313=" ")," ",IF(EOMONTH(F313,0)=F313,1,E313+1))</f>
        <v xml:space="preserve"> </v>
      </c>
      <c r="F314" s="64" t="str">
        <f>IF(F313=" "," ",IF(F313='депозитный калькулятор'!$D$8," ",F313+1))</f>
        <v xml:space="preserve"> </v>
      </c>
      <c r="G314" s="145" t="str">
        <f xml:space="preserve"> IF(F314&gt;'депозитный калькулятор'!$D$8," ",IF('депозитный калькулятор'!$G$13="есть",IF('депозитный калькулятор'!$G$14="есть",G313+IF(I313=" ",0,I313)-J314-K314+L314+M314-N314,G313+IF(I313=" ",0,I313)-J314-K314+M314-N314),IF('депозитный калькулятор'!$G$14="есть",G313-J314-K314+L314+M314-N314,G313-J314-K314+M314-N314)))</f>
        <v xml:space="preserve"> </v>
      </c>
      <c r="H314" s="133" t="str">
        <f>IF(F314&gt;'депозитный калькулятор'!$D$8," ",IF(AND(OR('депозитный калькулятор'!$G$7="30/365",'депозитный калькулятор'!$G$7="30/360"),AND(MONTH(F314)=2,EOMONTH(F314,0)=F314)),IF(DAY(F314)=28,3*G314*'депозитный калькулятор'!$G$8,2*G314*'депозитный калькулятор'!$G$8),IF(AND(OR('депозитный калькулятор'!$G$7="30/365",'депозитный калькулятор'!$G$7="30/360"),DAY(F314)=31)," ",IF(AND('депозитный калькулятор'!$G$7="факт/факт",MOD(YEAR(F314),4)=0),G314*'депозитный калькулятор'!$D$11/366,G314*'депозитный калькулятор'!$G$8))))</f>
        <v xml:space="preserve"> </v>
      </c>
      <c r="I314" s="134" t="str">
        <f ca="1">IF(F314=" "," ",IF('депозитный калькулятор'!$G$10="ежедневное",H314,IF(AND('депозитный калькулятор'!$G$10="еженедельное",WEEKDAY(F314,2)=7),SUM(OFFSET(H314,-6,0):H314),IF(AND('депозитный калькулятор'!$G$10="еженедельное",F314='депозитный калькулятор'!$D$8),SUM($H$23:H314)-SUM($I$23:I313),IF(AND('депозитный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недели",WEEKDAY(F314,2)=7),MIN(OFFSET(H314,-6,0):H314)*(COUNTIF(OFFSET(H314,-6,0):H314,"&gt;0")+SUMIF(OFFSET(A314,-WEEKDAY(F314,2),0):A314,"=2",OFFSET(A314,-WEEKDAY(F314,2),0):A314)),IF(AND('депозитный калькулятор'!$G$10="еженедельное, на минимальную сумму зафиксированную в течение недели",F314='депозитный калькулятор'!$D$8,WEEKDAY(F314,2)&lt;&gt;7),MIN(OFFSET(H314,-WEEKDAY(F314,2),0):H314)*(COUNTIF(OFFSET(H314,-WEEKDAY(F314,2)+1,0):H314,"&gt;0")+SUM(OFFSET(A314,-WEEKDAY(F314,2),0):A314)),IF(AND('депозитный калькулятор'!$G$10="ежемесячное (в конце месяца)",F314='депозитный калькулятор'!$D$8,EOMONTH(F314,0)&lt;&gt;F314),IF('депозитный калькулятор'!$F$1=1,$H$24,SUM($H$23:H314)-SUM($I$23:I313)),IF(AND('депозитный калькулятор'!$G$10="ежемесячное (в конце месяца)",EOMONTH(F314,0)=F314),SUM($H$23:H314)-SUM($I$23:I313),IF(AND('депозитный калькулятор'!$G$10="ежемесячное (по дням открытия вклада)",F314='депозитный калькулятор'!$D$8,DAY('депозитный калькулятор'!$D$7)&lt;&gt;DAY(F314)),IF('депозитный калькулятор'!$F$1=1,$H$24,SUM($H$23:H314)-SUM($I$23:I313)),IF(AND('депозитный калькулятор'!$G$10="ежемесячное (по дням открытия вклада)",DAY('депозитный калькулятор'!$D$7)=DAY(F314)),SUM($H$23:H314)-SUM($I$23:I313),IF(AND('депозитный калькулятор'!$G$10="ежемесячное, на минимальную сумму зафиксированную в течение месяца",F314='депозитный калькулятор'!$D$8,EOMONTH(F314,0)&lt;&gt;F314),IF('депозитный калькулятор'!$F$1=1,$H$24,IF(AND(OR('депозитный калькулятор'!$G$7="30/365",'депозитный калькулятор'!$G$7="30/360"),DAY(F314)=31),0,MIN(OFFSET(H314,-E314+1,0):H314)*(E314+SUMIF(OFFSET(A314,-E314+1,0):A314,"=2",OFFSET(A314,-E314+1,0):A314)))),IF(AND('депозитный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калькулятор'!$G$7="30/360"),DAY(EOMONTH(F314,0))=31),EOMONTH(F314,0)-1=F314,EOMONTH(F314,0)=F314)),IF(IF(AND(OR('депозитный калькулятор'!$G$7="30/365",'депозитный калькулятор'!$G$7="30/360"),DAY(EOMONTH($F$23,0))=31),F314=EOMONTH($F$23,0)-1,F314=EOMONTH($F$23,0)),MIN(OFFSET(H314,-(DAY(F314)-DAY($F$23)),0):H314)*E314,MIN(OFFSET(H314,-(DAY(F314)-1),0):H314)*IF(AND(OR('депозитный калькулятор'!$G$7="30/365",'депозитный калькулятор'!$G$7="30/360"),DAY(F314)&lt;30),30,DAY(F314))),IF(AND('депозитный калькулятор'!$G$10="ежемесячное, на средний остаток в течение месяца, при условии что остаток больше чем ограничение",F314='депозитный калькулятор'!$D$8,EOMONTH(F314,0)&lt;&gt;F314),IF('депозитный калькулятор'!$F$1=1,$H$24,SUM(OFFSET(Q314,-E314+1,0):Q314)),IF(AND('депозитный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калькулятор'!$G$7="30/360"),DAY(EOMONTH(F314,0))=31),EOMONTH(F314,0)-1=F314,EOMONTH(F314,0)=F314)),IF(IF(AND(OR('депозитный калькулятор'!$G$7="30/365",'депозитный калькулятор'!$G$7="30/360"),DAY(EOMONTH($F$24,0))=31),F314=EOMONTH($F$24,0)-1,F314=EOMONTH($F$24,0)),SUM(OFFSET(Q314,-E314+1,0):Q314),SUM(OFFSET(Q314,-E314+1,0):Q314)),IF('депозитный калькулятор'!$G$10="ежеквартальное",IF(F314&gt;'депозитный калькулятор'!$D$8," ",IF(AND(EOMONTH(F314,0)=F314,OR(MONTH(F314)=3,MONTH(F314)=6,MONTH(F314)=9,MONTH(F314)=12)),IF(EDATE(F314,-3)&lt;'депозитный калькулятор'!$D$7,SUM($H$23:H314),IF(MOD(YEAR(F314),4)=0,IF(AND(EOMONTH(F314,0)=F314,OR(MONTH(F314)=3,MONTH(F314)=6)),SUM(OFFSET(H314,-90,0):H314),IF(AND(EOMONTH(F314,0)=F314,OR(MONTH(F314)=9,MONTH(F314)=12)),SUM(OFFSET(H314,-91,0):H314))),IF(AND(EOMONTH(F314,0)=F314,MONTH(F314)=3),SUM(OFFSET(H314,-89,0):H314),IF(AND(EOMONTH(F314,0)=F314,MONTH(F314)=6),SUM(OFFSET(H314,-90,0):H314),IF(AND(EOMONTH(F314,0)=F314,OR(MONTH(F314)=9,MONTH(F314)=12)),SUM(OFFSET(H314,-91,0):H314)))))),IF(F314='депозитный калькулятор'!$D$8,SUM($H$23:H314)-SUM($I$23:I313),0))),IF('депозитный калькулятор'!$G$10="ежегодное",IF(F314&gt;'депозитный калькулятор'!$D$8," ",IF(F314='депозитный калькулятор'!$D$8,SUM($H$23:H314)-SUM($I$23:I313),IF(AND(EOMONTH(F314,0)=F314,MONTH(F314)=12),IF(MOD(YEAR(F313),4)=0,IF(F314-'депозитный калькулятор'!$D$7&lt;366,SUM($H$23:H314),SUM(OFFSET(H314,-365,0):H314)),IF(F314-'депозитный калькулятор'!$D$7&lt;365,SUM($H$23:H314),SUM(OFFSET(H314,-364,0):H314))),0))),IF(AND('депозитный калькулятор'!$G$10="в конце срока",'депозитный калькулятор'!$D$8=F314),SUM($H$23:H314),0))))))))))))))))))</f>
        <v xml:space="preserve"> </v>
      </c>
      <c r="J314" s="59" t="str">
        <f>IF(F314&gt;'депозитный калькулятор'!$D$8," ",IF('депозитный калькулятор'!$G$16="нет",0,IF(AND('депозитный калькулятор'!$G$17="разовая (в конце срока)",F314='депозитный калькулятор'!$D$8),'депозитный калькулятор'!$G$18,IF(AND('депозитный калькулятор'!$G$17="ежемесячная",EOMONTH(F313,0)=F313),'депозитный калькулятор'!$G$18,IF(AND('депозитный калькулятор'!$G$17="ежегодная",DAY(F313)=31,MONTH(F313)=12),'депозитный калькулятор'!$G$18,IF(AND('депозитный калькулятор'!$G$17="ежемесячная в зависимости от остатка",EOMONTH(F313,0)=F313,P313&gt;0),'депозитный калькулятор'!$G$18,IF(AND('депозитный калькулятор'!$G$17="ежегодная в зависимости от остатка",DAY(F313)=31,MONTH(F313)=12,P313&gt;0),'депозитный калькулятор'!$G$18,0)))))))</f>
        <v xml:space="preserve"> </v>
      </c>
      <c r="K314" s="135" t="str">
        <f>IF($F314=" "," ",IFERROR(VLOOKUP($F314,'депозитный калькулятор'!$B$26:$F$70,2,0),0))</f>
        <v xml:space="preserve"> </v>
      </c>
      <c r="L314" s="135" t="str">
        <f>IF($F314=" "," ",IFERROR(VLOOKUP($F314,'депозитный калькулятор'!$B$26:$F$70,3,0),0))</f>
        <v xml:space="preserve"> </v>
      </c>
      <c r="M314" s="135" t="str">
        <f>IF($F314=" "," ",IFERROR(VLOOKUP($F314,'депозитный калькулятор'!$B$26:$F$70,4,0),0))</f>
        <v xml:space="preserve"> </v>
      </c>
      <c r="N314" s="135" t="str">
        <f>IF($F314=" "," ",IFERROR(VLOOKUP($F314,'депозитный калькулятор'!$B$26:$F$70,5,0),0))</f>
        <v xml:space="preserve"> </v>
      </c>
      <c r="O314" s="146" t="str">
        <f>IF(F314&gt;'депозитный калькулятор'!$D$8," ",IF(F314='депозитный калькулятор'!$D$8,IF(AND($F$24='депозитный калькулятор'!$D$8,'депозитный калькулятор'!$G$13="нет"),-G314-IF(I314=" ",0,I314)-IF(AND(OR('депозитный калькулятор'!$G$7="30/365",'депозитный калькулятор'!$G$7="30/360"),'депозитный калькулятор'!$G$10="в начале срока"),I313,0)-L314+M314-N314,-G314-IF(I314=" ",0,I314)-L314+M314-N314),IF('депозитный калькулятор'!$G$13="есть",M314-N314+IF('депозитный калькулятор'!$G$14="есть",0,-L314),-IF(I314=" ",0,I314)-IF(AND(OR('депозитный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срока"),I313,0)+M314-N314+IF('депозитный калькулятор'!$G$14="есть",0,-L314))))</f>
        <v xml:space="preserve"> </v>
      </c>
      <c r="P314" s="147" t="str">
        <f>IF(F314&gt;'депозитный калькулятор'!$D$8," ",IF(EOMONTH(F313,0)=F313,0,IF(G314&gt;='депозитный калькулятор'!$G$19,P313,P313+1)))</f>
        <v xml:space="preserve"> </v>
      </c>
      <c r="Q314" s="138" t="str">
        <f>IF(F314=" "," ",IF(AND(OR('депозитный калькулятор'!$G$7="30/365",'депозитный калькулятор'!$G$7="30/360"),AND(MONTH(F314)=2,EOMONTH(F314,0)=F314)),IF(DAY(F314)=28,3,2),1)*IF(G314&gt;='депозитный калькулятор'!$G$11,IF(AND('депозитный калькулятор'!$G$7="факт/факт",MOD(YEAR(F314),4)=0),G314*'депозитный калькулятор'!$D$11/366,G314*'депозитный калькулятор'!$G$8),0))</f>
        <v xml:space="preserve"> </v>
      </c>
      <c r="R314" s="148"/>
      <c r="S314" s="62" t="str">
        <f t="shared" ca="1" si="22"/>
        <v xml:space="preserve"> </v>
      </c>
      <c r="T314" s="149" t="str">
        <f ca="1">IF(S314=" "," ",IF('депозитный калькулятор'!$G$7="30/360",DAYS360(U313,IF(DAY(U314)=31,U314-1,U314))+IF(AND(MONTH(U314)=2,U314=EOMONTH(U314,0)),30-DAY(EOMONTH(U314,0)))+T313,VLOOKUP(S314,$C$22:$F$1023,2,0)))</f>
        <v xml:space="preserve"> </v>
      </c>
      <c r="U314" s="64" t="str">
        <f t="shared" ca="1" si="20"/>
        <v xml:space="preserve"> </v>
      </c>
      <c r="V314" s="150" t="str">
        <f t="shared" ca="1" si="23"/>
        <v xml:space="preserve"> </v>
      </c>
      <c r="W314" s="62" t="str">
        <f t="shared" ca="1" si="24"/>
        <v xml:space="preserve"> </v>
      </c>
      <c r="X314" s="141" t="str">
        <f ca="1">IF(S314=" "," ",IFERROR(VLOOKUP(U314,$F$23:$N$1023,7)+VLOOKUP(U314,$F$23:$N$1023,9)+IF(AND('депозитный калькулятор'!$G$13="нет",U314&lt;&gt;'депозитный калькулятор'!$D$8),VLOOKUP(U314,$F$23:$N$1023,4),0),0)+IF(U314='депозитный калькулятор'!$D$8,VLOOKUP(U314,$F$23:$N$1023,2)+VLOOKUP(U314,$F$23:$N$1023,4),0))</f>
        <v xml:space="preserve"> </v>
      </c>
      <c r="Y314" s="142" t="str">
        <f ca="1">IF(S314=" "," ",W314/(1+'депозитный калькулятор'!$K$8)^(T314/IF('депозитный калькулятор'!$G$7="30/360",360,365)))</f>
        <v xml:space="preserve"> </v>
      </c>
      <c r="Z314" s="142" t="str">
        <f ca="1">IF(S314=" "," ",X314/(1+'депозитный калькулятор'!$K$8)^(T314/IF('депозитный калькулятор'!$G$7="30/360",360,365)))</f>
        <v xml:space="preserve"> </v>
      </c>
      <c r="AA314" s="151"/>
      <c r="AB314" s="151"/>
      <c r="AC314" s="155"/>
      <c r="AD314" s="155"/>
    </row>
    <row r="315" spans="1:30" s="2" customFormat="1" ht="15.5" x14ac:dyDescent="0.35">
      <c r="A315" s="41" t="str">
        <f>IF(F315=" "," ",IF(OR('депозитный калькулятор'!$G$7="30/365",'депозитный калькулятор'!$G$7="30/360"),IF(AND(MONTH(F315)=2,DAY(F315)=DAY(EOMONTH(F315,0))),30-DAY(EOMONTH(F315,0)),IF(DAY(F315)=31,1," "))," "))</f>
        <v xml:space="preserve"> </v>
      </c>
      <c r="B315" s="130" t="str">
        <f t="shared" si="21"/>
        <v xml:space="preserve"> </v>
      </c>
      <c r="C315" s="130" t="str">
        <f>IF(OR(B315=0,B315=" ")," ",SUM($B$23:B315))</f>
        <v xml:space="preserve"> </v>
      </c>
      <c r="D315" s="62" t="str">
        <f>IF(D314=" "," ",IF(OR(F314='депозитный калькулятор'!$D$8,F314=" ")," ",D314+1))</f>
        <v xml:space="preserve"> </v>
      </c>
      <c r="E315" s="130" t="str">
        <f>IF(OR(F314='депозитный калькулятор'!$D$8,F314=" ")," ",IF(EOMONTH(F314,0)=F314,1,E314+1))</f>
        <v xml:space="preserve"> </v>
      </c>
      <c r="F315" s="64" t="str">
        <f>IF(F314=" "," ",IF(F314='депозитный калькулятор'!$D$8," ",F314+1))</f>
        <v xml:space="preserve"> </v>
      </c>
      <c r="G315" s="145" t="str">
        <f xml:space="preserve"> IF(F315&gt;'депозитный калькулятор'!$D$8," ",IF('депозитный калькулятор'!$G$13="есть",IF('депозитный калькулятор'!$G$14="есть",G314+IF(I314=" ",0,I314)-J315-K315+L315+M315-N315,G314+IF(I314=" ",0,I314)-J315-K315+M315-N315),IF('депозитный калькулятор'!$G$14="есть",G314-J315-K315+L315+M315-N315,G314-J315-K315+M315-N315)))</f>
        <v xml:space="preserve"> </v>
      </c>
      <c r="H315" s="133" t="str">
        <f>IF(F315&gt;'депозитный калькулятор'!$D$8," ",IF(AND(OR('депозитный калькулятор'!$G$7="30/365",'депозитный калькулятор'!$G$7="30/360"),AND(MONTH(F315)=2,EOMONTH(F315,0)=F315)),IF(DAY(F315)=28,3*G315*'депозитный калькулятор'!$G$8,2*G315*'депозитный калькулятор'!$G$8),IF(AND(OR('депозитный калькулятор'!$G$7="30/365",'депозитный калькулятор'!$G$7="30/360"),DAY(F315)=31)," ",IF(AND('депозитный калькулятор'!$G$7="факт/факт",MOD(YEAR(F315),4)=0),G315*'депозитный калькулятор'!$D$11/366,G315*'депозитный калькулятор'!$G$8))))</f>
        <v xml:space="preserve"> </v>
      </c>
      <c r="I315" s="134" t="str">
        <f ca="1">IF(F315=" "," ",IF('депозитный калькулятор'!$G$10="ежедневное",H315,IF(AND('депозитный калькулятор'!$G$10="еженедельное",WEEKDAY(F315,2)=7),SUM(OFFSET(H315,-6,0):H315),IF(AND('депозитный калькулятор'!$G$10="еженедельное",F315='депозитный калькулятор'!$D$8),SUM($H$23:H315)-SUM($I$23:I314),IF(AND('депозитный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недели",WEEKDAY(F315,2)=7),MIN(OFFSET(H315,-6,0):H315)*(COUNTIF(OFFSET(H315,-6,0):H315,"&gt;0")+SUMIF(OFFSET(A315,-WEEKDAY(F315,2),0):A315,"=2",OFFSET(A315,-WEEKDAY(F315,2),0):A315)),IF(AND('депозитный калькулятор'!$G$10="еженедельное, на минимальную сумму зафиксированную в течение недели",F315='депозитный калькулятор'!$D$8,WEEKDAY(F315,2)&lt;&gt;7),MIN(OFFSET(H315,-WEEKDAY(F315,2),0):H315)*(COUNTIF(OFFSET(H315,-WEEKDAY(F315,2)+1,0):H315,"&gt;0")+SUM(OFFSET(A315,-WEEKDAY(F315,2),0):A315)),IF(AND('депозитный калькулятор'!$G$10="ежемесячное (в конце месяца)",F315='депозитный калькулятор'!$D$8,EOMONTH(F315,0)&lt;&gt;F315),IF('депозитный калькулятор'!$F$1=1,$H$24,SUM($H$23:H315)-SUM($I$23:I314)),IF(AND('депозитный калькулятор'!$G$10="ежемесячное (в конце месяца)",EOMONTH(F315,0)=F315),SUM($H$23:H315)-SUM($I$23:I314),IF(AND('депозитный калькулятор'!$G$10="ежемесячное (по дням открытия вклада)",F315='депозитный калькулятор'!$D$8,DAY('депозитный калькулятор'!$D$7)&lt;&gt;DAY(F315)),IF('депозитный калькулятор'!$F$1=1,$H$24,SUM($H$23:H315)-SUM($I$23:I314)),IF(AND('депозитный калькулятор'!$G$10="ежемесячное (по дням открытия вклада)",DAY('депозитный калькулятор'!$D$7)=DAY(F315)),SUM($H$23:H315)-SUM($I$23:I314),IF(AND('депозитный калькулятор'!$G$10="ежемесячное, на минимальную сумму зафиксированную в течение месяца",F315='депозитный калькулятор'!$D$8,EOMONTH(F315,0)&lt;&gt;F315),IF('депозитный калькулятор'!$F$1=1,$H$24,IF(AND(OR('депозитный калькулятор'!$G$7="30/365",'депозитный калькулятор'!$G$7="30/360"),DAY(F315)=31),0,MIN(OFFSET(H315,-E315+1,0):H315)*(E315+SUMIF(OFFSET(A315,-E315+1,0):A315,"=2",OFFSET(A315,-E315+1,0):A315)))),IF(AND('депозитный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калькулятор'!$G$7="30/360"),DAY(EOMONTH(F315,0))=31),EOMONTH(F315,0)-1=F315,EOMONTH(F315,0)=F315)),IF(IF(AND(OR('депозитный калькулятор'!$G$7="30/365",'депозитный калькулятор'!$G$7="30/360"),DAY(EOMONTH($F$23,0))=31),F315=EOMONTH($F$23,0)-1,F315=EOMONTH($F$23,0)),MIN(OFFSET(H315,-(DAY(F315)-DAY($F$23)),0):H315)*E315,MIN(OFFSET(H315,-(DAY(F315)-1),0):H315)*IF(AND(OR('депозитный калькулятор'!$G$7="30/365",'депозитный калькулятор'!$G$7="30/360"),DAY(F315)&lt;30),30,DAY(F315))),IF(AND('депозитный калькулятор'!$G$10="ежемесячное, на средний остаток в течение месяца, при условии что остаток больше чем ограничение",F315='депозитный калькулятор'!$D$8,EOMONTH(F315,0)&lt;&gt;F315),IF('депозитный калькулятор'!$F$1=1,$H$24,SUM(OFFSET(Q315,-E315+1,0):Q315)),IF(AND('депозитный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калькулятор'!$G$7="30/360"),DAY(EOMONTH(F315,0))=31),EOMONTH(F315,0)-1=F315,EOMONTH(F315,0)=F315)),IF(IF(AND(OR('депозитный калькулятор'!$G$7="30/365",'депозитный калькулятор'!$G$7="30/360"),DAY(EOMONTH($F$24,0))=31),F315=EOMONTH($F$24,0)-1,F315=EOMONTH($F$24,0)),SUM(OFFSET(Q315,-E315+1,0):Q315),SUM(OFFSET(Q315,-E315+1,0):Q315)),IF('депозитный калькулятор'!$G$10="ежеквартальное",IF(F315&gt;'депозитный калькулятор'!$D$8," ",IF(AND(EOMONTH(F315,0)=F315,OR(MONTH(F315)=3,MONTH(F315)=6,MONTH(F315)=9,MONTH(F315)=12)),IF(EDATE(F315,-3)&lt;'депозитный калькулятор'!$D$7,SUM($H$23:H315),IF(MOD(YEAR(F315),4)=0,IF(AND(EOMONTH(F315,0)=F315,OR(MONTH(F315)=3,MONTH(F315)=6)),SUM(OFFSET(H315,-90,0):H315),IF(AND(EOMONTH(F315,0)=F315,OR(MONTH(F315)=9,MONTH(F315)=12)),SUM(OFFSET(H315,-91,0):H315))),IF(AND(EOMONTH(F315,0)=F315,MONTH(F315)=3),SUM(OFFSET(H315,-89,0):H315),IF(AND(EOMONTH(F315,0)=F315,MONTH(F315)=6),SUM(OFFSET(H315,-90,0):H315),IF(AND(EOMONTH(F315,0)=F315,OR(MONTH(F315)=9,MONTH(F315)=12)),SUM(OFFSET(H315,-91,0):H315)))))),IF(F315='депозитный калькулятор'!$D$8,SUM($H$23:H315)-SUM($I$23:I314),0))),IF('депозитный калькулятор'!$G$10="ежегодное",IF(F315&gt;'депозитный калькулятор'!$D$8," ",IF(F315='депозитный калькулятор'!$D$8,SUM($H$23:H315)-SUM($I$23:I314),IF(AND(EOMONTH(F315,0)=F315,MONTH(F315)=12),IF(MOD(YEAR(F314),4)=0,IF(F315-'депозитный калькулятор'!$D$7&lt;366,SUM($H$23:H315),SUM(OFFSET(H315,-365,0):H315)),IF(F315-'депозитный калькулятор'!$D$7&lt;365,SUM($H$23:H315),SUM(OFFSET(H315,-364,0):H315))),0))),IF(AND('депозитный калькулятор'!$G$10="в конце срока",'депозитный калькулятор'!$D$8=F315),SUM($H$23:H315),0))))))))))))))))))</f>
        <v xml:space="preserve"> </v>
      </c>
      <c r="J315" s="59" t="str">
        <f>IF(F315&gt;'депозитный калькулятор'!$D$8," ",IF('депозитный калькулятор'!$G$16="нет",0,IF(AND('депозитный калькулятор'!$G$17="разовая (в конце срока)",F315='депозитный калькулятор'!$D$8),'депозитный калькулятор'!$G$18,IF(AND('депозитный калькулятор'!$G$17="ежемесячная",EOMONTH(F314,0)=F314),'депозитный калькулятор'!$G$18,IF(AND('депозитный калькулятор'!$G$17="ежегодная",DAY(F314)=31,MONTH(F314)=12),'депозитный калькулятор'!$G$18,IF(AND('депозитный калькулятор'!$G$17="ежемесячная в зависимости от остатка",EOMONTH(F314,0)=F314,P314&gt;0),'депозитный калькулятор'!$G$18,IF(AND('депозитный калькулятор'!$G$17="ежегодная в зависимости от остатка",DAY(F314)=31,MONTH(F314)=12,P314&gt;0),'депозитный калькулятор'!$G$18,0)))))))</f>
        <v xml:space="preserve"> </v>
      </c>
      <c r="K315" s="135" t="str">
        <f>IF($F315=" "," ",IFERROR(VLOOKUP($F315,'депозитный калькулятор'!$B$26:$F$70,2,0),0))</f>
        <v xml:space="preserve"> </v>
      </c>
      <c r="L315" s="135" t="str">
        <f>IF($F315=" "," ",IFERROR(VLOOKUP($F315,'депозитный калькулятор'!$B$26:$F$70,3,0),0))</f>
        <v xml:space="preserve"> </v>
      </c>
      <c r="M315" s="135" t="str">
        <f>IF($F315=" "," ",IFERROR(VLOOKUP($F315,'депозитный калькулятор'!$B$26:$F$70,4,0),0))</f>
        <v xml:space="preserve"> </v>
      </c>
      <c r="N315" s="135" t="str">
        <f>IF($F315=" "," ",IFERROR(VLOOKUP($F315,'депозитный калькулятор'!$B$26:$F$70,5,0),0))</f>
        <v xml:space="preserve"> </v>
      </c>
      <c r="O315" s="146" t="str">
        <f>IF(F315&gt;'депозитный калькулятор'!$D$8," ",IF(F315='депозитный калькулятор'!$D$8,IF(AND($F$24='депозитный калькулятор'!$D$8,'депозитный калькулятор'!$G$13="нет"),-G315-IF(I315=" ",0,I315)-IF(AND(OR('депозитный калькулятор'!$G$7="30/365",'депозитный калькулятор'!$G$7="30/360"),'депозитный калькулятор'!$G$10="в начале срока"),I314,0)-L315+M315-N315,-G315-IF(I315=" ",0,I315)-L315+M315-N315),IF('депозитный калькулятор'!$G$13="есть",M315-N315+IF('депозитный калькулятор'!$G$14="есть",0,-L315),-IF(I315=" ",0,I315)-IF(AND(OR('депозитный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срока"),I314,0)+M315-N315+IF('депозитный калькулятор'!$G$14="есть",0,-L315))))</f>
        <v xml:space="preserve"> </v>
      </c>
      <c r="P315" s="147" t="str">
        <f>IF(F315&gt;'депозитный калькулятор'!$D$8," ",IF(EOMONTH(F314,0)=F314,0,IF(G315&gt;='депозитный калькулятор'!$G$19,P314,P314+1)))</f>
        <v xml:space="preserve"> </v>
      </c>
      <c r="Q315" s="138" t="str">
        <f>IF(F315=" "," ",IF(AND(OR('депозитный калькулятор'!$G$7="30/365",'депозитный калькулятор'!$G$7="30/360"),AND(MONTH(F315)=2,EOMONTH(F315,0)=F315)),IF(DAY(F315)=28,3,2),1)*IF(G315&gt;='депозитный калькулятор'!$G$11,IF(AND('депозитный калькулятор'!$G$7="факт/факт",MOD(YEAR(F315),4)=0),G315*'депозитный калькулятор'!$D$11/366,G315*'депозитный калькулятор'!$G$8),0))</f>
        <v xml:space="preserve"> </v>
      </c>
      <c r="R315" s="148"/>
      <c r="S315" s="62" t="str">
        <f t="shared" ca="1" si="22"/>
        <v xml:space="preserve"> </v>
      </c>
      <c r="T315" s="149" t="str">
        <f ca="1">IF(S315=" "," ",IF('депозитный калькулятор'!$G$7="30/360",DAYS360(U314,IF(DAY(U315)=31,U315-1,U315))+IF(AND(MONTH(U315)=2,U315=EOMONTH(U315,0)),30-DAY(EOMONTH(U315,0)))+T314,VLOOKUP(S315,$C$22:$F$1023,2,0)))</f>
        <v xml:space="preserve"> </v>
      </c>
      <c r="U315" s="64" t="str">
        <f t="shared" ca="1" si="20"/>
        <v xml:space="preserve"> </v>
      </c>
      <c r="V315" s="150" t="str">
        <f t="shared" ca="1" si="23"/>
        <v xml:space="preserve"> </v>
      </c>
      <c r="W315" s="62" t="str">
        <f t="shared" ca="1" si="24"/>
        <v xml:space="preserve"> </v>
      </c>
      <c r="X315" s="141" t="str">
        <f ca="1">IF(S315=" "," ",IFERROR(VLOOKUP(U315,$F$23:$N$1023,7)+VLOOKUP(U315,$F$23:$N$1023,9)+IF(AND('депозитный калькулятор'!$G$13="нет",U315&lt;&gt;'депозитный калькулятор'!$D$8),VLOOKUP(U315,$F$23:$N$1023,4),0),0)+IF(U315='депозитный калькулятор'!$D$8,VLOOKUP(U315,$F$23:$N$1023,2)+VLOOKUP(U315,$F$23:$N$1023,4),0))</f>
        <v xml:space="preserve"> </v>
      </c>
      <c r="Y315" s="142" t="str">
        <f ca="1">IF(S315=" "," ",W315/(1+'депозитный калькулятор'!$K$8)^(T315/IF('депозитный калькулятор'!$G$7="30/360",360,365)))</f>
        <v xml:space="preserve"> </v>
      </c>
      <c r="Z315" s="142" t="str">
        <f ca="1">IF(S315=" "," ",X315/(1+'депозитный калькулятор'!$K$8)^(T315/IF('депозитный калькулятор'!$G$7="30/360",360,365)))</f>
        <v xml:space="preserve"> </v>
      </c>
      <c r="AA315" s="151"/>
      <c r="AB315" s="151"/>
      <c r="AC315" s="155"/>
      <c r="AD315" s="155"/>
    </row>
    <row r="316" spans="1:30" s="2" customFormat="1" ht="15.5" x14ac:dyDescent="0.35">
      <c r="A316" s="41" t="str">
        <f>IF(F316=" "," ",IF(OR('депозитный калькулятор'!$G$7="30/365",'депозитный калькулятор'!$G$7="30/360"),IF(AND(MONTH(F316)=2,DAY(F316)=DAY(EOMONTH(F316,0))),30-DAY(EOMONTH(F316,0)),IF(DAY(F316)=31,1," "))," "))</f>
        <v xml:space="preserve"> </v>
      </c>
      <c r="B316" s="130" t="str">
        <f t="shared" si="21"/>
        <v xml:space="preserve"> </v>
      </c>
      <c r="C316" s="130" t="str">
        <f>IF(OR(B316=0,B316=" ")," ",SUM($B$23:B316))</f>
        <v xml:space="preserve"> </v>
      </c>
      <c r="D316" s="62" t="str">
        <f>IF(D315=" "," ",IF(OR(F315='депозитный калькулятор'!$D$8,F315=" ")," ",D315+1))</f>
        <v xml:space="preserve"> </v>
      </c>
      <c r="E316" s="130" t="str">
        <f>IF(OR(F315='депозитный калькулятор'!$D$8,F315=" ")," ",IF(EOMONTH(F315,0)=F315,1,E315+1))</f>
        <v xml:space="preserve"> </v>
      </c>
      <c r="F316" s="64" t="str">
        <f>IF(F315=" "," ",IF(F315='депозитный калькулятор'!$D$8," ",F315+1))</f>
        <v xml:space="preserve"> </v>
      </c>
      <c r="G316" s="145" t="str">
        <f xml:space="preserve"> IF(F316&gt;'депозитный калькулятор'!$D$8," ",IF('депозитный калькулятор'!$G$13="есть",IF('депозитный калькулятор'!$G$14="есть",G315+IF(I315=" ",0,I315)-J316-K316+L316+M316-N316,G315+IF(I315=" ",0,I315)-J316-K316+M316-N316),IF('депозитный калькулятор'!$G$14="есть",G315-J316-K316+L316+M316-N316,G315-J316-K316+M316-N316)))</f>
        <v xml:space="preserve"> </v>
      </c>
      <c r="H316" s="133" t="str">
        <f>IF(F316&gt;'депозитный калькулятор'!$D$8," ",IF(AND(OR('депозитный калькулятор'!$G$7="30/365",'депозитный калькулятор'!$G$7="30/360"),AND(MONTH(F316)=2,EOMONTH(F316,0)=F316)),IF(DAY(F316)=28,3*G316*'депозитный калькулятор'!$G$8,2*G316*'депозитный калькулятор'!$G$8),IF(AND(OR('депозитный калькулятор'!$G$7="30/365",'депозитный калькулятор'!$G$7="30/360"),DAY(F316)=31)," ",IF(AND('депозитный калькулятор'!$G$7="факт/факт",MOD(YEAR(F316),4)=0),G316*'депозитный калькулятор'!$D$11/366,G316*'депозитный калькулятор'!$G$8))))</f>
        <v xml:space="preserve"> </v>
      </c>
      <c r="I316" s="134" t="str">
        <f ca="1">IF(F316=" "," ",IF('депозитный калькулятор'!$G$10="ежедневное",H316,IF(AND('депозитный калькулятор'!$G$10="еженедельное",WEEKDAY(F316,2)=7),SUM(OFFSET(H316,-6,0):H316),IF(AND('депозитный калькулятор'!$G$10="еженедельное",F316='депозитный калькулятор'!$D$8),SUM($H$23:H316)-SUM($I$23:I315),IF(AND('депозитный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недели",WEEKDAY(F316,2)=7),MIN(OFFSET(H316,-6,0):H316)*(COUNTIF(OFFSET(H316,-6,0):H316,"&gt;0")+SUMIF(OFFSET(A316,-WEEKDAY(F316,2),0):A316,"=2",OFFSET(A316,-WEEKDAY(F316,2),0):A316)),IF(AND('депозитный калькулятор'!$G$10="еженедельное, на минимальную сумму зафиксированную в течение недели",F316='депозитный калькулятор'!$D$8,WEEKDAY(F316,2)&lt;&gt;7),MIN(OFFSET(H316,-WEEKDAY(F316,2),0):H316)*(COUNTIF(OFFSET(H316,-WEEKDAY(F316,2)+1,0):H316,"&gt;0")+SUM(OFFSET(A316,-WEEKDAY(F316,2),0):A316)),IF(AND('депозитный калькулятор'!$G$10="ежемесячное (в конце месяца)",F316='депозитный калькулятор'!$D$8,EOMONTH(F316,0)&lt;&gt;F316),IF('депозитный калькулятор'!$F$1=1,$H$24,SUM($H$23:H316)-SUM($I$23:I315)),IF(AND('депозитный калькулятор'!$G$10="ежемесячное (в конце месяца)",EOMONTH(F316,0)=F316),SUM($H$23:H316)-SUM($I$23:I315),IF(AND('депозитный калькулятор'!$G$10="ежемесячное (по дням открытия вклада)",F316='депозитный калькулятор'!$D$8,DAY('депозитный калькулятор'!$D$7)&lt;&gt;DAY(F316)),IF('депозитный калькулятор'!$F$1=1,$H$24,SUM($H$23:H316)-SUM($I$23:I315)),IF(AND('депозитный калькулятор'!$G$10="ежемесячное (по дням открытия вклада)",DAY('депозитный калькулятор'!$D$7)=DAY(F316)),SUM($H$23:H316)-SUM($I$23:I315),IF(AND('депозитный калькулятор'!$G$10="ежемесячное, на минимальную сумму зафиксированную в течение месяца",F316='депозитный калькулятор'!$D$8,EOMONTH(F316,0)&lt;&gt;F316),IF('депозитный калькулятор'!$F$1=1,$H$24,IF(AND(OR('депозитный калькулятор'!$G$7="30/365",'депозитный калькулятор'!$G$7="30/360"),DAY(F316)=31),0,MIN(OFFSET(H316,-E316+1,0):H316)*(E316+SUMIF(OFFSET(A316,-E316+1,0):A316,"=2",OFFSET(A316,-E316+1,0):A316)))),IF(AND('депозитный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калькулятор'!$G$7="30/360"),DAY(EOMONTH(F316,0))=31),EOMONTH(F316,0)-1=F316,EOMONTH(F316,0)=F316)),IF(IF(AND(OR('депозитный калькулятор'!$G$7="30/365",'депозитный калькулятор'!$G$7="30/360"),DAY(EOMONTH($F$23,0))=31),F316=EOMONTH($F$23,0)-1,F316=EOMONTH($F$23,0)),MIN(OFFSET(H316,-(DAY(F316)-DAY($F$23)),0):H316)*E316,MIN(OFFSET(H316,-(DAY(F316)-1),0):H316)*IF(AND(OR('депозитный калькулятор'!$G$7="30/365",'депозитный калькулятор'!$G$7="30/360"),DAY(F316)&lt;30),30,DAY(F316))),IF(AND('депозитный калькулятор'!$G$10="ежемесячное, на средний остаток в течение месяца, при условии что остаток больше чем ограничение",F316='депозитный калькулятор'!$D$8,EOMONTH(F316,0)&lt;&gt;F316),IF('депозитный калькулятор'!$F$1=1,$H$24,SUM(OFFSET(Q316,-E316+1,0):Q316)),IF(AND('депозитный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калькулятор'!$G$7="30/360"),DAY(EOMONTH(F316,0))=31),EOMONTH(F316,0)-1=F316,EOMONTH(F316,0)=F316)),IF(IF(AND(OR('депозитный калькулятор'!$G$7="30/365",'депозитный калькулятор'!$G$7="30/360"),DAY(EOMONTH($F$24,0))=31),F316=EOMONTH($F$24,0)-1,F316=EOMONTH($F$24,0)),SUM(OFFSET(Q316,-E316+1,0):Q316),SUM(OFFSET(Q316,-E316+1,0):Q316)),IF('депозитный калькулятор'!$G$10="ежеквартальное",IF(F316&gt;'депозитный калькулятор'!$D$8," ",IF(AND(EOMONTH(F316,0)=F316,OR(MONTH(F316)=3,MONTH(F316)=6,MONTH(F316)=9,MONTH(F316)=12)),IF(EDATE(F316,-3)&lt;'депозитный калькулятор'!$D$7,SUM($H$23:H316),IF(MOD(YEAR(F316),4)=0,IF(AND(EOMONTH(F316,0)=F316,OR(MONTH(F316)=3,MONTH(F316)=6)),SUM(OFFSET(H316,-90,0):H316),IF(AND(EOMONTH(F316,0)=F316,OR(MONTH(F316)=9,MONTH(F316)=12)),SUM(OFFSET(H316,-91,0):H316))),IF(AND(EOMONTH(F316,0)=F316,MONTH(F316)=3),SUM(OFFSET(H316,-89,0):H316),IF(AND(EOMONTH(F316,0)=F316,MONTH(F316)=6),SUM(OFFSET(H316,-90,0):H316),IF(AND(EOMONTH(F316,0)=F316,OR(MONTH(F316)=9,MONTH(F316)=12)),SUM(OFFSET(H316,-91,0):H316)))))),IF(F316='депозитный калькулятор'!$D$8,SUM($H$23:H316)-SUM($I$23:I315),0))),IF('депозитный калькулятор'!$G$10="ежегодное",IF(F316&gt;'депозитный калькулятор'!$D$8," ",IF(F316='депозитный калькулятор'!$D$8,SUM($H$23:H316)-SUM($I$23:I315),IF(AND(EOMONTH(F316,0)=F316,MONTH(F316)=12),IF(MOD(YEAR(F315),4)=0,IF(F316-'депозитный калькулятор'!$D$7&lt;366,SUM($H$23:H316),SUM(OFFSET(H316,-365,0):H316)),IF(F316-'депозитный калькулятор'!$D$7&lt;365,SUM($H$23:H316),SUM(OFFSET(H316,-364,0):H316))),0))),IF(AND('депозитный калькулятор'!$G$10="в конце срока",'депозитный калькулятор'!$D$8=F316),SUM($H$23:H316),0))))))))))))))))))</f>
        <v xml:space="preserve"> </v>
      </c>
      <c r="J316" s="59" t="str">
        <f>IF(F316&gt;'депозитный калькулятор'!$D$8," ",IF('депозитный калькулятор'!$G$16="нет",0,IF(AND('депозитный калькулятор'!$G$17="разовая (в конце срока)",F316='депозитный калькулятор'!$D$8),'депозитный калькулятор'!$G$18,IF(AND('депозитный калькулятор'!$G$17="ежемесячная",EOMONTH(F315,0)=F315),'депозитный калькулятор'!$G$18,IF(AND('депозитный калькулятор'!$G$17="ежегодная",DAY(F315)=31,MONTH(F315)=12),'депозитный калькулятор'!$G$18,IF(AND('депозитный калькулятор'!$G$17="ежемесячная в зависимости от остатка",EOMONTH(F315,0)=F315,P315&gt;0),'депозитный калькулятор'!$G$18,IF(AND('депозитный калькулятор'!$G$17="ежегодная в зависимости от остатка",DAY(F315)=31,MONTH(F315)=12,P315&gt;0),'депозитный калькулятор'!$G$18,0)))))))</f>
        <v xml:space="preserve"> </v>
      </c>
      <c r="K316" s="135" t="str">
        <f>IF($F316=" "," ",IFERROR(VLOOKUP($F316,'депозитный калькулятор'!$B$26:$F$70,2,0),0))</f>
        <v xml:space="preserve"> </v>
      </c>
      <c r="L316" s="135" t="str">
        <f>IF($F316=" "," ",IFERROR(VLOOKUP($F316,'депозитный калькулятор'!$B$26:$F$70,3,0),0))</f>
        <v xml:space="preserve"> </v>
      </c>
      <c r="M316" s="135" t="str">
        <f>IF($F316=" "," ",IFERROR(VLOOKUP($F316,'депозитный калькулятор'!$B$26:$F$70,4,0),0))</f>
        <v xml:space="preserve"> </v>
      </c>
      <c r="N316" s="135" t="str">
        <f>IF($F316=" "," ",IFERROR(VLOOKUP($F316,'депозитный калькулятор'!$B$26:$F$70,5,0),0))</f>
        <v xml:space="preserve"> </v>
      </c>
      <c r="O316" s="146" t="str">
        <f>IF(F316&gt;'депозитный калькулятор'!$D$8," ",IF(F316='депозитный калькулятор'!$D$8,IF(AND($F$24='депозитный калькулятор'!$D$8,'депозитный калькулятор'!$G$13="нет"),-G316-IF(I316=" ",0,I316)-IF(AND(OR('депозитный калькулятор'!$G$7="30/365",'депозитный калькулятор'!$G$7="30/360"),'депозитный калькулятор'!$G$10="в начале срока"),I315,0)-L316+M316-N316,-G316-IF(I316=" ",0,I316)-L316+M316-N316),IF('депозитный калькулятор'!$G$13="есть",M316-N316+IF('депозитный калькулятор'!$G$14="есть",0,-L316),-IF(I316=" ",0,I316)-IF(AND(OR('депозитный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срока"),I315,0)+M316-N316+IF('депозитный калькулятор'!$G$14="есть",0,-L316))))</f>
        <v xml:space="preserve"> </v>
      </c>
      <c r="P316" s="147" t="str">
        <f>IF(F316&gt;'депозитный калькулятор'!$D$8," ",IF(EOMONTH(F315,0)=F315,0,IF(G316&gt;='депозитный калькулятор'!$G$19,P315,P315+1)))</f>
        <v xml:space="preserve"> </v>
      </c>
      <c r="Q316" s="138" t="str">
        <f>IF(F316=" "," ",IF(AND(OR('депозитный калькулятор'!$G$7="30/365",'депозитный калькулятор'!$G$7="30/360"),AND(MONTH(F316)=2,EOMONTH(F316,0)=F316)),IF(DAY(F316)=28,3,2),1)*IF(G316&gt;='депозитный калькулятор'!$G$11,IF(AND('депозитный калькулятор'!$G$7="факт/факт",MOD(YEAR(F316),4)=0),G316*'депозитный калькулятор'!$D$11/366,G316*'депозитный калькулятор'!$G$8),0))</f>
        <v xml:space="preserve"> </v>
      </c>
      <c r="R316" s="148"/>
      <c r="S316" s="62" t="str">
        <f t="shared" ca="1" si="22"/>
        <v xml:space="preserve"> </v>
      </c>
      <c r="T316" s="149" t="str">
        <f ca="1">IF(S316=" "," ",IF('депозитный калькулятор'!$G$7="30/360",DAYS360(U315,IF(DAY(U316)=31,U316-1,U316))+IF(AND(MONTH(U316)=2,U316=EOMONTH(U316,0)),30-DAY(EOMONTH(U316,0)))+T315,VLOOKUP(S316,$C$22:$F$1023,2,0)))</f>
        <v xml:space="preserve"> </v>
      </c>
      <c r="U316" s="64" t="str">
        <f t="shared" ca="1" si="20"/>
        <v xml:space="preserve"> </v>
      </c>
      <c r="V316" s="150" t="str">
        <f t="shared" ca="1" si="23"/>
        <v xml:space="preserve"> </v>
      </c>
      <c r="W316" s="62" t="str">
        <f t="shared" ca="1" si="24"/>
        <v xml:space="preserve"> </v>
      </c>
      <c r="X316" s="141" t="str">
        <f ca="1">IF(S316=" "," ",IFERROR(VLOOKUP(U316,$F$23:$N$1023,7)+VLOOKUP(U316,$F$23:$N$1023,9)+IF(AND('депозитный калькулятор'!$G$13="нет",U316&lt;&gt;'депозитный калькулятор'!$D$8),VLOOKUP(U316,$F$23:$N$1023,4),0),0)+IF(U316='депозитный калькулятор'!$D$8,VLOOKUP(U316,$F$23:$N$1023,2)+VLOOKUP(U316,$F$23:$N$1023,4),0))</f>
        <v xml:space="preserve"> </v>
      </c>
      <c r="Y316" s="142" t="str">
        <f ca="1">IF(S316=" "," ",W316/(1+'депозитный калькулятор'!$K$8)^(T316/IF('депозитный калькулятор'!$G$7="30/360",360,365)))</f>
        <v xml:space="preserve"> </v>
      </c>
      <c r="Z316" s="142" t="str">
        <f ca="1">IF(S316=" "," ",X316/(1+'депозитный калькулятор'!$K$8)^(T316/IF('депозитный калькулятор'!$G$7="30/360",360,365)))</f>
        <v xml:space="preserve"> </v>
      </c>
      <c r="AA316" s="151"/>
      <c r="AB316" s="151"/>
      <c r="AC316" s="155"/>
      <c r="AD316" s="155"/>
    </row>
    <row r="317" spans="1:30" s="2" customFormat="1" ht="15.5" x14ac:dyDescent="0.35">
      <c r="A317" s="41" t="str">
        <f>IF(F317=" "," ",IF(OR('депозитный калькулятор'!$G$7="30/365",'депозитный калькулятор'!$G$7="30/360"),IF(AND(MONTH(F317)=2,DAY(F317)=DAY(EOMONTH(F317,0))),30-DAY(EOMONTH(F317,0)),IF(DAY(F317)=31,1," "))," "))</f>
        <v xml:space="preserve"> </v>
      </c>
      <c r="B317" s="130" t="str">
        <f t="shared" si="21"/>
        <v xml:space="preserve"> </v>
      </c>
      <c r="C317" s="130" t="str">
        <f>IF(OR(B317=0,B317=" ")," ",SUM($B$23:B317))</f>
        <v xml:space="preserve"> </v>
      </c>
      <c r="D317" s="62" t="str">
        <f>IF(D316=" "," ",IF(OR(F316='депозитный калькулятор'!$D$8,F316=" ")," ",D316+1))</f>
        <v xml:space="preserve"> </v>
      </c>
      <c r="E317" s="130" t="str">
        <f>IF(OR(F316='депозитный калькулятор'!$D$8,F316=" ")," ",IF(EOMONTH(F316,0)=F316,1,E316+1))</f>
        <v xml:space="preserve"> </v>
      </c>
      <c r="F317" s="64" t="str">
        <f>IF(F316=" "," ",IF(F316='депозитный калькулятор'!$D$8," ",F316+1))</f>
        <v xml:space="preserve"> </v>
      </c>
      <c r="G317" s="145" t="str">
        <f xml:space="preserve"> IF(F317&gt;'депозитный калькулятор'!$D$8," ",IF('депозитный калькулятор'!$G$13="есть",IF('депозитный калькулятор'!$G$14="есть",G316+IF(I316=" ",0,I316)-J317-K317+L317+M317-N317,G316+IF(I316=" ",0,I316)-J317-K317+M317-N317),IF('депозитный калькулятор'!$G$14="есть",G316-J317-K317+L317+M317-N317,G316-J317-K317+M317-N317)))</f>
        <v xml:space="preserve"> </v>
      </c>
      <c r="H317" s="133" t="str">
        <f>IF(F317&gt;'депозитный калькулятор'!$D$8," ",IF(AND(OR('депозитный калькулятор'!$G$7="30/365",'депозитный калькулятор'!$G$7="30/360"),AND(MONTH(F317)=2,EOMONTH(F317,0)=F317)),IF(DAY(F317)=28,3*G317*'депозитный калькулятор'!$G$8,2*G317*'депозитный калькулятор'!$G$8),IF(AND(OR('депозитный калькулятор'!$G$7="30/365",'депозитный калькулятор'!$G$7="30/360"),DAY(F317)=31)," ",IF(AND('депозитный калькулятор'!$G$7="факт/факт",MOD(YEAR(F317),4)=0),G317*'депозитный калькулятор'!$D$11/366,G317*'депозитный калькулятор'!$G$8))))</f>
        <v xml:space="preserve"> </v>
      </c>
      <c r="I317" s="134" t="str">
        <f ca="1">IF(F317=" "," ",IF('депозитный калькулятор'!$G$10="ежедневное",H317,IF(AND('депозитный калькулятор'!$G$10="еженедельное",WEEKDAY(F317,2)=7),SUM(OFFSET(H317,-6,0):H317),IF(AND('депозитный калькулятор'!$G$10="еженедельное",F317='депозитный калькулятор'!$D$8),SUM($H$23:H317)-SUM($I$23:I316),IF(AND('депозитный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недели",WEEKDAY(F317,2)=7),MIN(OFFSET(H317,-6,0):H317)*(COUNTIF(OFFSET(H317,-6,0):H317,"&gt;0")+SUMIF(OFFSET(A317,-WEEKDAY(F317,2),0):A317,"=2",OFFSET(A317,-WEEKDAY(F317,2),0):A317)),IF(AND('депозитный калькулятор'!$G$10="еженедельное, на минимальную сумму зафиксированную в течение недели",F317='депозитный калькулятор'!$D$8,WEEKDAY(F317,2)&lt;&gt;7),MIN(OFFSET(H317,-WEEKDAY(F317,2),0):H317)*(COUNTIF(OFFSET(H317,-WEEKDAY(F317,2)+1,0):H317,"&gt;0")+SUM(OFFSET(A317,-WEEKDAY(F317,2),0):A317)),IF(AND('депозитный калькулятор'!$G$10="ежемесячное (в конце месяца)",F317='депозитный калькулятор'!$D$8,EOMONTH(F317,0)&lt;&gt;F317),IF('депозитный калькулятор'!$F$1=1,$H$24,SUM($H$23:H317)-SUM($I$23:I316)),IF(AND('депозитный калькулятор'!$G$10="ежемесячное (в конце месяца)",EOMONTH(F317,0)=F317),SUM($H$23:H317)-SUM($I$23:I316),IF(AND('депозитный калькулятор'!$G$10="ежемесячное (по дням открытия вклада)",F317='депозитный калькулятор'!$D$8,DAY('депозитный калькулятор'!$D$7)&lt;&gt;DAY(F317)),IF('депозитный калькулятор'!$F$1=1,$H$24,SUM($H$23:H317)-SUM($I$23:I316)),IF(AND('депозитный калькулятор'!$G$10="ежемесячное (по дням открытия вклада)",DAY('депозитный калькулятор'!$D$7)=DAY(F317)),SUM($H$23:H317)-SUM($I$23:I316),IF(AND('депозитный калькулятор'!$G$10="ежемесячное, на минимальную сумму зафиксированную в течение месяца",F317='депозитный калькулятор'!$D$8,EOMONTH(F317,0)&lt;&gt;F317),IF('депозитный калькулятор'!$F$1=1,$H$24,IF(AND(OR('депозитный калькулятор'!$G$7="30/365",'депозитный калькулятор'!$G$7="30/360"),DAY(F317)=31),0,MIN(OFFSET(H317,-E317+1,0):H317)*(E317+SUMIF(OFFSET(A317,-E317+1,0):A317,"=2",OFFSET(A317,-E317+1,0):A317)))),IF(AND('депозитный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калькулятор'!$G$7="30/360"),DAY(EOMONTH(F317,0))=31),EOMONTH(F317,0)-1=F317,EOMONTH(F317,0)=F317)),IF(IF(AND(OR('депозитный калькулятор'!$G$7="30/365",'депозитный калькулятор'!$G$7="30/360"),DAY(EOMONTH($F$23,0))=31),F317=EOMONTH($F$23,0)-1,F317=EOMONTH($F$23,0)),MIN(OFFSET(H317,-(DAY(F317)-DAY($F$23)),0):H317)*E317,MIN(OFFSET(H317,-(DAY(F317)-1),0):H317)*IF(AND(OR('депозитный калькулятор'!$G$7="30/365",'депозитный калькулятор'!$G$7="30/360"),DAY(F317)&lt;30),30,DAY(F317))),IF(AND('депозитный калькулятор'!$G$10="ежемесячное, на средний остаток в течение месяца, при условии что остаток больше чем ограничение",F317='депозитный калькулятор'!$D$8,EOMONTH(F317,0)&lt;&gt;F317),IF('депозитный калькулятор'!$F$1=1,$H$24,SUM(OFFSET(Q317,-E317+1,0):Q317)),IF(AND('депозитный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калькулятор'!$G$7="30/360"),DAY(EOMONTH(F317,0))=31),EOMONTH(F317,0)-1=F317,EOMONTH(F317,0)=F317)),IF(IF(AND(OR('депозитный калькулятор'!$G$7="30/365",'депозитный калькулятор'!$G$7="30/360"),DAY(EOMONTH($F$24,0))=31),F317=EOMONTH($F$24,0)-1,F317=EOMONTH($F$24,0)),SUM(OFFSET(Q317,-E317+1,0):Q317),SUM(OFFSET(Q317,-E317+1,0):Q317)),IF('депозитный калькулятор'!$G$10="ежеквартальное",IF(F317&gt;'депозитный калькулятор'!$D$8," ",IF(AND(EOMONTH(F317,0)=F317,OR(MONTH(F317)=3,MONTH(F317)=6,MONTH(F317)=9,MONTH(F317)=12)),IF(EDATE(F317,-3)&lt;'депозитный калькулятор'!$D$7,SUM($H$23:H317),IF(MOD(YEAR(F317),4)=0,IF(AND(EOMONTH(F317,0)=F317,OR(MONTH(F317)=3,MONTH(F317)=6)),SUM(OFFSET(H317,-90,0):H317),IF(AND(EOMONTH(F317,0)=F317,OR(MONTH(F317)=9,MONTH(F317)=12)),SUM(OFFSET(H317,-91,0):H317))),IF(AND(EOMONTH(F317,0)=F317,MONTH(F317)=3),SUM(OFFSET(H317,-89,0):H317),IF(AND(EOMONTH(F317,0)=F317,MONTH(F317)=6),SUM(OFFSET(H317,-90,0):H317),IF(AND(EOMONTH(F317,0)=F317,OR(MONTH(F317)=9,MONTH(F317)=12)),SUM(OFFSET(H317,-91,0):H317)))))),IF(F317='депозитный калькулятор'!$D$8,SUM($H$23:H317)-SUM($I$23:I316),0))),IF('депозитный калькулятор'!$G$10="ежегодное",IF(F317&gt;'депозитный калькулятор'!$D$8," ",IF(F317='депозитный калькулятор'!$D$8,SUM($H$23:H317)-SUM($I$23:I316),IF(AND(EOMONTH(F317,0)=F317,MONTH(F317)=12),IF(MOD(YEAR(F316),4)=0,IF(F317-'депозитный калькулятор'!$D$7&lt;366,SUM($H$23:H317),SUM(OFFSET(H317,-365,0):H317)),IF(F317-'депозитный калькулятор'!$D$7&lt;365,SUM($H$23:H317),SUM(OFFSET(H317,-364,0):H317))),0))),IF(AND('депозитный калькулятор'!$G$10="в конце срока",'депозитный калькулятор'!$D$8=F317),SUM($H$23:H317),0))))))))))))))))))</f>
        <v xml:space="preserve"> </v>
      </c>
      <c r="J317" s="59" t="str">
        <f>IF(F317&gt;'депозитный калькулятор'!$D$8," ",IF('депозитный калькулятор'!$G$16="нет",0,IF(AND('депозитный калькулятор'!$G$17="разовая (в конце срока)",F317='депозитный калькулятор'!$D$8),'депозитный калькулятор'!$G$18,IF(AND('депозитный калькулятор'!$G$17="ежемесячная",EOMONTH(F316,0)=F316),'депозитный калькулятор'!$G$18,IF(AND('депозитный калькулятор'!$G$17="ежегодная",DAY(F316)=31,MONTH(F316)=12),'депозитный калькулятор'!$G$18,IF(AND('депозитный калькулятор'!$G$17="ежемесячная в зависимости от остатка",EOMONTH(F316,0)=F316,P316&gt;0),'депозитный калькулятор'!$G$18,IF(AND('депозитный калькулятор'!$G$17="ежегодная в зависимости от остатка",DAY(F316)=31,MONTH(F316)=12,P316&gt;0),'депозитный калькулятор'!$G$18,0)))))))</f>
        <v xml:space="preserve"> </v>
      </c>
      <c r="K317" s="135" t="str">
        <f>IF($F317=" "," ",IFERROR(VLOOKUP($F317,'депозитный калькулятор'!$B$26:$F$70,2,0),0))</f>
        <v xml:space="preserve"> </v>
      </c>
      <c r="L317" s="135" t="str">
        <f>IF($F317=" "," ",IFERROR(VLOOKUP($F317,'депозитный калькулятор'!$B$26:$F$70,3,0),0))</f>
        <v xml:space="preserve"> </v>
      </c>
      <c r="M317" s="135" t="str">
        <f>IF($F317=" "," ",IFERROR(VLOOKUP($F317,'депозитный калькулятор'!$B$26:$F$70,4,0),0))</f>
        <v xml:space="preserve"> </v>
      </c>
      <c r="N317" s="135" t="str">
        <f>IF($F317=" "," ",IFERROR(VLOOKUP($F317,'депозитный калькулятор'!$B$26:$F$70,5,0),0))</f>
        <v xml:space="preserve"> </v>
      </c>
      <c r="O317" s="146" t="str">
        <f>IF(F317&gt;'депозитный калькулятор'!$D$8," ",IF(F317='депозитный калькулятор'!$D$8,IF(AND($F$24='депозитный калькулятор'!$D$8,'депозитный калькулятор'!$G$13="нет"),-G317-IF(I317=" ",0,I317)-IF(AND(OR('депозитный калькулятор'!$G$7="30/365",'депозитный калькулятор'!$G$7="30/360"),'депозитный калькулятор'!$G$10="в начале срока"),I316,0)-L317+M317-N317,-G317-IF(I317=" ",0,I317)-L317+M317-N317),IF('депозитный калькулятор'!$G$13="есть",M317-N317+IF('депозитный калькулятор'!$G$14="есть",0,-L317),-IF(I317=" ",0,I317)-IF(AND(OR('депозитный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срока"),I316,0)+M317-N317+IF('депозитный калькулятор'!$G$14="есть",0,-L317))))</f>
        <v xml:space="preserve"> </v>
      </c>
      <c r="P317" s="147" t="str">
        <f>IF(F317&gt;'депозитный калькулятор'!$D$8," ",IF(EOMONTH(F316,0)=F316,0,IF(G317&gt;='депозитный калькулятор'!$G$19,P316,P316+1)))</f>
        <v xml:space="preserve"> </v>
      </c>
      <c r="Q317" s="138" t="str">
        <f>IF(F317=" "," ",IF(AND(OR('депозитный калькулятор'!$G$7="30/365",'депозитный калькулятор'!$G$7="30/360"),AND(MONTH(F317)=2,EOMONTH(F317,0)=F317)),IF(DAY(F317)=28,3,2),1)*IF(G317&gt;='депозитный калькулятор'!$G$11,IF(AND('депозитный калькулятор'!$G$7="факт/факт",MOD(YEAR(F317),4)=0),G317*'депозитный калькулятор'!$D$11/366,G317*'депозитный калькулятор'!$G$8),0))</f>
        <v xml:space="preserve"> </v>
      </c>
      <c r="R317" s="148"/>
      <c r="S317" s="62" t="str">
        <f t="shared" ca="1" si="22"/>
        <v xml:space="preserve"> </v>
      </c>
      <c r="T317" s="149" t="str">
        <f ca="1">IF(S317=" "," ",IF('депозитный калькулятор'!$G$7="30/360",DAYS360(U316,IF(DAY(U317)=31,U317-1,U317))+IF(AND(MONTH(U317)=2,U317=EOMONTH(U317,0)),30-DAY(EOMONTH(U317,0)))+T316,VLOOKUP(S317,$C$22:$F$1023,2,0)))</f>
        <v xml:space="preserve"> </v>
      </c>
      <c r="U317" s="64" t="str">
        <f t="shared" ca="1" si="20"/>
        <v xml:space="preserve"> </v>
      </c>
      <c r="V317" s="150" t="str">
        <f t="shared" ca="1" si="23"/>
        <v xml:space="preserve"> </v>
      </c>
      <c r="W317" s="62" t="str">
        <f t="shared" ca="1" si="24"/>
        <v xml:space="preserve"> </v>
      </c>
      <c r="X317" s="141" t="str">
        <f ca="1">IF(S317=" "," ",IFERROR(VLOOKUP(U317,$F$23:$N$1023,7)+VLOOKUP(U317,$F$23:$N$1023,9)+IF(AND('депозитный калькулятор'!$G$13="нет",U317&lt;&gt;'депозитный калькулятор'!$D$8),VLOOKUP(U317,$F$23:$N$1023,4),0),0)+IF(U317='депозитный калькулятор'!$D$8,VLOOKUP(U317,$F$23:$N$1023,2)+VLOOKUP(U317,$F$23:$N$1023,4),0))</f>
        <v xml:space="preserve"> </v>
      </c>
      <c r="Y317" s="142" t="str">
        <f ca="1">IF(S317=" "," ",W317/(1+'депозитный калькулятор'!$K$8)^(T317/IF('депозитный калькулятор'!$G$7="30/360",360,365)))</f>
        <v xml:space="preserve"> </v>
      </c>
      <c r="Z317" s="142" t="str">
        <f ca="1">IF(S317=" "," ",X317/(1+'депозитный калькулятор'!$K$8)^(T317/IF('депозитный калькулятор'!$G$7="30/360",360,365)))</f>
        <v xml:space="preserve"> </v>
      </c>
      <c r="AA317" s="151"/>
      <c r="AB317" s="151"/>
      <c r="AC317" s="155"/>
      <c r="AD317" s="155"/>
    </row>
    <row r="318" spans="1:30" s="2" customFormat="1" ht="15.5" x14ac:dyDescent="0.35">
      <c r="A318" s="41" t="str">
        <f>IF(F318=" "," ",IF(OR('депозитный калькулятор'!$G$7="30/365",'депозитный калькулятор'!$G$7="30/360"),IF(AND(MONTH(F318)=2,DAY(F318)=DAY(EOMONTH(F318,0))),30-DAY(EOMONTH(F318,0)),IF(DAY(F318)=31,1," "))," "))</f>
        <v xml:space="preserve"> </v>
      </c>
      <c r="B318" s="130" t="str">
        <f t="shared" si="21"/>
        <v xml:space="preserve"> </v>
      </c>
      <c r="C318" s="130" t="str">
        <f>IF(OR(B318=0,B318=" ")," ",SUM($B$23:B318))</f>
        <v xml:space="preserve"> </v>
      </c>
      <c r="D318" s="62" t="str">
        <f>IF(D317=" "," ",IF(OR(F317='депозитный калькулятор'!$D$8,F317=" ")," ",D317+1))</f>
        <v xml:space="preserve"> </v>
      </c>
      <c r="E318" s="130" t="str">
        <f>IF(OR(F317='депозитный калькулятор'!$D$8,F317=" ")," ",IF(EOMONTH(F317,0)=F317,1,E317+1))</f>
        <v xml:space="preserve"> </v>
      </c>
      <c r="F318" s="64" t="str">
        <f>IF(F317=" "," ",IF(F317='депозитный калькулятор'!$D$8," ",F317+1))</f>
        <v xml:space="preserve"> </v>
      </c>
      <c r="G318" s="145" t="str">
        <f xml:space="preserve"> IF(F318&gt;'депозитный калькулятор'!$D$8," ",IF('депозитный калькулятор'!$G$13="есть",IF('депозитный калькулятор'!$G$14="есть",G317+IF(I317=" ",0,I317)-J318-K318+L318+M318-N318,G317+IF(I317=" ",0,I317)-J318-K318+M318-N318),IF('депозитный калькулятор'!$G$14="есть",G317-J318-K318+L318+M318-N318,G317-J318-K318+M318-N318)))</f>
        <v xml:space="preserve"> </v>
      </c>
      <c r="H318" s="133" t="str">
        <f>IF(F318&gt;'депозитный калькулятор'!$D$8," ",IF(AND(OR('депозитный калькулятор'!$G$7="30/365",'депозитный калькулятор'!$G$7="30/360"),AND(MONTH(F318)=2,EOMONTH(F318,0)=F318)),IF(DAY(F318)=28,3*G318*'депозитный калькулятор'!$G$8,2*G318*'депозитный калькулятор'!$G$8),IF(AND(OR('депозитный калькулятор'!$G$7="30/365",'депозитный калькулятор'!$G$7="30/360"),DAY(F318)=31)," ",IF(AND('депозитный калькулятор'!$G$7="факт/факт",MOD(YEAR(F318),4)=0),G318*'депозитный калькулятор'!$D$11/366,G318*'депозитный калькулятор'!$G$8))))</f>
        <v xml:space="preserve"> </v>
      </c>
      <c r="I318" s="134" t="str">
        <f ca="1">IF(F318=" "," ",IF('депозитный калькулятор'!$G$10="ежедневное",H318,IF(AND('депозитный калькулятор'!$G$10="еженедельное",WEEKDAY(F318,2)=7),SUM(OFFSET(H318,-6,0):H318),IF(AND('депозитный калькулятор'!$G$10="еженедельное",F318='депозитный калькулятор'!$D$8),SUM($H$23:H318)-SUM($I$23:I317),IF(AND('депозитный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недели",WEEKDAY(F318,2)=7),MIN(OFFSET(H318,-6,0):H318)*(COUNTIF(OFFSET(H318,-6,0):H318,"&gt;0")+SUMIF(OFFSET(A318,-WEEKDAY(F318,2),0):A318,"=2",OFFSET(A318,-WEEKDAY(F318,2),0):A318)),IF(AND('депозитный калькулятор'!$G$10="еженедельное, на минимальную сумму зафиксированную в течение недели",F318='депозитный калькулятор'!$D$8,WEEKDAY(F318,2)&lt;&gt;7),MIN(OFFSET(H318,-WEEKDAY(F318,2),0):H318)*(COUNTIF(OFFSET(H318,-WEEKDAY(F318,2)+1,0):H318,"&gt;0")+SUM(OFFSET(A318,-WEEKDAY(F318,2),0):A318)),IF(AND('депозитный калькулятор'!$G$10="ежемесячное (в конце месяца)",F318='депозитный калькулятор'!$D$8,EOMONTH(F318,0)&lt;&gt;F318),IF('депозитный калькулятор'!$F$1=1,$H$24,SUM($H$23:H318)-SUM($I$23:I317)),IF(AND('депозитный калькулятор'!$G$10="ежемесячное (в конце месяца)",EOMONTH(F318,0)=F318),SUM($H$23:H318)-SUM($I$23:I317),IF(AND('депозитный калькулятор'!$G$10="ежемесячное (по дням открытия вклада)",F318='депозитный калькулятор'!$D$8,DAY('депозитный калькулятор'!$D$7)&lt;&gt;DAY(F318)),IF('депозитный калькулятор'!$F$1=1,$H$24,SUM($H$23:H318)-SUM($I$23:I317)),IF(AND('депозитный калькулятор'!$G$10="ежемесячное (по дням открытия вклада)",DAY('депозитный калькулятор'!$D$7)=DAY(F318)),SUM($H$23:H318)-SUM($I$23:I317),IF(AND('депозитный калькулятор'!$G$10="ежемесячное, на минимальную сумму зафиксированную в течение месяца",F318='депозитный калькулятор'!$D$8,EOMONTH(F318,0)&lt;&gt;F318),IF('депозитный калькулятор'!$F$1=1,$H$24,IF(AND(OR('депозитный калькулятор'!$G$7="30/365",'депозитный калькулятор'!$G$7="30/360"),DAY(F318)=31),0,MIN(OFFSET(H318,-E318+1,0):H318)*(E318+SUMIF(OFFSET(A318,-E318+1,0):A318,"=2",OFFSET(A318,-E318+1,0):A318)))),IF(AND('депозитный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калькулятор'!$G$7="30/360"),DAY(EOMONTH(F318,0))=31),EOMONTH(F318,0)-1=F318,EOMONTH(F318,0)=F318)),IF(IF(AND(OR('депозитный калькулятор'!$G$7="30/365",'депозитный калькулятор'!$G$7="30/360"),DAY(EOMONTH($F$23,0))=31),F318=EOMONTH($F$23,0)-1,F318=EOMONTH($F$23,0)),MIN(OFFSET(H318,-(DAY(F318)-DAY($F$23)),0):H318)*E318,MIN(OFFSET(H318,-(DAY(F318)-1),0):H318)*IF(AND(OR('депозитный калькулятор'!$G$7="30/365",'депозитный калькулятор'!$G$7="30/360"),DAY(F318)&lt;30),30,DAY(F318))),IF(AND('депозитный калькулятор'!$G$10="ежемесячное, на средний остаток в течение месяца, при условии что остаток больше чем ограничение",F318='депозитный калькулятор'!$D$8,EOMONTH(F318,0)&lt;&gt;F318),IF('депозитный калькулятор'!$F$1=1,$H$24,SUM(OFFSET(Q318,-E318+1,0):Q318)),IF(AND('депозитный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калькулятор'!$G$7="30/360"),DAY(EOMONTH(F318,0))=31),EOMONTH(F318,0)-1=F318,EOMONTH(F318,0)=F318)),IF(IF(AND(OR('депозитный калькулятор'!$G$7="30/365",'депозитный калькулятор'!$G$7="30/360"),DAY(EOMONTH($F$24,0))=31),F318=EOMONTH($F$24,0)-1,F318=EOMONTH($F$24,0)),SUM(OFFSET(Q318,-E318+1,0):Q318),SUM(OFFSET(Q318,-E318+1,0):Q318)),IF('депозитный калькулятор'!$G$10="ежеквартальное",IF(F318&gt;'депозитный калькулятор'!$D$8," ",IF(AND(EOMONTH(F318,0)=F318,OR(MONTH(F318)=3,MONTH(F318)=6,MONTH(F318)=9,MONTH(F318)=12)),IF(EDATE(F318,-3)&lt;'депозитный калькулятор'!$D$7,SUM($H$23:H318),IF(MOD(YEAR(F318),4)=0,IF(AND(EOMONTH(F318,0)=F318,OR(MONTH(F318)=3,MONTH(F318)=6)),SUM(OFFSET(H318,-90,0):H318),IF(AND(EOMONTH(F318,0)=F318,OR(MONTH(F318)=9,MONTH(F318)=12)),SUM(OFFSET(H318,-91,0):H318))),IF(AND(EOMONTH(F318,0)=F318,MONTH(F318)=3),SUM(OFFSET(H318,-89,0):H318),IF(AND(EOMONTH(F318,0)=F318,MONTH(F318)=6),SUM(OFFSET(H318,-90,0):H318),IF(AND(EOMONTH(F318,0)=F318,OR(MONTH(F318)=9,MONTH(F318)=12)),SUM(OFFSET(H318,-91,0):H318)))))),IF(F318='депозитный калькулятор'!$D$8,SUM($H$23:H318)-SUM($I$23:I317),0))),IF('депозитный калькулятор'!$G$10="ежегодное",IF(F318&gt;'депозитный калькулятор'!$D$8," ",IF(F318='депозитный калькулятор'!$D$8,SUM($H$23:H318)-SUM($I$23:I317),IF(AND(EOMONTH(F318,0)=F318,MONTH(F318)=12),IF(MOD(YEAR(F317),4)=0,IF(F318-'депозитный калькулятор'!$D$7&lt;366,SUM($H$23:H318),SUM(OFFSET(H318,-365,0):H318)),IF(F318-'депозитный калькулятор'!$D$7&lt;365,SUM($H$23:H318),SUM(OFFSET(H318,-364,0):H318))),0))),IF(AND('депозитный калькулятор'!$G$10="в конце срока",'депозитный калькулятор'!$D$8=F318),SUM($H$23:H318),0))))))))))))))))))</f>
        <v xml:space="preserve"> </v>
      </c>
      <c r="J318" s="59" t="str">
        <f>IF(F318&gt;'депозитный калькулятор'!$D$8," ",IF('депозитный калькулятор'!$G$16="нет",0,IF(AND('депозитный калькулятор'!$G$17="разовая (в конце срока)",F318='депозитный калькулятор'!$D$8),'депозитный калькулятор'!$G$18,IF(AND('депозитный калькулятор'!$G$17="ежемесячная",EOMONTH(F317,0)=F317),'депозитный калькулятор'!$G$18,IF(AND('депозитный калькулятор'!$G$17="ежегодная",DAY(F317)=31,MONTH(F317)=12),'депозитный калькулятор'!$G$18,IF(AND('депозитный калькулятор'!$G$17="ежемесячная в зависимости от остатка",EOMONTH(F317,0)=F317,P317&gt;0),'депозитный калькулятор'!$G$18,IF(AND('депозитный калькулятор'!$G$17="ежегодная в зависимости от остатка",DAY(F317)=31,MONTH(F317)=12,P317&gt;0),'депозитный калькулятор'!$G$18,0)))))))</f>
        <v xml:space="preserve"> </v>
      </c>
      <c r="K318" s="135" t="str">
        <f>IF($F318=" "," ",IFERROR(VLOOKUP($F318,'депозитный калькулятор'!$B$26:$F$70,2,0),0))</f>
        <v xml:space="preserve"> </v>
      </c>
      <c r="L318" s="135" t="str">
        <f>IF($F318=" "," ",IFERROR(VLOOKUP($F318,'депозитный калькулятор'!$B$26:$F$70,3,0),0))</f>
        <v xml:space="preserve"> </v>
      </c>
      <c r="M318" s="135" t="str">
        <f>IF($F318=" "," ",IFERROR(VLOOKUP($F318,'депозитный калькулятор'!$B$26:$F$70,4,0),0))</f>
        <v xml:space="preserve"> </v>
      </c>
      <c r="N318" s="135" t="str">
        <f>IF($F318=" "," ",IFERROR(VLOOKUP($F318,'депозитный калькулятор'!$B$26:$F$70,5,0),0))</f>
        <v xml:space="preserve"> </v>
      </c>
      <c r="O318" s="146" t="str">
        <f>IF(F318&gt;'депозитный калькулятор'!$D$8," ",IF(F318='депозитный калькулятор'!$D$8,IF(AND($F$24='депозитный калькулятор'!$D$8,'депозитный калькулятор'!$G$13="нет"),-G318-IF(I318=" ",0,I318)-IF(AND(OR('депозитный калькулятор'!$G$7="30/365",'депозитный калькулятор'!$G$7="30/360"),'депозитный калькулятор'!$G$10="в начале срока"),I317,0)-L318+M318-N318,-G318-IF(I318=" ",0,I318)-L318+M318-N318),IF('депозитный калькулятор'!$G$13="есть",M318-N318+IF('депозитный калькулятор'!$G$14="есть",0,-L318),-IF(I318=" ",0,I318)-IF(AND(OR('депозитный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срока"),I317,0)+M318-N318+IF('депозитный калькулятор'!$G$14="есть",0,-L318))))</f>
        <v xml:space="preserve"> </v>
      </c>
      <c r="P318" s="147" t="str">
        <f>IF(F318&gt;'депозитный калькулятор'!$D$8," ",IF(EOMONTH(F317,0)=F317,0,IF(G318&gt;='депозитный калькулятор'!$G$19,P317,P317+1)))</f>
        <v xml:space="preserve"> </v>
      </c>
      <c r="Q318" s="138" t="str">
        <f>IF(F318=" "," ",IF(AND(OR('депозитный калькулятор'!$G$7="30/365",'депозитный калькулятор'!$G$7="30/360"),AND(MONTH(F318)=2,EOMONTH(F318,0)=F318)),IF(DAY(F318)=28,3,2),1)*IF(G318&gt;='депозитный калькулятор'!$G$11,IF(AND('депозитный калькулятор'!$G$7="факт/факт",MOD(YEAR(F318),4)=0),G318*'депозитный калькулятор'!$D$11/366,G318*'депозитный калькулятор'!$G$8),0))</f>
        <v xml:space="preserve"> </v>
      </c>
      <c r="R318" s="148"/>
      <c r="S318" s="62" t="str">
        <f t="shared" ca="1" si="22"/>
        <v xml:space="preserve"> </v>
      </c>
      <c r="T318" s="149" t="str">
        <f ca="1">IF(S318=" "," ",IF('депозитный калькулятор'!$G$7="30/360",DAYS360(U317,IF(DAY(U318)=31,U318-1,U318))+IF(AND(MONTH(U318)=2,U318=EOMONTH(U318,0)),30-DAY(EOMONTH(U318,0)))+T317,VLOOKUP(S318,$C$22:$F$1023,2,0)))</f>
        <v xml:space="preserve"> </v>
      </c>
      <c r="U318" s="64" t="str">
        <f t="shared" ca="1" si="20"/>
        <v xml:space="preserve"> </v>
      </c>
      <c r="V318" s="150" t="str">
        <f t="shared" ca="1" si="23"/>
        <v xml:space="preserve"> </v>
      </c>
      <c r="W318" s="62" t="str">
        <f t="shared" ca="1" si="24"/>
        <v xml:space="preserve"> </v>
      </c>
      <c r="X318" s="141" t="str">
        <f ca="1">IF(S318=" "," ",IFERROR(VLOOKUP(U318,$F$23:$N$1023,7)+VLOOKUP(U318,$F$23:$N$1023,9)+IF(AND('депозитный калькулятор'!$G$13="нет",U318&lt;&gt;'депозитный калькулятор'!$D$8),VLOOKUP(U318,$F$23:$N$1023,4),0),0)+IF(U318='депозитный калькулятор'!$D$8,VLOOKUP(U318,$F$23:$N$1023,2)+VLOOKUP(U318,$F$23:$N$1023,4),0))</f>
        <v xml:space="preserve"> </v>
      </c>
      <c r="Y318" s="142" t="str">
        <f ca="1">IF(S318=" "," ",W318/(1+'депозитный калькулятор'!$K$8)^(T318/IF('депозитный калькулятор'!$G$7="30/360",360,365)))</f>
        <v xml:space="preserve"> </v>
      </c>
      <c r="Z318" s="142" t="str">
        <f ca="1">IF(S318=" "," ",X318/(1+'депозитный калькулятор'!$K$8)^(T318/IF('депозитный калькулятор'!$G$7="30/360",360,365)))</f>
        <v xml:space="preserve"> </v>
      </c>
      <c r="AA318" s="151"/>
      <c r="AB318" s="151"/>
      <c r="AC318" s="155"/>
      <c r="AD318" s="155"/>
    </row>
    <row r="319" spans="1:30" s="2" customFormat="1" ht="15.5" x14ac:dyDescent="0.35">
      <c r="A319" s="41" t="str">
        <f>IF(F319=" "," ",IF(OR('депозитный калькулятор'!$G$7="30/365",'депозитный калькулятор'!$G$7="30/360"),IF(AND(MONTH(F319)=2,DAY(F319)=DAY(EOMONTH(F319,0))),30-DAY(EOMONTH(F319,0)),IF(DAY(F319)=31,1," "))," "))</f>
        <v xml:space="preserve"> </v>
      </c>
      <c r="B319" s="130" t="str">
        <f t="shared" si="21"/>
        <v xml:space="preserve"> </v>
      </c>
      <c r="C319" s="130" t="str">
        <f>IF(OR(B319=0,B319=" ")," ",SUM($B$23:B319))</f>
        <v xml:space="preserve"> </v>
      </c>
      <c r="D319" s="62" t="str">
        <f>IF(D318=" "," ",IF(OR(F318='депозитный калькулятор'!$D$8,F318=" ")," ",D318+1))</f>
        <v xml:space="preserve"> </v>
      </c>
      <c r="E319" s="130" t="str">
        <f>IF(OR(F318='депозитный калькулятор'!$D$8,F318=" ")," ",IF(EOMONTH(F318,0)=F318,1,E318+1))</f>
        <v xml:space="preserve"> </v>
      </c>
      <c r="F319" s="64" t="str">
        <f>IF(F318=" "," ",IF(F318='депозитный калькулятор'!$D$8," ",F318+1))</f>
        <v xml:space="preserve"> </v>
      </c>
      <c r="G319" s="145" t="str">
        <f xml:space="preserve"> IF(F319&gt;'депозитный калькулятор'!$D$8," ",IF('депозитный калькулятор'!$G$13="есть",IF('депозитный калькулятор'!$G$14="есть",G318+IF(I318=" ",0,I318)-J319-K319+L319+M319-N319,G318+IF(I318=" ",0,I318)-J319-K319+M319-N319),IF('депозитный калькулятор'!$G$14="есть",G318-J319-K319+L319+M319-N319,G318-J319-K319+M319-N319)))</f>
        <v xml:space="preserve"> </v>
      </c>
      <c r="H319" s="133" t="str">
        <f>IF(F319&gt;'депозитный калькулятор'!$D$8," ",IF(AND(OR('депозитный калькулятор'!$G$7="30/365",'депозитный калькулятор'!$G$7="30/360"),AND(MONTH(F319)=2,EOMONTH(F319,0)=F319)),IF(DAY(F319)=28,3*G319*'депозитный калькулятор'!$G$8,2*G319*'депозитный калькулятор'!$G$8),IF(AND(OR('депозитный калькулятор'!$G$7="30/365",'депозитный калькулятор'!$G$7="30/360"),DAY(F319)=31)," ",IF(AND('депозитный калькулятор'!$G$7="факт/факт",MOD(YEAR(F319),4)=0),G319*'депозитный калькулятор'!$D$11/366,G319*'депозитный калькулятор'!$G$8))))</f>
        <v xml:space="preserve"> </v>
      </c>
      <c r="I319" s="134" t="str">
        <f ca="1">IF(F319=" "," ",IF('депозитный калькулятор'!$G$10="ежедневное",H319,IF(AND('депозитный калькулятор'!$G$10="еженедельное",WEEKDAY(F319,2)=7),SUM(OFFSET(H319,-6,0):H319),IF(AND('депозитный калькулятор'!$G$10="еженедельное",F319='депозитный калькулятор'!$D$8),SUM($H$23:H319)-SUM($I$23:I318),IF(AND('депозитный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недели",WEEKDAY(F319,2)=7),MIN(OFFSET(H319,-6,0):H319)*(COUNTIF(OFFSET(H319,-6,0):H319,"&gt;0")+SUMIF(OFFSET(A319,-WEEKDAY(F319,2),0):A319,"=2",OFFSET(A319,-WEEKDAY(F319,2),0):A319)),IF(AND('депозитный калькулятор'!$G$10="еженедельное, на минимальную сумму зафиксированную в течение недели",F319='депозитный калькулятор'!$D$8,WEEKDAY(F319,2)&lt;&gt;7),MIN(OFFSET(H319,-WEEKDAY(F319,2),0):H319)*(COUNTIF(OFFSET(H319,-WEEKDAY(F319,2)+1,0):H319,"&gt;0")+SUM(OFFSET(A319,-WEEKDAY(F319,2),0):A319)),IF(AND('депозитный калькулятор'!$G$10="ежемесячное (в конце месяца)",F319='депозитный калькулятор'!$D$8,EOMONTH(F319,0)&lt;&gt;F319),IF('депозитный калькулятор'!$F$1=1,$H$24,SUM($H$23:H319)-SUM($I$23:I318)),IF(AND('депозитный калькулятор'!$G$10="ежемесячное (в конце месяца)",EOMONTH(F319,0)=F319),SUM($H$23:H319)-SUM($I$23:I318),IF(AND('депозитный калькулятор'!$G$10="ежемесячное (по дням открытия вклада)",F319='депозитный калькулятор'!$D$8,DAY('депозитный калькулятор'!$D$7)&lt;&gt;DAY(F319)),IF('депозитный калькулятор'!$F$1=1,$H$24,SUM($H$23:H319)-SUM($I$23:I318)),IF(AND('депозитный калькулятор'!$G$10="ежемесячное (по дням открытия вклада)",DAY('депозитный калькулятор'!$D$7)=DAY(F319)),SUM($H$23:H319)-SUM($I$23:I318),IF(AND('депозитный калькулятор'!$G$10="ежемесячное, на минимальную сумму зафиксированную в течение месяца",F319='депозитный калькулятор'!$D$8,EOMONTH(F319,0)&lt;&gt;F319),IF('депозитный калькулятор'!$F$1=1,$H$24,IF(AND(OR('депозитный калькулятор'!$G$7="30/365",'депозитный калькулятор'!$G$7="30/360"),DAY(F319)=31),0,MIN(OFFSET(H319,-E319+1,0):H319)*(E319+SUMIF(OFFSET(A319,-E319+1,0):A319,"=2",OFFSET(A319,-E319+1,0):A319)))),IF(AND('депозитный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калькулятор'!$G$7="30/360"),DAY(EOMONTH(F319,0))=31),EOMONTH(F319,0)-1=F319,EOMONTH(F319,0)=F319)),IF(IF(AND(OR('депозитный калькулятор'!$G$7="30/365",'депозитный калькулятор'!$G$7="30/360"),DAY(EOMONTH($F$23,0))=31),F319=EOMONTH($F$23,0)-1,F319=EOMONTH($F$23,0)),MIN(OFFSET(H319,-(DAY(F319)-DAY($F$23)),0):H319)*E319,MIN(OFFSET(H319,-(DAY(F319)-1),0):H319)*IF(AND(OR('депозитный калькулятор'!$G$7="30/365",'депозитный калькулятор'!$G$7="30/360"),DAY(F319)&lt;30),30,DAY(F319))),IF(AND('депозитный калькулятор'!$G$10="ежемесячное, на средний остаток в течение месяца, при условии что остаток больше чем ограничение",F319='депозитный калькулятор'!$D$8,EOMONTH(F319,0)&lt;&gt;F319),IF('депозитный калькулятор'!$F$1=1,$H$24,SUM(OFFSET(Q319,-E319+1,0):Q319)),IF(AND('депозитный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калькулятор'!$G$7="30/360"),DAY(EOMONTH(F319,0))=31),EOMONTH(F319,0)-1=F319,EOMONTH(F319,0)=F319)),IF(IF(AND(OR('депозитный калькулятор'!$G$7="30/365",'депозитный калькулятор'!$G$7="30/360"),DAY(EOMONTH($F$24,0))=31),F319=EOMONTH($F$24,0)-1,F319=EOMONTH($F$24,0)),SUM(OFFSET(Q319,-E319+1,0):Q319),SUM(OFFSET(Q319,-E319+1,0):Q319)),IF('депозитный калькулятор'!$G$10="ежеквартальное",IF(F319&gt;'депозитный калькулятор'!$D$8," ",IF(AND(EOMONTH(F319,0)=F319,OR(MONTH(F319)=3,MONTH(F319)=6,MONTH(F319)=9,MONTH(F319)=12)),IF(EDATE(F319,-3)&lt;'депозитный калькулятор'!$D$7,SUM($H$23:H319),IF(MOD(YEAR(F319),4)=0,IF(AND(EOMONTH(F319,0)=F319,OR(MONTH(F319)=3,MONTH(F319)=6)),SUM(OFFSET(H319,-90,0):H319),IF(AND(EOMONTH(F319,0)=F319,OR(MONTH(F319)=9,MONTH(F319)=12)),SUM(OFFSET(H319,-91,0):H319))),IF(AND(EOMONTH(F319,0)=F319,MONTH(F319)=3),SUM(OFFSET(H319,-89,0):H319),IF(AND(EOMONTH(F319,0)=F319,MONTH(F319)=6),SUM(OFFSET(H319,-90,0):H319),IF(AND(EOMONTH(F319,0)=F319,OR(MONTH(F319)=9,MONTH(F319)=12)),SUM(OFFSET(H319,-91,0):H319)))))),IF(F319='депозитный калькулятор'!$D$8,SUM($H$23:H319)-SUM($I$23:I318),0))),IF('депозитный калькулятор'!$G$10="ежегодное",IF(F319&gt;'депозитный калькулятор'!$D$8," ",IF(F319='депозитный калькулятор'!$D$8,SUM($H$23:H319)-SUM($I$23:I318),IF(AND(EOMONTH(F319,0)=F319,MONTH(F319)=12),IF(MOD(YEAR(F318),4)=0,IF(F319-'депозитный калькулятор'!$D$7&lt;366,SUM($H$23:H319),SUM(OFFSET(H319,-365,0):H319)),IF(F319-'депозитный калькулятор'!$D$7&lt;365,SUM($H$23:H319),SUM(OFFSET(H319,-364,0):H319))),0))),IF(AND('депозитный калькулятор'!$G$10="в конце срока",'депозитный калькулятор'!$D$8=F319),SUM($H$23:H319),0))))))))))))))))))</f>
        <v xml:space="preserve"> </v>
      </c>
      <c r="J319" s="59" t="str">
        <f>IF(F319&gt;'депозитный калькулятор'!$D$8," ",IF('депозитный калькулятор'!$G$16="нет",0,IF(AND('депозитный калькулятор'!$G$17="разовая (в конце срока)",F319='депозитный калькулятор'!$D$8),'депозитный калькулятор'!$G$18,IF(AND('депозитный калькулятор'!$G$17="ежемесячная",EOMONTH(F318,0)=F318),'депозитный калькулятор'!$G$18,IF(AND('депозитный калькулятор'!$G$17="ежегодная",DAY(F318)=31,MONTH(F318)=12),'депозитный калькулятор'!$G$18,IF(AND('депозитный калькулятор'!$G$17="ежемесячная в зависимости от остатка",EOMONTH(F318,0)=F318,P318&gt;0),'депозитный калькулятор'!$G$18,IF(AND('депозитный калькулятор'!$G$17="ежегодная в зависимости от остатка",DAY(F318)=31,MONTH(F318)=12,P318&gt;0),'депозитный калькулятор'!$G$18,0)))))))</f>
        <v xml:space="preserve"> </v>
      </c>
      <c r="K319" s="135" t="str">
        <f>IF($F319=" "," ",IFERROR(VLOOKUP($F319,'депозитный калькулятор'!$B$26:$F$70,2,0),0))</f>
        <v xml:space="preserve"> </v>
      </c>
      <c r="L319" s="135" t="str">
        <f>IF($F319=" "," ",IFERROR(VLOOKUP($F319,'депозитный калькулятор'!$B$26:$F$70,3,0),0))</f>
        <v xml:space="preserve"> </v>
      </c>
      <c r="M319" s="135" t="str">
        <f>IF($F319=" "," ",IFERROR(VLOOKUP($F319,'депозитный калькулятор'!$B$26:$F$70,4,0),0))</f>
        <v xml:space="preserve"> </v>
      </c>
      <c r="N319" s="135" t="str">
        <f>IF($F319=" "," ",IFERROR(VLOOKUP($F319,'депозитный калькулятор'!$B$26:$F$70,5,0),0))</f>
        <v xml:space="preserve"> </v>
      </c>
      <c r="O319" s="146" t="str">
        <f>IF(F319&gt;'депозитный калькулятор'!$D$8," ",IF(F319='депозитный калькулятор'!$D$8,IF(AND($F$24='депозитный калькулятор'!$D$8,'депозитный калькулятор'!$G$13="нет"),-G319-IF(I319=" ",0,I319)-IF(AND(OR('депозитный калькулятор'!$G$7="30/365",'депозитный калькулятор'!$G$7="30/360"),'депозитный калькулятор'!$G$10="в начале срока"),I318,0)-L319+M319-N319,-G319-IF(I319=" ",0,I319)-L319+M319-N319),IF('депозитный калькулятор'!$G$13="есть",M319-N319+IF('депозитный калькулятор'!$G$14="есть",0,-L319),-IF(I319=" ",0,I319)-IF(AND(OR('депозитный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срока"),I318,0)+M319-N319+IF('депозитный калькулятор'!$G$14="есть",0,-L319))))</f>
        <v xml:space="preserve"> </v>
      </c>
      <c r="P319" s="147" t="str">
        <f>IF(F319&gt;'депозитный калькулятор'!$D$8," ",IF(EOMONTH(F318,0)=F318,0,IF(G319&gt;='депозитный калькулятор'!$G$19,P318,P318+1)))</f>
        <v xml:space="preserve"> </v>
      </c>
      <c r="Q319" s="138" t="str">
        <f>IF(F319=" "," ",IF(AND(OR('депозитный калькулятор'!$G$7="30/365",'депозитный калькулятор'!$G$7="30/360"),AND(MONTH(F319)=2,EOMONTH(F319,0)=F319)),IF(DAY(F319)=28,3,2),1)*IF(G319&gt;='депозитный калькулятор'!$G$11,IF(AND('депозитный калькулятор'!$G$7="факт/факт",MOD(YEAR(F319),4)=0),G319*'депозитный калькулятор'!$D$11/366,G319*'депозитный калькулятор'!$G$8),0))</f>
        <v xml:space="preserve"> </v>
      </c>
      <c r="R319" s="148"/>
      <c r="S319" s="62" t="str">
        <f t="shared" ca="1" si="22"/>
        <v xml:space="preserve"> </v>
      </c>
      <c r="T319" s="149" t="str">
        <f ca="1">IF(S319=" "," ",IF('депозитный калькулятор'!$G$7="30/360",DAYS360(U318,IF(DAY(U319)=31,U319-1,U319))+IF(AND(MONTH(U319)=2,U319=EOMONTH(U319,0)),30-DAY(EOMONTH(U319,0)))+T318,VLOOKUP(S319,$C$22:$F$1023,2,0)))</f>
        <v xml:space="preserve"> </v>
      </c>
      <c r="U319" s="64" t="str">
        <f t="shared" ca="1" si="20"/>
        <v xml:space="preserve"> </v>
      </c>
      <c r="V319" s="150" t="str">
        <f t="shared" ca="1" si="23"/>
        <v xml:space="preserve"> </v>
      </c>
      <c r="W319" s="62" t="str">
        <f t="shared" ca="1" si="24"/>
        <v xml:space="preserve"> </v>
      </c>
      <c r="X319" s="141" t="str">
        <f ca="1">IF(S319=" "," ",IFERROR(VLOOKUP(U319,$F$23:$N$1023,7)+VLOOKUP(U319,$F$23:$N$1023,9)+IF(AND('депозитный калькулятор'!$G$13="нет",U319&lt;&gt;'депозитный калькулятор'!$D$8),VLOOKUP(U319,$F$23:$N$1023,4),0),0)+IF(U319='депозитный калькулятор'!$D$8,VLOOKUP(U319,$F$23:$N$1023,2)+VLOOKUP(U319,$F$23:$N$1023,4),0))</f>
        <v xml:space="preserve"> </v>
      </c>
      <c r="Y319" s="142" t="str">
        <f ca="1">IF(S319=" "," ",W319/(1+'депозитный калькулятор'!$K$8)^(T319/IF('депозитный калькулятор'!$G$7="30/360",360,365)))</f>
        <v xml:space="preserve"> </v>
      </c>
      <c r="Z319" s="142" t="str">
        <f ca="1">IF(S319=" "," ",X319/(1+'депозитный калькулятор'!$K$8)^(T319/IF('депозитный калькулятор'!$G$7="30/360",360,365)))</f>
        <v xml:space="preserve"> </v>
      </c>
      <c r="AA319" s="151"/>
      <c r="AB319" s="151"/>
      <c r="AC319" s="155"/>
      <c r="AD319" s="155"/>
    </row>
    <row r="320" spans="1:30" s="2" customFormat="1" ht="15.5" x14ac:dyDescent="0.35">
      <c r="A320" s="41" t="str">
        <f>IF(F320=" "," ",IF(OR('депозитный калькулятор'!$G$7="30/365",'депозитный калькулятор'!$G$7="30/360"),IF(AND(MONTH(F320)=2,DAY(F320)=DAY(EOMONTH(F320,0))),30-DAY(EOMONTH(F320,0)),IF(DAY(F320)=31,1," "))," "))</f>
        <v xml:space="preserve"> </v>
      </c>
      <c r="B320" s="130" t="str">
        <f t="shared" si="21"/>
        <v xml:space="preserve"> </v>
      </c>
      <c r="C320" s="130" t="str">
        <f>IF(OR(B320=0,B320=" ")," ",SUM($B$23:B320))</f>
        <v xml:space="preserve"> </v>
      </c>
      <c r="D320" s="62" t="str">
        <f>IF(D319=" "," ",IF(OR(F319='депозитный калькулятор'!$D$8,F319=" ")," ",D319+1))</f>
        <v xml:space="preserve"> </v>
      </c>
      <c r="E320" s="130" t="str">
        <f>IF(OR(F319='депозитный калькулятор'!$D$8,F319=" ")," ",IF(EOMONTH(F319,0)=F319,1,E319+1))</f>
        <v xml:space="preserve"> </v>
      </c>
      <c r="F320" s="64" t="str">
        <f>IF(F319=" "," ",IF(F319='депозитный калькулятор'!$D$8," ",F319+1))</f>
        <v xml:space="preserve"> </v>
      </c>
      <c r="G320" s="145" t="str">
        <f xml:space="preserve"> IF(F320&gt;'депозитный калькулятор'!$D$8," ",IF('депозитный калькулятор'!$G$13="есть",IF('депозитный калькулятор'!$G$14="есть",G319+IF(I319=" ",0,I319)-J320-K320+L320+M320-N320,G319+IF(I319=" ",0,I319)-J320-K320+M320-N320),IF('депозитный калькулятор'!$G$14="есть",G319-J320-K320+L320+M320-N320,G319-J320-K320+M320-N320)))</f>
        <v xml:space="preserve"> </v>
      </c>
      <c r="H320" s="133" t="str">
        <f>IF(F320&gt;'депозитный калькулятор'!$D$8," ",IF(AND(OR('депозитный калькулятор'!$G$7="30/365",'депозитный калькулятор'!$G$7="30/360"),AND(MONTH(F320)=2,EOMONTH(F320,0)=F320)),IF(DAY(F320)=28,3*G320*'депозитный калькулятор'!$G$8,2*G320*'депозитный калькулятор'!$G$8),IF(AND(OR('депозитный калькулятор'!$G$7="30/365",'депозитный калькулятор'!$G$7="30/360"),DAY(F320)=31)," ",IF(AND('депозитный калькулятор'!$G$7="факт/факт",MOD(YEAR(F320),4)=0),G320*'депозитный калькулятор'!$D$11/366,G320*'депозитный калькулятор'!$G$8))))</f>
        <v xml:space="preserve"> </v>
      </c>
      <c r="I320" s="134" t="str">
        <f ca="1">IF(F320=" "," ",IF('депозитный калькулятор'!$G$10="ежедневное",H320,IF(AND('депозитный калькулятор'!$G$10="еженедельное",WEEKDAY(F320,2)=7),SUM(OFFSET(H320,-6,0):H320),IF(AND('депозитный калькулятор'!$G$10="еженедельное",F320='депозитный калькулятор'!$D$8),SUM($H$23:H320)-SUM($I$23:I319),IF(AND('депозитный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недели",WEEKDAY(F320,2)=7),MIN(OFFSET(H320,-6,0):H320)*(COUNTIF(OFFSET(H320,-6,0):H320,"&gt;0")+SUMIF(OFFSET(A320,-WEEKDAY(F320,2),0):A320,"=2",OFFSET(A320,-WEEKDAY(F320,2),0):A320)),IF(AND('депозитный калькулятор'!$G$10="еженедельное, на минимальную сумму зафиксированную в течение недели",F320='депозитный калькулятор'!$D$8,WEEKDAY(F320,2)&lt;&gt;7),MIN(OFFSET(H320,-WEEKDAY(F320,2),0):H320)*(COUNTIF(OFFSET(H320,-WEEKDAY(F320,2)+1,0):H320,"&gt;0")+SUM(OFFSET(A320,-WEEKDAY(F320,2),0):A320)),IF(AND('депозитный калькулятор'!$G$10="ежемесячное (в конце месяца)",F320='депозитный калькулятор'!$D$8,EOMONTH(F320,0)&lt;&gt;F320),IF('депозитный калькулятор'!$F$1=1,$H$24,SUM($H$23:H320)-SUM($I$23:I319)),IF(AND('депозитный калькулятор'!$G$10="ежемесячное (в конце месяца)",EOMONTH(F320,0)=F320),SUM($H$23:H320)-SUM($I$23:I319),IF(AND('депозитный калькулятор'!$G$10="ежемесячное (по дням открытия вклада)",F320='депозитный калькулятор'!$D$8,DAY('депозитный калькулятор'!$D$7)&lt;&gt;DAY(F320)),IF('депозитный калькулятор'!$F$1=1,$H$24,SUM($H$23:H320)-SUM($I$23:I319)),IF(AND('депозитный калькулятор'!$G$10="ежемесячное (по дням открытия вклада)",DAY('депозитный калькулятор'!$D$7)=DAY(F320)),SUM($H$23:H320)-SUM($I$23:I319),IF(AND('депозитный калькулятор'!$G$10="ежемесячное, на минимальную сумму зафиксированную в течение месяца",F320='депозитный калькулятор'!$D$8,EOMONTH(F320,0)&lt;&gt;F320),IF('депозитный калькулятор'!$F$1=1,$H$24,IF(AND(OR('депозитный калькулятор'!$G$7="30/365",'депозитный калькулятор'!$G$7="30/360"),DAY(F320)=31),0,MIN(OFFSET(H320,-E320+1,0):H320)*(E320+SUMIF(OFFSET(A320,-E320+1,0):A320,"=2",OFFSET(A320,-E320+1,0):A320)))),IF(AND('депозитный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калькулятор'!$G$7="30/360"),DAY(EOMONTH(F320,0))=31),EOMONTH(F320,0)-1=F320,EOMONTH(F320,0)=F320)),IF(IF(AND(OR('депозитный калькулятор'!$G$7="30/365",'депозитный калькулятор'!$G$7="30/360"),DAY(EOMONTH($F$23,0))=31),F320=EOMONTH($F$23,0)-1,F320=EOMONTH($F$23,0)),MIN(OFFSET(H320,-(DAY(F320)-DAY($F$23)),0):H320)*E320,MIN(OFFSET(H320,-(DAY(F320)-1),0):H320)*IF(AND(OR('депозитный калькулятор'!$G$7="30/365",'депозитный калькулятор'!$G$7="30/360"),DAY(F320)&lt;30),30,DAY(F320))),IF(AND('депозитный калькулятор'!$G$10="ежемесячное, на средний остаток в течение месяца, при условии что остаток больше чем ограничение",F320='депозитный калькулятор'!$D$8,EOMONTH(F320,0)&lt;&gt;F320),IF('депозитный калькулятор'!$F$1=1,$H$24,SUM(OFFSET(Q320,-E320+1,0):Q320)),IF(AND('депозитный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калькулятор'!$G$7="30/360"),DAY(EOMONTH(F320,0))=31),EOMONTH(F320,0)-1=F320,EOMONTH(F320,0)=F320)),IF(IF(AND(OR('депозитный калькулятор'!$G$7="30/365",'депозитный калькулятор'!$G$7="30/360"),DAY(EOMONTH($F$24,0))=31),F320=EOMONTH($F$24,0)-1,F320=EOMONTH($F$24,0)),SUM(OFFSET(Q320,-E320+1,0):Q320),SUM(OFFSET(Q320,-E320+1,0):Q320)),IF('депозитный калькулятор'!$G$10="ежеквартальное",IF(F320&gt;'депозитный калькулятор'!$D$8," ",IF(AND(EOMONTH(F320,0)=F320,OR(MONTH(F320)=3,MONTH(F320)=6,MONTH(F320)=9,MONTH(F320)=12)),IF(EDATE(F320,-3)&lt;'депозитный калькулятор'!$D$7,SUM($H$23:H320),IF(MOD(YEAR(F320),4)=0,IF(AND(EOMONTH(F320,0)=F320,OR(MONTH(F320)=3,MONTH(F320)=6)),SUM(OFFSET(H320,-90,0):H320),IF(AND(EOMONTH(F320,0)=F320,OR(MONTH(F320)=9,MONTH(F320)=12)),SUM(OFFSET(H320,-91,0):H320))),IF(AND(EOMONTH(F320,0)=F320,MONTH(F320)=3),SUM(OFFSET(H320,-89,0):H320),IF(AND(EOMONTH(F320,0)=F320,MONTH(F320)=6),SUM(OFFSET(H320,-90,0):H320),IF(AND(EOMONTH(F320,0)=F320,OR(MONTH(F320)=9,MONTH(F320)=12)),SUM(OFFSET(H320,-91,0):H320)))))),IF(F320='депозитный калькулятор'!$D$8,SUM($H$23:H320)-SUM($I$23:I319),0))),IF('депозитный калькулятор'!$G$10="ежегодное",IF(F320&gt;'депозитный калькулятор'!$D$8," ",IF(F320='депозитный калькулятор'!$D$8,SUM($H$23:H320)-SUM($I$23:I319),IF(AND(EOMONTH(F320,0)=F320,MONTH(F320)=12),IF(MOD(YEAR(F319),4)=0,IF(F320-'депозитный калькулятор'!$D$7&lt;366,SUM($H$23:H320),SUM(OFFSET(H320,-365,0):H320)),IF(F320-'депозитный калькулятор'!$D$7&lt;365,SUM($H$23:H320),SUM(OFFSET(H320,-364,0):H320))),0))),IF(AND('депозитный калькулятор'!$G$10="в конце срока",'депозитный калькулятор'!$D$8=F320),SUM($H$23:H320),0))))))))))))))))))</f>
        <v xml:space="preserve"> </v>
      </c>
      <c r="J320" s="59" t="str">
        <f>IF(F320&gt;'депозитный калькулятор'!$D$8," ",IF('депозитный калькулятор'!$G$16="нет",0,IF(AND('депозитный калькулятор'!$G$17="разовая (в конце срока)",F320='депозитный калькулятор'!$D$8),'депозитный калькулятор'!$G$18,IF(AND('депозитный калькулятор'!$G$17="ежемесячная",EOMONTH(F319,0)=F319),'депозитный калькулятор'!$G$18,IF(AND('депозитный калькулятор'!$G$17="ежегодная",DAY(F319)=31,MONTH(F319)=12),'депозитный калькулятор'!$G$18,IF(AND('депозитный калькулятор'!$G$17="ежемесячная в зависимости от остатка",EOMONTH(F319,0)=F319,P319&gt;0),'депозитный калькулятор'!$G$18,IF(AND('депозитный калькулятор'!$G$17="ежегодная в зависимости от остатка",DAY(F319)=31,MONTH(F319)=12,P319&gt;0),'депозитный калькулятор'!$G$18,0)))))))</f>
        <v xml:space="preserve"> </v>
      </c>
      <c r="K320" s="135" t="str">
        <f>IF($F320=" "," ",IFERROR(VLOOKUP($F320,'депозитный калькулятор'!$B$26:$F$70,2,0),0))</f>
        <v xml:space="preserve"> </v>
      </c>
      <c r="L320" s="135" t="str">
        <f>IF($F320=" "," ",IFERROR(VLOOKUP($F320,'депозитный калькулятор'!$B$26:$F$70,3,0),0))</f>
        <v xml:space="preserve"> </v>
      </c>
      <c r="M320" s="135" t="str">
        <f>IF($F320=" "," ",IFERROR(VLOOKUP($F320,'депозитный калькулятор'!$B$26:$F$70,4,0),0))</f>
        <v xml:space="preserve"> </v>
      </c>
      <c r="N320" s="135" t="str">
        <f>IF($F320=" "," ",IFERROR(VLOOKUP($F320,'депозитный калькулятор'!$B$26:$F$70,5,0),0))</f>
        <v xml:space="preserve"> </v>
      </c>
      <c r="O320" s="146" t="str">
        <f>IF(F320&gt;'депозитный калькулятор'!$D$8," ",IF(F320='депозитный калькулятор'!$D$8,IF(AND($F$24='депозитный калькулятор'!$D$8,'депозитный калькулятор'!$G$13="нет"),-G320-IF(I320=" ",0,I320)-IF(AND(OR('депозитный калькулятор'!$G$7="30/365",'депозитный калькулятор'!$G$7="30/360"),'депозитный калькулятор'!$G$10="в начале срока"),I319,0)-L320+M320-N320,-G320-IF(I320=" ",0,I320)-L320+M320-N320),IF('депозитный калькулятор'!$G$13="есть",M320-N320+IF('депозитный калькулятор'!$G$14="есть",0,-L320),-IF(I320=" ",0,I320)-IF(AND(OR('депозитный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срока"),I319,0)+M320-N320+IF('депозитный калькулятор'!$G$14="есть",0,-L320))))</f>
        <v xml:space="preserve"> </v>
      </c>
      <c r="P320" s="147" t="str">
        <f>IF(F320&gt;'депозитный калькулятор'!$D$8," ",IF(EOMONTH(F319,0)=F319,0,IF(G320&gt;='депозитный калькулятор'!$G$19,P319,P319+1)))</f>
        <v xml:space="preserve"> </v>
      </c>
      <c r="Q320" s="138" t="str">
        <f>IF(F320=" "," ",IF(AND(OR('депозитный калькулятор'!$G$7="30/365",'депозитный калькулятор'!$G$7="30/360"),AND(MONTH(F320)=2,EOMONTH(F320,0)=F320)),IF(DAY(F320)=28,3,2),1)*IF(G320&gt;='депозитный калькулятор'!$G$11,IF(AND('депозитный калькулятор'!$G$7="факт/факт",MOD(YEAR(F320),4)=0),G320*'депозитный калькулятор'!$D$11/366,G320*'депозитный калькулятор'!$G$8),0))</f>
        <v xml:space="preserve"> </v>
      </c>
      <c r="R320" s="148"/>
      <c r="S320" s="62" t="str">
        <f t="shared" ca="1" si="22"/>
        <v xml:space="preserve"> </v>
      </c>
      <c r="T320" s="149" t="str">
        <f ca="1">IF(S320=" "," ",IF('депозитный калькулятор'!$G$7="30/360",DAYS360(U319,IF(DAY(U320)=31,U320-1,U320))+IF(AND(MONTH(U320)=2,U320=EOMONTH(U320,0)),30-DAY(EOMONTH(U320,0)))+T319,VLOOKUP(S320,$C$22:$F$1023,2,0)))</f>
        <v xml:space="preserve"> </v>
      </c>
      <c r="U320" s="64" t="str">
        <f t="shared" ca="1" si="20"/>
        <v xml:space="preserve"> </v>
      </c>
      <c r="V320" s="150" t="str">
        <f t="shared" ca="1" si="23"/>
        <v xml:space="preserve"> </v>
      </c>
      <c r="W320" s="62" t="str">
        <f t="shared" ca="1" si="24"/>
        <v xml:space="preserve"> </v>
      </c>
      <c r="X320" s="141" t="str">
        <f ca="1">IF(S320=" "," ",IFERROR(VLOOKUP(U320,$F$23:$N$1023,7)+VLOOKUP(U320,$F$23:$N$1023,9)+IF(AND('депозитный калькулятор'!$G$13="нет",U320&lt;&gt;'депозитный калькулятор'!$D$8),VLOOKUP(U320,$F$23:$N$1023,4),0),0)+IF(U320='депозитный калькулятор'!$D$8,VLOOKUP(U320,$F$23:$N$1023,2)+VLOOKUP(U320,$F$23:$N$1023,4),0))</f>
        <v xml:space="preserve"> </v>
      </c>
      <c r="Y320" s="142" t="str">
        <f ca="1">IF(S320=" "," ",W320/(1+'депозитный калькулятор'!$K$8)^(T320/IF('депозитный калькулятор'!$G$7="30/360",360,365)))</f>
        <v xml:space="preserve"> </v>
      </c>
      <c r="Z320" s="142" t="str">
        <f ca="1">IF(S320=" "," ",X320/(1+'депозитный калькулятор'!$K$8)^(T320/IF('депозитный калькулятор'!$G$7="30/360",360,365)))</f>
        <v xml:space="preserve"> </v>
      </c>
      <c r="AA320" s="151"/>
      <c r="AB320" s="151"/>
      <c r="AC320" s="155"/>
      <c r="AD320" s="155"/>
    </row>
    <row r="321" spans="1:30" s="2" customFormat="1" ht="15.5" x14ac:dyDescent="0.35">
      <c r="A321" s="41" t="str">
        <f>IF(F321=" "," ",IF(OR('депозитный калькулятор'!$G$7="30/365",'депозитный калькулятор'!$G$7="30/360"),IF(AND(MONTH(F321)=2,DAY(F321)=DAY(EOMONTH(F321,0))),30-DAY(EOMONTH(F321,0)),IF(DAY(F321)=31,1," "))," "))</f>
        <v xml:space="preserve"> </v>
      </c>
      <c r="B321" s="130" t="str">
        <f t="shared" si="21"/>
        <v xml:space="preserve"> </v>
      </c>
      <c r="C321" s="130" t="str">
        <f>IF(OR(B321=0,B321=" ")," ",SUM($B$23:B321))</f>
        <v xml:space="preserve"> </v>
      </c>
      <c r="D321" s="62" t="str">
        <f>IF(D320=" "," ",IF(OR(F320='депозитный калькулятор'!$D$8,F320=" ")," ",D320+1))</f>
        <v xml:space="preserve"> </v>
      </c>
      <c r="E321" s="130" t="str">
        <f>IF(OR(F320='депозитный калькулятор'!$D$8,F320=" ")," ",IF(EOMONTH(F320,0)=F320,1,E320+1))</f>
        <v xml:space="preserve"> </v>
      </c>
      <c r="F321" s="64" t="str">
        <f>IF(F320=" "," ",IF(F320='депозитный калькулятор'!$D$8," ",F320+1))</f>
        <v xml:space="preserve"> </v>
      </c>
      <c r="G321" s="145" t="str">
        <f xml:space="preserve"> IF(F321&gt;'депозитный калькулятор'!$D$8," ",IF('депозитный калькулятор'!$G$13="есть",IF('депозитный калькулятор'!$G$14="есть",G320+IF(I320=" ",0,I320)-J321-K321+L321+M321-N321,G320+IF(I320=" ",0,I320)-J321-K321+M321-N321),IF('депозитный калькулятор'!$G$14="есть",G320-J321-K321+L321+M321-N321,G320-J321-K321+M321-N321)))</f>
        <v xml:space="preserve"> </v>
      </c>
      <c r="H321" s="133" t="str">
        <f>IF(F321&gt;'депозитный калькулятор'!$D$8," ",IF(AND(OR('депозитный калькулятор'!$G$7="30/365",'депозитный калькулятор'!$G$7="30/360"),AND(MONTH(F321)=2,EOMONTH(F321,0)=F321)),IF(DAY(F321)=28,3*G321*'депозитный калькулятор'!$G$8,2*G321*'депозитный калькулятор'!$G$8),IF(AND(OR('депозитный калькулятор'!$G$7="30/365",'депозитный калькулятор'!$G$7="30/360"),DAY(F321)=31)," ",IF(AND('депозитный калькулятор'!$G$7="факт/факт",MOD(YEAR(F321),4)=0),G321*'депозитный калькулятор'!$D$11/366,G321*'депозитный калькулятор'!$G$8))))</f>
        <v xml:space="preserve"> </v>
      </c>
      <c r="I321" s="134" t="str">
        <f ca="1">IF(F321=" "," ",IF('депозитный калькулятор'!$G$10="ежедневное",H321,IF(AND('депозитный калькулятор'!$G$10="еженедельное",WEEKDAY(F321,2)=7),SUM(OFFSET(H321,-6,0):H321),IF(AND('депозитный калькулятор'!$G$10="еженедельное",F321='депозитный калькулятор'!$D$8),SUM($H$23:H321)-SUM($I$23:I320),IF(AND('депозитный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недели",WEEKDAY(F321,2)=7),MIN(OFFSET(H321,-6,0):H321)*(COUNTIF(OFFSET(H321,-6,0):H321,"&gt;0")+SUMIF(OFFSET(A321,-WEEKDAY(F321,2),0):A321,"=2",OFFSET(A321,-WEEKDAY(F321,2),0):A321)),IF(AND('депозитный калькулятор'!$G$10="еженедельное, на минимальную сумму зафиксированную в течение недели",F321='депозитный калькулятор'!$D$8,WEEKDAY(F321,2)&lt;&gt;7),MIN(OFFSET(H321,-WEEKDAY(F321,2),0):H321)*(COUNTIF(OFFSET(H321,-WEEKDAY(F321,2)+1,0):H321,"&gt;0")+SUM(OFFSET(A321,-WEEKDAY(F321,2),0):A321)),IF(AND('депозитный калькулятор'!$G$10="ежемесячное (в конце месяца)",F321='депозитный калькулятор'!$D$8,EOMONTH(F321,0)&lt;&gt;F321),IF('депозитный калькулятор'!$F$1=1,$H$24,SUM($H$23:H321)-SUM($I$23:I320)),IF(AND('депозитный калькулятор'!$G$10="ежемесячное (в конце месяца)",EOMONTH(F321,0)=F321),SUM($H$23:H321)-SUM($I$23:I320),IF(AND('депозитный калькулятор'!$G$10="ежемесячное (по дням открытия вклада)",F321='депозитный калькулятор'!$D$8,DAY('депозитный калькулятор'!$D$7)&lt;&gt;DAY(F321)),IF('депозитный калькулятор'!$F$1=1,$H$24,SUM($H$23:H321)-SUM($I$23:I320)),IF(AND('депозитный калькулятор'!$G$10="ежемесячное (по дням открытия вклада)",DAY('депозитный калькулятор'!$D$7)=DAY(F321)),SUM($H$23:H321)-SUM($I$23:I320),IF(AND('депозитный калькулятор'!$G$10="ежемесячное, на минимальную сумму зафиксированную в течение месяца",F321='депозитный калькулятор'!$D$8,EOMONTH(F321,0)&lt;&gt;F321),IF('депозитный калькулятор'!$F$1=1,$H$24,IF(AND(OR('депозитный калькулятор'!$G$7="30/365",'депозитный калькулятор'!$G$7="30/360"),DAY(F321)=31),0,MIN(OFFSET(H321,-E321+1,0):H321)*(E321+SUMIF(OFFSET(A321,-E321+1,0):A321,"=2",OFFSET(A321,-E321+1,0):A321)))),IF(AND('депозитный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калькулятор'!$G$7="30/360"),DAY(EOMONTH(F321,0))=31),EOMONTH(F321,0)-1=F321,EOMONTH(F321,0)=F321)),IF(IF(AND(OR('депозитный калькулятор'!$G$7="30/365",'депозитный калькулятор'!$G$7="30/360"),DAY(EOMONTH($F$23,0))=31),F321=EOMONTH($F$23,0)-1,F321=EOMONTH($F$23,0)),MIN(OFFSET(H321,-(DAY(F321)-DAY($F$23)),0):H321)*E321,MIN(OFFSET(H321,-(DAY(F321)-1),0):H321)*IF(AND(OR('депозитный калькулятор'!$G$7="30/365",'депозитный калькулятор'!$G$7="30/360"),DAY(F321)&lt;30),30,DAY(F321))),IF(AND('депозитный калькулятор'!$G$10="ежемесячное, на средний остаток в течение месяца, при условии что остаток больше чем ограничение",F321='депозитный калькулятор'!$D$8,EOMONTH(F321,0)&lt;&gt;F321),IF('депозитный калькулятор'!$F$1=1,$H$24,SUM(OFFSET(Q321,-E321+1,0):Q321)),IF(AND('депозитный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калькулятор'!$G$7="30/360"),DAY(EOMONTH(F321,0))=31),EOMONTH(F321,0)-1=F321,EOMONTH(F321,0)=F321)),IF(IF(AND(OR('депозитный калькулятор'!$G$7="30/365",'депозитный калькулятор'!$G$7="30/360"),DAY(EOMONTH($F$24,0))=31),F321=EOMONTH($F$24,0)-1,F321=EOMONTH($F$24,0)),SUM(OFFSET(Q321,-E321+1,0):Q321),SUM(OFFSET(Q321,-E321+1,0):Q321)),IF('депозитный калькулятор'!$G$10="ежеквартальное",IF(F321&gt;'депозитный калькулятор'!$D$8," ",IF(AND(EOMONTH(F321,0)=F321,OR(MONTH(F321)=3,MONTH(F321)=6,MONTH(F321)=9,MONTH(F321)=12)),IF(EDATE(F321,-3)&lt;'депозитный калькулятор'!$D$7,SUM($H$23:H321),IF(MOD(YEAR(F321),4)=0,IF(AND(EOMONTH(F321,0)=F321,OR(MONTH(F321)=3,MONTH(F321)=6)),SUM(OFFSET(H321,-90,0):H321),IF(AND(EOMONTH(F321,0)=F321,OR(MONTH(F321)=9,MONTH(F321)=12)),SUM(OFFSET(H321,-91,0):H321))),IF(AND(EOMONTH(F321,0)=F321,MONTH(F321)=3),SUM(OFFSET(H321,-89,0):H321),IF(AND(EOMONTH(F321,0)=F321,MONTH(F321)=6),SUM(OFFSET(H321,-90,0):H321),IF(AND(EOMONTH(F321,0)=F321,OR(MONTH(F321)=9,MONTH(F321)=12)),SUM(OFFSET(H321,-91,0):H321)))))),IF(F321='депозитный калькулятор'!$D$8,SUM($H$23:H321)-SUM($I$23:I320),0))),IF('депозитный калькулятор'!$G$10="ежегодное",IF(F321&gt;'депозитный калькулятор'!$D$8," ",IF(F321='депозитный калькулятор'!$D$8,SUM($H$23:H321)-SUM($I$23:I320),IF(AND(EOMONTH(F321,0)=F321,MONTH(F321)=12),IF(MOD(YEAR(F320),4)=0,IF(F321-'депозитный калькулятор'!$D$7&lt;366,SUM($H$23:H321),SUM(OFFSET(H321,-365,0):H321)),IF(F321-'депозитный калькулятор'!$D$7&lt;365,SUM($H$23:H321),SUM(OFFSET(H321,-364,0):H321))),0))),IF(AND('депозитный калькулятор'!$G$10="в конце срока",'депозитный калькулятор'!$D$8=F321),SUM($H$23:H321),0))))))))))))))))))</f>
        <v xml:space="preserve"> </v>
      </c>
      <c r="J321" s="59" t="str">
        <f>IF(F321&gt;'депозитный калькулятор'!$D$8," ",IF('депозитный калькулятор'!$G$16="нет",0,IF(AND('депозитный калькулятор'!$G$17="разовая (в конце срока)",F321='депозитный калькулятор'!$D$8),'депозитный калькулятор'!$G$18,IF(AND('депозитный калькулятор'!$G$17="ежемесячная",EOMONTH(F320,0)=F320),'депозитный калькулятор'!$G$18,IF(AND('депозитный калькулятор'!$G$17="ежегодная",DAY(F320)=31,MONTH(F320)=12),'депозитный калькулятор'!$G$18,IF(AND('депозитный калькулятор'!$G$17="ежемесячная в зависимости от остатка",EOMONTH(F320,0)=F320,P320&gt;0),'депозитный калькулятор'!$G$18,IF(AND('депозитный калькулятор'!$G$17="ежегодная в зависимости от остатка",DAY(F320)=31,MONTH(F320)=12,P320&gt;0),'депозитный калькулятор'!$G$18,0)))))))</f>
        <v xml:space="preserve"> </v>
      </c>
      <c r="K321" s="135" t="str">
        <f>IF($F321=" "," ",IFERROR(VLOOKUP($F321,'депозитный калькулятор'!$B$26:$F$70,2,0),0))</f>
        <v xml:space="preserve"> </v>
      </c>
      <c r="L321" s="135" t="str">
        <f>IF($F321=" "," ",IFERROR(VLOOKUP($F321,'депозитный калькулятор'!$B$26:$F$70,3,0),0))</f>
        <v xml:space="preserve"> </v>
      </c>
      <c r="M321" s="135" t="str">
        <f>IF($F321=" "," ",IFERROR(VLOOKUP($F321,'депозитный калькулятор'!$B$26:$F$70,4,0),0))</f>
        <v xml:space="preserve"> </v>
      </c>
      <c r="N321" s="135" t="str">
        <f>IF($F321=" "," ",IFERROR(VLOOKUP($F321,'депозитный калькулятор'!$B$26:$F$70,5,0),0))</f>
        <v xml:space="preserve"> </v>
      </c>
      <c r="O321" s="146" t="str">
        <f>IF(F321&gt;'депозитный калькулятор'!$D$8," ",IF(F321='депозитный калькулятор'!$D$8,IF(AND($F$24='депозитный калькулятор'!$D$8,'депозитный калькулятор'!$G$13="нет"),-G321-IF(I321=" ",0,I321)-IF(AND(OR('депозитный калькулятор'!$G$7="30/365",'депозитный калькулятор'!$G$7="30/360"),'депозитный калькулятор'!$G$10="в начале срока"),I320,0)-L321+M321-N321,-G321-IF(I321=" ",0,I321)-L321+M321-N321),IF('депозитный калькулятор'!$G$13="есть",M321-N321+IF('депозитный калькулятор'!$G$14="есть",0,-L321),-IF(I321=" ",0,I321)-IF(AND(OR('депозитный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срока"),I320,0)+M321-N321+IF('депозитный калькулятор'!$G$14="есть",0,-L321))))</f>
        <v xml:space="preserve"> </v>
      </c>
      <c r="P321" s="147" t="str">
        <f>IF(F321&gt;'депозитный калькулятор'!$D$8," ",IF(EOMONTH(F320,0)=F320,0,IF(G321&gt;='депозитный калькулятор'!$G$19,P320,P320+1)))</f>
        <v xml:space="preserve"> </v>
      </c>
      <c r="Q321" s="138" t="str">
        <f>IF(F321=" "," ",IF(AND(OR('депозитный калькулятор'!$G$7="30/365",'депозитный калькулятор'!$G$7="30/360"),AND(MONTH(F321)=2,EOMONTH(F321,0)=F321)),IF(DAY(F321)=28,3,2),1)*IF(G321&gt;='депозитный калькулятор'!$G$11,IF(AND('депозитный калькулятор'!$G$7="факт/факт",MOD(YEAR(F321),4)=0),G321*'депозитный калькулятор'!$D$11/366,G321*'депозитный калькулятор'!$G$8),0))</f>
        <v xml:space="preserve"> </v>
      </c>
      <c r="R321" s="148"/>
      <c r="S321" s="62" t="str">
        <f t="shared" ca="1" si="22"/>
        <v xml:space="preserve"> </v>
      </c>
      <c r="T321" s="149" t="str">
        <f ca="1">IF(S321=" "," ",IF('депозитный калькулятор'!$G$7="30/360",DAYS360(U320,IF(DAY(U321)=31,U321-1,U321))+IF(AND(MONTH(U321)=2,U321=EOMONTH(U321,0)),30-DAY(EOMONTH(U321,0)))+T320,VLOOKUP(S321,$C$22:$F$1023,2,0)))</f>
        <v xml:space="preserve"> </v>
      </c>
      <c r="U321" s="64" t="str">
        <f t="shared" ca="1" si="20"/>
        <v xml:space="preserve"> </v>
      </c>
      <c r="V321" s="150" t="str">
        <f t="shared" ca="1" si="23"/>
        <v xml:space="preserve"> </v>
      </c>
      <c r="W321" s="62" t="str">
        <f t="shared" ca="1" si="24"/>
        <v xml:space="preserve"> </v>
      </c>
      <c r="X321" s="141" t="str">
        <f ca="1">IF(S321=" "," ",IFERROR(VLOOKUP(U321,$F$23:$N$1023,7)+VLOOKUP(U321,$F$23:$N$1023,9)+IF(AND('депозитный калькулятор'!$G$13="нет",U321&lt;&gt;'депозитный калькулятор'!$D$8),VLOOKUP(U321,$F$23:$N$1023,4),0),0)+IF(U321='депозитный калькулятор'!$D$8,VLOOKUP(U321,$F$23:$N$1023,2)+VLOOKUP(U321,$F$23:$N$1023,4),0))</f>
        <v xml:space="preserve"> </v>
      </c>
      <c r="Y321" s="142" t="str">
        <f ca="1">IF(S321=" "," ",W321/(1+'депозитный калькулятор'!$K$8)^(T321/IF('депозитный калькулятор'!$G$7="30/360",360,365)))</f>
        <v xml:space="preserve"> </v>
      </c>
      <c r="Z321" s="142" t="str">
        <f ca="1">IF(S321=" "," ",X321/(1+'депозитный калькулятор'!$K$8)^(T321/IF('депозитный калькулятор'!$G$7="30/360",360,365)))</f>
        <v xml:space="preserve"> </v>
      </c>
      <c r="AA321" s="151"/>
      <c r="AB321" s="151"/>
      <c r="AC321" s="155"/>
      <c r="AD321" s="155"/>
    </row>
    <row r="322" spans="1:30" s="2" customFormat="1" ht="15.5" x14ac:dyDescent="0.35">
      <c r="A322" s="41" t="str">
        <f>IF(F322=" "," ",IF(OR('депозитный калькулятор'!$G$7="30/365",'депозитный калькулятор'!$G$7="30/360"),IF(AND(MONTH(F322)=2,DAY(F322)=DAY(EOMONTH(F322,0))),30-DAY(EOMONTH(F322,0)),IF(DAY(F322)=31,1," "))," "))</f>
        <v xml:space="preserve"> </v>
      </c>
      <c r="B322" s="130" t="str">
        <f t="shared" si="21"/>
        <v xml:space="preserve"> </v>
      </c>
      <c r="C322" s="130" t="str">
        <f>IF(OR(B322=0,B322=" ")," ",SUM($B$23:B322))</f>
        <v xml:space="preserve"> </v>
      </c>
      <c r="D322" s="62" t="str">
        <f>IF(D321=" "," ",IF(OR(F321='депозитный калькулятор'!$D$8,F321=" ")," ",D321+1))</f>
        <v xml:space="preserve"> </v>
      </c>
      <c r="E322" s="130" t="str">
        <f>IF(OR(F321='депозитный калькулятор'!$D$8,F321=" ")," ",IF(EOMONTH(F321,0)=F321,1,E321+1))</f>
        <v xml:space="preserve"> </v>
      </c>
      <c r="F322" s="64" t="str">
        <f>IF(F321=" "," ",IF(F321='депозитный калькулятор'!$D$8," ",F321+1))</f>
        <v xml:space="preserve"> </v>
      </c>
      <c r="G322" s="145" t="str">
        <f xml:space="preserve"> IF(F322&gt;'депозитный калькулятор'!$D$8," ",IF('депозитный калькулятор'!$G$13="есть",IF('депозитный калькулятор'!$G$14="есть",G321+IF(I321=" ",0,I321)-J322-K322+L322+M322-N322,G321+IF(I321=" ",0,I321)-J322-K322+M322-N322),IF('депозитный калькулятор'!$G$14="есть",G321-J322-K322+L322+M322-N322,G321-J322-K322+M322-N322)))</f>
        <v xml:space="preserve"> </v>
      </c>
      <c r="H322" s="133" t="str">
        <f>IF(F322&gt;'депозитный калькулятор'!$D$8," ",IF(AND(OR('депозитный калькулятор'!$G$7="30/365",'депозитный калькулятор'!$G$7="30/360"),AND(MONTH(F322)=2,EOMONTH(F322,0)=F322)),IF(DAY(F322)=28,3*G322*'депозитный калькулятор'!$G$8,2*G322*'депозитный калькулятор'!$G$8),IF(AND(OR('депозитный калькулятор'!$G$7="30/365",'депозитный калькулятор'!$G$7="30/360"),DAY(F322)=31)," ",IF(AND('депозитный калькулятор'!$G$7="факт/факт",MOD(YEAR(F322),4)=0),G322*'депозитный калькулятор'!$D$11/366,G322*'депозитный калькулятор'!$G$8))))</f>
        <v xml:space="preserve"> </v>
      </c>
      <c r="I322" s="134" t="str">
        <f ca="1">IF(F322=" "," ",IF('депозитный калькулятор'!$G$10="ежедневное",H322,IF(AND('депозитный калькулятор'!$G$10="еженедельное",WEEKDAY(F322,2)=7),SUM(OFFSET(H322,-6,0):H322),IF(AND('депозитный калькулятор'!$G$10="еженедельное",F322='депозитный калькулятор'!$D$8),SUM($H$23:H322)-SUM($I$23:I321),IF(AND('депозитный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недели",WEEKDAY(F322,2)=7),MIN(OFFSET(H322,-6,0):H322)*(COUNTIF(OFFSET(H322,-6,0):H322,"&gt;0")+SUMIF(OFFSET(A322,-WEEKDAY(F322,2),0):A322,"=2",OFFSET(A322,-WEEKDAY(F322,2),0):A322)),IF(AND('депозитный калькулятор'!$G$10="еженедельное, на минимальную сумму зафиксированную в течение недели",F322='депозитный калькулятор'!$D$8,WEEKDAY(F322,2)&lt;&gt;7),MIN(OFFSET(H322,-WEEKDAY(F322,2),0):H322)*(COUNTIF(OFFSET(H322,-WEEKDAY(F322,2)+1,0):H322,"&gt;0")+SUM(OFFSET(A322,-WEEKDAY(F322,2),0):A322)),IF(AND('депозитный калькулятор'!$G$10="ежемесячное (в конце месяца)",F322='депозитный калькулятор'!$D$8,EOMONTH(F322,0)&lt;&gt;F322),IF('депозитный калькулятор'!$F$1=1,$H$24,SUM($H$23:H322)-SUM($I$23:I321)),IF(AND('депозитный калькулятор'!$G$10="ежемесячное (в конце месяца)",EOMONTH(F322,0)=F322),SUM($H$23:H322)-SUM($I$23:I321),IF(AND('депозитный калькулятор'!$G$10="ежемесячное (по дням открытия вклада)",F322='депозитный калькулятор'!$D$8,DAY('депозитный калькулятор'!$D$7)&lt;&gt;DAY(F322)),IF('депозитный калькулятор'!$F$1=1,$H$24,SUM($H$23:H322)-SUM($I$23:I321)),IF(AND('депозитный калькулятор'!$G$10="ежемесячное (по дням открытия вклада)",DAY('депозитный калькулятор'!$D$7)=DAY(F322)),SUM($H$23:H322)-SUM($I$23:I321),IF(AND('депозитный калькулятор'!$G$10="ежемесячное, на минимальную сумму зафиксированную в течение месяца",F322='депозитный калькулятор'!$D$8,EOMONTH(F322,0)&lt;&gt;F322),IF('депозитный калькулятор'!$F$1=1,$H$24,IF(AND(OR('депозитный калькулятор'!$G$7="30/365",'депозитный калькулятор'!$G$7="30/360"),DAY(F322)=31),0,MIN(OFFSET(H322,-E322+1,0):H322)*(E322+SUMIF(OFFSET(A322,-E322+1,0):A322,"=2",OFFSET(A322,-E322+1,0):A322)))),IF(AND('депозитный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калькулятор'!$G$7="30/360"),DAY(EOMONTH(F322,0))=31),EOMONTH(F322,0)-1=F322,EOMONTH(F322,0)=F322)),IF(IF(AND(OR('депозитный калькулятор'!$G$7="30/365",'депозитный калькулятор'!$G$7="30/360"),DAY(EOMONTH($F$23,0))=31),F322=EOMONTH($F$23,0)-1,F322=EOMONTH($F$23,0)),MIN(OFFSET(H322,-(DAY(F322)-DAY($F$23)),0):H322)*E322,MIN(OFFSET(H322,-(DAY(F322)-1),0):H322)*IF(AND(OR('депозитный калькулятор'!$G$7="30/365",'депозитный калькулятор'!$G$7="30/360"),DAY(F322)&lt;30),30,DAY(F322))),IF(AND('депозитный калькулятор'!$G$10="ежемесячное, на средний остаток в течение месяца, при условии что остаток больше чем ограничение",F322='депозитный калькулятор'!$D$8,EOMONTH(F322,0)&lt;&gt;F322),IF('депозитный калькулятор'!$F$1=1,$H$24,SUM(OFFSET(Q322,-E322+1,0):Q322)),IF(AND('депозитный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калькулятор'!$G$7="30/360"),DAY(EOMONTH(F322,0))=31),EOMONTH(F322,0)-1=F322,EOMONTH(F322,0)=F322)),IF(IF(AND(OR('депозитный калькулятор'!$G$7="30/365",'депозитный калькулятор'!$G$7="30/360"),DAY(EOMONTH($F$24,0))=31),F322=EOMONTH($F$24,0)-1,F322=EOMONTH($F$24,0)),SUM(OFFSET(Q322,-E322+1,0):Q322),SUM(OFFSET(Q322,-E322+1,0):Q322)),IF('депозитный калькулятор'!$G$10="ежеквартальное",IF(F322&gt;'депозитный калькулятор'!$D$8," ",IF(AND(EOMONTH(F322,0)=F322,OR(MONTH(F322)=3,MONTH(F322)=6,MONTH(F322)=9,MONTH(F322)=12)),IF(EDATE(F322,-3)&lt;'депозитный калькулятор'!$D$7,SUM($H$23:H322),IF(MOD(YEAR(F322),4)=0,IF(AND(EOMONTH(F322,0)=F322,OR(MONTH(F322)=3,MONTH(F322)=6)),SUM(OFFSET(H322,-90,0):H322),IF(AND(EOMONTH(F322,0)=F322,OR(MONTH(F322)=9,MONTH(F322)=12)),SUM(OFFSET(H322,-91,0):H322))),IF(AND(EOMONTH(F322,0)=F322,MONTH(F322)=3),SUM(OFFSET(H322,-89,0):H322),IF(AND(EOMONTH(F322,0)=F322,MONTH(F322)=6),SUM(OFFSET(H322,-90,0):H322),IF(AND(EOMONTH(F322,0)=F322,OR(MONTH(F322)=9,MONTH(F322)=12)),SUM(OFFSET(H322,-91,0):H322)))))),IF(F322='депозитный калькулятор'!$D$8,SUM($H$23:H322)-SUM($I$23:I321),0))),IF('депозитный калькулятор'!$G$10="ежегодное",IF(F322&gt;'депозитный калькулятор'!$D$8," ",IF(F322='депозитный калькулятор'!$D$8,SUM($H$23:H322)-SUM($I$23:I321),IF(AND(EOMONTH(F322,0)=F322,MONTH(F322)=12),IF(MOD(YEAR(F321),4)=0,IF(F322-'депозитный калькулятор'!$D$7&lt;366,SUM($H$23:H322),SUM(OFFSET(H322,-365,0):H322)),IF(F322-'депозитный калькулятор'!$D$7&lt;365,SUM($H$23:H322),SUM(OFFSET(H322,-364,0):H322))),0))),IF(AND('депозитный калькулятор'!$G$10="в конце срока",'депозитный калькулятор'!$D$8=F322),SUM($H$23:H322),0))))))))))))))))))</f>
        <v xml:space="preserve"> </v>
      </c>
      <c r="J322" s="59" t="str">
        <f>IF(F322&gt;'депозитный калькулятор'!$D$8," ",IF('депозитный калькулятор'!$G$16="нет",0,IF(AND('депозитный калькулятор'!$G$17="разовая (в конце срока)",F322='депозитный калькулятор'!$D$8),'депозитный калькулятор'!$G$18,IF(AND('депозитный калькулятор'!$G$17="ежемесячная",EOMONTH(F321,0)=F321),'депозитный калькулятор'!$G$18,IF(AND('депозитный калькулятор'!$G$17="ежегодная",DAY(F321)=31,MONTH(F321)=12),'депозитный калькулятор'!$G$18,IF(AND('депозитный калькулятор'!$G$17="ежемесячная в зависимости от остатка",EOMONTH(F321,0)=F321,P321&gt;0),'депозитный калькулятор'!$G$18,IF(AND('депозитный калькулятор'!$G$17="ежегодная в зависимости от остатка",DAY(F321)=31,MONTH(F321)=12,P321&gt;0),'депозитный калькулятор'!$G$18,0)))))))</f>
        <v xml:space="preserve"> </v>
      </c>
      <c r="K322" s="135" t="str">
        <f>IF($F322=" "," ",IFERROR(VLOOKUP($F322,'депозитный калькулятор'!$B$26:$F$70,2,0),0))</f>
        <v xml:space="preserve"> </v>
      </c>
      <c r="L322" s="135" t="str">
        <f>IF($F322=" "," ",IFERROR(VLOOKUP($F322,'депозитный калькулятор'!$B$26:$F$70,3,0),0))</f>
        <v xml:space="preserve"> </v>
      </c>
      <c r="M322" s="135" t="str">
        <f>IF($F322=" "," ",IFERROR(VLOOKUP($F322,'депозитный калькулятор'!$B$26:$F$70,4,0),0))</f>
        <v xml:space="preserve"> </v>
      </c>
      <c r="N322" s="135" t="str">
        <f>IF($F322=" "," ",IFERROR(VLOOKUP($F322,'депозитный калькулятор'!$B$26:$F$70,5,0),0))</f>
        <v xml:space="preserve"> </v>
      </c>
      <c r="O322" s="146" t="str">
        <f>IF(F322&gt;'депозитный калькулятор'!$D$8," ",IF(F322='депозитный калькулятор'!$D$8,IF(AND($F$24='депозитный калькулятор'!$D$8,'депозитный калькулятор'!$G$13="нет"),-G322-IF(I322=" ",0,I322)-IF(AND(OR('депозитный калькулятор'!$G$7="30/365",'депозитный калькулятор'!$G$7="30/360"),'депозитный калькулятор'!$G$10="в начале срока"),I321,0)-L322+M322-N322,-G322-IF(I322=" ",0,I322)-L322+M322-N322),IF('депозитный калькулятор'!$G$13="есть",M322-N322+IF('депозитный калькулятор'!$G$14="есть",0,-L322),-IF(I322=" ",0,I322)-IF(AND(OR('депозитный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срока"),I321,0)+M322-N322+IF('депозитный калькулятор'!$G$14="есть",0,-L322))))</f>
        <v xml:space="preserve"> </v>
      </c>
      <c r="P322" s="147" t="str">
        <f>IF(F322&gt;'депозитный калькулятор'!$D$8," ",IF(EOMONTH(F321,0)=F321,0,IF(G322&gt;='депозитный калькулятор'!$G$19,P321,P321+1)))</f>
        <v xml:space="preserve"> </v>
      </c>
      <c r="Q322" s="138" t="str">
        <f>IF(F322=" "," ",IF(AND(OR('депозитный калькулятор'!$G$7="30/365",'депозитный калькулятор'!$G$7="30/360"),AND(MONTH(F322)=2,EOMONTH(F322,0)=F322)),IF(DAY(F322)=28,3,2),1)*IF(G322&gt;='депозитный калькулятор'!$G$11,IF(AND('депозитный калькулятор'!$G$7="факт/факт",MOD(YEAR(F322),4)=0),G322*'депозитный калькулятор'!$D$11/366,G322*'депозитный калькулятор'!$G$8),0))</f>
        <v xml:space="preserve"> </v>
      </c>
      <c r="R322" s="148"/>
      <c r="S322" s="62" t="str">
        <f t="shared" ca="1" si="22"/>
        <v xml:space="preserve"> </v>
      </c>
      <c r="T322" s="149" t="str">
        <f ca="1">IF(S322=" "," ",IF('депозитный калькулятор'!$G$7="30/360",DAYS360(U321,IF(DAY(U322)=31,U322-1,U322))+IF(AND(MONTH(U322)=2,U322=EOMONTH(U322,0)),30-DAY(EOMONTH(U322,0)))+T321,VLOOKUP(S322,$C$22:$F$1023,2,0)))</f>
        <v xml:space="preserve"> </v>
      </c>
      <c r="U322" s="64" t="str">
        <f t="shared" ca="1" si="20"/>
        <v xml:space="preserve"> </v>
      </c>
      <c r="V322" s="150" t="str">
        <f t="shared" ca="1" si="23"/>
        <v xml:space="preserve"> </v>
      </c>
      <c r="W322" s="62" t="str">
        <f t="shared" ca="1" si="24"/>
        <v xml:space="preserve"> </v>
      </c>
      <c r="X322" s="141" t="str">
        <f ca="1">IF(S322=" "," ",IFERROR(VLOOKUP(U322,$F$23:$N$1023,7)+VLOOKUP(U322,$F$23:$N$1023,9)+IF(AND('депозитный калькулятор'!$G$13="нет",U322&lt;&gt;'депозитный калькулятор'!$D$8),VLOOKUP(U322,$F$23:$N$1023,4),0),0)+IF(U322='депозитный калькулятор'!$D$8,VLOOKUP(U322,$F$23:$N$1023,2)+VLOOKUP(U322,$F$23:$N$1023,4),0))</f>
        <v xml:space="preserve"> </v>
      </c>
      <c r="Y322" s="142" t="str">
        <f ca="1">IF(S322=" "," ",W322/(1+'депозитный калькулятор'!$K$8)^(T322/IF('депозитный калькулятор'!$G$7="30/360",360,365)))</f>
        <v xml:space="preserve"> </v>
      </c>
      <c r="Z322" s="142" t="str">
        <f ca="1">IF(S322=" "," ",X322/(1+'депозитный калькулятор'!$K$8)^(T322/IF('депозитный калькулятор'!$G$7="30/360",360,365)))</f>
        <v xml:space="preserve"> </v>
      </c>
      <c r="AA322" s="151"/>
      <c r="AB322" s="151"/>
      <c r="AC322" s="155"/>
      <c r="AD322" s="155"/>
    </row>
    <row r="323" spans="1:30" s="2" customFormat="1" ht="15.5" x14ac:dyDescent="0.35">
      <c r="A323" s="41" t="str">
        <f>IF(F323=" "," ",IF(OR('депозитный калькулятор'!$G$7="30/365",'депозитный калькулятор'!$G$7="30/360"),IF(AND(MONTH(F323)=2,DAY(F323)=DAY(EOMONTH(F323,0))),30-DAY(EOMONTH(F323,0)),IF(DAY(F323)=31,1," "))," "))</f>
        <v xml:space="preserve"> </v>
      </c>
      <c r="B323" s="130" t="str">
        <f t="shared" si="21"/>
        <v xml:space="preserve"> </v>
      </c>
      <c r="C323" s="130" t="str">
        <f>IF(OR(B323=0,B323=" ")," ",SUM($B$23:B323))</f>
        <v xml:space="preserve"> </v>
      </c>
      <c r="D323" s="62" t="str">
        <f>IF(D322=" "," ",IF(OR(F322='депозитный калькулятор'!$D$8,F322=" ")," ",D322+1))</f>
        <v xml:space="preserve"> </v>
      </c>
      <c r="E323" s="130" t="str">
        <f>IF(OR(F322='депозитный калькулятор'!$D$8,F322=" ")," ",IF(EOMONTH(F322,0)=F322,1,E322+1))</f>
        <v xml:space="preserve"> </v>
      </c>
      <c r="F323" s="64" t="str">
        <f>IF(F322=" "," ",IF(F322='депозитный калькулятор'!$D$8," ",F322+1))</f>
        <v xml:space="preserve"> </v>
      </c>
      <c r="G323" s="145" t="str">
        <f xml:space="preserve"> IF(F323&gt;'депозитный калькулятор'!$D$8," ",IF('депозитный калькулятор'!$G$13="есть",IF('депозитный калькулятор'!$G$14="есть",G322+IF(I322=" ",0,I322)-J323-K323+L323+M323-N323,G322+IF(I322=" ",0,I322)-J323-K323+M323-N323),IF('депозитный калькулятор'!$G$14="есть",G322-J323-K323+L323+M323-N323,G322-J323-K323+M323-N323)))</f>
        <v xml:space="preserve"> </v>
      </c>
      <c r="H323" s="133" t="str">
        <f>IF(F323&gt;'депозитный калькулятор'!$D$8," ",IF(AND(OR('депозитный калькулятор'!$G$7="30/365",'депозитный калькулятор'!$G$7="30/360"),AND(MONTH(F323)=2,EOMONTH(F323,0)=F323)),IF(DAY(F323)=28,3*G323*'депозитный калькулятор'!$G$8,2*G323*'депозитный калькулятор'!$G$8),IF(AND(OR('депозитный калькулятор'!$G$7="30/365",'депозитный калькулятор'!$G$7="30/360"),DAY(F323)=31)," ",IF(AND('депозитный калькулятор'!$G$7="факт/факт",MOD(YEAR(F323),4)=0),G323*'депозитный калькулятор'!$D$11/366,G323*'депозитный калькулятор'!$G$8))))</f>
        <v xml:space="preserve"> </v>
      </c>
      <c r="I323" s="134" t="str">
        <f ca="1">IF(F323=" "," ",IF('депозитный калькулятор'!$G$10="ежедневное",H323,IF(AND('депозитный калькулятор'!$G$10="еженедельное",WEEKDAY(F323,2)=7),SUM(OFFSET(H323,-6,0):H323),IF(AND('депозитный калькулятор'!$G$10="еженедельное",F323='депозитный калькулятор'!$D$8),SUM($H$23:H323)-SUM($I$23:I322),IF(AND('депозитный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недели",WEEKDAY(F323,2)=7),MIN(OFFSET(H323,-6,0):H323)*(COUNTIF(OFFSET(H323,-6,0):H323,"&gt;0")+SUMIF(OFFSET(A323,-WEEKDAY(F323,2),0):A323,"=2",OFFSET(A323,-WEEKDAY(F323,2),0):A323)),IF(AND('депозитный калькулятор'!$G$10="еженедельное, на минимальную сумму зафиксированную в течение недели",F323='депозитный калькулятор'!$D$8,WEEKDAY(F323,2)&lt;&gt;7),MIN(OFFSET(H323,-WEEKDAY(F323,2),0):H323)*(COUNTIF(OFFSET(H323,-WEEKDAY(F323,2)+1,0):H323,"&gt;0")+SUM(OFFSET(A323,-WEEKDAY(F323,2),0):A323)),IF(AND('депозитный калькулятор'!$G$10="ежемесячное (в конце месяца)",F323='депозитный калькулятор'!$D$8,EOMONTH(F323,0)&lt;&gt;F323),IF('депозитный калькулятор'!$F$1=1,$H$24,SUM($H$23:H323)-SUM($I$23:I322)),IF(AND('депозитный калькулятор'!$G$10="ежемесячное (в конце месяца)",EOMONTH(F323,0)=F323),SUM($H$23:H323)-SUM($I$23:I322),IF(AND('депозитный калькулятор'!$G$10="ежемесячное (по дням открытия вклада)",F323='депозитный калькулятор'!$D$8,DAY('депозитный калькулятор'!$D$7)&lt;&gt;DAY(F323)),IF('депозитный калькулятор'!$F$1=1,$H$24,SUM($H$23:H323)-SUM($I$23:I322)),IF(AND('депозитный калькулятор'!$G$10="ежемесячное (по дням открытия вклада)",DAY('депозитный калькулятор'!$D$7)=DAY(F323)),SUM($H$23:H323)-SUM($I$23:I322),IF(AND('депозитный калькулятор'!$G$10="ежемесячное, на минимальную сумму зафиксированную в течение месяца",F323='депозитный калькулятор'!$D$8,EOMONTH(F323,0)&lt;&gt;F323),IF('депозитный калькулятор'!$F$1=1,$H$24,IF(AND(OR('депозитный калькулятор'!$G$7="30/365",'депозитный калькулятор'!$G$7="30/360"),DAY(F323)=31),0,MIN(OFFSET(H323,-E323+1,0):H323)*(E323+SUMIF(OFFSET(A323,-E323+1,0):A323,"=2",OFFSET(A323,-E323+1,0):A323)))),IF(AND('депозитный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калькулятор'!$G$7="30/360"),DAY(EOMONTH(F323,0))=31),EOMONTH(F323,0)-1=F323,EOMONTH(F323,0)=F323)),IF(IF(AND(OR('депозитный калькулятор'!$G$7="30/365",'депозитный калькулятор'!$G$7="30/360"),DAY(EOMONTH($F$23,0))=31),F323=EOMONTH($F$23,0)-1,F323=EOMONTH($F$23,0)),MIN(OFFSET(H323,-(DAY(F323)-DAY($F$23)),0):H323)*E323,MIN(OFFSET(H323,-(DAY(F323)-1),0):H323)*IF(AND(OR('депозитный калькулятор'!$G$7="30/365",'депозитный калькулятор'!$G$7="30/360"),DAY(F323)&lt;30),30,DAY(F323))),IF(AND('депозитный калькулятор'!$G$10="ежемесячное, на средний остаток в течение месяца, при условии что остаток больше чем ограничение",F323='депозитный калькулятор'!$D$8,EOMONTH(F323,0)&lt;&gt;F323),IF('депозитный калькулятор'!$F$1=1,$H$24,SUM(OFFSET(Q323,-E323+1,0):Q323)),IF(AND('депозитный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калькулятор'!$G$7="30/360"),DAY(EOMONTH(F323,0))=31),EOMONTH(F323,0)-1=F323,EOMONTH(F323,0)=F323)),IF(IF(AND(OR('депозитный калькулятор'!$G$7="30/365",'депозитный калькулятор'!$G$7="30/360"),DAY(EOMONTH($F$24,0))=31),F323=EOMONTH($F$24,0)-1,F323=EOMONTH($F$24,0)),SUM(OFFSET(Q323,-E323+1,0):Q323),SUM(OFFSET(Q323,-E323+1,0):Q323)),IF('депозитный калькулятор'!$G$10="ежеквартальное",IF(F323&gt;'депозитный калькулятор'!$D$8," ",IF(AND(EOMONTH(F323,0)=F323,OR(MONTH(F323)=3,MONTH(F323)=6,MONTH(F323)=9,MONTH(F323)=12)),IF(EDATE(F323,-3)&lt;'депозитный калькулятор'!$D$7,SUM($H$23:H323),IF(MOD(YEAR(F323),4)=0,IF(AND(EOMONTH(F323,0)=F323,OR(MONTH(F323)=3,MONTH(F323)=6)),SUM(OFFSET(H323,-90,0):H323),IF(AND(EOMONTH(F323,0)=F323,OR(MONTH(F323)=9,MONTH(F323)=12)),SUM(OFFSET(H323,-91,0):H323))),IF(AND(EOMONTH(F323,0)=F323,MONTH(F323)=3),SUM(OFFSET(H323,-89,0):H323),IF(AND(EOMONTH(F323,0)=F323,MONTH(F323)=6),SUM(OFFSET(H323,-90,0):H323),IF(AND(EOMONTH(F323,0)=F323,OR(MONTH(F323)=9,MONTH(F323)=12)),SUM(OFFSET(H323,-91,0):H323)))))),IF(F323='депозитный калькулятор'!$D$8,SUM($H$23:H323)-SUM($I$23:I322),0))),IF('депозитный калькулятор'!$G$10="ежегодное",IF(F323&gt;'депозитный калькулятор'!$D$8," ",IF(F323='депозитный калькулятор'!$D$8,SUM($H$23:H323)-SUM($I$23:I322),IF(AND(EOMONTH(F323,0)=F323,MONTH(F323)=12),IF(MOD(YEAR(F322),4)=0,IF(F323-'депозитный калькулятор'!$D$7&lt;366,SUM($H$23:H323),SUM(OFFSET(H323,-365,0):H323)),IF(F323-'депозитный калькулятор'!$D$7&lt;365,SUM($H$23:H323),SUM(OFFSET(H323,-364,0):H323))),0))),IF(AND('депозитный калькулятор'!$G$10="в конце срока",'депозитный калькулятор'!$D$8=F323),SUM($H$23:H323),0))))))))))))))))))</f>
        <v xml:space="preserve"> </v>
      </c>
      <c r="J323" s="59" t="str">
        <f>IF(F323&gt;'депозитный калькулятор'!$D$8," ",IF('депозитный калькулятор'!$G$16="нет",0,IF(AND('депозитный калькулятор'!$G$17="разовая (в конце срока)",F323='депозитный калькулятор'!$D$8),'депозитный калькулятор'!$G$18,IF(AND('депозитный калькулятор'!$G$17="ежемесячная",EOMONTH(F322,0)=F322),'депозитный калькулятор'!$G$18,IF(AND('депозитный калькулятор'!$G$17="ежегодная",DAY(F322)=31,MONTH(F322)=12),'депозитный калькулятор'!$G$18,IF(AND('депозитный калькулятор'!$G$17="ежемесячная в зависимости от остатка",EOMONTH(F322,0)=F322,P322&gt;0),'депозитный калькулятор'!$G$18,IF(AND('депозитный калькулятор'!$G$17="ежегодная в зависимости от остатка",DAY(F322)=31,MONTH(F322)=12,P322&gt;0),'депозитный калькулятор'!$G$18,0)))))))</f>
        <v xml:space="preserve"> </v>
      </c>
      <c r="K323" s="135" t="str">
        <f>IF($F323=" "," ",IFERROR(VLOOKUP($F323,'депозитный калькулятор'!$B$26:$F$70,2,0),0))</f>
        <v xml:space="preserve"> </v>
      </c>
      <c r="L323" s="135" t="str">
        <f>IF($F323=" "," ",IFERROR(VLOOKUP($F323,'депозитный калькулятор'!$B$26:$F$70,3,0),0))</f>
        <v xml:space="preserve"> </v>
      </c>
      <c r="M323" s="135" t="str">
        <f>IF($F323=" "," ",IFERROR(VLOOKUP($F323,'депозитный калькулятор'!$B$26:$F$70,4,0),0))</f>
        <v xml:space="preserve"> </v>
      </c>
      <c r="N323" s="135" t="str">
        <f>IF($F323=" "," ",IFERROR(VLOOKUP($F323,'депозитный калькулятор'!$B$26:$F$70,5,0),0))</f>
        <v xml:space="preserve"> </v>
      </c>
      <c r="O323" s="146" t="str">
        <f>IF(F323&gt;'депозитный калькулятор'!$D$8," ",IF(F323='депозитный калькулятор'!$D$8,IF(AND($F$24='депозитный калькулятор'!$D$8,'депозитный калькулятор'!$G$13="нет"),-G323-IF(I323=" ",0,I323)-IF(AND(OR('депозитный калькулятор'!$G$7="30/365",'депозитный калькулятор'!$G$7="30/360"),'депозитный калькулятор'!$G$10="в начале срока"),I322,0)-L323+M323-N323,-G323-IF(I323=" ",0,I323)-L323+M323-N323),IF('депозитный калькулятор'!$G$13="есть",M323-N323+IF('депозитный калькулятор'!$G$14="есть",0,-L323),-IF(I323=" ",0,I323)-IF(AND(OR('депозитный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срока"),I322,0)+M323-N323+IF('депозитный калькулятор'!$G$14="есть",0,-L323))))</f>
        <v xml:space="preserve"> </v>
      </c>
      <c r="P323" s="147" t="str">
        <f>IF(F323&gt;'депозитный калькулятор'!$D$8," ",IF(EOMONTH(F322,0)=F322,0,IF(G323&gt;='депозитный калькулятор'!$G$19,P322,P322+1)))</f>
        <v xml:space="preserve"> </v>
      </c>
      <c r="Q323" s="138" t="str">
        <f>IF(F323=" "," ",IF(AND(OR('депозитный калькулятор'!$G$7="30/365",'депозитный калькулятор'!$G$7="30/360"),AND(MONTH(F323)=2,EOMONTH(F323,0)=F323)),IF(DAY(F323)=28,3,2),1)*IF(G323&gt;='депозитный калькулятор'!$G$11,IF(AND('депозитный калькулятор'!$G$7="факт/факт",MOD(YEAR(F323),4)=0),G323*'депозитный калькулятор'!$D$11/366,G323*'депозитный калькулятор'!$G$8),0))</f>
        <v xml:space="preserve"> </v>
      </c>
      <c r="R323" s="148"/>
      <c r="S323" s="62" t="str">
        <f t="shared" ca="1" si="22"/>
        <v xml:space="preserve"> </v>
      </c>
      <c r="T323" s="149" t="str">
        <f ca="1">IF(S323=" "," ",IF('депозитный калькулятор'!$G$7="30/360",DAYS360(U322,IF(DAY(U323)=31,U323-1,U323))+IF(AND(MONTH(U323)=2,U323=EOMONTH(U323,0)),30-DAY(EOMONTH(U323,0)))+T322,VLOOKUP(S323,$C$22:$F$1023,2,0)))</f>
        <v xml:space="preserve"> </v>
      </c>
      <c r="U323" s="64" t="str">
        <f t="shared" ca="1" si="20"/>
        <v xml:space="preserve"> </v>
      </c>
      <c r="V323" s="150" t="str">
        <f t="shared" ca="1" si="23"/>
        <v xml:space="preserve"> </v>
      </c>
      <c r="W323" s="62" t="str">
        <f t="shared" ca="1" si="24"/>
        <v xml:space="preserve"> </v>
      </c>
      <c r="X323" s="141" t="str">
        <f ca="1">IF(S323=" "," ",IFERROR(VLOOKUP(U323,$F$23:$N$1023,7)+VLOOKUP(U323,$F$23:$N$1023,9)+IF(AND('депозитный калькулятор'!$G$13="нет",U323&lt;&gt;'депозитный калькулятор'!$D$8),VLOOKUP(U323,$F$23:$N$1023,4),0),0)+IF(U323='депозитный калькулятор'!$D$8,VLOOKUP(U323,$F$23:$N$1023,2)+VLOOKUP(U323,$F$23:$N$1023,4),0))</f>
        <v xml:space="preserve"> </v>
      </c>
      <c r="Y323" s="142" t="str">
        <f ca="1">IF(S323=" "," ",W323/(1+'депозитный калькулятор'!$K$8)^(T323/IF('депозитный калькулятор'!$G$7="30/360",360,365)))</f>
        <v xml:space="preserve"> </v>
      </c>
      <c r="Z323" s="142" t="str">
        <f ca="1">IF(S323=" "," ",X323/(1+'депозитный калькулятор'!$K$8)^(T323/IF('депозитный калькулятор'!$G$7="30/360",360,365)))</f>
        <v xml:space="preserve"> </v>
      </c>
      <c r="AA323" s="151"/>
      <c r="AB323" s="151"/>
      <c r="AC323" s="155"/>
      <c r="AD323" s="155"/>
    </row>
    <row r="324" spans="1:30" s="2" customFormat="1" ht="15.5" x14ac:dyDescent="0.35">
      <c r="A324" s="41" t="str">
        <f>IF(F324=" "," ",IF(OR('депозитный калькулятор'!$G$7="30/365",'депозитный калькулятор'!$G$7="30/360"),IF(AND(MONTH(F324)=2,DAY(F324)=DAY(EOMONTH(F324,0))),30-DAY(EOMONTH(F324,0)),IF(DAY(F324)=31,1," "))," "))</f>
        <v xml:space="preserve"> </v>
      </c>
      <c r="B324" s="130" t="str">
        <f t="shared" si="21"/>
        <v xml:space="preserve"> </v>
      </c>
      <c r="C324" s="130" t="str">
        <f>IF(OR(B324=0,B324=" ")," ",SUM($B$23:B324))</f>
        <v xml:space="preserve"> </v>
      </c>
      <c r="D324" s="62" t="str">
        <f>IF(D323=" "," ",IF(OR(F323='депозитный калькулятор'!$D$8,F323=" ")," ",D323+1))</f>
        <v xml:space="preserve"> </v>
      </c>
      <c r="E324" s="130" t="str">
        <f>IF(OR(F323='депозитный калькулятор'!$D$8,F323=" ")," ",IF(EOMONTH(F323,0)=F323,1,E323+1))</f>
        <v xml:space="preserve"> </v>
      </c>
      <c r="F324" s="64" t="str">
        <f>IF(F323=" "," ",IF(F323='депозитный калькулятор'!$D$8," ",F323+1))</f>
        <v xml:space="preserve"> </v>
      </c>
      <c r="G324" s="145" t="str">
        <f xml:space="preserve"> IF(F324&gt;'депозитный калькулятор'!$D$8," ",IF('депозитный калькулятор'!$G$13="есть",IF('депозитный калькулятор'!$G$14="есть",G323+IF(I323=" ",0,I323)-J324-K324+L324+M324-N324,G323+IF(I323=" ",0,I323)-J324-K324+M324-N324),IF('депозитный калькулятор'!$G$14="есть",G323-J324-K324+L324+M324-N324,G323-J324-K324+M324-N324)))</f>
        <v xml:space="preserve"> </v>
      </c>
      <c r="H324" s="133" t="str">
        <f>IF(F324&gt;'депозитный калькулятор'!$D$8," ",IF(AND(OR('депозитный калькулятор'!$G$7="30/365",'депозитный калькулятор'!$G$7="30/360"),AND(MONTH(F324)=2,EOMONTH(F324,0)=F324)),IF(DAY(F324)=28,3*G324*'депозитный калькулятор'!$G$8,2*G324*'депозитный калькулятор'!$G$8),IF(AND(OR('депозитный калькулятор'!$G$7="30/365",'депозитный калькулятор'!$G$7="30/360"),DAY(F324)=31)," ",IF(AND('депозитный калькулятор'!$G$7="факт/факт",MOD(YEAR(F324),4)=0),G324*'депозитный калькулятор'!$D$11/366,G324*'депозитный калькулятор'!$G$8))))</f>
        <v xml:space="preserve"> </v>
      </c>
      <c r="I324" s="134" t="str">
        <f ca="1">IF(F324=" "," ",IF('депозитный калькулятор'!$G$10="ежедневное",H324,IF(AND('депозитный калькулятор'!$G$10="еженедельное",WEEKDAY(F324,2)=7),SUM(OFFSET(H324,-6,0):H324),IF(AND('депозитный калькулятор'!$G$10="еженедельное",F324='депозитный калькулятор'!$D$8),SUM($H$23:H324)-SUM($I$23:I323),IF(AND('депозитный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недели",WEEKDAY(F324,2)=7),MIN(OFFSET(H324,-6,0):H324)*(COUNTIF(OFFSET(H324,-6,0):H324,"&gt;0")+SUMIF(OFFSET(A324,-WEEKDAY(F324,2),0):A324,"=2",OFFSET(A324,-WEEKDAY(F324,2),0):A324)),IF(AND('депозитный калькулятор'!$G$10="еженедельное, на минимальную сумму зафиксированную в течение недели",F324='депозитный калькулятор'!$D$8,WEEKDAY(F324,2)&lt;&gt;7),MIN(OFFSET(H324,-WEEKDAY(F324,2),0):H324)*(COUNTIF(OFFSET(H324,-WEEKDAY(F324,2)+1,0):H324,"&gt;0")+SUM(OFFSET(A324,-WEEKDAY(F324,2),0):A324)),IF(AND('депозитный калькулятор'!$G$10="ежемесячное (в конце месяца)",F324='депозитный калькулятор'!$D$8,EOMONTH(F324,0)&lt;&gt;F324),IF('депозитный калькулятор'!$F$1=1,$H$24,SUM($H$23:H324)-SUM($I$23:I323)),IF(AND('депозитный калькулятор'!$G$10="ежемесячное (в конце месяца)",EOMONTH(F324,0)=F324),SUM($H$23:H324)-SUM($I$23:I323),IF(AND('депозитный калькулятор'!$G$10="ежемесячное (по дням открытия вклада)",F324='депозитный калькулятор'!$D$8,DAY('депозитный калькулятор'!$D$7)&lt;&gt;DAY(F324)),IF('депозитный калькулятор'!$F$1=1,$H$24,SUM($H$23:H324)-SUM($I$23:I323)),IF(AND('депозитный калькулятор'!$G$10="ежемесячное (по дням открытия вклада)",DAY('депозитный калькулятор'!$D$7)=DAY(F324)),SUM($H$23:H324)-SUM($I$23:I323),IF(AND('депозитный калькулятор'!$G$10="ежемесячное, на минимальную сумму зафиксированную в течение месяца",F324='депозитный калькулятор'!$D$8,EOMONTH(F324,0)&lt;&gt;F324),IF('депозитный калькулятор'!$F$1=1,$H$24,IF(AND(OR('депозитный калькулятор'!$G$7="30/365",'депозитный калькулятор'!$G$7="30/360"),DAY(F324)=31),0,MIN(OFFSET(H324,-E324+1,0):H324)*(E324+SUMIF(OFFSET(A324,-E324+1,0):A324,"=2",OFFSET(A324,-E324+1,0):A324)))),IF(AND('депозитный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калькулятор'!$G$7="30/360"),DAY(EOMONTH(F324,0))=31),EOMONTH(F324,0)-1=F324,EOMONTH(F324,0)=F324)),IF(IF(AND(OR('депозитный калькулятор'!$G$7="30/365",'депозитный калькулятор'!$G$7="30/360"),DAY(EOMONTH($F$23,0))=31),F324=EOMONTH($F$23,0)-1,F324=EOMONTH($F$23,0)),MIN(OFFSET(H324,-(DAY(F324)-DAY($F$23)),0):H324)*E324,MIN(OFFSET(H324,-(DAY(F324)-1),0):H324)*IF(AND(OR('депозитный калькулятор'!$G$7="30/365",'депозитный калькулятор'!$G$7="30/360"),DAY(F324)&lt;30),30,DAY(F324))),IF(AND('депозитный калькулятор'!$G$10="ежемесячное, на средний остаток в течение месяца, при условии что остаток больше чем ограничение",F324='депозитный калькулятор'!$D$8,EOMONTH(F324,0)&lt;&gt;F324),IF('депозитный калькулятор'!$F$1=1,$H$24,SUM(OFFSET(Q324,-E324+1,0):Q324)),IF(AND('депозитный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калькулятор'!$G$7="30/360"),DAY(EOMONTH(F324,0))=31),EOMONTH(F324,0)-1=F324,EOMONTH(F324,0)=F324)),IF(IF(AND(OR('депозитный калькулятор'!$G$7="30/365",'депозитный калькулятор'!$G$7="30/360"),DAY(EOMONTH($F$24,0))=31),F324=EOMONTH($F$24,0)-1,F324=EOMONTH($F$24,0)),SUM(OFFSET(Q324,-E324+1,0):Q324),SUM(OFFSET(Q324,-E324+1,0):Q324)),IF('депозитный калькулятор'!$G$10="ежеквартальное",IF(F324&gt;'депозитный калькулятор'!$D$8," ",IF(AND(EOMONTH(F324,0)=F324,OR(MONTH(F324)=3,MONTH(F324)=6,MONTH(F324)=9,MONTH(F324)=12)),IF(EDATE(F324,-3)&lt;'депозитный калькулятор'!$D$7,SUM($H$23:H324),IF(MOD(YEAR(F324),4)=0,IF(AND(EOMONTH(F324,0)=F324,OR(MONTH(F324)=3,MONTH(F324)=6)),SUM(OFFSET(H324,-90,0):H324),IF(AND(EOMONTH(F324,0)=F324,OR(MONTH(F324)=9,MONTH(F324)=12)),SUM(OFFSET(H324,-91,0):H324))),IF(AND(EOMONTH(F324,0)=F324,MONTH(F324)=3),SUM(OFFSET(H324,-89,0):H324),IF(AND(EOMONTH(F324,0)=F324,MONTH(F324)=6),SUM(OFFSET(H324,-90,0):H324),IF(AND(EOMONTH(F324,0)=F324,OR(MONTH(F324)=9,MONTH(F324)=12)),SUM(OFFSET(H324,-91,0):H324)))))),IF(F324='депозитный калькулятор'!$D$8,SUM($H$23:H324)-SUM($I$23:I323),0))),IF('депозитный калькулятор'!$G$10="ежегодное",IF(F324&gt;'депозитный калькулятор'!$D$8," ",IF(F324='депозитный калькулятор'!$D$8,SUM($H$23:H324)-SUM($I$23:I323),IF(AND(EOMONTH(F324,0)=F324,MONTH(F324)=12),IF(MOD(YEAR(F323),4)=0,IF(F324-'депозитный калькулятор'!$D$7&lt;366,SUM($H$23:H324),SUM(OFFSET(H324,-365,0):H324)),IF(F324-'депозитный калькулятор'!$D$7&lt;365,SUM($H$23:H324),SUM(OFFSET(H324,-364,0):H324))),0))),IF(AND('депозитный калькулятор'!$G$10="в конце срока",'депозитный калькулятор'!$D$8=F324),SUM($H$23:H324),0))))))))))))))))))</f>
        <v xml:space="preserve"> </v>
      </c>
      <c r="J324" s="59" t="str">
        <f>IF(F324&gt;'депозитный калькулятор'!$D$8," ",IF('депозитный калькулятор'!$G$16="нет",0,IF(AND('депозитный калькулятор'!$G$17="разовая (в конце срока)",F324='депозитный калькулятор'!$D$8),'депозитный калькулятор'!$G$18,IF(AND('депозитный калькулятор'!$G$17="ежемесячная",EOMONTH(F323,0)=F323),'депозитный калькулятор'!$G$18,IF(AND('депозитный калькулятор'!$G$17="ежегодная",DAY(F323)=31,MONTH(F323)=12),'депозитный калькулятор'!$G$18,IF(AND('депозитный калькулятор'!$G$17="ежемесячная в зависимости от остатка",EOMONTH(F323,0)=F323,P323&gt;0),'депозитный калькулятор'!$G$18,IF(AND('депозитный калькулятор'!$G$17="ежегодная в зависимости от остатка",DAY(F323)=31,MONTH(F323)=12,P323&gt;0),'депозитный калькулятор'!$G$18,0)))))))</f>
        <v xml:space="preserve"> </v>
      </c>
      <c r="K324" s="135" t="str">
        <f>IF($F324=" "," ",IFERROR(VLOOKUP($F324,'депозитный калькулятор'!$B$26:$F$70,2,0),0))</f>
        <v xml:space="preserve"> </v>
      </c>
      <c r="L324" s="135" t="str">
        <f>IF($F324=" "," ",IFERROR(VLOOKUP($F324,'депозитный калькулятор'!$B$26:$F$70,3,0),0))</f>
        <v xml:space="preserve"> </v>
      </c>
      <c r="M324" s="135" t="str">
        <f>IF($F324=" "," ",IFERROR(VLOOKUP($F324,'депозитный калькулятор'!$B$26:$F$70,4,0),0))</f>
        <v xml:space="preserve"> </v>
      </c>
      <c r="N324" s="135" t="str">
        <f>IF($F324=" "," ",IFERROR(VLOOKUP($F324,'депозитный калькулятор'!$B$26:$F$70,5,0),0))</f>
        <v xml:space="preserve"> </v>
      </c>
      <c r="O324" s="146" t="str">
        <f>IF(F324&gt;'депозитный калькулятор'!$D$8," ",IF(F324='депозитный калькулятор'!$D$8,IF(AND($F$24='депозитный калькулятор'!$D$8,'депозитный калькулятор'!$G$13="нет"),-G324-IF(I324=" ",0,I324)-IF(AND(OR('депозитный калькулятор'!$G$7="30/365",'депозитный калькулятор'!$G$7="30/360"),'депозитный калькулятор'!$G$10="в начале срока"),I323,0)-L324+M324-N324,-G324-IF(I324=" ",0,I324)-L324+M324-N324),IF('депозитный калькулятор'!$G$13="есть",M324-N324+IF('депозитный калькулятор'!$G$14="есть",0,-L324),-IF(I324=" ",0,I324)-IF(AND(OR('депозитный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срока"),I323,0)+M324-N324+IF('депозитный калькулятор'!$G$14="есть",0,-L324))))</f>
        <v xml:space="preserve"> </v>
      </c>
      <c r="P324" s="147" t="str">
        <f>IF(F324&gt;'депозитный калькулятор'!$D$8," ",IF(EOMONTH(F323,0)=F323,0,IF(G324&gt;='депозитный калькулятор'!$G$19,P323,P323+1)))</f>
        <v xml:space="preserve"> </v>
      </c>
      <c r="Q324" s="138" t="str">
        <f>IF(F324=" "," ",IF(AND(OR('депозитный калькулятор'!$G$7="30/365",'депозитный калькулятор'!$G$7="30/360"),AND(MONTH(F324)=2,EOMONTH(F324,0)=F324)),IF(DAY(F324)=28,3,2),1)*IF(G324&gt;='депозитный калькулятор'!$G$11,IF(AND('депозитный калькулятор'!$G$7="факт/факт",MOD(YEAR(F324),4)=0),G324*'депозитный калькулятор'!$D$11/366,G324*'депозитный калькулятор'!$G$8),0))</f>
        <v xml:space="preserve"> </v>
      </c>
      <c r="R324" s="148"/>
      <c r="S324" s="62" t="str">
        <f t="shared" ca="1" si="22"/>
        <v xml:space="preserve"> </v>
      </c>
      <c r="T324" s="149" t="str">
        <f ca="1">IF(S324=" "," ",IF('депозитный калькулятор'!$G$7="30/360",DAYS360(U323,IF(DAY(U324)=31,U324-1,U324))+IF(AND(MONTH(U324)=2,U324=EOMONTH(U324,0)),30-DAY(EOMONTH(U324,0)))+T323,VLOOKUP(S324,$C$22:$F$1023,2,0)))</f>
        <v xml:space="preserve"> </v>
      </c>
      <c r="U324" s="64" t="str">
        <f t="shared" ca="1" si="20"/>
        <v xml:space="preserve"> </v>
      </c>
      <c r="V324" s="150" t="str">
        <f t="shared" ca="1" si="23"/>
        <v xml:space="preserve"> </v>
      </c>
      <c r="W324" s="62" t="str">
        <f t="shared" ca="1" si="24"/>
        <v xml:space="preserve"> </v>
      </c>
      <c r="X324" s="141" t="str">
        <f ca="1">IF(S324=" "," ",IFERROR(VLOOKUP(U324,$F$23:$N$1023,7)+VLOOKUP(U324,$F$23:$N$1023,9)+IF(AND('депозитный калькулятор'!$G$13="нет",U324&lt;&gt;'депозитный калькулятор'!$D$8),VLOOKUP(U324,$F$23:$N$1023,4),0),0)+IF(U324='депозитный калькулятор'!$D$8,VLOOKUP(U324,$F$23:$N$1023,2)+VLOOKUP(U324,$F$23:$N$1023,4),0))</f>
        <v xml:space="preserve"> </v>
      </c>
      <c r="Y324" s="142" t="str">
        <f ca="1">IF(S324=" "," ",W324/(1+'депозитный калькулятор'!$K$8)^(T324/IF('депозитный калькулятор'!$G$7="30/360",360,365)))</f>
        <v xml:space="preserve"> </v>
      </c>
      <c r="Z324" s="142" t="str">
        <f ca="1">IF(S324=" "," ",X324/(1+'депозитный калькулятор'!$K$8)^(T324/IF('депозитный калькулятор'!$G$7="30/360",360,365)))</f>
        <v xml:space="preserve"> </v>
      </c>
      <c r="AA324" s="151"/>
      <c r="AB324" s="151"/>
      <c r="AC324" s="155"/>
      <c r="AD324" s="155"/>
    </row>
    <row r="325" spans="1:30" s="2" customFormat="1" ht="15.5" x14ac:dyDescent="0.35">
      <c r="A325" s="41" t="str">
        <f>IF(F325=" "," ",IF(OR('депозитный калькулятор'!$G$7="30/365",'депозитный калькулятор'!$G$7="30/360"),IF(AND(MONTH(F325)=2,DAY(F325)=DAY(EOMONTH(F325,0))),30-DAY(EOMONTH(F325,0)),IF(DAY(F325)=31,1," "))," "))</f>
        <v xml:space="preserve"> </v>
      </c>
      <c r="B325" s="130" t="str">
        <f t="shared" si="21"/>
        <v xml:space="preserve"> </v>
      </c>
      <c r="C325" s="130" t="str">
        <f>IF(OR(B325=0,B325=" ")," ",SUM($B$23:B325))</f>
        <v xml:space="preserve"> </v>
      </c>
      <c r="D325" s="62" t="str">
        <f>IF(D324=" "," ",IF(OR(F324='депозитный калькулятор'!$D$8,F324=" ")," ",D324+1))</f>
        <v xml:space="preserve"> </v>
      </c>
      <c r="E325" s="130" t="str">
        <f>IF(OR(F324='депозитный калькулятор'!$D$8,F324=" ")," ",IF(EOMONTH(F324,0)=F324,1,E324+1))</f>
        <v xml:space="preserve"> </v>
      </c>
      <c r="F325" s="64" t="str">
        <f>IF(F324=" "," ",IF(F324='депозитный калькулятор'!$D$8," ",F324+1))</f>
        <v xml:space="preserve"> </v>
      </c>
      <c r="G325" s="145" t="str">
        <f xml:space="preserve"> IF(F325&gt;'депозитный калькулятор'!$D$8," ",IF('депозитный калькулятор'!$G$13="есть",IF('депозитный калькулятор'!$G$14="есть",G324+IF(I324=" ",0,I324)-J325-K325+L325+M325-N325,G324+IF(I324=" ",0,I324)-J325-K325+M325-N325),IF('депозитный калькулятор'!$G$14="есть",G324-J325-K325+L325+M325-N325,G324-J325-K325+M325-N325)))</f>
        <v xml:space="preserve"> </v>
      </c>
      <c r="H325" s="133" t="str">
        <f>IF(F325&gt;'депозитный калькулятор'!$D$8," ",IF(AND(OR('депозитный калькулятор'!$G$7="30/365",'депозитный калькулятор'!$G$7="30/360"),AND(MONTH(F325)=2,EOMONTH(F325,0)=F325)),IF(DAY(F325)=28,3*G325*'депозитный калькулятор'!$G$8,2*G325*'депозитный калькулятор'!$G$8),IF(AND(OR('депозитный калькулятор'!$G$7="30/365",'депозитный калькулятор'!$G$7="30/360"),DAY(F325)=31)," ",IF(AND('депозитный калькулятор'!$G$7="факт/факт",MOD(YEAR(F325),4)=0),G325*'депозитный калькулятор'!$D$11/366,G325*'депозитный калькулятор'!$G$8))))</f>
        <v xml:space="preserve"> </v>
      </c>
      <c r="I325" s="134" t="str">
        <f ca="1">IF(F325=" "," ",IF('депозитный калькулятор'!$G$10="ежедневное",H325,IF(AND('депозитный калькулятор'!$G$10="еженедельное",WEEKDAY(F325,2)=7),SUM(OFFSET(H325,-6,0):H325),IF(AND('депозитный калькулятор'!$G$10="еженедельное",F325='депозитный калькулятор'!$D$8),SUM($H$23:H325)-SUM($I$23:I324),IF(AND('депозитный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недели",WEEKDAY(F325,2)=7),MIN(OFFSET(H325,-6,0):H325)*(COUNTIF(OFFSET(H325,-6,0):H325,"&gt;0")+SUMIF(OFFSET(A325,-WEEKDAY(F325,2),0):A325,"=2",OFFSET(A325,-WEEKDAY(F325,2),0):A325)),IF(AND('депозитный калькулятор'!$G$10="еженедельное, на минимальную сумму зафиксированную в течение недели",F325='депозитный калькулятор'!$D$8,WEEKDAY(F325,2)&lt;&gt;7),MIN(OFFSET(H325,-WEEKDAY(F325,2),0):H325)*(COUNTIF(OFFSET(H325,-WEEKDAY(F325,2)+1,0):H325,"&gt;0")+SUM(OFFSET(A325,-WEEKDAY(F325,2),0):A325)),IF(AND('депозитный калькулятор'!$G$10="ежемесячное (в конце месяца)",F325='депозитный калькулятор'!$D$8,EOMONTH(F325,0)&lt;&gt;F325),IF('депозитный калькулятор'!$F$1=1,$H$24,SUM($H$23:H325)-SUM($I$23:I324)),IF(AND('депозитный калькулятор'!$G$10="ежемесячное (в конце месяца)",EOMONTH(F325,0)=F325),SUM($H$23:H325)-SUM($I$23:I324),IF(AND('депозитный калькулятор'!$G$10="ежемесячное (по дням открытия вклада)",F325='депозитный калькулятор'!$D$8,DAY('депозитный калькулятор'!$D$7)&lt;&gt;DAY(F325)),IF('депозитный калькулятор'!$F$1=1,$H$24,SUM($H$23:H325)-SUM($I$23:I324)),IF(AND('депозитный калькулятор'!$G$10="ежемесячное (по дням открытия вклада)",DAY('депозитный калькулятор'!$D$7)=DAY(F325)),SUM($H$23:H325)-SUM($I$23:I324),IF(AND('депозитный калькулятор'!$G$10="ежемесячное, на минимальную сумму зафиксированную в течение месяца",F325='депозитный калькулятор'!$D$8,EOMONTH(F325,0)&lt;&gt;F325),IF('депозитный калькулятор'!$F$1=1,$H$24,IF(AND(OR('депозитный калькулятор'!$G$7="30/365",'депозитный калькулятор'!$G$7="30/360"),DAY(F325)=31),0,MIN(OFFSET(H325,-E325+1,0):H325)*(E325+SUMIF(OFFSET(A325,-E325+1,0):A325,"=2",OFFSET(A325,-E325+1,0):A325)))),IF(AND('депозитный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калькулятор'!$G$7="30/360"),DAY(EOMONTH(F325,0))=31),EOMONTH(F325,0)-1=F325,EOMONTH(F325,0)=F325)),IF(IF(AND(OR('депозитный калькулятор'!$G$7="30/365",'депозитный калькулятор'!$G$7="30/360"),DAY(EOMONTH($F$23,0))=31),F325=EOMONTH($F$23,0)-1,F325=EOMONTH($F$23,0)),MIN(OFFSET(H325,-(DAY(F325)-DAY($F$23)),0):H325)*E325,MIN(OFFSET(H325,-(DAY(F325)-1),0):H325)*IF(AND(OR('депозитный калькулятор'!$G$7="30/365",'депозитный калькулятор'!$G$7="30/360"),DAY(F325)&lt;30),30,DAY(F325))),IF(AND('депозитный калькулятор'!$G$10="ежемесячное, на средний остаток в течение месяца, при условии что остаток больше чем ограничение",F325='депозитный калькулятор'!$D$8,EOMONTH(F325,0)&lt;&gt;F325),IF('депозитный калькулятор'!$F$1=1,$H$24,SUM(OFFSET(Q325,-E325+1,0):Q325)),IF(AND('депозитный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калькулятор'!$G$7="30/360"),DAY(EOMONTH(F325,0))=31),EOMONTH(F325,0)-1=F325,EOMONTH(F325,0)=F325)),IF(IF(AND(OR('депозитный калькулятор'!$G$7="30/365",'депозитный калькулятор'!$G$7="30/360"),DAY(EOMONTH($F$24,0))=31),F325=EOMONTH($F$24,0)-1,F325=EOMONTH($F$24,0)),SUM(OFFSET(Q325,-E325+1,0):Q325),SUM(OFFSET(Q325,-E325+1,0):Q325)),IF('депозитный калькулятор'!$G$10="ежеквартальное",IF(F325&gt;'депозитный калькулятор'!$D$8," ",IF(AND(EOMONTH(F325,0)=F325,OR(MONTH(F325)=3,MONTH(F325)=6,MONTH(F325)=9,MONTH(F325)=12)),IF(EDATE(F325,-3)&lt;'депозитный калькулятор'!$D$7,SUM($H$23:H325),IF(MOD(YEAR(F325),4)=0,IF(AND(EOMONTH(F325,0)=F325,OR(MONTH(F325)=3,MONTH(F325)=6)),SUM(OFFSET(H325,-90,0):H325),IF(AND(EOMONTH(F325,0)=F325,OR(MONTH(F325)=9,MONTH(F325)=12)),SUM(OFFSET(H325,-91,0):H325))),IF(AND(EOMONTH(F325,0)=F325,MONTH(F325)=3),SUM(OFFSET(H325,-89,0):H325),IF(AND(EOMONTH(F325,0)=F325,MONTH(F325)=6),SUM(OFFSET(H325,-90,0):H325),IF(AND(EOMONTH(F325,0)=F325,OR(MONTH(F325)=9,MONTH(F325)=12)),SUM(OFFSET(H325,-91,0):H325)))))),IF(F325='депозитный калькулятор'!$D$8,SUM($H$23:H325)-SUM($I$23:I324),0))),IF('депозитный калькулятор'!$G$10="ежегодное",IF(F325&gt;'депозитный калькулятор'!$D$8," ",IF(F325='депозитный калькулятор'!$D$8,SUM($H$23:H325)-SUM($I$23:I324),IF(AND(EOMONTH(F325,0)=F325,MONTH(F325)=12),IF(MOD(YEAR(F324),4)=0,IF(F325-'депозитный калькулятор'!$D$7&lt;366,SUM($H$23:H325),SUM(OFFSET(H325,-365,0):H325)),IF(F325-'депозитный калькулятор'!$D$7&lt;365,SUM($H$23:H325),SUM(OFFSET(H325,-364,0):H325))),0))),IF(AND('депозитный калькулятор'!$G$10="в конце срока",'депозитный калькулятор'!$D$8=F325),SUM($H$23:H325),0))))))))))))))))))</f>
        <v xml:space="preserve"> </v>
      </c>
      <c r="J325" s="59" t="str">
        <f>IF(F325&gt;'депозитный калькулятор'!$D$8," ",IF('депозитный калькулятор'!$G$16="нет",0,IF(AND('депозитный калькулятор'!$G$17="разовая (в конце срока)",F325='депозитный калькулятор'!$D$8),'депозитный калькулятор'!$G$18,IF(AND('депозитный калькулятор'!$G$17="ежемесячная",EOMONTH(F324,0)=F324),'депозитный калькулятор'!$G$18,IF(AND('депозитный калькулятор'!$G$17="ежегодная",DAY(F324)=31,MONTH(F324)=12),'депозитный калькулятор'!$G$18,IF(AND('депозитный калькулятор'!$G$17="ежемесячная в зависимости от остатка",EOMONTH(F324,0)=F324,P324&gt;0),'депозитный калькулятор'!$G$18,IF(AND('депозитный калькулятор'!$G$17="ежегодная в зависимости от остатка",DAY(F324)=31,MONTH(F324)=12,P324&gt;0),'депозитный калькулятор'!$G$18,0)))))))</f>
        <v xml:space="preserve"> </v>
      </c>
      <c r="K325" s="135" t="str">
        <f>IF($F325=" "," ",IFERROR(VLOOKUP($F325,'депозитный калькулятор'!$B$26:$F$70,2,0),0))</f>
        <v xml:space="preserve"> </v>
      </c>
      <c r="L325" s="135" t="str">
        <f>IF($F325=" "," ",IFERROR(VLOOKUP($F325,'депозитный калькулятор'!$B$26:$F$70,3,0),0))</f>
        <v xml:space="preserve"> </v>
      </c>
      <c r="M325" s="135" t="str">
        <f>IF($F325=" "," ",IFERROR(VLOOKUP($F325,'депозитный калькулятор'!$B$26:$F$70,4,0),0))</f>
        <v xml:space="preserve"> </v>
      </c>
      <c r="N325" s="135" t="str">
        <f>IF($F325=" "," ",IFERROR(VLOOKUP($F325,'депозитный калькулятор'!$B$26:$F$70,5,0),0))</f>
        <v xml:space="preserve"> </v>
      </c>
      <c r="O325" s="146" t="str">
        <f>IF(F325&gt;'депозитный калькулятор'!$D$8," ",IF(F325='депозитный калькулятор'!$D$8,IF(AND($F$24='депозитный калькулятор'!$D$8,'депозитный калькулятор'!$G$13="нет"),-G325-IF(I325=" ",0,I325)-IF(AND(OR('депозитный калькулятор'!$G$7="30/365",'депозитный калькулятор'!$G$7="30/360"),'депозитный калькулятор'!$G$10="в начале срока"),I324,0)-L325+M325-N325,-G325-IF(I325=" ",0,I325)-L325+M325-N325),IF('депозитный калькулятор'!$G$13="есть",M325-N325+IF('депозитный калькулятор'!$G$14="есть",0,-L325),-IF(I325=" ",0,I325)-IF(AND(OR('депозитный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срока"),I324,0)+M325-N325+IF('депозитный калькулятор'!$G$14="есть",0,-L325))))</f>
        <v xml:space="preserve"> </v>
      </c>
      <c r="P325" s="147" t="str">
        <f>IF(F325&gt;'депозитный калькулятор'!$D$8," ",IF(EOMONTH(F324,0)=F324,0,IF(G325&gt;='депозитный калькулятор'!$G$19,P324,P324+1)))</f>
        <v xml:space="preserve"> </v>
      </c>
      <c r="Q325" s="138" t="str">
        <f>IF(F325=" "," ",IF(AND(OR('депозитный калькулятор'!$G$7="30/365",'депозитный калькулятор'!$G$7="30/360"),AND(MONTH(F325)=2,EOMONTH(F325,0)=F325)),IF(DAY(F325)=28,3,2),1)*IF(G325&gt;='депозитный калькулятор'!$G$11,IF(AND('депозитный калькулятор'!$G$7="факт/факт",MOD(YEAR(F325),4)=0),G325*'депозитный калькулятор'!$D$11/366,G325*'депозитный калькулятор'!$G$8),0))</f>
        <v xml:space="preserve"> </v>
      </c>
      <c r="R325" s="148"/>
      <c r="S325" s="62" t="str">
        <f t="shared" ca="1" si="22"/>
        <v xml:space="preserve"> </v>
      </c>
      <c r="T325" s="149" t="str">
        <f ca="1">IF(S325=" "," ",IF('депозитный калькулятор'!$G$7="30/360",DAYS360(U324,IF(DAY(U325)=31,U325-1,U325))+IF(AND(MONTH(U325)=2,U325=EOMONTH(U325,0)),30-DAY(EOMONTH(U325,0)))+T324,VLOOKUP(S325,$C$22:$F$1023,2,0)))</f>
        <v xml:space="preserve"> </v>
      </c>
      <c r="U325" s="64" t="str">
        <f t="shared" ca="1" si="20"/>
        <v xml:space="preserve"> </v>
      </c>
      <c r="V325" s="150" t="str">
        <f t="shared" ca="1" si="23"/>
        <v xml:space="preserve"> </v>
      </c>
      <c r="W325" s="62" t="str">
        <f t="shared" ca="1" si="24"/>
        <v xml:space="preserve"> </v>
      </c>
      <c r="X325" s="141" t="str">
        <f ca="1">IF(S325=" "," ",IFERROR(VLOOKUP(U325,$F$23:$N$1023,7)+VLOOKUP(U325,$F$23:$N$1023,9)+IF(AND('депозитный калькулятор'!$G$13="нет",U325&lt;&gt;'депозитный калькулятор'!$D$8),VLOOKUP(U325,$F$23:$N$1023,4),0),0)+IF(U325='депозитный калькулятор'!$D$8,VLOOKUP(U325,$F$23:$N$1023,2)+VLOOKUP(U325,$F$23:$N$1023,4),0))</f>
        <v xml:space="preserve"> </v>
      </c>
      <c r="Y325" s="142" t="str">
        <f ca="1">IF(S325=" "," ",W325/(1+'депозитный калькулятор'!$K$8)^(T325/IF('депозитный калькулятор'!$G$7="30/360",360,365)))</f>
        <v xml:space="preserve"> </v>
      </c>
      <c r="Z325" s="142" t="str">
        <f ca="1">IF(S325=" "," ",X325/(1+'депозитный калькулятор'!$K$8)^(T325/IF('депозитный калькулятор'!$G$7="30/360",360,365)))</f>
        <v xml:space="preserve"> </v>
      </c>
      <c r="AA325" s="151"/>
      <c r="AB325" s="151"/>
      <c r="AC325" s="155"/>
      <c r="AD325" s="155"/>
    </row>
    <row r="326" spans="1:30" s="2" customFormat="1" ht="15.5" x14ac:dyDescent="0.35">
      <c r="A326" s="41" t="str">
        <f>IF(F326=" "," ",IF(OR('депозитный калькулятор'!$G$7="30/365",'депозитный калькулятор'!$G$7="30/360"),IF(AND(MONTH(F326)=2,DAY(F326)=DAY(EOMONTH(F326,0))),30-DAY(EOMONTH(F326,0)),IF(DAY(F326)=31,1," "))," "))</f>
        <v xml:space="preserve"> </v>
      </c>
      <c r="B326" s="130" t="str">
        <f t="shared" si="21"/>
        <v xml:space="preserve"> </v>
      </c>
      <c r="C326" s="130" t="str">
        <f>IF(OR(B326=0,B326=" ")," ",SUM($B$23:B326))</f>
        <v xml:space="preserve"> </v>
      </c>
      <c r="D326" s="62" t="str">
        <f>IF(D325=" "," ",IF(OR(F325='депозитный калькулятор'!$D$8,F325=" ")," ",D325+1))</f>
        <v xml:space="preserve"> </v>
      </c>
      <c r="E326" s="130" t="str">
        <f>IF(OR(F325='депозитный калькулятор'!$D$8,F325=" ")," ",IF(EOMONTH(F325,0)=F325,1,E325+1))</f>
        <v xml:space="preserve"> </v>
      </c>
      <c r="F326" s="64" t="str">
        <f>IF(F325=" "," ",IF(F325='депозитный калькулятор'!$D$8," ",F325+1))</f>
        <v xml:space="preserve"> </v>
      </c>
      <c r="G326" s="145" t="str">
        <f xml:space="preserve"> IF(F326&gt;'депозитный калькулятор'!$D$8," ",IF('депозитный калькулятор'!$G$13="есть",IF('депозитный калькулятор'!$G$14="есть",G325+IF(I325=" ",0,I325)-J326-K326+L326+M326-N326,G325+IF(I325=" ",0,I325)-J326-K326+M326-N326),IF('депозитный калькулятор'!$G$14="есть",G325-J326-K326+L326+M326-N326,G325-J326-K326+M326-N326)))</f>
        <v xml:space="preserve"> </v>
      </c>
      <c r="H326" s="133" t="str">
        <f>IF(F326&gt;'депозитный калькулятор'!$D$8," ",IF(AND(OR('депозитный калькулятор'!$G$7="30/365",'депозитный калькулятор'!$G$7="30/360"),AND(MONTH(F326)=2,EOMONTH(F326,0)=F326)),IF(DAY(F326)=28,3*G326*'депозитный калькулятор'!$G$8,2*G326*'депозитный калькулятор'!$G$8),IF(AND(OR('депозитный калькулятор'!$G$7="30/365",'депозитный калькулятор'!$G$7="30/360"),DAY(F326)=31)," ",IF(AND('депозитный калькулятор'!$G$7="факт/факт",MOD(YEAR(F326),4)=0),G326*'депозитный калькулятор'!$D$11/366,G326*'депозитный калькулятор'!$G$8))))</f>
        <v xml:space="preserve"> </v>
      </c>
      <c r="I326" s="134" t="str">
        <f ca="1">IF(F326=" "," ",IF('депозитный калькулятор'!$G$10="ежедневное",H326,IF(AND('депозитный калькулятор'!$G$10="еженедельное",WEEKDAY(F326,2)=7),SUM(OFFSET(H326,-6,0):H326),IF(AND('депозитный калькулятор'!$G$10="еженедельное",F326='депозитный калькулятор'!$D$8),SUM($H$23:H326)-SUM($I$23:I325),IF(AND('депозитный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недели",WEEKDAY(F326,2)=7),MIN(OFFSET(H326,-6,0):H326)*(COUNTIF(OFFSET(H326,-6,0):H326,"&gt;0")+SUMIF(OFFSET(A326,-WEEKDAY(F326,2),0):A326,"=2",OFFSET(A326,-WEEKDAY(F326,2),0):A326)),IF(AND('депозитный калькулятор'!$G$10="еженедельное, на минимальную сумму зафиксированную в течение недели",F326='депозитный калькулятор'!$D$8,WEEKDAY(F326,2)&lt;&gt;7),MIN(OFFSET(H326,-WEEKDAY(F326,2),0):H326)*(COUNTIF(OFFSET(H326,-WEEKDAY(F326,2)+1,0):H326,"&gt;0")+SUM(OFFSET(A326,-WEEKDAY(F326,2),0):A326)),IF(AND('депозитный калькулятор'!$G$10="ежемесячное (в конце месяца)",F326='депозитный калькулятор'!$D$8,EOMONTH(F326,0)&lt;&gt;F326),IF('депозитный калькулятор'!$F$1=1,$H$24,SUM($H$23:H326)-SUM($I$23:I325)),IF(AND('депозитный калькулятор'!$G$10="ежемесячное (в конце месяца)",EOMONTH(F326,0)=F326),SUM($H$23:H326)-SUM($I$23:I325),IF(AND('депозитный калькулятор'!$G$10="ежемесячное (по дням открытия вклада)",F326='депозитный калькулятор'!$D$8,DAY('депозитный калькулятор'!$D$7)&lt;&gt;DAY(F326)),IF('депозитный калькулятор'!$F$1=1,$H$24,SUM($H$23:H326)-SUM($I$23:I325)),IF(AND('депозитный калькулятор'!$G$10="ежемесячное (по дням открытия вклада)",DAY('депозитный калькулятор'!$D$7)=DAY(F326)),SUM($H$23:H326)-SUM($I$23:I325),IF(AND('депозитный калькулятор'!$G$10="ежемесячное, на минимальную сумму зафиксированную в течение месяца",F326='депозитный калькулятор'!$D$8,EOMONTH(F326,0)&lt;&gt;F326),IF('депозитный калькулятор'!$F$1=1,$H$24,IF(AND(OR('депозитный калькулятор'!$G$7="30/365",'депозитный калькулятор'!$G$7="30/360"),DAY(F326)=31),0,MIN(OFFSET(H326,-E326+1,0):H326)*(E326+SUMIF(OFFSET(A326,-E326+1,0):A326,"=2",OFFSET(A326,-E326+1,0):A326)))),IF(AND('депозитный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калькулятор'!$G$7="30/360"),DAY(EOMONTH(F326,0))=31),EOMONTH(F326,0)-1=F326,EOMONTH(F326,0)=F326)),IF(IF(AND(OR('депозитный калькулятор'!$G$7="30/365",'депозитный калькулятор'!$G$7="30/360"),DAY(EOMONTH($F$23,0))=31),F326=EOMONTH($F$23,0)-1,F326=EOMONTH($F$23,0)),MIN(OFFSET(H326,-(DAY(F326)-DAY($F$23)),0):H326)*E326,MIN(OFFSET(H326,-(DAY(F326)-1),0):H326)*IF(AND(OR('депозитный калькулятор'!$G$7="30/365",'депозитный калькулятор'!$G$7="30/360"),DAY(F326)&lt;30),30,DAY(F326))),IF(AND('депозитный калькулятор'!$G$10="ежемесячное, на средний остаток в течение месяца, при условии что остаток больше чем ограничение",F326='депозитный калькулятор'!$D$8,EOMONTH(F326,0)&lt;&gt;F326),IF('депозитный калькулятор'!$F$1=1,$H$24,SUM(OFFSET(Q326,-E326+1,0):Q326)),IF(AND('депозитный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калькулятор'!$G$7="30/360"),DAY(EOMONTH(F326,0))=31),EOMONTH(F326,0)-1=F326,EOMONTH(F326,0)=F326)),IF(IF(AND(OR('депозитный калькулятор'!$G$7="30/365",'депозитный калькулятор'!$G$7="30/360"),DAY(EOMONTH($F$24,0))=31),F326=EOMONTH($F$24,0)-1,F326=EOMONTH($F$24,0)),SUM(OFFSET(Q326,-E326+1,0):Q326),SUM(OFFSET(Q326,-E326+1,0):Q326)),IF('депозитный калькулятор'!$G$10="ежеквартальное",IF(F326&gt;'депозитный калькулятор'!$D$8," ",IF(AND(EOMONTH(F326,0)=F326,OR(MONTH(F326)=3,MONTH(F326)=6,MONTH(F326)=9,MONTH(F326)=12)),IF(EDATE(F326,-3)&lt;'депозитный калькулятор'!$D$7,SUM($H$23:H326),IF(MOD(YEAR(F326),4)=0,IF(AND(EOMONTH(F326,0)=F326,OR(MONTH(F326)=3,MONTH(F326)=6)),SUM(OFFSET(H326,-90,0):H326),IF(AND(EOMONTH(F326,0)=F326,OR(MONTH(F326)=9,MONTH(F326)=12)),SUM(OFFSET(H326,-91,0):H326))),IF(AND(EOMONTH(F326,0)=F326,MONTH(F326)=3),SUM(OFFSET(H326,-89,0):H326),IF(AND(EOMONTH(F326,0)=F326,MONTH(F326)=6),SUM(OFFSET(H326,-90,0):H326),IF(AND(EOMONTH(F326,0)=F326,OR(MONTH(F326)=9,MONTH(F326)=12)),SUM(OFFSET(H326,-91,0):H326)))))),IF(F326='депозитный калькулятор'!$D$8,SUM($H$23:H326)-SUM($I$23:I325),0))),IF('депозитный калькулятор'!$G$10="ежегодное",IF(F326&gt;'депозитный калькулятор'!$D$8," ",IF(F326='депозитный калькулятор'!$D$8,SUM($H$23:H326)-SUM($I$23:I325),IF(AND(EOMONTH(F326,0)=F326,MONTH(F326)=12),IF(MOD(YEAR(F325),4)=0,IF(F326-'депозитный калькулятор'!$D$7&lt;366,SUM($H$23:H326),SUM(OFFSET(H326,-365,0):H326)),IF(F326-'депозитный калькулятор'!$D$7&lt;365,SUM($H$23:H326),SUM(OFFSET(H326,-364,0):H326))),0))),IF(AND('депозитный калькулятор'!$G$10="в конце срока",'депозитный калькулятор'!$D$8=F326),SUM($H$23:H326),0))))))))))))))))))</f>
        <v xml:space="preserve"> </v>
      </c>
      <c r="J326" s="59" t="str">
        <f>IF(F326&gt;'депозитный калькулятор'!$D$8," ",IF('депозитный калькулятор'!$G$16="нет",0,IF(AND('депозитный калькулятор'!$G$17="разовая (в конце срока)",F326='депозитный калькулятор'!$D$8),'депозитный калькулятор'!$G$18,IF(AND('депозитный калькулятор'!$G$17="ежемесячная",EOMONTH(F325,0)=F325),'депозитный калькулятор'!$G$18,IF(AND('депозитный калькулятор'!$G$17="ежегодная",DAY(F325)=31,MONTH(F325)=12),'депозитный калькулятор'!$G$18,IF(AND('депозитный калькулятор'!$G$17="ежемесячная в зависимости от остатка",EOMONTH(F325,0)=F325,P325&gt;0),'депозитный калькулятор'!$G$18,IF(AND('депозитный калькулятор'!$G$17="ежегодная в зависимости от остатка",DAY(F325)=31,MONTH(F325)=12,P325&gt;0),'депозитный калькулятор'!$G$18,0)))))))</f>
        <v xml:space="preserve"> </v>
      </c>
      <c r="K326" s="135" t="str">
        <f>IF($F326=" "," ",IFERROR(VLOOKUP($F326,'депозитный калькулятор'!$B$26:$F$70,2,0),0))</f>
        <v xml:space="preserve"> </v>
      </c>
      <c r="L326" s="135" t="str">
        <f>IF($F326=" "," ",IFERROR(VLOOKUP($F326,'депозитный калькулятор'!$B$26:$F$70,3,0),0))</f>
        <v xml:space="preserve"> </v>
      </c>
      <c r="M326" s="135" t="str">
        <f>IF($F326=" "," ",IFERROR(VLOOKUP($F326,'депозитный калькулятор'!$B$26:$F$70,4,0),0))</f>
        <v xml:space="preserve"> </v>
      </c>
      <c r="N326" s="135" t="str">
        <f>IF($F326=" "," ",IFERROR(VLOOKUP($F326,'депозитный калькулятор'!$B$26:$F$70,5,0),0))</f>
        <v xml:space="preserve"> </v>
      </c>
      <c r="O326" s="146" t="str">
        <f>IF(F326&gt;'депозитный калькулятор'!$D$8," ",IF(F326='депозитный калькулятор'!$D$8,IF(AND($F$24='депозитный калькулятор'!$D$8,'депозитный калькулятор'!$G$13="нет"),-G326-IF(I326=" ",0,I326)-IF(AND(OR('депозитный калькулятор'!$G$7="30/365",'депозитный калькулятор'!$G$7="30/360"),'депозитный калькулятор'!$G$10="в начале срока"),I325,0)-L326+M326-N326,-G326-IF(I326=" ",0,I326)-L326+M326-N326),IF('депозитный калькулятор'!$G$13="есть",M326-N326+IF('депозитный калькулятор'!$G$14="есть",0,-L326),-IF(I326=" ",0,I326)-IF(AND(OR('депозитный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срока"),I325,0)+M326-N326+IF('депозитный калькулятор'!$G$14="есть",0,-L326))))</f>
        <v xml:space="preserve"> </v>
      </c>
      <c r="P326" s="147" t="str">
        <f>IF(F326&gt;'депозитный калькулятор'!$D$8," ",IF(EOMONTH(F325,0)=F325,0,IF(G326&gt;='депозитный калькулятор'!$G$19,P325,P325+1)))</f>
        <v xml:space="preserve"> </v>
      </c>
      <c r="Q326" s="138" t="str">
        <f>IF(F326=" "," ",IF(AND(OR('депозитный калькулятор'!$G$7="30/365",'депозитный калькулятор'!$G$7="30/360"),AND(MONTH(F326)=2,EOMONTH(F326,0)=F326)),IF(DAY(F326)=28,3,2),1)*IF(G326&gt;='депозитный калькулятор'!$G$11,IF(AND('депозитный калькулятор'!$G$7="факт/факт",MOD(YEAR(F326),4)=0),G326*'депозитный калькулятор'!$D$11/366,G326*'депозитный калькулятор'!$G$8),0))</f>
        <v xml:space="preserve"> </v>
      </c>
      <c r="R326" s="148"/>
      <c r="S326" s="62" t="str">
        <f t="shared" ca="1" si="22"/>
        <v xml:space="preserve"> </v>
      </c>
      <c r="T326" s="149" t="str">
        <f ca="1">IF(S326=" "," ",IF('депозитный калькулятор'!$G$7="30/360",DAYS360(U325,IF(DAY(U326)=31,U326-1,U326))+IF(AND(MONTH(U326)=2,U326=EOMONTH(U326,0)),30-DAY(EOMONTH(U326,0)))+T325,VLOOKUP(S326,$C$22:$F$1023,2,0)))</f>
        <v xml:space="preserve"> </v>
      </c>
      <c r="U326" s="64" t="str">
        <f t="shared" ca="1" si="20"/>
        <v xml:space="preserve"> </v>
      </c>
      <c r="V326" s="150" t="str">
        <f t="shared" ca="1" si="23"/>
        <v xml:space="preserve"> </v>
      </c>
      <c r="W326" s="62" t="str">
        <f t="shared" ca="1" si="24"/>
        <v xml:space="preserve"> </v>
      </c>
      <c r="X326" s="141" t="str">
        <f ca="1">IF(S326=" "," ",IFERROR(VLOOKUP(U326,$F$23:$N$1023,7)+VLOOKUP(U326,$F$23:$N$1023,9)+IF(AND('депозитный калькулятор'!$G$13="нет",U326&lt;&gt;'депозитный калькулятор'!$D$8),VLOOKUP(U326,$F$23:$N$1023,4),0),0)+IF(U326='депозитный калькулятор'!$D$8,VLOOKUP(U326,$F$23:$N$1023,2)+VLOOKUP(U326,$F$23:$N$1023,4),0))</f>
        <v xml:space="preserve"> </v>
      </c>
      <c r="Y326" s="142" t="str">
        <f ca="1">IF(S326=" "," ",W326/(1+'депозитный калькулятор'!$K$8)^(T326/IF('депозитный калькулятор'!$G$7="30/360",360,365)))</f>
        <v xml:space="preserve"> </v>
      </c>
      <c r="Z326" s="142" t="str">
        <f ca="1">IF(S326=" "," ",X326/(1+'депозитный калькулятор'!$K$8)^(T326/IF('депозитный калькулятор'!$G$7="30/360",360,365)))</f>
        <v xml:space="preserve"> </v>
      </c>
      <c r="AA326" s="151"/>
      <c r="AB326" s="151"/>
      <c r="AC326" s="155"/>
      <c r="AD326" s="155"/>
    </row>
    <row r="327" spans="1:30" s="2" customFormat="1" ht="15.5" x14ac:dyDescent="0.35">
      <c r="A327" s="41" t="str">
        <f>IF(F327=" "," ",IF(OR('депозитный калькулятор'!$G$7="30/365",'депозитный калькулятор'!$G$7="30/360"),IF(AND(MONTH(F327)=2,DAY(F327)=DAY(EOMONTH(F327,0))),30-DAY(EOMONTH(F327,0)),IF(DAY(F327)=31,1," "))," "))</f>
        <v xml:space="preserve"> </v>
      </c>
      <c r="B327" s="130" t="str">
        <f t="shared" si="21"/>
        <v xml:space="preserve"> </v>
      </c>
      <c r="C327" s="130" t="str">
        <f>IF(OR(B327=0,B327=" ")," ",SUM($B$23:B327))</f>
        <v xml:space="preserve"> </v>
      </c>
      <c r="D327" s="62" t="str">
        <f>IF(D326=" "," ",IF(OR(F326='депозитный калькулятор'!$D$8,F326=" ")," ",D326+1))</f>
        <v xml:space="preserve"> </v>
      </c>
      <c r="E327" s="130" t="str">
        <f>IF(OR(F326='депозитный калькулятор'!$D$8,F326=" ")," ",IF(EOMONTH(F326,0)=F326,1,E326+1))</f>
        <v xml:space="preserve"> </v>
      </c>
      <c r="F327" s="64" t="str">
        <f>IF(F326=" "," ",IF(F326='депозитный калькулятор'!$D$8," ",F326+1))</f>
        <v xml:space="preserve"> </v>
      </c>
      <c r="G327" s="145" t="str">
        <f xml:space="preserve"> IF(F327&gt;'депозитный калькулятор'!$D$8," ",IF('депозитный калькулятор'!$G$13="есть",IF('депозитный калькулятор'!$G$14="есть",G326+IF(I326=" ",0,I326)-J327-K327+L327+M327-N327,G326+IF(I326=" ",0,I326)-J327-K327+M327-N327),IF('депозитный калькулятор'!$G$14="есть",G326-J327-K327+L327+M327-N327,G326-J327-K327+M327-N327)))</f>
        <v xml:space="preserve"> </v>
      </c>
      <c r="H327" s="133" t="str">
        <f>IF(F327&gt;'депозитный калькулятор'!$D$8," ",IF(AND(OR('депозитный калькулятор'!$G$7="30/365",'депозитный калькулятор'!$G$7="30/360"),AND(MONTH(F327)=2,EOMONTH(F327,0)=F327)),IF(DAY(F327)=28,3*G327*'депозитный калькулятор'!$G$8,2*G327*'депозитный калькулятор'!$G$8),IF(AND(OR('депозитный калькулятор'!$G$7="30/365",'депозитный калькулятор'!$G$7="30/360"),DAY(F327)=31)," ",IF(AND('депозитный калькулятор'!$G$7="факт/факт",MOD(YEAR(F327),4)=0),G327*'депозитный калькулятор'!$D$11/366,G327*'депозитный калькулятор'!$G$8))))</f>
        <v xml:space="preserve"> </v>
      </c>
      <c r="I327" s="134" t="str">
        <f ca="1">IF(F327=" "," ",IF('депозитный калькулятор'!$G$10="ежедневное",H327,IF(AND('депозитный калькулятор'!$G$10="еженедельное",WEEKDAY(F327,2)=7),SUM(OFFSET(H327,-6,0):H327),IF(AND('депозитный калькулятор'!$G$10="еженедельное",F327='депозитный калькулятор'!$D$8),SUM($H$23:H327)-SUM($I$23:I326),IF(AND('депозитный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недели",WEEKDAY(F327,2)=7),MIN(OFFSET(H327,-6,0):H327)*(COUNTIF(OFFSET(H327,-6,0):H327,"&gt;0")+SUMIF(OFFSET(A327,-WEEKDAY(F327,2),0):A327,"=2",OFFSET(A327,-WEEKDAY(F327,2),0):A327)),IF(AND('депозитный калькулятор'!$G$10="еженедельное, на минимальную сумму зафиксированную в течение недели",F327='депозитный калькулятор'!$D$8,WEEKDAY(F327,2)&lt;&gt;7),MIN(OFFSET(H327,-WEEKDAY(F327,2),0):H327)*(COUNTIF(OFFSET(H327,-WEEKDAY(F327,2)+1,0):H327,"&gt;0")+SUM(OFFSET(A327,-WEEKDAY(F327,2),0):A327)),IF(AND('депозитный калькулятор'!$G$10="ежемесячное (в конце месяца)",F327='депозитный калькулятор'!$D$8,EOMONTH(F327,0)&lt;&gt;F327),IF('депозитный калькулятор'!$F$1=1,$H$24,SUM($H$23:H327)-SUM($I$23:I326)),IF(AND('депозитный калькулятор'!$G$10="ежемесячное (в конце месяца)",EOMONTH(F327,0)=F327),SUM($H$23:H327)-SUM($I$23:I326),IF(AND('депозитный калькулятор'!$G$10="ежемесячное (по дням открытия вклада)",F327='депозитный калькулятор'!$D$8,DAY('депозитный калькулятор'!$D$7)&lt;&gt;DAY(F327)),IF('депозитный калькулятор'!$F$1=1,$H$24,SUM($H$23:H327)-SUM($I$23:I326)),IF(AND('депозитный калькулятор'!$G$10="ежемесячное (по дням открытия вклада)",DAY('депозитный калькулятор'!$D$7)=DAY(F327)),SUM($H$23:H327)-SUM($I$23:I326),IF(AND('депозитный калькулятор'!$G$10="ежемесячное, на минимальную сумму зафиксированную в течение месяца",F327='депозитный калькулятор'!$D$8,EOMONTH(F327,0)&lt;&gt;F327),IF('депозитный калькулятор'!$F$1=1,$H$24,IF(AND(OR('депозитный калькулятор'!$G$7="30/365",'депозитный калькулятор'!$G$7="30/360"),DAY(F327)=31),0,MIN(OFFSET(H327,-E327+1,0):H327)*(E327+SUMIF(OFFSET(A327,-E327+1,0):A327,"=2",OFFSET(A327,-E327+1,0):A327)))),IF(AND('депозитный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калькулятор'!$G$7="30/360"),DAY(EOMONTH(F327,0))=31),EOMONTH(F327,0)-1=F327,EOMONTH(F327,0)=F327)),IF(IF(AND(OR('депозитный калькулятор'!$G$7="30/365",'депозитный калькулятор'!$G$7="30/360"),DAY(EOMONTH($F$23,0))=31),F327=EOMONTH($F$23,0)-1,F327=EOMONTH($F$23,0)),MIN(OFFSET(H327,-(DAY(F327)-DAY($F$23)),0):H327)*E327,MIN(OFFSET(H327,-(DAY(F327)-1),0):H327)*IF(AND(OR('депозитный калькулятор'!$G$7="30/365",'депозитный калькулятор'!$G$7="30/360"),DAY(F327)&lt;30),30,DAY(F327))),IF(AND('депозитный калькулятор'!$G$10="ежемесячное, на средний остаток в течение месяца, при условии что остаток больше чем ограничение",F327='депозитный калькулятор'!$D$8,EOMONTH(F327,0)&lt;&gt;F327),IF('депозитный калькулятор'!$F$1=1,$H$24,SUM(OFFSET(Q327,-E327+1,0):Q327)),IF(AND('депозитный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калькулятор'!$G$7="30/360"),DAY(EOMONTH(F327,0))=31),EOMONTH(F327,0)-1=F327,EOMONTH(F327,0)=F327)),IF(IF(AND(OR('депозитный калькулятор'!$G$7="30/365",'депозитный калькулятор'!$G$7="30/360"),DAY(EOMONTH($F$24,0))=31),F327=EOMONTH($F$24,0)-1,F327=EOMONTH($F$24,0)),SUM(OFFSET(Q327,-E327+1,0):Q327),SUM(OFFSET(Q327,-E327+1,0):Q327)),IF('депозитный калькулятор'!$G$10="ежеквартальное",IF(F327&gt;'депозитный калькулятор'!$D$8," ",IF(AND(EOMONTH(F327,0)=F327,OR(MONTH(F327)=3,MONTH(F327)=6,MONTH(F327)=9,MONTH(F327)=12)),IF(EDATE(F327,-3)&lt;'депозитный калькулятор'!$D$7,SUM($H$23:H327),IF(MOD(YEAR(F327),4)=0,IF(AND(EOMONTH(F327,0)=F327,OR(MONTH(F327)=3,MONTH(F327)=6)),SUM(OFFSET(H327,-90,0):H327),IF(AND(EOMONTH(F327,0)=F327,OR(MONTH(F327)=9,MONTH(F327)=12)),SUM(OFFSET(H327,-91,0):H327))),IF(AND(EOMONTH(F327,0)=F327,MONTH(F327)=3),SUM(OFFSET(H327,-89,0):H327),IF(AND(EOMONTH(F327,0)=F327,MONTH(F327)=6),SUM(OFFSET(H327,-90,0):H327),IF(AND(EOMONTH(F327,0)=F327,OR(MONTH(F327)=9,MONTH(F327)=12)),SUM(OFFSET(H327,-91,0):H327)))))),IF(F327='депозитный калькулятор'!$D$8,SUM($H$23:H327)-SUM($I$23:I326),0))),IF('депозитный калькулятор'!$G$10="ежегодное",IF(F327&gt;'депозитный калькулятор'!$D$8," ",IF(F327='депозитный калькулятор'!$D$8,SUM($H$23:H327)-SUM($I$23:I326),IF(AND(EOMONTH(F327,0)=F327,MONTH(F327)=12),IF(MOD(YEAR(F326),4)=0,IF(F327-'депозитный калькулятор'!$D$7&lt;366,SUM($H$23:H327),SUM(OFFSET(H327,-365,0):H327)),IF(F327-'депозитный калькулятор'!$D$7&lt;365,SUM($H$23:H327),SUM(OFFSET(H327,-364,0):H327))),0))),IF(AND('депозитный калькулятор'!$G$10="в конце срока",'депозитный калькулятор'!$D$8=F327),SUM($H$23:H327),0))))))))))))))))))</f>
        <v xml:space="preserve"> </v>
      </c>
      <c r="J327" s="59" t="str">
        <f>IF(F327&gt;'депозитный калькулятор'!$D$8," ",IF('депозитный калькулятор'!$G$16="нет",0,IF(AND('депозитный калькулятор'!$G$17="разовая (в конце срока)",F327='депозитный калькулятор'!$D$8),'депозитный калькулятор'!$G$18,IF(AND('депозитный калькулятор'!$G$17="ежемесячная",EOMONTH(F326,0)=F326),'депозитный калькулятор'!$G$18,IF(AND('депозитный калькулятор'!$G$17="ежегодная",DAY(F326)=31,MONTH(F326)=12),'депозитный калькулятор'!$G$18,IF(AND('депозитный калькулятор'!$G$17="ежемесячная в зависимости от остатка",EOMONTH(F326,0)=F326,P326&gt;0),'депозитный калькулятор'!$G$18,IF(AND('депозитный калькулятор'!$G$17="ежегодная в зависимости от остатка",DAY(F326)=31,MONTH(F326)=12,P326&gt;0),'депозитный калькулятор'!$G$18,0)))))))</f>
        <v xml:space="preserve"> </v>
      </c>
      <c r="K327" s="135" t="str">
        <f>IF($F327=" "," ",IFERROR(VLOOKUP($F327,'депозитный калькулятор'!$B$26:$F$70,2,0),0))</f>
        <v xml:space="preserve"> </v>
      </c>
      <c r="L327" s="135" t="str">
        <f>IF($F327=" "," ",IFERROR(VLOOKUP($F327,'депозитный калькулятор'!$B$26:$F$70,3,0),0))</f>
        <v xml:space="preserve"> </v>
      </c>
      <c r="M327" s="135" t="str">
        <f>IF($F327=" "," ",IFERROR(VLOOKUP($F327,'депозитный калькулятор'!$B$26:$F$70,4,0),0))</f>
        <v xml:space="preserve"> </v>
      </c>
      <c r="N327" s="135" t="str">
        <f>IF($F327=" "," ",IFERROR(VLOOKUP($F327,'депозитный калькулятор'!$B$26:$F$70,5,0),0))</f>
        <v xml:space="preserve"> </v>
      </c>
      <c r="O327" s="146" t="str">
        <f>IF(F327&gt;'депозитный калькулятор'!$D$8," ",IF(F327='депозитный калькулятор'!$D$8,IF(AND($F$24='депозитный калькулятор'!$D$8,'депозитный калькулятор'!$G$13="нет"),-G327-IF(I327=" ",0,I327)-IF(AND(OR('депозитный калькулятор'!$G$7="30/365",'депозитный калькулятор'!$G$7="30/360"),'депозитный калькулятор'!$G$10="в начале срока"),I326,0)-L327+M327-N327,-G327-IF(I327=" ",0,I327)-L327+M327-N327),IF('депозитный калькулятор'!$G$13="есть",M327-N327+IF('депозитный калькулятор'!$G$14="есть",0,-L327),-IF(I327=" ",0,I327)-IF(AND(OR('депозитный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срока"),I326,0)+M327-N327+IF('депозитный калькулятор'!$G$14="есть",0,-L327))))</f>
        <v xml:space="preserve"> </v>
      </c>
      <c r="P327" s="147" t="str">
        <f>IF(F327&gt;'депозитный калькулятор'!$D$8," ",IF(EOMONTH(F326,0)=F326,0,IF(G327&gt;='депозитный калькулятор'!$G$19,P326,P326+1)))</f>
        <v xml:space="preserve"> </v>
      </c>
      <c r="Q327" s="138" t="str">
        <f>IF(F327=" "," ",IF(AND(OR('депозитный калькулятор'!$G$7="30/365",'депозитный калькулятор'!$G$7="30/360"),AND(MONTH(F327)=2,EOMONTH(F327,0)=F327)),IF(DAY(F327)=28,3,2),1)*IF(G327&gt;='депозитный калькулятор'!$G$11,IF(AND('депозитный калькулятор'!$G$7="факт/факт",MOD(YEAR(F327),4)=0),G327*'депозитный калькулятор'!$D$11/366,G327*'депозитный калькулятор'!$G$8),0))</f>
        <v xml:space="preserve"> </v>
      </c>
      <c r="R327" s="148"/>
      <c r="S327" s="62" t="str">
        <f t="shared" ca="1" si="22"/>
        <v xml:space="preserve"> </v>
      </c>
      <c r="T327" s="149" t="str">
        <f ca="1">IF(S327=" "," ",IF('депозитный калькулятор'!$G$7="30/360",DAYS360(U326,IF(DAY(U327)=31,U327-1,U327))+IF(AND(MONTH(U327)=2,U327=EOMONTH(U327,0)),30-DAY(EOMONTH(U327,0)))+T326,VLOOKUP(S327,$C$22:$F$1023,2,0)))</f>
        <v xml:space="preserve"> </v>
      </c>
      <c r="U327" s="64" t="str">
        <f t="shared" ca="1" si="20"/>
        <v xml:space="preserve"> </v>
      </c>
      <c r="V327" s="150" t="str">
        <f t="shared" ca="1" si="23"/>
        <v xml:space="preserve"> </v>
      </c>
      <c r="W327" s="62" t="str">
        <f t="shared" ca="1" si="24"/>
        <v xml:space="preserve"> </v>
      </c>
      <c r="X327" s="141" t="str">
        <f ca="1">IF(S327=" "," ",IFERROR(VLOOKUP(U327,$F$23:$N$1023,7)+VLOOKUP(U327,$F$23:$N$1023,9)+IF(AND('депозитный калькулятор'!$G$13="нет",U327&lt;&gt;'депозитный калькулятор'!$D$8),VLOOKUP(U327,$F$23:$N$1023,4),0),0)+IF(U327='депозитный калькулятор'!$D$8,VLOOKUP(U327,$F$23:$N$1023,2)+VLOOKUP(U327,$F$23:$N$1023,4),0))</f>
        <v xml:space="preserve"> </v>
      </c>
      <c r="Y327" s="142" t="str">
        <f ca="1">IF(S327=" "," ",W327/(1+'депозитный калькулятор'!$K$8)^(T327/IF('депозитный калькулятор'!$G$7="30/360",360,365)))</f>
        <v xml:space="preserve"> </v>
      </c>
      <c r="Z327" s="142" t="str">
        <f ca="1">IF(S327=" "," ",X327/(1+'депозитный калькулятор'!$K$8)^(T327/IF('депозитный калькулятор'!$G$7="30/360",360,365)))</f>
        <v xml:space="preserve"> </v>
      </c>
      <c r="AA327" s="151"/>
      <c r="AB327" s="151"/>
      <c r="AC327" s="155"/>
      <c r="AD327" s="155"/>
    </row>
    <row r="328" spans="1:30" s="2" customFormat="1" ht="15.5" x14ac:dyDescent="0.35">
      <c r="A328" s="41" t="str">
        <f>IF(F328=" "," ",IF(OR('депозитный калькулятор'!$G$7="30/365",'депозитный калькулятор'!$G$7="30/360"),IF(AND(MONTH(F328)=2,DAY(F328)=DAY(EOMONTH(F328,0))),30-DAY(EOMONTH(F328,0)),IF(DAY(F328)=31,1," "))," "))</f>
        <v xml:space="preserve"> </v>
      </c>
      <c r="B328" s="130" t="str">
        <f t="shared" si="21"/>
        <v xml:space="preserve"> </v>
      </c>
      <c r="C328" s="130" t="str">
        <f>IF(OR(B328=0,B328=" ")," ",SUM($B$23:B328))</f>
        <v xml:space="preserve"> </v>
      </c>
      <c r="D328" s="62" t="str">
        <f>IF(D327=" "," ",IF(OR(F327='депозитный калькулятор'!$D$8,F327=" ")," ",D327+1))</f>
        <v xml:space="preserve"> </v>
      </c>
      <c r="E328" s="130" t="str">
        <f>IF(OR(F327='депозитный калькулятор'!$D$8,F327=" ")," ",IF(EOMONTH(F327,0)=F327,1,E327+1))</f>
        <v xml:space="preserve"> </v>
      </c>
      <c r="F328" s="64" t="str">
        <f>IF(F327=" "," ",IF(F327='депозитный калькулятор'!$D$8," ",F327+1))</f>
        <v xml:space="preserve"> </v>
      </c>
      <c r="G328" s="145" t="str">
        <f xml:space="preserve"> IF(F328&gt;'депозитный калькулятор'!$D$8," ",IF('депозитный калькулятор'!$G$13="есть",IF('депозитный калькулятор'!$G$14="есть",G327+IF(I327=" ",0,I327)-J328-K328+L328+M328-N328,G327+IF(I327=" ",0,I327)-J328-K328+M328-N328),IF('депозитный калькулятор'!$G$14="есть",G327-J328-K328+L328+M328-N328,G327-J328-K328+M328-N328)))</f>
        <v xml:space="preserve"> </v>
      </c>
      <c r="H328" s="133" t="str">
        <f>IF(F328&gt;'депозитный калькулятор'!$D$8," ",IF(AND(OR('депозитный калькулятор'!$G$7="30/365",'депозитный калькулятор'!$G$7="30/360"),AND(MONTH(F328)=2,EOMONTH(F328,0)=F328)),IF(DAY(F328)=28,3*G328*'депозитный калькулятор'!$G$8,2*G328*'депозитный калькулятор'!$G$8),IF(AND(OR('депозитный калькулятор'!$G$7="30/365",'депозитный калькулятор'!$G$7="30/360"),DAY(F328)=31)," ",IF(AND('депозитный калькулятор'!$G$7="факт/факт",MOD(YEAR(F328),4)=0),G328*'депозитный калькулятор'!$D$11/366,G328*'депозитный калькулятор'!$G$8))))</f>
        <v xml:space="preserve"> </v>
      </c>
      <c r="I328" s="134" t="str">
        <f ca="1">IF(F328=" "," ",IF('депозитный калькулятор'!$G$10="ежедневное",H328,IF(AND('депозитный калькулятор'!$G$10="еженедельное",WEEKDAY(F328,2)=7),SUM(OFFSET(H328,-6,0):H328),IF(AND('депозитный калькулятор'!$G$10="еженедельное",F328='депозитный калькулятор'!$D$8),SUM($H$23:H328)-SUM($I$23:I327),IF(AND('депозитный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недели",WEEKDAY(F328,2)=7),MIN(OFFSET(H328,-6,0):H328)*(COUNTIF(OFFSET(H328,-6,0):H328,"&gt;0")+SUMIF(OFFSET(A328,-WEEKDAY(F328,2),0):A328,"=2",OFFSET(A328,-WEEKDAY(F328,2),0):A328)),IF(AND('депозитный калькулятор'!$G$10="еженедельное, на минимальную сумму зафиксированную в течение недели",F328='депозитный калькулятор'!$D$8,WEEKDAY(F328,2)&lt;&gt;7),MIN(OFFSET(H328,-WEEKDAY(F328,2),0):H328)*(COUNTIF(OFFSET(H328,-WEEKDAY(F328,2)+1,0):H328,"&gt;0")+SUM(OFFSET(A328,-WEEKDAY(F328,2),0):A328)),IF(AND('депозитный калькулятор'!$G$10="ежемесячное (в конце месяца)",F328='депозитный калькулятор'!$D$8,EOMONTH(F328,0)&lt;&gt;F328),IF('депозитный калькулятор'!$F$1=1,$H$24,SUM($H$23:H328)-SUM($I$23:I327)),IF(AND('депозитный калькулятор'!$G$10="ежемесячное (в конце месяца)",EOMONTH(F328,0)=F328),SUM($H$23:H328)-SUM($I$23:I327),IF(AND('депозитный калькулятор'!$G$10="ежемесячное (по дням открытия вклада)",F328='депозитный калькулятор'!$D$8,DAY('депозитный калькулятор'!$D$7)&lt;&gt;DAY(F328)),IF('депозитный калькулятор'!$F$1=1,$H$24,SUM($H$23:H328)-SUM($I$23:I327)),IF(AND('депозитный калькулятор'!$G$10="ежемесячное (по дням открытия вклада)",DAY('депозитный калькулятор'!$D$7)=DAY(F328)),SUM($H$23:H328)-SUM($I$23:I327),IF(AND('депозитный калькулятор'!$G$10="ежемесячное, на минимальную сумму зафиксированную в течение месяца",F328='депозитный калькулятор'!$D$8,EOMONTH(F328,0)&lt;&gt;F328),IF('депозитный калькулятор'!$F$1=1,$H$24,IF(AND(OR('депозитный калькулятор'!$G$7="30/365",'депозитный калькулятор'!$G$7="30/360"),DAY(F328)=31),0,MIN(OFFSET(H328,-E328+1,0):H328)*(E328+SUMIF(OFFSET(A328,-E328+1,0):A328,"=2",OFFSET(A328,-E328+1,0):A328)))),IF(AND('депозитный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калькулятор'!$G$7="30/360"),DAY(EOMONTH(F328,0))=31),EOMONTH(F328,0)-1=F328,EOMONTH(F328,0)=F328)),IF(IF(AND(OR('депозитный калькулятор'!$G$7="30/365",'депозитный калькулятор'!$G$7="30/360"),DAY(EOMONTH($F$23,0))=31),F328=EOMONTH($F$23,0)-1,F328=EOMONTH($F$23,0)),MIN(OFFSET(H328,-(DAY(F328)-DAY($F$23)),0):H328)*E328,MIN(OFFSET(H328,-(DAY(F328)-1),0):H328)*IF(AND(OR('депозитный калькулятор'!$G$7="30/365",'депозитный калькулятор'!$G$7="30/360"),DAY(F328)&lt;30),30,DAY(F328))),IF(AND('депозитный калькулятор'!$G$10="ежемесячное, на средний остаток в течение месяца, при условии что остаток больше чем ограничение",F328='депозитный калькулятор'!$D$8,EOMONTH(F328,0)&lt;&gt;F328),IF('депозитный калькулятор'!$F$1=1,$H$24,SUM(OFFSET(Q328,-E328+1,0):Q328)),IF(AND('депозитный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калькулятор'!$G$7="30/360"),DAY(EOMONTH(F328,0))=31),EOMONTH(F328,0)-1=F328,EOMONTH(F328,0)=F328)),IF(IF(AND(OR('депозитный калькулятор'!$G$7="30/365",'депозитный калькулятор'!$G$7="30/360"),DAY(EOMONTH($F$24,0))=31),F328=EOMONTH($F$24,0)-1,F328=EOMONTH($F$24,0)),SUM(OFFSET(Q328,-E328+1,0):Q328),SUM(OFFSET(Q328,-E328+1,0):Q328)),IF('депозитный калькулятор'!$G$10="ежеквартальное",IF(F328&gt;'депозитный калькулятор'!$D$8," ",IF(AND(EOMONTH(F328,0)=F328,OR(MONTH(F328)=3,MONTH(F328)=6,MONTH(F328)=9,MONTH(F328)=12)),IF(EDATE(F328,-3)&lt;'депозитный калькулятор'!$D$7,SUM($H$23:H328),IF(MOD(YEAR(F328),4)=0,IF(AND(EOMONTH(F328,0)=F328,OR(MONTH(F328)=3,MONTH(F328)=6)),SUM(OFFSET(H328,-90,0):H328),IF(AND(EOMONTH(F328,0)=F328,OR(MONTH(F328)=9,MONTH(F328)=12)),SUM(OFFSET(H328,-91,0):H328))),IF(AND(EOMONTH(F328,0)=F328,MONTH(F328)=3),SUM(OFFSET(H328,-89,0):H328),IF(AND(EOMONTH(F328,0)=F328,MONTH(F328)=6),SUM(OFFSET(H328,-90,0):H328),IF(AND(EOMONTH(F328,0)=F328,OR(MONTH(F328)=9,MONTH(F328)=12)),SUM(OFFSET(H328,-91,0):H328)))))),IF(F328='депозитный калькулятор'!$D$8,SUM($H$23:H328)-SUM($I$23:I327),0))),IF('депозитный калькулятор'!$G$10="ежегодное",IF(F328&gt;'депозитный калькулятор'!$D$8," ",IF(F328='депозитный калькулятор'!$D$8,SUM($H$23:H328)-SUM($I$23:I327),IF(AND(EOMONTH(F328,0)=F328,MONTH(F328)=12),IF(MOD(YEAR(F327),4)=0,IF(F328-'депозитный калькулятор'!$D$7&lt;366,SUM($H$23:H328),SUM(OFFSET(H328,-365,0):H328)),IF(F328-'депозитный калькулятор'!$D$7&lt;365,SUM($H$23:H328),SUM(OFFSET(H328,-364,0):H328))),0))),IF(AND('депозитный калькулятор'!$G$10="в конце срока",'депозитный калькулятор'!$D$8=F328),SUM($H$23:H328),0))))))))))))))))))</f>
        <v xml:space="preserve"> </v>
      </c>
      <c r="J328" s="59" t="str">
        <f>IF(F328&gt;'депозитный калькулятор'!$D$8," ",IF('депозитный калькулятор'!$G$16="нет",0,IF(AND('депозитный калькулятор'!$G$17="разовая (в конце срока)",F328='депозитный калькулятор'!$D$8),'депозитный калькулятор'!$G$18,IF(AND('депозитный калькулятор'!$G$17="ежемесячная",EOMONTH(F327,0)=F327),'депозитный калькулятор'!$G$18,IF(AND('депозитный калькулятор'!$G$17="ежегодная",DAY(F327)=31,MONTH(F327)=12),'депозитный калькулятор'!$G$18,IF(AND('депозитный калькулятор'!$G$17="ежемесячная в зависимости от остатка",EOMONTH(F327,0)=F327,P327&gt;0),'депозитный калькулятор'!$G$18,IF(AND('депозитный калькулятор'!$G$17="ежегодная в зависимости от остатка",DAY(F327)=31,MONTH(F327)=12,P327&gt;0),'депозитный калькулятор'!$G$18,0)))))))</f>
        <v xml:space="preserve"> </v>
      </c>
      <c r="K328" s="135" t="str">
        <f>IF($F328=" "," ",IFERROR(VLOOKUP($F328,'депозитный калькулятор'!$B$26:$F$70,2,0),0))</f>
        <v xml:space="preserve"> </v>
      </c>
      <c r="L328" s="135" t="str">
        <f>IF($F328=" "," ",IFERROR(VLOOKUP($F328,'депозитный калькулятор'!$B$26:$F$70,3,0),0))</f>
        <v xml:space="preserve"> </v>
      </c>
      <c r="M328" s="135" t="str">
        <f>IF($F328=" "," ",IFERROR(VLOOKUP($F328,'депозитный калькулятор'!$B$26:$F$70,4,0),0))</f>
        <v xml:space="preserve"> </v>
      </c>
      <c r="N328" s="135" t="str">
        <f>IF($F328=" "," ",IFERROR(VLOOKUP($F328,'депозитный калькулятор'!$B$26:$F$70,5,0),0))</f>
        <v xml:space="preserve"> </v>
      </c>
      <c r="O328" s="146" t="str">
        <f>IF(F328&gt;'депозитный калькулятор'!$D$8," ",IF(F328='депозитный калькулятор'!$D$8,IF(AND($F$24='депозитный калькулятор'!$D$8,'депозитный калькулятор'!$G$13="нет"),-G328-IF(I328=" ",0,I328)-IF(AND(OR('депозитный калькулятор'!$G$7="30/365",'депозитный калькулятор'!$G$7="30/360"),'депозитный калькулятор'!$G$10="в начале срока"),I327,0)-L328+M328-N328,-G328-IF(I328=" ",0,I328)-L328+M328-N328),IF('депозитный калькулятор'!$G$13="есть",M328-N328+IF('депозитный калькулятор'!$G$14="есть",0,-L328),-IF(I328=" ",0,I328)-IF(AND(OR('депозитный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срока"),I327,0)+M328-N328+IF('депозитный калькулятор'!$G$14="есть",0,-L328))))</f>
        <v xml:space="preserve"> </v>
      </c>
      <c r="P328" s="147" t="str">
        <f>IF(F328&gt;'депозитный калькулятор'!$D$8," ",IF(EOMONTH(F327,0)=F327,0,IF(G328&gt;='депозитный калькулятор'!$G$19,P327,P327+1)))</f>
        <v xml:space="preserve"> </v>
      </c>
      <c r="Q328" s="138" t="str">
        <f>IF(F328=" "," ",IF(AND(OR('депозитный калькулятор'!$G$7="30/365",'депозитный калькулятор'!$G$7="30/360"),AND(MONTH(F328)=2,EOMONTH(F328,0)=F328)),IF(DAY(F328)=28,3,2),1)*IF(G328&gt;='депозитный калькулятор'!$G$11,IF(AND('депозитный калькулятор'!$G$7="факт/факт",MOD(YEAR(F328),4)=0),G328*'депозитный калькулятор'!$D$11/366,G328*'депозитный калькулятор'!$G$8),0))</f>
        <v xml:space="preserve"> </v>
      </c>
      <c r="R328" s="148"/>
      <c r="S328" s="62" t="str">
        <f t="shared" ca="1" si="22"/>
        <v xml:space="preserve"> </v>
      </c>
      <c r="T328" s="149" t="str">
        <f ca="1">IF(S328=" "," ",IF('депозитный калькулятор'!$G$7="30/360",DAYS360(U327,IF(DAY(U328)=31,U328-1,U328))+IF(AND(MONTH(U328)=2,U328=EOMONTH(U328,0)),30-DAY(EOMONTH(U328,0)))+T327,VLOOKUP(S328,$C$22:$F$1023,2,0)))</f>
        <v xml:space="preserve"> </v>
      </c>
      <c r="U328" s="64" t="str">
        <f t="shared" ca="1" si="20"/>
        <v xml:space="preserve"> </v>
      </c>
      <c r="V328" s="150" t="str">
        <f t="shared" ca="1" si="23"/>
        <v xml:space="preserve"> </v>
      </c>
      <c r="W328" s="62" t="str">
        <f t="shared" ca="1" si="24"/>
        <v xml:space="preserve"> </v>
      </c>
      <c r="X328" s="141" t="str">
        <f ca="1">IF(S328=" "," ",IFERROR(VLOOKUP(U328,$F$23:$N$1023,7)+VLOOKUP(U328,$F$23:$N$1023,9)+IF(AND('депозитный калькулятор'!$G$13="нет",U328&lt;&gt;'депозитный калькулятор'!$D$8),VLOOKUP(U328,$F$23:$N$1023,4),0),0)+IF(U328='депозитный калькулятор'!$D$8,VLOOKUP(U328,$F$23:$N$1023,2)+VLOOKUP(U328,$F$23:$N$1023,4),0))</f>
        <v xml:space="preserve"> </v>
      </c>
      <c r="Y328" s="142" t="str">
        <f ca="1">IF(S328=" "," ",W328/(1+'депозитный калькулятор'!$K$8)^(T328/IF('депозитный калькулятор'!$G$7="30/360",360,365)))</f>
        <v xml:space="preserve"> </v>
      </c>
      <c r="Z328" s="142" t="str">
        <f ca="1">IF(S328=" "," ",X328/(1+'депозитный калькулятор'!$K$8)^(T328/IF('депозитный калькулятор'!$G$7="30/360",360,365)))</f>
        <v xml:space="preserve"> </v>
      </c>
      <c r="AA328" s="151"/>
      <c r="AB328" s="151"/>
      <c r="AC328" s="155"/>
      <c r="AD328" s="155"/>
    </row>
    <row r="329" spans="1:30" s="2" customFormat="1" ht="15.5" x14ac:dyDescent="0.35">
      <c r="A329" s="41" t="str">
        <f>IF(F329=" "," ",IF(OR('депозитный калькулятор'!$G$7="30/365",'депозитный калькулятор'!$G$7="30/360"),IF(AND(MONTH(F329)=2,DAY(F329)=DAY(EOMONTH(F329,0))),30-DAY(EOMONTH(F329,0)),IF(DAY(F329)=31,1," "))," "))</f>
        <v xml:space="preserve"> </v>
      </c>
      <c r="B329" s="130" t="str">
        <f t="shared" si="21"/>
        <v xml:space="preserve"> </v>
      </c>
      <c r="C329" s="130" t="str">
        <f>IF(OR(B329=0,B329=" ")," ",SUM($B$23:B329))</f>
        <v xml:space="preserve"> </v>
      </c>
      <c r="D329" s="62" t="str">
        <f>IF(D328=" "," ",IF(OR(F328='депозитный калькулятор'!$D$8,F328=" ")," ",D328+1))</f>
        <v xml:space="preserve"> </v>
      </c>
      <c r="E329" s="130" t="str">
        <f>IF(OR(F328='депозитный калькулятор'!$D$8,F328=" ")," ",IF(EOMONTH(F328,0)=F328,1,E328+1))</f>
        <v xml:space="preserve"> </v>
      </c>
      <c r="F329" s="64" t="str">
        <f>IF(F328=" "," ",IF(F328='депозитный калькулятор'!$D$8," ",F328+1))</f>
        <v xml:space="preserve"> </v>
      </c>
      <c r="G329" s="145" t="str">
        <f xml:space="preserve"> IF(F329&gt;'депозитный калькулятор'!$D$8," ",IF('депозитный калькулятор'!$G$13="есть",IF('депозитный калькулятор'!$G$14="есть",G328+IF(I328=" ",0,I328)-J329-K329+L329+M329-N329,G328+IF(I328=" ",0,I328)-J329-K329+M329-N329),IF('депозитный калькулятор'!$G$14="есть",G328-J329-K329+L329+M329-N329,G328-J329-K329+M329-N329)))</f>
        <v xml:space="preserve"> </v>
      </c>
      <c r="H329" s="133" t="str">
        <f>IF(F329&gt;'депозитный калькулятор'!$D$8," ",IF(AND(OR('депозитный калькулятор'!$G$7="30/365",'депозитный калькулятор'!$G$7="30/360"),AND(MONTH(F329)=2,EOMONTH(F329,0)=F329)),IF(DAY(F329)=28,3*G329*'депозитный калькулятор'!$G$8,2*G329*'депозитный калькулятор'!$G$8),IF(AND(OR('депозитный калькулятор'!$G$7="30/365",'депозитный калькулятор'!$G$7="30/360"),DAY(F329)=31)," ",IF(AND('депозитный калькулятор'!$G$7="факт/факт",MOD(YEAR(F329),4)=0),G329*'депозитный калькулятор'!$D$11/366,G329*'депозитный калькулятор'!$G$8))))</f>
        <v xml:space="preserve"> </v>
      </c>
      <c r="I329" s="134" t="str">
        <f ca="1">IF(F329=" "," ",IF('депозитный калькулятор'!$G$10="ежедневное",H329,IF(AND('депозитный калькулятор'!$G$10="еженедельное",WEEKDAY(F329,2)=7),SUM(OFFSET(H329,-6,0):H329),IF(AND('депозитный калькулятор'!$G$10="еженедельное",F329='депозитный калькулятор'!$D$8),SUM($H$23:H329)-SUM($I$23:I328),IF(AND('депозитный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недели",WEEKDAY(F329,2)=7),MIN(OFFSET(H329,-6,0):H329)*(COUNTIF(OFFSET(H329,-6,0):H329,"&gt;0")+SUMIF(OFFSET(A329,-WEEKDAY(F329,2),0):A329,"=2",OFFSET(A329,-WEEKDAY(F329,2),0):A329)),IF(AND('депозитный калькулятор'!$G$10="еженедельное, на минимальную сумму зафиксированную в течение недели",F329='депозитный калькулятор'!$D$8,WEEKDAY(F329,2)&lt;&gt;7),MIN(OFFSET(H329,-WEEKDAY(F329,2),0):H329)*(COUNTIF(OFFSET(H329,-WEEKDAY(F329,2)+1,0):H329,"&gt;0")+SUM(OFFSET(A329,-WEEKDAY(F329,2),0):A329)),IF(AND('депозитный калькулятор'!$G$10="ежемесячное (в конце месяца)",F329='депозитный калькулятор'!$D$8,EOMONTH(F329,0)&lt;&gt;F329),IF('депозитный калькулятор'!$F$1=1,$H$24,SUM($H$23:H329)-SUM($I$23:I328)),IF(AND('депозитный калькулятор'!$G$10="ежемесячное (в конце месяца)",EOMONTH(F329,0)=F329),SUM($H$23:H329)-SUM($I$23:I328),IF(AND('депозитный калькулятор'!$G$10="ежемесячное (по дням открытия вклада)",F329='депозитный калькулятор'!$D$8,DAY('депозитный калькулятор'!$D$7)&lt;&gt;DAY(F329)),IF('депозитный калькулятор'!$F$1=1,$H$24,SUM($H$23:H329)-SUM($I$23:I328)),IF(AND('депозитный калькулятор'!$G$10="ежемесячное (по дням открытия вклада)",DAY('депозитный калькулятор'!$D$7)=DAY(F329)),SUM($H$23:H329)-SUM($I$23:I328),IF(AND('депозитный калькулятор'!$G$10="ежемесячное, на минимальную сумму зафиксированную в течение месяца",F329='депозитный калькулятор'!$D$8,EOMONTH(F329,0)&lt;&gt;F329),IF('депозитный калькулятор'!$F$1=1,$H$24,IF(AND(OR('депозитный калькулятор'!$G$7="30/365",'депозитный калькулятор'!$G$7="30/360"),DAY(F329)=31),0,MIN(OFFSET(H329,-E329+1,0):H329)*(E329+SUMIF(OFFSET(A329,-E329+1,0):A329,"=2",OFFSET(A329,-E329+1,0):A329)))),IF(AND('депозитный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калькулятор'!$G$7="30/360"),DAY(EOMONTH(F329,0))=31),EOMONTH(F329,0)-1=F329,EOMONTH(F329,0)=F329)),IF(IF(AND(OR('депозитный калькулятор'!$G$7="30/365",'депозитный калькулятор'!$G$7="30/360"),DAY(EOMONTH($F$23,0))=31),F329=EOMONTH($F$23,0)-1,F329=EOMONTH($F$23,0)),MIN(OFFSET(H329,-(DAY(F329)-DAY($F$23)),0):H329)*E329,MIN(OFFSET(H329,-(DAY(F329)-1),0):H329)*IF(AND(OR('депозитный калькулятор'!$G$7="30/365",'депозитный калькулятор'!$G$7="30/360"),DAY(F329)&lt;30),30,DAY(F329))),IF(AND('депозитный калькулятор'!$G$10="ежемесячное, на средний остаток в течение месяца, при условии что остаток больше чем ограничение",F329='депозитный калькулятор'!$D$8,EOMONTH(F329,0)&lt;&gt;F329),IF('депозитный калькулятор'!$F$1=1,$H$24,SUM(OFFSET(Q329,-E329+1,0):Q329)),IF(AND('депозитный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калькулятор'!$G$7="30/360"),DAY(EOMONTH(F329,0))=31),EOMONTH(F329,0)-1=F329,EOMONTH(F329,0)=F329)),IF(IF(AND(OR('депозитный калькулятор'!$G$7="30/365",'депозитный калькулятор'!$G$7="30/360"),DAY(EOMONTH($F$24,0))=31),F329=EOMONTH($F$24,0)-1,F329=EOMONTH($F$24,0)),SUM(OFFSET(Q329,-E329+1,0):Q329),SUM(OFFSET(Q329,-E329+1,0):Q329)),IF('депозитный калькулятор'!$G$10="ежеквартальное",IF(F329&gt;'депозитный калькулятор'!$D$8," ",IF(AND(EOMONTH(F329,0)=F329,OR(MONTH(F329)=3,MONTH(F329)=6,MONTH(F329)=9,MONTH(F329)=12)),IF(EDATE(F329,-3)&lt;'депозитный калькулятор'!$D$7,SUM($H$23:H329),IF(MOD(YEAR(F329),4)=0,IF(AND(EOMONTH(F329,0)=F329,OR(MONTH(F329)=3,MONTH(F329)=6)),SUM(OFFSET(H329,-90,0):H329),IF(AND(EOMONTH(F329,0)=F329,OR(MONTH(F329)=9,MONTH(F329)=12)),SUM(OFFSET(H329,-91,0):H329))),IF(AND(EOMONTH(F329,0)=F329,MONTH(F329)=3),SUM(OFFSET(H329,-89,0):H329),IF(AND(EOMONTH(F329,0)=F329,MONTH(F329)=6),SUM(OFFSET(H329,-90,0):H329),IF(AND(EOMONTH(F329,0)=F329,OR(MONTH(F329)=9,MONTH(F329)=12)),SUM(OFFSET(H329,-91,0):H329)))))),IF(F329='депозитный калькулятор'!$D$8,SUM($H$23:H329)-SUM($I$23:I328),0))),IF('депозитный калькулятор'!$G$10="ежегодное",IF(F329&gt;'депозитный калькулятор'!$D$8," ",IF(F329='депозитный калькулятор'!$D$8,SUM($H$23:H329)-SUM($I$23:I328),IF(AND(EOMONTH(F329,0)=F329,MONTH(F329)=12),IF(MOD(YEAR(F328),4)=0,IF(F329-'депозитный калькулятор'!$D$7&lt;366,SUM($H$23:H329),SUM(OFFSET(H329,-365,0):H329)),IF(F329-'депозитный калькулятор'!$D$7&lt;365,SUM($H$23:H329),SUM(OFFSET(H329,-364,0):H329))),0))),IF(AND('депозитный калькулятор'!$G$10="в конце срока",'депозитный калькулятор'!$D$8=F329),SUM($H$23:H329),0))))))))))))))))))</f>
        <v xml:space="preserve"> </v>
      </c>
      <c r="J329" s="59" t="str">
        <f>IF(F329&gt;'депозитный калькулятор'!$D$8," ",IF('депозитный калькулятор'!$G$16="нет",0,IF(AND('депозитный калькулятор'!$G$17="разовая (в конце срока)",F329='депозитный калькулятор'!$D$8),'депозитный калькулятор'!$G$18,IF(AND('депозитный калькулятор'!$G$17="ежемесячная",EOMONTH(F328,0)=F328),'депозитный калькулятор'!$G$18,IF(AND('депозитный калькулятор'!$G$17="ежегодная",DAY(F328)=31,MONTH(F328)=12),'депозитный калькулятор'!$G$18,IF(AND('депозитный калькулятор'!$G$17="ежемесячная в зависимости от остатка",EOMONTH(F328,0)=F328,P328&gt;0),'депозитный калькулятор'!$G$18,IF(AND('депозитный калькулятор'!$G$17="ежегодная в зависимости от остатка",DAY(F328)=31,MONTH(F328)=12,P328&gt;0),'депозитный калькулятор'!$G$18,0)))))))</f>
        <v xml:space="preserve"> </v>
      </c>
      <c r="K329" s="135" t="str">
        <f>IF($F329=" "," ",IFERROR(VLOOKUP($F329,'депозитный калькулятор'!$B$26:$F$70,2,0),0))</f>
        <v xml:space="preserve"> </v>
      </c>
      <c r="L329" s="135" t="str">
        <f>IF($F329=" "," ",IFERROR(VLOOKUP($F329,'депозитный калькулятор'!$B$26:$F$70,3,0),0))</f>
        <v xml:space="preserve"> </v>
      </c>
      <c r="M329" s="135" t="str">
        <f>IF($F329=" "," ",IFERROR(VLOOKUP($F329,'депозитный калькулятор'!$B$26:$F$70,4,0),0))</f>
        <v xml:space="preserve"> </v>
      </c>
      <c r="N329" s="135" t="str">
        <f>IF($F329=" "," ",IFERROR(VLOOKUP($F329,'депозитный калькулятор'!$B$26:$F$70,5,0),0))</f>
        <v xml:space="preserve"> </v>
      </c>
      <c r="O329" s="146" t="str">
        <f>IF(F329&gt;'депозитный калькулятор'!$D$8," ",IF(F329='депозитный калькулятор'!$D$8,IF(AND($F$24='депозитный калькулятор'!$D$8,'депозитный калькулятор'!$G$13="нет"),-G329-IF(I329=" ",0,I329)-IF(AND(OR('депозитный калькулятор'!$G$7="30/365",'депозитный калькулятор'!$G$7="30/360"),'депозитный калькулятор'!$G$10="в начале срока"),I328,0)-L329+M329-N329,-G329-IF(I329=" ",0,I329)-L329+M329-N329),IF('депозитный калькулятор'!$G$13="есть",M329-N329+IF('депозитный калькулятор'!$G$14="есть",0,-L329),-IF(I329=" ",0,I329)-IF(AND(OR('депозитный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срока"),I328,0)+M329-N329+IF('депозитный калькулятор'!$G$14="есть",0,-L329))))</f>
        <v xml:space="preserve"> </v>
      </c>
      <c r="P329" s="147" t="str">
        <f>IF(F329&gt;'депозитный калькулятор'!$D$8," ",IF(EOMONTH(F328,0)=F328,0,IF(G329&gt;='депозитный калькулятор'!$G$19,P328,P328+1)))</f>
        <v xml:space="preserve"> </v>
      </c>
      <c r="Q329" s="138" t="str">
        <f>IF(F329=" "," ",IF(AND(OR('депозитный калькулятор'!$G$7="30/365",'депозитный калькулятор'!$G$7="30/360"),AND(MONTH(F329)=2,EOMONTH(F329,0)=F329)),IF(DAY(F329)=28,3,2),1)*IF(G329&gt;='депозитный калькулятор'!$G$11,IF(AND('депозитный калькулятор'!$G$7="факт/факт",MOD(YEAR(F329),4)=0),G329*'депозитный калькулятор'!$D$11/366,G329*'депозитный калькулятор'!$G$8),0))</f>
        <v xml:space="preserve"> </v>
      </c>
      <c r="R329" s="148"/>
      <c r="S329" s="62" t="str">
        <f t="shared" ca="1" si="22"/>
        <v xml:space="preserve"> </v>
      </c>
      <c r="T329" s="149" t="str">
        <f ca="1">IF(S329=" "," ",IF('депозитный калькулятор'!$G$7="30/360",DAYS360(U328,IF(DAY(U329)=31,U329-1,U329))+IF(AND(MONTH(U329)=2,U329=EOMONTH(U329,0)),30-DAY(EOMONTH(U329,0)))+T328,VLOOKUP(S329,$C$22:$F$1023,2,0)))</f>
        <v xml:space="preserve"> </v>
      </c>
      <c r="U329" s="64" t="str">
        <f t="shared" ca="1" si="20"/>
        <v xml:space="preserve"> </v>
      </c>
      <c r="V329" s="150" t="str">
        <f t="shared" ca="1" si="23"/>
        <v xml:space="preserve"> </v>
      </c>
      <c r="W329" s="62" t="str">
        <f t="shared" ca="1" si="24"/>
        <v xml:space="preserve"> </v>
      </c>
      <c r="X329" s="141" t="str">
        <f ca="1">IF(S329=" "," ",IFERROR(VLOOKUP(U329,$F$23:$N$1023,7)+VLOOKUP(U329,$F$23:$N$1023,9)+IF(AND('депозитный калькулятор'!$G$13="нет",U329&lt;&gt;'депозитный калькулятор'!$D$8),VLOOKUP(U329,$F$23:$N$1023,4),0),0)+IF(U329='депозитный калькулятор'!$D$8,VLOOKUP(U329,$F$23:$N$1023,2)+VLOOKUP(U329,$F$23:$N$1023,4),0))</f>
        <v xml:space="preserve"> </v>
      </c>
      <c r="Y329" s="142" t="str">
        <f ca="1">IF(S329=" "," ",W329/(1+'депозитный калькулятор'!$K$8)^(T329/IF('депозитный калькулятор'!$G$7="30/360",360,365)))</f>
        <v xml:space="preserve"> </v>
      </c>
      <c r="Z329" s="142" t="str">
        <f ca="1">IF(S329=" "," ",X329/(1+'депозитный калькулятор'!$K$8)^(T329/IF('депозитный калькулятор'!$G$7="30/360",360,365)))</f>
        <v xml:space="preserve"> </v>
      </c>
      <c r="AA329" s="151"/>
      <c r="AB329" s="151"/>
      <c r="AC329" s="155"/>
      <c r="AD329" s="155"/>
    </row>
    <row r="330" spans="1:30" s="2" customFormat="1" ht="15.5" x14ac:dyDescent="0.35">
      <c r="A330" s="41" t="str">
        <f>IF(F330=" "," ",IF(OR('депозитный калькулятор'!$G$7="30/365",'депозитный калькулятор'!$G$7="30/360"),IF(AND(MONTH(F330)=2,DAY(F330)=DAY(EOMONTH(F330,0))),30-DAY(EOMONTH(F330,0)),IF(DAY(F330)=31,1," "))," "))</f>
        <v xml:space="preserve"> </v>
      </c>
      <c r="B330" s="130" t="str">
        <f t="shared" si="21"/>
        <v xml:space="preserve"> </v>
      </c>
      <c r="C330" s="130" t="str">
        <f>IF(OR(B330=0,B330=" ")," ",SUM($B$23:B330))</f>
        <v xml:space="preserve"> </v>
      </c>
      <c r="D330" s="62" t="str">
        <f>IF(D329=" "," ",IF(OR(F329='депозитный калькулятор'!$D$8,F329=" ")," ",D329+1))</f>
        <v xml:space="preserve"> </v>
      </c>
      <c r="E330" s="130" t="str">
        <f>IF(OR(F329='депозитный калькулятор'!$D$8,F329=" ")," ",IF(EOMONTH(F329,0)=F329,1,E329+1))</f>
        <v xml:space="preserve"> </v>
      </c>
      <c r="F330" s="64" t="str">
        <f>IF(F329=" "," ",IF(F329='депозитный калькулятор'!$D$8," ",F329+1))</f>
        <v xml:space="preserve"> </v>
      </c>
      <c r="G330" s="145" t="str">
        <f xml:space="preserve"> IF(F330&gt;'депозитный калькулятор'!$D$8," ",IF('депозитный калькулятор'!$G$13="есть",IF('депозитный калькулятор'!$G$14="есть",G329+IF(I329=" ",0,I329)-J330-K330+L330+M330-N330,G329+IF(I329=" ",0,I329)-J330-K330+M330-N330),IF('депозитный калькулятор'!$G$14="есть",G329-J330-K330+L330+M330-N330,G329-J330-K330+M330-N330)))</f>
        <v xml:space="preserve"> </v>
      </c>
      <c r="H330" s="133" t="str">
        <f>IF(F330&gt;'депозитный калькулятор'!$D$8," ",IF(AND(OR('депозитный калькулятор'!$G$7="30/365",'депозитный калькулятор'!$G$7="30/360"),AND(MONTH(F330)=2,EOMONTH(F330,0)=F330)),IF(DAY(F330)=28,3*G330*'депозитный калькулятор'!$G$8,2*G330*'депозитный калькулятор'!$G$8),IF(AND(OR('депозитный калькулятор'!$G$7="30/365",'депозитный калькулятор'!$G$7="30/360"),DAY(F330)=31)," ",IF(AND('депозитный калькулятор'!$G$7="факт/факт",MOD(YEAR(F330),4)=0),G330*'депозитный калькулятор'!$D$11/366,G330*'депозитный калькулятор'!$G$8))))</f>
        <v xml:space="preserve"> </v>
      </c>
      <c r="I330" s="134" t="str">
        <f ca="1">IF(F330=" "," ",IF('депозитный калькулятор'!$G$10="ежедневное",H330,IF(AND('депозитный калькулятор'!$G$10="еженедельное",WEEKDAY(F330,2)=7),SUM(OFFSET(H330,-6,0):H330),IF(AND('депозитный калькулятор'!$G$10="еженедельное",F330='депозитный калькулятор'!$D$8),SUM($H$23:H330)-SUM($I$23:I329),IF(AND('депозитный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недели",WEEKDAY(F330,2)=7),MIN(OFFSET(H330,-6,0):H330)*(COUNTIF(OFFSET(H330,-6,0):H330,"&gt;0")+SUMIF(OFFSET(A330,-WEEKDAY(F330,2),0):A330,"=2",OFFSET(A330,-WEEKDAY(F330,2),0):A330)),IF(AND('депозитный калькулятор'!$G$10="еженедельное, на минимальную сумму зафиксированную в течение недели",F330='депозитный калькулятор'!$D$8,WEEKDAY(F330,2)&lt;&gt;7),MIN(OFFSET(H330,-WEEKDAY(F330,2),0):H330)*(COUNTIF(OFFSET(H330,-WEEKDAY(F330,2)+1,0):H330,"&gt;0")+SUM(OFFSET(A330,-WEEKDAY(F330,2),0):A330)),IF(AND('депозитный калькулятор'!$G$10="ежемесячное (в конце месяца)",F330='депозитный калькулятор'!$D$8,EOMONTH(F330,0)&lt;&gt;F330),IF('депозитный калькулятор'!$F$1=1,$H$24,SUM($H$23:H330)-SUM($I$23:I329)),IF(AND('депозитный калькулятор'!$G$10="ежемесячное (в конце месяца)",EOMONTH(F330,0)=F330),SUM($H$23:H330)-SUM($I$23:I329),IF(AND('депозитный калькулятор'!$G$10="ежемесячное (по дням открытия вклада)",F330='депозитный калькулятор'!$D$8,DAY('депозитный калькулятор'!$D$7)&lt;&gt;DAY(F330)),IF('депозитный калькулятор'!$F$1=1,$H$24,SUM($H$23:H330)-SUM($I$23:I329)),IF(AND('депозитный калькулятор'!$G$10="ежемесячное (по дням открытия вклада)",DAY('депозитный калькулятор'!$D$7)=DAY(F330)),SUM($H$23:H330)-SUM($I$23:I329),IF(AND('депозитный калькулятор'!$G$10="ежемесячное, на минимальную сумму зафиксированную в течение месяца",F330='депозитный калькулятор'!$D$8,EOMONTH(F330,0)&lt;&gt;F330),IF('депозитный калькулятор'!$F$1=1,$H$24,IF(AND(OR('депозитный калькулятор'!$G$7="30/365",'депозитный калькулятор'!$G$7="30/360"),DAY(F330)=31),0,MIN(OFFSET(H330,-E330+1,0):H330)*(E330+SUMIF(OFFSET(A330,-E330+1,0):A330,"=2",OFFSET(A330,-E330+1,0):A330)))),IF(AND('депозитный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калькулятор'!$G$7="30/360"),DAY(EOMONTH(F330,0))=31),EOMONTH(F330,0)-1=F330,EOMONTH(F330,0)=F330)),IF(IF(AND(OR('депозитный калькулятор'!$G$7="30/365",'депозитный калькулятор'!$G$7="30/360"),DAY(EOMONTH($F$23,0))=31),F330=EOMONTH($F$23,0)-1,F330=EOMONTH($F$23,0)),MIN(OFFSET(H330,-(DAY(F330)-DAY($F$23)),0):H330)*E330,MIN(OFFSET(H330,-(DAY(F330)-1),0):H330)*IF(AND(OR('депозитный калькулятор'!$G$7="30/365",'депозитный калькулятор'!$G$7="30/360"),DAY(F330)&lt;30),30,DAY(F330))),IF(AND('депозитный калькулятор'!$G$10="ежемесячное, на средний остаток в течение месяца, при условии что остаток больше чем ограничение",F330='депозитный калькулятор'!$D$8,EOMONTH(F330,0)&lt;&gt;F330),IF('депозитный калькулятор'!$F$1=1,$H$24,SUM(OFFSET(Q330,-E330+1,0):Q330)),IF(AND('депозитный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калькулятор'!$G$7="30/360"),DAY(EOMONTH(F330,0))=31),EOMONTH(F330,0)-1=F330,EOMONTH(F330,0)=F330)),IF(IF(AND(OR('депозитный калькулятор'!$G$7="30/365",'депозитный калькулятор'!$G$7="30/360"),DAY(EOMONTH($F$24,0))=31),F330=EOMONTH($F$24,0)-1,F330=EOMONTH($F$24,0)),SUM(OFFSET(Q330,-E330+1,0):Q330),SUM(OFFSET(Q330,-E330+1,0):Q330)),IF('депозитный калькулятор'!$G$10="ежеквартальное",IF(F330&gt;'депозитный калькулятор'!$D$8," ",IF(AND(EOMONTH(F330,0)=F330,OR(MONTH(F330)=3,MONTH(F330)=6,MONTH(F330)=9,MONTH(F330)=12)),IF(EDATE(F330,-3)&lt;'депозитный калькулятор'!$D$7,SUM($H$23:H330),IF(MOD(YEAR(F330),4)=0,IF(AND(EOMONTH(F330,0)=F330,OR(MONTH(F330)=3,MONTH(F330)=6)),SUM(OFFSET(H330,-90,0):H330),IF(AND(EOMONTH(F330,0)=F330,OR(MONTH(F330)=9,MONTH(F330)=12)),SUM(OFFSET(H330,-91,0):H330))),IF(AND(EOMONTH(F330,0)=F330,MONTH(F330)=3),SUM(OFFSET(H330,-89,0):H330),IF(AND(EOMONTH(F330,0)=F330,MONTH(F330)=6),SUM(OFFSET(H330,-90,0):H330),IF(AND(EOMONTH(F330,0)=F330,OR(MONTH(F330)=9,MONTH(F330)=12)),SUM(OFFSET(H330,-91,0):H330)))))),IF(F330='депозитный калькулятор'!$D$8,SUM($H$23:H330)-SUM($I$23:I329),0))),IF('депозитный калькулятор'!$G$10="ежегодное",IF(F330&gt;'депозитный калькулятор'!$D$8," ",IF(F330='депозитный калькулятор'!$D$8,SUM($H$23:H330)-SUM($I$23:I329),IF(AND(EOMONTH(F330,0)=F330,MONTH(F330)=12),IF(MOD(YEAR(F329),4)=0,IF(F330-'депозитный калькулятор'!$D$7&lt;366,SUM($H$23:H330),SUM(OFFSET(H330,-365,0):H330)),IF(F330-'депозитный калькулятор'!$D$7&lt;365,SUM($H$23:H330),SUM(OFFSET(H330,-364,0):H330))),0))),IF(AND('депозитный калькулятор'!$G$10="в конце срока",'депозитный калькулятор'!$D$8=F330),SUM($H$23:H330),0))))))))))))))))))</f>
        <v xml:space="preserve"> </v>
      </c>
      <c r="J330" s="59" t="str">
        <f>IF(F330&gt;'депозитный калькулятор'!$D$8," ",IF('депозитный калькулятор'!$G$16="нет",0,IF(AND('депозитный калькулятор'!$G$17="разовая (в конце срока)",F330='депозитный калькулятор'!$D$8),'депозитный калькулятор'!$G$18,IF(AND('депозитный калькулятор'!$G$17="ежемесячная",EOMONTH(F329,0)=F329),'депозитный калькулятор'!$G$18,IF(AND('депозитный калькулятор'!$G$17="ежегодная",DAY(F329)=31,MONTH(F329)=12),'депозитный калькулятор'!$G$18,IF(AND('депозитный калькулятор'!$G$17="ежемесячная в зависимости от остатка",EOMONTH(F329,0)=F329,P329&gt;0),'депозитный калькулятор'!$G$18,IF(AND('депозитный калькулятор'!$G$17="ежегодная в зависимости от остатка",DAY(F329)=31,MONTH(F329)=12,P329&gt;0),'депозитный калькулятор'!$G$18,0)))))))</f>
        <v xml:space="preserve"> </v>
      </c>
      <c r="K330" s="135" t="str">
        <f>IF($F330=" "," ",IFERROR(VLOOKUP($F330,'депозитный калькулятор'!$B$26:$F$70,2,0),0))</f>
        <v xml:space="preserve"> </v>
      </c>
      <c r="L330" s="135" t="str">
        <f>IF($F330=" "," ",IFERROR(VLOOKUP($F330,'депозитный калькулятор'!$B$26:$F$70,3,0),0))</f>
        <v xml:space="preserve"> </v>
      </c>
      <c r="M330" s="135" t="str">
        <f>IF($F330=" "," ",IFERROR(VLOOKUP($F330,'депозитный калькулятор'!$B$26:$F$70,4,0),0))</f>
        <v xml:space="preserve"> </v>
      </c>
      <c r="N330" s="135" t="str">
        <f>IF($F330=" "," ",IFERROR(VLOOKUP($F330,'депозитный калькулятор'!$B$26:$F$70,5,0),0))</f>
        <v xml:space="preserve"> </v>
      </c>
      <c r="O330" s="146" t="str">
        <f>IF(F330&gt;'депозитный калькулятор'!$D$8," ",IF(F330='депозитный калькулятор'!$D$8,IF(AND($F$24='депозитный калькулятор'!$D$8,'депозитный калькулятор'!$G$13="нет"),-G330-IF(I330=" ",0,I330)-IF(AND(OR('депозитный калькулятор'!$G$7="30/365",'депозитный калькулятор'!$G$7="30/360"),'депозитный калькулятор'!$G$10="в начале срока"),I329,0)-L330+M330-N330,-G330-IF(I330=" ",0,I330)-L330+M330-N330),IF('депозитный калькулятор'!$G$13="есть",M330-N330+IF('депозитный калькулятор'!$G$14="есть",0,-L330),-IF(I330=" ",0,I330)-IF(AND(OR('депозитный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срока"),I329,0)+M330-N330+IF('депозитный калькулятор'!$G$14="есть",0,-L330))))</f>
        <v xml:space="preserve"> </v>
      </c>
      <c r="P330" s="147" t="str">
        <f>IF(F330&gt;'депозитный калькулятор'!$D$8," ",IF(EOMONTH(F329,0)=F329,0,IF(G330&gt;='депозитный калькулятор'!$G$19,P329,P329+1)))</f>
        <v xml:space="preserve"> </v>
      </c>
      <c r="Q330" s="138" t="str">
        <f>IF(F330=" "," ",IF(AND(OR('депозитный калькулятор'!$G$7="30/365",'депозитный калькулятор'!$G$7="30/360"),AND(MONTH(F330)=2,EOMONTH(F330,0)=F330)),IF(DAY(F330)=28,3,2),1)*IF(G330&gt;='депозитный калькулятор'!$G$11,IF(AND('депозитный калькулятор'!$G$7="факт/факт",MOD(YEAR(F330),4)=0),G330*'депозитный калькулятор'!$D$11/366,G330*'депозитный калькулятор'!$G$8),0))</f>
        <v xml:space="preserve"> </v>
      </c>
      <c r="R330" s="148"/>
      <c r="S330" s="62" t="str">
        <f t="shared" ca="1" si="22"/>
        <v xml:space="preserve"> </v>
      </c>
      <c r="T330" s="149" t="str">
        <f ca="1">IF(S330=" "," ",IF('депозитный калькулятор'!$G$7="30/360",DAYS360(U329,IF(DAY(U330)=31,U330-1,U330))+IF(AND(MONTH(U330)=2,U330=EOMONTH(U330,0)),30-DAY(EOMONTH(U330,0)))+T329,VLOOKUP(S330,$C$22:$F$1023,2,0)))</f>
        <v xml:space="preserve"> </v>
      </c>
      <c r="U330" s="64" t="str">
        <f t="shared" ca="1" si="20"/>
        <v xml:space="preserve"> </v>
      </c>
      <c r="V330" s="150" t="str">
        <f t="shared" ca="1" si="23"/>
        <v xml:space="preserve"> </v>
      </c>
      <c r="W330" s="62" t="str">
        <f t="shared" ca="1" si="24"/>
        <v xml:space="preserve"> </v>
      </c>
      <c r="X330" s="141" t="str">
        <f ca="1">IF(S330=" "," ",IFERROR(VLOOKUP(U330,$F$23:$N$1023,7)+VLOOKUP(U330,$F$23:$N$1023,9)+IF(AND('депозитный калькулятор'!$G$13="нет",U330&lt;&gt;'депозитный калькулятор'!$D$8),VLOOKUP(U330,$F$23:$N$1023,4),0),0)+IF(U330='депозитный калькулятор'!$D$8,VLOOKUP(U330,$F$23:$N$1023,2)+VLOOKUP(U330,$F$23:$N$1023,4),0))</f>
        <v xml:space="preserve"> </v>
      </c>
      <c r="Y330" s="142" t="str">
        <f ca="1">IF(S330=" "," ",W330/(1+'депозитный калькулятор'!$K$8)^(T330/IF('депозитный калькулятор'!$G$7="30/360",360,365)))</f>
        <v xml:space="preserve"> </v>
      </c>
      <c r="Z330" s="142" t="str">
        <f ca="1">IF(S330=" "," ",X330/(1+'депозитный калькулятор'!$K$8)^(T330/IF('депозитный калькулятор'!$G$7="30/360",360,365)))</f>
        <v xml:space="preserve"> </v>
      </c>
      <c r="AA330" s="151"/>
      <c r="AB330" s="151"/>
      <c r="AC330" s="155"/>
      <c r="AD330" s="155"/>
    </row>
    <row r="331" spans="1:30" s="2" customFormat="1" ht="15.5" x14ac:dyDescent="0.35">
      <c r="A331" s="41" t="str">
        <f>IF(F331=" "," ",IF(OR('депозитный калькулятор'!$G$7="30/365",'депозитный калькулятор'!$G$7="30/360"),IF(AND(MONTH(F331)=2,DAY(F331)=DAY(EOMONTH(F331,0))),30-DAY(EOMONTH(F331,0)),IF(DAY(F331)=31,1," "))," "))</f>
        <v xml:space="preserve"> </v>
      </c>
      <c r="B331" s="130" t="str">
        <f t="shared" si="21"/>
        <v xml:space="preserve"> </v>
      </c>
      <c r="C331" s="130" t="str">
        <f>IF(OR(B331=0,B331=" ")," ",SUM($B$23:B331))</f>
        <v xml:space="preserve"> </v>
      </c>
      <c r="D331" s="62" t="str">
        <f>IF(D330=" "," ",IF(OR(F330='депозитный калькулятор'!$D$8,F330=" ")," ",D330+1))</f>
        <v xml:space="preserve"> </v>
      </c>
      <c r="E331" s="130" t="str">
        <f>IF(OR(F330='депозитный калькулятор'!$D$8,F330=" ")," ",IF(EOMONTH(F330,0)=F330,1,E330+1))</f>
        <v xml:space="preserve"> </v>
      </c>
      <c r="F331" s="64" t="str">
        <f>IF(F330=" "," ",IF(F330='депозитный калькулятор'!$D$8," ",F330+1))</f>
        <v xml:space="preserve"> </v>
      </c>
      <c r="G331" s="145" t="str">
        <f xml:space="preserve"> IF(F331&gt;'депозитный калькулятор'!$D$8," ",IF('депозитный калькулятор'!$G$13="есть",IF('депозитный калькулятор'!$G$14="есть",G330+IF(I330=" ",0,I330)-J331-K331+L331+M331-N331,G330+IF(I330=" ",0,I330)-J331-K331+M331-N331),IF('депозитный калькулятор'!$G$14="есть",G330-J331-K331+L331+M331-N331,G330-J331-K331+M331-N331)))</f>
        <v xml:space="preserve"> </v>
      </c>
      <c r="H331" s="133" t="str">
        <f>IF(F331&gt;'депозитный калькулятор'!$D$8," ",IF(AND(OR('депозитный калькулятор'!$G$7="30/365",'депозитный калькулятор'!$G$7="30/360"),AND(MONTH(F331)=2,EOMONTH(F331,0)=F331)),IF(DAY(F331)=28,3*G331*'депозитный калькулятор'!$G$8,2*G331*'депозитный калькулятор'!$G$8),IF(AND(OR('депозитный калькулятор'!$G$7="30/365",'депозитный калькулятор'!$G$7="30/360"),DAY(F331)=31)," ",IF(AND('депозитный калькулятор'!$G$7="факт/факт",MOD(YEAR(F331),4)=0),G331*'депозитный калькулятор'!$D$11/366,G331*'депозитный калькулятор'!$G$8))))</f>
        <v xml:space="preserve"> </v>
      </c>
      <c r="I331" s="134" t="str">
        <f ca="1">IF(F331=" "," ",IF('депозитный калькулятор'!$G$10="ежедневное",H331,IF(AND('депозитный калькулятор'!$G$10="еженедельное",WEEKDAY(F331,2)=7),SUM(OFFSET(H331,-6,0):H331),IF(AND('депозитный калькулятор'!$G$10="еженедельное",F331='депозитный калькулятор'!$D$8),SUM($H$23:H331)-SUM($I$23:I330),IF(AND('депозитный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недели",WEEKDAY(F331,2)=7),MIN(OFFSET(H331,-6,0):H331)*(COUNTIF(OFFSET(H331,-6,0):H331,"&gt;0")+SUMIF(OFFSET(A331,-WEEKDAY(F331,2),0):A331,"=2",OFFSET(A331,-WEEKDAY(F331,2),0):A331)),IF(AND('депозитный калькулятор'!$G$10="еженедельное, на минимальную сумму зафиксированную в течение недели",F331='депозитный калькулятор'!$D$8,WEEKDAY(F331,2)&lt;&gt;7),MIN(OFFSET(H331,-WEEKDAY(F331,2),0):H331)*(COUNTIF(OFFSET(H331,-WEEKDAY(F331,2)+1,0):H331,"&gt;0")+SUM(OFFSET(A331,-WEEKDAY(F331,2),0):A331)),IF(AND('депозитный калькулятор'!$G$10="ежемесячное (в конце месяца)",F331='депозитный калькулятор'!$D$8,EOMONTH(F331,0)&lt;&gt;F331),IF('депозитный калькулятор'!$F$1=1,$H$24,SUM($H$23:H331)-SUM($I$23:I330)),IF(AND('депозитный калькулятор'!$G$10="ежемесячное (в конце месяца)",EOMONTH(F331,0)=F331),SUM($H$23:H331)-SUM($I$23:I330),IF(AND('депозитный калькулятор'!$G$10="ежемесячное (по дням открытия вклада)",F331='депозитный калькулятор'!$D$8,DAY('депозитный калькулятор'!$D$7)&lt;&gt;DAY(F331)),IF('депозитный калькулятор'!$F$1=1,$H$24,SUM($H$23:H331)-SUM($I$23:I330)),IF(AND('депозитный калькулятор'!$G$10="ежемесячное (по дням открытия вклада)",DAY('депозитный калькулятор'!$D$7)=DAY(F331)),SUM($H$23:H331)-SUM($I$23:I330),IF(AND('депозитный калькулятор'!$G$10="ежемесячное, на минимальную сумму зафиксированную в течение месяца",F331='депозитный калькулятор'!$D$8,EOMONTH(F331,0)&lt;&gt;F331),IF('депозитный калькулятор'!$F$1=1,$H$24,IF(AND(OR('депозитный калькулятор'!$G$7="30/365",'депозитный калькулятор'!$G$7="30/360"),DAY(F331)=31),0,MIN(OFFSET(H331,-E331+1,0):H331)*(E331+SUMIF(OFFSET(A331,-E331+1,0):A331,"=2",OFFSET(A331,-E331+1,0):A331)))),IF(AND('депозитный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калькулятор'!$G$7="30/360"),DAY(EOMONTH(F331,0))=31),EOMONTH(F331,0)-1=F331,EOMONTH(F331,0)=F331)),IF(IF(AND(OR('депозитный калькулятор'!$G$7="30/365",'депозитный калькулятор'!$G$7="30/360"),DAY(EOMONTH($F$23,0))=31),F331=EOMONTH($F$23,0)-1,F331=EOMONTH($F$23,0)),MIN(OFFSET(H331,-(DAY(F331)-DAY($F$23)),0):H331)*E331,MIN(OFFSET(H331,-(DAY(F331)-1),0):H331)*IF(AND(OR('депозитный калькулятор'!$G$7="30/365",'депозитный калькулятор'!$G$7="30/360"),DAY(F331)&lt;30),30,DAY(F331))),IF(AND('депозитный калькулятор'!$G$10="ежемесячное, на средний остаток в течение месяца, при условии что остаток больше чем ограничение",F331='депозитный калькулятор'!$D$8,EOMONTH(F331,0)&lt;&gt;F331),IF('депозитный калькулятор'!$F$1=1,$H$24,SUM(OFFSET(Q331,-E331+1,0):Q331)),IF(AND('депозитный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калькулятор'!$G$7="30/360"),DAY(EOMONTH(F331,0))=31),EOMONTH(F331,0)-1=F331,EOMONTH(F331,0)=F331)),IF(IF(AND(OR('депозитный калькулятор'!$G$7="30/365",'депозитный калькулятор'!$G$7="30/360"),DAY(EOMONTH($F$24,0))=31),F331=EOMONTH($F$24,0)-1,F331=EOMONTH($F$24,0)),SUM(OFFSET(Q331,-E331+1,0):Q331),SUM(OFFSET(Q331,-E331+1,0):Q331)),IF('депозитный калькулятор'!$G$10="ежеквартальное",IF(F331&gt;'депозитный калькулятор'!$D$8," ",IF(AND(EOMONTH(F331,0)=F331,OR(MONTH(F331)=3,MONTH(F331)=6,MONTH(F331)=9,MONTH(F331)=12)),IF(EDATE(F331,-3)&lt;'депозитный калькулятор'!$D$7,SUM($H$23:H331),IF(MOD(YEAR(F331),4)=0,IF(AND(EOMONTH(F331,0)=F331,OR(MONTH(F331)=3,MONTH(F331)=6)),SUM(OFFSET(H331,-90,0):H331),IF(AND(EOMONTH(F331,0)=F331,OR(MONTH(F331)=9,MONTH(F331)=12)),SUM(OFFSET(H331,-91,0):H331))),IF(AND(EOMONTH(F331,0)=F331,MONTH(F331)=3),SUM(OFFSET(H331,-89,0):H331),IF(AND(EOMONTH(F331,0)=F331,MONTH(F331)=6),SUM(OFFSET(H331,-90,0):H331),IF(AND(EOMONTH(F331,0)=F331,OR(MONTH(F331)=9,MONTH(F331)=12)),SUM(OFFSET(H331,-91,0):H331)))))),IF(F331='депозитный калькулятор'!$D$8,SUM($H$23:H331)-SUM($I$23:I330),0))),IF('депозитный калькулятор'!$G$10="ежегодное",IF(F331&gt;'депозитный калькулятор'!$D$8," ",IF(F331='депозитный калькулятор'!$D$8,SUM($H$23:H331)-SUM($I$23:I330),IF(AND(EOMONTH(F331,0)=F331,MONTH(F331)=12),IF(MOD(YEAR(F330),4)=0,IF(F331-'депозитный калькулятор'!$D$7&lt;366,SUM($H$23:H331),SUM(OFFSET(H331,-365,0):H331)),IF(F331-'депозитный калькулятор'!$D$7&lt;365,SUM($H$23:H331),SUM(OFFSET(H331,-364,0):H331))),0))),IF(AND('депозитный калькулятор'!$G$10="в конце срока",'депозитный калькулятор'!$D$8=F331),SUM($H$23:H331),0))))))))))))))))))</f>
        <v xml:space="preserve"> </v>
      </c>
      <c r="J331" s="59" t="str">
        <f>IF(F331&gt;'депозитный калькулятор'!$D$8," ",IF('депозитный калькулятор'!$G$16="нет",0,IF(AND('депозитный калькулятор'!$G$17="разовая (в конце срока)",F331='депозитный калькулятор'!$D$8),'депозитный калькулятор'!$G$18,IF(AND('депозитный калькулятор'!$G$17="ежемесячная",EOMONTH(F330,0)=F330),'депозитный калькулятор'!$G$18,IF(AND('депозитный калькулятор'!$G$17="ежегодная",DAY(F330)=31,MONTH(F330)=12),'депозитный калькулятор'!$G$18,IF(AND('депозитный калькулятор'!$G$17="ежемесячная в зависимости от остатка",EOMONTH(F330,0)=F330,P330&gt;0),'депозитный калькулятор'!$G$18,IF(AND('депозитный калькулятор'!$G$17="ежегодная в зависимости от остатка",DAY(F330)=31,MONTH(F330)=12,P330&gt;0),'депозитный калькулятор'!$G$18,0)))))))</f>
        <v xml:space="preserve"> </v>
      </c>
      <c r="K331" s="135" t="str">
        <f>IF($F331=" "," ",IFERROR(VLOOKUP($F331,'депозитный калькулятор'!$B$26:$F$70,2,0),0))</f>
        <v xml:space="preserve"> </v>
      </c>
      <c r="L331" s="135" t="str">
        <f>IF($F331=" "," ",IFERROR(VLOOKUP($F331,'депозитный калькулятор'!$B$26:$F$70,3,0),0))</f>
        <v xml:space="preserve"> </v>
      </c>
      <c r="M331" s="135" t="str">
        <f>IF($F331=" "," ",IFERROR(VLOOKUP($F331,'депозитный калькулятор'!$B$26:$F$70,4,0),0))</f>
        <v xml:space="preserve"> </v>
      </c>
      <c r="N331" s="135" t="str">
        <f>IF($F331=" "," ",IFERROR(VLOOKUP($F331,'депозитный калькулятор'!$B$26:$F$70,5,0),0))</f>
        <v xml:space="preserve"> </v>
      </c>
      <c r="O331" s="146" t="str">
        <f>IF(F331&gt;'депозитный калькулятор'!$D$8," ",IF(F331='депозитный калькулятор'!$D$8,IF(AND($F$24='депозитный калькулятор'!$D$8,'депозитный калькулятор'!$G$13="нет"),-G331-IF(I331=" ",0,I331)-IF(AND(OR('депозитный калькулятор'!$G$7="30/365",'депозитный калькулятор'!$G$7="30/360"),'депозитный калькулятор'!$G$10="в начале срока"),I330,0)-L331+M331-N331,-G331-IF(I331=" ",0,I331)-L331+M331-N331),IF('депозитный калькулятор'!$G$13="есть",M331-N331+IF('депозитный калькулятор'!$G$14="есть",0,-L331),-IF(I331=" ",0,I331)-IF(AND(OR('депозитный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срока"),I330,0)+M331-N331+IF('депозитный калькулятор'!$G$14="есть",0,-L331))))</f>
        <v xml:space="preserve"> </v>
      </c>
      <c r="P331" s="147" t="str">
        <f>IF(F331&gt;'депозитный калькулятор'!$D$8," ",IF(EOMONTH(F330,0)=F330,0,IF(G331&gt;='депозитный калькулятор'!$G$19,P330,P330+1)))</f>
        <v xml:space="preserve"> </v>
      </c>
      <c r="Q331" s="138" t="str">
        <f>IF(F331=" "," ",IF(AND(OR('депозитный калькулятор'!$G$7="30/365",'депозитный калькулятор'!$G$7="30/360"),AND(MONTH(F331)=2,EOMONTH(F331,0)=F331)),IF(DAY(F331)=28,3,2),1)*IF(G331&gt;='депозитный калькулятор'!$G$11,IF(AND('депозитный калькулятор'!$G$7="факт/факт",MOD(YEAR(F331),4)=0),G331*'депозитный калькулятор'!$D$11/366,G331*'депозитный калькулятор'!$G$8),0))</f>
        <v xml:space="preserve"> </v>
      </c>
      <c r="R331" s="148"/>
      <c r="S331" s="62" t="str">
        <f t="shared" ca="1" si="22"/>
        <v xml:space="preserve"> </v>
      </c>
      <c r="T331" s="149" t="str">
        <f ca="1">IF(S331=" "," ",IF('депозитный калькулятор'!$G$7="30/360",DAYS360(U330,IF(DAY(U331)=31,U331-1,U331))+IF(AND(MONTH(U331)=2,U331=EOMONTH(U331,0)),30-DAY(EOMONTH(U331,0)))+T330,VLOOKUP(S331,$C$22:$F$1023,2,0)))</f>
        <v xml:space="preserve"> </v>
      </c>
      <c r="U331" s="64" t="str">
        <f t="shared" ca="1" si="20"/>
        <v xml:space="preserve"> </v>
      </c>
      <c r="V331" s="150" t="str">
        <f t="shared" ca="1" si="23"/>
        <v xml:space="preserve"> </v>
      </c>
      <c r="W331" s="62" t="str">
        <f t="shared" ca="1" si="24"/>
        <v xml:space="preserve"> </v>
      </c>
      <c r="X331" s="141" t="str">
        <f ca="1">IF(S331=" "," ",IFERROR(VLOOKUP(U331,$F$23:$N$1023,7)+VLOOKUP(U331,$F$23:$N$1023,9)+IF(AND('депозитный калькулятор'!$G$13="нет",U331&lt;&gt;'депозитный калькулятор'!$D$8),VLOOKUP(U331,$F$23:$N$1023,4),0),0)+IF(U331='депозитный калькулятор'!$D$8,VLOOKUP(U331,$F$23:$N$1023,2)+VLOOKUP(U331,$F$23:$N$1023,4),0))</f>
        <v xml:space="preserve"> </v>
      </c>
      <c r="Y331" s="142" t="str">
        <f ca="1">IF(S331=" "," ",W331/(1+'депозитный калькулятор'!$K$8)^(T331/IF('депозитный калькулятор'!$G$7="30/360",360,365)))</f>
        <v xml:space="preserve"> </v>
      </c>
      <c r="Z331" s="142" t="str">
        <f ca="1">IF(S331=" "," ",X331/(1+'депозитный калькулятор'!$K$8)^(T331/IF('депозитный калькулятор'!$G$7="30/360",360,365)))</f>
        <v xml:space="preserve"> </v>
      </c>
      <c r="AA331" s="151"/>
      <c r="AB331" s="151"/>
      <c r="AC331" s="155"/>
      <c r="AD331" s="155"/>
    </row>
    <row r="332" spans="1:30" s="2" customFormat="1" ht="15.5" x14ac:dyDescent="0.35">
      <c r="A332" s="41" t="str">
        <f>IF(F332=" "," ",IF(OR('депозитный калькулятор'!$G$7="30/365",'депозитный калькулятор'!$G$7="30/360"),IF(AND(MONTH(F332)=2,DAY(F332)=DAY(EOMONTH(F332,0))),30-DAY(EOMONTH(F332,0)),IF(DAY(F332)=31,1," "))," "))</f>
        <v xml:space="preserve"> </v>
      </c>
      <c r="B332" s="130" t="str">
        <f t="shared" si="21"/>
        <v xml:space="preserve"> </v>
      </c>
      <c r="C332" s="130" t="str">
        <f>IF(OR(B332=0,B332=" ")," ",SUM($B$23:B332))</f>
        <v xml:space="preserve"> </v>
      </c>
      <c r="D332" s="62" t="str">
        <f>IF(D331=" "," ",IF(OR(F331='депозитный калькулятор'!$D$8,F331=" ")," ",D331+1))</f>
        <v xml:space="preserve"> </v>
      </c>
      <c r="E332" s="130" t="str">
        <f>IF(OR(F331='депозитный калькулятор'!$D$8,F331=" ")," ",IF(EOMONTH(F331,0)=F331,1,E331+1))</f>
        <v xml:space="preserve"> </v>
      </c>
      <c r="F332" s="64" t="str">
        <f>IF(F331=" "," ",IF(F331='депозитный калькулятор'!$D$8," ",F331+1))</f>
        <v xml:space="preserve"> </v>
      </c>
      <c r="G332" s="145" t="str">
        <f xml:space="preserve"> IF(F332&gt;'депозитный калькулятор'!$D$8," ",IF('депозитный калькулятор'!$G$13="есть",IF('депозитный калькулятор'!$G$14="есть",G331+IF(I331=" ",0,I331)-J332-K332+L332+M332-N332,G331+IF(I331=" ",0,I331)-J332-K332+M332-N332),IF('депозитный калькулятор'!$G$14="есть",G331-J332-K332+L332+M332-N332,G331-J332-K332+M332-N332)))</f>
        <v xml:space="preserve"> </v>
      </c>
      <c r="H332" s="133" t="str">
        <f>IF(F332&gt;'депозитный калькулятор'!$D$8," ",IF(AND(OR('депозитный калькулятор'!$G$7="30/365",'депозитный калькулятор'!$G$7="30/360"),AND(MONTH(F332)=2,EOMONTH(F332,0)=F332)),IF(DAY(F332)=28,3*G332*'депозитный калькулятор'!$G$8,2*G332*'депозитный калькулятор'!$G$8),IF(AND(OR('депозитный калькулятор'!$G$7="30/365",'депозитный калькулятор'!$G$7="30/360"),DAY(F332)=31)," ",IF(AND('депозитный калькулятор'!$G$7="факт/факт",MOD(YEAR(F332),4)=0),G332*'депозитный калькулятор'!$D$11/366,G332*'депозитный калькулятор'!$G$8))))</f>
        <v xml:space="preserve"> </v>
      </c>
      <c r="I332" s="134" t="str">
        <f ca="1">IF(F332=" "," ",IF('депозитный калькулятор'!$G$10="ежедневное",H332,IF(AND('депозитный калькулятор'!$G$10="еженедельное",WEEKDAY(F332,2)=7),SUM(OFFSET(H332,-6,0):H332),IF(AND('депозитный калькулятор'!$G$10="еженедельное",F332='депозитный калькулятор'!$D$8),SUM($H$23:H332)-SUM($I$23:I331),IF(AND('депозитный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недели",WEEKDAY(F332,2)=7),MIN(OFFSET(H332,-6,0):H332)*(COUNTIF(OFFSET(H332,-6,0):H332,"&gt;0")+SUMIF(OFFSET(A332,-WEEKDAY(F332,2),0):A332,"=2",OFFSET(A332,-WEEKDAY(F332,2),0):A332)),IF(AND('депозитный калькулятор'!$G$10="еженедельное, на минимальную сумму зафиксированную в течение недели",F332='депозитный калькулятор'!$D$8,WEEKDAY(F332,2)&lt;&gt;7),MIN(OFFSET(H332,-WEEKDAY(F332,2),0):H332)*(COUNTIF(OFFSET(H332,-WEEKDAY(F332,2)+1,0):H332,"&gt;0")+SUM(OFFSET(A332,-WEEKDAY(F332,2),0):A332)),IF(AND('депозитный калькулятор'!$G$10="ежемесячное (в конце месяца)",F332='депозитный калькулятор'!$D$8,EOMONTH(F332,0)&lt;&gt;F332),IF('депозитный калькулятор'!$F$1=1,$H$24,SUM($H$23:H332)-SUM($I$23:I331)),IF(AND('депозитный калькулятор'!$G$10="ежемесячное (в конце месяца)",EOMONTH(F332,0)=F332),SUM($H$23:H332)-SUM($I$23:I331),IF(AND('депозитный калькулятор'!$G$10="ежемесячное (по дням открытия вклада)",F332='депозитный калькулятор'!$D$8,DAY('депозитный калькулятор'!$D$7)&lt;&gt;DAY(F332)),IF('депозитный калькулятор'!$F$1=1,$H$24,SUM($H$23:H332)-SUM($I$23:I331)),IF(AND('депозитный калькулятор'!$G$10="ежемесячное (по дням открытия вклада)",DAY('депозитный калькулятор'!$D$7)=DAY(F332)),SUM($H$23:H332)-SUM($I$23:I331),IF(AND('депозитный калькулятор'!$G$10="ежемесячное, на минимальную сумму зафиксированную в течение месяца",F332='депозитный калькулятор'!$D$8,EOMONTH(F332,0)&lt;&gt;F332),IF('депозитный калькулятор'!$F$1=1,$H$24,IF(AND(OR('депозитный калькулятор'!$G$7="30/365",'депозитный калькулятор'!$G$7="30/360"),DAY(F332)=31),0,MIN(OFFSET(H332,-E332+1,0):H332)*(E332+SUMIF(OFFSET(A332,-E332+1,0):A332,"=2",OFFSET(A332,-E332+1,0):A332)))),IF(AND('депозитный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калькулятор'!$G$7="30/360"),DAY(EOMONTH(F332,0))=31),EOMONTH(F332,0)-1=F332,EOMONTH(F332,0)=F332)),IF(IF(AND(OR('депозитный калькулятор'!$G$7="30/365",'депозитный калькулятор'!$G$7="30/360"),DAY(EOMONTH($F$23,0))=31),F332=EOMONTH($F$23,0)-1,F332=EOMONTH($F$23,0)),MIN(OFFSET(H332,-(DAY(F332)-DAY($F$23)),0):H332)*E332,MIN(OFFSET(H332,-(DAY(F332)-1),0):H332)*IF(AND(OR('депозитный калькулятор'!$G$7="30/365",'депозитный калькулятор'!$G$7="30/360"),DAY(F332)&lt;30),30,DAY(F332))),IF(AND('депозитный калькулятор'!$G$10="ежемесячное, на средний остаток в течение месяца, при условии что остаток больше чем ограничение",F332='депозитный калькулятор'!$D$8,EOMONTH(F332,0)&lt;&gt;F332),IF('депозитный калькулятор'!$F$1=1,$H$24,SUM(OFFSET(Q332,-E332+1,0):Q332)),IF(AND('депозитный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калькулятор'!$G$7="30/360"),DAY(EOMONTH(F332,0))=31),EOMONTH(F332,0)-1=F332,EOMONTH(F332,0)=F332)),IF(IF(AND(OR('депозитный калькулятор'!$G$7="30/365",'депозитный калькулятор'!$G$7="30/360"),DAY(EOMONTH($F$24,0))=31),F332=EOMONTH($F$24,0)-1,F332=EOMONTH($F$24,0)),SUM(OFFSET(Q332,-E332+1,0):Q332),SUM(OFFSET(Q332,-E332+1,0):Q332)),IF('депозитный калькулятор'!$G$10="ежеквартальное",IF(F332&gt;'депозитный калькулятор'!$D$8," ",IF(AND(EOMONTH(F332,0)=F332,OR(MONTH(F332)=3,MONTH(F332)=6,MONTH(F332)=9,MONTH(F332)=12)),IF(EDATE(F332,-3)&lt;'депозитный калькулятор'!$D$7,SUM($H$23:H332),IF(MOD(YEAR(F332),4)=0,IF(AND(EOMONTH(F332,0)=F332,OR(MONTH(F332)=3,MONTH(F332)=6)),SUM(OFFSET(H332,-90,0):H332),IF(AND(EOMONTH(F332,0)=F332,OR(MONTH(F332)=9,MONTH(F332)=12)),SUM(OFFSET(H332,-91,0):H332))),IF(AND(EOMONTH(F332,0)=F332,MONTH(F332)=3),SUM(OFFSET(H332,-89,0):H332),IF(AND(EOMONTH(F332,0)=F332,MONTH(F332)=6),SUM(OFFSET(H332,-90,0):H332),IF(AND(EOMONTH(F332,0)=F332,OR(MONTH(F332)=9,MONTH(F332)=12)),SUM(OFFSET(H332,-91,0):H332)))))),IF(F332='депозитный калькулятор'!$D$8,SUM($H$23:H332)-SUM($I$23:I331),0))),IF('депозитный калькулятор'!$G$10="ежегодное",IF(F332&gt;'депозитный калькулятор'!$D$8," ",IF(F332='депозитный калькулятор'!$D$8,SUM($H$23:H332)-SUM($I$23:I331),IF(AND(EOMONTH(F332,0)=F332,MONTH(F332)=12),IF(MOD(YEAR(F331),4)=0,IF(F332-'депозитный калькулятор'!$D$7&lt;366,SUM($H$23:H332),SUM(OFFSET(H332,-365,0):H332)),IF(F332-'депозитный калькулятор'!$D$7&lt;365,SUM($H$23:H332),SUM(OFFSET(H332,-364,0):H332))),0))),IF(AND('депозитный калькулятор'!$G$10="в конце срока",'депозитный калькулятор'!$D$8=F332),SUM($H$23:H332),0))))))))))))))))))</f>
        <v xml:space="preserve"> </v>
      </c>
      <c r="J332" s="59" t="str">
        <f>IF(F332&gt;'депозитный калькулятор'!$D$8," ",IF('депозитный калькулятор'!$G$16="нет",0,IF(AND('депозитный калькулятор'!$G$17="разовая (в конце срока)",F332='депозитный калькулятор'!$D$8),'депозитный калькулятор'!$G$18,IF(AND('депозитный калькулятор'!$G$17="ежемесячная",EOMONTH(F331,0)=F331),'депозитный калькулятор'!$G$18,IF(AND('депозитный калькулятор'!$G$17="ежегодная",DAY(F331)=31,MONTH(F331)=12),'депозитный калькулятор'!$G$18,IF(AND('депозитный калькулятор'!$G$17="ежемесячная в зависимости от остатка",EOMONTH(F331,0)=F331,P331&gt;0),'депозитный калькулятор'!$G$18,IF(AND('депозитный калькулятор'!$G$17="ежегодная в зависимости от остатка",DAY(F331)=31,MONTH(F331)=12,P331&gt;0),'депозитный калькулятор'!$G$18,0)))))))</f>
        <v xml:space="preserve"> </v>
      </c>
      <c r="K332" s="135" t="str">
        <f>IF($F332=" "," ",IFERROR(VLOOKUP($F332,'депозитный калькулятор'!$B$26:$F$70,2,0),0))</f>
        <v xml:space="preserve"> </v>
      </c>
      <c r="L332" s="135" t="str">
        <f>IF($F332=" "," ",IFERROR(VLOOKUP($F332,'депозитный калькулятор'!$B$26:$F$70,3,0),0))</f>
        <v xml:space="preserve"> </v>
      </c>
      <c r="M332" s="135" t="str">
        <f>IF($F332=" "," ",IFERROR(VLOOKUP($F332,'депозитный калькулятор'!$B$26:$F$70,4,0),0))</f>
        <v xml:space="preserve"> </v>
      </c>
      <c r="N332" s="135" t="str">
        <f>IF($F332=" "," ",IFERROR(VLOOKUP($F332,'депозитный калькулятор'!$B$26:$F$70,5,0),0))</f>
        <v xml:space="preserve"> </v>
      </c>
      <c r="O332" s="146" t="str">
        <f>IF(F332&gt;'депозитный калькулятор'!$D$8," ",IF(F332='депозитный калькулятор'!$D$8,IF(AND($F$24='депозитный калькулятор'!$D$8,'депозитный калькулятор'!$G$13="нет"),-G332-IF(I332=" ",0,I332)-IF(AND(OR('депозитный калькулятор'!$G$7="30/365",'депозитный калькулятор'!$G$7="30/360"),'депозитный калькулятор'!$G$10="в начале срока"),I331,0)-L332+M332-N332,-G332-IF(I332=" ",0,I332)-L332+M332-N332),IF('депозитный калькулятор'!$G$13="есть",M332-N332+IF('депозитный калькулятор'!$G$14="есть",0,-L332),-IF(I332=" ",0,I332)-IF(AND(OR('депозитный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срока"),I331,0)+M332-N332+IF('депозитный калькулятор'!$G$14="есть",0,-L332))))</f>
        <v xml:space="preserve"> </v>
      </c>
      <c r="P332" s="147" t="str">
        <f>IF(F332&gt;'депозитный калькулятор'!$D$8," ",IF(EOMONTH(F331,0)=F331,0,IF(G332&gt;='депозитный калькулятор'!$G$19,P331,P331+1)))</f>
        <v xml:space="preserve"> </v>
      </c>
      <c r="Q332" s="138" t="str">
        <f>IF(F332=" "," ",IF(AND(OR('депозитный калькулятор'!$G$7="30/365",'депозитный калькулятор'!$G$7="30/360"),AND(MONTH(F332)=2,EOMONTH(F332,0)=F332)),IF(DAY(F332)=28,3,2),1)*IF(G332&gt;='депозитный калькулятор'!$G$11,IF(AND('депозитный калькулятор'!$G$7="факт/факт",MOD(YEAR(F332),4)=0),G332*'депозитный калькулятор'!$D$11/366,G332*'депозитный калькулятор'!$G$8),0))</f>
        <v xml:space="preserve"> </v>
      </c>
      <c r="R332" s="148"/>
      <c r="S332" s="62" t="str">
        <f t="shared" ca="1" si="22"/>
        <v xml:space="preserve"> </v>
      </c>
      <c r="T332" s="149" t="str">
        <f ca="1">IF(S332=" "," ",IF('депозитный калькулятор'!$G$7="30/360",DAYS360(U331,IF(DAY(U332)=31,U332-1,U332))+IF(AND(MONTH(U332)=2,U332=EOMONTH(U332,0)),30-DAY(EOMONTH(U332,0)))+T331,VLOOKUP(S332,$C$22:$F$1023,2,0)))</f>
        <v xml:space="preserve"> </v>
      </c>
      <c r="U332" s="64" t="str">
        <f t="shared" ca="1" si="20"/>
        <v xml:space="preserve"> </v>
      </c>
      <c r="V332" s="150" t="str">
        <f t="shared" ca="1" si="23"/>
        <v xml:space="preserve"> </v>
      </c>
      <c r="W332" s="62" t="str">
        <f t="shared" ca="1" si="24"/>
        <v xml:space="preserve"> </v>
      </c>
      <c r="X332" s="141" t="str">
        <f ca="1">IF(S332=" "," ",IFERROR(VLOOKUP(U332,$F$23:$N$1023,7)+VLOOKUP(U332,$F$23:$N$1023,9)+IF(AND('депозитный калькулятор'!$G$13="нет",U332&lt;&gt;'депозитный калькулятор'!$D$8),VLOOKUP(U332,$F$23:$N$1023,4),0),0)+IF(U332='депозитный калькулятор'!$D$8,VLOOKUP(U332,$F$23:$N$1023,2)+VLOOKUP(U332,$F$23:$N$1023,4),0))</f>
        <v xml:space="preserve"> </v>
      </c>
      <c r="Y332" s="142" t="str">
        <f ca="1">IF(S332=" "," ",W332/(1+'депозитный калькулятор'!$K$8)^(T332/IF('депозитный калькулятор'!$G$7="30/360",360,365)))</f>
        <v xml:space="preserve"> </v>
      </c>
      <c r="Z332" s="142" t="str">
        <f ca="1">IF(S332=" "," ",X332/(1+'депозитный калькулятор'!$K$8)^(T332/IF('депозитный калькулятор'!$G$7="30/360",360,365)))</f>
        <v xml:space="preserve"> </v>
      </c>
      <c r="AA332" s="151"/>
      <c r="AB332" s="151"/>
      <c r="AC332" s="155"/>
      <c r="AD332" s="155"/>
    </row>
    <row r="333" spans="1:30" s="2" customFormat="1" ht="15.5" x14ac:dyDescent="0.35">
      <c r="A333" s="41" t="str">
        <f>IF(F333=" "," ",IF(OR('депозитный калькулятор'!$G$7="30/365",'депозитный калькулятор'!$G$7="30/360"),IF(AND(MONTH(F333)=2,DAY(F333)=DAY(EOMONTH(F333,0))),30-DAY(EOMONTH(F333,0)),IF(DAY(F333)=31,1," "))," "))</f>
        <v xml:space="preserve"> </v>
      </c>
      <c r="B333" s="130" t="str">
        <f t="shared" si="21"/>
        <v xml:space="preserve"> </v>
      </c>
      <c r="C333" s="130" t="str">
        <f>IF(OR(B333=0,B333=" ")," ",SUM($B$23:B333))</f>
        <v xml:space="preserve"> </v>
      </c>
      <c r="D333" s="62" t="str">
        <f>IF(D332=" "," ",IF(OR(F332='депозитный калькулятор'!$D$8,F332=" ")," ",D332+1))</f>
        <v xml:space="preserve"> </v>
      </c>
      <c r="E333" s="130" t="str">
        <f>IF(OR(F332='депозитный калькулятор'!$D$8,F332=" ")," ",IF(EOMONTH(F332,0)=F332,1,E332+1))</f>
        <v xml:space="preserve"> </v>
      </c>
      <c r="F333" s="64" t="str">
        <f>IF(F332=" "," ",IF(F332='депозитный калькулятор'!$D$8," ",F332+1))</f>
        <v xml:space="preserve"> </v>
      </c>
      <c r="G333" s="145" t="str">
        <f xml:space="preserve"> IF(F333&gt;'депозитный калькулятор'!$D$8," ",IF('депозитный калькулятор'!$G$13="есть",IF('депозитный калькулятор'!$G$14="есть",G332+IF(I332=" ",0,I332)-J333-K333+L333+M333-N333,G332+IF(I332=" ",0,I332)-J333-K333+M333-N333),IF('депозитный калькулятор'!$G$14="есть",G332-J333-K333+L333+M333-N333,G332-J333-K333+M333-N333)))</f>
        <v xml:space="preserve"> </v>
      </c>
      <c r="H333" s="133" t="str">
        <f>IF(F333&gt;'депозитный калькулятор'!$D$8," ",IF(AND(OR('депозитный калькулятор'!$G$7="30/365",'депозитный калькулятор'!$G$7="30/360"),AND(MONTH(F333)=2,EOMONTH(F333,0)=F333)),IF(DAY(F333)=28,3*G333*'депозитный калькулятор'!$G$8,2*G333*'депозитный калькулятор'!$G$8),IF(AND(OR('депозитный калькулятор'!$G$7="30/365",'депозитный калькулятор'!$G$7="30/360"),DAY(F333)=31)," ",IF(AND('депозитный калькулятор'!$G$7="факт/факт",MOD(YEAR(F333),4)=0),G333*'депозитный калькулятор'!$D$11/366,G333*'депозитный калькулятор'!$G$8))))</f>
        <v xml:space="preserve"> </v>
      </c>
      <c r="I333" s="134" t="str">
        <f ca="1">IF(F333=" "," ",IF('депозитный калькулятор'!$G$10="ежедневное",H333,IF(AND('депозитный калькулятор'!$G$10="еженедельное",WEEKDAY(F333,2)=7),SUM(OFFSET(H333,-6,0):H333),IF(AND('депозитный калькулятор'!$G$10="еженедельное",F333='депозитный калькулятор'!$D$8),SUM($H$23:H333)-SUM($I$23:I332),IF(AND('депозитный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недели",WEEKDAY(F333,2)=7),MIN(OFFSET(H333,-6,0):H333)*(COUNTIF(OFFSET(H333,-6,0):H333,"&gt;0")+SUMIF(OFFSET(A333,-WEEKDAY(F333,2),0):A333,"=2",OFFSET(A333,-WEEKDAY(F333,2),0):A333)),IF(AND('депозитный калькулятор'!$G$10="еженедельное, на минимальную сумму зафиксированную в течение недели",F333='депозитный калькулятор'!$D$8,WEEKDAY(F333,2)&lt;&gt;7),MIN(OFFSET(H333,-WEEKDAY(F333,2),0):H333)*(COUNTIF(OFFSET(H333,-WEEKDAY(F333,2)+1,0):H333,"&gt;0")+SUM(OFFSET(A333,-WEEKDAY(F333,2),0):A333)),IF(AND('депозитный калькулятор'!$G$10="ежемесячное (в конце месяца)",F333='депозитный калькулятор'!$D$8,EOMONTH(F333,0)&lt;&gt;F333),IF('депозитный калькулятор'!$F$1=1,$H$24,SUM($H$23:H333)-SUM($I$23:I332)),IF(AND('депозитный калькулятор'!$G$10="ежемесячное (в конце месяца)",EOMONTH(F333,0)=F333),SUM($H$23:H333)-SUM($I$23:I332),IF(AND('депозитный калькулятор'!$G$10="ежемесячное (по дням открытия вклада)",F333='депозитный калькулятор'!$D$8,DAY('депозитный калькулятор'!$D$7)&lt;&gt;DAY(F333)),IF('депозитный калькулятор'!$F$1=1,$H$24,SUM($H$23:H333)-SUM($I$23:I332)),IF(AND('депозитный калькулятор'!$G$10="ежемесячное (по дням открытия вклада)",DAY('депозитный калькулятор'!$D$7)=DAY(F333)),SUM($H$23:H333)-SUM($I$23:I332),IF(AND('депозитный калькулятор'!$G$10="ежемесячное, на минимальную сумму зафиксированную в течение месяца",F333='депозитный калькулятор'!$D$8,EOMONTH(F333,0)&lt;&gt;F333),IF('депозитный калькулятор'!$F$1=1,$H$24,IF(AND(OR('депозитный калькулятор'!$G$7="30/365",'депозитный калькулятор'!$G$7="30/360"),DAY(F333)=31),0,MIN(OFFSET(H333,-E333+1,0):H333)*(E333+SUMIF(OFFSET(A333,-E333+1,0):A333,"=2",OFFSET(A333,-E333+1,0):A333)))),IF(AND('депозитный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калькулятор'!$G$7="30/360"),DAY(EOMONTH(F333,0))=31),EOMONTH(F333,0)-1=F333,EOMONTH(F333,0)=F333)),IF(IF(AND(OR('депозитный калькулятор'!$G$7="30/365",'депозитный калькулятор'!$G$7="30/360"),DAY(EOMONTH($F$23,0))=31),F333=EOMONTH($F$23,0)-1,F333=EOMONTH($F$23,0)),MIN(OFFSET(H333,-(DAY(F333)-DAY($F$23)),0):H333)*E333,MIN(OFFSET(H333,-(DAY(F333)-1),0):H333)*IF(AND(OR('депозитный калькулятор'!$G$7="30/365",'депозитный калькулятор'!$G$7="30/360"),DAY(F333)&lt;30),30,DAY(F333))),IF(AND('депозитный калькулятор'!$G$10="ежемесячное, на средний остаток в течение месяца, при условии что остаток больше чем ограничение",F333='депозитный калькулятор'!$D$8,EOMONTH(F333,0)&lt;&gt;F333),IF('депозитный калькулятор'!$F$1=1,$H$24,SUM(OFFSET(Q333,-E333+1,0):Q333)),IF(AND('депозитный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калькулятор'!$G$7="30/360"),DAY(EOMONTH(F333,0))=31),EOMONTH(F333,0)-1=F333,EOMONTH(F333,0)=F333)),IF(IF(AND(OR('депозитный калькулятор'!$G$7="30/365",'депозитный калькулятор'!$G$7="30/360"),DAY(EOMONTH($F$24,0))=31),F333=EOMONTH($F$24,0)-1,F333=EOMONTH($F$24,0)),SUM(OFFSET(Q333,-E333+1,0):Q333),SUM(OFFSET(Q333,-E333+1,0):Q333)),IF('депозитный калькулятор'!$G$10="ежеквартальное",IF(F333&gt;'депозитный калькулятор'!$D$8," ",IF(AND(EOMONTH(F333,0)=F333,OR(MONTH(F333)=3,MONTH(F333)=6,MONTH(F333)=9,MONTH(F333)=12)),IF(EDATE(F333,-3)&lt;'депозитный калькулятор'!$D$7,SUM($H$23:H333),IF(MOD(YEAR(F333),4)=0,IF(AND(EOMONTH(F333,0)=F333,OR(MONTH(F333)=3,MONTH(F333)=6)),SUM(OFFSET(H333,-90,0):H333),IF(AND(EOMONTH(F333,0)=F333,OR(MONTH(F333)=9,MONTH(F333)=12)),SUM(OFFSET(H333,-91,0):H333))),IF(AND(EOMONTH(F333,0)=F333,MONTH(F333)=3),SUM(OFFSET(H333,-89,0):H333),IF(AND(EOMONTH(F333,0)=F333,MONTH(F333)=6),SUM(OFFSET(H333,-90,0):H333),IF(AND(EOMONTH(F333,0)=F333,OR(MONTH(F333)=9,MONTH(F333)=12)),SUM(OFFSET(H333,-91,0):H333)))))),IF(F333='депозитный калькулятор'!$D$8,SUM($H$23:H333)-SUM($I$23:I332),0))),IF('депозитный калькулятор'!$G$10="ежегодное",IF(F333&gt;'депозитный калькулятор'!$D$8," ",IF(F333='депозитный калькулятор'!$D$8,SUM($H$23:H333)-SUM($I$23:I332),IF(AND(EOMONTH(F333,0)=F333,MONTH(F333)=12),IF(MOD(YEAR(F332),4)=0,IF(F333-'депозитный калькулятор'!$D$7&lt;366,SUM($H$23:H333),SUM(OFFSET(H333,-365,0):H333)),IF(F333-'депозитный калькулятор'!$D$7&lt;365,SUM($H$23:H333),SUM(OFFSET(H333,-364,0):H333))),0))),IF(AND('депозитный калькулятор'!$G$10="в конце срока",'депозитный калькулятор'!$D$8=F333),SUM($H$23:H333),0))))))))))))))))))</f>
        <v xml:space="preserve"> </v>
      </c>
      <c r="J333" s="59" t="str">
        <f>IF(F333&gt;'депозитный калькулятор'!$D$8," ",IF('депозитный калькулятор'!$G$16="нет",0,IF(AND('депозитный калькулятор'!$G$17="разовая (в конце срока)",F333='депозитный калькулятор'!$D$8),'депозитный калькулятор'!$G$18,IF(AND('депозитный калькулятор'!$G$17="ежемесячная",EOMONTH(F332,0)=F332),'депозитный калькулятор'!$G$18,IF(AND('депозитный калькулятор'!$G$17="ежегодная",DAY(F332)=31,MONTH(F332)=12),'депозитный калькулятор'!$G$18,IF(AND('депозитный калькулятор'!$G$17="ежемесячная в зависимости от остатка",EOMONTH(F332,0)=F332,P332&gt;0),'депозитный калькулятор'!$G$18,IF(AND('депозитный калькулятор'!$G$17="ежегодная в зависимости от остатка",DAY(F332)=31,MONTH(F332)=12,P332&gt;0),'депозитный калькулятор'!$G$18,0)))))))</f>
        <v xml:space="preserve"> </v>
      </c>
      <c r="K333" s="135" t="str">
        <f>IF($F333=" "," ",IFERROR(VLOOKUP($F333,'депозитный калькулятор'!$B$26:$F$70,2,0),0))</f>
        <v xml:space="preserve"> </v>
      </c>
      <c r="L333" s="135" t="str">
        <f>IF($F333=" "," ",IFERROR(VLOOKUP($F333,'депозитный калькулятор'!$B$26:$F$70,3,0),0))</f>
        <v xml:space="preserve"> </v>
      </c>
      <c r="M333" s="135" t="str">
        <f>IF($F333=" "," ",IFERROR(VLOOKUP($F333,'депозитный калькулятор'!$B$26:$F$70,4,0),0))</f>
        <v xml:space="preserve"> </v>
      </c>
      <c r="N333" s="135" t="str">
        <f>IF($F333=" "," ",IFERROR(VLOOKUP($F333,'депозитный калькулятор'!$B$26:$F$70,5,0),0))</f>
        <v xml:space="preserve"> </v>
      </c>
      <c r="O333" s="146" t="str">
        <f>IF(F333&gt;'депозитный калькулятор'!$D$8," ",IF(F333='депозитный калькулятор'!$D$8,IF(AND($F$24='депозитный калькулятор'!$D$8,'депозитный калькулятор'!$G$13="нет"),-G333-IF(I333=" ",0,I333)-IF(AND(OR('депозитный калькулятор'!$G$7="30/365",'депозитный калькулятор'!$G$7="30/360"),'депозитный калькулятор'!$G$10="в начале срока"),I332,0)-L333+M333-N333,-G333-IF(I333=" ",0,I333)-L333+M333-N333),IF('депозитный калькулятор'!$G$13="есть",M333-N333+IF('депозитный калькулятор'!$G$14="есть",0,-L333),-IF(I333=" ",0,I333)-IF(AND(OR('депозитный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срока"),I332,0)+M333-N333+IF('депозитный калькулятор'!$G$14="есть",0,-L333))))</f>
        <v xml:space="preserve"> </v>
      </c>
      <c r="P333" s="147" t="str">
        <f>IF(F333&gt;'депозитный калькулятор'!$D$8," ",IF(EOMONTH(F332,0)=F332,0,IF(G333&gt;='депозитный калькулятор'!$G$19,P332,P332+1)))</f>
        <v xml:space="preserve"> </v>
      </c>
      <c r="Q333" s="138" t="str">
        <f>IF(F333=" "," ",IF(AND(OR('депозитный калькулятор'!$G$7="30/365",'депозитный калькулятор'!$G$7="30/360"),AND(MONTH(F333)=2,EOMONTH(F333,0)=F333)),IF(DAY(F333)=28,3,2),1)*IF(G333&gt;='депозитный калькулятор'!$G$11,IF(AND('депозитный калькулятор'!$G$7="факт/факт",MOD(YEAR(F333),4)=0),G333*'депозитный калькулятор'!$D$11/366,G333*'депозитный калькулятор'!$G$8),0))</f>
        <v xml:space="preserve"> </v>
      </c>
      <c r="R333" s="148"/>
      <c r="S333" s="62" t="str">
        <f t="shared" ca="1" si="22"/>
        <v xml:space="preserve"> </v>
      </c>
      <c r="T333" s="149" t="str">
        <f ca="1">IF(S333=" "," ",IF('депозитный калькулятор'!$G$7="30/360",DAYS360(U332,IF(DAY(U333)=31,U333-1,U333))+IF(AND(MONTH(U333)=2,U333=EOMONTH(U333,0)),30-DAY(EOMONTH(U333,0)))+T332,VLOOKUP(S333,$C$22:$F$1023,2,0)))</f>
        <v xml:space="preserve"> </v>
      </c>
      <c r="U333" s="64" t="str">
        <f t="shared" ca="1" si="20"/>
        <v xml:space="preserve"> </v>
      </c>
      <c r="V333" s="150" t="str">
        <f t="shared" ca="1" si="23"/>
        <v xml:space="preserve"> </v>
      </c>
      <c r="W333" s="62" t="str">
        <f t="shared" ca="1" si="24"/>
        <v xml:space="preserve"> </v>
      </c>
      <c r="X333" s="141" t="str">
        <f ca="1">IF(S333=" "," ",IFERROR(VLOOKUP(U333,$F$23:$N$1023,7)+VLOOKUP(U333,$F$23:$N$1023,9)+IF(AND('депозитный калькулятор'!$G$13="нет",U333&lt;&gt;'депозитный калькулятор'!$D$8),VLOOKUP(U333,$F$23:$N$1023,4),0),0)+IF(U333='депозитный калькулятор'!$D$8,VLOOKUP(U333,$F$23:$N$1023,2)+VLOOKUP(U333,$F$23:$N$1023,4),0))</f>
        <v xml:space="preserve"> </v>
      </c>
      <c r="Y333" s="142" t="str">
        <f ca="1">IF(S333=" "," ",W333/(1+'депозитный калькулятор'!$K$8)^(T333/IF('депозитный калькулятор'!$G$7="30/360",360,365)))</f>
        <v xml:space="preserve"> </v>
      </c>
      <c r="Z333" s="142" t="str">
        <f ca="1">IF(S333=" "," ",X333/(1+'депозитный калькулятор'!$K$8)^(T333/IF('депозитный калькулятор'!$G$7="30/360",360,365)))</f>
        <v xml:space="preserve"> </v>
      </c>
      <c r="AA333" s="151"/>
      <c r="AB333" s="151"/>
      <c r="AC333" s="155"/>
      <c r="AD333" s="155"/>
    </row>
    <row r="334" spans="1:30" s="2" customFormat="1" ht="15.5" x14ac:dyDescent="0.35">
      <c r="A334" s="41" t="str">
        <f>IF(F334=" "," ",IF(OR('депозитный калькулятор'!$G$7="30/365",'депозитный калькулятор'!$G$7="30/360"),IF(AND(MONTH(F334)=2,DAY(F334)=DAY(EOMONTH(F334,0))),30-DAY(EOMONTH(F334,0)),IF(DAY(F334)=31,1," "))," "))</f>
        <v xml:space="preserve"> </v>
      </c>
      <c r="B334" s="130" t="str">
        <f t="shared" si="21"/>
        <v xml:space="preserve"> </v>
      </c>
      <c r="C334" s="130" t="str">
        <f>IF(OR(B334=0,B334=" ")," ",SUM($B$23:B334))</f>
        <v xml:space="preserve"> </v>
      </c>
      <c r="D334" s="62" t="str">
        <f>IF(D333=" "," ",IF(OR(F333='депозитный калькулятор'!$D$8,F333=" ")," ",D333+1))</f>
        <v xml:space="preserve"> </v>
      </c>
      <c r="E334" s="130" t="str">
        <f>IF(OR(F333='депозитный калькулятор'!$D$8,F333=" ")," ",IF(EOMONTH(F333,0)=F333,1,E333+1))</f>
        <v xml:space="preserve"> </v>
      </c>
      <c r="F334" s="64" t="str">
        <f>IF(F333=" "," ",IF(F333='депозитный калькулятор'!$D$8," ",F333+1))</f>
        <v xml:space="preserve"> </v>
      </c>
      <c r="G334" s="145" t="str">
        <f xml:space="preserve"> IF(F334&gt;'депозитный калькулятор'!$D$8," ",IF('депозитный калькулятор'!$G$13="есть",IF('депозитный калькулятор'!$G$14="есть",G333+IF(I333=" ",0,I333)-J334-K334+L334+M334-N334,G333+IF(I333=" ",0,I333)-J334-K334+M334-N334),IF('депозитный калькулятор'!$G$14="есть",G333-J334-K334+L334+M334-N334,G333-J334-K334+M334-N334)))</f>
        <v xml:space="preserve"> </v>
      </c>
      <c r="H334" s="133" t="str">
        <f>IF(F334&gt;'депозитный калькулятор'!$D$8," ",IF(AND(OR('депозитный калькулятор'!$G$7="30/365",'депозитный калькулятор'!$G$7="30/360"),AND(MONTH(F334)=2,EOMONTH(F334,0)=F334)),IF(DAY(F334)=28,3*G334*'депозитный калькулятор'!$G$8,2*G334*'депозитный калькулятор'!$G$8),IF(AND(OR('депозитный калькулятор'!$G$7="30/365",'депозитный калькулятор'!$G$7="30/360"),DAY(F334)=31)," ",IF(AND('депозитный калькулятор'!$G$7="факт/факт",MOD(YEAR(F334),4)=0),G334*'депозитный калькулятор'!$D$11/366,G334*'депозитный калькулятор'!$G$8))))</f>
        <v xml:space="preserve"> </v>
      </c>
      <c r="I334" s="134" t="str">
        <f ca="1">IF(F334=" "," ",IF('депозитный калькулятор'!$G$10="ежедневное",H334,IF(AND('депозитный калькулятор'!$G$10="еженедельное",WEEKDAY(F334,2)=7),SUM(OFFSET(H334,-6,0):H334),IF(AND('депозитный калькулятор'!$G$10="еженедельное",F334='депозитный калькулятор'!$D$8),SUM($H$23:H334)-SUM($I$23:I333),IF(AND('депозитный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недели",WEEKDAY(F334,2)=7),MIN(OFFSET(H334,-6,0):H334)*(COUNTIF(OFFSET(H334,-6,0):H334,"&gt;0")+SUMIF(OFFSET(A334,-WEEKDAY(F334,2),0):A334,"=2",OFFSET(A334,-WEEKDAY(F334,2),0):A334)),IF(AND('депозитный калькулятор'!$G$10="еженедельное, на минимальную сумму зафиксированную в течение недели",F334='депозитный калькулятор'!$D$8,WEEKDAY(F334,2)&lt;&gt;7),MIN(OFFSET(H334,-WEEKDAY(F334,2),0):H334)*(COUNTIF(OFFSET(H334,-WEEKDAY(F334,2)+1,0):H334,"&gt;0")+SUM(OFFSET(A334,-WEEKDAY(F334,2),0):A334)),IF(AND('депозитный калькулятор'!$G$10="ежемесячное (в конце месяца)",F334='депозитный калькулятор'!$D$8,EOMONTH(F334,0)&lt;&gt;F334),IF('депозитный калькулятор'!$F$1=1,$H$24,SUM($H$23:H334)-SUM($I$23:I333)),IF(AND('депозитный калькулятор'!$G$10="ежемесячное (в конце месяца)",EOMONTH(F334,0)=F334),SUM($H$23:H334)-SUM($I$23:I333),IF(AND('депозитный калькулятор'!$G$10="ежемесячное (по дням открытия вклада)",F334='депозитный калькулятор'!$D$8,DAY('депозитный калькулятор'!$D$7)&lt;&gt;DAY(F334)),IF('депозитный калькулятор'!$F$1=1,$H$24,SUM($H$23:H334)-SUM($I$23:I333)),IF(AND('депозитный калькулятор'!$G$10="ежемесячное (по дням открытия вклада)",DAY('депозитный калькулятор'!$D$7)=DAY(F334)),SUM($H$23:H334)-SUM($I$23:I333),IF(AND('депозитный калькулятор'!$G$10="ежемесячное, на минимальную сумму зафиксированную в течение месяца",F334='депозитный калькулятор'!$D$8,EOMONTH(F334,0)&lt;&gt;F334),IF('депозитный калькулятор'!$F$1=1,$H$24,IF(AND(OR('депозитный калькулятор'!$G$7="30/365",'депозитный калькулятор'!$G$7="30/360"),DAY(F334)=31),0,MIN(OFFSET(H334,-E334+1,0):H334)*(E334+SUMIF(OFFSET(A334,-E334+1,0):A334,"=2",OFFSET(A334,-E334+1,0):A334)))),IF(AND('депозитный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калькулятор'!$G$7="30/360"),DAY(EOMONTH(F334,0))=31),EOMONTH(F334,0)-1=F334,EOMONTH(F334,0)=F334)),IF(IF(AND(OR('депозитный калькулятор'!$G$7="30/365",'депозитный калькулятор'!$G$7="30/360"),DAY(EOMONTH($F$23,0))=31),F334=EOMONTH($F$23,0)-1,F334=EOMONTH($F$23,0)),MIN(OFFSET(H334,-(DAY(F334)-DAY($F$23)),0):H334)*E334,MIN(OFFSET(H334,-(DAY(F334)-1),0):H334)*IF(AND(OR('депозитный калькулятор'!$G$7="30/365",'депозитный калькулятор'!$G$7="30/360"),DAY(F334)&lt;30),30,DAY(F334))),IF(AND('депозитный калькулятор'!$G$10="ежемесячное, на средний остаток в течение месяца, при условии что остаток больше чем ограничение",F334='депозитный калькулятор'!$D$8,EOMONTH(F334,0)&lt;&gt;F334),IF('депозитный калькулятор'!$F$1=1,$H$24,SUM(OFFSET(Q334,-E334+1,0):Q334)),IF(AND('депозитный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калькулятор'!$G$7="30/360"),DAY(EOMONTH(F334,0))=31),EOMONTH(F334,0)-1=F334,EOMONTH(F334,0)=F334)),IF(IF(AND(OR('депозитный калькулятор'!$G$7="30/365",'депозитный калькулятор'!$G$7="30/360"),DAY(EOMONTH($F$24,0))=31),F334=EOMONTH($F$24,0)-1,F334=EOMONTH($F$24,0)),SUM(OFFSET(Q334,-E334+1,0):Q334),SUM(OFFSET(Q334,-E334+1,0):Q334)),IF('депозитный калькулятор'!$G$10="ежеквартальное",IF(F334&gt;'депозитный калькулятор'!$D$8," ",IF(AND(EOMONTH(F334,0)=F334,OR(MONTH(F334)=3,MONTH(F334)=6,MONTH(F334)=9,MONTH(F334)=12)),IF(EDATE(F334,-3)&lt;'депозитный калькулятор'!$D$7,SUM($H$23:H334),IF(MOD(YEAR(F334),4)=0,IF(AND(EOMONTH(F334,0)=F334,OR(MONTH(F334)=3,MONTH(F334)=6)),SUM(OFFSET(H334,-90,0):H334),IF(AND(EOMONTH(F334,0)=F334,OR(MONTH(F334)=9,MONTH(F334)=12)),SUM(OFFSET(H334,-91,0):H334))),IF(AND(EOMONTH(F334,0)=F334,MONTH(F334)=3),SUM(OFFSET(H334,-89,0):H334),IF(AND(EOMONTH(F334,0)=F334,MONTH(F334)=6),SUM(OFFSET(H334,-90,0):H334),IF(AND(EOMONTH(F334,0)=F334,OR(MONTH(F334)=9,MONTH(F334)=12)),SUM(OFFSET(H334,-91,0):H334)))))),IF(F334='депозитный калькулятор'!$D$8,SUM($H$23:H334)-SUM($I$23:I333),0))),IF('депозитный калькулятор'!$G$10="ежегодное",IF(F334&gt;'депозитный калькулятор'!$D$8," ",IF(F334='депозитный калькулятор'!$D$8,SUM($H$23:H334)-SUM($I$23:I333),IF(AND(EOMONTH(F334,0)=F334,MONTH(F334)=12),IF(MOD(YEAR(F333),4)=0,IF(F334-'депозитный калькулятор'!$D$7&lt;366,SUM($H$23:H334),SUM(OFFSET(H334,-365,0):H334)),IF(F334-'депозитный калькулятор'!$D$7&lt;365,SUM($H$23:H334),SUM(OFFSET(H334,-364,0):H334))),0))),IF(AND('депозитный калькулятор'!$G$10="в конце срока",'депозитный калькулятор'!$D$8=F334),SUM($H$23:H334),0))))))))))))))))))</f>
        <v xml:space="preserve"> </v>
      </c>
      <c r="J334" s="59" t="str">
        <f>IF(F334&gt;'депозитный калькулятор'!$D$8," ",IF('депозитный калькулятор'!$G$16="нет",0,IF(AND('депозитный калькулятор'!$G$17="разовая (в конце срока)",F334='депозитный калькулятор'!$D$8),'депозитный калькулятор'!$G$18,IF(AND('депозитный калькулятор'!$G$17="ежемесячная",EOMONTH(F333,0)=F333),'депозитный калькулятор'!$G$18,IF(AND('депозитный калькулятор'!$G$17="ежегодная",DAY(F333)=31,MONTH(F333)=12),'депозитный калькулятор'!$G$18,IF(AND('депозитный калькулятор'!$G$17="ежемесячная в зависимости от остатка",EOMONTH(F333,0)=F333,P333&gt;0),'депозитный калькулятор'!$G$18,IF(AND('депозитный калькулятор'!$G$17="ежегодная в зависимости от остатка",DAY(F333)=31,MONTH(F333)=12,P333&gt;0),'депозитный калькулятор'!$G$18,0)))))))</f>
        <v xml:space="preserve"> </v>
      </c>
      <c r="K334" s="135" t="str">
        <f>IF($F334=" "," ",IFERROR(VLOOKUP($F334,'депозитный калькулятор'!$B$26:$F$70,2,0),0))</f>
        <v xml:space="preserve"> </v>
      </c>
      <c r="L334" s="135" t="str">
        <f>IF($F334=" "," ",IFERROR(VLOOKUP($F334,'депозитный калькулятор'!$B$26:$F$70,3,0),0))</f>
        <v xml:space="preserve"> </v>
      </c>
      <c r="M334" s="135" t="str">
        <f>IF($F334=" "," ",IFERROR(VLOOKUP($F334,'депозитный калькулятор'!$B$26:$F$70,4,0),0))</f>
        <v xml:space="preserve"> </v>
      </c>
      <c r="N334" s="135" t="str">
        <f>IF($F334=" "," ",IFERROR(VLOOKUP($F334,'депозитный калькулятор'!$B$26:$F$70,5,0),0))</f>
        <v xml:space="preserve"> </v>
      </c>
      <c r="O334" s="146" t="str">
        <f>IF(F334&gt;'депозитный калькулятор'!$D$8," ",IF(F334='депозитный калькулятор'!$D$8,IF(AND($F$24='депозитный калькулятор'!$D$8,'депозитный калькулятор'!$G$13="нет"),-G334-IF(I334=" ",0,I334)-IF(AND(OR('депозитный калькулятор'!$G$7="30/365",'депозитный калькулятор'!$G$7="30/360"),'депозитный калькулятор'!$G$10="в начале срока"),I333,0)-L334+M334-N334,-G334-IF(I334=" ",0,I334)-L334+M334-N334),IF('депозитный калькулятор'!$G$13="есть",M334-N334+IF('депозитный калькулятор'!$G$14="есть",0,-L334),-IF(I334=" ",0,I334)-IF(AND(OR('депозитный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срока"),I333,0)+M334-N334+IF('депозитный калькулятор'!$G$14="есть",0,-L334))))</f>
        <v xml:space="preserve"> </v>
      </c>
      <c r="P334" s="147" t="str">
        <f>IF(F334&gt;'депозитный калькулятор'!$D$8," ",IF(EOMONTH(F333,0)=F333,0,IF(G334&gt;='депозитный калькулятор'!$G$19,P333,P333+1)))</f>
        <v xml:space="preserve"> </v>
      </c>
      <c r="Q334" s="138" t="str">
        <f>IF(F334=" "," ",IF(AND(OR('депозитный калькулятор'!$G$7="30/365",'депозитный калькулятор'!$G$7="30/360"),AND(MONTH(F334)=2,EOMONTH(F334,0)=F334)),IF(DAY(F334)=28,3,2),1)*IF(G334&gt;='депозитный калькулятор'!$G$11,IF(AND('депозитный калькулятор'!$G$7="факт/факт",MOD(YEAR(F334),4)=0),G334*'депозитный калькулятор'!$D$11/366,G334*'депозитный калькулятор'!$G$8),0))</f>
        <v xml:space="preserve"> </v>
      </c>
      <c r="R334" s="148"/>
      <c r="S334" s="62" t="str">
        <f t="shared" ca="1" si="22"/>
        <v xml:space="preserve"> </v>
      </c>
      <c r="T334" s="149" t="str">
        <f ca="1">IF(S334=" "," ",IF('депозитный калькулятор'!$G$7="30/360",DAYS360(U333,IF(DAY(U334)=31,U334-1,U334))+IF(AND(MONTH(U334)=2,U334=EOMONTH(U334,0)),30-DAY(EOMONTH(U334,0)))+T333,VLOOKUP(S334,$C$22:$F$1023,2,0)))</f>
        <v xml:space="preserve"> </v>
      </c>
      <c r="U334" s="64" t="str">
        <f t="shared" ca="1" si="20"/>
        <v xml:space="preserve"> </v>
      </c>
      <c r="V334" s="150" t="str">
        <f t="shared" ca="1" si="23"/>
        <v xml:space="preserve"> </v>
      </c>
      <c r="W334" s="62" t="str">
        <f t="shared" ca="1" si="24"/>
        <v xml:space="preserve"> </v>
      </c>
      <c r="X334" s="141" t="str">
        <f ca="1">IF(S334=" "," ",IFERROR(VLOOKUP(U334,$F$23:$N$1023,7)+VLOOKUP(U334,$F$23:$N$1023,9)+IF(AND('депозитный калькулятор'!$G$13="нет",U334&lt;&gt;'депозитный калькулятор'!$D$8),VLOOKUP(U334,$F$23:$N$1023,4),0),0)+IF(U334='депозитный калькулятор'!$D$8,VLOOKUP(U334,$F$23:$N$1023,2)+VLOOKUP(U334,$F$23:$N$1023,4),0))</f>
        <v xml:space="preserve"> </v>
      </c>
      <c r="Y334" s="142" t="str">
        <f ca="1">IF(S334=" "," ",W334/(1+'депозитный калькулятор'!$K$8)^(T334/IF('депозитный калькулятор'!$G$7="30/360",360,365)))</f>
        <v xml:space="preserve"> </v>
      </c>
      <c r="Z334" s="142" t="str">
        <f ca="1">IF(S334=" "," ",X334/(1+'депозитный калькулятор'!$K$8)^(T334/IF('депозитный калькулятор'!$G$7="30/360",360,365)))</f>
        <v xml:space="preserve"> </v>
      </c>
      <c r="AA334" s="151"/>
      <c r="AB334" s="151"/>
      <c r="AC334" s="155"/>
      <c r="AD334" s="155"/>
    </row>
    <row r="335" spans="1:30" s="2" customFormat="1" ht="15.5" x14ac:dyDescent="0.35">
      <c r="A335" s="41" t="str">
        <f>IF(F335=" "," ",IF(OR('депозитный калькулятор'!$G$7="30/365",'депозитный калькулятор'!$G$7="30/360"),IF(AND(MONTH(F335)=2,DAY(F335)=DAY(EOMONTH(F335,0))),30-DAY(EOMONTH(F335,0)),IF(DAY(F335)=31,1," "))," "))</f>
        <v xml:space="preserve"> </v>
      </c>
      <c r="B335" s="130" t="str">
        <f t="shared" si="21"/>
        <v xml:space="preserve"> </v>
      </c>
      <c r="C335" s="130" t="str">
        <f>IF(OR(B335=0,B335=" ")," ",SUM($B$23:B335))</f>
        <v xml:space="preserve"> </v>
      </c>
      <c r="D335" s="62" t="str">
        <f>IF(D334=" "," ",IF(OR(F334='депозитный калькулятор'!$D$8,F334=" ")," ",D334+1))</f>
        <v xml:space="preserve"> </v>
      </c>
      <c r="E335" s="130" t="str">
        <f>IF(OR(F334='депозитный калькулятор'!$D$8,F334=" ")," ",IF(EOMONTH(F334,0)=F334,1,E334+1))</f>
        <v xml:space="preserve"> </v>
      </c>
      <c r="F335" s="64" t="str">
        <f>IF(F334=" "," ",IF(F334='депозитный калькулятор'!$D$8," ",F334+1))</f>
        <v xml:space="preserve"> </v>
      </c>
      <c r="G335" s="145" t="str">
        <f xml:space="preserve"> IF(F335&gt;'депозитный калькулятор'!$D$8," ",IF('депозитный калькулятор'!$G$13="есть",IF('депозитный калькулятор'!$G$14="есть",G334+IF(I334=" ",0,I334)-J335-K335+L335+M335-N335,G334+IF(I334=" ",0,I334)-J335-K335+M335-N335),IF('депозитный калькулятор'!$G$14="есть",G334-J335-K335+L335+M335-N335,G334-J335-K335+M335-N335)))</f>
        <v xml:space="preserve"> </v>
      </c>
      <c r="H335" s="133" t="str">
        <f>IF(F335&gt;'депозитный калькулятор'!$D$8," ",IF(AND(OR('депозитный калькулятор'!$G$7="30/365",'депозитный калькулятор'!$G$7="30/360"),AND(MONTH(F335)=2,EOMONTH(F335,0)=F335)),IF(DAY(F335)=28,3*G335*'депозитный калькулятор'!$G$8,2*G335*'депозитный калькулятор'!$G$8),IF(AND(OR('депозитный калькулятор'!$G$7="30/365",'депозитный калькулятор'!$G$7="30/360"),DAY(F335)=31)," ",IF(AND('депозитный калькулятор'!$G$7="факт/факт",MOD(YEAR(F335),4)=0),G335*'депозитный калькулятор'!$D$11/366,G335*'депозитный калькулятор'!$G$8))))</f>
        <v xml:space="preserve"> </v>
      </c>
      <c r="I335" s="134" t="str">
        <f ca="1">IF(F335=" "," ",IF('депозитный калькулятор'!$G$10="ежедневное",H335,IF(AND('депозитный калькулятор'!$G$10="еженедельное",WEEKDAY(F335,2)=7),SUM(OFFSET(H335,-6,0):H335),IF(AND('депозитный калькулятор'!$G$10="еженедельное",F335='депозитный калькулятор'!$D$8),SUM($H$23:H335)-SUM($I$23:I334),IF(AND('депозитный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недели",WEEKDAY(F335,2)=7),MIN(OFFSET(H335,-6,0):H335)*(COUNTIF(OFFSET(H335,-6,0):H335,"&gt;0")+SUMIF(OFFSET(A335,-WEEKDAY(F335,2),0):A335,"=2",OFFSET(A335,-WEEKDAY(F335,2),0):A335)),IF(AND('депозитный калькулятор'!$G$10="еженедельное, на минимальную сумму зафиксированную в течение недели",F335='депозитный калькулятор'!$D$8,WEEKDAY(F335,2)&lt;&gt;7),MIN(OFFSET(H335,-WEEKDAY(F335,2),0):H335)*(COUNTIF(OFFSET(H335,-WEEKDAY(F335,2)+1,0):H335,"&gt;0")+SUM(OFFSET(A335,-WEEKDAY(F335,2),0):A335)),IF(AND('депозитный калькулятор'!$G$10="ежемесячное (в конце месяца)",F335='депозитный калькулятор'!$D$8,EOMONTH(F335,0)&lt;&gt;F335),IF('депозитный калькулятор'!$F$1=1,$H$24,SUM($H$23:H335)-SUM($I$23:I334)),IF(AND('депозитный калькулятор'!$G$10="ежемесячное (в конце месяца)",EOMONTH(F335,0)=F335),SUM($H$23:H335)-SUM($I$23:I334),IF(AND('депозитный калькулятор'!$G$10="ежемесячное (по дням открытия вклада)",F335='депозитный калькулятор'!$D$8,DAY('депозитный калькулятор'!$D$7)&lt;&gt;DAY(F335)),IF('депозитный калькулятор'!$F$1=1,$H$24,SUM($H$23:H335)-SUM($I$23:I334)),IF(AND('депозитный калькулятор'!$G$10="ежемесячное (по дням открытия вклада)",DAY('депозитный калькулятор'!$D$7)=DAY(F335)),SUM($H$23:H335)-SUM($I$23:I334),IF(AND('депозитный калькулятор'!$G$10="ежемесячное, на минимальную сумму зафиксированную в течение месяца",F335='депозитный калькулятор'!$D$8,EOMONTH(F335,0)&lt;&gt;F335),IF('депозитный калькулятор'!$F$1=1,$H$24,IF(AND(OR('депозитный калькулятор'!$G$7="30/365",'депозитный калькулятор'!$G$7="30/360"),DAY(F335)=31),0,MIN(OFFSET(H335,-E335+1,0):H335)*(E335+SUMIF(OFFSET(A335,-E335+1,0):A335,"=2",OFFSET(A335,-E335+1,0):A335)))),IF(AND('депозитный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калькулятор'!$G$7="30/360"),DAY(EOMONTH(F335,0))=31),EOMONTH(F335,0)-1=F335,EOMONTH(F335,0)=F335)),IF(IF(AND(OR('депозитный калькулятор'!$G$7="30/365",'депозитный калькулятор'!$G$7="30/360"),DAY(EOMONTH($F$23,0))=31),F335=EOMONTH($F$23,0)-1,F335=EOMONTH($F$23,0)),MIN(OFFSET(H335,-(DAY(F335)-DAY($F$23)),0):H335)*E335,MIN(OFFSET(H335,-(DAY(F335)-1),0):H335)*IF(AND(OR('депозитный калькулятор'!$G$7="30/365",'депозитный калькулятор'!$G$7="30/360"),DAY(F335)&lt;30),30,DAY(F335))),IF(AND('депозитный калькулятор'!$G$10="ежемесячное, на средний остаток в течение месяца, при условии что остаток больше чем ограничение",F335='депозитный калькулятор'!$D$8,EOMONTH(F335,0)&lt;&gt;F335),IF('депозитный калькулятор'!$F$1=1,$H$24,SUM(OFFSET(Q335,-E335+1,0):Q335)),IF(AND('депозитный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калькулятор'!$G$7="30/360"),DAY(EOMONTH(F335,0))=31),EOMONTH(F335,0)-1=F335,EOMONTH(F335,0)=F335)),IF(IF(AND(OR('депозитный калькулятор'!$G$7="30/365",'депозитный калькулятор'!$G$7="30/360"),DAY(EOMONTH($F$24,0))=31),F335=EOMONTH($F$24,0)-1,F335=EOMONTH($F$24,0)),SUM(OFFSET(Q335,-E335+1,0):Q335),SUM(OFFSET(Q335,-E335+1,0):Q335)),IF('депозитный калькулятор'!$G$10="ежеквартальное",IF(F335&gt;'депозитный калькулятор'!$D$8," ",IF(AND(EOMONTH(F335,0)=F335,OR(MONTH(F335)=3,MONTH(F335)=6,MONTH(F335)=9,MONTH(F335)=12)),IF(EDATE(F335,-3)&lt;'депозитный калькулятор'!$D$7,SUM($H$23:H335),IF(MOD(YEAR(F335),4)=0,IF(AND(EOMONTH(F335,0)=F335,OR(MONTH(F335)=3,MONTH(F335)=6)),SUM(OFFSET(H335,-90,0):H335),IF(AND(EOMONTH(F335,0)=F335,OR(MONTH(F335)=9,MONTH(F335)=12)),SUM(OFFSET(H335,-91,0):H335))),IF(AND(EOMONTH(F335,0)=F335,MONTH(F335)=3),SUM(OFFSET(H335,-89,0):H335),IF(AND(EOMONTH(F335,0)=F335,MONTH(F335)=6),SUM(OFFSET(H335,-90,0):H335),IF(AND(EOMONTH(F335,0)=F335,OR(MONTH(F335)=9,MONTH(F335)=12)),SUM(OFFSET(H335,-91,0):H335)))))),IF(F335='депозитный калькулятор'!$D$8,SUM($H$23:H335)-SUM($I$23:I334),0))),IF('депозитный калькулятор'!$G$10="ежегодное",IF(F335&gt;'депозитный калькулятор'!$D$8," ",IF(F335='депозитный калькулятор'!$D$8,SUM($H$23:H335)-SUM($I$23:I334),IF(AND(EOMONTH(F335,0)=F335,MONTH(F335)=12),IF(MOD(YEAR(F334),4)=0,IF(F335-'депозитный калькулятор'!$D$7&lt;366,SUM($H$23:H335),SUM(OFFSET(H335,-365,0):H335)),IF(F335-'депозитный калькулятор'!$D$7&lt;365,SUM($H$23:H335),SUM(OFFSET(H335,-364,0):H335))),0))),IF(AND('депозитный калькулятор'!$G$10="в конце срока",'депозитный калькулятор'!$D$8=F335),SUM($H$23:H335),0))))))))))))))))))</f>
        <v xml:space="preserve"> </v>
      </c>
      <c r="J335" s="59" t="str">
        <f>IF(F335&gt;'депозитный калькулятор'!$D$8," ",IF('депозитный калькулятор'!$G$16="нет",0,IF(AND('депозитный калькулятор'!$G$17="разовая (в конце срока)",F335='депозитный калькулятор'!$D$8),'депозитный калькулятор'!$G$18,IF(AND('депозитный калькулятор'!$G$17="ежемесячная",EOMONTH(F334,0)=F334),'депозитный калькулятор'!$G$18,IF(AND('депозитный калькулятор'!$G$17="ежегодная",DAY(F334)=31,MONTH(F334)=12),'депозитный калькулятор'!$G$18,IF(AND('депозитный калькулятор'!$G$17="ежемесячная в зависимости от остатка",EOMONTH(F334,0)=F334,P334&gt;0),'депозитный калькулятор'!$G$18,IF(AND('депозитный калькулятор'!$G$17="ежегодная в зависимости от остатка",DAY(F334)=31,MONTH(F334)=12,P334&gt;0),'депозитный калькулятор'!$G$18,0)))))))</f>
        <v xml:space="preserve"> </v>
      </c>
      <c r="K335" s="135" t="str">
        <f>IF($F335=" "," ",IFERROR(VLOOKUP($F335,'депозитный калькулятор'!$B$26:$F$70,2,0),0))</f>
        <v xml:space="preserve"> </v>
      </c>
      <c r="L335" s="135" t="str">
        <f>IF($F335=" "," ",IFERROR(VLOOKUP($F335,'депозитный калькулятор'!$B$26:$F$70,3,0),0))</f>
        <v xml:space="preserve"> </v>
      </c>
      <c r="M335" s="135" t="str">
        <f>IF($F335=" "," ",IFERROR(VLOOKUP($F335,'депозитный калькулятор'!$B$26:$F$70,4,0),0))</f>
        <v xml:space="preserve"> </v>
      </c>
      <c r="N335" s="135" t="str">
        <f>IF($F335=" "," ",IFERROR(VLOOKUP($F335,'депозитный калькулятор'!$B$26:$F$70,5,0),0))</f>
        <v xml:space="preserve"> </v>
      </c>
      <c r="O335" s="146" t="str">
        <f>IF(F335&gt;'депозитный калькулятор'!$D$8," ",IF(F335='депозитный калькулятор'!$D$8,IF(AND($F$24='депозитный калькулятор'!$D$8,'депозитный калькулятор'!$G$13="нет"),-G335-IF(I335=" ",0,I335)-IF(AND(OR('депозитный калькулятор'!$G$7="30/365",'депозитный калькулятор'!$G$7="30/360"),'депозитный калькулятор'!$G$10="в начале срока"),I334,0)-L335+M335-N335,-G335-IF(I335=" ",0,I335)-L335+M335-N335),IF('депозитный калькулятор'!$G$13="есть",M335-N335+IF('депозитный калькулятор'!$G$14="есть",0,-L335),-IF(I335=" ",0,I335)-IF(AND(OR('депозитный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срока"),I334,0)+M335-N335+IF('депозитный калькулятор'!$G$14="есть",0,-L335))))</f>
        <v xml:space="preserve"> </v>
      </c>
      <c r="P335" s="147" t="str">
        <f>IF(F335&gt;'депозитный калькулятор'!$D$8," ",IF(EOMONTH(F334,0)=F334,0,IF(G335&gt;='депозитный калькулятор'!$G$19,P334,P334+1)))</f>
        <v xml:space="preserve"> </v>
      </c>
      <c r="Q335" s="138" t="str">
        <f>IF(F335=" "," ",IF(AND(OR('депозитный калькулятор'!$G$7="30/365",'депозитный калькулятор'!$G$7="30/360"),AND(MONTH(F335)=2,EOMONTH(F335,0)=F335)),IF(DAY(F335)=28,3,2),1)*IF(G335&gt;='депозитный калькулятор'!$G$11,IF(AND('депозитный калькулятор'!$G$7="факт/факт",MOD(YEAR(F335),4)=0),G335*'депозитный калькулятор'!$D$11/366,G335*'депозитный калькулятор'!$G$8),0))</f>
        <v xml:space="preserve"> </v>
      </c>
      <c r="R335" s="148"/>
      <c r="S335" s="62" t="str">
        <f t="shared" ca="1" si="22"/>
        <v xml:space="preserve"> </v>
      </c>
      <c r="T335" s="149" t="str">
        <f ca="1">IF(S335=" "," ",IF('депозитный калькулятор'!$G$7="30/360",DAYS360(U334,IF(DAY(U335)=31,U335-1,U335))+IF(AND(MONTH(U335)=2,U335=EOMONTH(U335,0)),30-DAY(EOMONTH(U335,0)))+T334,VLOOKUP(S335,$C$22:$F$1023,2,0)))</f>
        <v xml:space="preserve"> </v>
      </c>
      <c r="U335" s="64" t="str">
        <f t="shared" ca="1" si="20"/>
        <v xml:space="preserve"> </v>
      </c>
      <c r="V335" s="150" t="str">
        <f t="shared" ca="1" si="23"/>
        <v xml:space="preserve"> </v>
      </c>
      <c r="W335" s="62" t="str">
        <f t="shared" ca="1" si="24"/>
        <v xml:space="preserve"> </v>
      </c>
      <c r="X335" s="141" t="str">
        <f ca="1">IF(S335=" "," ",IFERROR(VLOOKUP(U335,$F$23:$N$1023,7)+VLOOKUP(U335,$F$23:$N$1023,9)+IF(AND('депозитный калькулятор'!$G$13="нет",U335&lt;&gt;'депозитный калькулятор'!$D$8),VLOOKUP(U335,$F$23:$N$1023,4),0),0)+IF(U335='депозитный калькулятор'!$D$8,VLOOKUP(U335,$F$23:$N$1023,2)+VLOOKUP(U335,$F$23:$N$1023,4),0))</f>
        <v xml:space="preserve"> </v>
      </c>
      <c r="Y335" s="142" t="str">
        <f ca="1">IF(S335=" "," ",W335/(1+'депозитный калькулятор'!$K$8)^(T335/IF('депозитный калькулятор'!$G$7="30/360",360,365)))</f>
        <v xml:space="preserve"> </v>
      </c>
      <c r="Z335" s="142" t="str">
        <f ca="1">IF(S335=" "," ",X335/(1+'депозитный калькулятор'!$K$8)^(T335/IF('депозитный калькулятор'!$G$7="30/360",360,365)))</f>
        <v xml:space="preserve"> </v>
      </c>
      <c r="AA335" s="151"/>
      <c r="AB335" s="151"/>
      <c r="AC335" s="155"/>
      <c r="AD335" s="155"/>
    </row>
    <row r="336" spans="1:30" s="2" customFormat="1" ht="15.5" x14ac:dyDescent="0.35">
      <c r="A336" s="41" t="str">
        <f>IF(F336=" "," ",IF(OR('депозитный калькулятор'!$G$7="30/365",'депозитный калькулятор'!$G$7="30/360"),IF(AND(MONTH(F336)=2,DAY(F336)=DAY(EOMONTH(F336,0))),30-DAY(EOMONTH(F336,0)),IF(DAY(F336)=31,1," "))," "))</f>
        <v xml:space="preserve"> </v>
      </c>
      <c r="B336" s="130" t="str">
        <f t="shared" si="21"/>
        <v xml:space="preserve"> </v>
      </c>
      <c r="C336" s="130" t="str">
        <f>IF(OR(B336=0,B336=" ")," ",SUM($B$23:B336))</f>
        <v xml:space="preserve"> </v>
      </c>
      <c r="D336" s="62" t="str">
        <f>IF(D335=" "," ",IF(OR(F335='депозитный калькулятор'!$D$8,F335=" ")," ",D335+1))</f>
        <v xml:space="preserve"> </v>
      </c>
      <c r="E336" s="130" t="str">
        <f>IF(OR(F335='депозитный калькулятор'!$D$8,F335=" ")," ",IF(EOMONTH(F335,0)=F335,1,E335+1))</f>
        <v xml:space="preserve"> </v>
      </c>
      <c r="F336" s="64" t="str">
        <f>IF(F335=" "," ",IF(F335='депозитный калькулятор'!$D$8," ",F335+1))</f>
        <v xml:space="preserve"> </v>
      </c>
      <c r="G336" s="145" t="str">
        <f xml:space="preserve"> IF(F336&gt;'депозитный калькулятор'!$D$8," ",IF('депозитный калькулятор'!$G$13="есть",IF('депозитный калькулятор'!$G$14="есть",G335+IF(I335=" ",0,I335)-J336-K336+L336+M336-N336,G335+IF(I335=" ",0,I335)-J336-K336+M336-N336),IF('депозитный калькулятор'!$G$14="есть",G335-J336-K336+L336+M336-N336,G335-J336-K336+M336-N336)))</f>
        <v xml:space="preserve"> </v>
      </c>
      <c r="H336" s="133" t="str">
        <f>IF(F336&gt;'депозитный калькулятор'!$D$8," ",IF(AND(OR('депозитный калькулятор'!$G$7="30/365",'депозитный калькулятор'!$G$7="30/360"),AND(MONTH(F336)=2,EOMONTH(F336,0)=F336)),IF(DAY(F336)=28,3*G336*'депозитный калькулятор'!$G$8,2*G336*'депозитный калькулятор'!$G$8),IF(AND(OR('депозитный калькулятор'!$G$7="30/365",'депозитный калькулятор'!$G$7="30/360"),DAY(F336)=31)," ",IF(AND('депозитный калькулятор'!$G$7="факт/факт",MOD(YEAR(F336),4)=0),G336*'депозитный калькулятор'!$D$11/366,G336*'депозитный калькулятор'!$G$8))))</f>
        <v xml:space="preserve"> </v>
      </c>
      <c r="I336" s="134" t="str">
        <f ca="1">IF(F336=" "," ",IF('депозитный калькулятор'!$G$10="ежедневное",H336,IF(AND('депозитный калькулятор'!$G$10="еженедельное",WEEKDAY(F336,2)=7),SUM(OFFSET(H336,-6,0):H336),IF(AND('депозитный калькулятор'!$G$10="еженедельное",F336='депозитный калькулятор'!$D$8),SUM($H$23:H336)-SUM($I$23:I335),IF(AND('депозитный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недели",WEEKDAY(F336,2)=7),MIN(OFFSET(H336,-6,0):H336)*(COUNTIF(OFFSET(H336,-6,0):H336,"&gt;0")+SUMIF(OFFSET(A336,-WEEKDAY(F336,2),0):A336,"=2",OFFSET(A336,-WEEKDAY(F336,2),0):A336)),IF(AND('депозитный калькулятор'!$G$10="еженедельное, на минимальную сумму зафиксированную в течение недели",F336='депозитный калькулятор'!$D$8,WEEKDAY(F336,2)&lt;&gt;7),MIN(OFFSET(H336,-WEEKDAY(F336,2),0):H336)*(COUNTIF(OFFSET(H336,-WEEKDAY(F336,2)+1,0):H336,"&gt;0")+SUM(OFFSET(A336,-WEEKDAY(F336,2),0):A336)),IF(AND('депозитный калькулятор'!$G$10="ежемесячное (в конце месяца)",F336='депозитный калькулятор'!$D$8,EOMONTH(F336,0)&lt;&gt;F336),IF('депозитный калькулятор'!$F$1=1,$H$24,SUM($H$23:H336)-SUM($I$23:I335)),IF(AND('депозитный калькулятор'!$G$10="ежемесячное (в конце месяца)",EOMONTH(F336,0)=F336),SUM($H$23:H336)-SUM($I$23:I335),IF(AND('депозитный калькулятор'!$G$10="ежемесячное (по дням открытия вклада)",F336='депозитный калькулятор'!$D$8,DAY('депозитный калькулятор'!$D$7)&lt;&gt;DAY(F336)),IF('депозитный калькулятор'!$F$1=1,$H$24,SUM($H$23:H336)-SUM($I$23:I335)),IF(AND('депозитный калькулятор'!$G$10="ежемесячное (по дням открытия вклада)",DAY('депозитный калькулятор'!$D$7)=DAY(F336)),SUM($H$23:H336)-SUM($I$23:I335),IF(AND('депозитный калькулятор'!$G$10="ежемесячное, на минимальную сумму зафиксированную в течение месяца",F336='депозитный калькулятор'!$D$8,EOMONTH(F336,0)&lt;&gt;F336),IF('депозитный калькулятор'!$F$1=1,$H$24,IF(AND(OR('депозитный калькулятор'!$G$7="30/365",'депозитный калькулятор'!$G$7="30/360"),DAY(F336)=31),0,MIN(OFFSET(H336,-E336+1,0):H336)*(E336+SUMIF(OFFSET(A336,-E336+1,0):A336,"=2",OFFSET(A336,-E336+1,0):A336)))),IF(AND('депозитный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калькулятор'!$G$7="30/360"),DAY(EOMONTH(F336,0))=31),EOMONTH(F336,0)-1=F336,EOMONTH(F336,0)=F336)),IF(IF(AND(OR('депозитный калькулятор'!$G$7="30/365",'депозитный калькулятор'!$G$7="30/360"),DAY(EOMONTH($F$23,0))=31),F336=EOMONTH($F$23,0)-1,F336=EOMONTH($F$23,0)),MIN(OFFSET(H336,-(DAY(F336)-DAY($F$23)),0):H336)*E336,MIN(OFFSET(H336,-(DAY(F336)-1),0):H336)*IF(AND(OR('депозитный калькулятор'!$G$7="30/365",'депозитный калькулятор'!$G$7="30/360"),DAY(F336)&lt;30),30,DAY(F336))),IF(AND('депозитный калькулятор'!$G$10="ежемесячное, на средний остаток в течение месяца, при условии что остаток больше чем ограничение",F336='депозитный калькулятор'!$D$8,EOMONTH(F336,0)&lt;&gt;F336),IF('депозитный калькулятор'!$F$1=1,$H$24,SUM(OFFSET(Q336,-E336+1,0):Q336)),IF(AND('депозитный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калькулятор'!$G$7="30/360"),DAY(EOMONTH(F336,0))=31),EOMONTH(F336,0)-1=F336,EOMONTH(F336,0)=F336)),IF(IF(AND(OR('депозитный калькулятор'!$G$7="30/365",'депозитный калькулятор'!$G$7="30/360"),DAY(EOMONTH($F$24,0))=31),F336=EOMONTH($F$24,0)-1,F336=EOMONTH($F$24,0)),SUM(OFFSET(Q336,-E336+1,0):Q336),SUM(OFFSET(Q336,-E336+1,0):Q336)),IF('депозитный калькулятор'!$G$10="ежеквартальное",IF(F336&gt;'депозитный калькулятор'!$D$8," ",IF(AND(EOMONTH(F336,0)=F336,OR(MONTH(F336)=3,MONTH(F336)=6,MONTH(F336)=9,MONTH(F336)=12)),IF(EDATE(F336,-3)&lt;'депозитный калькулятор'!$D$7,SUM($H$23:H336),IF(MOD(YEAR(F336),4)=0,IF(AND(EOMONTH(F336,0)=F336,OR(MONTH(F336)=3,MONTH(F336)=6)),SUM(OFFSET(H336,-90,0):H336),IF(AND(EOMONTH(F336,0)=F336,OR(MONTH(F336)=9,MONTH(F336)=12)),SUM(OFFSET(H336,-91,0):H336))),IF(AND(EOMONTH(F336,0)=F336,MONTH(F336)=3),SUM(OFFSET(H336,-89,0):H336),IF(AND(EOMONTH(F336,0)=F336,MONTH(F336)=6),SUM(OFFSET(H336,-90,0):H336),IF(AND(EOMONTH(F336,0)=F336,OR(MONTH(F336)=9,MONTH(F336)=12)),SUM(OFFSET(H336,-91,0):H336)))))),IF(F336='депозитный калькулятор'!$D$8,SUM($H$23:H336)-SUM($I$23:I335),0))),IF('депозитный калькулятор'!$G$10="ежегодное",IF(F336&gt;'депозитный калькулятор'!$D$8," ",IF(F336='депозитный калькулятор'!$D$8,SUM($H$23:H336)-SUM($I$23:I335),IF(AND(EOMONTH(F336,0)=F336,MONTH(F336)=12),IF(MOD(YEAR(F335),4)=0,IF(F336-'депозитный калькулятор'!$D$7&lt;366,SUM($H$23:H336),SUM(OFFSET(H336,-365,0):H336)),IF(F336-'депозитный калькулятор'!$D$7&lt;365,SUM($H$23:H336),SUM(OFFSET(H336,-364,0):H336))),0))),IF(AND('депозитный калькулятор'!$G$10="в конце срока",'депозитный калькулятор'!$D$8=F336),SUM($H$23:H336),0))))))))))))))))))</f>
        <v xml:space="preserve"> </v>
      </c>
      <c r="J336" s="59" t="str">
        <f>IF(F336&gt;'депозитный калькулятор'!$D$8," ",IF('депозитный калькулятор'!$G$16="нет",0,IF(AND('депозитный калькулятор'!$G$17="разовая (в конце срока)",F336='депозитный калькулятор'!$D$8),'депозитный калькулятор'!$G$18,IF(AND('депозитный калькулятор'!$G$17="ежемесячная",EOMONTH(F335,0)=F335),'депозитный калькулятор'!$G$18,IF(AND('депозитный калькулятор'!$G$17="ежегодная",DAY(F335)=31,MONTH(F335)=12),'депозитный калькулятор'!$G$18,IF(AND('депозитный калькулятор'!$G$17="ежемесячная в зависимости от остатка",EOMONTH(F335,0)=F335,P335&gt;0),'депозитный калькулятор'!$G$18,IF(AND('депозитный калькулятор'!$G$17="ежегодная в зависимости от остатка",DAY(F335)=31,MONTH(F335)=12,P335&gt;0),'депозитный калькулятор'!$G$18,0)))))))</f>
        <v xml:space="preserve"> </v>
      </c>
      <c r="K336" s="135" t="str">
        <f>IF($F336=" "," ",IFERROR(VLOOKUP($F336,'депозитный калькулятор'!$B$26:$F$70,2,0),0))</f>
        <v xml:space="preserve"> </v>
      </c>
      <c r="L336" s="135" t="str">
        <f>IF($F336=" "," ",IFERROR(VLOOKUP($F336,'депозитный калькулятор'!$B$26:$F$70,3,0),0))</f>
        <v xml:space="preserve"> </v>
      </c>
      <c r="M336" s="135" t="str">
        <f>IF($F336=" "," ",IFERROR(VLOOKUP($F336,'депозитный калькулятор'!$B$26:$F$70,4,0),0))</f>
        <v xml:space="preserve"> </v>
      </c>
      <c r="N336" s="135" t="str">
        <f>IF($F336=" "," ",IFERROR(VLOOKUP($F336,'депозитный калькулятор'!$B$26:$F$70,5,0),0))</f>
        <v xml:space="preserve"> </v>
      </c>
      <c r="O336" s="146" t="str">
        <f>IF(F336&gt;'депозитный калькулятор'!$D$8," ",IF(F336='депозитный калькулятор'!$D$8,IF(AND($F$24='депозитный калькулятор'!$D$8,'депозитный калькулятор'!$G$13="нет"),-G336-IF(I336=" ",0,I336)-IF(AND(OR('депозитный калькулятор'!$G$7="30/365",'депозитный калькулятор'!$G$7="30/360"),'депозитный калькулятор'!$G$10="в начале срока"),I335,0)-L336+M336-N336,-G336-IF(I336=" ",0,I336)-L336+M336-N336),IF('депозитный калькулятор'!$G$13="есть",M336-N336+IF('депозитный калькулятор'!$G$14="есть",0,-L336),-IF(I336=" ",0,I336)-IF(AND(OR('депозитный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срока"),I335,0)+M336-N336+IF('депозитный калькулятор'!$G$14="есть",0,-L336))))</f>
        <v xml:space="preserve"> </v>
      </c>
      <c r="P336" s="147" t="str">
        <f>IF(F336&gt;'депозитный калькулятор'!$D$8," ",IF(EOMONTH(F335,0)=F335,0,IF(G336&gt;='депозитный калькулятор'!$G$19,P335,P335+1)))</f>
        <v xml:space="preserve"> </v>
      </c>
      <c r="Q336" s="138" t="str">
        <f>IF(F336=" "," ",IF(AND(OR('депозитный калькулятор'!$G$7="30/365",'депозитный калькулятор'!$G$7="30/360"),AND(MONTH(F336)=2,EOMONTH(F336,0)=F336)),IF(DAY(F336)=28,3,2),1)*IF(G336&gt;='депозитный калькулятор'!$G$11,IF(AND('депозитный калькулятор'!$G$7="факт/факт",MOD(YEAR(F336),4)=0),G336*'депозитный калькулятор'!$D$11/366,G336*'депозитный калькулятор'!$G$8),0))</f>
        <v xml:space="preserve"> </v>
      </c>
      <c r="R336" s="148"/>
      <c r="S336" s="62" t="str">
        <f t="shared" ca="1" si="22"/>
        <v xml:space="preserve"> </v>
      </c>
      <c r="T336" s="149" t="str">
        <f ca="1">IF(S336=" "," ",IF('депозитный калькулятор'!$G$7="30/360",DAYS360(U335,IF(DAY(U336)=31,U336-1,U336))+IF(AND(MONTH(U336)=2,U336=EOMONTH(U336,0)),30-DAY(EOMONTH(U336,0)))+T335,VLOOKUP(S336,$C$22:$F$1023,2,0)))</f>
        <v xml:space="preserve"> </v>
      </c>
      <c r="U336" s="64" t="str">
        <f t="shared" ca="1" si="20"/>
        <v xml:space="preserve"> </v>
      </c>
      <c r="V336" s="150" t="str">
        <f t="shared" ca="1" si="23"/>
        <v xml:space="preserve"> </v>
      </c>
      <c r="W336" s="62" t="str">
        <f t="shared" ca="1" si="24"/>
        <v xml:space="preserve"> </v>
      </c>
      <c r="X336" s="141" t="str">
        <f ca="1">IF(S336=" "," ",IFERROR(VLOOKUP(U336,$F$23:$N$1023,7)+VLOOKUP(U336,$F$23:$N$1023,9)+IF(AND('депозитный калькулятор'!$G$13="нет",U336&lt;&gt;'депозитный калькулятор'!$D$8),VLOOKUP(U336,$F$23:$N$1023,4),0),0)+IF(U336='депозитный калькулятор'!$D$8,VLOOKUP(U336,$F$23:$N$1023,2)+VLOOKUP(U336,$F$23:$N$1023,4),0))</f>
        <v xml:space="preserve"> </v>
      </c>
      <c r="Y336" s="142" t="str">
        <f ca="1">IF(S336=" "," ",W336/(1+'депозитный калькулятор'!$K$8)^(T336/IF('депозитный калькулятор'!$G$7="30/360",360,365)))</f>
        <v xml:space="preserve"> </v>
      </c>
      <c r="Z336" s="142" t="str">
        <f ca="1">IF(S336=" "," ",X336/(1+'депозитный калькулятор'!$K$8)^(T336/IF('депозитный калькулятор'!$G$7="30/360",360,365)))</f>
        <v xml:space="preserve"> </v>
      </c>
      <c r="AA336" s="151"/>
      <c r="AB336" s="151"/>
      <c r="AC336" s="155"/>
      <c r="AD336" s="155"/>
    </row>
    <row r="337" spans="1:30" s="2" customFormat="1" ht="15.5" x14ac:dyDescent="0.35">
      <c r="A337" s="41" t="str">
        <f>IF(F337=" "," ",IF(OR('депозитный калькулятор'!$G$7="30/365",'депозитный калькулятор'!$G$7="30/360"),IF(AND(MONTH(F337)=2,DAY(F337)=DAY(EOMONTH(F337,0))),30-DAY(EOMONTH(F337,0)),IF(DAY(F337)=31,1," "))," "))</f>
        <v xml:space="preserve"> </v>
      </c>
      <c r="B337" s="130" t="str">
        <f t="shared" si="21"/>
        <v xml:space="preserve"> </v>
      </c>
      <c r="C337" s="130" t="str">
        <f>IF(OR(B337=0,B337=" ")," ",SUM($B$23:B337))</f>
        <v xml:space="preserve"> </v>
      </c>
      <c r="D337" s="62" t="str">
        <f>IF(D336=" "," ",IF(OR(F336='депозитный калькулятор'!$D$8,F336=" ")," ",D336+1))</f>
        <v xml:space="preserve"> </v>
      </c>
      <c r="E337" s="130" t="str">
        <f>IF(OR(F336='депозитный калькулятор'!$D$8,F336=" ")," ",IF(EOMONTH(F336,0)=F336,1,E336+1))</f>
        <v xml:space="preserve"> </v>
      </c>
      <c r="F337" s="64" t="str">
        <f>IF(F336=" "," ",IF(F336='депозитный калькулятор'!$D$8," ",F336+1))</f>
        <v xml:space="preserve"> </v>
      </c>
      <c r="G337" s="145" t="str">
        <f xml:space="preserve"> IF(F337&gt;'депозитный калькулятор'!$D$8," ",IF('депозитный калькулятор'!$G$13="есть",IF('депозитный калькулятор'!$G$14="есть",G336+IF(I336=" ",0,I336)-J337-K337+L337+M337-N337,G336+IF(I336=" ",0,I336)-J337-K337+M337-N337),IF('депозитный калькулятор'!$G$14="есть",G336-J337-K337+L337+M337-N337,G336-J337-K337+M337-N337)))</f>
        <v xml:space="preserve"> </v>
      </c>
      <c r="H337" s="133" t="str">
        <f>IF(F337&gt;'депозитный калькулятор'!$D$8," ",IF(AND(OR('депозитный калькулятор'!$G$7="30/365",'депозитный калькулятор'!$G$7="30/360"),AND(MONTH(F337)=2,EOMONTH(F337,0)=F337)),IF(DAY(F337)=28,3*G337*'депозитный калькулятор'!$G$8,2*G337*'депозитный калькулятор'!$G$8),IF(AND(OR('депозитный калькулятор'!$G$7="30/365",'депозитный калькулятор'!$G$7="30/360"),DAY(F337)=31)," ",IF(AND('депозитный калькулятор'!$G$7="факт/факт",MOD(YEAR(F337),4)=0),G337*'депозитный калькулятор'!$D$11/366,G337*'депозитный калькулятор'!$G$8))))</f>
        <v xml:space="preserve"> </v>
      </c>
      <c r="I337" s="134" t="str">
        <f ca="1">IF(F337=" "," ",IF('депозитный калькулятор'!$G$10="ежедневное",H337,IF(AND('депозитный калькулятор'!$G$10="еженедельное",WEEKDAY(F337,2)=7),SUM(OFFSET(H337,-6,0):H337),IF(AND('депозитный калькулятор'!$G$10="еженедельное",F337='депозитный калькулятор'!$D$8),SUM($H$23:H337)-SUM($I$23:I336),IF(AND('депозитный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недели",WEEKDAY(F337,2)=7),MIN(OFFSET(H337,-6,0):H337)*(COUNTIF(OFFSET(H337,-6,0):H337,"&gt;0")+SUMIF(OFFSET(A337,-WEEKDAY(F337,2),0):A337,"=2",OFFSET(A337,-WEEKDAY(F337,2),0):A337)),IF(AND('депозитный калькулятор'!$G$10="еженедельное, на минимальную сумму зафиксированную в течение недели",F337='депозитный калькулятор'!$D$8,WEEKDAY(F337,2)&lt;&gt;7),MIN(OFFSET(H337,-WEEKDAY(F337,2),0):H337)*(COUNTIF(OFFSET(H337,-WEEKDAY(F337,2)+1,0):H337,"&gt;0")+SUM(OFFSET(A337,-WEEKDAY(F337,2),0):A337)),IF(AND('депозитный калькулятор'!$G$10="ежемесячное (в конце месяца)",F337='депозитный калькулятор'!$D$8,EOMONTH(F337,0)&lt;&gt;F337),IF('депозитный калькулятор'!$F$1=1,$H$24,SUM($H$23:H337)-SUM($I$23:I336)),IF(AND('депозитный калькулятор'!$G$10="ежемесячное (в конце месяца)",EOMONTH(F337,0)=F337),SUM($H$23:H337)-SUM($I$23:I336),IF(AND('депозитный калькулятор'!$G$10="ежемесячное (по дням открытия вклада)",F337='депозитный калькулятор'!$D$8,DAY('депозитный калькулятор'!$D$7)&lt;&gt;DAY(F337)),IF('депозитный калькулятор'!$F$1=1,$H$24,SUM($H$23:H337)-SUM($I$23:I336)),IF(AND('депозитный калькулятор'!$G$10="ежемесячное (по дням открытия вклада)",DAY('депозитный калькулятор'!$D$7)=DAY(F337)),SUM($H$23:H337)-SUM($I$23:I336),IF(AND('депозитный калькулятор'!$G$10="ежемесячное, на минимальную сумму зафиксированную в течение месяца",F337='депозитный калькулятор'!$D$8,EOMONTH(F337,0)&lt;&gt;F337),IF('депозитный калькулятор'!$F$1=1,$H$24,IF(AND(OR('депозитный калькулятор'!$G$7="30/365",'депозитный калькулятор'!$G$7="30/360"),DAY(F337)=31),0,MIN(OFFSET(H337,-E337+1,0):H337)*(E337+SUMIF(OFFSET(A337,-E337+1,0):A337,"=2",OFFSET(A337,-E337+1,0):A337)))),IF(AND('депозитный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калькулятор'!$G$7="30/360"),DAY(EOMONTH(F337,0))=31),EOMONTH(F337,0)-1=F337,EOMONTH(F337,0)=F337)),IF(IF(AND(OR('депозитный калькулятор'!$G$7="30/365",'депозитный калькулятор'!$G$7="30/360"),DAY(EOMONTH($F$23,0))=31),F337=EOMONTH($F$23,0)-1,F337=EOMONTH($F$23,0)),MIN(OFFSET(H337,-(DAY(F337)-DAY($F$23)),0):H337)*E337,MIN(OFFSET(H337,-(DAY(F337)-1),0):H337)*IF(AND(OR('депозитный калькулятор'!$G$7="30/365",'депозитный калькулятор'!$G$7="30/360"),DAY(F337)&lt;30),30,DAY(F337))),IF(AND('депозитный калькулятор'!$G$10="ежемесячное, на средний остаток в течение месяца, при условии что остаток больше чем ограничение",F337='депозитный калькулятор'!$D$8,EOMONTH(F337,0)&lt;&gt;F337),IF('депозитный калькулятор'!$F$1=1,$H$24,SUM(OFFSET(Q337,-E337+1,0):Q337)),IF(AND('депозитный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калькулятор'!$G$7="30/360"),DAY(EOMONTH(F337,0))=31),EOMONTH(F337,0)-1=F337,EOMONTH(F337,0)=F337)),IF(IF(AND(OR('депозитный калькулятор'!$G$7="30/365",'депозитный калькулятор'!$G$7="30/360"),DAY(EOMONTH($F$24,0))=31),F337=EOMONTH($F$24,0)-1,F337=EOMONTH($F$24,0)),SUM(OFFSET(Q337,-E337+1,0):Q337),SUM(OFFSET(Q337,-E337+1,0):Q337)),IF('депозитный калькулятор'!$G$10="ежеквартальное",IF(F337&gt;'депозитный калькулятор'!$D$8," ",IF(AND(EOMONTH(F337,0)=F337,OR(MONTH(F337)=3,MONTH(F337)=6,MONTH(F337)=9,MONTH(F337)=12)),IF(EDATE(F337,-3)&lt;'депозитный калькулятор'!$D$7,SUM($H$23:H337),IF(MOD(YEAR(F337),4)=0,IF(AND(EOMONTH(F337,0)=F337,OR(MONTH(F337)=3,MONTH(F337)=6)),SUM(OFFSET(H337,-90,0):H337),IF(AND(EOMONTH(F337,0)=F337,OR(MONTH(F337)=9,MONTH(F337)=12)),SUM(OFFSET(H337,-91,0):H337))),IF(AND(EOMONTH(F337,0)=F337,MONTH(F337)=3),SUM(OFFSET(H337,-89,0):H337),IF(AND(EOMONTH(F337,0)=F337,MONTH(F337)=6),SUM(OFFSET(H337,-90,0):H337),IF(AND(EOMONTH(F337,0)=F337,OR(MONTH(F337)=9,MONTH(F337)=12)),SUM(OFFSET(H337,-91,0):H337)))))),IF(F337='депозитный калькулятор'!$D$8,SUM($H$23:H337)-SUM($I$23:I336),0))),IF('депозитный калькулятор'!$G$10="ежегодное",IF(F337&gt;'депозитный калькулятор'!$D$8," ",IF(F337='депозитный калькулятор'!$D$8,SUM($H$23:H337)-SUM($I$23:I336),IF(AND(EOMONTH(F337,0)=F337,MONTH(F337)=12),IF(MOD(YEAR(F336),4)=0,IF(F337-'депозитный калькулятор'!$D$7&lt;366,SUM($H$23:H337),SUM(OFFSET(H337,-365,0):H337)),IF(F337-'депозитный калькулятор'!$D$7&lt;365,SUM($H$23:H337),SUM(OFFSET(H337,-364,0):H337))),0))),IF(AND('депозитный калькулятор'!$G$10="в конце срока",'депозитный калькулятор'!$D$8=F337),SUM($H$23:H337),0))))))))))))))))))</f>
        <v xml:space="preserve"> </v>
      </c>
      <c r="J337" s="59" t="str">
        <f>IF(F337&gt;'депозитный калькулятор'!$D$8," ",IF('депозитный калькулятор'!$G$16="нет",0,IF(AND('депозитный калькулятор'!$G$17="разовая (в конце срока)",F337='депозитный калькулятор'!$D$8),'депозитный калькулятор'!$G$18,IF(AND('депозитный калькулятор'!$G$17="ежемесячная",EOMONTH(F336,0)=F336),'депозитный калькулятор'!$G$18,IF(AND('депозитный калькулятор'!$G$17="ежегодная",DAY(F336)=31,MONTH(F336)=12),'депозитный калькулятор'!$G$18,IF(AND('депозитный калькулятор'!$G$17="ежемесячная в зависимости от остатка",EOMONTH(F336,0)=F336,P336&gt;0),'депозитный калькулятор'!$G$18,IF(AND('депозитный калькулятор'!$G$17="ежегодная в зависимости от остатка",DAY(F336)=31,MONTH(F336)=12,P336&gt;0),'депозитный калькулятор'!$G$18,0)))))))</f>
        <v xml:space="preserve"> </v>
      </c>
      <c r="K337" s="135" t="str">
        <f>IF($F337=" "," ",IFERROR(VLOOKUP($F337,'депозитный калькулятор'!$B$26:$F$70,2,0),0))</f>
        <v xml:space="preserve"> </v>
      </c>
      <c r="L337" s="135" t="str">
        <f>IF($F337=" "," ",IFERROR(VLOOKUP($F337,'депозитный калькулятор'!$B$26:$F$70,3,0),0))</f>
        <v xml:space="preserve"> </v>
      </c>
      <c r="M337" s="135" t="str">
        <f>IF($F337=" "," ",IFERROR(VLOOKUP($F337,'депозитный калькулятор'!$B$26:$F$70,4,0),0))</f>
        <v xml:space="preserve"> </v>
      </c>
      <c r="N337" s="135" t="str">
        <f>IF($F337=" "," ",IFERROR(VLOOKUP($F337,'депозитный калькулятор'!$B$26:$F$70,5,0),0))</f>
        <v xml:space="preserve"> </v>
      </c>
      <c r="O337" s="146" t="str">
        <f>IF(F337&gt;'депозитный калькулятор'!$D$8," ",IF(F337='депозитный калькулятор'!$D$8,IF(AND($F$24='депозитный калькулятор'!$D$8,'депозитный калькулятор'!$G$13="нет"),-G337-IF(I337=" ",0,I337)-IF(AND(OR('депозитный калькулятор'!$G$7="30/365",'депозитный калькулятор'!$G$7="30/360"),'депозитный калькулятор'!$G$10="в начале срока"),I336,0)-L337+M337-N337,-G337-IF(I337=" ",0,I337)-L337+M337-N337),IF('депозитный калькулятор'!$G$13="есть",M337-N337+IF('депозитный калькулятор'!$G$14="есть",0,-L337),-IF(I337=" ",0,I337)-IF(AND(OR('депозитный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срока"),I336,0)+M337-N337+IF('депозитный калькулятор'!$G$14="есть",0,-L337))))</f>
        <v xml:space="preserve"> </v>
      </c>
      <c r="P337" s="147" t="str">
        <f>IF(F337&gt;'депозитный калькулятор'!$D$8," ",IF(EOMONTH(F336,0)=F336,0,IF(G337&gt;='депозитный калькулятор'!$G$19,P336,P336+1)))</f>
        <v xml:space="preserve"> </v>
      </c>
      <c r="Q337" s="138" t="str">
        <f>IF(F337=" "," ",IF(AND(OR('депозитный калькулятор'!$G$7="30/365",'депозитный калькулятор'!$G$7="30/360"),AND(MONTH(F337)=2,EOMONTH(F337,0)=F337)),IF(DAY(F337)=28,3,2),1)*IF(G337&gt;='депозитный калькулятор'!$G$11,IF(AND('депозитный калькулятор'!$G$7="факт/факт",MOD(YEAR(F337),4)=0),G337*'депозитный калькулятор'!$D$11/366,G337*'депозитный калькулятор'!$G$8),0))</f>
        <v xml:space="preserve"> </v>
      </c>
      <c r="R337" s="148"/>
      <c r="S337" s="62" t="str">
        <f t="shared" ca="1" si="22"/>
        <v xml:space="preserve"> </v>
      </c>
      <c r="T337" s="149" t="str">
        <f ca="1">IF(S337=" "," ",IF('депозитный калькулятор'!$G$7="30/360",DAYS360(U336,IF(DAY(U337)=31,U337-1,U337))+IF(AND(MONTH(U337)=2,U337=EOMONTH(U337,0)),30-DAY(EOMONTH(U337,0)))+T336,VLOOKUP(S337,$C$22:$F$1023,2,0)))</f>
        <v xml:space="preserve"> </v>
      </c>
      <c r="U337" s="64" t="str">
        <f t="shared" ca="1" si="20"/>
        <v xml:space="preserve"> </v>
      </c>
      <c r="V337" s="150" t="str">
        <f t="shared" ca="1" si="23"/>
        <v xml:space="preserve"> </v>
      </c>
      <c r="W337" s="62" t="str">
        <f t="shared" ca="1" si="24"/>
        <v xml:space="preserve"> </v>
      </c>
      <c r="X337" s="141" t="str">
        <f ca="1">IF(S337=" "," ",IFERROR(VLOOKUP(U337,$F$23:$N$1023,7)+VLOOKUP(U337,$F$23:$N$1023,9)+IF(AND('депозитный калькулятор'!$G$13="нет",U337&lt;&gt;'депозитный калькулятор'!$D$8),VLOOKUP(U337,$F$23:$N$1023,4),0),0)+IF(U337='депозитный калькулятор'!$D$8,VLOOKUP(U337,$F$23:$N$1023,2)+VLOOKUP(U337,$F$23:$N$1023,4),0))</f>
        <v xml:space="preserve"> </v>
      </c>
      <c r="Y337" s="142" t="str">
        <f ca="1">IF(S337=" "," ",W337/(1+'депозитный калькулятор'!$K$8)^(T337/IF('депозитный калькулятор'!$G$7="30/360",360,365)))</f>
        <v xml:space="preserve"> </v>
      </c>
      <c r="Z337" s="142" t="str">
        <f ca="1">IF(S337=" "," ",X337/(1+'депозитный калькулятор'!$K$8)^(T337/IF('депозитный калькулятор'!$G$7="30/360",360,365)))</f>
        <v xml:space="preserve"> </v>
      </c>
      <c r="AA337" s="151"/>
      <c r="AB337" s="151"/>
      <c r="AC337" s="155"/>
      <c r="AD337" s="155"/>
    </row>
    <row r="338" spans="1:30" s="2" customFormat="1" ht="15.5" x14ac:dyDescent="0.35">
      <c r="A338" s="41" t="str">
        <f>IF(F338=" "," ",IF(OR('депозитный калькулятор'!$G$7="30/365",'депозитный калькулятор'!$G$7="30/360"),IF(AND(MONTH(F338)=2,DAY(F338)=DAY(EOMONTH(F338,0))),30-DAY(EOMONTH(F338,0)),IF(DAY(F338)=31,1," "))," "))</f>
        <v xml:space="preserve"> </v>
      </c>
      <c r="B338" s="130" t="str">
        <f t="shared" si="21"/>
        <v xml:space="preserve"> </v>
      </c>
      <c r="C338" s="130" t="str">
        <f>IF(OR(B338=0,B338=" ")," ",SUM($B$23:B338))</f>
        <v xml:space="preserve"> </v>
      </c>
      <c r="D338" s="62" t="str">
        <f>IF(D337=" "," ",IF(OR(F337='депозитный калькулятор'!$D$8,F337=" ")," ",D337+1))</f>
        <v xml:space="preserve"> </v>
      </c>
      <c r="E338" s="130" t="str">
        <f>IF(OR(F337='депозитный калькулятор'!$D$8,F337=" ")," ",IF(EOMONTH(F337,0)=F337,1,E337+1))</f>
        <v xml:space="preserve"> </v>
      </c>
      <c r="F338" s="64" t="str">
        <f>IF(F337=" "," ",IF(F337='депозитный калькулятор'!$D$8," ",F337+1))</f>
        <v xml:space="preserve"> </v>
      </c>
      <c r="G338" s="145" t="str">
        <f xml:space="preserve"> IF(F338&gt;'депозитный калькулятор'!$D$8," ",IF('депозитный калькулятор'!$G$13="есть",IF('депозитный калькулятор'!$G$14="есть",G337+IF(I337=" ",0,I337)-J338-K338+L338+M338-N338,G337+IF(I337=" ",0,I337)-J338-K338+M338-N338),IF('депозитный калькулятор'!$G$14="есть",G337-J338-K338+L338+M338-N338,G337-J338-K338+M338-N338)))</f>
        <v xml:space="preserve"> </v>
      </c>
      <c r="H338" s="133" t="str">
        <f>IF(F338&gt;'депозитный калькулятор'!$D$8," ",IF(AND(OR('депозитный калькулятор'!$G$7="30/365",'депозитный калькулятор'!$G$7="30/360"),AND(MONTH(F338)=2,EOMONTH(F338,0)=F338)),IF(DAY(F338)=28,3*G338*'депозитный калькулятор'!$G$8,2*G338*'депозитный калькулятор'!$G$8),IF(AND(OR('депозитный калькулятор'!$G$7="30/365",'депозитный калькулятор'!$G$7="30/360"),DAY(F338)=31)," ",IF(AND('депозитный калькулятор'!$G$7="факт/факт",MOD(YEAR(F338),4)=0),G338*'депозитный калькулятор'!$D$11/366,G338*'депозитный калькулятор'!$G$8))))</f>
        <v xml:space="preserve"> </v>
      </c>
      <c r="I338" s="134" t="str">
        <f ca="1">IF(F338=" "," ",IF('депозитный калькулятор'!$G$10="ежедневное",H338,IF(AND('депозитный калькулятор'!$G$10="еженедельное",WEEKDAY(F338,2)=7),SUM(OFFSET(H338,-6,0):H338),IF(AND('депозитный калькулятор'!$G$10="еженедельное",F338='депозитный калькулятор'!$D$8),SUM($H$23:H338)-SUM($I$23:I337),IF(AND('депозитный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недели",WEEKDAY(F338,2)=7),MIN(OFFSET(H338,-6,0):H338)*(COUNTIF(OFFSET(H338,-6,0):H338,"&gt;0")+SUMIF(OFFSET(A338,-WEEKDAY(F338,2),0):A338,"=2",OFFSET(A338,-WEEKDAY(F338,2),0):A338)),IF(AND('депозитный калькулятор'!$G$10="еженедельное, на минимальную сумму зафиксированную в течение недели",F338='депозитный калькулятор'!$D$8,WEEKDAY(F338,2)&lt;&gt;7),MIN(OFFSET(H338,-WEEKDAY(F338,2),0):H338)*(COUNTIF(OFFSET(H338,-WEEKDAY(F338,2)+1,0):H338,"&gt;0")+SUM(OFFSET(A338,-WEEKDAY(F338,2),0):A338)),IF(AND('депозитный калькулятор'!$G$10="ежемесячное (в конце месяца)",F338='депозитный калькулятор'!$D$8,EOMONTH(F338,0)&lt;&gt;F338),IF('депозитный калькулятор'!$F$1=1,$H$24,SUM($H$23:H338)-SUM($I$23:I337)),IF(AND('депозитный калькулятор'!$G$10="ежемесячное (в конце месяца)",EOMONTH(F338,0)=F338),SUM($H$23:H338)-SUM($I$23:I337),IF(AND('депозитный калькулятор'!$G$10="ежемесячное (по дням открытия вклада)",F338='депозитный калькулятор'!$D$8,DAY('депозитный калькулятор'!$D$7)&lt;&gt;DAY(F338)),IF('депозитный калькулятор'!$F$1=1,$H$24,SUM($H$23:H338)-SUM($I$23:I337)),IF(AND('депозитный калькулятор'!$G$10="ежемесячное (по дням открытия вклада)",DAY('депозитный калькулятор'!$D$7)=DAY(F338)),SUM($H$23:H338)-SUM($I$23:I337),IF(AND('депозитный калькулятор'!$G$10="ежемесячное, на минимальную сумму зафиксированную в течение месяца",F338='депозитный калькулятор'!$D$8,EOMONTH(F338,0)&lt;&gt;F338),IF('депозитный калькулятор'!$F$1=1,$H$24,IF(AND(OR('депозитный калькулятор'!$G$7="30/365",'депозитный калькулятор'!$G$7="30/360"),DAY(F338)=31),0,MIN(OFFSET(H338,-E338+1,0):H338)*(E338+SUMIF(OFFSET(A338,-E338+1,0):A338,"=2",OFFSET(A338,-E338+1,0):A338)))),IF(AND('депозитный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калькулятор'!$G$7="30/360"),DAY(EOMONTH(F338,0))=31),EOMONTH(F338,0)-1=F338,EOMONTH(F338,0)=F338)),IF(IF(AND(OR('депозитный калькулятор'!$G$7="30/365",'депозитный калькулятор'!$G$7="30/360"),DAY(EOMONTH($F$23,0))=31),F338=EOMONTH($F$23,0)-1,F338=EOMONTH($F$23,0)),MIN(OFFSET(H338,-(DAY(F338)-DAY($F$23)),0):H338)*E338,MIN(OFFSET(H338,-(DAY(F338)-1),0):H338)*IF(AND(OR('депозитный калькулятор'!$G$7="30/365",'депозитный калькулятор'!$G$7="30/360"),DAY(F338)&lt;30),30,DAY(F338))),IF(AND('депозитный калькулятор'!$G$10="ежемесячное, на средний остаток в течение месяца, при условии что остаток больше чем ограничение",F338='депозитный калькулятор'!$D$8,EOMONTH(F338,0)&lt;&gt;F338),IF('депозитный калькулятор'!$F$1=1,$H$24,SUM(OFFSET(Q338,-E338+1,0):Q338)),IF(AND('депозитный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калькулятор'!$G$7="30/360"),DAY(EOMONTH(F338,0))=31),EOMONTH(F338,0)-1=F338,EOMONTH(F338,0)=F338)),IF(IF(AND(OR('депозитный калькулятор'!$G$7="30/365",'депозитный калькулятор'!$G$7="30/360"),DAY(EOMONTH($F$24,0))=31),F338=EOMONTH($F$24,0)-1,F338=EOMONTH($F$24,0)),SUM(OFFSET(Q338,-E338+1,0):Q338),SUM(OFFSET(Q338,-E338+1,0):Q338)),IF('депозитный калькулятор'!$G$10="ежеквартальное",IF(F338&gt;'депозитный калькулятор'!$D$8," ",IF(AND(EOMONTH(F338,0)=F338,OR(MONTH(F338)=3,MONTH(F338)=6,MONTH(F338)=9,MONTH(F338)=12)),IF(EDATE(F338,-3)&lt;'депозитный калькулятор'!$D$7,SUM($H$23:H338),IF(MOD(YEAR(F338),4)=0,IF(AND(EOMONTH(F338,0)=F338,OR(MONTH(F338)=3,MONTH(F338)=6)),SUM(OFFSET(H338,-90,0):H338),IF(AND(EOMONTH(F338,0)=F338,OR(MONTH(F338)=9,MONTH(F338)=12)),SUM(OFFSET(H338,-91,0):H338))),IF(AND(EOMONTH(F338,0)=F338,MONTH(F338)=3),SUM(OFFSET(H338,-89,0):H338),IF(AND(EOMONTH(F338,0)=F338,MONTH(F338)=6),SUM(OFFSET(H338,-90,0):H338),IF(AND(EOMONTH(F338,0)=F338,OR(MONTH(F338)=9,MONTH(F338)=12)),SUM(OFFSET(H338,-91,0):H338)))))),IF(F338='депозитный калькулятор'!$D$8,SUM($H$23:H338)-SUM($I$23:I337),0))),IF('депозитный калькулятор'!$G$10="ежегодное",IF(F338&gt;'депозитный калькулятор'!$D$8," ",IF(F338='депозитный калькулятор'!$D$8,SUM($H$23:H338)-SUM($I$23:I337),IF(AND(EOMONTH(F338,0)=F338,MONTH(F338)=12),IF(MOD(YEAR(F337),4)=0,IF(F338-'депозитный калькулятор'!$D$7&lt;366,SUM($H$23:H338),SUM(OFFSET(H338,-365,0):H338)),IF(F338-'депозитный калькулятор'!$D$7&lt;365,SUM($H$23:H338),SUM(OFFSET(H338,-364,0):H338))),0))),IF(AND('депозитный калькулятор'!$G$10="в конце срока",'депозитный калькулятор'!$D$8=F338),SUM($H$23:H338),0))))))))))))))))))</f>
        <v xml:space="preserve"> </v>
      </c>
      <c r="J338" s="59" t="str">
        <f>IF(F338&gt;'депозитный калькулятор'!$D$8," ",IF('депозитный калькулятор'!$G$16="нет",0,IF(AND('депозитный калькулятор'!$G$17="разовая (в конце срока)",F338='депозитный калькулятор'!$D$8),'депозитный калькулятор'!$G$18,IF(AND('депозитный калькулятор'!$G$17="ежемесячная",EOMONTH(F337,0)=F337),'депозитный калькулятор'!$G$18,IF(AND('депозитный калькулятор'!$G$17="ежегодная",DAY(F337)=31,MONTH(F337)=12),'депозитный калькулятор'!$G$18,IF(AND('депозитный калькулятор'!$G$17="ежемесячная в зависимости от остатка",EOMONTH(F337,0)=F337,P337&gt;0),'депозитный калькулятор'!$G$18,IF(AND('депозитный калькулятор'!$G$17="ежегодная в зависимости от остатка",DAY(F337)=31,MONTH(F337)=12,P337&gt;0),'депозитный калькулятор'!$G$18,0)))))))</f>
        <v xml:space="preserve"> </v>
      </c>
      <c r="K338" s="135" t="str">
        <f>IF($F338=" "," ",IFERROR(VLOOKUP($F338,'депозитный калькулятор'!$B$26:$F$70,2,0),0))</f>
        <v xml:space="preserve"> </v>
      </c>
      <c r="L338" s="135" t="str">
        <f>IF($F338=" "," ",IFERROR(VLOOKUP($F338,'депозитный калькулятор'!$B$26:$F$70,3,0),0))</f>
        <v xml:space="preserve"> </v>
      </c>
      <c r="M338" s="135" t="str">
        <f>IF($F338=" "," ",IFERROR(VLOOKUP($F338,'депозитный калькулятор'!$B$26:$F$70,4,0),0))</f>
        <v xml:space="preserve"> </v>
      </c>
      <c r="N338" s="135" t="str">
        <f>IF($F338=" "," ",IFERROR(VLOOKUP($F338,'депозитный калькулятор'!$B$26:$F$70,5,0),0))</f>
        <v xml:space="preserve"> </v>
      </c>
      <c r="O338" s="146" t="str">
        <f>IF(F338&gt;'депозитный калькулятор'!$D$8," ",IF(F338='депозитный калькулятор'!$D$8,IF(AND($F$24='депозитный калькулятор'!$D$8,'депозитный калькулятор'!$G$13="нет"),-G338-IF(I338=" ",0,I338)-IF(AND(OR('депозитный калькулятор'!$G$7="30/365",'депозитный калькулятор'!$G$7="30/360"),'депозитный калькулятор'!$G$10="в начале срока"),I337,0)-L338+M338-N338,-G338-IF(I338=" ",0,I338)-L338+M338-N338),IF('депозитный калькулятор'!$G$13="есть",M338-N338+IF('депозитный калькулятор'!$G$14="есть",0,-L338),-IF(I338=" ",0,I338)-IF(AND(OR('депозитный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срока"),I337,0)+M338-N338+IF('депозитный калькулятор'!$G$14="есть",0,-L338))))</f>
        <v xml:space="preserve"> </v>
      </c>
      <c r="P338" s="147" t="str">
        <f>IF(F338&gt;'депозитный калькулятор'!$D$8," ",IF(EOMONTH(F337,0)=F337,0,IF(G338&gt;='депозитный калькулятор'!$G$19,P337,P337+1)))</f>
        <v xml:space="preserve"> </v>
      </c>
      <c r="Q338" s="138" t="str">
        <f>IF(F338=" "," ",IF(AND(OR('депозитный калькулятор'!$G$7="30/365",'депозитный калькулятор'!$G$7="30/360"),AND(MONTH(F338)=2,EOMONTH(F338,0)=F338)),IF(DAY(F338)=28,3,2),1)*IF(G338&gt;='депозитный калькулятор'!$G$11,IF(AND('депозитный калькулятор'!$G$7="факт/факт",MOD(YEAR(F338),4)=0),G338*'депозитный калькулятор'!$D$11/366,G338*'депозитный калькулятор'!$G$8),0))</f>
        <v xml:space="preserve"> </v>
      </c>
      <c r="R338" s="148"/>
      <c r="S338" s="62" t="str">
        <f t="shared" ca="1" si="22"/>
        <v xml:space="preserve"> </v>
      </c>
      <c r="T338" s="149" t="str">
        <f ca="1">IF(S338=" "," ",IF('депозитный калькулятор'!$G$7="30/360",DAYS360(U337,IF(DAY(U338)=31,U338-1,U338))+IF(AND(MONTH(U338)=2,U338=EOMONTH(U338,0)),30-DAY(EOMONTH(U338,0)))+T337,VLOOKUP(S338,$C$22:$F$1023,2,0)))</f>
        <v xml:space="preserve"> </v>
      </c>
      <c r="U338" s="64" t="str">
        <f t="shared" ca="1" si="20"/>
        <v xml:space="preserve"> </v>
      </c>
      <c r="V338" s="150" t="str">
        <f t="shared" ca="1" si="23"/>
        <v xml:space="preserve"> </v>
      </c>
      <c r="W338" s="62" t="str">
        <f t="shared" ca="1" si="24"/>
        <v xml:space="preserve"> </v>
      </c>
      <c r="X338" s="141" t="str">
        <f ca="1">IF(S338=" "," ",IFERROR(VLOOKUP(U338,$F$23:$N$1023,7)+VLOOKUP(U338,$F$23:$N$1023,9)+IF(AND('депозитный калькулятор'!$G$13="нет",U338&lt;&gt;'депозитный калькулятор'!$D$8),VLOOKUP(U338,$F$23:$N$1023,4),0),0)+IF(U338='депозитный калькулятор'!$D$8,VLOOKUP(U338,$F$23:$N$1023,2)+VLOOKUP(U338,$F$23:$N$1023,4),0))</f>
        <v xml:space="preserve"> </v>
      </c>
      <c r="Y338" s="142" t="str">
        <f ca="1">IF(S338=" "," ",W338/(1+'депозитный калькулятор'!$K$8)^(T338/IF('депозитный калькулятор'!$G$7="30/360",360,365)))</f>
        <v xml:space="preserve"> </v>
      </c>
      <c r="Z338" s="142" t="str">
        <f ca="1">IF(S338=" "," ",X338/(1+'депозитный калькулятор'!$K$8)^(T338/IF('депозитный калькулятор'!$G$7="30/360",360,365)))</f>
        <v xml:space="preserve"> </v>
      </c>
      <c r="AA338" s="151"/>
      <c r="AB338" s="151"/>
      <c r="AC338" s="155"/>
      <c r="AD338" s="155"/>
    </row>
    <row r="339" spans="1:30" s="2" customFormat="1" ht="15.5" x14ac:dyDescent="0.35">
      <c r="A339" s="41" t="str">
        <f>IF(F339=" "," ",IF(OR('депозитный калькулятор'!$G$7="30/365",'депозитный калькулятор'!$G$7="30/360"),IF(AND(MONTH(F339)=2,DAY(F339)=DAY(EOMONTH(F339,0))),30-DAY(EOMONTH(F339,0)),IF(DAY(F339)=31,1," "))," "))</f>
        <v xml:space="preserve"> </v>
      </c>
      <c r="B339" s="130" t="str">
        <f t="shared" si="21"/>
        <v xml:space="preserve"> </v>
      </c>
      <c r="C339" s="130" t="str">
        <f>IF(OR(B339=0,B339=" ")," ",SUM($B$23:B339))</f>
        <v xml:space="preserve"> </v>
      </c>
      <c r="D339" s="62" t="str">
        <f>IF(D338=" "," ",IF(OR(F338='депозитный калькулятор'!$D$8,F338=" ")," ",D338+1))</f>
        <v xml:space="preserve"> </v>
      </c>
      <c r="E339" s="130" t="str">
        <f>IF(OR(F338='депозитный калькулятор'!$D$8,F338=" ")," ",IF(EOMONTH(F338,0)=F338,1,E338+1))</f>
        <v xml:space="preserve"> </v>
      </c>
      <c r="F339" s="64" t="str">
        <f>IF(F338=" "," ",IF(F338='депозитный калькулятор'!$D$8," ",F338+1))</f>
        <v xml:space="preserve"> </v>
      </c>
      <c r="G339" s="145" t="str">
        <f xml:space="preserve"> IF(F339&gt;'депозитный калькулятор'!$D$8," ",IF('депозитный калькулятор'!$G$13="есть",IF('депозитный калькулятор'!$G$14="есть",G338+IF(I338=" ",0,I338)-J339-K339+L339+M339-N339,G338+IF(I338=" ",0,I338)-J339-K339+M339-N339),IF('депозитный калькулятор'!$G$14="есть",G338-J339-K339+L339+M339-N339,G338-J339-K339+M339-N339)))</f>
        <v xml:space="preserve"> </v>
      </c>
      <c r="H339" s="133" t="str">
        <f>IF(F339&gt;'депозитный калькулятор'!$D$8," ",IF(AND(OR('депозитный калькулятор'!$G$7="30/365",'депозитный калькулятор'!$G$7="30/360"),AND(MONTH(F339)=2,EOMONTH(F339,0)=F339)),IF(DAY(F339)=28,3*G339*'депозитный калькулятор'!$G$8,2*G339*'депозитный калькулятор'!$G$8),IF(AND(OR('депозитный калькулятор'!$G$7="30/365",'депозитный калькулятор'!$G$7="30/360"),DAY(F339)=31)," ",IF(AND('депозитный калькулятор'!$G$7="факт/факт",MOD(YEAR(F339),4)=0),G339*'депозитный калькулятор'!$D$11/366,G339*'депозитный калькулятор'!$G$8))))</f>
        <v xml:space="preserve"> </v>
      </c>
      <c r="I339" s="134" t="str">
        <f ca="1">IF(F339=" "," ",IF('депозитный калькулятор'!$G$10="ежедневное",H339,IF(AND('депозитный калькулятор'!$G$10="еженедельное",WEEKDAY(F339,2)=7),SUM(OFFSET(H339,-6,0):H339),IF(AND('депозитный калькулятор'!$G$10="еженедельное",F339='депозитный калькулятор'!$D$8),SUM($H$23:H339)-SUM($I$23:I338),IF(AND('депозитный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недели",WEEKDAY(F339,2)=7),MIN(OFFSET(H339,-6,0):H339)*(COUNTIF(OFFSET(H339,-6,0):H339,"&gt;0")+SUMIF(OFFSET(A339,-WEEKDAY(F339,2),0):A339,"=2",OFFSET(A339,-WEEKDAY(F339,2),0):A339)),IF(AND('депозитный калькулятор'!$G$10="еженедельное, на минимальную сумму зафиксированную в течение недели",F339='депозитный калькулятор'!$D$8,WEEKDAY(F339,2)&lt;&gt;7),MIN(OFFSET(H339,-WEEKDAY(F339,2),0):H339)*(COUNTIF(OFFSET(H339,-WEEKDAY(F339,2)+1,0):H339,"&gt;0")+SUM(OFFSET(A339,-WEEKDAY(F339,2),0):A339)),IF(AND('депозитный калькулятор'!$G$10="ежемесячное (в конце месяца)",F339='депозитный калькулятор'!$D$8,EOMONTH(F339,0)&lt;&gt;F339),IF('депозитный калькулятор'!$F$1=1,$H$24,SUM($H$23:H339)-SUM($I$23:I338)),IF(AND('депозитный калькулятор'!$G$10="ежемесячное (в конце месяца)",EOMONTH(F339,0)=F339),SUM($H$23:H339)-SUM($I$23:I338),IF(AND('депозитный калькулятор'!$G$10="ежемесячное (по дням открытия вклада)",F339='депозитный калькулятор'!$D$8,DAY('депозитный калькулятор'!$D$7)&lt;&gt;DAY(F339)),IF('депозитный калькулятор'!$F$1=1,$H$24,SUM($H$23:H339)-SUM($I$23:I338)),IF(AND('депозитный калькулятор'!$G$10="ежемесячное (по дням открытия вклада)",DAY('депозитный калькулятор'!$D$7)=DAY(F339)),SUM($H$23:H339)-SUM($I$23:I338),IF(AND('депозитный калькулятор'!$G$10="ежемесячное, на минимальную сумму зафиксированную в течение месяца",F339='депозитный калькулятор'!$D$8,EOMONTH(F339,0)&lt;&gt;F339),IF('депозитный калькулятор'!$F$1=1,$H$24,IF(AND(OR('депозитный калькулятор'!$G$7="30/365",'депозитный калькулятор'!$G$7="30/360"),DAY(F339)=31),0,MIN(OFFSET(H339,-E339+1,0):H339)*(E339+SUMIF(OFFSET(A339,-E339+1,0):A339,"=2",OFFSET(A339,-E339+1,0):A339)))),IF(AND('депозитный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калькулятор'!$G$7="30/360"),DAY(EOMONTH(F339,0))=31),EOMONTH(F339,0)-1=F339,EOMONTH(F339,0)=F339)),IF(IF(AND(OR('депозитный калькулятор'!$G$7="30/365",'депозитный калькулятор'!$G$7="30/360"),DAY(EOMONTH($F$23,0))=31),F339=EOMONTH($F$23,0)-1,F339=EOMONTH($F$23,0)),MIN(OFFSET(H339,-(DAY(F339)-DAY($F$23)),0):H339)*E339,MIN(OFFSET(H339,-(DAY(F339)-1),0):H339)*IF(AND(OR('депозитный калькулятор'!$G$7="30/365",'депозитный калькулятор'!$G$7="30/360"),DAY(F339)&lt;30),30,DAY(F339))),IF(AND('депозитный калькулятор'!$G$10="ежемесячное, на средний остаток в течение месяца, при условии что остаток больше чем ограничение",F339='депозитный калькулятор'!$D$8,EOMONTH(F339,0)&lt;&gt;F339),IF('депозитный калькулятор'!$F$1=1,$H$24,SUM(OFFSET(Q339,-E339+1,0):Q339)),IF(AND('депозитный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калькулятор'!$G$7="30/360"),DAY(EOMONTH(F339,0))=31),EOMONTH(F339,0)-1=F339,EOMONTH(F339,0)=F339)),IF(IF(AND(OR('депозитный калькулятор'!$G$7="30/365",'депозитный калькулятор'!$G$7="30/360"),DAY(EOMONTH($F$24,0))=31),F339=EOMONTH($F$24,0)-1,F339=EOMONTH($F$24,0)),SUM(OFFSET(Q339,-E339+1,0):Q339),SUM(OFFSET(Q339,-E339+1,0):Q339)),IF('депозитный калькулятор'!$G$10="ежеквартальное",IF(F339&gt;'депозитный калькулятор'!$D$8," ",IF(AND(EOMONTH(F339,0)=F339,OR(MONTH(F339)=3,MONTH(F339)=6,MONTH(F339)=9,MONTH(F339)=12)),IF(EDATE(F339,-3)&lt;'депозитный калькулятор'!$D$7,SUM($H$23:H339),IF(MOD(YEAR(F339),4)=0,IF(AND(EOMONTH(F339,0)=F339,OR(MONTH(F339)=3,MONTH(F339)=6)),SUM(OFFSET(H339,-90,0):H339),IF(AND(EOMONTH(F339,0)=F339,OR(MONTH(F339)=9,MONTH(F339)=12)),SUM(OFFSET(H339,-91,0):H339))),IF(AND(EOMONTH(F339,0)=F339,MONTH(F339)=3),SUM(OFFSET(H339,-89,0):H339),IF(AND(EOMONTH(F339,0)=F339,MONTH(F339)=6),SUM(OFFSET(H339,-90,0):H339),IF(AND(EOMONTH(F339,0)=F339,OR(MONTH(F339)=9,MONTH(F339)=12)),SUM(OFFSET(H339,-91,0):H339)))))),IF(F339='депозитный калькулятор'!$D$8,SUM($H$23:H339)-SUM($I$23:I338),0))),IF('депозитный калькулятор'!$G$10="ежегодное",IF(F339&gt;'депозитный калькулятор'!$D$8," ",IF(F339='депозитный калькулятор'!$D$8,SUM($H$23:H339)-SUM($I$23:I338),IF(AND(EOMONTH(F339,0)=F339,MONTH(F339)=12),IF(MOD(YEAR(F338),4)=0,IF(F339-'депозитный калькулятор'!$D$7&lt;366,SUM($H$23:H339),SUM(OFFSET(H339,-365,0):H339)),IF(F339-'депозитный калькулятор'!$D$7&lt;365,SUM($H$23:H339),SUM(OFFSET(H339,-364,0):H339))),0))),IF(AND('депозитный калькулятор'!$G$10="в конце срока",'депозитный калькулятор'!$D$8=F339),SUM($H$23:H339),0))))))))))))))))))</f>
        <v xml:space="preserve"> </v>
      </c>
      <c r="J339" s="59" t="str">
        <f>IF(F339&gt;'депозитный калькулятор'!$D$8," ",IF('депозитный калькулятор'!$G$16="нет",0,IF(AND('депозитный калькулятор'!$G$17="разовая (в конце срока)",F339='депозитный калькулятор'!$D$8),'депозитный калькулятор'!$G$18,IF(AND('депозитный калькулятор'!$G$17="ежемесячная",EOMONTH(F338,0)=F338),'депозитный калькулятор'!$G$18,IF(AND('депозитный калькулятор'!$G$17="ежегодная",DAY(F338)=31,MONTH(F338)=12),'депозитный калькулятор'!$G$18,IF(AND('депозитный калькулятор'!$G$17="ежемесячная в зависимости от остатка",EOMONTH(F338,0)=F338,P338&gt;0),'депозитный калькулятор'!$G$18,IF(AND('депозитный калькулятор'!$G$17="ежегодная в зависимости от остатка",DAY(F338)=31,MONTH(F338)=12,P338&gt;0),'депозитный калькулятор'!$G$18,0)))))))</f>
        <v xml:space="preserve"> </v>
      </c>
      <c r="K339" s="135" t="str">
        <f>IF($F339=" "," ",IFERROR(VLOOKUP($F339,'депозитный калькулятор'!$B$26:$F$70,2,0),0))</f>
        <v xml:space="preserve"> </v>
      </c>
      <c r="L339" s="135" t="str">
        <f>IF($F339=" "," ",IFERROR(VLOOKUP($F339,'депозитный калькулятор'!$B$26:$F$70,3,0),0))</f>
        <v xml:space="preserve"> </v>
      </c>
      <c r="M339" s="135" t="str">
        <f>IF($F339=" "," ",IFERROR(VLOOKUP($F339,'депозитный калькулятор'!$B$26:$F$70,4,0),0))</f>
        <v xml:space="preserve"> </v>
      </c>
      <c r="N339" s="135" t="str">
        <f>IF($F339=" "," ",IFERROR(VLOOKUP($F339,'депозитный калькулятор'!$B$26:$F$70,5,0),0))</f>
        <v xml:space="preserve"> </v>
      </c>
      <c r="O339" s="146" t="str">
        <f>IF(F339&gt;'депозитный калькулятор'!$D$8," ",IF(F339='депозитный калькулятор'!$D$8,IF(AND($F$24='депозитный калькулятор'!$D$8,'депозитный калькулятор'!$G$13="нет"),-G339-IF(I339=" ",0,I339)-IF(AND(OR('депозитный калькулятор'!$G$7="30/365",'депозитный калькулятор'!$G$7="30/360"),'депозитный калькулятор'!$G$10="в начале срока"),I338,0)-L339+M339-N339,-G339-IF(I339=" ",0,I339)-L339+M339-N339),IF('депозитный калькулятор'!$G$13="есть",M339-N339+IF('депозитный калькулятор'!$G$14="есть",0,-L339),-IF(I339=" ",0,I339)-IF(AND(OR('депозитный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срока"),I338,0)+M339-N339+IF('депозитный калькулятор'!$G$14="есть",0,-L339))))</f>
        <v xml:space="preserve"> </v>
      </c>
      <c r="P339" s="147" t="str">
        <f>IF(F339&gt;'депозитный калькулятор'!$D$8," ",IF(EOMONTH(F338,0)=F338,0,IF(G339&gt;='депозитный калькулятор'!$G$19,P338,P338+1)))</f>
        <v xml:space="preserve"> </v>
      </c>
      <c r="Q339" s="138" t="str">
        <f>IF(F339=" "," ",IF(AND(OR('депозитный калькулятор'!$G$7="30/365",'депозитный калькулятор'!$G$7="30/360"),AND(MONTH(F339)=2,EOMONTH(F339,0)=F339)),IF(DAY(F339)=28,3,2),1)*IF(G339&gt;='депозитный калькулятор'!$G$11,IF(AND('депозитный калькулятор'!$G$7="факт/факт",MOD(YEAR(F339),4)=0),G339*'депозитный калькулятор'!$D$11/366,G339*'депозитный калькулятор'!$G$8),0))</f>
        <v xml:space="preserve"> </v>
      </c>
      <c r="R339" s="148"/>
      <c r="S339" s="62" t="str">
        <f t="shared" ca="1" si="22"/>
        <v xml:space="preserve"> </v>
      </c>
      <c r="T339" s="149" t="str">
        <f ca="1">IF(S339=" "," ",IF('депозитный калькулятор'!$G$7="30/360",DAYS360(U338,IF(DAY(U339)=31,U339-1,U339))+IF(AND(MONTH(U339)=2,U339=EOMONTH(U339,0)),30-DAY(EOMONTH(U339,0)))+T338,VLOOKUP(S339,$C$22:$F$1023,2,0)))</f>
        <v xml:space="preserve"> </v>
      </c>
      <c r="U339" s="64" t="str">
        <f t="shared" ca="1" si="20"/>
        <v xml:space="preserve"> </v>
      </c>
      <c r="V339" s="150" t="str">
        <f t="shared" ca="1" si="23"/>
        <v xml:space="preserve"> </v>
      </c>
      <c r="W339" s="62" t="str">
        <f t="shared" ca="1" si="24"/>
        <v xml:space="preserve"> </v>
      </c>
      <c r="X339" s="141" t="str">
        <f ca="1">IF(S339=" "," ",IFERROR(VLOOKUP(U339,$F$23:$N$1023,7)+VLOOKUP(U339,$F$23:$N$1023,9)+IF(AND('депозитный калькулятор'!$G$13="нет",U339&lt;&gt;'депозитный калькулятор'!$D$8),VLOOKUP(U339,$F$23:$N$1023,4),0),0)+IF(U339='депозитный калькулятор'!$D$8,VLOOKUP(U339,$F$23:$N$1023,2)+VLOOKUP(U339,$F$23:$N$1023,4),0))</f>
        <v xml:space="preserve"> </v>
      </c>
      <c r="Y339" s="142" t="str">
        <f ca="1">IF(S339=" "," ",W339/(1+'депозитный калькулятор'!$K$8)^(T339/IF('депозитный калькулятор'!$G$7="30/360",360,365)))</f>
        <v xml:space="preserve"> </v>
      </c>
      <c r="Z339" s="142" t="str">
        <f ca="1">IF(S339=" "," ",X339/(1+'депозитный калькулятор'!$K$8)^(T339/IF('депозитный калькулятор'!$G$7="30/360",360,365)))</f>
        <v xml:space="preserve"> </v>
      </c>
      <c r="AA339" s="151"/>
      <c r="AB339" s="151"/>
      <c r="AC339" s="155"/>
      <c r="AD339" s="155"/>
    </row>
    <row r="340" spans="1:30" s="2" customFormat="1" ht="15.5" x14ac:dyDescent="0.35">
      <c r="A340" s="41" t="str">
        <f>IF(F340=" "," ",IF(OR('депозитный калькулятор'!$G$7="30/365",'депозитный калькулятор'!$G$7="30/360"),IF(AND(MONTH(F340)=2,DAY(F340)=DAY(EOMONTH(F340,0))),30-DAY(EOMONTH(F340,0)),IF(DAY(F340)=31,1," "))," "))</f>
        <v xml:space="preserve"> </v>
      </c>
      <c r="B340" s="130" t="str">
        <f t="shared" si="21"/>
        <v xml:space="preserve"> </v>
      </c>
      <c r="C340" s="130" t="str">
        <f>IF(OR(B340=0,B340=" ")," ",SUM($B$23:B340))</f>
        <v xml:space="preserve"> </v>
      </c>
      <c r="D340" s="62" t="str">
        <f>IF(D339=" "," ",IF(OR(F339='депозитный калькулятор'!$D$8,F339=" ")," ",D339+1))</f>
        <v xml:space="preserve"> </v>
      </c>
      <c r="E340" s="130" t="str">
        <f>IF(OR(F339='депозитный калькулятор'!$D$8,F339=" ")," ",IF(EOMONTH(F339,0)=F339,1,E339+1))</f>
        <v xml:space="preserve"> </v>
      </c>
      <c r="F340" s="64" t="str">
        <f>IF(F339=" "," ",IF(F339='депозитный калькулятор'!$D$8," ",F339+1))</f>
        <v xml:space="preserve"> </v>
      </c>
      <c r="G340" s="145" t="str">
        <f xml:space="preserve"> IF(F340&gt;'депозитный калькулятор'!$D$8," ",IF('депозитный калькулятор'!$G$13="есть",IF('депозитный калькулятор'!$G$14="есть",G339+IF(I339=" ",0,I339)-J340-K340+L340+M340-N340,G339+IF(I339=" ",0,I339)-J340-K340+M340-N340),IF('депозитный калькулятор'!$G$14="есть",G339-J340-K340+L340+M340-N340,G339-J340-K340+M340-N340)))</f>
        <v xml:space="preserve"> </v>
      </c>
      <c r="H340" s="133" t="str">
        <f>IF(F340&gt;'депозитный калькулятор'!$D$8," ",IF(AND(OR('депозитный калькулятор'!$G$7="30/365",'депозитный калькулятор'!$G$7="30/360"),AND(MONTH(F340)=2,EOMONTH(F340,0)=F340)),IF(DAY(F340)=28,3*G340*'депозитный калькулятор'!$G$8,2*G340*'депозитный калькулятор'!$G$8),IF(AND(OR('депозитный калькулятор'!$G$7="30/365",'депозитный калькулятор'!$G$7="30/360"),DAY(F340)=31)," ",IF(AND('депозитный калькулятор'!$G$7="факт/факт",MOD(YEAR(F340),4)=0),G340*'депозитный калькулятор'!$D$11/366,G340*'депозитный калькулятор'!$G$8))))</f>
        <v xml:space="preserve"> </v>
      </c>
      <c r="I340" s="134" t="str">
        <f ca="1">IF(F340=" "," ",IF('депозитный калькулятор'!$G$10="ежедневное",H340,IF(AND('депозитный калькулятор'!$G$10="еженедельное",WEEKDAY(F340,2)=7),SUM(OFFSET(H340,-6,0):H340),IF(AND('депозитный калькулятор'!$G$10="еженедельное",F340='депозитный калькулятор'!$D$8),SUM($H$23:H340)-SUM($I$23:I339),IF(AND('депозитный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недели",WEEKDAY(F340,2)=7),MIN(OFFSET(H340,-6,0):H340)*(COUNTIF(OFFSET(H340,-6,0):H340,"&gt;0")+SUMIF(OFFSET(A340,-WEEKDAY(F340,2),0):A340,"=2",OFFSET(A340,-WEEKDAY(F340,2),0):A340)),IF(AND('депозитный калькулятор'!$G$10="еженедельное, на минимальную сумму зафиксированную в течение недели",F340='депозитный калькулятор'!$D$8,WEEKDAY(F340,2)&lt;&gt;7),MIN(OFFSET(H340,-WEEKDAY(F340,2),0):H340)*(COUNTIF(OFFSET(H340,-WEEKDAY(F340,2)+1,0):H340,"&gt;0")+SUM(OFFSET(A340,-WEEKDAY(F340,2),0):A340)),IF(AND('депозитный калькулятор'!$G$10="ежемесячное (в конце месяца)",F340='депозитный калькулятор'!$D$8,EOMONTH(F340,0)&lt;&gt;F340),IF('депозитный калькулятор'!$F$1=1,$H$24,SUM($H$23:H340)-SUM($I$23:I339)),IF(AND('депозитный калькулятор'!$G$10="ежемесячное (в конце месяца)",EOMONTH(F340,0)=F340),SUM($H$23:H340)-SUM($I$23:I339),IF(AND('депозитный калькулятор'!$G$10="ежемесячное (по дням открытия вклада)",F340='депозитный калькулятор'!$D$8,DAY('депозитный калькулятор'!$D$7)&lt;&gt;DAY(F340)),IF('депозитный калькулятор'!$F$1=1,$H$24,SUM($H$23:H340)-SUM($I$23:I339)),IF(AND('депозитный калькулятор'!$G$10="ежемесячное (по дням открытия вклада)",DAY('депозитный калькулятор'!$D$7)=DAY(F340)),SUM($H$23:H340)-SUM($I$23:I339),IF(AND('депозитный калькулятор'!$G$10="ежемесячное, на минимальную сумму зафиксированную в течение месяца",F340='депозитный калькулятор'!$D$8,EOMONTH(F340,0)&lt;&gt;F340),IF('депозитный калькулятор'!$F$1=1,$H$24,IF(AND(OR('депозитный калькулятор'!$G$7="30/365",'депозитный калькулятор'!$G$7="30/360"),DAY(F340)=31),0,MIN(OFFSET(H340,-E340+1,0):H340)*(E340+SUMIF(OFFSET(A340,-E340+1,0):A340,"=2",OFFSET(A340,-E340+1,0):A340)))),IF(AND('депозитный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калькулятор'!$G$7="30/360"),DAY(EOMONTH(F340,0))=31),EOMONTH(F340,0)-1=F340,EOMONTH(F340,0)=F340)),IF(IF(AND(OR('депозитный калькулятор'!$G$7="30/365",'депозитный калькулятор'!$G$7="30/360"),DAY(EOMONTH($F$23,0))=31),F340=EOMONTH($F$23,0)-1,F340=EOMONTH($F$23,0)),MIN(OFFSET(H340,-(DAY(F340)-DAY($F$23)),0):H340)*E340,MIN(OFFSET(H340,-(DAY(F340)-1),0):H340)*IF(AND(OR('депозитный калькулятор'!$G$7="30/365",'депозитный калькулятор'!$G$7="30/360"),DAY(F340)&lt;30),30,DAY(F340))),IF(AND('депозитный калькулятор'!$G$10="ежемесячное, на средний остаток в течение месяца, при условии что остаток больше чем ограничение",F340='депозитный калькулятор'!$D$8,EOMONTH(F340,0)&lt;&gt;F340),IF('депозитный калькулятор'!$F$1=1,$H$24,SUM(OFFSET(Q340,-E340+1,0):Q340)),IF(AND('депозитный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калькулятор'!$G$7="30/360"),DAY(EOMONTH(F340,0))=31),EOMONTH(F340,0)-1=F340,EOMONTH(F340,0)=F340)),IF(IF(AND(OR('депозитный калькулятор'!$G$7="30/365",'депозитный калькулятор'!$G$7="30/360"),DAY(EOMONTH($F$24,0))=31),F340=EOMONTH($F$24,0)-1,F340=EOMONTH($F$24,0)),SUM(OFFSET(Q340,-E340+1,0):Q340),SUM(OFFSET(Q340,-E340+1,0):Q340)),IF('депозитный калькулятор'!$G$10="ежеквартальное",IF(F340&gt;'депозитный калькулятор'!$D$8," ",IF(AND(EOMONTH(F340,0)=F340,OR(MONTH(F340)=3,MONTH(F340)=6,MONTH(F340)=9,MONTH(F340)=12)),IF(EDATE(F340,-3)&lt;'депозитный калькулятор'!$D$7,SUM($H$23:H340),IF(MOD(YEAR(F340),4)=0,IF(AND(EOMONTH(F340,0)=F340,OR(MONTH(F340)=3,MONTH(F340)=6)),SUM(OFFSET(H340,-90,0):H340),IF(AND(EOMONTH(F340,0)=F340,OR(MONTH(F340)=9,MONTH(F340)=12)),SUM(OFFSET(H340,-91,0):H340))),IF(AND(EOMONTH(F340,0)=F340,MONTH(F340)=3),SUM(OFFSET(H340,-89,0):H340),IF(AND(EOMONTH(F340,0)=F340,MONTH(F340)=6),SUM(OFFSET(H340,-90,0):H340),IF(AND(EOMONTH(F340,0)=F340,OR(MONTH(F340)=9,MONTH(F340)=12)),SUM(OFFSET(H340,-91,0):H340)))))),IF(F340='депозитный калькулятор'!$D$8,SUM($H$23:H340)-SUM($I$23:I339),0))),IF('депозитный калькулятор'!$G$10="ежегодное",IF(F340&gt;'депозитный калькулятор'!$D$8," ",IF(F340='депозитный калькулятор'!$D$8,SUM($H$23:H340)-SUM($I$23:I339),IF(AND(EOMONTH(F340,0)=F340,MONTH(F340)=12),IF(MOD(YEAR(F339),4)=0,IF(F340-'депозитный калькулятор'!$D$7&lt;366,SUM($H$23:H340),SUM(OFFSET(H340,-365,0):H340)),IF(F340-'депозитный калькулятор'!$D$7&lt;365,SUM($H$23:H340),SUM(OFFSET(H340,-364,0):H340))),0))),IF(AND('депозитный калькулятор'!$G$10="в конце срока",'депозитный калькулятор'!$D$8=F340),SUM($H$23:H340),0))))))))))))))))))</f>
        <v xml:space="preserve"> </v>
      </c>
      <c r="J340" s="59" t="str">
        <f>IF(F340&gt;'депозитный калькулятор'!$D$8," ",IF('депозитный калькулятор'!$G$16="нет",0,IF(AND('депозитный калькулятор'!$G$17="разовая (в конце срока)",F340='депозитный калькулятор'!$D$8),'депозитный калькулятор'!$G$18,IF(AND('депозитный калькулятор'!$G$17="ежемесячная",EOMONTH(F339,0)=F339),'депозитный калькулятор'!$G$18,IF(AND('депозитный калькулятор'!$G$17="ежегодная",DAY(F339)=31,MONTH(F339)=12),'депозитный калькулятор'!$G$18,IF(AND('депозитный калькулятор'!$G$17="ежемесячная в зависимости от остатка",EOMONTH(F339,0)=F339,P339&gt;0),'депозитный калькулятор'!$G$18,IF(AND('депозитный калькулятор'!$G$17="ежегодная в зависимости от остатка",DAY(F339)=31,MONTH(F339)=12,P339&gt;0),'депозитный калькулятор'!$G$18,0)))))))</f>
        <v xml:space="preserve"> </v>
      </c>
      <c r="K340" s="135" t="str">
        <f>IF($F340=" "," ",IFERROR(VLOOKUP($F340,'депозитный калькулятор'!$B$26:$F$70,2,0),0))</f>
        <v xml:space="preserve"> </v>
      </c>
      <c r="L340" s="135" t="str">
        <f>IF($F340=" "," ",IFERROR(VLOOKUP($F340,'депозитный калькулятор'!$B$26:$F$70,3,0),0))</f>
        <v xml:space="preserve"> </v>
      </c>
      <c r="M340" s="135" t="str">
        <f>IF($F340=" "," ",IFERROR(VLOOKUP($F340,'депозитный калькулятор'!$B$26:$F$70,4,0),0))</f>
        <v xml:space="preserve"> </v>
      </c>
      <c r="N340" s="135" t="str">
        <f>IF($F340=" "," ",IFERROR(VLOOKUP($F340,'депозитный калькулятор'!$B$26:$F$70,5,0),0))</f>
        <v xml:space="preserve"> </v>
      </c>
      <c r="O340" s="146" t="str">
        <f>IF(F340&gt;'депозитный калькулятор'!$D$8," ",IF(F340='депозитный калькулятор'!$D$8,IF(AND($F$24='депозитный калькулятор'!$D$8,'депозитный калькулятор'!$G$13="нет"),-G340-IF(I340=" ",0,I340)-IF(AND(OR('депозитный калькулятор'!$G$7="30/365",'депозитный калькулятор'!$G$7="30/360"),'депозитный калькулятор'!$G$10="в начале срока"),I339,0)-L340+M340-N340,-G340-IF(I340=" ",0,I340)-L340+M340-N340),IF('депозитный калькулятор'!$G$13="есть",M340-N340+IF('депозитный калькулятор'!$G$14="есть",0,-L340),-IF(I340=" ",0,I340)-IF(AND(OR('депозитный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срока"),I339,0)+M340-N340+IF('депозитный калькулятор'!$G$14="есть",0,-L340))))</f>
        <v xml:space="preserve"> </v>
      </c>
      <c r="P340" s="147" t="str">
        <f>IF(F340&gt;'депозитный калькулятор'!$D$8," ",IF(EOMONTH(F339,0)=F339,0,IF(G340&gt;='депозитный калькулятор'!$G$19,P339,P339+1)))</f>
        <v xml:space="preserve"> </v>
      </c>
      <c r="Q340" s="138" t="str">
        <f>IF(F340=" "," ",IF(AND(OR('депозитный калькулятор'!$G$7="30/365",'депозитный калькулятор'!$G$7="30/360"),AND(MONTH(F340)=2,EOMONTH(F340,0)=F340)),IF(DAY(F340)=28,3,2),1)*IF(G340&gt;='депозитный калькулятор'!$G$11,IF(AND('депозитный калькулятор'!$G$7="факт/факт",MOD(YEAR(F340),4)=0),G340*'депозитный калькулятор'!$D$11/366,G340*'депозитный калькулятор'!$G$8),0))</f>
        <v xml:space="preserve"> </v>
      </c>
      <c r="R340" s="148"/>
      <c r="S340" s="62" t="str">
        <f t="shared" ca="1" si="22"/>
        <v xml:space="preserve"> </v>
      </c>
      <c r="T340" s="149" t="str">
        <f ca="1">IF(S340=" "," ",IF('депозитный калькулятор'!$G$7="30/360",DAYS360(U339,IF(DAY(U340)=31,U340-1,U340))+IF(AND(MONTH(U340)=2,U340=EOMONTH(U340,0)),30-DAY(EOMONTH(U340,0)))+T339,VLOOKUP(S340,$C$22:$F$1023,2,0)))</f>
        <v xml:space="preserve"> </v>
      </c>
      <c r="U340" s="64" t="str">
        <f t="shared" ca="1" si="20"/>
        <v xml:space="preserve"> </v>
      </c>
      <c r="V340" s="150" t="str">
        <f t="shared" ca="1" si="23"/>
        <v xml:space="preserve"> </v>
      </c>
      <c r="W340" s="62" t="str">
        <f t="shared" ca="1" si="24"/>
        <v xml:space="preserve"> </v>
      </c>
      <c r="X340" s="141" t="str">
        <f ca="1">IF(S340=" "," ",IFERROR(VLOOKUP(U340,$F$23:$N$1023,7)+VLOOKUP(U340,$F$23:$N$1023,9)+IF(AND('депозитный калькулятор'!$G$13="нет",U340&lt;&gt;'депозитный калькулятор'!$D$8),VLOOKUP(U340,$F$23:$N$1023,4),0),0)+IF(U340='депозитный калькулятор'!$D$8,VLOOKUP(U340,$F$23:$N$1023,2)+VLOOKUP(U340,$F$23:$N$1023,4),0))</f>
        <v xml:space="preserve"> </v>
      </c>
      <c r="Y340" s="142" t="str">
        <f ca="1">IF(S340=" "," ",W340/(1+'депозитный калькулятор'!$K$8)^(T340/IF('депозитный калькулятор'!$G$7="30/360",360,365)))</f>
        <v xml:space="preserve"> </v>
      </c>
      <c r="Z340" s="142" t="str">
        <f ca="1">IF(S340=" "," ",X340/(1+'депозитный калькулятор'!$K$8)^(T340/IF('депозитный калькулятор'!$G$7="30/360",360,365)))</f>
        <v xml:space="preserve"> </v>
      </c>
      <c r="AA340" s="151"/>
      <c r="AB340" s="151"/>
      <c r="AC340" s="155"/>
      <c r="AD340" s="155"/>
    </row>
    <row r="341" spans="1:30" s="2" customFormat="1" ht="15.5" x14ac:dyDescent="0.35">
      <c r="A341" s="41" t="str">
        <f>IF(F341=" "," ",IF(OR('депозитный калькулятор'!$G$7="30/365",'депозитный калькулятор'!$G$7="30/360"),IF(AND(MONTH(F341)=2,DAY(F341)=DAY(EOMONTH(F341,0))),30-DAY(EOMONTH(F341,0)),IF(DAY(F341)=31,1," "))," "))</f>
        <v xml:space="preserve"> </v>
      </c>
      <c r="B341" s="130" t="str">
        <f t="shared" si="21"/>
        <v xml:space="preserve"> </v>
      </c>
      <c r="C341" s="130" t="str">
        <f>IF(OR(B341=0,B341=" ")," ",SUM($B$23:B341))</f>
        <v xml:space="preserve"> </v>
      </c>
      <c r="D341" s="62" t="str">
        <f>IF(D340=" "," ",IF(OR(F340='депозитный калькулятор'!$D$8,F340=" ")," ",D340+1))</f>
        <v xml:space="preserve"> </v>
      </c>
      <c r="E341" s="130" t="str">
        <f>IF(OR(F340='депозитный калькулятор'!$D$8,F340=" ")," ",IF(EOMONTH(F340,0)=F340,1,E340+1))</f>
        <v xml:space="preserve"> </v>
      </c>
      <c r="F341" s="64" t="str">
        <f>IF(F340=" "," ",IF(F340='депозитный калькулятор'!$D$8," ",F340+1))</f>
        <v xml:space="preserve"> </v>
      </c>
      <c r="G341" s="145" t="str">
        <f xml:space="preserve"> IF(F341&gt;'депозитный калькулятор'!$D$8," ",IF('депозитный калькулятор'!$G$13="есть",IF('депозитный калькулятор'!$G$14="есть",G340+IF(I340=" ",0,I340)-J341-K341+L341+M341-N341,G340+IF(I340=" ",0,I340)-J341-K341+M341-N341),IF('депозитный калькулятор'!$G$14="есть",G340-J341-K341+L341+M341-N341,G340-J341-K341+M341-N341)))</f>
        <v xml:space="preserve"> </v>
      </c>
      <c r="H341" s="133" t="str">
        <f>IF(F341&gt;'депозитный калькулятор'!$D$8," ",IF(AND(OR('депозитный калькулятор'!$G$7="30/365",'депозитный калькулятор'!$G$7="30/360"),AND(MONTH(F341)=2,EOMONTH(F341,0)=F341)),IF(DAY(F341)=28,3*G341*'депозитный калькулятор'!$G$8,2*G341*'депозитный калькулятор'!$G$8),IF(AND(OR('депозитный калькулятор'!$G$7="30/365",'депозитный калькулятор'!$G$7="30/360"),DAY(F341)=31)," ",IF(AND('депозитный калькулятор'!$G$7="факт/факт",MOD(YEAR(F341),4)=0),G341*'депозитный калькулятор'!$D$11/366,G341*'депозитный калькулятор'!$G$8))))</f>
        <v xml:space="preserve"> </v>
      </c>
      <c r="I341" s="134" t="str">
        <f ca="1">IF(F341=" "," ",IF('депозитный калькулятор'!$G$10="ежедневное",H341,IF(AND('депозитный калькулятор'!$G$10="еженедельное",WEEKDAY(F341,2)=7),SUM(OFFSET(H341,-6,0):H341),IF(AND('депозитный калькулятор'!$G$10="еженедельное",F341='депозитный калькулятор'!$D$8),SUM($H$23:H341)-SUM($I$23:I340),IF(AND('депозитный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недели",WEEKDAY(F341,2)=7),MIN(OFFSET(H341,-6,0):H341)*(COUNTIF(OFFSET(H341,-6,0):H341,"&gt;0")+SUMIF(OFFSET(A341,-WEEKDAY(F341,2),0):A341,"=2",OFFSET(A341,-WEEKDAY(F341,2),0):A341)),IF(AND('депозитный калькулятор'!$G$10="еженедельное, на минимальную сумму зафиксированную в течение недели",F341='депозитный калькулятор'!$D$8,WEEKDAY(F341,2)&lt;&gt;7),MIN(OFFSET(H341,-WEEKDAY(F341,2),0):H341)*(COUNTIF(OFFSET(H341,-WEEKDAY(F341,2)+1,0):H341,"&gt;0")+SUM(OFFSET(A341,-WEEKDAY(F341,2),0):A341)),IF(AND('депозитный калькулятор'!$G$10="ежемесячное (в конце месяца)",F341='депозитный калькулятор'!$D$8,EOMONTH(F341,0)&lt;&gt;F341),IF('депозитный калькулятор'!$F$1=1,$H$24,SUM($H$23:H341)-SUM($I$23:I340)),IF(AND('депозитный калькулятор'!$G$10="ежемесячное (в конце месяца)",EOMONTH(F341,0)=F341),SUM($H$23:H341)-SUM($I$23:I340),IF(AND('депозитный калькулятор'!$G$10="ежемесячное (по дням открытия вклада)",F341='депозитный калькулятор'!$D$8,DAY('депозитный калькулятор'!$D$7)&lt;&gt;DAY(F341)),IF('депозитный калькулятор'!$F$1=1,$H$24,SUM($H$23:H341)-SUM($I$23:I340)),IF(AND('депозитный калькулятор'!$G$10="ежемесячное (по дням открытия вклада)",DAY('депозитный калькулятор'!$D$7)=DAY(F341)),SUM($H$23:H341)-SUM($I$23:I340),IF(AND('депозитный калькулятор'!$G$10="ежемесячное, на минимальную сумму зафиксированную в течение месяца",F341='депозитный калькулятор'!$D$8,EOMONTH(F341,0)&lt;&gt;F341),IF('депозитный калькулятор'!$F$1=1,$H$24,IF(AND(OR('депозитный калькулятор'!$G$7="30/365",'депозитный калькулятор'!$G$7="30/360"),DAY(F341)=31),0,MIN(OFFSET(H341,-E341+1,0):H341)*(E341+SUMIF(OFFSET(A341,-E341+1,0):A341,"=2",OFFSET(A341,-E341+1,0):A341)))),IF(AND('депозитный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калькулятор'!$G$7="30/360"),DAY(EOMONTH(F341,0))=31),EOMONTH(F341,0)-1=F341,EOMONTH(F341,0)=F341)),IF(IF(AND(OR('депозитный калькулятор'!$G$7="30/365",'депозитный калькулятор'!$G$7="30/360"),DAY(EOMONTH($F$23,0))=31),F341=EOMONTH($F$23,0)-1,F341=EOMONTH($F$23,0)),MIN(OFFSET(H341,-(DAY(F341)-DAY($F$23)),0):H341)*E341,MIN(OFFSET(H341,-(DAY(F341)-1),0):H341)*IF(AND(OR('депозитный калькулятор'!$G$7="30/365",'депозитный калькулятор'!$G$7="30/360"),DAY(F341)&lt;30),30,DAY(F341))),IF(AND('депозитный калькулятор'!$G$10="ежемесячное, на средний остаток в течение месяца, при условии что остаток больше чем ограничение",F341='депозитный калькулятор'!$D$8,EOMONTH(F341,0)&lt;&gt;F341),IF('депозитный калькулятор'!$F$1=1,$H$24,SUM(OFFSET(Q341,-E341+1,0):Q341)),IF(AND('депозитный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калькулятор'!$G$7="30/360"),DAY(EOMONTH(F341,0))=31),EOMONTH(F341,0)-1=F341,EOMONTH(F341,0)=F341)),IF(IF(AND(OR('депозитный калькулятор'!$G$7="30/365",'депозитный калькулятор'!$G$7="30/360"),DAY(EOMONTH($F$24,0))=31),F341=EOMONTH($F$24,0)-1,F341=EOMONTH($F$24,0)),SUM(OFFSET(Q341,-E341+1,0):Q341),SUM(OFFSET(Q341,-E341+1,0):Q341)),IF('депозитный калькулятор'!$G$10="ежеквартальное",IF(F341&gt;'депозитный калькулятор'!$D$8," ",IF(AND(EOMONTH(F341,0)=F341,OR(MONTH(F341)=3,MONTH(F341)=6,MONTH(F341)=9,MONTH(F341)=12)),IF(EDATE(F341,-3)&lt;'депозитный калькулятор'!$D$7,SUM($H$23:H341),IF(MOD(YEAR(F341),4)=0,IF(AND(EOMONTH(F341,0)=F341,OR(MONTH(F341)=3,MONTH(F341)=6)),SUM(OFFSET(H341,-90,0):H341),IF(AND(EOMONTH(F341,0)=F341,OR(MONTH(F341)=9,MONTH(F341)=12)),SUM(OFFSET(H341,-91,0):H341))),IF(AND(EOMONTH(F341,0)=F341,MONTH(F341)=3),SUM(OFFSET(H341,-89,0):H341),IF(AND(EOMONTH(F341,0)=F341,MONTH(F341)=6),SUM(OFFSET(H341,-90,0):H341),IF(AND(EOMONTH(F341,0)=F341,OR(MONTH(F341)=9,MONTH(F341)=12)),SUM(OFFSET(H341,-91,0):H341)))))),IF(F341='депозитный калькулятор'!$D$8,SUM($H$23:H341)-SUM($I$23:I340),0))),IF('депозитный калькулятор'!$G$10="ежегодное",IF(F341&gt;'депозитный калькулятор'!$D$8," ",IF(F341='депозитный калькулятор'!$D$8,SUM($H$23:H341)-SUM($I$23:I340),IF(AND(EOMONTH(F341,0)=F341,MONTH(F341)=12),IF(MOD(YEAR(F340),4)=0,IF(F341-'депозитный калькулятор'!$D$7&lt;366,SUM($H$23:H341),SUM(OFFSET(H341,-365,0):H341)),IF(F341-'депозитный калькулятор'!$D$7&lt;365,SUM($H$23:H341),SUM(OFFSET(H341,-364,0):H341))),0))),IF(AND('депозитный калькулятор'!$G$10="в конце срока",'депозитный калькулятор'!$D$8=F341),SUM($H$23:H341),0))))))))))))))))))</f>
        <v xml:space="preserve"> </v>
      </c>
      <c r="J341" s="59" t="str">
        <f>IF(F341&gt;'депозитный калькулятор'!$D$8," ",IF('депозитный калькулятор'!$G$16="нет",0,IF(AND('депозитный калькулятор'!$G$17="разовая (в конце срока)",F341='депозитный калькулятор'!$D$8),'депозитный калькулятор'!$G$18,IF(AND('депозитный калькулятор'!$G$17="ежемесячная",EOMONTH(F340,0)=F340),'депозитный калькулятор'!$G$18,IF(AND('депозитный калькулятор'!$G$17="ежегодная",DAY(F340)=31,MONTH(F340)=12),'депозитный калькулятор'!$G$18,IF(AND('депозитный калькулятор'!$G$17="ежемесячная в зависимости от остатка",EOMONTH(F340,0)=F340,P340&gt;0),'депозитный калькулятор'!$G$18,IF(AND('депозитный калькулятор'!$G$17="ежегодная в зависимости от остатка",DAY(F340)=31,MONTH(F340)=12,P340&gt;0),'депозитный калькулятор'!$G$18,0)))))))</f>
        <v xml:space="preserve"> </v>
      </c>
      <c r="K341" s="135" t="str">
        <f>IF($F341=" "," ",IFERROR(VLOOKUP($F341,'депозитный калькулятор'!$B$26:$F$70,2,0),0))</f>
        <v xml:space="preserve"> </v>
      </c>
      <c r="L341" s="135" t="str">
        <f>IF($F341=" "," ",IFERROR(VLOOKUP($F341,'депозитный калькулятор'!$B$26:$F$70,3,0),0))</f>
        <v xml:space="preserve"> </v>
      </c>
      <c r="M341" s="135" t="str">
        <f>IF($F341=" "," ",IFERROR(VLOOKUP($F341,'депозитный калькулятор'!$B$26:$F$70,4,0),0))</f>
        <v xml:space="preserve"> </v>
      </c>
      <c r="N341" s="135" t="str">
        <f>IF($F341=" "," ",IFERROR(VLOOKUP($F341,'депозитный калькулятор'!$B$26:$F$70,5,0),0))</f>
        <v xml:space="preserve"> </v>
      </c>
      <c r="O341" s="146" t="str">
        <f>IF(F341&gt;'депозитный калькулятор'!$D$8," ",IF(F341='депозитный калькулятор'!$D$8,IF(AND($F$24='депозитный калькулятор'!$D$8,'депозитный калькулятор'!$G$13="нет"),-G341-IF(I341=" ",0,I341)-IF(AND(OR('депозитный калькулятор'!$G$7="30/365",'депозитный калькулятор'!$G$7="30/360"),'депозитный калькулятор'!$G$10="в начале срока"),I340,0)-L341+M341-N341,-G341-IF(I341=" ",0,I341)-L341+M341-N341),IF('депозитный калькулятор'!$G$13="есть",M341-N341+IF('депозитный калькулятор'!$G$14="есть",0,-L341),-IF(I341=" ",0,I341)-IF(AND(OR('депозитный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срока"),I340,0)+M341-N341+IF('депозитный калькулятор'!$G$14="есть",0,-L341))))</f>
        <v xml:space="preserve"> </v>
      </c>
      <c r="P341" s="147" t="str">
        <f>IF(F341&gt;'депозитный калькулятор'!$D$8," ",IF(EOMONTH(F340,0)=F340,0,IF(G341&gt;='депозитный калькулятор'!$G$19,P340,P340+1)))</f>
        <v xml:space="preserve"> </v>
      </c>
      <c r="Q341" s="138" t="str">
        <f>IF(F341=" "," ",IF(AND(OR('депозитный калькулятор'!$G$7="30/365",'депозитный калькулятор'!$G$7="30/360"),AND(MONTH(F341)=2,EOMONTH(F341,0)=F341)),IF(DAY(F341)=28,3,2),1)*IF(G341&gt;='депозитный калькулятор'!$G$11,IF(AND('депозитный калькулятор'!$G$7="факт/факт",MOD(YEAR(F341),4)=0),G341*'депозитный калькулятор'!$D$11/366,G341*'депозитный калькулятор'!$G$8),0))</f>
        <v xml:space="preserve"> </v>
      </c>
      <c r="R341" s="148"/>
      <c r="S341" s="62" t="str">
        <f t="shared" ca="1" si="22"/>
        <v xml:space="preserve"> </v>
      </c>
      <c r="T341" s="149" t="str">
        <f ca="1">IF(S341=" "," ",IF('депозитный калькулятор'!$G$7="30/360",DAYS360(U340,IF(DAY(U341)=31,U341-1,U341))+IF(AND(MONTH(U341)=2,U341=EOMONTH(U341,0)),30-DAY(EOMONTH(U341,0)))+T340,VLOOKUP(S341,$C$22:$F$1023,2,0)))</f>
        <v xml:space="preserve"> </v>
      </c>
      <c r="U341" s="64" t="str">
        <f t="shared" ca="1" si="20"/>
        <v xml:space="preserve"> </v>
      </c>
      <c r="V341" s="150" t="str">
        <f t="shared" ca="1" si="23"/>
        <v xml:space="preserve"> </v>
      </c>
      <c r="W341" s="62" t="str">
        <f t="shared" ca="1" si="24"/>
        <v xml:space="preserve"> </v>
      </c>
      <c r="X341" s="141" t="str">
        <f ca="1">IF(S341=" "," ",IFERROR(VLOOKUP(U341,$F$23:$N$1023,7)+VLOOKUP(U341,$F$23:$N$1023,9)+IF(AND('депозитный калькулятор'!$G$13="нет",U341&lt;&gt;'депозитный калькулятор'!$D$8),VLOOKUP(U341,$F$23:$N$1023,4),0),0)+IF(U341='депозитный калькулятор'!$D$8,VLOOKUP(U341,$F$23:$N$1023,2)+VLOOKUP(U341,$F$23:$N$1023,4),0))</f>
        <v xml:space="preserve"> </v>
      </c>
      <c r="Y341" s="142" t="str">
        <f ca="1">IF(S341=" "," ",W341/(1+'депозитный калькулятор'!$K$8)^(T341/IF('депозитный калькулятор'!$G$7="30/360",360,365)))</f>
        <v xml:space="preserve"> </v>
      </c>
      <c r="Z341" s="142" t="str">
        <f ca="1">IF(S341=" "," ",X341/(1+'депозитный калькулятор'!$K$8)^(T341/IF('депозитный калькулятор'!$G$7="30/360",360,365)))</f>
        <v xml:space="preserve"> </v>
      </c>
      <c r="AA341" s="151"/>
      <c r="AB341" s="151"/>
      <c r="AC341" s="155"/>
      <c r="AD341" s="155"/>
    </row>
    <row r="342" spans="1:30" s="2" customFormat="1" ht="15.5" x14ac:dyDescent="0.35">
      <c r="A342" s="41" t="str">
        <f>IF(F342=" "," ",IF(OR('депозитный калькулятор'!$G$7="30/365",'депозитный калькулятор'!$G$7="30/360"),IF(AND(MONTH(F342)=2,DAY(F342)=DAY(EOMONTH(F342,0))),30-DAY(EOMONTH(F342,0)),IF(DAY(F342)=31,1," "))," "))</f>
        <v xml:space="preserve"> </v>
      </c>
      <c r="B342" s="130" t="str">
        <f t="shared" si="21"/>
        <v xml:space="preserve"> </v>
      </c>
      <c r="C342" s="130" t="str">
        <f>IF(OR(B342=0,B342=" ")," ",SUM($B$23:B342))</f>
        <v xml:space="preserve"> </v>
      </c>
      <c r="D342" s="62" t="str">
        <f>IF(D341=" "," ",IF(OR(F341='депозитный калькулятор'!$D$8,F341=" ")," ",D341+1))</f>
        <v xml:space="preserve"> </v>
      </c>
      <c r="E342" s="130" t="str">
        <f>IF(OR(F341='депозитный калькулятор'!$D$8,F341=" ")," ",IF(EOMONTH(F341,0)=F341,1,E341+1))</f>
        <v xml:space="preserve"> </v>
      </c>
      <c r="F342" s="64" t="str">
        <f>IF(F341=" "," ",IF(F341='депозитный калькулятор'!$D$8," ",F341+1))</f>
        <v xml:space="preserve"> </v>
      </c>
      <c r="G342" s="145" t="str">
        <f xml:space="preserve"> IF(F342&gt;'депозитный калькулятор'!$D$8," ",IF('депозитный калькулятор'!$G$13="есть",IF('депозитный калькулятор'!$G$14="есть",G341+IF(I341=" ",0,I341)-J342-K342+L342+M342-N342,G341+IF(I341=" ",0,I341)-J342-K342+M342-N342),IF('депозитный калькулятор'!$G$14="есть",G341-J342-K342+L342+M342-N342,G341-J342-K342+M342-N342)))</f>
        <v xml:space="preserve"> </v>
      </c>
      <c r="H342" s="133" t="str">
        <f>IF(F342&gt;'депозитный калькулятор'!$D$8," ",IF(AND(OR('депозитный калькулятор'!$G$7="30/365",'депозитный калькулятор'!$G$7="30/360"),AND(MONTH(F342)=2,EOMONTH(F342,0)=F342)),IF(DAY(F342)=28,3*G342*'депозитный калькулятор'!$G$8,2*G342*'депозитный калькулятор'!$G$8),IF(AND(OR('депозитный калькулятор'!$G$7="30/365",'депозитный калькулятор'!$G$7="30/360"),DAY(F342)=31)," ",IF(AND('депозитный калькулятор'!$G$7="факт/факт",MOD(YEAR(F342),4)=0),G342*'депозитный калькулятор'!$D$11/366,G342*'депозитный калькулятор'!$G$8))))</f>
        <v xml:space="preserve"> </v>
      </c>
      <c r="I342" s="134" t="str">
        <f ca="1">IF(F342=" "," ",IF('депозитный калькулятор'!$G$10="ежедневное",H342,IF(AND('депозитный калькулятор'!$G$10="еженедельное",WEEKDAY(F342,2)=7),SUM(OFFSET(H342,-6,0):H342),IF(AND('депозитный калькулятор'!$G$10="еженедельное",F342='депозитный калькулятор'!$D$8),SUM($H$23:H342)-SUM($I$23:I341),IF(AND('депозитный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недели",WEEKDAY(F342,2)=7),MIN(OFFSET(H342,-6,0):H342)*(COUNTIF(OFFSET(H342,-6,0):H342,"&gt;0")+SUMIF(OFFSET(A342,-WEEKDAY(F342,2),0):A342,"=2",OFFSET(A342,-WEEKDAY(F342,2),0):A342)),IF(AND('депозитный калькулятор'!$G$10="еженедельное, на минимальную сумму зафиксированную в течение недели",F342='депозитный калькулятор'!$D$8,WEEKDAY(F342,2)&lt;&gt;7),MIN(OFFSET(H342,-WEEKDAY(F342,2),0):H342)*(COUNTIF(OFFSET(H342,-WEEKDAY(F342,2)+1,0):H342,"&gt;0")+SUM(OFFSET(A342,-WEEKDAY(F342,2),0):A342)),IF(AND('депозитный калькулятор'!$G$10="ежемесячное (в конце месяца)",F342='депозитный калькулятор'!$D$8,EOMONTH(F342,0)&lt;&gt;F342),IF('депозитный калькулятор'!$F$1=1,$H$24,SUM($H$23:H342)-SUM($I$23:I341)),IF(AND('депозитный калькулятор'!$G$10="ежемесячное (в конце месяца)",EOMONTH(F342,0)=F342),SUM($H$23:H342)-SUM($I$23:I341),IF(AND('депозитный калькулятор'!$G$10="ежемесячное (по дням открытия вклада)",F342='депозитный калькулятор'!$D$8,DAY('депозитный калькулятор'!$D$7)&lt;&gt;DAY(F342)),IF('депозитный калькулятор'!$F$1=1,$H$24,SUM($H$23:H342)-SUM($I$23:I341)),IF(AND('депозитный калькулятор'!$G$10="ежемесячное (по дням открытия вклада)",DAY('депозитный калькулятор'!$D$7)=DAY(F342)),SUM($H$23:H342)-SUM($I$23:I341),IF(AND('депозитный калькулятор'!$G$10="ежемесячное, на минимальную сумму зафиксированную в течение месяца",F342='депозитный калькулятор'!$D$8,EOMONTH(F342,0)&lt;&gt;F342),IF('депозитный калькулятор'!$F$1=1,$H$24,IF(AND(OR('депозитный калькулятор'!$G$7="30/365",'депозитный калькулятор'!$G$7="30/360"),DAY(F342)=31),0,MIN(OFFSET(H342,-E342+1,0):H342)*(E342+SUMIF(OFFSET(A342,-E342+1,0):A342,"=2",OFFSET(A342,-E342+1,0):A342)))),IF(AND('депозитный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калькулятор'!$G$7="30/360"),DAY(EOMONTH(F342,0))=31),EOMONTH(F342,0)-1=F342,EOMONTH(F342,0)=F342)),IF(IF(AND(OR('депозитный калькулятор'!$G$7="30/365",'депозитный калькулятор'!$G$7="30/360"),DAY(EOMONTH($F$23,0))=31),F342=EOMONTH($F$23,0)-1,F342=EOMONTH($F$23,0)),MIN(OFFSET(H342,-(DAY(F342)-DAY($F$23)),0):H342)*E342,MIN(OFFSET(H342,-(DAY(F342)-1),0):H342)*IF(AND(OR('депозитный калькулятор'!$G$7="30/365",'депозитный калькулятор'!$G$7="30/360"),DAY(F342)&lt;30),30,DAY(F342))),IF(AND('депозитный калькулятор'!$G$10="ежемесячное, на средний остаток в течение месяца, при условии что остаток больше чем ограничение",F342='депозитный калькулятор'!$D$8,EOMONTH(F342,0)&lt;&gt;F342),IF('депозитный калькулятор'!$F$1=1,$H$24,SUM(OFFSET(Q342,-E342+1,0):Q342)),IF(AND('депозитный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калькулятор'!$G$7="30/360"),DAY(EOMONTH(F342,0))=31),EOMONTH(F342,0)-1=F342,EOMONTH(F342,0)=F342)),IF(IF(AND(OR('депозитный калькулятор'!$G$7="30/365",'депозитный калькулятор'!$G$7="30/360"),DAY(EOMONTH($F$24,0))=31),F342=EOMONTH($F$24,0)-1,F342=EOMONTH($F$24,0)),SUM(OFFSET(Q342,-E342+1,0):Q342),SUM(OFFSET(Q342,-E342+1,0):Q342)),IF('депозитный калькулятор'!$G$10="ежеквартальное",IF(F342&gt;'депозитный калькулятор'!$D$8," ",IF(AND(EOMONTH(F342,0)=F342,OR(MONTH(F342)=3,MONTH(F342)=6,MONTH(F342)=9,MONTH(F342)=12)),IF(EDATE(F342,-3)&lt;'депозитный калькулятор'!$D$7,SUM($H$23:H342),IF(MOD(YEAR(F342),4)=0,IF(AND(EOMONTH(F342,0)=F342,OR(MONTH(F342)=3,MONTH(F342)=6)),SUM(OFFSET(H342,-90,0):H342),IF(AND(EOMONTH(F342,0)=F342,OR(MONTH(F342)=9,MONTH(F342)=12)),SUM(OFFSET(H342,-91,0):H342))),IF(AND(EOMONTH(F342,0)=F342,MONTH(F342)=3),SUM(OFFSET(H342,-89,0):H342),IF(AND(EOMONTH(F342,0)=F342,MONTH(F342)=6),SUM(OFFSET(H342,-90,0):H342),IF(AND(EOMONTH(F342,0)=F342,OR(MONTH(F342)=9,MONTH(F342)=12)),SUM(OFFSET(H342,-91,0):H342)))))),IF(F342='депозитный калькулятор'!$D$8,SUM($H$23:H342)-SUM($I$23:I341),0))),IF('депозитный калькулятор'!$G$10="ежегодное",IF(F342&gt;'депозитный калькулятор'!$D$8," ",IF(F342='депозитный калькулятор'!$D$8,SUM($H$23:H342)-SUM($I$23:I341),IF(AND(EOMONTH(F342,0)=F342,MONTH(F342)=12),IF(MOD(YEAR(F341),4)=0,IF(F342-'депозитный калькулятор'!$D$7&lt;366,SUM($H$23:H342),SUM(OFFSET(H342,-365,0):H342)),IF(F342-'депозитный калькулятор'!$D$7&lt;365,SUM($H$23:H342),SUM(OFFSET(H342,-364,0):H342))),0))),IF(AND('депозитный калькулятор'!$G$10="в конце срока",'депозитный калькулятор'!$D$8=F342),SUM($H$23:H342),0))))))))))))))))))</f>
        <v xml:space="preserve"> </v>
      </c>
      <c r="J342" s="59" t="str">
        <f>IF(F342&gt;'депозитный калькулятор'!$D$8," ",IF('депозитный калькулятор'!$G$16="нет",0,IF(AND('депозитный калькулятор'!$G$17="разовая (в конце срока)",F342='депозитный калькулятор'!$D$8),'депозитный калькулятор'!$G$18,IF(AND('депозитный калькулятор'!$G$17="ежемесячная",EOMONTH(F341,0)=F341),'депозитный калькулятор'!$G$18,IF(AND('депозитный калькулятор'!$G$17="ежегодная",DAY(F341)=31,MONTH(F341)=12),'депозитный калькулятор'!$G$18,IF(AND('депозитный калькулятор'!$G$17="ежемесячная в зависимости от остатка",EOMONTH(F341,0)=F341,P341&gt;0),'депозитный калькулятор'!$G$18,IF(AND('депозитный калькулятор'!$G$17="ежегодная в зависимости от остатка",DAY(F341)=31,MONTH(F341)=12,P341&gt;0),'депозитный калькулятор'!$G$18,0)))))))</f>
        <v xml:space="preserve"> </v>
      </c>
      <c r="K342" s="135" t="str">
        <f>IF($F342=" "," ",IFERROR(VLOOKUP($F342,'депозитный калькулятор'!$B$26:$F$70,2,0),0))</f>
        <v xml:space="preserve"> </v>
      </c>
      <c r="L342" s="135" t="str">
        <f>IF($F342=" "," ",IFERROR(VLOOKUP($F342,'депозитный калькулятор'!$B$26:$F$70,3,0),0))</f>
        <v xml:space="preserve"> </v>
      </c>
      <c r="M342" s="135" t="str">
        <f>IF($F342=" "," ",IFERROR(VLOOKUP($F342,'депозитный калькулятор'!$B$26:$F$70,4,0),0))</f>
        <v xml:space="preserve"> </v>
      </c>
      <c r="N342" s="135" t="str">
        <f>IF($F342=" "," ",IFERROR(VLOOKUP($F342,'депозитный калькулятор'!$B$26:$F$70,5,0),0))</f>
        <v xml:space="preserve"> </v>
      </c>
      <c r="O342" s="146" t="str">
        <f>IF(F342&gt;'депозитный калькулятор'!$D$8," ",IF(F342='депозитный калькулятор'!$D$8,IF(AND($F$24='депозитный калькулятор'!$D$8,'депозитный калькулятор'!$G$13="нет"),-G342-IF(I342=" ",0,I342)-IF(AND(OR('депозитный калькулятор'!$G$7="30/365",'депозитный калькулятор'!$G$7="30/360"),'депозитный калькулятор'!$G$10="в начале срока"),I341,0)-L342+M342-N342,-G342-IF(I342=" ",0,I342)-L342+M342-N342),IF('депозитный калькулятор'!$G$13="есть",M342-N342+IF('депозитный калькулятор'!$G$14="есть",0,-L342),-IF(I342=" ",0,I342)-IF(AND(OR('депозитный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срока"),I341,0)+M342-N342+IF('депозитный калькулятор'!$G$14="есть",0,-L342))))</f>
        <v xml:space="preserve"> </v>
      </c>
      <c r="P342" s="147" t="str">
        <f>IF(F342&gt;'депозитный калькулятор'!$D$8," ",IF(EOMONTH(F341,0)=F341,0,IF(G342&gt;='депозитный калькулятор'!$G$19,P341,P341+1)))</f>
        <v xml:space="preserve"> </v>
      </c>
      <c r="Q342" s="138" t="str">
        <f>IF(F342=" "," ",IF(AND(OR('депозитный калькулятор'!$G$7="30/365",'депозитный калькулятор'!$G$7="30/360"),AND(MONTH(F342)=2,EOMONTH(F342,0)=F342)),IF(DAY(F342)=28,3,2),1)*IF(G342&gt;='депозитный калькулятор'!$G$11,IF(AND('депозитный калькулятор'!$G$7="факт/факт",MOD(YEAR(F342),4)=0),G342*'депозитный калькулятор'!$D$11/366,G342*'депозитный калькулятор'!$G$8),0))</f>
        <v xml:space="preserve"> </v>
      </c>
      <c r="R342" s="148"/>
      <c r="S342" s="62" t="str">
        <f t="shared" ca="1" si="22"/>
        <v xml:space="preserve"> </v>
      </c>
      <c r="T342" s="149" t="str">
        <f ca="1">IF(S342=" "," ",IF('депозитный калькулятор'!$G$7="30/360",DAYS360(U341,IF(DAY(U342)=31,U342-1,U342))+IF(AND(MONTH(U342)=2,U342=EOMONTH(U342,0)),30-DAY(EOMONTH(U342,0)))+T341,VLOOKUP(S342,$C$22:$F$1023,2,0)))</f>
        <v xml:space="preserve"> </v>
      </c>
      <c r="U342" s="64" t="str">
        <f t="shared" ca="1" si="20"/>
        <v xml:space="preserve"> </v>
      </c>
      <c r="V342" s="150" t="str">
        <f t="shared" ca="1" si="23"/>
        <v xml:space="preserve"> </v>
      </c>
      <c r="W342" s="62" t="str">
        <f t="shared" ca="1" si="24"/>
        <v xml:space="preserve"> </v>
      </c>
      <c r="X342" s="141" t="str">
        <f ca="1">IF(S342=" "," ",IFERROR(VLOOKUP(U342,$F$23:$N$1023,7)+VLOOKUP(U342,$F$23:$N$1023,9)+IF(AND('депозитный калькулятор'!$G$13="нет",U342&lt;&gt;'депозитный калькулятор'!$D$8),VLOOKUP(U342,$F$23:$N$1023,4),0),0)+IF(U342='депозитный калькулятор'!$D$8,VLOOKUP(U342,$F$23:$N$1023,2)+VLOOKUP(U342,$F$23:$N$1023,4),0))</f>
        <v xml:space="preserve"> </v>
      </c>
      <c r="Y342" s="142" t="str">
        <f ca="1">IF(S342=" "," ",W342/(1+'депозитный калькулятор'!$K$8)^(T342/IF('депозитный калькулятор'!$G$7="30/360",360,365)))</f>
        <v xml:space="preserve"> </v>
      </c>
      <c r="Z342" s="142" t="str">
        <f ca="1">IF(S342=" "," ",X342/(1+'депозитный калькулятор'!$K$8)^(T342/IF('депозитный калькулятор'!$G$7="30/360",360,365)))</f>
        <v xml:space="preserve"> </v>
      </c>
      <c r="AA342" s="151"/>
      <c r="AB342" s="151"/>
      <c r="AC342" s="155"/>
      <c r="AD342" s="155"/>
    </row>
    <row r="343" spans="1:30" s="2" customFormat="1" ht="15.5" x14ac:dyDescent="0.35">
      <c r="A343" s="41" t="str">
        <f>IF(F343=" "," ",IF(OR('депозитный калькулятор'!$G$7="30/365",'депозитный калькулятор'!$G$7="30/360"),IF(AND(MONTH(F343)=2,DAY(F343)=DAY(EOMONTH(F343,0))),30-DAY(EOMONTH(F343,0)),IF(DAY(F343)=31,1," "))," "))</f>
        <v xml:space="preserve"> </v>
      </c>
      <c r="B343" s="130" t="str">
        <f t="shared" si="21"/>
        <v xml:space="preserve"> </v>
      </c>
      <c r="C343" s="130" t="str">
        <f>IF(OR(B343=0,B343=" ")," ",SUM($B$23:B343))</f>
        <v xml:space="preserve"> </v>
      </c>
      <c r="D343" s="62" t="str">
        <f>IF(D342=" "," ",IF(OR(F342='депозитный калькулятор'!$D$8,F342=" ")," ",D342+1))</f>
        <v xml:space="preserve"> </v>
      </c>
      <c r="E343" s="130" t="str">
        <f>IF(OR(F342='депозитный калькулятор'!$D$8,F342=" ")," ",IF(EOMONTH(F342,0)=F342,1,E342+1))</f>
        <v xml:space="preserve"> </v>
      </c>
      <c r="F343" s="64" t="str">
        <f>IF(F342=" "," ",IF(F342='депозитный калькулятор'!$D$8," ",F342+1))</f>
        <v xml:space="preserve"> </v>
      </c>
      <c r="G343" s="145" t="str">
        <f xml:space="preserve"> IF(F343&gt;'депозитный калькулятор'!$D$8," ",IF('депозитный калькулятор'!$G$13="есть",IF('депозитный калькулятор'!$G$14="есть",G342+IF(I342=" ",0,I342)-J343-K343+L343+M343-N343,G342+IF(I342=" ",0,I342)-J343-K343+M343-N343),IF('депозитный калькулятор'!$G$14="есть",G342-J343-K343+L343+M343-N343,G342-J343-K343+M343-N343)))</f>
        <v xml:space="preserve"> </v>
      </c>
      <c r="H343" s="133" t="str">
        <f>IF(F343&gt;'депозитный калькулятор'!$D$8," ",IF(AND(OR('депозитный калькулятор'!$G$7="30/365",'депозитный калькулятор'!$G$7="30/360"),AND(MONTH(F343)=2,EOMONTH(F343,0)=F343)),IF(DAY(F343)=28,3*G343*'депозитный калькулятор'!$G$8,2*G343*'депозитный калькулятор'!$G$8),IF(AND(OR('депозитный калькулятор'!$G$7="30/365",'депозитный калькулятор'!$G$7="30/360"),DAY(F343)=31)," ",IF(AND('депозитный калькулятор'!$G$7="факт/факт",MOD(YEAR(F343),4)=0),G343*'депозитный калькулятор'!$D$11/366,G343*'депозитный калькулятор'!$G$8))))</f>
        <v xml:space="preserve"> </v>
      </c>
      <c r="I343" s="134" t="str">
        <f ca="1">IF(F343=" "," ",IF('депозитный калькулятор'!$G$10="ежедневное",H343,IF(AND('депозитный калькулятор'!$G$10="еженедельное",WEEKDAY(F343,2)=7),SUM(OFFSET(H343,-6,0):H343),IF(AND('депозитный калькулятор'!$G$10="еженедельное",F343='депозитный калькулятор'!$D$8),SUM($H$23:H343)-SUM($I$23:I342),IF(AND('депозитный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недели",WEEKDAY(F343,2)=7),MIN(OFFSET(H343,-6,0):H343)*(COUNTIF(OFFSET(H343,-6,0):H343,"&gt;0")+SUMIF(OFFSET(A343,-WEEKDAY(F343,2),0):A343,"=2",OFFSET(A343,-WEEKDAY(F343,2),0):A343)),IF(AND('депозитный калькулятор'!$G$10="еженедельное, на минимальную сумму зафиксированную в течение недели",F343='депозитный калькулятор'!$D$8,WEEKDAY(F343,2)&lt;&gt;7),MIN(OFFSET(H343,-WEEKDAY(F343,2),0):H343)*(COUNTIF(OFFSET(H343,-WEEKDAY(F343,2)+1,0):H343,"&gt;0")+SUM(OFFSET(A343,-WEEKDAY(F343,2),0):A343)),IF(AND('депозитный калькулятор'!$G$10="ежемесячное (в конце месяца)",F343='депозитный калькулятор'!$D$8,EOMONTH(F343,0)&lt;&gt;F343),IF('депозитный калькулятор'!$F$1=1,$H$24,SUM($H$23:H343)-SUM($I$23:I342)),IF(AND('депозитный калькулятор'!$G$10="ежемесячное (в конце месяца)",EOMONTH(F343,0)=F343),SUM($H$23:H343)-SUM($I$23:I342),IF(AND('депозитный калькулятор'!$G$10="ежемесячное (по дням открытия вклада)",F343='депозитный калькулятор'!$D$8,DAY('депозитный калькулятор'!$D$7)&lt;&gt;DAY(F343)),IF('депозитный калькулятор'!$F$1=1,$H$24,SUM($H$23:H343)-SUM($I$23:I342)),IF(AND('депозитный калькулятор'!$G$10="ежемесячное (по дням открытия вклада)",DAY('депозитный калькулятор'!$D$7)=DAY(F343)),SUM($H$23:H343)-SUM($I$23:I342),IF(AND('депозитный калькулятор'!$G$10="ежемесячное, на минимальную сумму зафиксированную в течение месяца",F343='депозитный калькулятор'!$D$8,EOMONTH(F343,0)&lt;&gt;F343),IF('депозитный калькулятор'!$F$1=1,$H$24,IF(AND(OR('депозитный калькулятор'!$G$7="30/365",'депозитный калькулятор'!$G$7="30/360"),DAY(F343)=31),0,MIN(OFFSET(H343,-E343+1,0):H343)*(E343+SUMIF(OFFSET(A343,-E343+1,0):A343,"=2",OFFSET(A343,-E343+1,0):A343)))),IF(AND('депозитный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калькулятор'!$G$7="30/360"),DAY(EOMONTH(F343,0))=31),EOMONTH(F343,0)-1=F343,EOMONTH(F343,0)=F343)),IF(IF(AND(OR('депозитный калькулятор'!$G$7="30/365",'депозитный калькулятор'!$G$7="30/360"),DAY(EOMONTH($F$23,0))=31),F343=EOMONTH($F$23,0)-1,F343=EOMONTH($F$23,0)),MIN(OFFSET(H343,-(DAY(F343)-DAY($F$23)),0):H343)*E343,MIN(OFFSET(H343,-(DAY(F343)-1),0):H343)*IF(AND(OR('депозитный калькулятор'!$G$7="30/365",'депозитный калькулятор'!$G$7="30/360"),DAY(F343)&lt;30),30,DAY(F343))),IF(AND('депозитный калькулятор'!$G$10="ежемесячное, на средний остаток в течение месяца, при условии что остаток больше чем ограничение",F343='депозитный калькулятор'!$D$8,EOMONTH(F343,0)&lt;&gt;F343),IF('депозитный калькулятор'!$F$1=1,$H$24,SUM(OFFSET(Q343,-E343+1,0):Q343)),IF(AND('депозитный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калькулятор'!$G$7="30/360"),DAY(EOMONTH(F343,0))=31),EOMONTH(F343,0)-1=F343,EOMONTH(F343,0)=F343)),IF(IF(AND(OR('депозитный калькулятор'!$G$7="30/365",'депозитный калькулятор'!$G$7="30/360"),DAY(EOMONTH($F$24,0))=31),F343=EOMONTH($F$24,0)-1,F343=EOMONTH($F$24,0)),SUM(OFFSET(Q343,-E343+1,0):Q343),SUM(OFFSET(Q343,-E343+1,0):Q343)),IF('депозитный калькулятор'!$G$10="ежеквартальное",IF(F343&gt;'депозитный калькулятор'!$D$8," ",IF(AND(EOMONTH(F343,0)=F343,OR(MONTH(F343)=3,MONTH(F343)=6,MONTH(F343)=9,MONTH(F343)=12)),IF(EDATE(F343,-3)&lt;'депозитный калькулятор'!$D$7,SUM($H$23:H343),IF(MOD(YEAR(F343),4)=0,IF(AND(EOMONTH(F343,0)=F343,OR(MONTH(F343)=3,MONTH(F343)=6)),SUM(OFFSET(H343,-90,0):H343),IF(AND(EOMONTH(F343,0)=F343,OR(MONTH(F343)=9,MONTH(F343)=12)),SUM(OFFSET(H343,-91,0):H343))),IF(AND(EOMONTH(F343,0)=F343,MONTH(F343)=3),SUM(OFFSET(H343,-89,0):H343),IF(AND(EOMONTH(F343,0)=F343,MONTH(F343)=6),SUM(OFFSET(H343,-90,0):H343),IF(AND(EOMONTH(F343,0)=F343,OR(MONTH(F343)=9,MONTH(F343)=12)),SUM(OFFSET(H343,-91,0):H343)))))),IF(F343='депозитный калькулятор'!$D$8,SUM($H$23:H343)-SUM($I$23:I342),0))),IF('депозитный калькулятор'!$G$10="ежегодное",IF(F343&gt;'депозитный калькулятор'!$D$8," ",IF(F343='депозитный калькулятор'!$D$8,SUM($H$23:H343)-SUM($I$23:I342),IF(AND(EOMONTH(F343,0)=F343,MONTH(F343)=12),IF(MOD(YEAR(F342),4)=0,IF(F343-'депозитный калькулятор'!$D$7&lt;366,SUM($H$23:H343),SUM(OFFSET(H343,-365,0):H343)),IF(F343-'депозитный калькулятор'!$D$7&lt;365,SUM($H$23:H343),SUM(OFFSET(H343,-364,0):H343))),0))),IF(AND('депозитный калькулятор'!$G$10="в конце срока",'депозитный калькулятор'!$D$8=F343),SUM($H$23:H343),0))))))))))))))))))</f>
        <v xml:space="preserve"> </v>
      </c>
      <c r="J343" s="59" t="str">
        <f>IF(F343&gt;'депозитный калькулятор'!$D$8," ",IF('депозитный калькулятор'!$G$16="нет",0,IF(AND('депозитный калькулятор'!$G$17="разовая (в конце срока)",F343='депозитный калькулятор'!$D$8),'депозитный калькулятор'!$G$18,IF(AND('депозитный калькулятор'!$G$17="ежемесячная",EOMONTH(F342,0)=F342),'депозитный калькулятор'!$G$18,IF(AND('депозитный калькулятор'!$G$17="ежегодная",DAY(F342)=31,MONTH(F342)=12),'депозитный калькулятор'!$G$18,IF(AND('депозитный калькулятор'!$G$17="ежемесячная в зависимости от остатка",EOMONTH(F342,0)=F342,P342&gt;0),'депозитный калькулятор'!$G$18,IF(AND('депозитный калькулятор'!$G$17="ежегодная в зависимости от остатка",DAY(F342)=31,MONTH(F342)=12,P342&gt;0),'депозитный калькулятор'!$G$18,0)))))))</f>
        <v xml:space="preserve"> </v>
      </c>
      <c r="K343" s="135" t="str">
        <f>IF($F343=" "," ",IFERROR(VLOOKUP($F343,'депозитный калькулятор'!$B$26:$F$70,2,0),0))</f>
        <v xml:space="preserve"> </v>
      </c>
      <c r="L343" s="135" t="str">
        <f>IF($F343=" "," ",IFERROR(VLOOKUP($F343,'депозитный калькулятор'!$B$26:$F$70,3,0),0))</f>
        <v xml:space="preserve"> </v>
      </c>
      <c r="M343" s="135" t="str">
        <f>IF($F343=" "," ",IFERROR(VLOOKUP($F343,'депозитный калькулятор'!$B$26:$F$70,4,0),0))</f>
        <v xml:space="preserve"> </v>
      </c>
      <c r="N343" s="135" t="str">
        <f>IF($F343=" "," ",IFERROR(VLOOKUP($F343,'депозитный калькулятор'!$B$26:$F$70,5,0),0))</f>
        <v xml:space="preserve"> </v>
      </c>
      <c r="O343" s="146" t="str">
        <f>IF(F343&gt;'депозитный калькулятор'!$D$8," ",IF(F343='депозитный калькулятор'!$D$8,IF(AND($F$24='депозитный калькулятор'!$D$8,'депозитный калькулятор'!$G$13="нет"),-G343-IF(I343=" ",0,I343)-IF(AND(OR('депозитный калькулятор'!$G$7="30/365",'депозитный калькулятор'!$G$7="30/360"),'депозитный калькулятор'!$G$10="в начале срока"),I342,0)-L343+M343-N343,-G343-IF(I343=" ",0,I343)-L343+M343-N343),IF('депозитный калькулятор'!$G$13="есть",M343-N343+IF('депозитный калькулятор'!$G$14="есть",0,-L343),-IF(I343=" ",0,I343)-IF(AND(OR('депозитный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срока"),I342,0)+M343-N343+IF('депозитный калькулятор'!$G$14="есть",0,-L343))))</f>
        <v xml:space="preserve"> </v>
      </c>
      <c r="P343" s="147" t="str">
        <f>IF(F343&gt;'депозитный калькулятор'!$D$8," ",IF(EOMONTH(F342,0)=F342,0,IF(G343&gt;='депозитный калькулятор'!$G$19,P342,P342+1)))</f>
        <v xml:space="preserve"> </v>
      </c>
      <c r="Q343" s="138" t="str">
        <f>IF(F343=" "," ",IF(AND(OR('депозитный калькулятор'!$G$7="30/365",'депозитный калькулятор'!$G$7="30/360"),AND(MONTH(F343)=2,EOMONTH(F343,0)=F343)),IF(DAY(F343)=28,3,2),1)*IF(G343&gt;='депозитный калькулятор'!$G$11,IF(AND('депозитный калькулятор'!$G$7="факт/факт",MOD(YEAR(F343),4)=0),G343*'депозитный калькулятор'!$D$11/366,G343*'депозитный калькулятор'!$G$8),0))</f>
        <v xml:space="preserve"> </v>
      </c>
      <c r="R343" s="148"/>
      <c r="S343" s="62" t="str">
        <f t="shared" ca="1" si="22"/>
        <v xml:space="preserve"> </v>
      </c>
      <c r="T343" s="149" t="str">
        <f ca="1">IF(S343=" "," ",IF('депозитный калькулятор'!$G$7="30/360",DAYS360(U342,IF(DAY(U343)=31,U343-1,U343))+IF(AND(MONTH(U343)=2,U343=EOMONTH(U343,0)),30-DAY(EOMONTH(U343,0)))+T342,VLOOKUP(S343,$C$22:$F$1023,2,0)))</f>
        <v xml:space="preserve"> </v>
      </c>
      <c r="U343" s="64" t="str">
        <f t="shared" ref="U343:U406" ca="1" si="25">IF(S343=" "," ",VLOOKUP(S343,$C$22:$F$1023,4,0))</f>
        <v xml:space="preserve"> </v>
      </c>
      <c r="V343" s="150" t="str">
        <f t="shared" ca="1" si="23"/>
        <v xml:space="preserve"> </v>
      </c>
      <c r="W343" s="62" t="str">
        <f t="shared" ca="1" si="24"/>
        <v xml:space="preserve"> </v>
      </c>
      <c r="X343" s="141" t="str">
        <f ca="1">IF(S343=" "," ",IFERROR(VLOOKUP(U343,$F$23:$N$1023,7)+VLOOKUP(U343,$F$23:$N$1023,9)+IF(AND('депозитный калькулятор'!$G$13="нет",U343&lt;&gt;'депозитный калькулятор'!$D$8),VLOOKUP(U343,$F$23:$N$1023,4),0),0)+IF(U343='депозитный калькулятор'!$D$8,VLOOKUP(U343,$F$23:$N$1023,2)+VLOOKUP(U343,$F$23:$N$1023,4),0))</f>
        <v xml:space="preserve"> </v>
      </c>
      <c r="Y343" s="142" t="str">
        <f ca="1">IF(S343=" "," ",W343/(1+'депозитный калькулятор'!$K$8)^(T343/IF('депозитный калькулятор'!$G$7="30/360",360,365)))</f>
        <v xml:space="preserve"> </v>
      </c>
      <c r="Z343" s="142" t="str">
        <f ca="1">IF(S343=" "," ",X343/(1+'депозитный калькулятор'!$K$8)^(T343/IF('депозитный калькулятор'!$G$7="30/360",360,365)))</f>
        <v xml:space="preserve"> </v>
      </c>
      <c r="AA343" s="151"/>
      <c r="AB343" s="151"/>
      <c r="AC343" s="155"/>
      <c r="AD343" s="155"/>
    </row>
    <row r="344" spans="1:30" s="2" customFormat="1" ht="15.5" x14ac:dyDescent="0.35">
      <c r="A344" s="41" t="str">
        <f>IF(F344=" "," ",IF(OR('депозитный калькулятор'!$G$7="30/365",'депозитный калькулятор'!$G$7="30/360"),IF(AND(MONTH(F344)=2,DAY(F344)=DAY(EOMONTH(F344,0))),30-DAY(EOMONTH(F344,0)),IF(DAY(F344)=31,1," "))," "))</f>
        <v xml:space="preserve"> </v>
      </c>
      <c r="B344" s="130" t="str">
        <f t="shared" ref="B344:B407" si="26">IF(F344=" "," ",IF(O344&lt;&gt;0,1,0))</f>
        <v xml:space="preserve"> </v>
      </c>
      <c r="C344" s="130" t="str">
        <f>IF(OR(B344=0,B344=" ")," ",SUM($B$23:B344))</f>
        <v xml:space="preserve"> </v>
      </c>
      <c r="D344" s="62" t="str">
        <f>IF(D343=" "," ",IF(OR(F343='депозитный калькулятор'!$D$8,F343=" ")," ",D343+1))</f>
        <v xml:space="preserve"> </v>
      </c>
      <c r="E344" s="130" t="str">
        <f>IF(OR(F343='депозитный калькулятор'!$D$8,F343=" ")," ",IF(EOMONTH(F343,0)=F343,1,E343+1))</f>
        <v xml:space="preserve"> </v>
      </c>
      <c r="F344" s="64" t="str">
        <f>IF(F343=" "," ",IF(F343='депозитный калькулятор'!$D$8," ",F343+1))</f>
        <v xml:space="preserve"> </v>
      </c>
      <c r="G344" s="145" t="str">
        <f xml:space="preserve"> IF(F344&gt;'депозитный калькулятор'!$D$8," ",IF('депозитный калькулятор'!$G$13="есть",IF('депозитный калькулятор'!$G$14="есть",G343+IF(I343=" ",0,I343)-J344-K344+L344+M344-N344,G343+IF(I343=" ",0,I343)-J344-K344+M344-N344),IF('депозитный калькулятор'!$G$14="есть",G343-J344-K344+L344+M344-N344,G343-J344-K344+M344-N344)))</f>
        <v xml:space="preserve"> </v>
      </c>
      <c r="H344" s="133" t="str">
        <f>IF(F344&gt;'депозитный калькулятор'!$D$8," ",IF(AND(OR('депозитный калькулятор'!$G$7="30/365",'депозитный калькулятор'!$G$7="30/360"),AND(MONTH(F344)=2,EOMONTH(F344,0)=F344)),IF(DAY(F344)=28,3*G344*'депозитный калькулятор'!$G$8,2*G344*'депозитный калькулятор'!$G$8),IF(AND(OR('депозитный калькулятор'!$G$7="30/365",'депозитный калькулятор'!$G$7="30/360"),DAY(F344)=31)," ",IF(AND('депозитный калькулятор'!$G$7="факт/факт",MOD(YEAR(F344),4)=0),G344*'депозитный калькулятор'!$D$11/366,G344*'депозитный калькулятор'!$G$8))))</f>
        <v xml:space="preserve"> </v>
      </c>
      <c r="I344" s="134" t="str">
        <f ca="1">IF(F344=" "," ",IF('депозитный калькулятор'!$G$10="ежедневное",H344,IF(AND('депозитный калькулятор'!$G$10="еженедельное",WEEKDAY(F344,2)=7),SUM(OFFSET(H344,-6,0):H344),IF(AND('депозитный калькулятор'!$G$10="еженедельное",F344='депозитный калькулятор'!$D$8),SUM($H$23:H344)-SUM($I$23:I343),IF(AND('депозитный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недели",WEEKDAY(F344,2)=7),MIN(OFFSET(H344,-6,0):H344)*(COUNTIF(OFFSET(H344,-6,0):H344,"&gt;0")+SUMIF(OFFSET(A344,-WEEKDAY(F344,2),0):A344,"=2",OFFSET(A344,-WEEKDAY(F344,2),0):A344)),IF(AND('депозитный калькулятор'!$G$10="еженедельное, на минимальную сумму зафиксированную в течение недели",F344='депозитный калькулятор'!$D$8,WEEKDAY(F344,2)&lt;&gt;7),MIN(OFFSET(H344,-WEEKDAY(F344,2),0):H344)*(COUNTIF(OFFSET(H344,-WEEKDAY(F344,2)+1,0):H344,"&gt;0")+SUM(OFFSET(A344,-WEEKDAY(F344,2),0):A344)),IF(AND('депозитный калькулятор'!$G$10="ежемесячное (в конце месяца)",F344='депозитный калькулятор'!$D$8,EOMONTH(F344,0)&lt;&gt;F344),IF('депозитный калькулятор'!$F$1=1,$H$24,SUM($H$23:H344)-SUM($I$23:I343)),IF(AND('депозитный калькулятор'!$G$10="ежемесячное (в конце месяца)",EOMONTH(F344,0)=F344),SUM($H$23:H344)-SUM($I$23:I343),IF(AND('депозитный калькулятор'!$G$10="ежемесячное (по дням открытия вклада)",F344='депозитный калькулятор'!$D$8,DAY('депозитный калькулятор'!$D$7)&lt;&gt;DAY(F344)),IF('депозитный калькулятор'!$F$1=1,$H$24,SUM($H$23:H344)-SUM($I$23:I343)),IF(AND('депозитный калькулятор'!$G$10="ежемесячное (по дням открытия вклада)",DAY('депозитный калькулятор'!$D$7)=DAY(F344)),SUM($H$23:H344)-SUM($I$23:I343),IF(AND('депозитный калькулятор'!$G$10="ежемесячное, на минимальную сумму зафиксированную в течение месяца",F344='депозитный калькулятор'!$D$8,EOMONTH(F344,0)&lt;&gt;F344),IF('депозитный калькулятор'!$F$1=1,$H$24,IF(AND(OR('депозитный калькулятор'!$G$7="30/365",'депозитный калькулятор'!$G$7="30/360"),DAY(F344)=31),0,MIN(OFFSET(H344,-E344+1,0):H344)*(E344+SUMIF(OFFSET(A344,-E344+1,0):A344,"=2",OFFSET(A344,-E344+1,0):A344)))),IF(AND('депозитный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калькулятор'!$G$7="30/360"),DAY(EOMONTH(F344,0))=31),EOMONTH(F344,0)-1=F344,EOMONTH(F344,0)=F344)),IF(IF(AND(OR('депозитный калькулятор'!$G$7="30/365",'депозитный калькулятор'!$G$7="30/360"),DAY(EOMONTH($F$23,0))=31),F344=EOMONTH($F$23,0)-1,F344=EOMONTH($F$23,0)),MIN(OFFSET(H344,-(DAY(F344)-DAY($F$23)),0):H344)*E344,MIN(OFFSET(H344,-(DAY(F344)-1),0):H344)*IF(AND(OR('депозитный калькулятор'!$G$7="30/365",'депозитный калькулятор'!$G$7="30/360"),DAY(F344)&lt;30),30,DAY(F344))),IF(AND('депозитный калькулятор'!$G$10="ежемесячное, на средний остаток в течение месяца, при условии что остаток больше чем ограничение",F344='депозитный калькулятор'!$D$8,EOMONTH(F344,0)&lt;&gt;F344),IF('депозитный калькулятор'!$F$1=1,$H$24,SUM(OFFSET(Q344,-E344+1,0):Q344)),IF(AND('депозитный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калькулятор'!$G$7="30/360"),DAY(EOMONTH(F344,0))=31),EOMONTH(F344,0)-1=F344,EOMONTH(F344,0)=F344)),IF(IF(AND(OR('депозитный калькулятор'!$G$7="30/365",'депозитный калькулятор'!$G$7="30/360"),DAY(EOMONTH($F$24,0))=31),F344=EOMONTH($F$24,0)-1,F344=EOMONTH($F$24,0)),SUM(OFFSET(Q344,-E344+1,0):Q344),SUM(OFFSET(Q344,-E344+1,0):Q344)),IF('депозитный калькулятор'!$G$10="ежеквартальное",IF(F344&gt;'депозитный калькулятор'!$D$8," ",IF(AND(EOMONTH(F344,0)=F344,OR(MONTH(F344)=3,MONTH(F344)=6,MONTH(F344)=9,MONTH(F344)=12)),IF(EDATE(F344,-3)&lt;'депозитный калькулятор'!$D$7,SUM($H$23:H344),IF(MOD(YEAR(F344),4)=0,IF(AND(EOMONTH(F344,0)=F344,OR(MONTH(F344)=3,MONTH(F344)=6)),SUM(OFFSET(H344,-90,0):H344),IF(AND(EOMONTH(F344,0)=F344,OR(MONTH(F344)=9,MONTH(F344)=12)),SUM(OFFSET(H344,-91,0):H344))),IF(AND(EOMONTH(F344,0)=F344,MONTH(F344)=3),SUM(OFFSET(H344,-89,0):H344),IF(AND(EOMONTH(F344,0)=F344,MONTH(F344)=6),SUM(OFFSET(H344,-90,0):H344),IF(AND(EOMONTH(F344,0)=F344,OR(MONTH(F344)=9,MONTH(F344)=12)),SUM(OFFSET(H344,-91,0):H344)))))),IF(F344='депозитный калькулятор'!$D$8,SUM($H$23:H344)-SUM($I$23:I343),0))),IF('депозитный калькулятор'!$G$10="ежегодное",IF(F344&gt;'депозитный калькулятор'!$D$8," ",IF(F344='депозитный калькулятор'!$D$8,SUM($H$23:H344)-SUM($I$23:I343),IF(AND(EOMONTH(F344,0)=F344,MONTH(F344)=12),IF(MOD(YEAR(F343),4)=0,IF(F344-'депозитный калькулятор'!$D$7&lt;366,SUM($H$23:H344),SUM(OFFSET(H344,-365,0):H344)),IF(F344-'депозитный калькулятор'!$D$7&lt;365,SUM($H$23:H344),SUM(OFFSET(H344,-364,0):H344))),0))),IF(AND('депозитный калькулятор'!$G$10="в конце срока",'депозитный калькулятор'!$D$8=F344),SUM($H$23:H344),0))))))))))))))))))</f>
        <v xml:space="preserve"> </v>
      </c>
      <c r="J344" s="59" t="str">
        <f>IF(F344&gt;'депозитный калькулятор'!$D$8," ",IF('депозитный калькулятор'!$G$16="нет",0,IF(AND('депозитный калькулятор'!$G$17="разовая (в конце срока)",F344='депозитный калькулятор'!$D$8),'депозитный калькулятор'!$G$18,IF(AND('депозитный калькулятор'!$G$17="ежемесячная",EOMONTH(F343,0)=F343),'депозитный калькулятор'!$G$18,IF(AND('депозитный калькулятор'!$G$17="ежегодная",DAY(F343)=31,MONTH(F343)=12),'депозитный калькулятор'!$G$18,IF(AND('депозитный калькулятор'!$G$17="ежемесячная в зависимости от остатка",EOMONTH(F343,0)=F343,P343&gt;0),'депозитный калькулятор'!$G$18,IF(AND('депозитный калькулятор'!$G$17="ежегодная в зависимости от остатка",DAY(F343)=31,MONTH(F343)=12,P343&gt;0),'депозитный калькулятор'!$G$18,0)))))))</f>
        <v xml:space="preserve"> </v>
      </c>
      <c r="K344" s="135" t="str">
        <f>IF($F344=" "," ",IFERROR(VLOOKUP($F344,'депозитный калькулятор'!$B$26:$F$70,2,0),0))</f>
        <v xml:space="preserve"> </v>
      </c>
      <c r="L344" s="135" t="str">
        <f>IF($F344=" "," ",IFERROR(VLOOKUP($F344,'депозитный калькулятор'!$B$26:$F$70,3,0),0))</f>
        <v xml:space="preserve"> </v>
      </c>
      <c r="M344" s="135" t="str">
        <f>IF($F344=" "," ",IFERROR(VLOOKUP($F344,'депозитный калькулятор'!$B$26:$F$70,4,0),0))</f>
        <v xml:space="preserve"> </v>
      </c>
      <c r="N344" s="135" t="str">
        <f>IF($F344=" "," ",IFERROR(VLOOKUP($F344,'депозитный калькулятор'!$B$26:$F$70,5,0),0))</f>
        <v xml:space="preserve"> </v>
      </c>
      <c r="O344" s="146" t="str">
        <f>IF(F344&gt;'депозитный калькулятор'!$D$8," ",IF(F344='депозитный калькулятор'!$D$8,IF(AND($F$24='депозитный калькулятор'!$D$8,'депозитный калькулятор'!$G$13="нет"),-G344-IF(I344=" ",0,I344)-IF(AND(OR('депозитный калькулятор'!$G$7="30/365",'депозитный калькулятор'!$G$7="30/360"),'депозитный калькулятор'!$G$10="в начале срока"),I343,0)-L344+M344-N344,-G344-IF(I344=" ",0,I344)-L344+M344-N344),IF('депозитный калькулятор'!$G$13="есть",M344-N344+IF('депозитный калькулятор'!$G$14="есть",0,-L344),-IF(I344=" ",0,I344)-IF(AND(OR('депозитный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срока"),I343,0)+M344-N344+IF('депозитный калькулятор'!$G$14="есть",0,-L344))))</f>
        <v xml:space="preserve"> </v>
      </c>
      <c r="P344" s="147" t="str">
        <f>IF(F344&gt;'депозитный калькулятор'!$D$8," ",IF(EOMONTH(F343,0)=F343,0,IF(G344&gt;='депозитный калькулятор'!$G$19,P343,P343+1)))</f>
        <v xml:space="preserve"> </v>
      </c>
      <c r="Q344" s="138" t="str">
        <f>IF(F344=" "," ",IF(AND(OR('депозитный калькулятор'!$G$7="30/365",'депозитный калькулятор'!$G$7="30/360"),AND(MONTH(F344)=2,EOMONTH(F344,0)=F344)),IF(DAY(F344)=28,3,2),1)*IF(G344&gt;='депозитный калькулятор'!$G$11,IF(AND('депозитный калькулятор'!$G$7="факт/факт",MOD(YEAR(F344),4)=0),G344*'депозитный калькулятор'!$D$11/366,G344*'депозитный калькулятор'!$G$8),0))</f>
        <v xml:space="preserve"> </v>
      </c>
      <c r="R344" s="148"/>
      <c r="S344" s="62" t="str">
        <f t="shared" ref="S344:S407" ca="1" si="27">IF(S343&lt;COUNTIFS($B$23:$B$1023,"&gt;0"),S343+1," ")</f>
        <v xml:space="preserve"> </v>
      </c>
      <c r="T344" s="149" t="str">
        <f ca="1">IF(S344=" "," ",IF('депозитный калькулятор'!$G$7="30/360",DAYS360(U343,IF(DAY(U344)=31,U344-1,U344))+IF(AND(MONTH(U344)=2,U344=EOMONTH(U344,0)),30-DAY(EOMONTH(U344,0)))+T343,VLOOKUP(S344,$C$22:$F$1023,2,0)))</f>
        <v xml:space="preserve"> </v>
      </c>
      <c r="U344" s="64" t="str">
        <f t="shared" ca="1" si="25"/>
        <v xml:space="preserve"> </v>
      </c>
      <c r="V344" s="150" t="str">
        <f t="shared" ref="V344:V407" ca="1" si="28">VLOOKUP(U344,$F$24:$O$1023,10)</f>
        <v xml:space="preserve"> </v>
      </c>
      <c r="W344" s="62" t="str">
        <f t="shared" ref="W344:W407" ca="1" si="29">IF(S344=" "," ",VLOOKUP(U344,$F$24:$N$1023,8))</f>
        <v xml:space="preserve"> </v>
      </c>
      <c r="X344" s="141" t="str">
        <f ca="1">IF(S344=" "," ",IFERROR(VLOOKUP(U344,$F$23:$N$1023,7)+VLOOKUP(U344,$F$23:$N$1023,9)+IF(AND('депозитный калькулятор'!$G$13="нет",U344&lt;&gt;'депозитный калькулятор'!$D$8),VLOOKUP(U344,$F$23:$N$1023,4),0),0)+IF(U344='депозитный калькулятор'!$D$8,VLOOKUP(U344,$F$23:$N$1023,2)+VLOOKUP(U344,$F$23:$N$1023,4),0))</f>
        <v xml:space="preserve"> </v>
      </c>
      <c r="Y344" s="142" t="str">
        <f ca="1">IF(S344=" "," ",W344/(1+'депозитный калькулятор'!$K$8)^(T344/IF('депозитный калькулятор'!$G$7="30/360",360,365)))</f>
        <v xml:space="preserve"> </v>
      </c>
      <c r="Z344" s="142" t="str">
        <f ca="1">IF(S344=" "," ",X344/(1+'депозитный калькулятор'!$K$8)^(T344/IF('депозитный калькулятор'!$G$7="30/360",360,365)))</f>
        <v xml:space="preserve"> </v>
      </c>
      <c r="AA344" s="151"/>
      <c r="AB344" s="151"/>
      <c r="AC344" s="155"/>
      <c r="AD344" s="155"/>
    </row>
    <row r="345" spans="1:30" s="2" customFormat="1" ht="15.5" x14ac:dyDescent="0.35">
      <c r="A345" s="41" t="str">
        <f>IF(F345=" "," ",IF(OR('депозитный калькулятор'!$G$7="30/365",'депозитный калькулятор'!$G$7="30/360"),IF(AND(MONTH(F345)=2,DAY(F345)=DAY(EOMONTH(F345,0))),30-DAY(EOMONTH(F345,0)),IF(DAY(F345)=31,1," "))," "))</f>
        <v xml:space="preserve"> </v>
      </c>
      <c r="B345" s="130" t="str">
        <f t="shared" si="26"/>
        <v xml:space="preserve"> </v>
      </c>
      <c r="C345" s="130" t="str">
        <f>IF(OR(B345=0,B345=" ")," ",SUM($B$23:B345))</f>
        <v xml:space="preserve"> </v>
      </c>
      <c r="D345" s="62" t="str">
        <f>IF(D344=" "," ",IF(OR(F344='депозитный калькулятор'!$D$8,F344=" ")," ",D344+1))</f>
        <v xml:space="preserve"> </v>
      </c>
      <c r="E345" s="130" t="str">
        <f>IF(OR(F344='депозитный калькулятор'!$D$8,F344=" ")," ",IF(EOMONTH(F344,0)=F344,1,E344+1))</f>
        <v xml:space="preserve"> </v>
      </c>
      <c r="F345" s="64" t="str">
        <f>IF(F344=" "," ",IF(F344='депозитный калькулятор'!$D$8," ",F344+1))</f>
        <v xml:space="preserve"> </v>
      </c>
      <c r="G345" s="145" t="str">
        <f xml:space="preserve"> IF(F345&gt;'депозитный калькулятор'!$D$8," ",IF('депозитный калькулятор'!$G$13="есть",IF('депозитный калькулятор'!$G$14="есть",G344+IF(I344=" ",0,I344)-J345-K345+L345+M345-N345,G344+IF(I344=" ",0,I344)-J345-K345+M345-N345),IF('депозитный калькулятор'!$G$14="есть",G344-J345-K345+L345+M345-N345,G344-J345-K345+M345-N345)))</f>
        <v xml:space="preserve"> </v>
      </c>
      <c r="H345" s="133" t="str">
        <f>IF(F345&gt;'депозитный калькулятор'!$D$8," ",IF(AND(OR('депозитный калькулятор'!$G$7="30/365",'депозитный калькулятор'!$G$7="30/360"),AND(MONTH(F345)=2,EOMONTH(F345,0)=F345)),IF(DAY(F345)=28,3*G345*'депозитный калькулятор'!$G$8,2*G345*'депозитный калькулятор'!$G$8),IF(AND(OR('депозитный калькулятор'!$G$7="30/365",'депозитный калькулятор'!$G$7="30/360"),DAY(F345)=31)," ",IF(AND('депозитный калькулятор'!$G$7="факт/факт",MOD(YEAR(F345),4)=0),G345*'депозитный калькулятор'!$D$11/366,G345*'депозитный калькулятор'!$G$8))))</f>
        <v xml:space="preserve"> </v>
      </c>
      <c r="I345" s="134" t="str">
        <f ca="1">IF(F345=" "," ",IF('депозитный калькулятор'!$G$10="ежедневное",H345,IF(AND('депозитный калькулятор'!$G$10="еженедельное",WEEKDAY(F345,2)=7),SUM(OFFSET(H345,-6,0):H345),IF(AND('депозитный калькулятор'!$G$10="еженедельное",F345='депозитный калькулятор'!$D$8),SUM($H$23:H345)-SUM($I$23:I344),IF(AND('депозитный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недели",WEEKDAY(F345,2)=7),MIN(OFFSET(H345,-6,0):H345)*(COUNTIF(OFFSET(H345,-6,0):H345,"&gt;0")+SUMIF(OFFSET(A345,-WEEKDAY(F345,2),0):A345,"=2",OFFSET(A345,-WEEKDAY(F345,2),0):A345)),IF(AND('депозитный калькулятор'!$G$10="еженедельное, на минимальную сумму зафиксированную в течение недели",F345='депозитный калькулятор'!$D$8,WEEKDAY(F345,2)&lt;&gt;7),MIN(OFFSET(H345,-WEEKDAY(F345,2),0):H345)*(COUNTIF(OFFSET(H345,-WEEKDAY(F345,2)+1,0):H345,"&gt;0")+SUM(OFFSET(A345,-WEEKDAY(F345,2),0):A345)),IF(AND('депозитный калькулятор'!$G$10="ежемесячное (в конце месяца)",F345='депозитный калькулятор'!$D$8,EOMONTH(F345,0)&lt;&gt;F345),IF('депозитный калькулятор'!$F$1=1,$H$24,SUM($H$23:H345)-SUM($I$23:I344)),IF(AND('депозитный калькулятор'!$G$10="ежемесячное (в конце месяца)",EOMONTH(F345,0)=F345),SUM($H$23:H345)-SUM($I$23:I344),IF(AND('депозитный калькулятор'!$G$10="ежемесячное (по дням открытия вклада)",F345='депозитный калькулятор'!$D$8,DAY('депозитный калькулятор'!$D$7)&lt;&gt;DAY(F345)),IF('депозитный калькулятор'!$F$1=1,$H$24,SUM($H$23:H345)-SUM($I$23:I344)),IF(AND('депозитный калькулятор'!$G$10="ежемесячное (по дням открытия вклада)",DAY('депозитный калькулятор'!$D$7)=DAY(F345)),SUM($H$23:H345)-SUM($I$23:I344),IF(AND('депозитный калькулятор'!$G$10="ежемесячное, на минимальную сумму зафиксированную в течение месяца",F345='депозитный калькулятор'!$D$8,EOMONTH(F345,0)&lt;&gt;F345),IF('депозитный калькулятор'!$F$1=1,$H$24,IF(AND(OR('депозитный калькулятор'!$G$7="30/365",'депозитный калькулятор'!$G$7="30/360"),DAY(F345)=31),0,MIN(OFFSET(H345,-E345+1,0):H345)*(E345+SUMIF(OFFSET(A345,-E345+1,0):A345,"=2",OFFSET(A345,-E345+1,0):A345)))),IF(AND('депозитный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калькулятор'!$G$7="30/360"),DAY(EOMONTH(F345,0))=31),EOMONTH(F345,0)-1=F345,EOMONTH(F345,0)=F345)),IF(IF(AND(OR('депозитный калькулятор'!$G$7="30/365",'депозитный калькулятор'!$G$7="30/360"),DAY(EOMONTH($F$23,0))=31),F345=EOMONTH($F$23,0)-1,F345=EOMONTH($F$23,0)),MIN(OFFSET(H345,-(DAY(F345)-DAY($F$23)),0):H345)*E345,MIN(OFFSET(H345,-(DAY(F345)-1),0):H345)*IF(AND(OR('депозитный калькулятор'!$G$7="30/365",'депозитный калькулятор'!$G$7="30/360"),DAY(F345)&lt;30),30,DAY(F345))),IF(AND('депозитный калькулятор'!$G$10="ежемесячное, на средний остаток в течение месяца, при условии что остаток больше чем ограничение",F345='депозитный калькулятор'!$D$8,EOMONTH(F345,0)&lt;&gt;F345),IF('депозитный калькулятор'!$F$1=1,$H$24,SUM(OFFSET(Q345,-E345+1,0):Q345)),IF(AND('депозитный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калькулятор'!$G$7="30/360"),DAY(EOMONTH(F345,0))=31),EOMONTH(F345,0)-1=F345,EOMONTH(F345,0)=F345)),IF(IF(AND(OR('депозитный калькулятор'!$G$7="30/365",'депозитный калькулятор'!$G$7="30/360"),DAY(EOMONTH($F$24,0))=31),F345=EOMONTH($F$24,0)-1,F345=EOMONTH($F$24,0)),SUM(OFFSET(Q345,-E345+1,0):Q345),SUM(OFFSET(Q345,-E345+1,0):Q345)),IF('депозитный калькулятор'!$G$10="ежеквартальное",IF(F345&gt;'депозитный калькулятор'!$D$8," ",IF(AND(EOMONTH(F345,0)=F345,OR(MONTH(F345)=3,MONTH(F345)=6,MONTH(F345)=9,MONTH(F345)=12)),IF(EDATE(F345,-3)&lt;'депозитный калькулятор'!$D$7,SUM($H$23:H345),IF(MOD(YEAR(F345),4)=0,IF(AND(EOMONTH(F345,0)=F345,OR(MONTH(F345)=3,MONTH(F345)=6)),SUM(OFFSET(H345,-90,0):H345),IF(AND(EOMONTH(F345,0)=F345,OR(MONTH(F345)=9,MONTH(F345)=12)),SUM(OFFSET(H345,-91,0):H345))),IF(AND(EOMONTH(F345,0)=F345,MONTH(F345)=3),SUM(OFFSET(H345,-89,0):H345),IF(AND(EOMONTH(F345,0)=F345,MONTH(F345)=6),SUM(OFFSET(H345,-90,0):H345),IF(AND(EOMONTH(F345,0)=F345,OR(MONTH(F345)=9,MONTH(F345)=12)),SUM(OFFSET(H345,-91,0):H345)))))),IF(F345='депозитный калькулятор'!$D$8,SUM($H$23:H345)-SUM($I$23:I344),0))),IF('депозитный калькулятор'!$G$10="ежегодное",IF(F345&gt;'депозитный калькулятор'!$D$8," ",IF(F345='депозитный калькулятор'!$D$8,SUM($H$23:H345)-SUM($I$23:I344),IF(AND(EOMONTH(F345,0)=F345,MONTH(F345)=12),IF(MOD(YEAR(F344),4)=0,IF(F345-'депозитный калькулятор'!$D$7&lt;366,SUM($H$23:H345),SUM(OFFSET(H345,-365,0):H345)),IF(F345-'депозитный калькулятор'!$D$7&lt;365,SUM($H$23:H345),SUM(OFFSET(H345,-364,0):H345))),0))),IF(AND('депозитный калькулятор'!$G$10="в конце срока",'депозитный калькулятор'!$D$8=F345),SUM($H$23:H345),0))))))))))))))))))</f>
        <v xml:space="preserve"> </v>
      </c>
      <c r="J345" s="59" t="str">
        <f>IF(F345&gt;'депозитный калькулятор'!$D$8," ",IF('депозитный калькулятор'!$G$16="нет",0,IF(AND('депозитный калькулятор'!$G$17="разовая (в конце срока)",F345='депозитный калькулятор'!$D$8),'депозитный калькулятор'!$G$18,IF(AND('депозитный калькулятор'!$G$17="ежемесячная",EOMONTH(F344,0)=F344),'депозитный калькулятор'!$G$18,IF(AND('депозитный калькулятор'!$G$17="ежегодная",DAY(F344)=31,MONTH(F344)=12),'депозитный калькулятор'!$G$18,IF(AND('депозитный калькулятор'!$G$17="ежемесячная в зависимости от остатка",EOMONTH(F344,0)=F344,P344&gt;0),'депозитный калькулятор'!$G$18,IF(AND('депозитный калькулятор'!$G$17="ежегодная в зависимости от остатка",DAY(F344)=31,MONTH(F344)=12,P344&gt;0),'депозитный калькулятор'!$G$18,0)))))))</f>
        <v xml:space="preserve"> </v>
      </c>
      <c r="K345" s="135" t="str">
        <f>IF($F345=" "," ",IFERROR(VLOOKUP($F345,'депозитный калькулятор'!$B$26:$F$70,2,0),0))</f>
        <v xml:space="preserve"> </v>
      </c>
      <c r="L345" s="135" t="str">
        <f>IF($F345=" "," ",IFERROR(VLOOKUP($F345,'депозитный калькулятор'!$B$26:$F$70,3,0),0))</f>
        <v xml:space="preserve"> </v>
      </c>
      <c r="M345" s="135" t="str">
        <f>IF($F345=" "," ",IFERROR(VLOOKUP($F345,'депозитный калькулятор'!$B$26:$F$70,4,0),0))</f>
        <v xml:space="preserve"> </v>
      </c>
      <c r="N345" s="135" t="str">
        <f>IF($F345=" "," ",IFERROR(VLOOKUP($F345,'депозитный калькулятор'!$B$26:$F$70,5,0),0))</f>
        <v xml:space="preserve"> </v>
      </c>
      <c r="O345" s="146" t="str">
        <f>IF(F345&gt;'депозитный калькулятор'!$D$8," ",IF(F345='депозитный калькулятор'!$D$8,IF(AND($F$24='депозитный калькулятор'!$D$8,'депозитный калькулятор'!$G$13="нет"),-G345-IF(I345=" ",0,I345)-IF(AND(OR('депозитный калькулятор'!$G$7="30/365",'депозитный калькулятор'!$G$7="30/360"),'депозитный калькулятор'!$G$10="в начале срока"),I344,0)-L345+M345-N345,-G345-IF(I345=" ",0,I345)-L345+M345-N345),IF('депозитный калькулятор'!$G$13="есть",M345-N345+IF('депозитный калькулятор'!$G$14="есть",0,-L345),-IF(I345=" ",0,I345)-IF(AND(OR('депозитный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срока"),I344,0)+M345-N345+IF('депозитный калькулятор'!$G$14="есть",0,-L345))))</f>
        <v xml:space="preserve"> </v>
      </c>
      <c r="P345" s="147" t="str">
        <f>IF(F345&gt;'депозитный калькулятор'!$D$8," ",IF(EOMONTH(F344,0)=F344,0,IF(G345&gt;='депозитный калькулятор'!$G$19,P344,P344+1)))</f>
        <v xml:space="preserve"> </v>
      </c>
      <c r="Q345" s="138" t="str">
        <f>IF(F345=" "," ",IF(AND(OR('депозитный калькулятор'!$G$7="30/365",'депозитный калькулятор'!$G$7="30/360"),AND(MONTH(F345)=2,EOMONTH(F345,0)=F345)),IF(DAY(F345)=28,3,2),1)*IF(G345&gt;='депозитный калькулятор'!$G$11,IF(AND('депозитный калькулятор'!$G$7="факт/факт",MOD(YEAR(F345),4)=0),G345*'депозитный калькулятор'!$D$11/366,G345*'депозитный калькулятор'!$G$8),0))</f>
        <v xml:space="preserve"> </v>
      </c>
      <c r="R345" s="148"/>
      <c r="S345" s="62" t="str">
        <f t="shared" ca="1" si="27"/>
        <v xml:space="preserve"> </v>
      </c>
      <c r="T345" s="149" t="str">
        <f ca="1">IF(S345=" "," ",IF('депозитный калькулятор'!$G$7="30/360",DAYS360(U344,IF(DAY(U345)=31,U345-1,U345))+IF(AND(MONTH(U345)=2,U345=EOMONTH(U345,0)),30-DAY(EOMONTH(U345,0)))+T344,VLOOKUP(S345,$C$22:$F$1023,2,0)))</f>
        <v xml:space="preserve"> </v>
      </c>
      <c r="U345" s="64" t="str">
        <f t="shared" ca="1" si="25"/>
        <v xml:space="preserve"> </v>
      </c>
      <c r="V345" s="150" t="str">
        <f t="shared" ca="1" si="28"/>
        <v xml:space="preserve"> </v>
      </c>
      <c r="W345" s="62" t="str">
        <f t="shared" ca="1" si="29"/>
        <v xml:space="preserve"> </v>
      </c>
      <c r="X345" s="141" t="str">
        <f ca="1">IF(S345=" "," ",IFERROR(VLOOKUP(U345,$F$23:$N$1023,7)+VLOOKUP(U345,$F$23:$N$1023,9)+IF(AND('депозитный калькулятор'!$G$13="нет",U345&lt;&gt;'депозитный калькулятор'!$D$8),VLOOKUP(U345,$F$23:$N$1023,4),0),0)+IF(U345='депозитный калькулятор'!$D$8,VLOOKUP(U345,$F$23:$N$1023,2)+VLOOKUP(U345,$F$23:$N$1023,4),0))</f>
        <v xml:space="preserve"> </v>
      </c>
      <c r="Y345" s="142" t="str">
        <f ca="1">IF(S345=" "," ",W345/(1+'депозитный калькулятор'!$K$8)^(T345/IF('депозитный калькулятор'!$G$7="30/360",360,365)))</f>
        <v xml:space="preserve"> </v>
      </c>
      <c r="Z345" s="142" t="str">
        <f ca="1">IF(S345=" "," ",X345/(1+'депозитный калькулятор'!$K$8)^(T345/IF('депозитный калькулятор'!$G$7="30/360",360,365)))</f>
        <v xml:space="preserve"> </v>
      </c>
      <c r="AA345" s="151"/>
      <c r="AB345" s="151"/>
      <c r="AC345" s="155"/>
      <c r="AD345" s="155"/>
    </row>
    <row r="346" spans="1:30" s="2" customFormat="1" ht="15.5" x14ac:dyDescent="0.35">
      <c r="A346" s="41" t="str">
        <f>IF(F346=" "," ",IF(OR('депозитный калькулятор'!$G$7="30/365",'депозитный калькулятор'!$G$7="30/360"),IF(AND(MONTH(F346)=2,DAY(F346)=DAY(EOMONTH(F346,0))),30-DAY(EOMONTH(F346,0)),IF(DAY(F346)=31,1," "))," "))</f>
        <v xml:space="preserve"> </v>
      </c>
      <c r="B346" s="130" t="str">
        <f t="shared" si="26"/>
        <v xml:space="preserve"> </v>
      </c>
      <c r="C346" s="130" t="str">
        <f>IF(OR(B346=0,B346=" ")," ",SUM($B$23:B346))</f>
        <v xml:space="preserve"> </v>
      </c>
      <c r="D346" s="62" t="str">
        <f>IF(D345=" "," ",IF(OR(F345='депозитный калькулятор'!$D$8,F345=" ")," ",D345+1))</f>
        <v xml:space="preserve"> </v>
      </c>
      <c r="E346" s="130" t="str">
        <f>IF(OR(F345='депозитный калькулятор'!$D$8,F345=" ")," ",IF(EOMONTH(F345,0)=F345,1,E345+1))</f>
        <v xml:space="preserve"> </v>
      </c>
      <c r="F346" s="64" t="str">
        <f>IF(F345=" "," ",IF(F345='депозитный калькулятор'!$D$8," ",F345+1))</f>
        <v xml:space="preserve"> </v>
      </c>
      <c r="G346" s="145" t="str">
        <f xml:space="preserve"> IF(F346&gt;'депозитный калькулятор'!$D$8," ",IF('депозитный калькулятор'!$G$13="есть",IF('депозитный калькулятор'!$G$14="есть",G345+IF(I345=" ",0,I345)-J346-K346+L346+M346-N346,G345+IF(I345=" ",0,I345)-J346-K346+M346-N346),IF('депозитный калькулятор'!$G$14="есть",G345-J346-K346+L346+M346-N346,G345-J346-K346+M346-N346)))</f>
        <v xml:space="preserve"> </v>
      </c>
      <c r="H346" s="133" t="str">
        <f>IF(F346&gt;'депозитный калькулятор'!$D$8," ",IF(AND(OR('депозитный калькулятор'!$G$7="30/365",'депозитный калькулятор'!$G$7="30/360"),AND(MONTH(F346)=2,EOMONTH(F346,0)=F346)),IF(DAY(F346)=28,3*G346*'депозитный калькулятор'!$G$8,2*G346*'депозитный калькулятор'!$G$8),IF(AND(OR('депозитный калькулятор'!$G$7="30/365",'депозитный калькулятор'!$G$7="30/360"),DAY(F346)=31)," ",IF(AND('депозитный калькулятор'!$G$7="факт/факт",MOD(YEAR(F346),4)=0),G346*'депозитный калькулятор'!$D$11/366,G346*'депозитный калькулятор'!$G$8))))</f>
        <v xml:space="preserve"> </v>
      </c>
      <c r="I346" s="134" t="str">
        <f ca="1">IF(F346=" "," ",IF('депозитный калькулятор'!$G$10="ежедневное",H346,IF(AND('депозитный калькулятор'!$G$10="еженедельное",WEEKDAY(F346,2)=7),SUM(OFFSET(H346,-6,0):H346),IF(AND('депозитный калькулятор'!$G$10="еженедельное",F346='депозитный калькулятор'!$D$8),SUM($H$23:H346)-SUM($I$23:I345),IF(AND('депозитный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недели",WEEKDAY(F346,2)=7),MIN(OFFSET(H346,-6,0):H346)*(COUNTIF(OFFSET(H346,-6,0):H346,"&gt;0")+SUMIF(OFFSET(A346,-WEEKDAY(F346,2),0):A346,"=2",OFFSET(A346,-WEEKDAY(F346,2),0):A346)),IF(AND('депозитный калькулятор'!$G$10="еженедельное, на минимальную сумму зафиксированную в течение недели",F346='депозитный калькулятор'!$D$8,WEEKDAY(F346,2)&lt;&gt;7),MIN(OFFSET(H346,-WEEKDAY(F346,2),0):H346)*(COUNTIF(OFFSET(H346,-WEEKDAY(F346,2)+1,0):H346,"&gt;0")+SUM(OFFSET(A346,-WEEKDAY(F346,2),0):A346)),IF(AND('депозитный калькулятор'!$G$10="ежемесячное (в конце месяца)",F346='депозитный калькулятор'!$D$8,EOMONTH(F346,0)&lt;&gt;F346),IF('депозитный калькулятор'!$F$1=1,$H$24,SUM($H$23:H346)-SUM($I$23:I345)),IF(AND('депозитный калькулятор'!$G$10="ежемесячное (в конце месяца)",EOMONTH(F346,0)=F346),SUM($H$23:H346)-SUM($I$23:I345),IF(AND('депозитный калькулятор'!$G$10="ежемесячное (по дням открытия вклада)",F346='депозитный калькулятор'!$D$8,DAY('депозитный калькулятор'!$D$7)&lt;&gt;DAY(F346)),IF('депозитный калькулятор'!$F$1=1,$H$24,SUM($H$23:H346)-SUM($I$23:I345)),IF(AND('депозитный калькулятор'!$G$10="ежемесячное (по дням открытия вклада)",DAY('депозитный калькулятор'!$D$7)=DAY(F346)),SUM($H$23:H346)-SUM($I$23:I345),IF(AND('депозитный калькулятор'!$G$10="ежемесячное, на минимальную сумму зафиксированную в течение месяца",F346='депозитный калькулятор'!$D$8,EOMONTH(F346,0)&lt;&gt;F346),IF('депозитный калькулятор'!$F$1=1,$H$24,IF(AND(OR('депозитный калькулятор'!$G$7="30/365",'депозитный калькулятор'!$G$7="30/360"),DAY(F346)=31),0,MIN(OFFSET(H346,-E346+1,0):H346)*(E346+SUMIF(OFFSET(A346,-E346+1,0):A346,"=2",OFFSET(A346,-E346+1,0):A346)))),IF(AND('депозитный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калькулятор'!$G$7="30/360"),DAY(EOMONTH(F346,0))=31),EOMONTH(F346,0)-1=F346,EOMONTH(F346,0)=F346)),IF(IF(AND(OR('депозитный калькулятор'!$G$7="30/365",'депозитный калькулятор'!$G$7="30/360"),DAY(EOMONTH($F$23,0))=31),F346=EOMONTH($F$23,0)-1,F346=EOMONTH($F$23,0)),MIN(OFFSET(H346,-(DAY(F346)-DAY($F$23)),0):H346)*E346,MIN(OFFSET(H346,-(DAY(F346)-1),0):H346)*IF(AND(OR('депозитный калькулятор'!$G$7="30/365",'депозитный калькулятор'!$G$7="30/360"),DAY(F346)&lt;30),30,DAY(F346))),IF(AND('депозитный калькулятор'!$G$10="ежемесячное, на средний остаток в течение месяца, при условии что остаток больше чем ограничение",F346='депозитный калькулятор'!$D$8,EOMONTH(F346,0)&lt;&gt;F346),IF('депозитный калькулятор'!$F$1=1,$H$24,SUM(OFFSET(Q346,-E346+1,0):Q346)),IF(AND('депозитный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калькулятор'!$G$7="30/360"),DAY(EOMONTH(F346,0))=31),EOMONTH(F346,0)-1=F346,EOMONTH(F346,0)=F346)),IF(IF(AND(OR('депозитный калькулятор'!$G$7="30/365",'депозитный калькулятор'!$G$7="30/360"),DAY(EOMONTH($F$24,0))=31),F346=EOMONTH($F$24,0)-1,F346=EOMONTH($F$24,0)),SUM(OFFSET(Q346,-E346+1,0):Q346),SUM(OFFSET(Q346,-E346+1,0):Q346)),IF('депозитный калькулятор'!$G$10="ежеквартальное",IF(F346&gt;'депозитный калькулятор'!$D$8," ",IF(AND(EOMONTH(F346,0)=F346,OR(MONTH(F346)=3,MONTH(F346)=6,MONTH(F346)=9,MONTH(F346)=12)),IF(EDATE(F346,-3)&lt;'депозитный калькулятор'!$D$7,SUM($H$23:H346),IF(MOD(YEAR(F346),4)=0,IF(AND(EOMONTH(F346,0)=F346,OR(MONTH(F346)=3,MONTH(F346)=6)),SUM(OFFSET(H346,-90,0):H346),IF(AND(EOMONTH(F346,0)=F346,OR(MONTH(F346)=9,MONTH(F346)=12)),SUM(OFFSET(H346,-91,0):H346))),IF(AND(EOMONTH(F346,0)=F346,MONTH(F346)=3),SUM(OFFSET(H346,-89,0):H346),IF(AND(EOMONTH(F346,0)=F346,MONTH(F346)=6),SUM(OFFSET(H346,-90,0):H346),IF(AND(EOMONTH(F346,0)=F346,OR(MONTH(F346)=9,MONTH(F346)=12)),SUM(OFFSET(H346,-91,0):H346)))))),IF(F346='депозитный калькулятор'!$D$8,SUM($H$23:H346)-SUM($I$23:I345),0))),IF('депозитный калькулятор'!$G$10="ежегодное",IF(F346&gt;'депозитный калькулятор'!$D$8," ",IF(F346='депозитный калькулятор'!$D$8,SUM($H$23:H346)-SUM($I$23:I345),IF(AND(EOMONTH(F346,0)=F346,MONTH(F346)=12),IF(MOD(YEAR(F345),4)=0,IF(F346-'депозитный калькулятор'!$D$7&lt;366,SUM($H$23:H346),SUM(OFFSET(H346,-365,0):H346)),IF(F346-'депозитный калькулятор'!$D$7&lt;365,SUM($H$23:H346),SUM(OFFSET(H346,-364,0):H346))),0))),IF(AND('депозитный калькулятор'!$G$10="в конце срока",'депозитный калькулятор'!$D$8=F346),SUM($H$23:H346),0))))))))))))))))))</f>
        <v xml:space="preserve"> </v>
      </c>
      <c r="J346" s="59" t="str">
        <f>IF(F346&gt;'депозитный калькулятор'!$D$8," ",IF('депозитный калькулятор'!$G$16="нет",0,IF(AND('депозитный калькулятор'!$G$17="разовая (в конце срока)",F346='депозитный калькулятор'!$D$8),'депозитный калькулятор'!$G$18,IF(AND('депозитный калькулятор'!$G$17="ежемесячная",EOMONTH(F345,0)=F345),'депозитный калькулятор'!$G$18,IF(AND('депозитный калькулятор'!$G$17="ежегодная",DAY(F345)=31,MONTH(F345)=12),'депозитный калькулятор'!$G$18,IF(AND('депозитный калькулятор'!$G$17="ежемесячная в зависимости от остатка",EOMONTH(F345,0)=F345,P345&gt;0),'депозитный калькулятор'!$G$18,IF(AND('депозитный калькулятор'!$G$17="ежегодная в зависимости от остатка",DAY(F345)=31,MONTH(F345)=12,P345&gt;0),'депозитный калькулятор'!$G$18,0)))))))</f>
        <v xml:space="preserve"> </v>
      </c>
      <c r="K346" s="135" t="str">
        <f>IF($F346=" "," ",IFERROR(VLOOKUP($F346,'депозитный калькулятор'!$B$26:$F$70,2,0),0))</f>
        <v xml:space="preserve"> </v>
      </c>
      <c r="L346" s="135" t="str">
        <f>IF($F346=" "," ",IFERROR(VLOOKUP($F346,'депозитный калькулятор'!$B$26:$F$70,3,0),0))</f>
        <v xml:space="preserve"> </v>
      </c>
      <c r="M346" s="135" t="str">
        <f>IF($F346=" "," ",IFERROR(VLOOKUP($F346,'депозитный калькулятор'!$B$26:$F$70,4,0),0))</f>
        <v xml:space="preserve"> </v>
      </c>
      <c r="N346" s="135" t="str">
        <f>IF($F346=" "," ",IFERROR(VLOOKUP($F346,'депозитный калькулятор'!$B$26:$F$70,5,0),0))</f>
        <v xml:space="preserve"> </v>
      </c>
      <c r="O346" s="146" t="str">
        <f>IF(F346&gt;'депозитный калькулятор'!$D$8," ",IF(F346='депозитный калькулятор'!$D$8,IF(AND($F$24='депозитный калькулятор'!$D$8,'депозитный калькулятор'!$G$13="нет"),-G346-IF(I346=" ",0,I346)-IF(AND(OR('депозитный калькулятор'!$G$7="30/365",'депозитный калькулятор'!$G$7="30/360"),'депозитный калькулятор'!$G$10="в начале срока"),I345,0)-L346+M346-N346,-G346-IF(I346=" ",0,I346)-L346+M346-N346),IF('депозитный калькулятор'!$G$13="есть",M346-N346+IF('депозитный калькулятор'!$G$14="есть",0,-L346),-IF(I346=" ",0,I346)-IF(AND(OR('депозитный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срока"),I345,0)+M346-N346+IF('депозитный калькулятор'!$G$14="есть",0,-L346))))</f>
        <v xml:space="preserve"> </v>
      </c>
      <c r="P346" s="147" t="str">
        <f>IF(F346&gt;'депозитный калькулятор'!$D$8," ",IF(EOMONTH(F345,0)=F345,0,IF(G346&gt;='депозитный калькулятор'!$G$19,P345,P345+1)))</f>
        <v xml:space="preserve"> </v>
      </c>
      <c r="Q346" s="138" t="str">
        <f>IF(F346=" "," ",IF(AND(OR('депозитный калькулятор'!$G$7="30/365",'депозитный калькулятор'!$G$7="30/360"),AND(MONTH(F346)=2,EOMONTH(F346,0)=F346)),IF(DAY(F346)=28,3,2),1)*IF(G346&gt;='депозитный калькулятор'!$G$11,IF(AND('депозитный калькулятор'!$G$7="факт/факт",MOD(YEAR(F346),4)=0),G346*'депозитный калькулятор'!$D$11/366,G346*'депозитный калькулятор'!$G$8),0))</f>
        <v xml:space="preserve"> </v>
      </c>
      <c r="R346" s="148"/>
      <c r="S346" s="62" t="str">
        <f t="shared" ca="1" si="27"/>
        <v xml:space="preserve"> </v>
      </c>
      <c r="T346" s="149" t="str">
        <f ca="1">IF(S346=" "," ",IF('депозитный калькулятор'!$G$7="30/360",DAYS360(U345,IF(DAY(U346)=31,U346-1,U346))+IF(AND(MONTH(U346)=2,U346=EOMONTH(U346,0)),30-DAY(EOMONTH(U346,0)))+T345,VLOOKUP(S346,$C$22:$F$1023,2,0)))</f>
        <v xml:space="preserve"> </v>
      </c>
      <c r="U346" s="64" t="str">
        <f t="shared" ca="1" si="25"/>
        <v xml:space="preserve"> </v>
      </c>
      <c r="V346" s="150" t="str">
        <f t="shared" ca="1" si="28"/>
        <v xml:space="preserve"> </v>
      </c>
      <c r="W346" s="62" t="str">
        <f t="shared" ca="1" si="29"/>
        <v xml:space="preserve"> </v>
      </c>
      <c r="X346" s="141" t="str">
        <f ca="1">IF(S346=" "," ",IFERROR(VLOOKUP(U346,$F$23:$N$1023,7)+VLOOKUP(U346,$F$23:$N$1023,9)+IF(AND('депозитный калькулятор'!$G$13="нет",U346&lt;&gt;'депозитный калькулятор'!$D$8),VLOOKUP(U346,$F$23:$N$1023,4),0),0)+IF(U346='депозитный калькулятор'!$D$8,VLOOKUP(U346,$F$23:$N$1023,2)+VLOOKUP(U346,$F$23:$N$1023,4),0))</f>
        <v xml:space="preserve"> </v>
      </c>
      <c r="Y346" s="142" t="str">
        <f ca="1">IF(S346=" "," ",W346/(1+'депозитный калькулятор'!$K$8)^(T346/IF('депозитный калькулятор'!$G$7="30/360",360,365)))</f>
        <v xml:space="preserve"> </v>
      </c>
      <c r="Z346" s="142" t="str">
        <f ca="1">IF(S346=" "," ",X346/(1+'депозитный калькулятор'!$K$8)^(T346/IF('депозитный калькулятор'!$G$7="30/360",360,365)))</f>
        <v xml:space="preserve"> </v>
      </c>
      <c r="AA346" s="151"/>
      <c r="AB346" s="151"/>
      <c r="AC346" s="155"/>
      <c r="AD346" s="155"/>
    </row>
    <row r="347" spans="1:30" s="2" customFormat="1" ht="15.5" x14ac:dyDescent="0.35">
      <c r="A347" s="41" t="str">
        <f>IF(F347=" "," ",IF(OR('депозитный калькулятор'!$G$7="30/365",'депозитный калькулятор'!$G$7="30/360"),IF(AND(MONTH(F347)=2,DAY(F347)=DAY(EOMONTH(F347,0))),30-DAY(EOMONTH(F347,0)),IF(DAY(F347)=31,1," "))," "))</f>
        <v xml:space="preserve"> </v>
      </c>
      <c r="B347" s="130" t="str">
        <f t="shared" si="26"/>
        <v xml:space="preserve"> </v>
      </c>
      <c r="C347" s="130" t="str">
        <f>IF(OR(B347=0,B347=" ")," ",SUM($B$23:B347))</f>
        <v xml:space="preserve"> </v>
      </c>
      <c r="D347" s="62" t="str">
        <f>IF(D346=" "," ",IF(OR(F346='депозитный калькулятор'!$D$8,F346=" ")," ",D346+1))</f>
        <v xml:space="preserve"> </v>
      </c>
      <c r="E347" s="130" t="str">
        <f>IF(OR(F346='депозитный калькулятор'!$D$8,F346=" ")," ",IF(EOMONTH(F346,0)=F346,1,E346+1))</f>
        <v xml:space="preserve"> </v>
      </c>
      <c r="F347" s="64" t="str">
        <f>IF(F346=" "," ",IF(F346='депозитный калькулятор'!$D$8," ",F346+1))</f>
        <v xml:space="preserve"> </v>
      </c>
      <c r="G347" s="145" t="str">
        <f xml:space="preserve"> IF(F347&gt;'депозитный калькулятор'!$D$8," ",IF('депозитный калькулятор'!$G$13="есть",IF('депозитный калькулятор'!$G$14="есть",G346+IF(I346=" ",0,I346)-J347-K347+L347+M347-N347,G346+IF(I346=" ",0,I346)-J347-K347+M347-N347),IF('депозитный калькулятор'!$G$14="есть",G346-J347-K347+L347+M347-N347,G346-J347-K347+M347-N347)))</f>
        <v xml:space="preserve"> </v>
      </c>
      <c r="H347" s="133" t="str">
        <f>IF(F347&gt;'депозитный калькулятор'!$D$8," ",IF(AND(OR('депозитный калькулятор'!$G$7="30/365",'депозитный калькулятор'!$G$7="30/360"),AND(MONTH(F347)=2,EOMONTH(F347,0)=F347)),IF(DAY(F347)=28,3*G347*'депозитный калькулятор'!$G$8,2*G347*'депозитный калькулятор'!$G$8),IF(AND(OR('депозитный калькулятор'!$G$7="30/365",'депозитный калькулятор'!$G$7="30/360"),DAY(F347)=31)," ",IF(AND('депозитный калькулятор'!$G$7="факт/факт",MOD(YEAR(F347),4)=0),G347*'депозитный калькулятор'!$D$11/366,G347*'депозитный калькулятор'!$G$8))))</f>
        <v xml:space="preserve"> </v>
      </c>
      <c r="I347" s="134" t="str">
        <f ca="1">IF(F347=" "," ",IF('депозитный калькулятор'!$G$10="ежедневное",H347,IF(AND('депозитный калькулятор'!$G$10="еженедельное",WEEKDAY(F347,2)=7),SUM(OFFSET(H347,-6,0):H347),IF(AND('депозитный калькулятор'!$G$10="еженедельное",F347='депозитный калькулятор'!$D$8),SUM($H$23:H347)-SUM($I$23:I346),IF(AND('депозитный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недели",WEEKDAY(F347,2)=7),MIN(OFFSET(H347,-6,0):H347)*(COUNTIF(OFFSET(H347,-6,0):H347,"&gt;0")+SUMIF(OFFSET(A347,-WEEKDAY(F347,2),0):A347,"=2",OFFSET(A347,-WEEKDAY(F347,2),0):A347)),IF(AND('депозитный калькулятор'!$G$10="еженедельное, на минимальную сумму зафиксированную в течение недели",F347='депозитный калькулятор'!$D$8,WEEKDAY(F347,2)&lt;&gt;7),MIN(OFFSET(H347,-WEEKDAY(F347,2),0):H347)*(COUNTIF(OFFSET(H347,-WEEKDAY(F347,2)+1,0):H347,"&gt;0")+SUM(OFFSET(A347,-WEEKDAY(F347,2),0):A347)),IF(AND('депозитный калькулятор'!$G$10="ежемесячное (в конце месяца)",F347='депозитный калькулятор'!$D$8,EOMONTH(F347,0)&lt;&gt;F347),IF('депозитный калькулятор'!$F$1=1,$H$24,SUM($H$23:H347)-SUM($I$23:I346)),IF(AND('депозитный калькулятор'!$G$10="ежемесячное (в конце месяца)",EOMONTH(F347,0)=F347),SUM($H$23:H347)-SUM($I$23:I346),IF(AND('депозитный калькулятор'!$G$10="ежемесячное (по дням открытия вклада)",F347='депозитный калькулятор'!$D$8,DAY('депозитный калькулятор'!$D$7)&lt;&gt;DAY(F347)),IF('депозитный калькулятор'!$F$1=1,$H$24,SUM($H$23:H347)-SUM($I$23:I346)),IF(AND('депозитный калькулятор'!$G$10="ежемесячное (по дням открытия вклада)",DAY('депозитный калькулятор'!$D$7)=DAY(F347)),SUM($H$23:H347)-SUM($I$23:I346),IF(AND('депозитный калькулятор'!$G$10="ежемесячное, на минимальную сумму зафиксированную в течение месяца",F347='депозитный калькулятор'!$D$8,EOMONTH(F347,0)&lt;&gt;F347),IF('депозитный калькулятор'!$F$1=1,$H$24,IF(AND(OR('депозитный калькулятор'!$G$7="30/365",'депозитный калькулятор'!$G$7="30/360"),DAY(F347)=31),0,MIN(OFFSET(H347,-E347+1,0):H347)*(E347+SUMIF(OFFSET(A347,-E347+1,0):A347,"=2",OFFSET(A347,-E347+1,0):A347)))),IF(AND('депозитный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калькулятор'!$G$7="30/360"),DAY(EOMONTH(F347,0))=31),EOMONTH(F347,0)-1=F347,EOMONTH(F347,0)=F347)),IF(IF(AND(OR('депозитный калькулятор'!$G$7="30/365",'депозитный калькулятор'!$G$7="30/360"),DAY(EOMONTH($F$23,0))=31),F347=EOMONTH($F$23,0)-1,F347=EOMONTH($F$23,0)),MIN(OFFSET(H347,-(DAY(F347)-DAY($F$23)),0):H347)*E347,MIN(OFFSET(H347,-(DAY(F347)-1),0):H347)*IF(AND(OR('депозитный калькулятор'!$G$7="30/365",'депозитный калькулятор'!$G$7="30/360"),DAY(F347)&lt;30),30,DAY(F347))),IF(AND('депозитный калькулятор'!$G$10="ежемесячное, на средний остаток в течение месяца, при условии что остаток больше чем ограничение",F347='депозитный калькулятор'!$D$8,EOMONTH(F347,0)&lt;&gt;F347),IF('депозитный калькулятор'!$F$1=1,$H$24,SUM(OFFSET(Q347,-E347+1,0):Q347)),IF(AND('депозитный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калькулятор'!$G$7="30/360"),DAY(EOMONTH(F347,0))=31),EOMONTH(F347,0)-1=F347,EOMONTH(F347,0)=F347)),IF(IF(AND(OR('депозитный калькулятор'!$G$7="30/365",'депозитный калькулятор'!$G$7="30/360"),DAY(EOMONTH($F$24,0))=31),F347=EOMONTH($F$24,0)-1,F347=EOMONTH($F$24,0)),SUM(OFFSET(Q347,-E347+1,0):Q347),SUM(OFFSET(Q347,-E347+1,0):Q347)),IF('депозитный калькулятор'!$G$10="ежеквартальное",IF(F347&gt;'депозитный калькулятор'!$D$8," ",IF(AND(EOMONTH(F347,0)=F347,OR(MONTH(F347)=3,MONTH(F347)=6,MONTH(F347)=9,MONTH(F347)=12)),IF(EDATE(F347,-3)&lt;'депозитный калькулятор'!$D$7,SUM($H$23:H347),IF(MOD(YEAR(F347),4)=0,IF(AND(EOMONTH(F347,0)=F347,OR(MONTH(F347)=3,MONTH(F347)=6)),SUM(OFFSET(H347,-90,0):H347),IF(AND(EOMONTH(F347,0)=F347,OR(MONTH(F347)=9,MONTH(F347)=12)),SUM(OFFSET(H347,-91,0):H347))),IF(AND(EOMONTH(F347,0)=F347,MONTH(F347)=3),SUM(OFFSET(H347,-89,0):H347),IF(AND(EOMONTH(F347,0)=F347,MONTH(F347)=6),SUM(OFFSET(H347,-90,0):H347),IF(AND(EOMONTH(F347,0)=F347,OR(MONTH(F347)=9,MONTH(F347)=12)),SUM(OFFSET(H347,-91,0):H347)))))),IF(F347='депозитный калькулятор'!$D$8,SUM($H$23:H347)-SUM($I$23:I346),0))),IF('депозитный калькулятор'!$G$10="ежегодное",IF(F347&gt;'депозитный калькулятор'!$D$8," ",IF(F347='депозитный калькулятор'!$D$8,SUM($H$23:H347)-SUM($I$23:I346),IF(AND(EOMONTH(F347,0)=F347,MONTH(F347)=12),IF(MOD(YEAR(F346),4)=0,IF(F347-'депозитный калькулятор'!$D$7&lt;366,SUM($H$23:H347),SUM(OFFSET(H347,-365,0):H347)),IF(F347-'депозитный калькулятор'!$D$7&lt;365,SUM($H$23:H347),SUM(OFFSET(H347,-364,0):H347))),0))),IF(AND('депозитный калькулятор'!$G$10="в конце срока",'депозитный калькулятор'!$D$8=F347),SUM($H$23:H347),0))))))))))))))))))</f>
        <v xml:space="preserve"> </v>
      </c>
      <c r="J347" s="59" t="str">
        <f>IF(F347&gt;'депозитный калькулятор'!$D$8," ",IF('депозитный калькулятор'!$G$16="нет",0,IF(AND('депозитный калькулятор'!$G$17="разовая (в конце срока)",F347='депозитный калькулятор'!$D$8),'депозитный калькулятор'!$G$18,IF(AND('депозитный калькулятор'!$G$17="ежемесячная",EOMONTH(F346,0)=F346),'депозитный калькулятор'!$G$18,IF(AND('депозитный калькулятор'!$G$17="ежегодная",DAY(F346)=31,MONTH(F346)=12),'депозитный калькулятор'!$G$18,IF(AND('депозитный калькулятор'!$G$17="ежемесячная в зависимости от остатка",EOMONTH(F346,0)=F346,P346&gt;0),'депозитный калькулятор'!$G$18,IF(AND('депозитный калькулятор'!$G$17="ежегодная в зависимости от остатка",DAY(F346)=31,MONTH(F346)=12,P346&gt;0),'депозитный калькулятор'!$G$18,0)))))))</f>
        <v xml:space="preserve"> </v>
      </c>
      <c r="K347" s="135" t="str">
        <f>IF($F347=" "," ",IFERROR(VLOOKUP($F347,'депозитный калькулятор'!$B$26:$F$70,2,0),0))</f>
        <v xml:space="preserve"> </v>
      </c>
      <c r="L347" s="135" t="str">
        <f>IF($F347=" "," ",IFERROR(VLOOKUP($F347,'депозитный калькулятор'!$B$26:$F$70,3,0),0))</f>
        <v xml:space="preserve"> </v>
      </c>
      <c r="M347" s="135" t="str">
        <f>IF($F347=" "," ",IFERROR(VLOOKUP($F347,'депозитный калькулятор'!$B$26:$F$70,4,0),0))</f>
        <v xml:space="preserve"> </v>
      </c>
      <c r="N347" s="135" t="str">
        <f>IF($F347=" "," ",IFERROR(VLOOKUP($F347,'депозитный калькулятор'!$B$26:$F$70,5,0),0))</f>
        <v xml:space="preserve"> </v>
      </c>
      <c r="O347" s="146" t="str">
        <f>IF(F347&gt;'депозитный калькулятор'!$D$8," ",IF(F347='депозитный калькулятор'!$D$8,IF(AND($F$24='депозитный калькулятор'!$D$8,'депозитный калькулятор'!$G$13="нет"),-G347-IF(I347=" ",0,I347)-IF(AND(OR('депозитный калькулятор'!$G$7="30/365",'депозитный калькулятор'!$G$7="30/360"),'депозитный калькулятор'!$G$10="в начале срока"),I346,0)-L347+M347-N347,-G347-IF(I347=" ",0,I347)-L347+M347-N347),IF('депозитный калькулятор'!$G$13="есть",M347-N347+IF('депозитный калькулятор'!$G$14="есть",0,-L347),-IF(I347=" ",0,I347)-IF(AND(OR('депозитный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срока"),I346,0)+M347-N347+IF('депозитный калькулятор'!$G$14="есть",0,-L347))))</f>
        <v xml:space="preserve"> </v>
      </c>
      <c r="P347" s="147" t="str">
        <f>IF(F347&gt;'депозитный калькулятор'!$D$8," ",IF(EOMONTH(F346,0)=F346,0,IF(G347&gt;='депозитный калькулятор'!$G$19,P346,P346+1)))</f>
        <v xml:space="preserve"> </v>
      </c>
      <c r="Q347" s="138" t="str">
        <f>IF(F347=" "," ",IF(AND(OR('депозитный калькулятор'!$G$7="30/365",'депозитный калькулятор'!$G$7="30/360"),AND(MONTH(F347)=2,EOMONTH(F347,0)=F347)),IF(DAY(F347)=28,3,2),1)*IF(G347&gt;='депозитный калькулятор'!$G$11,IF(AND('депозитный калькулятор'!$G$7="факт/факт",MOD(YEAR(F347),4)=0),G347*'депозитный калькулятор'!$D$11/366,G347*'депозитный калькулятор'!$G$8),0))</f>
        <v xml:space="preserve"> </v>
      </c>
      <c r="R347" s="148"/>
      <c r="S347" s="62" t="str">
        <f t="shared" ca="1" si="27"/>
        <v xml:space="preserve"> </v>
      </c>
      <c r="T347" s="149" t="str">
        <f ca="1">IF(S347=" "," ",IF('депозитный калькулятор'!$G$7="30/360",DAYS360(U346,IF(DAY(U347)=31,U347-1,U347))+IF(AND(MONTH(U347)=2,U347=EOMONTH(U347,0)),30-DAY(EOMONTH(U347,0)))+T346,VLOOKUP(S347,$C$22:$F$1023,2,0)))</f>
        <v xml:space="preserve"> </v>
      </c>
      <c r="U347" s="64" t="str">
        <f t="shared" ca="1" si="25"/>
        <v xml:space="preserve"> </v>
      </c>
      <c r="V347" s="150" t="str">
        <f t="shared" ca="1" si="28"/>
        <v xml:space="preserve"> </v>
      </c>
      <c r="W347" s="62" t="str">
        <f t="shared" ca="1" si="29"/>
        <v xml:space="preserve"> </v>
      </c>
      <c r="X347" s="141" t="str">
        <f ca="1">IF(S347=" "," ",IFERROR(VLOOKUP(U347,$F$23:$N$1023,7)+VLOOKUP(U347,$F$23:$N$1023,9)+IF(AND('депозитный калькулятор'!$G$13="нет",U347&lt;&gt;'депозитный калькулятор'!$D$8),VLOOKUP(U347,$F$23:$N$1023,4),0),0)+IF(U347='депозитный калькулятор'!$D$8,VLOOKUP(U347,$F$23:$N$1023,2)+VLOOKUP(U347,$F$23:$N$1023,4),0))</f>
        <v xml:space="preserve"> </v>
      </c>
      <c r="Y347" s="142" t="str">
        <f ca="1">IF(S347=" "," ",W347/(1+'депозитный калькулятор'!$K$8)^(T347/IF('депозитный калькулятор'!$G$7="30/360",360,365)))</f>
        <v xml:space="preserve"> </v>
      </c>
      <c r="Z347" s="142" t="str">
        <f ca="1">IF(S347=" "," ",X347/(1+'депозитный калькулятор'!$K$8)^(T347/IF('депозитный калькулятор'!$G$7="30/360",360,365)))</f>
        <v xml:space="preserve"> </v>
      </c>
      <c r="AA347" s="151"/>
      <c r="AB347" s="151"/>
      <c r="AC347" s="155"/>
      <c r="AD347" s="155"/>
    </row>
    <row r="348" spans="1:30" s="2" customFormat="1" ht="15.5" x14ac:dyDescent="0.35">
      <c r="A348" s="41" t="str">
        <f>IF(F348=" "," ",IF(OR('депозитный калькулятор'!$G$7="30/365",'депозитный калькулятор'!$G$7="30/360"),IF(AND(MONTH(F348)=2,DAY(F348)=DAY(EOMONTH(F348,0))),30-DAY(EOMONTH(F348,0)),IF(DAY(F348)=31,1," "))," "))</f>
        <v xml:space="preserve"> </v>
      </c>
      <c r="B348" s="130" t="str">
        <f t="shared" si="26"/>
        <v xml:space="preserve"> </v>
      </c>
      <c r="C348" s="130" t="str">
        <f>IF(OR(B348=0,B348=" ")," ",SUM($B$23:B348))</f>
        <v xml:space="preserve"> </v>
      </c>
      <c r="D348" s="62" t="str">
        <f>IF(D347=" "," ",IF(OR(F347='депозитный калькулятор'!$D$8,F347=" ")," ",D347+1))</f>
        <v xml:space="preserve"> </v>
      </c>
      <c r="E348" s="130" t="str">
        <f>IF(OR(F347='депозитный калькулятор'!$D$8,F347=" ")," ",IF(EOMONTH(F347,0)=F347,1,E347+1))</f>
        <v xml:space="preserve"> </v>
      </c>
      <c r="F348" s="64" t="str">
        <f>IF(F347=" "," ",IF(F347='депозитный калькулятор'!$D$8," ",F347+1))</f>
        <v xml:space="preserve"> </v>
      </c>
      <c r="G348" s="145" t="str">
        <f xml:space="preserve"> IF(F348&gt;'депозитный калькулятор'!$D$8," ",IF('депозитный калькулятор'!$G$13="есть",IF('депозитный калькулятор'!$G$14="есть",G347+IF(I347=" ",0,I347)-J348-K348+L348+M348-N348,G347+IF(I347=" ",0,I347)-J348-K348+M348-N348),IF('депозитный калькулятор'!$G$14="есть",G347-J348-K348+L348+M348-N348,G347-J348-K348+M348-N348)))</f>
        <v xml:space="preserve"> </v>
      </c>
      <c r="H348" s="133" t="str">
        <f>IF(F348&gt;'депозитный калькулятор'!$D$8," ",IF(AND(OR('депозитный калькулятор'!$G$7="30/365",'депозитный калькулятор'!$G$7="30/360"),AND(MONTH(F348)=2,EOMONTH(F348,0)=F348)),IF(DAY(F348)=28,3*G348*'депозитный калькулятор'!$G$8,2*G348*'депозитный калькулятор'!$G$8),IF(AND(OR('депозитный калькулятор'!$G$7="30/365",'депозитный калькулятор'!$G$7="30/360"),DAY(F348)=31)," ",IF(AND('депозитный калькулятор'!$G$7="факт/факт",MOD(YEAR(F348),4)=0),G348*'депозитный калькулятор'!$D$11/366,G348*'депозитный калькулятор'!$G$8))))</f>
        <v xml:space="preserve"> </v>
      </c>
      <c r="I348" s="134" t="str">
        <f ca="1">IF(F348=" "," ",IF('депозитный калькулятор'!$G$10="ежедневное",H348,IF(AND('депозитный калькулятор'!$G$10="еженедельное",WEEKDAY(F348,2)=7),SUM(OFFSET(H348,-6,0):H348),IF(AND('депозитный калькулятор'!$G$10="еженедельное",F348='депозитный калькулятор'!$D$8),SUM($H$23:H348)-SUM($I$23:I347),IF(AND('депозитный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недели",WEEKDAY(F348,2)=7),MIN(OFFSET(H348,-6,0):H348)*(COUNTIF(OFFSET(H348,-6,0):H348,"&gt;0")+SUMIF(OFFSET(A348,-WEEKDAY(F348,2),0):A348,"=2",OFFSET(A348,-WEEKDAY(F348,2),0):A348)),IF(AND('депозитный калькулятор'!$G$10="еженедельное, на минимальную сумму зафиксированную в течение недели",F348='депозитный калькулятор'!$D$8,WEEKDAY(F348,2)&lt;&gt;7),MIN(OFFSET(H348,-WEEKDAY(F348,2),0):H348)*(COUNTIF(OFFSET(H348,-WEEKDAY(F348,2)+1,0):H348,"&gt;0")+SUM(OFFSET(A348,-WEEKDAY(F348,2),0):A348)),IF(AND('депозитный калькулятор'!$G$10="ежемесячное (в конце месяца)",F348='депозитный калькулятор'!$D$8,EOMONTH(F348,0)&lt;&gt;F348),IF('депозитный калькулятор'!$F$1=1,$H$24,SUM($H$23:H348)-SUM($I$23:I347)),IF(AND('депозитный калькулятор'!$G$10="ежемесячное (в конце месяца)",EOMONTH(F348,0)=F348),SUM($H$23:H348)-SUM($I$23:I347),IF(AND('депозитный калькулятор'!$G$10="ежемесячное (по дням открытия вклада)",F348='депозитный калькулятор'!$D$8,DAY('депозитный калькулятор'!$D$7)&lt;&gt;DAY(F348)),IF('депозитный калькулятор'!$F$1=1,$H$24,SUM($H$23:H348)-SUM($I$23:I347)),IF(AND('депозитный калькулятор'!$G$10="ежемесячное (по дням открытия вклада)",DAY('депозитный калькулятор'!$D$7)=DAY(F348)),SUM($H$23:H348)-SUM($I$23:I347),IF(AND('депозитный калькулятор'!$G$10="ежемесячное, на минимальную сумму зафиксированную в течение месяца",F348='депозитный калькулятор'!$D$8,EOMONTH(F348,0)&lt;&gt;F348),IF('депозитный калькулятор'!$F$1=1,$H$24,IF(AND(OR('депозитный калькулятор'!$G$7="30/365",'депозитный калькулятор'!$G$7="30/360"),DAY(F348)=31),0,MIN(OFFSET(H348,-E348+1,0):H348)*(E348+SUMIF(OFFSET(A348,-E348+1,0):A348,"=2",OFFSET(A348,-E348+1,0):A348)))),IF(AND('депозитный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калькулятор'!$G$7="30/360"),DAY(EOMONTH(F348,0))=31),EOMONTH(F348,0)-1=F348,EOMONTH(F348,0)=F348)),IF(IF(AND(OR('депозитный калькулятор'!$G$7="30/365",'депозитный калькулятор'!$G$7="30/360"),DAY(EOMONTH($F$23,0))=31),F348=EOMONTH($F$23,0)-1,F348=EOMONTH($F$23,0)),MIN(OFFSET(H348,-(DAY(F348)-DAY($F$23)),0):H348)*E348,MIN(OFFSET(H348,-(DAY(F348)-1),0):H348)*IF(AND(OR('депозитный калькулятор'!$G$7="30/365",'депозитный калькулятор'!$G$7="30/360"),DAY(F348)&lt;30),30,DAY(F348))),IF(AND('депозитный калькулятор'!$G$10="ежемесячное, на средний остаток в течение месяца, при условии что остаток больше чем ограничение",F348='депозитный калькулятор'!$D$8,EOMONTH(F348,0)&lt;&gt;F348),IF('депозитный калькулятор'!$F$1=1,$H$24,SUM(OFFSET(Q348,-E348+1,0):Q348)),IF(AND('депозитный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калькулятор'!$G$7="30/360"),DAY(EOMONTH(F348,0))=31),EOMONTH(F348,0)-1=F348,EOMONTH(F348,0)=F348)),IF(IF(AND(OR('депозитный калькулятор'!$G$7="30/365",'депозитный калькулятор'!$G$7="30/360"),DAY(EOMONTH($F$24,0))=31),F348=EOMONTH($F$24,0)-1,F348=EOMONTH($F$24,0)),SUM(OFFSET(Q348,-E348+1,0):Q348),SUM(OFFSET(Q348,-E348+1,0):Q348)),IF('депозитный калькулятор'!$G$10="ежеквартальное",IF(F348&gt;'депозитный калькулятор'!$D$8," ",IF(AND(EOMONTH(F348,0)=F348,OR(MONTH(F348)=3,MONTH(F348)=6,MONTH(F348)=9,MONTH(F348)=12)),IF(EDATE(F348,-3)&lt;'депозитный калькулятор'!$D$7,SUM($H$23:H348),IF(MOD(YEAR(F348),4)=0,IF(AND(EOMONTH(F348,0)=F348,OR(MONTH(F348)=3,MONTH(F348)=6)),SUM(OFFSET(H348,-90,0):H348),IF(AND(EOMONTH(F348,0)=F348,OR(MONTH(F348)=9,MONTH(F348)=12)),SUM(OFFSET(H348,-91,0):H348))),IF(AND(EOMONTH(F348,0)=F348,MONTH(F348)=3),SUM(OFFSET(H348,-89,0):H348),IF(AND(EOMONTH(F348,0)=F348,MONTH(F348)=6),SUM(OFFSET(H348,-90,0):H348),IF(AND(EOMONTH(F348,0)=F348,OR(MONTH(F348)=9,MONTH(F348)=12)),SUM(OFFSET(H348,-91,0):H348)))))),IF(F348='депозитный калькулятор'!$D$8,SUM($H$23:H348)-SUM($I$23:I347),0))),IF('депозитный калькулятор'!$G$10="ежегодное",IF(F348&gt;'депозитный калькулятор'!$D$8," ",IF(F348='депозитный калькулятор'!$D$8,SUM($H$23:H348)-SUM($I$23:I347),IF(AND(EOMONTH(F348,0)=F348,MONTH(F348)=12),IF(MOD(YEAR(F347),4)=0,IF(F348-'депозитный калькулятор'!$D$7&lt;366,SUM($H$23:H348),SUM(OFFSET(H348,-365,0):H348)),IF(F348-'депозитный калькулятор'!$D$7&lt;365,SUM($H$23:H348),SUM(OFFSET(H348,-364,0):H348))),0))),IF(AND('депозитный калькулятор'!$G$10="в конце срока",'депозитный калькулятор'!$D$8=F348),SUM($H$23:H348),0))))))))))))))))))</f>
        <v xml:space="preserve"> </v>
      </c>
      <c r="J348" s="59" t="str">
        <f>IF(F348&gt;'депозитный калькулятор'!$D$8," ",IF('депозитный калькулятор'!$G$16="нет",0,IF(AND('депозитный калькулятор'!$G$17="разовая (в конце срока)",F348='депозитный калькулятор'!$D$8),'депозитный калькулятор'!$G$18,IF(AND('депозитный калькулятор'!$G$17="ежемесячная",EOMONTH(F347,0)=F347),'депозитный калькулятор'!$G$18,IF(AND('депозитный калькулятор'!$G$17="ежегодная",DAY(F347)=31,MONTH(F347)=12),'депозитный калькулятор'!$G$18,IF(AND('депозитный калькулятор'!$G$17="ежемесячная в зависимости от остатка",EOMONTH(F347,0)=F347,P347&gt;0),'депозитный калькулятор'!$G$18,IF(AND('депозитный калькулятор'!$G$17="ежегодная в зависимости от остатка",DAY(F347)=31,MONTH(F347)=12,P347&gt;0),'депозитный калькулятор'!$G$18,0)))))))</f>
        <v xml:space="preserve"> </v>
      </c>
      <c r="K348" s="135" t="str">
        <f>IF($F348=" "," ",IFERROR(VLOOKUP($F348,'депозитный калькулятор'!$B$26:$F$70,2,0),0))</f>
        <v xml:space="preserve"> </v>
      </c>
      <c r="L348" s="135" t="str">
        <f>IF($F348=" "," ",IFERROR(VLOOKUP($F348,'депозитный калькулятор'!$B$26:$F$70,3,0),0))</f>
        <v xml:space="preserve"> </v>
      </c>
      <c r="M348" s="135" t="str">
        <f>IF($F348=" "," ",IFERROR(VLOOKUP($F348,'депозитный калькулятор'!$B$26:$F$70,4,0),0))</f>
        <v xml:space="preserve"> </v>
      </c>
      <c r="N348" s="135" t="str">
        <f>IF($F348=" "," ",IFERROR(VLOOKUP($F348,'депозитный калькулятор'!$B$26:$F$70,5,0),0))</f>
        <v xml:space="preserve"> </v>
      </c>
      <c r="O348" s="146" t="str">
        <f>IF(F348&gt;'депозитный калькулятор'!$D$8," ",IF(F348='депозитный калькулятор'!$D$8,IF(AND($F$24='депозитный калькулятор'!$D$8,'депозитный калькулятор'!$G$13="нет"),-G348-IF(I348=" ",0,I348)-IF(AND(OR('депозитный калькулятор'!$G$7="30/365",'депозитный калькулятор'!$G$7="30/360"),'депозитный калькулятор'!$G$10="в начале срока"),I347,0)-L348+M348-N348,-G348-IF(I348=" ",0,I348)-L348+M348-N348),IF('депозитный калькулятор'!$G$13="есть",M348-N348+IF('депозитный калькулятор'!$G$14="есть",0,-L348),-IF(I348=" ",0,I348)-IF(AND(OR('депозитный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срока"),I347,0)+M348-N348+IF('депозитный калькулятор'!$G$14="есть",0,-L348))))</f>
        <v xml:space="preserve"> </v>
      </c>
      <c r="P348" s="147" t="str">
        <f>IF(F348&gt;'депозитный калькулятор'!$D$8," ",IF(EOMONTH(F347,0)=F347,0,IF(G348&gt;='депозитный калькулятор'!$G$19,P347,P347+1)))</f>
        <v xml:space="preserve"> </v>
      </c>
      <c r="Q348" s="138" t="str">
        <f>IF(F348=" "," ",IF(AND(OR('депозитный калькулятор'!$G$7="30/365",'депозитный калькулятор'!$G$7="30/360"),AND(MONTH(F348)=2,EOMONTH(F348,0)=F348)),IF(DAY(F348)=28,3,2),1)*IF(G348&gt;='депозитный калькулятор'!$G$11,IF(AND('депозитный калькулятор'!$G$7="факт/факт",MOD(YEAR(F348),4)=0),G348*'депозитный калькулятор'!$D$11/366,G348*'депозитный калькулятор'!$G$8),0))</f>
        <v xml:space="preserve"> </v>
      </c>
      <c r="R348" s="148"/>
      <c r="S348" s="62" t="str">
        <f t="shared" ca="1" si="27"/>
        <v xml:space="preserve"> </v>
      </c>
      <c r="T348" s="149" t="str">
        <f ca="1">IF(S348=" "," ",IF('депозитный калькулятор'!$G$7="30/360",DAYS360(U347,IF(DAY(U348)=31,U348-1,U348))+IF(AND(MONTH(U348)=2,U348=EOMONTH(U348,0)),30-DAY(EOMONTH(U348,0)))+T347,VLOOKUP(S348,$C$22:$F$1023,2,0)))</f>
        <v xml:space="preserve"> </v>
      </c>
      <c r="U348" s="64" t="str">
        <f t="shared" ca="1" si="25"/>
        <v xml:space="preserve"> </v>
      </c>
      <c r="V348" s="150" t="str">
        <f t="shared" ca="1" si="28"/>
        <v xml:space="preserve"> </v>
      </c>
      <c r="W348" s="62" t="str">
        <f t="shared" ca="1" si="29"/>
        <v xml:space="preserve"> </v>
      </c>
      <c r="X348" s="141" t="str">
        <f ca="1">IF(S348=" "," ",IFERROR(VLOOKUP(U348,$F$23:$N$1023,7)+VLOOKUP(U348,$F$23:$N$1023,9)+IF(AND('депозитный калькулятор'!$G$13="нет",U348&lt;&gt;'депозитный калькулятор'!$D$8),VLOOKUP(U348,$F$23:$N$1023,4),0),0)+IF(U348='депозитный калькулятор'!$D$8,VLOOKUP(U348,$F$23:$N$1023,2)+VLOOKUP(U348,$F$23:$N$1023,4),0))</f>
        <v xml:space="preserve"> </v>
      </c>
      <c r="Y348" s="142" t="str">
        <f ca="1">IF(S348=" "," ",W348/(1+'депозитный калькулятор'!$K$8)^(T348/IF('депозитный калькулятор'!$G$7="30/360",360,365)))</f>
        <v xml:space="preserve"> </v>
      </c>
      <c r="Z348" s="142" t="str">
        <f ca="1">IF(S348=" "," ",X348/(1+'депозитный калькулятор'!$K$8)^(T348/IF('депозитный калькулятор'!$G$7="30/360",360,365)))</f>
        <v xml:space="preserve"> </v>
      </c>
      <c r="AA348" s="151"/>
      <c r="AB348" s="151"/>
      <c r="AC348" s="155"/>
      <c r="AD348" s="155"/>
    </row>
    <row r="349" spans="1:30" s="2" customFormat="1" ht="15.5" x14ac:dyDescent="0.35">
      <c r="A349" s="41" t="str">
        <f>IF(F349=" "," ",IF(OR('депозитный калькулятор'!$G$7="30/365",'депозитный калькулятор'!$G$7="30/360"),IF(AND(MONTH(F349)=2,DAY(F349)=DAY(EOMONTH(F349,0))),30-DAY(EOMONTH(F349,0)),IF(DAY(F349)=31,1," "))," "))</f>
        <v xml:space="preserve"> </v>
      </c>
      <c r="B349" s="130" t="str">
        <f t="shared" si="26"/>
        <v xml:space="preserve"> </v>
      </c>
      <c r="C349" s="130" t="str">
        <f>IF(OR(B349=0,B349=" ")," ",SUM($B$23:B349))</f>
        <v xml:space="preserve"> </v>
      </c>
      <c r="D349" s="62" t="str">
        <f>IF(D348=" "," ",IF(OR(F348='депозитный калькулятор'!$D$8,F348=" ")," ",D348+1))</f>
        <v xml:space="preserve"> </v>
      </c>
      <c r="E349" s="130" t="str">
        <f>IF(OR(F348='депозитный калькулятор'!$D$8,F348=" ")," ",IF(EOMONTH(F348,0)=F348,1,E348+1))</f>
        <v xml:space="preserve"> </v>
      </c>
      <c r="F349" s="64" t="str">
        <f>IF(F348=" "," ",IF(F348='депозитный калькулятор'!$D$8," ",F348+1))</f>
        <v xml:space="preserve"> </v>
      </c>
      <c r="G349" s="145" t="str">
        <f xml:space="preserve"> IF(F349&gt;'депозитный калькулятор'!$D$8," ",IF('депозитный калькулятор'!$G$13="есть",IF('депозитный калькулятор'!$G$14="есть",G348+IF(I348=" ",0,I348)-J349-K349+L349+M349-N349,G348+IF(I348=" ",0,I348)-J349-K349+M349-N349),IF('депозитный калькулятор'!$G$14="есть",G348-J349-K349+L349+M349-N349,G348-J349-K349+M349-N349)))</f>
        <v xml:space="preserve"> </v>
      </c>
      <c r="H349" s="133" t="str">
        <f>IF(F349&gt;'депозитный калькулятор'!$D$8," ",IF(AND(OR('депозитный калькулятор'!$G$7="30/365",'депозитный калькулятор'!$G$7="30/360"),AND(MONTH(F349)=2,EOMONTH(F349,0)=F349)),IF(DAY(F349)=28,3*G349*'депозитный калькулятор'!$G$8,2*G349*'депозитный калькулятор'!$G$8),IF(AND(OR('депозитный калькулятор'!$G$7="30/365",'депозитный калькулятор'!$G$7="30/360"),DAY(F349)=31)," ",IF(AND('депозитный калькулятор'!$G$7="факт/факт",MOD(YEAR(F349),4)=0),G349*'депозитный калькулятор'!$D$11/366,G349*'депозитный калькулятор'!$G$8))))</f>
        <v xml:space="preserve"> </v>
      </c>
      <c r="I349" s="134" t="str">
        <f ca="1">IF(F349=" "," ",IF('депозитный калькулятор'!$G$10="ежедневное",H349,IF(AND('депозитный калькулятор'!$G$10="еженедельное",WEEKDAY(F349,2)=7),SUM(OFFSET(H349,-6,0):H349),IF(AND('депозитный калькулятор'!$G$10="еженедельное",F349='депозитный калькулятор'!$D$8),SUM($H$23:H349)-SUM($I$23:I348),IF(AND('депозитный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недели",WEEKDAY(F349,2)=7),MIN(OFFSET(H349,-6,0):H349)*(COUNTIF(OFFSET(H349,-6,0):H349,"&gt;0")+SUMIF(OFFSET(A349,-WEEKDAY(F349,2),0):A349,"=2",OFFSET(A349,-WEEKDAY(F349,2),0):A349)),IF(AND('депозитный калькулятор'!$G$10="еженедельное, на минимальную сумму зафиксированную в течение недели",F349='депозитный калькулятор'!$D$8,WEEKDAY(F349,2)&lt;&gt;7),MIN(OFFSET(H349,-WEEKDAY(F349,2),0):H349)*(COUNTIF(OFFSET(H349,-WEEKDAY(F349,2)+1,0):H349,"&gt;0")+SUM(OFFSET(A349,-WEEKDAY(F349,2),0):A349)),IF(AND('депозитный калькулятор'!$G$10="ежемесячное (в конце месяца)",F349='депозитный калькулятор'!$D$8,EOMONTH(F349,0)&lt;&gt;F349),IF('депозитный калькулятор'!$F$1=1,$H$24,SUM($H$23:H349)-SUM($I$23:I348)),IF(AND('депозитный калькулятор'!$G$10="ежемесячное (в конце месяца)",EOMONTH(F349,0)=F349),SUM($H$23:H349)-SUM($I$23:I348),IF(AND('депозитный калькулятор'!$G$10="ежемесячное (по дням открытия вклада)",F349='депозитный калькулятор'!$D$8,DAY('депозитный калькулятор'!$D$7)&lt;&gt;DAY(F349)),IF('депозитный калькулятор'!$F$1=1,$H$24,SUM($H$23:H349)-SUM($I$23:I348)),IF(AND('депозитный калькулятор'!$G$10="ежемесячное (по дням открытия вклада)",DAY('депозитный калькулятор'!$D$7)=DAY(F349)),SUM($H$23:H349)-SUM($I$23:I348),IF(AND('депозитный калькулятор'!$G$10="ежемесячное, на минимальную сумму зафиксированную в течение месяца",F349='депозитный калькулятор'!$D$8,EOMONTH(F349,0)&lt;&gt;F349),IF('депозитный калькулятор'!$F$1=1,$H$24,IF(AND(OR('депозитный калькулятор'!$G$7="30/365",'депозитный калькулятор'!$G$7="30/360"),DAY(F349)=31),0,MIN(OFFSET(H349,-E349+1,0):H349)*(E349+SUMIF(OFFSET(A349,-E349+1,0):A349,"=2",OFFSET(A349,-E349+1,0):A349)))),IF(AND('депозитный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калькулятор'!$G$7="30/360"),DAY(EOMONTH(F349,0))=31),EOMONTH(F349,0)-1=F349,EOMONTH(F349,0)=F349)),IF(IF(AND(OR('депозитный калькулятор'!$G$7="30/365",'депозитный калькулятор'!$G$7="30/360"),DAY(EOMONTH($F$23,0))=31),F349=EOMONTH($F$23,0)-1,F349=EOMONTH($F$23,0)),MIN(OFFSET(H349,-(DAY(F349)-DAY($F$23)),0):H349)*E349,MIN(OFFSET(H349,-(DAY(F349)-1),0):H349)*IF(AND(OR('депозитный калькулятор'!$G$7="30/365",'депозитный калькулятор'!$G$7="30/360"),DAY(F349)&lt;30),30,DAY(F349))),IF(AND('депозитный калькулятор'!$G$10="ежемесячное, на средний остаток в течение месяца, при условии что остаток больше чем ограничение",F349='депозитный калькулятор'!$D$8,EOMONTH(F349,0)&lt;&gt;F349),IF('депозитный калькулятор'!$F$1=1,$H$24,SUM(OFFSET(Q349,-E349+1,0):Q349)),IF(AND('депозитный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калькулятор'!$G$7="30/360"),DAY(EOMONTH(F349,0))=31),EOMONTH(F349,0)-1=F349,EOMONTH(F349,0)=F349)),IF(IF(AND(OR('депозитный калькулятор'!$G$7="30/365",'депозитный калькулятор'!$G$7="30/360"),DAY(EOMONTH($F$24,0))=31),F349=EOMONTH($F$24,0)-1,F349=EOMONTH($F$24,0)),SUM(OFFSET(Q349,-E349+1,0):Q349),SUM(OFFSET(Q349,-E349+1,0):Q349)),IF('депозитный калькулятор'!$G$10="ежеквартальное",IF(F349&gt;'депозитный калькулятор'!$D$8," ",IF(AND(EOMONTH(F349,0)=F349,OR(MONTH(F349)=3,MONTH(F349)=6,MONTH(F349)=9,MONTH(F349)=12)),IF(EDATE(F349,-3)&lt;'депозитный калькулятор'!$D$7,SUM($H$23:H349),IF(MOD(YEAR(F349),4)=0,IF(AND(EOMONTH(F349,0)=F349,OR(MONTH(F349)=3,MONTH(F349)=6)),SUM(OFFSET(H349,-90,0):H349),IF(AND(EOMONTH(F349,0)=F349,OR(MONTH(F349)=9,MONTH(F349)=12)),SUM(OFFSET(H349,-91,0):H349))),IF(AND(EOMONTH(F349,0)=F349,MONTH(F349)=3),SUM(OFFSET(H349,-89,0):H349),IF(AND(EOMONTH(F349,0)=F349,MONTH(F349)=6),SUM(OFFSET(H349,-90,0):H349),IF(AND(EOMONTH(F349,0)=F349,OR(MONTH(F349)=9,MONTH(F349)=12)),SUM(OFFSET(H349,-91,0):H349)))))),IF(F349='депозитный калькулятор'!$D$8,SUM($H$23:H349)-SUM($I$23:I348),0))),IF('депозитный калькулятор'!$G$10="ежегодное",IF(F349&gt;'депозитный калькулятор'!$D$8," ",IF(F349='депозитный калькулятор'!$D$8,SUM($H$23:H349)-SUM($I$23:I348),IF(AND(EOMONTH(F349,0)=F349,MONTH(F349)=12),IF(MOD(YEAR(F348),4)=0,IF(F349-'депозитный калькулятор'!$D$7&lt;366,SUM($H$23:H349),SUM(OFFSET(H349,-365,0):H349)),IF(F349-'депозитный калькулятор'!$D$7&lt;365,SUM($H$23:H349),SUM(OFFSET(H349,-364,0):H349))),0))),IF(AND('депозитный калькулятор'!$G$10="в конце срока",'депозитный калькулятор'!$D$8=F349),SUM($H$23:H349),0))))))))))))))))))</f>
        <v xml:space="preserve"> </v>
      </c>
      <c r="J349" s="59" t="str">
        <f>IF(F349&gt;'депозитный калькулятор'!$D$8," ",IF('депозитный калькулятор'!$G$16="нет",0,IF(AND('депозитный калькулятор'!$G$17="разовая (в конце срока)",F349='депозитный калькулятор'!$D$8),'депозитный калькулятор'!$G$18,IF(AND('депозитный калькулятор'!$G$17="ежемесячная",EOMONTH(F348,0)=F348),'депозитный калькулятор'!$G$18,IF(AND('депозитный калькулятор'!$G$17="ежегодная",DAY(F348)=31,MONTH(F348)=12),'депозитный калькулятор'!$G$18,IF(AND('депозитный калькулятор'!$G$17="ежемесячная в зависимости от остатка",EOMONTH(F348,0)=F348,P348&gt;0),'депозитный калькулятор'!$G$18,IF(AND('депозитный калькулятор'!$G$17="ежегодная в зависимости от остатка",DAY(F348)=31,MONTH(F348)=12,P348&gt;0),'депозитный калькулятор'!$G$18,0)))))))</f>
        <v xml:space="preserve"> </v>
      </c>
      <c r="K349" s="135" t="str">
        <f>IF($F349=" "," ",IFERROR(VLOOKUP($F349,'депозитный калькулятор'!$B$26:$F$70,2,0),0))</f>
        <v xml:space="preserve"> </v>
      </c>
      <c r="L349" s="135" t="str">
        <f>IF($F349=" "," ",IFERROR(VLOOKUP($F349,'депозитный калькулятор'!$B$26:$F$70,3,0),0))</f>
        <v xml:space="preserve"> </v>
      </c>
      <c r="M349" s="135" t="str">
        <f>IF($F349=" "," ",IFERROR(VLOOKUP($F349,'депозитный калькулятор'!$B$26:$F$70,4,0),0))</f>
        <v xml:space="preserve"> </v>
      </c>
      <c r="N349" s="135" t="str">
        <f>IF($F349=" "," ",IFERROR(VLOOKUP($F349,'депозитный калькулятор'!$B$26:$F$70,5,0),0))</f>
        <v xml:space="preserve"> </v>
      </c>
      <c r="O349" s="146" t="str">
        <f>IF(F349&gt;'депозитный калькулятор'!$D$8," ",IF(F349='депозитный калькулятор'!$D$8,IF(AND($F$24='депозитный калькулятор'!$D$8,'депозитный калькулятор'!$G$13="нет"),-G349-IF(I349=" ",0,I349)-IF(AND(OR('депозитный калькулятор'!$G$7="30/365",'депозитный калькулятор'!$G$7="30/360"),'депозитный калькулятор'!$G$10="в начале срока"),I348,0)-L349+M349-N349,-G349-IF(I349=" ",0,I349)-L349+M349-N349),IF('депозитный калькулятор'!$G$13="есть",M349-N349+IF('депозитный калькулятор'!$G$14="есть",0,-L349),-IF(I349=" ",0,I349)-IF(AND(OR('депозитный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срока"),I348,0)+M349-N349+IF('депозитный калькулятор'!$G$14="есть",0,-L349))))</f>
        <v xml:space="preserve"> </v>
      </c>
      <c r="P349" s="147" t="str">
        <f>IF(F349&gt;'депозитный калькулятор'!$D$8," ",IF(EOMONTH(F348,0)=F348,0,IF(G349&gt;='депозитный калькулятор'!$G$19,P348,P348+1)))</f>
        <v xml:space="preserve"> </v>
      </c>
      <c r="Q349" s="138" t="str">
        <f>IF(F349=" "," ",IF(AND(OR('депозитный калькулятор'!$G$7="30/365",'депозитный калькулятор'!$G$7="30/360"),AND(MONTH(F349)=2,EOMONTH(F349,0)=F349)),IF(DAY(F349)=28,3,2),1)*IF(G349&gt;='депозитный калькулятор'!$G$11,IF(AND('депозитный калькулятор'!$G$7="факт/факт",MOD(YEAR(F349),4)=0),G349*'депозитный калькулятор'!$D$11/366,G349*'депозитный калькулятор'!$G$8),0))</f>
        <v xml:space="preserve"> </v>
      </c>
      <c r="R349" s="148"/>
      <c r="S349" s="62" t="str">
        <f t="shared" ca="1" si="27"/>
        <v xml:space="preserve"> </v>
      </c>
      <c r="T349" s="149" t="str">
        <f ca="1">IF(S349=" "," ",IF('депозитный калькулятор'!$G$7="30/360",DAYS360(U348,IF(DAY(U349)=31,U349-1,U349))+IF(AND(MONTH(U349)=2,U349=EOMONTH(U349,0)),30-DAY(EOMONTH(U349,0)))+T348,VLOOKUP(S349,$C$22:$F$1023,2,0)))</f>
        <v xml:space="preserve"> </v>
      </c>
      <c r="U349" s="64" t="str">
        <f t="shared" ca="1" si="25"/>
        <v xml:space="preserve"> </v>
      </c>
      <c r="V349" s="150" t="str">
        <f t="shared" ca="1" si="28"/>
        <v xml:space="preserve"> </v>
      </c>
      <c r="W349" s="62" t="str">
        <f t="shared" ca="1" si="29"/>
        <v xml:space="preserve"> </v>
      </c>
      <c r="X349" s="141" t="str">
        <f ca="1">IF(S349=" "," ",IFERROR(VLOOKUP(U349,$F$23:$N$1023,7)+VLOOKUP(U349,$F$23:$N$1023,9)+IF(AND('депозитный калькулятор'!$G$13="нет",U349&lt;&gt;'депозитный калькулятор'!$D$8),VLOOKUP(U349,$F$23:$N$1023,4),0),0)+IF(U349='депозитный калькулятор'!$D$8,VLOOKUP(U349,$F$23:$N$1023,2)+VLOOKUP(U349,$F$23:$N$1023,4),0))</f>
        <v xml:space="preserve"> </v>
      </c>
      <c r="Y349" s="142" t="str">
        <f ca="1">IF(S349=" "," ",W349/(1+'депозитный калькулятор'!$K$8)^(T349/IF('депозитный калькулятор'!$G$7="30/360",360,365)))</f>
        <v xml:space="preserve"> </v>
      </c>
      <c r="Z349" s="142" t="str">
        <f ca="1">IF(S349=" "," ",X349/(1+'депозитный калькулятор'!$K$8)^(T349/IF('депозитный калькулятор'!$G$7="30/360",360,365)))</f>
        <v xml:space="preserve"> </v>
      </c>
      <c r="AA349" s="151"/>
      <c r="AB349" s="151"/>
      <c r="AC349" s="155"/>
      <c r="AD349" s="155"/>
    </row>
    <row r="350" spans="1:30" s="2" customFormat="1" ht="15.5" x14ac:dyDescent="0.35">
      <c r="A350" s="41" t="str">
        <f>IF(F350=" "," ",IF(OR('депозитный калькулятор'!$G$7="30/365",'депозитный калькулятор'!$G$7="30/360"),IF(AND(MONTH(F350)=2,DAY(F350)=DAY(EOMONTH(F350,0))),30-DAY(EOMONTH(F350,0)),IF(DAY(F350)=31,1," "))," "))</f>
        <v xml:space="preserve"> </v>
      </c>
      <c r="B350" s="130" t="str">
        <f t="shared" si="26"/>
        <v xml:space="preserve"> </v>
      </c>
      <c r="C350" s="130" t="str">
        <f>IF(OR(B350=0,B350=" ")," ",SUM($B$23:B350))</f>
        <v xml:space="preserve"> </v>
      </c>
      <c r="D350" s="62" t="str">
        <f>IF(D349=" "," ",IF(OR(F349='депозитный калькулятор'!$D$8,F349=" ")," ",D349+1))</f>
        <v xml:space="preserve"> </v>
      </c>
      <c r="E350" s="130" t="str">
        <f>IF(OR(F349='депозитный калькулятор'!$D$8,F349=" ")," ",IF(EOMONTH(F349,0)=F349,1,E349+1))</f>
        <v xml:space="preserve"> </v>
      </c>
      <c r="F350" s="64" t="str">
        <f>IF(F349=" "," ",IF(F349='депозитный калькулятор'!$D$8," ",F349+1))</f>
        <v xml:space="preserve"> </v>
      </c>
      <c r="G350" s="145" t="str">
        <f xml:space="preserve"> IF(F350&gt;'депозитный калькулятор'!$D$8," ",IF('депозитный калькулятор'!$G$13="есть",IF('депозитный калькулятор'!$G$14="есть",G349+IF(I349=" ",0,I349)-J350-K350+L350+M350-N350,G349+IF(I349=" ",0,I349)-J350-K350+M350-N350),IF('депозитный калькулятор'!$G$14="есть",G349-J350-K350+L350+M350-N350,G349-J350-K350+M350-N350)))</f>
        <v xml:space="preserve"> </v>
      </c>
      <c r="H350" s="133" t="str">
        <f>IF(F350&gt;'депозитный калькулятор'!$D$8," ",IF(AND(OR('депозитный калькулятор'!$G$7="30/365",'депозитный калькулятор'!$G$7="30/360"),AND(MONTH(F350)=2,EOMONTH(F350,0)=F350)),IF(DAY(F350)=28,3*G350*'депозитный калькулятор'!$G$8,2*G350*'депозитный калькулятор'!$G$8),IF(AND(OR('депозитный калькулятор'!$G$7="30/365",'депозитный калькулятор'!$G$7="30/360"),DAY(F350)=31)," ",IF(AND('депозитный калькулятор'!$G$7="факт/факт",MOD(YEAR(F350),4)=0),G350*'депозитный калькулятор'!$D$11/366,G350*'депозитный калькулятор'!$G$8))))</f>
        <v xml:space="preserve"> </v>
      </c>
      <c r="I350" s="134" t="str">
        <f ca="1">IF(F350=" "," ",IF('депозитный калькулятор'!$G$10="ежедневное",H350,IF(AND('депозитный калькулятор'!$G$10="еженедельное",WEEKDAY(F350,2)=7),SUM(OFFSET(H350,-6,0):H350),IF(AND('депозитный калькулятор'!$G$10="еженедельное",F350='депозитный калькулятор'!$D$8),SUM($H$23:H350)-SUM($I$23:I349),IF(AND('депозитный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недели",WEEKDAY(F350,2)=7),MIN(OFFSET(H350,-6,0):H350)*(COUNTIF(OFFSET(H350,-6,0):H350,"&gt;0")+SUMIF(OFFSET(A350,-WEEKDAY(F350,2),0):A350,"=2",OFFSET(A350,-WEEKDAY(F350,2),0):A350)),IF(AND('депозитный калькулятор'!$G$10="еженедельное, на минимальную сумму зафиксированную в течение недели",F350='депозитный калькулятор'!$D$8,WEEKDAY(F350,2)&lt;&gt;7),MIN(OFFSET(H350,-WEEKDAY(F350,2),0):H350)*(COUNTIF(OFFSET(H350,-WEEKDAY(F350,2)+1,0):H350,"&gt;0")+SUM(OFFSET(A350,-WEEKDAY(F350,2),0):A350)),IF(AND('депозитный калькулятор'!$G$10="ежемесячное (в конце месяца)",F350='депозитный калькулятор'!$D$8,EOMONTH(F350,0)&lt;&gt;F350),IF('депозитный калькулятор'!$F$1=1,$H$24,SUM($H$23:H350)-SUM($I$23:I349)),IF(AND('депозитный калькулятор'!$G$10="ежемесячное (в конце месяца)",EOMONTH(F350,0)=F350),SUM($H$23:H350)-SUM($I$23:I349),IF(AND('депозитный калькулятор'!$G$10="ежемесячное (по дням открытия вклада)",F350='депозитный калькулятор'!$D$8,DAY('депозитный калькулятор'!$D$7)&lt;&gt;DAY(F350)),IF('депозитный калькулятор'!$F$1=1,$H$24,SUM($H$23:H350)-SUM($I$23:I349)),IF(AND('депозитный калькулятор'!$G$10="ежемесячное (по дням открытия вклада)",DAY('депозитный калькулятор'!$D$7)=DAY(F350)),SUM($H$23:H350)-SUM($I$23:I349),IF(AND('депозитный калькулятор'!$G$10="ежемесячное, на минимальную сумму зафиксированную в течение месяца",F350='депозитный калькулятор'!$D$8,EOMONTH(F350,0)&lt;&gt;F350),IF('депозитный калькулятор'!$F$1=1,$H$24,IF(AND(OR('депозитный калькулятор'!$G$7="30/365",'депозитный калькулятор'!$G$7="30/360"),DAY(F350)=31),0,MIN(OFFSET(H350,-E350+1,0):H350)*(E350+SUMIF(OFFSET(A350,-E350+1,0):A350,"=2",OFFSET(A350,-E350+1,0):A350)))),IF(AND('депозитный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калькулятор'!$G$7="30/360"),DAY(EOMONTH(F350,0))=31),EOMONTH(F350,0)-1=F350,EOMONTH(F350,0)=F350)),IF(IF(AND(OR('депозитный калькулятор'!$G$7="30/365",'депозитный калькулятор'!$G$7="30/360"),DAY(EOMONTH($F$23,0))=31),F350=EOMONTH($F$23,0)-1,F350=EOMONTH($F$23,0)),MIN(OFFSET(H350,-(DAY(F350)-DAY($F$23)),0):H350)*E350,MIN(OFFSET(H350,-(DAY(F350)-1),0):H350)*IF(AND(OR('депозитный калькулятор'!$G$7="30/365",'депозитный калькулятор'!$G$7="30/360"),DAY(F350)&lt;30),30,DAY(F350))),IF(AND('депозитный калькулятор'!$G$10="ежемесячное, на средний остаток в течение месяца, при условии что остаток больше чем ограничение",F350='депозитный калькулятор'!$D$8,EOMONTH(F350,0)&lt;&gt;F350),IF('депозитный калькулятор'!$F$1=1,$H$24,SUM(OFFSET(Q350,-E350+1,0):Q350)),IF(AND('депозитный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калькулятор'!$G$7="30/360"),DAY(EOMONTH(F350,0))=31),EOMONTH(F350,0)-1=F350,EOMONTH(F350,0)=F350)),IF(IF(AND(OR('депозитный калькулятор'!$G$7="30/365",'депозитный калькулятор'!$G$7="30/360"),DAY(EOMONTH($F$24,0))=31),F350=EOMONTH($F$24,0)-1,F350=EOMONTH($F$24,0)),SUM(OFFSET(Q350,-E350+1,0):Q350),SUM(OFFSET(Q350,-E350+1,0):Q350)),IF('депозитный калькулятор'!$G$10="ежеквартальное",IF(F350&gt;'депозитный калькулятор'!$D$8," ",IF(AND(EOMONTH(F350,0)=F350,OR(MONTH(F350)=3,MONTH(F350)=6,MONTH(F350)=9,MONTH(F350)=12)),IF(EDATE(F350,-3)&lt;'депозитный калькулятор'!$D$7,SUM($H$23:H350),IF(MOD(YEAR(F350),4)=0,IF(AND(EOMONTH(F350,0)=F350,OR(MONTH(F350)=3,MONTH(F350)=6)),SUM(OFFSET(H350,-90,0):H350),IF(AND(EOMONTH(F350,0)=F350,OR(MONTH(F350)=9,MONTH(F350)=12)),SUM(OFFSET(H350,-91,0):H350))),IF(AND(EOMONTH(F350,0)=F350,MONTH(F350)=3),SUM(OFFSET(H350,-89,0):H350),IF(AND(EOMONTH(F350,0)=F350,MONTH(F350)=6),SUM(OFFSET(H350,-90,0):H350),IF(AND(EOMONTH(F350,0)=F350,OR(MONTH(F350)=9,MONTH(F350)=12)),SUM(OFFSET(H350,-91,0):H350)))))),IF(F350='депозитный калькулятор'!$D$8,SUM($H$23:H350)-SUM($I$23:I349),0))),IF('депозитный калькулятор'!$G$10="ежегодное",IF(F350&gt;'депозитный калькулятор'!$D$8," ",IF(F350='депозитный калькулятор'!$D$8,SUM($H$23:H350)-SUM($I$23:I349),IF(AND(EOMONTH(F350,0)=F350,MONTH(F350)=12),IF(MOD(YEAR(F349),4)=0,IF(F350-'депозитный калькулятор'!$D$7&lt;366,SUM($H$23:H350),SUM(OFFSET(H350,-365,0):H350)),IF(F350-'депозитный калькулятор'!$D$7&lt;365,SUM($H$23:H350),SUM(OFFSET(H350,-364,0):H350))),0))),IF(AND('депозитный калькулятор'!$G$10="в конце срока",'депозитный калькулятор'!$D$8=F350),SUM($H$23:H350),0))))))))))))))))))</f>
        <v xml:space="preserve"> </v>
      </c>
      <c r="J350" s="59" t="str">
        <f>IF(F350&gt;'депозитный калькулятор'!$D$8," ",IF('депозитный калькулятор'!$G$16="нет",0,IF(AND('депозитный калькулятор'!$G$17="разовая (в конце срока)",F350='депозитный калькулятор'!$D$8),'депозитный калькулятор'!$G$18,IF(AND('депозитный калькулятор'!$G$17="ежемесячная",EOMONTH(F349,0)=F349),'депозитный калькулятор'!$G$18,IF(AND('депозитный калькулятор'!$G$17="ежегодная",DAY(F349)=31,MONTH(F349)=12),'депозитный калькулятор'!$G$18,IF(AND('депозитный калькулятор'!$G$17="ежемесячная в зависимости от остатка",EOMONTH(F349,0)=F349,P349&gt;0),'депозитный калькулятор'!$G$18,IF(AND('депозитный калькулятор'!$G$17="ежегодная в зависимости от остатка",DAY(F349)=31,MONTH(F349)=12,P349&gt;0),'депозитный калькулятор'!$G$18,0)))))))</f>
        <v xml:space="preserve"> </v>
      </c>
      <c r="K350" s="135" t="str">
        <f>IF($F350=" "," ",IFERROR(VLOOKUP($F350,'депозитный калькулятор'!$B$26:$F$70,2,0),0))</f>
        <v xml:space="preserve"> </v>
      </c>
      <c r="L350" s="135" t="str">
        <f>IF($F350=" "," ",IFERROR(VLOOKUP($F350,'депозитный калькулятор'!$B$26:$F$70,3,0),0))</f>
        <v xml:space="preserve"> </v>
      </c>
      <c r="M350" s="135" t="str">
        <f>IF($F350=" "," ",IFERROR(VLOOKUP($F350,'депозитный калькулятор'!$B$26:$F$70,4,0),0))</f>
        <v xml:space="preserve"> </v>
      </c>
      <c r="N350" s="135" t="str">
        <f>IF($F350=" "," ",IFERROR(VLOOKUP($F350,'депозитный калькулятор'!$B$26:$F$70,5,0),0))</f>
        <v xml:space="preserve"> </v>
      </c>
      <c r="O350" s="146" t="str">
        <f>IF(F350&gt;'депозитный калькулятор'!$D$8," ",IF(F350='депозитный калькулятор'!$D$8,IF(AND($F$24='депозитный калькулятор'!$D$8,'депозитный калькулятор'!$G$13="нет"),-G350-IF(I350=" ",0,I350)-IF(AND(OR('депозитный калькулятор'!$G$7="30/365",'депозитный калькулятор'!$G$7="30/360"),'депозитный калькулятор'!$G$10="в начале срока"),I349,0)-L350+M350-N350,-G350-IF(I350=" ",0,I350)-L350+M350-N350),IF('депозитный калькулятор'!$G$13="есть",M350-N350+IF('депозитный калькулятор'!$G$14="есть",0,-L350),-IF(I350=" ",0,I350)-IF(AND(OR('депозитный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срока"),I349,0)+M350-N350+IF('депозитный калькулятор'!$G$14="есть",0,-L350))))</f>
        <v xml:space="preserve"> </v>
      </c>
      <c r="P350" s="147" t="str">
        <f>IF(F350&gt;'депозитный калькулятор'!$D$8," ",IF(EOMONTH(F349,0)=F349,0,IF(G350&gt;='депозитный калькулятор'!$G$19,P349,P349+1)))</f>
        <v xml:space="preserve"> </v>
      </c>
      <c r="Q350" s="138" t="str">
        <f>IF(F350=" "," ",IF(AND(OR('депозитный калькулятор'!$G$7="30/365",'депозитный калькулятор'!$G$7="30/360"),AND(MONTH(F350)=2,EOMONTH(F350,0)=F350)),IF(DAY(F350)=28,3,2),1)*IF(G350&gt;='депозитный калькулятор'!$G$11,IF(AND('депозитный калькулятор'!$G$7="факт/факт",MOD(YEAR(F350),4)=0),G350*'депозитный калькулятор'!$D$11/366,G350*'депозитный калькулятор'!$G$8),0))</f>
        <v xml:space="preserve"> </v>
      </c>
      <c r="R350" s="148"/>
      <c r="S350" s="62" t="str">
        <f t="shared" ca="1" si="27"/>
        <v xml:space="preserve"> </v>
      </c>
      <c r="T350" s="149" t="str">
        <f ca="1">IF(S350=" "," ",IF('депозитный калькулятор'!$G$7="30/360",DAYS360(U349,IF(DAY(U350)=31,U350-1,U350))+IF(AND(MONTH(U350)=2,U350=EOMONTH(U350,0)),30-DAY(EOMONTH(U350,0)))+T349,VLOOKUP(S350,$C$22:$F$1023,2,0)))</f>
        <v xml:space="preserve"> </v>
      </c>
      <c r="U350" s="64" t="str">
        <f t="shared" ca="1" si="25"/>
        <v xml:space="preserve"> </v>
      </c>
      <c r="V350" s="150" t="str">
        <f t="shared" ca="1" si="28"/>
        <v xml:space="preserve"> </v>
      </c>
      <c r="W350" s="62" t="str">
        <f t="shared" ca="1" si="29"/>
        <v xml:space="preserve"> </v>
      </c>
      <c r="X350" s="141" t="str">
        <f ca="1">IF(S350=" "," ",IFERROR(VLOOKUP(U350,$F$23:$N$1023,7)+VLOOKUP(U350,$F$23:$N$1023,9)+IF(AND('депозитный калькулятор'!$G$13="нет",U350&lt;&gt;'депозитный калькулятор'!$D$8),VLOOKUP(U350,$F$23:$N$1023,4),0),0)+IF(U350='депозитный калькулятор'!$D$8,VLOOKUP(U350,$F$23:$N$1023,2)+VLOOKUP(U350,$F$23:$N$1023,4),0))</f>
        <v xml:space="preserve"> </v>
      </c>
      <c r="Y350" s="142" t="str">
        <f ca="1">IF(S350=" "," ",W350/(1+'депозитный калькулятор'!$K$8)^(T350/IF('депозитный калькулятор'!$G$7="30/360",360,365)))</f>
        <v xml:space="preserve"> </v>
      </c>
      <c r="Z350" s="142" t="str">
        <f ca="1">IF(S350=" "," ",X350/(1+'депозитный калькулятор'!$K$8)^(T350/IF('депозитный калькулятор'!$G$7="30/360",360,365)))</f>
        <v xml:space="preserve"> </v>
      </c>
      <c r="AA350" s="151"/>
      <c r="AB350" s="151"/>
      <c r="AC350" s="155"/>
      <c r="AD350" s="155"/>
    </row>
    <row r="351" spans="1:30" s="2" customFormat="1" ht="15.5" x14ac:dyDescent="0.35">
      <c r="A351" s="41" t="str">
        <f>IF(F351=" "," ",IF(OR('депозитный калькулятор'!$G$7="30/365",'депозитный калькулятор'!$G$7="30/360"),IF(AND(MONTH(F351)=2,DAY(F351)=DAY(EOMONTH(F351,0))),30-DAY(EOMONTH(F351,0)),IF(DAY(F351)=31,1," "))," "))</f>
        <v xml:space="preserve"> </v>
      </c>
      <c r="B351" s="130" t="str">
        <f t="shared" si="26"/>
        <v xml:space="preserve"> </v>
      </c>
      <c r="C351" s="130" t="str">
        <f>IF(OR(B351=0,B351=" ")," ",SUM($B$23:B351))</f>
        <v xml:space="preserve"> </v>
      </c>
      <c r="D351" s="62" t="str">
        <f>IF(D350=" "," ",IF(OR(F350='депозитный калькулятор'!$D$8,F350=" ")," ",D350+1))</f>
        <v xml:space="preserve"> </v>
      </c>
      <c r="E351" s="130" t="str">
        <f>IF(OR(F350='депозитный калькулятор'!$D$8,F350=" ")," ",IF(EOMONTH(F350,0)=F350,1,E350+1))</f>
        <v xml:space="preserve"> </v>
      </c>
      <c r="F351" s="64" t="str">
        <f>IF(F350=" "," ",IF(F350='депозитный калькулятор'!$D$8," ",F350+1))</f>
        <v xml:space="preserve"> </v>
      </c>
      <c r="G351" s="145" t="str">
        <f xml:space="preserve"> IF(F351&gt;'депозитный калькулятор'!$D$8," ",IF('депозитный калькулятор'!$G$13="есть",IF('депозитный калькулятор'!$G$14="есть",G350+IF(I350=" ",0,I350)-J351-K351+L351+M351-N351,G350+IF(I350=" ",0,I350)-J351-K351+M351-N351),IF('депозитный калькулятор'!$G$14="есть",G350-J351-K351+L351+M351-N351,G350-J351-K351+M351-N351)))</f>
        <v xml:space="preserve"> </v>
      </c>
      <c r="H351" s="133" t="str">
        <f>IF(F351&gt;'депозитный калькулятор'!$D$8," ",IF(AND(OR('депозитный калькулятор'!$G$7="30/365",'депозитный калькулятор'!$G$7="30/360"),AND(MONTH(F351)=2,EOMONTH(F351,0)=F351)),IF(DAY(F351)=28,3*G351*'депозитный калькулятор'!$G$8,2*G351*'депозитный калькулятор'!$G$8),IF(AND(OR('депозитный калькулятор'!$G$7="30/365",'депозитный калькулятор'!$G$7="30/360"),DAY(F351)=31)," ",IF(AND('депозитный калькулятор'!$G$7="факт/факт",MOD(YEAR(F351),4)=0),G351*'депозитный калькулятор'!$D$11/366,G351*'депозитный калькулятор'!$G$8))))</f>
        <v xml:space="preserve"> </v>
      </c>
      <c r="I351" s="134" t="str">
        <f ca="1">IF(F351=" "," ",IF('депозитный калькулятор'!$G$10="ежедневное",H351,IF(AND('депозитный калькулятор'!$G$10="еженедельное",WEEKDAY(F351,2)=7),SUM(OFFSET(H351,-6,0):H351),IF(AND('депозитный калькулятор'!$G$10="еженедельное",F351='депозитный калькулятор'!$D$8),SUM($H$23:H351)-SUM($I$23:I350),IF(AND('депозитный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недели",WEEKDAY(F351,2)=7),MIN(OFFSET(H351,-6,0):H351)*(COUNTIF(OFFSET(H351,-6,0):H351,"&gt;0")+SUMIF(OFFSET(A351,-WEEKDAY(F351,2),0):A351,"=2",OFFSET(A351,-WEEKDAY(F351,2),0):A351)),IF(AND('депозитный калькулятор'!$G$10="еженедельное, на минимальную сумму зафиксированную в течение недели",F351='депозитный калькулятор'!$D$8,WEEKDAY(F351,2)&lt;&gt;7),MIN(OFFSET(H351,-WEEKDAY(F351,2),0):H351)*(COUNTIF(OFFSET(H351,-WEEKDAY(F351,2)+1,0):H351,"&gt;0")+SUM(OFFSET(A351,-WEEKDAY(F351,2),0):A351)),IF(AND('депозитный калькулятор'!$G$10="ежемесячное (в конце месяца)",F351='депозитный калькулятор'!$D$8,EOMONTH(F351,0)&lt;&gt;F351),IF('депозитный калькулятор'!$F$1=1,$H$24,SUM($H$23:H351)-SUM($I$23:I350)),IF(AND('депозитный калькулятор'!$G$10="ежемесячное (в конце месяца)",EOMONTH(F351,0)=F351),SUM($H$23:H351)-SUM($I$23:I350),IF(AND('депозитный калькулятор'!$G$10="ежемесячное (по дням открытия вклада)",F351='депозитный калькулятор'!$D$8,DAY('депозитный калькулятор'!$D$7)&lt;&gt;DAY(F351)),IF('депозитный калькулятор'!$F$1=1,$H$24,SUM($H$23:H351)-SUM($I$23:I350)),IF(AND('депозитный калькулятор'!$G$10="ежемесячное (по дням открытия вклада)",DAY('депозитный калькулятор'!$D$7)=DAY(F351)),SUM($H$23:H351)-SUM($I$23:I350),IF(AND('депозитный калькулятор'!$G$10="ежемесячное, на минимальную сумму зафиксированную в течение месяца",F351='депозитный калькулятор'!$D$8,EOMONTH(F351,0)&lt;&gt;F351),IF('депозитный калькулятор'!$F$1=1,$H$24,IF(AND(OR('депозитный калькулятор'!$G$7="30/365",'депозитный калькулятор'!$G$7="30/360"),DAY(F351)=31),0,MIN(OFFSET(H351,-E351+1,0):H351)*(E351+SUMIF(OFFSET(A351,-E351+1,0):A351,"=2",OFFSET(A351,-E351+1,0):A351)))),IF(AND('депозитный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калькулятор'!$G$7="30/360"),DAY(EOMONTH(F351,0))=31),EOMONTH(F351,0)-1=F351,EOMONTH(F351,0)=F351)),IF(IF(AND(OR('депозитный калькулятор'!$G$7="30/365",'депозитный калькулятор'!$G$7="30/360"),DAY(EOMONTH($F$23,0))=31),F351=EOMONTH($F$23,0)-1,F351=EOMONTH($F$23,0)),MIN(OFFSET(H351,-(DAY(F351)-DAY($F$23)),0):H351)*E351,MIN(OFFSET(H351,-(DAY(F351)-1),0):H351)*IF(AND(OR('депозитный калькулятор'!$G$7="30/365",'депозитный калькулятор'!$G$7="30/360"),DAY(F351)&lt;30),30,DAY(F351))),IF(AND('депозитный калькулятор'!$G$10="ежемесячное, на средний остаток в течение месяца, при условии что остаток больше чем ограничение",F351='депозитный калькулятор'!$D$8,EOMONTH(F351,0)&lt;&gt;F351),IF('депозитный калькулятор'!$F$1=1,$H$24,SUM(OFFSET(Q351,-E351+1,0):Q351)),IF(AND('депозитный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калькулятор'!$G$7="30/360"),DAY(EOMONTH(F351,0))=31),EOMONTH(F351,0)-1=F351,EOMONTH(F351,0)=F351)),IF(IF(AND(OR('депозитный калькулятор'!$G$7="30/365",'депозитный калькулятор'!$G$7="30/360"),DAY(EOMONTH($F$24,0))=31),F351=EOMONTH($F$24,0)-1,F351=EOMONTH($F$24,0)),SUM(OFFSET(Q351,-E351+1,0):Q351),SUM(OFFSET(Q351,-E351+1,0):Q351)),IF('депозитный калькулятор'!$G$10="ежеквартальное",IF(F351&gt;'депозитный калькулятор'!$D$8," ",IF(AND(EOMONTH(F351,0)=F351,OR(MONTH(F351)=3,MONTH(F351)=6,MONTH(F351)=9,MONTH(F351)=12)),IF(EDATE(F351,-3)&lt;'депозитный калькулятор'!$D$7,SUM($H$23:H351),IF(MOD(YEAR(F351),4)=0,IF(AND(EOMONTH(F351,0)=F351,OR(MONTH(F351)=3,MONTH(F351)=6)),SUM(OFFSET(H351,-90,0):H351),IF(AND(EOMONTH(F351,0)=F351,OR(MONTH(F351)=9,MONTH(F351)=12)),SUM(OFFSET(H351,-91,0):H351))),IF(AND(EOMONTH(F351,0)=F351,MONTH(F351)=3),SUM(OFFSET(H351,-89,0):H351),IF(AND(EOMONTH(F351,0)=F351,MONTH(F351)=6),SUM(OFFSET(H351,-90,0):H351),IF(AND(EOMONTH(F351,0)=F351,OR(MONTH(F351)=9,MONTH(F351)=12)),SUM(OFFSET(H351,-91,0):H351)))))),IF(F351='депозитный калькулятор'!$D$8,SUM($H$23:H351)-SUM($I$23:I350),0))),IF('депозитный калькулятор'!$G$10="ежегодное",IF(F351&gt;'депозитный калькулятор'!$D$8," ",IF(F351='депозитный калькулятор'!$D$8,SUM($H$23:H351)-SUM($I$23:I350),IF(AND(EOMONTH(F351,0)=F351,MONTH(F351)=12),IF(MOD(YEAR(F350),4)=0,IF(F351-'депозитный калькулятор'!$D$7&lt;366,SUM($H$23:H351),SUM(OFFSET(H351,-365,0):H351)),IF(F351-'депозитный калькулятор'!$D$7&lt;365,SUM($H$23:H351),SUM(OFFSET(H351,-364,0):H351))),0))),IF(AND('депозитный калькулятор'!$G$10="в конце срока",'депозитный калькулятор'!$D$8=F351),SUM($H$23:H351),0))))))))))))))))))</f>
        <v xml:space="preserve"> </v>
      </c>
      <c r="J351" s="59" t="str">
        <f>IF(F351&gt;'депозитный калькулятор'!$D$8," ",IF('депозитный калькулятор'!$G$16="нет",0,IF(AND('депозитный калькулятор'!$G$17="разовая (в конце срока)",F351='депозитный калькулятор'!$D$8),'депозитный калькулятор'!$G$18,IF(AND('депозитный калькулятор'!$G$17="ежемесячная",EOMONTH(F350,0)=F350),'депозитный калькулятор'!$G$18,IF(AND('депозитный калькулятор'!$G$17="ежегодная",DAY(F350)=31,MONTH(F350)=12),'депозитный калькулятор'!$G$18,IF(AND('депозитный калькулятор'!$G$17="ежемесячная в зависимости от остатка",EOMONTH(F350,0)=F350,P350&gt;0),'депозитный калькулятор'!$G$18,IF(AND('депозитный калькулятор'!$G$17="ежегодная в зависимости от остатка",DAY(F350)=31,MONTH(F350)=12,P350&gt;0),'депозитный калькулятор'!$G$18,0)))))))</f>
        <v xml:space="preserve"> </v>
      </c>
      <c r="K351" s="135" t="str">
        <f>IF($F351=" "," ",IFERROR(VLOOKUP($F351,'депозитный калькулятор'!$B$26:$F$70,2,0),0))</f>
        <v xml:space="preserve"> </v>
      </c>
      <c r="L351" s="135" t="str">
        <f>IF($F351=" "," ",IFERROR(VLOOKUP($F351,'депозитный калькулятор'!$B$26:$F$70,3,0),0))</f>
        <v xml:space="preserve"> </v>
      </c>
      <c r="M351" s="135" t="str">
        <f>IF($F351=" "," ",IFERROR(VLOOKUP($F351,'депозитный калькулятор'!$B$26:$F$70,4,0),0))</f>
        <v xml:space="preserve"> </v>
      </c>
      <c r="N351" s="135" t="str">
        <f>IF($F351=" "," ",IFERROR(VLOOKUP($F351,'депозитный калькулятор'!$B$26:$F$70,5,0),0))</f>
        <v xml:space="preserve"> </v>
      </c>
      <c r="O351" s="146" t="str">
        <f>IF(F351&gt;'депозитный калькулятор'!$D$8," ",IF(F351='депозитный калькулятор'!$D$8,IF(AND($F$24='депозитный калькулятор'!$D$8,'депозитный калькулятор'!$G$13="нет"),-G351-IF(I351=" ",0,I351)-IF(AND(OR('депозитный калькулятор'!$G$7="30/365",'депозитный калькулятор'!$G$7="30/360"),'депозитный калькулятор'!$G$10="в начале срока"),I350,0)-L351+M351-N351,-G351-IF(I351=" ",0,I351)-L351+M351-N351),IF('депозитный калькулятор'!$G$13="есть",M351-N351+IF('депозитный калькулятор'!$G$14="есть",0,-L351),-IF(I351=" ",0,I351)-IF(AND(OR('депозитный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срока"),I350,0)+M351-N351+IF('депозитный калькулятор'!$G$14="есть",0,-L351))))</f>
        <v xml:space="preserve"> </v>
      </c>
      <c r="P351" s="147" t="str">
        <f>IF(F351&gt;'депозитный калькулятор'!$D$8," ",IF(EOMONTH(F350,0)=F350,0,IF(G351&gt;='депозитный калькулятор'!$G$19,P350,P350+1)))</f>
        <v xml:space="preserve"> </v>
      </c>
      <c r="Q351" s="138" t="str">
        <f>IF(F351=" "," ",IF(AND(OR('депозитный калькулятор'!$G$7="30/365",'депозитный калькулятор'!$G$7="30/360"),AND(MONTH(F351)=2,EOMONTH(F351,0)=F351)),IF(DAY(F351)=28,3,2),1)*IF(G351&gt;='депозитный калькулятор'!$G$11,IF(AND('депозитный калькулятор'!$G$7="факт/факт",MOD(YEAR(F351),4)=0),G351*'депозитный калькулятор'!$D$11/366,G351*'депозитный калькулятор'!$G$8),0))</f>
        <v xml:space="preserve"> </v>
      </c>
      <c r="R351" s="148"/>
      <c r="S351" s="62" t="str">
        <f t="shared" ca="1" si="27"/>
        <v xml:space="preserve"> </v>
      </c>
      <c r="T351" s="149" t="str">
        <f ca="1">IF(S351=" "," ",IF('депозитный калькулятор'!$G$7="30/360",DAYS360(U350,IF(DAY(U351)=31,U351-1,U351))+IF(AND(MONTH(U351)=2,U351=EOMONTH(U351,0)),30-DAY(EOMONTH(U351,0)))+T350,VLOOKUP(S351,$C$22:$F$1023,2,0)))</f>
        <v xml:space="preserve"> </v>
      </c>
      <c r="U351" s="64" t="str">
        <f t="shared" ca="1" si="25"/>
        <v xml:space="preserve"> </v>
      </c>
      <c r="V351" s="150" t="str">
        <f t="shared" ca="1" si="28"/>
        <v xml:space="preserve"> </v>
      </c>
      <c r="W351" s="62" t="str">
        <f t="shared" ca="1" si="29"/>
        <v xml:space="preserve"> </v>
      </c>
      <c r="X351" s="141" t="str">
        <f ca="1">IF(S351=" "," ",IFERROR(VLOOKUP(U351,$F$23:$N$1023,7)+VLOOKUP(U351,$F$23:$N$1023,9)+IF(AND('депозитный калькулятор'!$G$13="нет",U351&lt;&gt;'депозитный калькулятор'!$D$8),VLOOKUP(U351,$F$23:$N$1023,4),0),0)+IF(U351='депозитный калькулятор'!$D$8,VLOOKUP(U351,$F$23:$N$1023,2)+VLOOKUP(U351,$F$23:$N$1023,4),0))</f>
        <v xml:space="preserve"> </v>
      </c>
      <c r="Y351" s="142" t="str">
        <f ca="1">IF(S351=" "," ",W351/(1+'депозитный калькулятор'!$K$8)^(T351/IF('депозитный калькулятор'!$G$7="30/360",360,365)))</f>
        <v xml:space="preserve"> </v>
      </c>
      <c r="Z351" s="142" t="str">
        <f ca="1">IF(S351=" "," ",X351/(1+'депозитный калькулятор'!$K$8)^(T351/IF('депозитный калькулятор'!$G$7="30/360",360,365)))</f>
        <v xml:space="preserve"> </v>
      </c>
      <c r="AA351" s="151"/>
      <c r="AB351" s="151"/>
      <c r="AC351" s="155"/>
      <c r="AD351" s="155"/>
    </row>
    <row r="352" spans="1:30" s="2" customFormat="1" ht="15.5" x14ac:dyDescent="0.35">
      <c r="A352" s="41" t="str">
        <f>IF(F352=" "," ",IF(OR('депозитный калькулятор'!$G$7="30/365",'депозитный калькулятор'!$G$7="30/360"),IF(AND(MONTH(F352)=2,DAY(F352)=DAY(EOMONTH(F352,0))),30-DAY(EOMONTH(F352,0)),IF(DAY(F352)=31,1," "))," "))</f>
        <v xml:space="preserve"> </v>
      </c>
      <c r="B352" s="130" t="str">
        <f t="shared" si="26"/>
        <v xml:space="preserve"> </v>
      </c>
      <c r="C352" s="130" t="str">
        <f>IF(OR(B352=0,B352=" ")," ",SUM($B$23:B352))</f>
        <v xml:space="preserve"> </v>
      </c>
      <c r="D352" s="62" t="str">
        <f>IF(D351=" "," ",IF(OR(F351='депозитный калькулятор'!$D$8,F351=" ")," ",D351+1))</f>
        <v xml:space="preserve"> </v>
      </c>
      <c r="E352" s="130" t="str">
        <f>IF(OR(F351='депозитный калькулятор'!$D$8,F351=" ")," ",IF(EOMONTH(F351,0)=F351,1,E351+1))</f>
        <v xml:space="preserve"> </v>
      </c>
      <c r="F352" s="64" t="str">
        <f>IF(F351=" "," ",IF(F351='депозитный калькулятор'!$D$8," ",F351+1))</f>
        <v xml:space="preserve"> </v>
      </c>
      <c r="G352" s="145" t="str">
        <f xml:space="preserve"> IF(F352&gt;'депозитный калькулятор'!$D$8," ",IF('депозитный калькулятор'!$G$13="есть",IF('депозитный калькулятор'!$G$14="есть",G351+IF(I351=" ",0,I351)-J352-K352+L352+M352-N352,G351+IF(I351=" ",0,I351)-J352-K352+M352-N352),IF('депозитный калькулятор'!$G$14="есть",G351-J352-K352+L352+M352-N352,G351-J352-K352+M352-N352)))</f>
        <v xml:space="preserve"> </v>
      </c>
      <c r="H352" s="133" t="str">
        <f>IF(F352&gt;'депозитный калькулятор'!$D$8," ",IF(AND(OR('депозитный калькулятор'!$G$7="30/365",'депозитный калькулятор'!$G$7="30/360"),AND(MONTH(F352)=2,EOMONTH(F352,0)=F352)),IF(DAY(F352)=28,3*G352*'депозитный калькулятор'!$G$8,2*G352*'депозитный калькулятор'!$G$8),IF(AND(OR('депозитный калькулятор'!$G$7="30/365",'депозитный калькулятор'!$G$7="30/360"),DAY(F352)=31)," ",IF(AND('депозитный калькулятор'!$G$7="факт/факт",MOD(YEAR(F352),4)=0),G352*'депозитный калькулятор'!$D$11/366,G352*'депозитный калькулятор'!$G$8))))</f>
        <v xml:space="preserve"> </v>
      </c>
      <c r="I352" s="134" t="str">
        <f ca="1">IF(F352=" "," ",IF('депозитный калькулятор'!$G$10="ежедневное",H352,IF(AND('депозитный калькулятор'!$G$10="еженедельное",WEEKDAY(F352,2)=7),SUM(OFFSET(H352,-6,0):H352),IF(AND('депозитный калькулятор'!$G$10="еженедельное",F352='депозитный калькулятор'!$D$8),SUM($H$23:H352)-SUM($I$23:I351),IF(AND('депозитный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недели",WEEKDAY(F352,2)=7),MIN(OFFSET(H352,-6,0):H352)*(COUNTIF(OFFSET(H352,-6,0):H352,"&gt;0")+SUMIF(OFFSET(A352,-WEEKDAY(F352,2),0):A352,"=2",OFFSET(A352,-WEEKDAY(F352,2),0):A352)),IF(AND('депозитный калькулятор'!$G$10="еженедельное, на минимальную сумму зафиксированную в течение недели",F352='депозитный калькулятор'!$D$8,WEEKDAY(F352,2)&lt;&gt;7),MIN(OFFSET(H352,-WEEKDAY(F352,2),0):H352)*(COUNTIF(OFFSET(H352,-WEEKDAY(F352,2)+1,0):H352,"&gt;0")+SUM(OFFSET(A352,-WEEKDAY(F352,2),0):A352)),IF(AND('депозитный калькулятор'!$G$10="ежемесячное (в конце месяца)",F352='депозитный калькулятор'!$D$8,EOMONTH(F352,0)&lt;&gt;F352),IF('депозитный калькулятор'!$F$1=1,$H$24,SUM($H$23:H352)-SUM($I$23:I351)),IF(AND('депозитный калькулятор'!$G$10="ежемесячное (в конце месяца)",EOMONTH(F352,0)=F352),SUM($H$23:H352)-SUM($I$23:I351),IF(AND('депозитный калькулятор'!$G$10="ежемесячное (по дням открытия вклада)",F352='депозитный калькулятор'!$D$8,DAY('депозитный калькулятор'!$D$7)&lt;&gt;DAY(F352)),IF('депозитный калькулятор'!$F$1=1,$H$24,SUM($H$23:H352)-SUM($I$23:I351)),IF(AND('депозитный калькулятор'!$G$10="ежемесячное (по дням открытия вклада)",DAY('депозитный калькулятор'!$D$7)=DAY(F352)),SUM($H$23:H352)-SUM($I$23:I351),IF(AND('депозитный калькулятор'!$G$10="ежемесячное, на минимальную сумму зафиксированную в течение месяца",F352='депозитный калькулятор'!$D$8,EOMONTH(F352,0)&lt;&gt;F352),IF('депозитный калькулятор'!$F$1=1,$H$24,IF(AND(OR('депозитный калькулятор'!$G$7="30/365",'депозитный калькулятор'!$G$7="30/360"),DAY(F352)=31),0,MIN(OFFSET(H352,-E352+1,0):H352)*(E352+SUMIF(OFFSET(A352,-E352+1,0):A352,"=2",OFFSET(A352,-E352+1,0):A352)))),IF(AND('депозитный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калькулятор'!$G$7="30/360"),DAY(EOMONTH(F352,0))=31),EOMONTH(F352,0)-1=F352,EOMONTH(F352,0)=F352)),IF(IF(AND(OR('депозитный калькулятор'!$G$7="30/365",'депозитный калькулятор'!$G$7="30/360"),DAY(EOMONTH($F$23,0))=31),F352=EOMONTH($F$23,0)-1,F352=EOMONTH($F$23,0)),MIN(OFFSET(H352,-(DAY(F352)-DAY($F$23)),0):H352)*E352,MIN(OFFSET(H352,-(DAY(F352)-1),0):H352)*IF(AND(OR('депозитный калькулятор'!$G$7="30/365",'депозитный калькулятор'!$G$7="30/360"),DAY(F352)&lt;30),30,DAY(F352))),IF(AND('депозитный калькулятор'!$G$10="ежемесячное, на средний остаток в течение месяца, при условии что остаток больше чем ограничение",F352='депозитный калькулятор'!$D$8,EOMONTH(F352,0)&lt;&gt;F352),IF('депозитный калькулятор'!$F$1=1,$H$24,SUM(OFFSET(Q352,-E352+1,0):Q352)),IF(AND('депозитный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калькулятор'!$G$7="30/360"),DAY(EOMONTH(F352,0))=31),EOMONTH(F352,0)-1=F352,EOMONTH(F352,0)=F352)),IF(IF(AND(OR('депозитный калькулятор'!$G$7="30/365",'депозитный калькулятор'!$G$7="30/360"),DAY(EOMONTH($F$24,0))=31),F352=EOMONTH($F$24,0)-1,F352=EOMONTH($F$24,0)),SUM(OFFSET(Q352,-E352+1,0):Q352),SUM(OFFSET(Q352,-E352+1,0):Q352)),IF('депозитный калькулятор'!$G$10="ежеквартальное",IF(F352&gt;'депозитный калькулятор'!$D$8," ",IF(AND(EOMONTH(F352,0)=F352,OR(MONTH(F352)=3,MONTH(F352)=6,MONTH(F352)=9,MONTH(F352)=12)),IF(EDATE(F352,-3)&lt;'депозитный калькулятор'!$D$7,SUM($H$23:H352),IF(MOD(YEAR(F352),4)=0,IF(AND(EOMONTH(F352,0)=F352,OR(MONTH(F352)=3,MONTH(F352)=6)),SUM(OFFSET(H352,-90,0):H352),IF(AND(EOMONTH(F352,0)=F352,OR(MONTH(F352)=9,MONTH(F352)=12)),SUM(OFFSET(H352,-91,0):H352))),IF(AND(EOMONTH(F352,0)=F352,MONTH(F352)=3),SUM(OFFSET(H352,-89,0):H352),IF(AND(EOMONTH(F352,0)=F352,MONTH(F352)=6),SUM(OFFSET(H352,-90,0):H352),IF(AND(EOMONTH(F352,0)=F352,OR(MONTH(F352)=9,MONTH(F352)=12)),SUM(OFFSET(H352,-91,0):H352)))))),IF(F352='депозитный калькулятор'!$D$8,SUM($H$23:H352)-SUM($I$23:I351),0))),IF('депозитный калькулятор'!$G$10="ежегодное",IF(F352&gt;'депозитный калькулятор'!$D$8," ",IF(F352='депозитный калькулятор'!$D$8,SUM($H$23:H352)-SUM($I$23:I351),IF(AND(EOMONTH(F352,0)=F352,MONTH(F352)=12),IF(MOD(YEAR(F351),4)=0,IF(F352-'депозитный калькулятор'!$D$7&lt;366,SUM($H$23:H352),SUM(OFFSET(H352,-365,0):H352)),IF(F352-'депозитный калькулятор'!$D$7&lt;365,SUM($H$23:H352),SUM(OFFSET(H352,-364,0):H352))),0))),IF(AND('депозитный калькулятор'!$G$10="в конце срока",'депозитный калькулятор'!$D$8=F352),SUM($H$23:H352),0))))))))))))))))))</f>
        <v xml:space="preserve"> </v>
      </c>
      <c r="J352" s="59" t="str">
        <f>IF(F352&gt;'депозитный калькулятор'!$D$8," ",IF('депозитный калькулятор'!$G$16="нет",0,IF(AND('депозитный калькулятор'!$G$17="разовая (в конце срока)",F352='депозитный калькулятор'!$D$8),'депозитный калькулятор'!$G$18,IF(AND('депозитный калькулятор'!$G$17="ежемесячная",EOMONTH(F351,0)=F351),'депозитный калькулятор'!$G$18,IF(AND('депозитный калькулятор'!$G$17="ежегодная",DAY(F351)=31,MONTH(F351)=12),'депозитный калькулятор'!$G$18,IF(AND('депозитный калькулятор'!$G$17="ежемесячная в зависимости от остатка",EOMONTH(F351,0)=F351,P351&gt;0),'депозитный калькулятор'!$G$18,IF(AND('депозитный калькулятор'!$G$17="ежегодная в зависимости от остатка",DAY(F351)=31,MONTH(F351)=12,P351&gt;0),'депозитный калькулятор'!$G$18,0)))))))</f>
        <v xml:space="preserve"> </v>
      </c>
      <c r="K352" s="135" t="str">
        <f>IF($F352=" "," ",IFERROR(VLOOKUP($F352,'депозитный калькулятор'!$B$26:$F$70,2,0),0))</f>
        <v xml:space="preserve"> </v>
      </c>
      <c r="L352" s="135" t="str">
        <f>IF($F352=" "," ",IFERROR(VLOOKUP($F352,'депозитный калькулятор'!$B$26:$F$70,3,0),0))</f>
        <v xml:space="preserve"> </v>
      </c>
      <c r="M352" s="135" t="str">
        <f>IF($F352=" "," ",IFERROR(VLOOKUP($F352,'депозитный калькулятор'!$B$26:$F$70,4,0),0))</f>
        <v xml:space="preserve"> </v>
      </c>
      <c r="N352" s="135" t="str">
        <f>IF($F352=" "," ",IFERROR(VLOOKUP($F352,'депозитный калькулятор'!$B$26:$F$70,5,0),0))</f>
        <v xml:space="preserve"> </v>
      </c>
      <c r="O352" s="146" t="str">
        <f>IF(F352&gt;'депозитный калькулятор'!$D$8," ",IF(F352='депозитный калькулятор'!$D$8,IF(AND($F$24='депозитный калькулятор'!$D$8,'депозитный калькулятор'!$G$13="нет"),-G352-IF(I352=" ",0,I352)-IF(AND(OR('депозитный калькулятор'!$G$7="30/365",'депозитный калькулятор'!$G$7="30/360"),'депозитный калькулятор'!$G$10="в начале срока"),I351,0)-L352+M352-N352,-G352-IF(I352=" ",0,I352)-L352+M352-N352),IF('депозитный калькулятор'!$G$13="есть",M352-N352+IF('депозитный калькулятор'!$G$14="есть",0,-L352),-IF(I352=" ",0,I352)-IF(AND(OR('депозитный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срока"),I351,0)+M352-N352+IF('депозитный калькулятор'!$G$14="есть",0,-L352))))</f>
        <v xml:space="preserve"> </v>
      </c>
      <c r="P352" s="147" t="str">
        <f>IF(F352&gt;'депозитный калькулятор'!$D$8," ",IF(EOMONTH(F351,0)=F351,0,IF(G352&gt;='депозитный калькулятор'!$G$19,P351,P351+1)))</f>
        <v xml:space="preserve"> </v>
      </c>
      <c r="Q352" s="138" t="str">
        <f>IF(F352=" "," ",IF(AND(OR('депозитный калькулятор'!$G$7="30/365",'депозитный калькулятор'!$G$7="30/360"),AND(MONTH(F352)=2,EOMONTH(F352,0)=F352)),IF(DAY(F352)=28,3,2),1)*IF(G352&gt;='депозитный калькулятор'!$G$11,IF(AND('депозитный калькулятор'!$G$7="факт/факт",MOD(YEAR(F352),4)=0),G352*'депозитный калькулятор'!$D$11/366,G352*'депозитный калькулятор'!$G$8),0))</f>
        <v xml:space="preserve"> </v>
      </c>
      <c r="R352" s="148"/>
      <c r="S352" s="62" t="str">
        <f t="shared" ca="1" si="27"/>
        <v xml:space="preserve"> </v>
      </c>
      <c r="T352" s="149" t="str">
        <f ca="1">IF(S352=" "," ",IF('депозитный калькулятор'!$G$7="30/360",DAYS360(U351,IF(DAY(U352)=31,U352-1,U352))+IF(AND(MONTH(U352)=2,U352=EOMONTH(U352,0)),30-DAY(EOMONTH(U352,0)))+T351,VLOOKUP(S352,$C$22:$F$1023,2,0)))</f>
        <v xml:space="preserve"> </v>
      </c>
      <c r="U352" s="64" t="str">
        <f t="shared" ca="1" si="25"/>
        <v xml:space="preserve"> </v>
      </c>
      <c r="V352" s="150" t="str">
        <f t="shared" ca="1" si="28"/>
        <v xml:space="preserve"> </v>
      </c>
      <c r="W352" s="62" t="str">
        <f t="shared" ca="1" si="29"/>
        <v xml:space="preserve"> </v>
      </c>
      <c r="X352" s="141" t="str">
        <f ca="1">IF(S352=" "," ",IFERROR(VLOOKUP(U352,$F$23:$N$1023,7)+VLOOKUP(U352,$F$23:$N$1023,9)+IF(AND('депозитный калькулятор'!$G$13="нет",U352&lt;&gt;'депозитный калькулятор'!$D$8),VLOOKUP(U352,$F$23:$N$1023,4),0),0)+IF(U352='депозитный калькулятор'!$D$8,VLOOKUP(U352,$F$23:$N$1023,2)+VLOOKUP(U352,$F$23:$N$1023,4),0))</f>
        <v xml:space="preserve"> </v>
      </c>
      <c r="Y352" s="142" t="str">
        <f ca="1">IF(S352=" "," ",W352/(1+'депозитный калькулятор'!$K$8)^(T352/IF('депозитный калькулятор'!$G$7="30/360",360,365)))</f>
        <v xml:space="preserve"> </v>
      </c>
      <c r="Z352" s="142" t="str">
        <f ca="1">IF(S352=" "," ",X352/(1+'депозитный калькулятор'!$K$8)^(T352/IF('депозитный калькулятор'!$G$7="30/360",360,365)))</f>
        <v xml:space="preserve"> </v>
      </c>
      <c r="AA352" s="151"/>
      <c r="AB352" s="151"/>
      <c r="AC352" s="155"/>
      <c r="AD352" s="155"/>
    </row>
    <row r="353" spans="1:30" s="2" customFormat="1" ht="15.5" x14ac:dyDescent="0.35">
      <c r="A353" s="41" t="str">
        <f>IF(F353=" "," ",IF(OR('депозитный калькулятор'!$G$7="30/365",'депозитный калькулятор'!$G$7="30/360"),IF(AND(MONTH(F353)=2,DAY(F353)=DAY(EOMONTH(F353,0))),30-DAY(EOMONTH(F353,0)),IF(DAY(F353)=31,1," "))," "))</f>
        <v xml:space="preserve"> </v>
      </c>
      <c r="B353" s="130" t="str">
        <f t="shared" si="26"/>
        <v xml:space="preserve"> </v>
      </c>
      <c r="C353" s="130" t="str">
        <f>IF(OR(B353=0,B353=" ")," ",SUM($B$23:B353))</f>
        <v xml:space="preserve"> </v>
      </c>
      <c r="D353" s="62" t="str">
        <f>IF(D352=" "," ",IF(OR(F352='депозитный калькулятор'!$D$8,F352=" ")," ",D352+1))</f>
        <v xml:space="preserve"> </v>
      </c>
      <c r="E353" s="130" t="str">
        <f>IF(OR(F352='депозитный калькулятор'!$D$8,F352=" ")," ",IF(EOMONTH(F352,0)=F352,1,E352+1))</f>
        <v xml:space="preserve"> </v>
      </c>
      <c r="F353" s="64" t="str">
        <f>IF(F352=" "," ",IF(F352='депозитный калькулятор'!$D$8," ",F352+1))</f>
        <v xml:space="preserve"> </v>
      </c>
      <c r="G353" s="145" t="str">
        <f xml:space="preserve"> IF(F353&gt;'депозитный калькулятор'!$D$8," ",IF('депозитный калькулятор'!$G$13="есть",IF('депозитный калькулятор'!$G$14="есть",G352+IF(I352=" ",0,I352)-J353-K353+L353+M353-N353,G352+IF(I352=" ",0,I352)-J353-K353+M353-N353),IF('депозитный калькулятор'!$G$14="есть",G352-J353-K353+L353+M353-N353,G352-J353-K353+M353-N353)))</f>
        <v xml:space="preserve"> </v>
      </c>
      <c r="H353" s="133" t="str">
        <f>IF(F353&gt;'депозитный калькулятор'!$D$8," ",IF(AND(OR('депозитный калькулятор'!$G$7="30/365",'депозитный калькулятор'!$G$7="30/360"),AND(MONTH(F353)=2,EOMONTH(F353,0)=F353)),IF(DAY(F353)=28,3*G353*'депозитный калькулятор'!$G$8,2*G353*'депозитный калькулятор'!$G$8),IF(AND(OR('депозитный калькулятор'!$G$7="30/365",'депозитный калькулятор'!$G$7="30/360"),DAY(F353)=31)," ",IF(AND('депозитный калькулятор'!$G$7="факт/факт",MOD(YEAR(F353),4)=0),G353*'депозитный калькулятор'!$D$11/366,G353*'депозитный калькулятор'!$G$8))))</f>
        <v xml:space="preserve"> </v>
      </c>
      <c r="I353" s="134" t="str">
        <f ca="1">IF(F353=" "," ",IF('депозитный калькулятор'!$G$10="ежедневное",H353,IF(AND('депозитный калькулятор'!$G$10="еженедельное",WEEKDAY(F353,2)=7),SUM(OFFSET(H353,-6,0):H353),IF(AND('депозитный калькулятор'!$G$10="еженедельное",F353='депозитный калькулятор'!$D$8),SUM($H$23:H353)-SUM($I$23:I352),IF(AND('депозитный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недели",WEEKDAY(F353,2)=7),MIN(OFFSET(H353,-6,0):H353)*(COUNTIF(OFFSET(H353,-6,0):H353,"&gt;0")+SUMIF(OFFSET(A353,-WEEKDAY(F353,2),0):A353,"=2",OFFSET(A353,-WEEKDAY(F353,2),0):A353)),IF(AND('депозитный калькулятор'!$G$10="еженедельное, на минимальную сумму зафиксированную в течение недели",F353='депозитный калькулятор'!$D$8,WEEKDAY(F353,2)&lt;&gt;7),MIN(OFFSET(H353,-WEEKDAY(F353,2),0):H353)*(COUNTIF(OFFSET(H353,-WEEKDAY(F353,2)+1,0):H353,"&gt;0")+SUM(OFFSET(A353,-WEEKDAY(F353,2),0):A353)),IF(AND('депозитный калькулятор'!$G$10="ежемесячное (в конце месяца)",F353='депозитный калькулятор'!$D$8,EOMONTH(F353,0)&lt;&gt;F353),IF('депозитный калькулятор'!$F$1=1,$H$24,SUM($H$23:H353)-SUM($I$23:I352)),IF(AND('депозитный калькулятор'!$G$10="ежемесячное (в конце месяца)",EOMONTH(F353,0)=F353),SUM($H$23:H353)-SUM($I$23:I352),IF(AND('депозитный калькулятор'!$G$10="ежемесячное (по дням открытия вклада)",F353='депозитный калькулятор'!$D$8,DAY('депозитный калькулятор'!$D$7)&lt;&gt;DAY(F353)),IF('депозитный калькулятор'!$F$1=1,$H$24,SUM($H$23:H353)-SUM($I$23:I352)),IF(AND('депозитный калькулятор'!$G$10="ежемесячное (по дням открытия вклада)",DAY('депозитный калькулятор'!$D$7)=DAY(F353)),SUM($H$23:H353)-SUM($I$23:I352),IF(AND('депозитный калькулятор'!$G$10="ежемесячное, на минимальную сумму зафиксированную в течение месяца",F353='депозитный калькулятор'!$D$8,EOMONTH(F353,0)&lt;&gt;F353),IF('депозитный калькулятор'!$F$1=1,$H$24,IF(AND(OR('депозитный калькулятор'!$G$7="30/365",'депозитный калькулятор'!$G$7="30/360"),DAY(F353)=31),0,MIN(OFFSET(H353,-E353+1,0):H353)*(E353+SUMIF(OFFSET(A353,-E353+1,0):A353,"=2",OFFSET(A353,-E353+1,0):A353)))),IF(AND('депозитный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калькулятор'!$G$7="30/360"),DAY(EOMONTH(F353,0))=31),EOMONTH(F353,0)-1=F353,EOMONTH(F353,0)=F353)),IF(IF(AND(OR('депозитный калькулятор'!$G$7="30/365",'депозитный калькулятор'!$G$7="30/360"),DAY(EOMONTH($F$23,0))=31),F353=EOMONTH($F$23,0)-1,F353=EOMONTH($F$23,0)),MIN(OFFSET(H353,-(DAY(F353)-DAY($F$23)),0):H353)*E353,MIN(OFFSET(H353,-(DAY(F353)-1),0):H353)*IF(AND(OR('депозитный калькулятор'!$G$7="30/365",'депозитный калькулятор'!$G$7="30/360"),DAY(F353)&lt;30),30,DAY(F353))),IF(AND('депозитный калькулятор'!$G$10="ежемесячное, на средний остаток в течение месяца, при условии что остаток больше чем ограничение",F353='депозитный калькулятор'!$D$8,EOMONTH(F353,0)&lt;&gt;F353),IF('депозитный калькулятор'!$F$1=1,$H$24,SUM(OFFSET(Q353,-E353+1,0):Q353)),IF(AND('депозитный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калькулятор'!$G$7="30/360"),DAY(EOMONTH(F353,0))=31),EOMONTH(F353,0)-1=F353,EOMONTH(F353,0)=F353)),IF(IF(AND(OR('депозитный калькулятор'!$G$7="30/365",'депозитный калькулятор'!$G$7="30/360"),DAY(EOMONTH($F$24,0))=31),F353=EOMONTH($F$24,0)-1,F353=EOMONTH($F$24,0)),SUM(OFFSET(Q353,-E353+1,0):Q353),SUM(OFFSET(Q353,-E353+1,0):Q353)),IF('депозитный калькулятор'!$G$10="ежеквартальное",IF(F353&gt;'депозитный калькулятор'!$D$8," ",IF(AND(EOMONTH(F353,0)=F353,OR(MONTH(F353)=3,MONTH(F353)=6,MONTH(F353)=9,MONTH(F353)=12)),IF(EDATE(F353,-3)&lt;'депозитный калькулятор'!$D$7,SUM($H$23:H353),IF(MOD(YEAR(F353),4)=0,IF(AND(EOMONTH(F353,0)=F353,OR(MONTH(F353)=3,MONTH(F353)=6)),SUM(OFFSET(H353,-90,0):H353),IF(AND(EOMONTH(F353,0)=F353,OR(MONTH(F353)=9,MONTH(F353)=12)),SUM(OFFSET(H353,-91,0):H353))),IF(AND(EOMONTH(F353,0)=F353,MONTH(F353)=3),SUM(OFFSET(H353,-89,0):H353),IF(AND(EOMONTH(F353,0)=F353,MONTH(F353)=6),SUM(OFFSET(H353,-90,0):H353),IF(AND(EOMONTH(F353,0)=F353,OR(MONTH(F353)=9,MONTH(F353)=12)),SUM(OFFSET(H353,-91,0):H353)))))),IF(F353='депозитный калькулятор'!$D$8,SUM($H$23:H353)-SUM($I$23:I352),0))),IF('депозитный калькулятор'!$G$10="ежегодное",IF(F353&gt;'депозитный калькулятор'!$D$8," ",IF(F353='депозитный калькулятор'!$D$8,SUM($H$23:H353)-SUM($I$23:I352),IF(AND(EOMONTH(F353,0)=F353,MONTH(F353)=12),IF(MOD(YEAR(F352),4)=0,IF(F353-'депозитный калькулятор'!$D$7&lt;366,SUM($H$23:H353),SUM(OFFSET(H353,-365,0):H353)),IF(F353-'депозитный калькулятор'!$D$7&lt;365,SUM($H$23:H353),SUM(OFFSET(H353,-364,0):H353))),0))),IF(AND('депозитный калькулятор'!$G$10="в конце срока",'депозитный калькулятор'!$D$8=F353),SUM($H$23:H353),0))))))))))))))))))</f>
        <v xml:space="preserve"> </v>
      </c>
      <c r="J353" s="59" t="str">
        <f>IF(F353&gt;'депозитный калькулятор'!$D$8," ",IF('депозитный калькулятор'!$G$16="нет",0,IF(AND('депозитный калькулятор'!$G$17="разовая (в конце срока)",F353='депозитный калькулятор'!$D$8),'депозитный калькулятор'!$G$18,IF(AND('депозитный калькулятор'!$G$17="ежемесячная",EOMONTH(F352,0)=F352),'депозитный калькулятор'!$G$18,IF(AND('депозитный калькулятор'!$G$17="ежегодная",DAY(F352)=31,MONTH(F352)=12),'депозитный калькулятор'!$G$18,IF(AND('депозитный калькулятор'!$G$17="ежемесячная в зависимости от остатка",EOMONTH(F352,0)=F352,P352&gt;0),'депозитный калькулятор'!$G$18,IF(AND('депозитный калькулятор'!$G$17="ежегодная в зависимости от остатка",DAY(F352)=31,MONTH(F352)=12,P352&gt;0),'депозитный калькулятор'!$G$18,0)))))))</f>
        <v xml:space="preserve"> </v>
      </c>
      <c r="K353" s="135" t="str">
        <f>IF($F353=" "," ",IFERROR(VLOOKUP($F353,'депозитный калькулятор'!$B$26:$F$70,2,0),0))</f>
        <v xml:space="preserve"> </v>
      </c>
      <c r="L353" s="135" t="str">
        <f>IF($F353=" "," ",IFERROR(VLOOKUP($F353,'депозитный калькулятор'!$B$26:$F$70,3,0),0))</f>
        <v xml:space="preserve"> </v>
      </c>
      <c r="M353" s="135" t="str">
        <f>IF($F353=" "," ",IFERROR(VLOOKUP($F353,'депозитный калькулятор'!$B$26:$F$70,4,0),0))</f>
        <v xml:space="preserve"> </v>
      </c>
      <c r="N353" s="135" t="str">
        <f>IF($F353=" "," ",IFERROR(VLOOKUP($F353,'депозитный калькулятор'!$B$26:$F$70,5,0),0))</f>
        <v xml:space="preserve"> </v>
      </c>
      <c r="O353" s="146" t="str">
        <f>IF(F353&gt;'депозитный калькулятор'!$D$8," ",IF(F353='депозитный калькулятор'!$D$8,IF(AND($F$24='депозитный калькулятор'!$D$8,'депозитный калькулятор'!$G$13="нет"),-G353-IF(I353=" ",0,I353)-IF(AND(OR('депозитный калькулятор'!$G$7="30/365",'депозитный калькулятор'!$G$7="30/360"),'депозитный калькулятор'!$G$10="в начале срока"),I352,0)-L353+M353-N353,-G353-IF(I353=" ",0,I353)-L353+M353-N353),IF('депозитный калькулятор'!$G$13="есть",M353-N353+IF('депозитный калькулятор'!$G$14="есть",0,-L353),-IF(I353=" ",0,I353)-IF(AND(OR('депозитный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срока"),I352,0)+M353-N353+IF('депозитный калькулятор'!$G$14="есть",0,-L353))))</f>
        <v xml:space="preserve"> </v>
      </c>
      <c r="P353" s="147" t="str">
        <f>IF(F353&gt;'депозитный калькулятор'!$D$8," ",IF(EOMONTH(F352,0)=F352,0,IF(G353&gt;='депозитный калькулятор'!$G$19,P352,P352+1)))</f>
        <v xml:space="preserve"> </v>
      </c>
      <c r="Q353" s="138" t="str">
        <f>IF(F353=" "," ",IF(AND(OR('депозитный калькулятор'!$G$7="30/365",'депозитный калькулятор'!$G$7="30/360"),AND(MONTH(F353)=2,EOMONTH(F353,0)=F353)),IF(DAY(F353)=28,3,2),1)*IF(G353&gt;='депозитный калькулятор'!$G$11,IF(AND('депозитный калькулятор'!$G$7="факт/факт",MOD(YEAR(F353),4)=0),G353*'депозитный калькулятор'!$D$11/366,G353*'депозитный калькулятор'!$G$8),0))</f>
        <v xml:space="preserve"> </v>
      </c>
      <c r="R353" s="148"/>
      <c r="S353" s="62" t="str">
        <f t="shared" ca="1" si="27"/>
        <v xml:space="preserve"> </v>
      </c>
      <c r="T353" s="149" t="str">
        <f ca="1">IF(S353=" "," ",IF('депозитный калькулятор'!$G$7="30/360",DAYS360(U352,IF(DAY(U353)=31,U353-1,U353))+IF(AND(MONTH(U353)=2,U353=EOMONTH(U353,0)),30-DAY(EOMONTH(U353,0)))+T352,VLOOKUP(S353,$C$22:$F$1023,2,0)))</f>
        <v xml:space="preserve"> </v>
      </c>
      <c r="U353" s="64" t="str">
        <f t="shared" ca="1" si="25"/>
        <v xml:space="preserve"> </v>
      </c>
      <c r="V353" s="150" t="str">
        <f t="shared" ca="1" si="28"/>
        <v xml:space="preserve"> </v>
      </c>
      <c r="W353" s="62" t="str">
        <f t="shared" ca="1" si="29"/>
        <v xml:space="preserve"> </v>
      </c>
      <c r="X353" s="141" t="str">
        <f ca="1">IF(S353=" "," ",IFERROR(VLOOKUP(U353,$F$23:$N$1023,7)+VLOOKUP(U353,$F$23:$N$1023,9)+IF(AND('депозитный калькулятор'!$G$13="нет",U353&lt;&gt;'депозитный калькулятор'!$D$8),VLOOKUP(U353,$F$23:$N$1023,4),0),0)+IF(U353='депозитный калькулятор'!$D$8,VLOOKUP(U353,$F$23:$N$1023,2)+VLOOKUP(U353,$F$23:$N$1023,4),0))</f>
        <v xml:space="preserve"> </v>
      </c>
      <c r="Y353" s="142" t="str">
        <f ca="1">IF(S353=" "," ",W353/(1+'депозитный калькулятор'!$K$8)^(T353/IF('депозитный калькулятор'!$G$7="30/360",360,365)))</f>
        <v xml:space="preserve"> </v>
      </c>
      <c r="Z353" s="142" t="str">
        <f ca="1">IF(S353=" "," ",X353/(1+'депозитный калькулятор'!$K$8)^(T353/IF('депозитный калькулятор'!$G$7="30/360",360,365)))</f>
        <v xml:space="preserve"> </v>
      </c>
      <c r="AA353" s="151"/>
      <c r="AB353" s="151"/>
      <c r="AC353" s="155"/>
      <c r="AD353" s="155"/>
    </row>
    <row r="354" spans="1:30" s="2" customFormat="1" ht="15.5" x14ac:dyDescent="0.35">
      <c r="A354" s="41" t="str">
        <f>IF(F354=" "," ",IF(OR('депозитный калькулятор'!$G$7="30/365",'депозитный калькулятор'!$G$7="30/360"),IF(AND(MONTH(F354)=2,DAY(F354)=DAY(EOMONTH(F354,0))),30-DAY(EOMONTH(F354,0)),IF(DAY(F354)=31,1," "))," "))</f>
        <v xml:space="preserve"> </v>
      </c>
      <c r="B354" s="130" t="str">
        <f t="shared" si="26"/>
        <v xml:space="preserve"> </v>
      </c>
      <c r="C354" s="130" t="str">
        <f>IF(OR(B354=0,B354=" ")," ",SUM($B$23:B354))</f>
        <v xml:space="preserve"> </v>
      </c>
      <c r="D354" s="62" t="str">
        <f>IF(D353=" "," ",IF(OR(F353='депозитный калькулятор'!$D$8,F353=" ")," ",D353+1))</f>
        <v xml:space="preserve"> </v>
      </c>
      <c r="E354" s="130" t="str">
        <f>IF(OR(F353='депозитный калькулятор'!$D$8,F353=" ")," ",IF(EOMONTH(F353,0)=F353,1,E353+1))</f>
        <v xml:space="preserve"> </v>
      </c>
      <c r="F354" s="64" t="str">
        <f>IF(F353=" "," ",IF(F353='депозитный калькулятор'!$D$8," ",F353+1))</f>
        <v xml:space="preserve"> </v>
      </c>
      <c r="G354" s="145" t="str">
        <f xml:space="preserve"> IF(F354&gt;'депозитный калькулятор'!$D$8," ",IF('депозитный калькулятор'!$G$13="есть",IF('депозитный калькулятор'!$G$14="есть",G353+IF(I353=" ",0,I353)-J354-K354+L354+M354-N354,G353+IF(I353=" ",0,I353)-J354-K354+M354-N354),IF('депозитный калькулятор'!$G$14="есть",G353-J354-K354+L354+M354-N354,G353-J354-K354+M354-N354)))</f>
        <v xml:space="preserve"> </v>
      </c>
      <c r="H354" s="133" t="str">
        <f>IF(F354&gt;'депозитный калькулятор'!$D$8," ",IF(AND(OR('депозитный калькулятор'!$G$7="30/365",'депозитный калькулятор'!$G$7="30/360"),AND(MONTH(F354)=2,EOMONTH(F354,0)=F354)),IF(DAY(F354)=28,3*G354*'депозитный калькулятор'!$G$8,2*G354*'депозитный калькулятор'!$G$8),IF(AND(OR('депозитный калькулятор'!$G$7="30/365",'депозитный калькулятор'!$G$7="30/360"),DAY(F354)=31)," ",IF(AND('депозитный калькулятор'!$G$7="факт/факт",MOD(YEAR(F354),4)=0),G354*'депозитный калькулятор'!$D$11/366,G354*'депозитный калькулятор'!$G$8))))</f>
        <v xml:space="preserve"> </v>
      </c>
      <c r="I354" s="134" t="str">
        <f ca="1">IF(F354=" "," ",IF('депозитный калькулятор'!$G$10="ежедневное",H354,IF(AND('депозитный калькулятор'!$G$10="еженедельное",WEEKDAY(F354,2)=7),SUM(OFFSET(H354,-6,0):H354),IF(AND('депозитный калькулятор'!$G$10="еженедельное",F354='депозитный калькулятор'!$D$8),SUM($H$23:H354)-SUM($I$23:I353),IF(AND('депозитный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недели",WEEKDAY(F354,2)=7),MIN(OFFSET(H354,-6,0):H354)*(COUNTIF(OFFSET(H354,-6,0):H354,"&gt;0")+SUMIF(OFFSET(A354,-WEEKDAY(F354,2),0):A354,"=2",OFFSET(A354,-WEEKDAY(F354,2),0):A354)),IF(AND('депозитный калькулятор'!$G$10="еженедельное, на минимальную сумму зафиксированную в течение недели",F354='депозитный калькулятор'!$D$8,WEEKDAY(F354,2)&lt;&gt;7),MIN(OFFSET(H354,-WEEKDAY(F354,2),0):H354)*(COUNTIF(OFFSET(H354,-WEEKDAY(F354,2)+1,0):H354,"&gt;0")+SUM(OFFSET(A354,-WEEKDAY(F354,2),0):A354)),IF(AND('депозитный калькулятор'!$G$10="ежемесячное (в конце месяца)",F354='депозитный калькулятор'!$D$8,EOMONTH(F354,0)&lt;&gt;F354),IF('депозитный калькулятор'!$F$1=1,$H$24,SUM($H$23:H354)-SUM($I$23:I353)),IF(AND('депозитный калькулятор'!$G$10="ежемесячное (в конце месяца)",EOMONTH(F354,0)=F354),SUM($H$23:H354)-SUM($I$23:I353),IF(AND('депозитный калькулятор'!$G$10="ежемесячное (по дням открытия вклада)",F354='депозитный калькулятор'!$D$8,DAY('депозитный калькулятор'!$D$7)&lt;&gt;DAY(F354)),IF('депозитный калькулятор'!$F$1=1,$H$24,SUM($H$23:H354)-SUM($I$23:I353)),IF(AND('депозитный калькулятор'!$G$10="ежемесячное (по дням открытия вклада)",DAY('депозитный калькулятор'!$D$7)=DAY(F354)),SUM($H$23:H354)-SUM($I$23:I353),IF(AND('депозитный калькулятор'!$G$10="ежемесячное, на минимальную сумму зафиксированную в течение месяца",F354='депозитный калькулятор'!$D$8,EOMONTH(F354,0)&lt;&gt;F354),IF('депозитный калькулятор'!$F$1=1,$H$24,IF(AND(OR('депозитный калькулятор'!$G$7="30/365",'депозитный калькулятор'!$G$7="30/360"),DAY(F354)=31),0,MIN(OFFSET(H354,-E354+1,0):H354)*(E354+SUMIF(OFFSET(A354,-E354+1,0):A354,"=2",OFFSET(A354,-E354+1,0):A354)))),IF(AND('депозитный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калькулятор'!$G$7="30/360"),DAY(EOMONTH(F354,0))=31),EOMONTH(F354,0)-1=F354,EOMONTH(F354,0)=F354)),IF(IF(AND(OR('депозитный калькулятор'!$G$7="30/365",'депозитный калькулятор'!$G$7="30/360"),DAY(EOMONTH($F$23,0))=31),F354=EOMONTH($F$23,0)-1,F354=EOMONTH($F$23,0)),MIN(OFFSET(H354,-(DAY(F354)-DAY($F$23)),0):H354)*E354,MIN(OFFSET(H354,-(DAY(F354)-1),0):H354)*IF(AND(OR('депозитный калькулятор'!$G$7="30/365",'депозитный калькулятор'!$G$7="30/360"),DAY(F354)&lt;30),30,DAY(F354))),IF(AND('депозитный калькулятор'!$G$10="ежемесячное, на средний остаток в течение месяца, при условии что остаток больше чем ограничение",F354='депозитный калькулятор'!$D$8,EOMONTH(F354,0)&lt;&gt;F354),IF('депозитный калькулятор'!$F$1=1,$H$24,SUM(OFFSET(Q354,-E354+1,0):Q354)),IF(AND('депозитный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калькулятор'!$G$7="30/360"),DAY(EOMONTH(F354,0))=31),EOMONTH(F354,0)-1=F354,EOMONTH(F354,0)=F354)),IF(IF(AND(OR('депозитный калькулятор'!$G$7="30/365",'депозитный калькулятор'!$G$7="30/360"),DAY(EOMONTH($F$24,0))=31),F354=EOMONTH($F$24,0)-1,F354=EOMONTH($F$24,0)),SUM(OFFSET(Q354,-E354+1,0):Q354),SUM(OFFSET(Q354,-E354+1,0):Q354)),IF('депозитный калькулятор'!$G$10="ежеквартальное",IF(F354&gt;'депозитный калькулятор'!$D$8," ",IF(AND(EOMONTH(F354,0)=F354,OR(MONTH(F354)=3,MONTH(F354)=6,MONTH(F354)=9,MONTH(F354)=12)),IF(EDATE(F354,-3)&lt;'депозитный калькулятор'!$D$7,SUM($H$23:H354),IF(MOD(YEAR(F354),4)=0,IF(AND(EOMONTH(F354,0)=F354,OR(MONTH(F354)=3,MONTH(F354)=6)),SUM(OFFSET(H354,-90,0):H354),IF(AND(EOMONTH(F354,0)=F354,OR(MONTH(F354)=9,MONTH(F354)=12)),SUM(OFFSET(H354,-91,0):H354))),IF(AND(EOMONTH(F354,0)=F354,MONTH(F354)=3),SUM(OFFSET(H354,-89,0):H354),IF(AND(EOMONTH(F354,0)=F354,MONTH(F354)=6),SUM(OFFSET(H354,-90,0):H354),IF(AND(EOMONTH(F354,0)=F354,OR(MONTH(F354)=9,MONTH(F354)=12)),SUM(OFFSET(H354,-91,0):H354)))))),IF(F354='депозитный калькулятор'!$D$8,SUM($H$23:H354)-SUM($I$23:I353),0))),IF('депозитный калькулятор'!$G$10="ежегодное",IF(F354&gt;'депозитный калькулятор'!$D$8," ",IF(F354='депозитный калькулятор'!$D$8,SUM($H$23:H354)-SUM($I$23:I353),IF(AND(EOMONTH(F354,0)=F354,MONTH(F354)=12),IF(MOD(YEAR(F353),4)=0,IF(F354-'депозитный калькулятор'!$D$7&lt;366,SUM($H$23:H354),SUM(OFFSET(H354,-365,0):H354)),IF(F354-'депозитный калькулятор'!$D$7&lt;365,SUM($H$23:H354),SUM(OFFSET(H354,-364,0):H354))),0))),IF(AND('депозитный калькулятор'!$G$10="в конце срока",'депозитный калькулятор'!$D$8=F354),SUM($H$23:H354),0))))))))))))))))))</f>
        <v xml:space="preserve"> </v>
      </c>
      <c r="J354" s="59" t="str">
        <f>IF(F354&gt;'депозитный калькулятор'!$D$8," ",IF('депозитный калькулятор'!$G$16="нет",0,IF(AND('депозитный калькулятор'!$G$17="разовая (в конце срока)",F354='депозитный калькулятор'!$D$8),'депозитный калькулятор'!$G$18,IF(AND('депозитный калькулятор'!$G$17="ежемесячная",EOMONTH(F353,0)=F353),'депозитный калькулятор'!$G$18,IF(AND('депозитный калькулятор'!$G$17="ежегодная",DAY(F353)=31,MONTH(F353)=12),'депозитный калькулятор'!$G$18,IF(AND('депозитный калькулятор'!$G$17="ежемесячная в зависимости от остатка",EOMONTH(F353,0)=F353,P353&gt;0),'депозитный калькулятор'!$G$18,IF(AND('депозитный калькулятор'!$G$17="ежегодная в зависимости от остатка",DAY(F353)=31,MONTH(F353)=12,P353&gt;0),'депозитный калькулятор'!$G$18,0)))))))</f>
        <v xml:space="preserve"> </v>
      </c>
      <c r="K354" s="135" t="str">
        <f>IF($F354=" "," ",IFERROR(VLOOKUP($F354,'депозитный калькулятор'!$B$26:$F$70,2,0),0))</f>
        <v xml:space="preserve"> </v>
      </c>
      <c r="L354" s="135" t="str">
        <f>IF($F354=" "," ",IFERROR(VLOOKUP($F354,'депозитный калькулятор'!$B$26:$F$70,3,0),0))</f>
        <v xml:space="preserve"> </v>
      </c>
      <c r="M354" s="135" t="str">
        <f>IF($F354=" "," ",IFERROR(VLOOKUP($F354,'депозитный калькулятор'!$B$26:$F$70,4,0),0))</f>
        <v xml:space="preserve"> </v>
      </c>
      <c r="N354" s="135" t="str">
        <f>IF($F354=" "," ",IFERROR(VLOOKUP($F354,'депозитный калькулятор'!$B$26:$F$70,5,0),0))</f>
        <v xml:space="preserve"> </v>
      </c>
      <c r="O354" s="146" t="str">
        <f>IF(F354&gt;'депозитный калькулятор'!$D$8," ",IF(F354='депозитный калькулятор'!$D$8,IF(AND($F$24='депозитный калькулятор'!$D$8,'депозитный калькулятор'!$G$13="нет"),-G354-IF(I354=" ",0,I354)-IF(AND(OR('депозитный калькулятор'!$G$7="30/365",'депозитный калькулятор'!$G$7="30/360"),'депозитный калькулятор'!$G$10="в начале срока"),I353,0)-L354+M354-N354,-G354-IF(I354=" ",0,I354)-L354+M354-N354),IF('депозитный калькулятор'!$G$13="есть",M354-N354+IF('депозитный калькулятор'!$G$14="есть",0,-L354),-IF(I354=" ",0,I354)-IF(AND(OR('депозитный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срока"),I353,0)+M354-N354+IF('депозитный калькулятор'!$G$14="есть",0,-L354))))</f>
        <v xml:space="preserve"> </v>
      </c>
      <c r="P354" s="147" t="str">
        <f>IF(F354&gt;'депозитный калькулятор'!$D$8," ",IF(EOMONTH(F353,0)=F353,0,IF(G354&gt;='депозитный калькулятор'!$G$19,P353,P353+1)))</f>
        <v xml:space="preserve"> </v>
      </c>
      <c r="Q354" s="138" t="str">
        <f>IF(F354=" "," ",IF(AND(OR('депозитный калькулятор'!$G$7="30/365",'депозитный калькулятор'!$G$7="30/360"),AND(MONTH(F354)=2,EOMONTH(F354,0)=F354)),IF(DAY(F354)=28,3,2),1)*IF(G354&gt;='депозитный калькулятор'!$G$11,IF(AND('депозитный калькулятор'!$G$7="факт/факт",MOD(YEAR(F354),4)=0),G354*'депозитный калькулятор'!$D$11/366,G354*'депозитный калькулятор'!$G$8),0))</f>
        <v xml:space="preserve"> </v>
      </c>
      <c r="R354" s="148"/>
      <c r="S354" s="62" t="str">
        <f t="shared" ca="1" si="27"/>
        <v xml:space="preserve"> </v>
      </c>
      <c r="T354" s="149" t="str">
        <f ca="1">IF(S354=" "," ",IF('депозитный калькулятор'!$G$7="30/360",DAYS360(U353,IF(DAY(U354)=31,U354-1,U354))+IF(AND(MONTH(U354)=2,U354=EOMONTH(U354,0)),30-DAY(EOMONTH(U354,0)))+T353,VLOOKUP(S354,$C$22:$F$1023,2,0)))</f>
        <v xml:space="preserve"> </v>
      </c>
      <c r="U354" s="64" t="str">
        <f t="shared" ca="1" si="25"/>
        <v xml:space="preserve"> </v>
      </c>
      <c r="V354" s="150" t="str">
        <f t="shared" ca="1" si="28"/>
        <v xml:space="preserve"> </v>
      </c>
      <c r="W354" s="62" t="str">
        <f t="shared" ca="1" si="29"/>
        <v xml:space="preserve"> </v>
      </c>
      <c r="X354" s="141" t="str">
        <f ca="1">IF(S354=" "," ",IFERROR(VLOOKUP(U354,$F$23:$N$1023,7)+VLOOKUP(U354,$F$23:$N$1023,9)+IF(AND('депозитный калькулятор'!$G$13="нет",U354&lt;&gt;'депозитный калькулятор'!$D$8),VLOOKUP(U354,$F$23:$N$1023,4),0),0)+IF(U354='депозитный калькулятор'!$D$8,VLOOKUP(U354,$F$23:$N$1023,2)+VLOOKUP(U354,$F$23:$N$1023,4),0))</f>
        <v xml:space="preserve"> </v>
      </c>
      <c r="Y354" s="142" t="str">
        <f ca="1">IF(S354=" "," ",W354/(1+'депозитный калькулятор'!$K$8)^(T354/IF('депозитный калькулятор'!$G$7="30/360",360,365)))</f>
        <v xml:space="preserve"> </v>
      </c>
      <c r="Z354" s="142" t="str">
        <f ca="1">IF(S354=" "," ",X354/(1+'депозитный калькулятор'!$K$8)^(T354/IF('депозитный калькулятор'!$G$7="30/360",360,365)))</f>
        <v xml:space="preserve"> </v>
      </c>
      <c r="AA354" s="151"/>
      <c r="AB354" s="151"/>
      <c r="AC354" s="155"/>
      <c r="AD354" s="155"/>
    </row>
    <row r="355" spans="1:30" s="2" customFormat="1" ht="15.5" x14ac:dyDescent="0.35">
      <c r="A355" s="41" t="str">
        <f>IF(F355=" "," ",IF(OR('депозитный калькулятор'!$G$7="30/365",'депозитный калькулятор'!$G$7="30/360"),IF(AND(MONTH(F355)=2,DAY(F355)=DAY(EOMONTH(F355,0))),30-DAY(EOMONTH(F355,0)),IF(DAY(F355)=31,1," "))," "))</f>
        <v xml:space="preserve"> </v>
      </c>
      <c r="B355" s="130" t="str">
        <f t="shared" si="26"/>
        <v xml:space="preserve"> </v>
      </c>
      <c r="C355" s="130" t="str">
        <f>IF(OR(B355=0,B355=" ")," ",SUM($B$23:B355))</f>
        <v xml:space="preserve"> </v>
      </c>
      <c r="D355" s="62" t="str">
        <f>IF(D354=" "," ",IF(OR(F354='депозитный калькулятор'!$D$8,F354=" ")," ",D354+1))</f>
        <v xml:space="preserve"> </v>
      </c>
      <c r="E355" s="130" t="str">
        <f>IF(OR(F354='депозитный калькулятор'!$D$8,F354=" ")," ",IF(EOMONTH(F354,0)=F354,1,E354+1))</f>
        <v xml:space="preserve"> </v>
      </c>
      <c r="F355" s="64" t="str">
        <f>IF(F354=" "," ",IF(F354='депозитный калькулятор'!$D$8," ",F354+1))</f>
        <v xml:space="preserve"> </v>
      </c>
      <c r="G355" s="145" t="str">
        <f xml:space="preserve"> IF(F355&gt;'депозитный калькулятор'!$D$8," ",IF('депозитный калькулятор'!$G$13="есть",IF('депозитный калькулятор'!$G$14="есть",G354+IF(I354=" ",0,I354)-J355-K355+L355+M355-N355,G354+IF(I354=" ",0,I354)-J355-K355+M355-N355),IF('депозитный калькулятор'!$G$14="есть",G354-J355-K355+L355+M355-N355,G354-J355-K355+M355-N355)))</f>
        <v xml:space="preserve"> </v>
      </c>
      <c r="H355" s="133" t="str">
        <f>IF(F355&gt;'депозитный калькулятор'!$D$8," ",IF(AND(OR('депозитный калькулятор'!$G$7="30/365",'депозитный калькулятор'!$G$7="30/360"),AND(MONTH(F355)=2,EOMONTH(F355,0)=F355)),IF(DAY(F355)=28,3*G355*'депозитный калькулятор'!$G$8,2*G355*'депозитный калькулятор'!$G$8),IF(AND(OR('депозитный калькулятор'!$G$7="30/365",'депозитный калькулятор'!$G$7="30/360"),DAY(F355)=31)," ",IF(AND('депозитный калькулятор'!$G$7="факт/факт",MOD(YEAR(F355),4)=0),G355*'депозитный калькулятор'!$D$11/366,G355*'депозитный калькулятор'!$G$8))))</f>
        <v xml:space="preserve"> </v>
      </c>
      <c r="I355" s="134" t="str">
        <f ca="1">IF(F355=" "," ",IF('депозитный калькулятор'!$G$10="ежедневное",H355,IF(AND('депозитный калькулятор'!$G$10="еженедельное",WEEKDAY(F355,2)=7),SUM(OFFSET(H355,-6,0):H355),IF(AND('депозитный калькулятор'!$G$10="еженедельное",F355='депозитный калькулятор'!$D$8),SUM($H$23:H355)-SUM($I$23:I354),IF(AND('депозитный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недели",WEEKDAY(F355,2)=7),MIN(OFFSET(H355,-6,0):H355)*(COUNTIF(OFFSET(H355,-6,0):H355,"&gt;0")+SUMIF(OFFSET(A355,-WEEKDAY(F355,2),0):A355,"=2",OFFSET(A355,-WEEKDAY(F355,2),0):A355)),IF(AND('депозитный калькулятор'!$G$10="еженедельное, на минимальную сумму зафиксированную в течение недели",F355='депозитный калькулятор'!$D$8,WEEKDAY(F355,2)&lt;&gt;7),MIN(OFFSET(H355,-WEEKDAY(F355,2),0):H355)*(COUNTIF(OFFSET(H355,-WEEKDAY(F355,2)+1,0):H355,"&gt;0")+SUM(OFFSET(A355,-WEEKDAY(F355,2),0):A355)),IF(AND('депозитный калькулятор'!$G$10="ежемесячное (в конце месяца)",F355='депозитный калькулятор'!$D$8,EOMONTH(F355,0)&lt;&gt;F355),IF('депозитный калькулятор'!$F$1=1,$H$24,SUM($H$23:H355)-SUM($I$23:I354)),IF(AND('депозитный калькулятор'!$G$10="ежемесячное (в конце месяца)",EOMONTH(F355,0)=F355),SUM($H$23:H355)-SUM($I$23:I354),IF(AND('депозитный калькулятор'!$G$10="ежемесячное (по дням открытия вклада)",F355='депозитный калькулятор'!$D$8,DAY('депозитный калькулятор'!$D$7)&lt;&gt;DAY(F355)),IF('депозитный калькулятор'!$F$1=1,$H$24,SUM($H$23:H355)-SUM($I$23:I354)),IF(AND('депозитный калькулятор'!$G$10="ежемесячное (по дням открытия вклада)",DAY('депозитный калькулятор'!$D$7)=DAY(F355)),SUM($H$23:H355)-SUM($I$23:I354),IF(AND('депозитный калькулятор'!$G$10="ежемесячное, на минимальную сумму зафиксированную в течение месяца",F355='депозитный калькулятор'!$D$8,EOMONTH(F355,0)&lt;&gt;F355),IF('депозитный калькулятор'!$F$1=1,$H$24,IF(AND(OR('депозитный калькулятор'!$G$7="30/365",'депозитный калькулятор'!$G$7="30/360"),DAY(F355)=31),0,MIN(OFFSET(H355,-E355+1,0):H355)*(E355+SUMIF(OFFSET(A355,-E355+1,0):A355,"=2",OFFSET(A355,-E355+1,0):A355)))),IF(AND('депозитный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калькулятор'!$G$7="30/360"),DAY(EOMONTH(F355,0))=31),EOMONTH(F355,0)-1=F355,EOMONTH(F355,0)=F355)),IF(IF(AND(OR('депозитный калькулятор'!$G$7="30/365",'депозитный калькулятор'!$G$7="30/360"),DAY(EOMONTH($F$23,0))=31),F355=EOMONTH($F$23,0)-1,F355=EOMONTH($F$23,0)),MIN(OFFSET(H355,-(DAY(F355)-DAY($F$23)),0):H355)*E355,MIN(OFFSET(H355,-(DAY(F355)-1),0):H355)*IF(AND(OR('депозитный калькулятор'!$G$7="30/365",'депозитный калькулятор'!$G$7="30/360"),DAY(F355)&lt;30),30,DAY(F355))),IF(AND('депозитный калькулятор'!$G$10="ежемесячное, на средний остаток в течение месяца, при условии что остаток больше чем ограничение",F355='депозитный калькулятор'!$D$8,EOMONTH(F355,0)&lt;&gt;F355),IF('депозитный калькулятор'!$F$1=1,$H$24,SUM(OFFSET(Q355,-E355+1,0):Q355)),IF(AND('депозитный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калькулятор'!$G$7="30/360"),DAY(EOMONTH(F355,0))=31),EOMONTH(F355,0)-1=F355,EOMONTH(F355,0)=F355)),IF(IF(AND(OR('депозитный калькулятор'!$G$7="30/365",'депозитный калькулятор'!$G$7="30/360"),DAY(EOMONTH($F$24,0))=31),F355=EOMONTH($F$24,0)-1,F355=EOMONTH($F$24,0)),SUM(OFFSET(Q355,-E355+1,0):Q355),SUM(OFFSET(Q355,-E355+1,0):Q355)),IF('депозитный калькулятор'!$G$10="ежеквартальное",IF(F355&gt;'депозитный калькулятор'!$D$8," ",IF(AND(EOMONTH(F355,0)=F355,OR(MONTH(F355)=3,MONTH(F355)=6,MONTH(F355)=9,MONTH(F355)=12)),IF(EDATE(F355,-3)&lt;'депозитный калькулятор'!$D$7,SUM($H$23:H355),IF(MOD(YEAR(F355),4)=0,IF(AND(EOMONTH(F355,0)=F355,OR(MONTH(F355)=3,MONTH(F355)=6)),SUM(OFFSET(H355,-90,0):H355),IF(AND(EOMONTH(F355,0)=F355,OR(MONTH(F355)=9,MONTH(F355)=12)),SUM(OFFSET(H355,-91,0):H355))),IF(AND(EOMONTH(F355,0)=F355,MONTH(F355)=3),SUM(OFFSET(H355,-89,0):H355),IF(AND(EOMONTH(F355,0)=F355,MONTH(F355)=6),SUM(OFFSET(H355,-90,0):H355),IF(AND(EOMONTH(F355,0)=F355,OR(MONTH(F355)=9,MONTH(F355)=12)),SUM(OFFSET(H355,-91,0):H355)))))),IF(F355='депозитный калькулятор'!$D$8,SUM($H$23:H355)-SUM($I$23:I354),0))),IF('депозитный калькулятор'!$G$10="ежегодное",IF(F355&gt;'депозитный калькулятор'!$D$8," ",IF(F355='депозитный калькулятор'!$D$8,SUM($H$23:H355)-SUM($I$23:I354),IF(AND(EOMONTH(F355,0)=F355,MONTH(F355)=12),IF(MOD(YEAR(F354),4)=0,IF(F355-'депозитный калькулятор'!$D$7&lt;366,SUM($H$23:H355),SUM(OFFSET(H355,-365,0):H355)),IF(F355-'депозитный калькулятор'!$D$7&lt;365,SUM($H$23:H355),SUM(OFFSET(H355,-364,0):H355))),0))),IF(AND('депозитный калькулятор'!$G$10="в конце срока",'депозитный калькулятор'!$D$8=F355),SUM($H$23:H355),0))))))))))))))))))</f>
        <v xml:space="preserve"> </v>
      </c>
      <c r="J355" s="59" t="str">
        <f>IF(F355&gt;'депозитный калькулятор'!$D$8," ",IF('депозитный калькулятор'!$G$16="нет",0,IF(AND('депозитный калькулятор'!$G$17="разовая (в конце срока)",F355='депозитный калькулятор'!$D$8),'депозитный калькулятор'!$G$18,IF(AND('депозитный калькулятор'!$G$17="ежемесячная",EOMONTH(F354,0)=F354),'депозитный калькулятор'!$G$18,IF(AND('депозитный калькулятор'!$G$17="ежегодная",DAY(F354)=31,MONTH(F354)=12),'депозитный калькулятор'!$G$18,IF(AND('депозитный калькулятор'!$G$17="ежемесячная в зависимости от остатка",EOMONTH(F354,0)=F354,P354&gt;0),'депозитный калькулятор'!$G$18,IF(AND('депозитный калькулятор'!$G$17="ежегодная в зависимости от остатка",DAY(F354)=31,MONTH(F354)=12,P354&gt;0),'депозитный калькулятор'!$G$18,0)))))))</f>
        <v xml:space="preserve"> </v>
      </c>
      <c r="K355" s="135" t="str">
        <f>IF($F355=" "," ",IFERROR(VLOOKUP($F355,'депозитный калькулятор'!$B$26:$F$70,2,0),0))</f>
        <v xml:space="preserve"> </v>
      </c>
      <c r="L355" s="135" t="str">
        <f>IF($F355=" "," ",IFERROR(VLOOKUP($F355,'депозитный калькулятор'!$B$26:$F$70,3,0),0))</f>
        <v xml:space="preserve"> </v>
      </c>
      <c r="M355" s="135" t="str">
        <f>IF($F355=" "," ",IFERROR(VLOOKUP($F355,'депозитный калькулятор'!$B$26:$F$70,4,0),0))</f>
        <v xml:space="preserve"> </v>
      </c>
      <c r="N355" s="135" t="str">
        <f>IF($F355=" "," ",IFERROR(VLOOKUP($F355,'депозитный калькулятор'!$B$26:$F$70,5,0),0))</f>
        <v xml:space="preserve"> </v>
      </c>
      <c r="O355" s="146" t="str">
        <f>IF(F355&gt;'депозитный калькулятор'!$D$8," ",IF(F355='депозитный калькулятор'!$D$8,IF(AND($F$24='депозитный калькулятор'!$D$8,'депозитный калькулятор'!$G$13="нет"),-G355-IF(I355=" ",0,I355)-IF(AND(OR('депозитный калькулятор'!$G$7="30/365",'депозитный калькулятор'!$G$7="30/360"),'депозитный калькулятор'!$G$10="в начале срока"),I354,0)-L355+M355-N355,-G355-IF(I355=" ",0,I355)-L355+M355-N355),IF('депозитный калькулятор'!$G$13="есть",M355-N355+IF('депозитный калькулятор'!$G$14="есть",0,-L355),-IF(I355=" ",0,I355)-IF(AND(OR('депозитный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срока"),I354,0)+M355-N355+IF('депозитный калькулятор'!$G$14="есть",0,-L355))))</f>
        <v xml:space="preserve"> </v>
      </c>
      <c r="P355" s="147" t="str">
        <f>IF(F355&gt;'депозитный калькулятор'!$D$8," ",IF(EOMONTH(F354,0)=F354,0,IF(G355&gt;='депозитный калькулятор'!$G$19,P354,P354+1)))</f>
        <v xml:space="preserve"> </v>
      </c>
      <c r="Q355" s="138" t="str">
        <f>IF(F355=" "," ",IF(AND(OR('депозитный калькулятор'!$G$7="30/365",'депозитный калькулятор'!$G$7="30/360"),AND(MONTH(F355)=2,EOMONTH(F355,0)=F355)),IF(DAY(F355)=28,3,2),1)*IF(G355&gt;='депозитный калькулятор'!$G$11,IF(AND('депозитный калькулятор'!$G$7="факт/факт",MOD(YEAR(F355),4)=0),G355*'депозитный калькулятор'!$D$11/366,G355*'депозитный калькулятор'!$G$8),0))</f>
        <v xml:space="preserve"> </v>
      </c>
      <c r="R355" s="148"/>
      <c r="S355" s="62" t="str">
        <f t="shared" ca="1" si="27"/>
        <v xml:space="preserve"> </v>
      </c>
      <c r="T355" s="149" t="str">
        <f ca="1">IF(S355=" "," ",IF('депозитный калькулятор'!$G$7="30/360",DAYS360(U354,IF(DAY(U355)=31,U355-1,U355))+IF(AND(MONTH(U355)=2,U355=EOMONTH(U355,0)),30-DAY(EOMONTH(U355,0)))+T354,VLOOKUP(S355,$C$22:$F$1023,2,0)))</f>
        <v xml:space="preserve"> </v>
      </c>
      <c r="U355" s="64" t="str">
        <f t="shared" ca="1" si="25"/>
        <v xml:space="preserve"> </v>
      </c>
      <c r="V355" s="150" t="str">
        <f t="shared" ca="1" si="28"/>
        <v xml:space="preserve"> </v>
      </c>
      <c r="W355" s="62" t="str">
        <f t="shared" ca="1" si="29"/>
        <v xml:space="preserve"> </v>
      </c>
      <c r="X355" s="141" t="str">
        <f ca="1">IF(S355=" "," ",IFERROR(VLOOKUP(U355,$F$23:$N$1023,7)+VLOOKUP(U355,$F$23:$N$1023,9)+IF(AND('депозитный калькулятор'!$G$13="нет",U355&lt;&gt;'депозитный калькулятор'!$D$8),VLOOKUP(U355,$F$23:$N$1023,4),0),0)+IF(U355='депозитный калькулятор'!$D$8,VLOOKUP(U355,$F$23:$N$1023,2)+VLOOKUP(U355,$F$23:$N$1023,4),0))</f>
        <v xml:space="preserve"> </v>
      </c>
      <c r="Y355" s="142" t="str">
        <f ca="1">IF(S355=" "," ",W355/(1+'депозитный калькулятор'!$K$8)^(T355/IF('депозитный калькулятор'!$G$7="30/360",360,365)))</f>
        <v xml:space="preserve"> </v>
      </c>
      <c r="Z355" s="142" t="str">
        <f ca="1">IF(S355=" "," ",X355/(1+'депозитный калькулятор'!$K$8)^(T355/IF('депозитный калькулятор'!$G$7="30/360",360,365)))</f>
        <v xml:space="preserve"> </v>
      </c>
      <c r="AA355" s="151"/>
      <c r="AB355" s="151"/>
      <c r="AC355" s="155"/>
      <c r="AD355" s="155"/>
    </row>
    <row r="356" spans="1:30" s="2" customFormat="1" ht="15.5" x14ac:dyDescent="0.35">
      <c r="A356" s="41" t="str">
        <f>IF(F356=" "," ",IF(OR('депозитный калькулятор'!$G$7="30/365",'депозитный калькулятор'!$G$7="30/360"),IF(AND(MONTH(F356)=2,DAY(F356)=DAY(EOMONTH(F356,0))),30-DAY(EOMONTH(F356,0)),IF(DAY(F356)=31,1," "))," "))</f>
        <v xml:space="preserve"> </v>
      </c>
      <c r="B356" s="130" t="str">
        <f t="shared" si="26"/>
        <v xml:space="preserve"> </v>
      </c>
      <c r="C356" s="130" t="str">
        <f>IF(OR(B356=0,B356=" ")," ",SUM($B$23:B356))</f>
        <v xml:space="preserve"> </v>
      </c>
      <c r="D356" s="62" t="str">
        <f>IF(D355=" "," ",IF(OR(F355='депозитный калькулятор'!$D$8,F355=" ")," ",D355+1))</f>
        <v xml:space="preserve"> </v>
      </c>
      <c r="E356" s="130" t="str">
        <f>IF(OR(F355='депозитный калькулятор'!$D$8,F355=" ")," ",IF(EOMONTH(F355,0)=F355,1,E355+1))</f>
        <v xml:space="preserve"> </v>
      </c>
      <c r="F356" s="64" t="str">
        <f>IF(F355=" "," ",IF(F355='депозитный калькулятор'!$D$8," ",F355+1))</f>
        <v xml:space="preserve"> </v>
      </c>
      <c r="G356" s="145" t="str">
        <f xml:space="preserve"> IF(F356&gt;'депозитный калькулятор'!$D$8," ",IF('депозитный калькулятор'!$G$13="есть",IF('депозитный калькулятор'!$G$14="есть",G355+IF(I355=" ",0,I355)-J356-K356+L356+M356-N356,G355+IF(I355=" ",0,I355)-J356-K356+M356-N356),IF('депозитный калькулятор'!$G$14="есть",G355-J356-K356+L356+M356-N356,G355-J356-K356+M356-N356)))</f>
        <v xml:space="preserve"> </v>
      </c>
      <c r="H356" s="133" t="str">
        <f>IF(F356&gt;'депозитный калькулятор'!$D$8," ",IF(AND(OR('депозитный калькулятор'!$G$7="30/365",'депозитный калькулятор'!$G$7="30/360"),AND(MONTH(F356)=2,EOMONTH(F356,0)=F356)),IF(DAY(F356)=28,3*G356*'депозитный калькулятор'!$G$8,2*G356*'депозитный калькулятор'!$G$8),IF(AND(OR('депозитный калькулятор'!$G$7="30/365",'депозитный калькулятор'!$G$7="30/360"),DAY(F356)=31)," ",IF(AND('депозитный калькулятор'!$G$7="факт/факт",MOD(YEAR(F356),4)=0),G356*'депозитный калькулятор'!$D$11/366,G356*'депозитный калькулятор'!$G$8))))</f>
        <v xml:space="preserve"> </v>
      </c>
      <c r="I356" s="134" t="str">
        <f ca="1">IF(F356=" "," ",IF('депозитный калькулятор'!$G$10="ежедневное",H356,IF(AND('депозитный калькулятор'!$G$10="еженедельное",WEEKDAY(F356,2)=7),SUM(OFFSET(H356,-6,0):H356),IF(AND('депозитный калькулятор'!$G$10="еженедельное",F356='депозитный калькулятор'!$D$8),SUM($H$23:H356)-SUM($I$23:I355),IF(AND('депозитный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недели",WEEKDAY(F356,2)=7),MIN(OFFSET(H356,-6,0):H356)*(COUNTIF(OFFSET(H356,-6,0):H356,"&gt;0")+SUMIF(OFFSET(A356,-WEEKDAY(F356,2),0):A356,"=2",OFFSET(A356,-WEEKDAY(F356,2),0):A356)),IF(AND('депозитный калькулятор'!$G$10="еженедельное, на минимальную сумму зафиксированную в течение недели",F356='депозитный калькулятор'!$D$8,WEEKDAY(F356,2)&lt;&gt;7),MIN(OFFSET(H356,-WEEKDAY(F356,2),0):H356)*(COUNTIF(OFFSET(H356,-WEEKDAY(F356,2)+1,0):H356,"&gt;0")+SUM(OFFSET(A356,-WEEKDAY(F356,2),0):A356)),IF(AND('депозитный калькулятор'!$G$10="ежемесячное (в конце месяца)",F356='депозитный калькулятор'!$D$8,EOMONTH(F356,0)&lt;&gt;F356),IF('депозитный калькулятор'!$F$1=1,$H$24,SUM($H$23:H356)-SUM($I$23:I355)),IF(AND('депозитный калькулятор'!$G$10="ежемесячное (в конце месяца)",EOMONTH(F356,0)=F356),SUM($H$23:H356)-SUM($I$23:I355),IF(AND('депозитный калькулятор'!$G$10="ежемесячное (по дням открытия вклада)",F356='депозитный калькулятор'!$D$8,DAY('депозитный калькулятор'!$D$7)&lt;&gt;DAY(F356)),IF('депозитный калькулятор'!$F$1=1,$H$24,SUM($H$23:H356)-SUM($I$23:I355)),IF(AND('депозитный калькулятор'!$G$10="ежемесячное (по дням открытия вклада)",DAY('депозитный калькулятор'!$D$7)=DAY(F356)),SUM($H$23:H356)-SUM($I$23:I355),IF(AND('депозитный калькулятор'!$G$10="ежемесячное, на минимальную сумму зафиксированную в течение месяца",F356='депозитный калькулятор'!$D$8,EOMONTH(F356,0)&lt;&gt;F356),IF('депозитный калькулятор'!$F$1=1,$H$24,IF(AND(OR('депозитный калькулятор'!$G$7="30/365",'депозитный калькулятор'!$G$7="30/360"),DAY(F356)=31),0,MIN(OFFSET(H356,-E356+1,0):H356)*(E356+SUMIF(OFFSET(A356,-E356+1,0):A356,"=2",OFFSET(A356,-E356+1,0):A356)))),IF(AND('депозитный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калькулятор'!$G$7="30/360"),DAY(EOMONTH(F356,0))=31),EOMONTH(F356,0)-1=F356,EOMONTH(F356,0)=F356)),IF(IF(AND(OR('депозитный калькулятор'!$G$7="30/365",'депозитный калькулятор'!$G$7="30/360"),DAY(EOMONTH($F$23,0))=31),F356=EOMONTH($F$23,0)-1,F356=EOMONTH($F$23,0)),MIN(OFFSET(H356,-(DAY(F356)-DAY($F$23)),0):H356)*E356,MIN(OFFSET(H356,-(DAY(F356)-1),0):H356)*IF(AND(OR('депозитный калькулятор'!$G$7="30/365",'депозитный калькулятор'!$G$7="30/360"),DAY(F356)&lt;30),30,DAY(F356))),IF(AND('депозитный калькулятор'!$G$10="ежемесячное, на средний остаток в течение месяца, при условии что остаток больше чем ограничение",F356='депозитный калькулятор'!$D$8,EOMONTH(F356,0)&lt;&gt;F356),IF('депозитный калькулятор'!$F$1=1,$H$24,SUM(OFFSET(Q356,-E356+1,0):Q356)),IF(AND('депозитный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калькулятор'!$G$7="30/360"),DAY(EOMONTH(F356,0))=31),EOMONTH(F356,0)-1=F356,EOMONTH(F356,0)=F356)),IF(IF(AND(OR('депозитный калькулятор'!$G$7="30/365",'депозитный калькулятор'!$G$7="30/360"),DAY(EOMONTH($F$24,0))=31),F356=EOMONTH($F$24,0)-1,F356=EOMONTH($F$24,0)),SUM(OFFSET(Q356,-E356+1,0):Q356),SUM(OFFSET(Q356,-E356+1,0):Q356)),IF('депозитный калькулятор'!$G$10="ежеквартальное",IF(F356&gt;'депозитный калькулятор'!$D$8," ",IF(AND(EOMONTH(F356,0)=F356,OR(MONTH(F356)=3,MONTH(F356)=6,MONTH(F356)=9,MONTH(F356)=12)),IF(EDATE(F356,-3)&lt;'депозитный калькулятор'!$D$7,SUM($H$23:H356),IF(MOD(YEAR(F356),4)=0,IF(AND(EOMONTH(F356,0)=F356,OR(MONTH(F356)=3,MONTH(F356)=6)),SUM(OFFSET(H356,-90,0):H356),IF(AND(EOMONTH(F356,0)=F356,OR(MONTH(F356)=9,MONTH(F356)=12)),SUM(OFFSET(H356,-91,0):H356))),IF(AND(EOMONTH(F356,0)=F356,MONTH(F356)=3),SUM(OFFSET(H356,-89,0):H356),IF(AND(EOMONTH(F356,0)=F356,MONTH(F356)=6),SUM(OFFSET(H356,-90,0):H356),IF(AND(EOMONTH(F356,0)=F356,OR(MONTH(F356)=9,MONTH(F356)=12)),SUM(OFFSET(H356,-91,0):H356)))))),IF(F356='депозитный калькулятор'!$D$8,SUM($H$23:H356)-SUM($I$23:I355),0))),IF('депозитный калькулятор'!$G$10="ежегодное",IF(F356&gt;'депозитный калькулятор'!$D$8," ",IF(F356='депозитный калькулятор'!$D$8,SUM($H$23:H356)-SUM($I$23:I355),IF(AND(EOMONTH(F356,0)=F356,MONTH(F356)=12),IF(MOD(YEAR(F355),4)=0,IF(F356-'депозитный калькулятор'!$D$7&lt;366,SUM($H$23:H356),SUM(OFFSET(H356,-365,0):H356)),IF(F356-'депозитный калькулятор'!$D$7&lt;365,SUM($H$23:H356),SUM(OFFSET(H356,-364,0):H356))),0))),IF(AND('депозитный калькулятор'!$G$10="в конце срока",'депозитный калькулятор'!$D$8=F356),SUM($H$23:H356),0))))))))))))))))))</f>
        <v xml:space="preserve"> </v>
      </c>
      <c r="J356" s="59" t="str">
        <f>IF(F356&gt;'депозитный калькулятор'!$D$8," ",IF('депозитный калькулятор'!$G$16="нет",0,IF(AND('депозитный калькулятор'!$G$17="разовая (в конце срока)",F356='депозитный калькулятор'!$D$8),'депозитный калькулятор'!$G$18,IF(AND('депозитный калькулятор'!$G$17="ежемесячная",EOMONTH(F355,0)=F355),'депозитный калькулятор'!$G$18,IF(AND('депозитный калькулятор'!$G$17="ежегодная",DAY(F355)=31,MONTH(F355)=12),'депозитный калькулятор'!$G$18,IF(AND('депозитный калькулятор'!$G$17="ежемесячная в зависимости от остатка",EOMONTH(F355,0)=F355,P355&gt;0),'депозитный калькулятор'!$G$18,IF(AND('депозитный калькулятор'!$G$17="ежегодная в зависимости от остатка",DAY(F355)=31,MONTH(F355)=12,P355&gt;0),'депозитный калькулятор'!$G$18,0)))))))</f>
        <v xml:space="preserve"> </v>
      </c>
      <c r="K356" s="135" t="str">
        <f>IF($F356=" "," ",IFERROR(VLOOKUP($F356,'депозитный калькулятор'!$B$26:$F$70,2,0),0))</f>
        <v xml:space="preserve"> </v>
      </c>
      <c r="L356" s="135" t="str">
        <f>IF($F356=" "," ",IFERROR(VLOOKUP($F356,'депозитный калькулятор'!$B$26:$F$70,3,0),0))</f>
        <v xml:space="preserve"> </v>
      </c>
      <c r="M356" s="135" t="str">
        <f>IF($F356=" "," ",IFERROR(VLOOKUP($F356,'депозитный калькулятор'!$B$26:$F$70,4,0),0))</f>
        <v xml:space="preserve"> </v>
      </c>
      <c r="N356" s="135" t="str">
        <f>IF($F356=" "," ",IFERROR(VLOOKUP($F356,'депозитный калькулятор'!$B$26:$F$70,5,0),0))</f>
        <v xml:space="preserve"> </v>
      </c>
      <c r="O356" s="146" t="str">
        <f>IF(F356&gt;'депозитный калькулятор'!$D$8," ",IF(F356='депозитный калькулятор'!$D$8,IF(AND($F$24='депозитный калькулятор'!$D$8,'депозитный калькулятор'!$G$13="нет"),-G356-IF(I356=" ",0,I356)-IF(AND(OR('депозитный калькулятор'!$G$7="30/365",'депозитный калькулятор'!$G$7="30/360"),'депозитный калькулятор'!$G$10="в начале срока"),I355,0)-L356+M356-N356,-G356-IF(I356=" ",0,I356)-L356+M356-N356),IF('депозитный калькулятор'!$G$13="есть",M356-N356+IF('депозитный калькулятор'!$G$14="есть",0,-L356),-IF(I356=" ",0,I356)-IF(AND(OR('депозитный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срока"),I355,0)+M356-N356+IF('депозитный калькулятор'!$G$14="есть",0,-L356))))</f>
        <v xml:space="preserve"> </v>
      </c>
      <c r="P356" s="147" t="str">
        <f>IF(F356&gt;'депозитный калькулятор'!$D$8," ",IF(EOMONTH(F355,0)=F355,0,IF(G356&gt;='депозитный калькулятор'!$G$19,P355,P355+1)))</f>
        <v xml:space="preserve"> </v>
      </c>
      <c r="Q356" s="138" t="str">
        <f>IF(F356=" "," ",IF(AND(OR('депозитный калькулятор'!$G$7="30/365",'депозитный калькулятор'!$G$7="30/360"),AND(MONTH(F356)=2,EOMONTH(F356,0)=F356)),IF(DAY(F356)=28,3,2),1)*IF(G356&gt;='депозитный калькулятор'!$G$11,IF(AND('депозитный калькулятор'!$G$7="факт/факт",MOD(YEAR(F356),4)=0),G356*'депозитный калькулятор'!$D$11/366,G356*'депозитный калькулятор'!$G$8),0))</f>
        <v xml:space="preserve"> </v>
      </c>
      <c r="R356" s="148"/>
      <c r="S356" s="62" t="str">
        <f t="shared" ca="1" si="27"/>
        <v xml:space="preserve"> </v>
      </c>
      <c r="T356" s="149" t="str">
        <f ca="1">IF(S356=" "," ",IF('депозитный калькулятор'!$G$7="30/360",DAYS360(U355,IF(DAY(U356)=31,U356-1,U356))+IF(AND(MONTH(U356)=2,U356=EOMONTH(U356,0)),30-DAY(EOMONTH(U356,0)))+T355,VLOOKUP(S356,$C$22:$F$1023,2,0)))</f>
        <v xml:space="preserve"> </v>
      </c>
      <c r="U356" s="64" t="str">
        <f t="shared" ca="1" si="25"/>
        <v xml:space="preserve"> </v>
      </c>
      <c r="V356" s="150" t="str">
        <f t="shared" ca="1" si="28"/>
        <v xml:space="preserve"> </v>
      </c>
      <c r="W356" s="62" t="str">
        <f t="shared" ca="1" si="29"/>
        <v xml:space="preserve"> </v>
      </c>
      <c r="X356" s="141" t="str">
        <f ca="1">IF(S356=" "," ",IFERROR(VLOOKUP(U356,$F$23:$N$1023,7)+VLOOKUP(U356,$F$23:$N$1023,9)+IF(AND('депозитный калькулятор'!$G$13="нет",U356&lt;&gt;'депозитный калькулятор'!$D$8),VLOOKUP(U356,$F$23:$N$1023,4),0),0)+IF(U356='депозитный калькулятор'!$D$8,VLOOKUP(U356,$F$23:$N$1023,2)+VLOOKUP(U356,$F$23:$N$1023,4),0))</f>
        <v xml:space="preserve"> </v>
      </c>
      <c r="Y356" s="142" t="str">
        <f ca="1">IF(S356=" "," ",W356/(1+'депозитный калькулятор'!$K$8)^(T356/IF('депозитный калькулятор'!$G$7="30/360",360,365)))</f>
        <v xml:space="preserve"> </v>
      </c>
      <c r="Z356" s="142" t="str">
        <f ca="1">IF(S356=" "," ",X356/(1+'депозитный калькулятор'!$K$8)^(T356/IF('депозитный калькулятор'!$G$7="30/360",360,365)))</f>
        <v xml:space="preserve"> </v>
      </c>
      <c r="AA356" s="151"/>
      <c r="AB356" s="151"/>
      <c r="AC356" s="155"/>
      <c r="AD356" s="155"/>
    </row>
    <row r="357" spans="1:30" s="2" customFormat="1" ht="15.5" x14ac:dyDescent="0.35">
      <c r="A357" s="41" t="str">
        <f>IF(F357=" "," ",IF(OR('депозитный калькулятор'!$G$7="30/365",'депозитный калькулятор'!$G$7="30/360"),IF(AND(MONTH(F357)=2,DAY(F357)=DAY(EOMONTH(F357,0))),30-DAY(EOMONTH(F357,0)),IF(DAY(F357)=31,1," "))," "))</f>
        <v xml:space="preserve"> </v>
      </c>
      <c r="B357" s="130" t="str">
        <f t="shared" si="26"/>
        <v xml:space="preserve"> </v>
      </c>
      <c r="C357" s="130" t="str">
        <f>IF(OR(B357=0,B357=" ")," ",SUM($B$23:B357))</f>
        <v xml:space="preserve"> </v>
      </c>
      <c r="D357" s="62" t="str">
        <f>IF(D356=" "," ",IF(OR(F356='депозитный калькулятор'!$D$8,F356=" ")," ",D356+1))</f>
        <v xml:space="preserve"> </v>
      </c>
      <c r="E357" s="130" t="str">
        <f>IF(OR(F356='депозитный калькулятор'!$D$8,F356=" ")," ",IF(EOMONTH(F356,0)=F356,1,E356+1))</f>
        <v xml:space="preserve"> </v>
      </c>
      <c r="F357" s="64" t="str">
        <f>IF(F356=" "," ",IF(F356='депозитный калькулятор'!$D$8," ",F356+1))</f>
        <v xml:space="preserve"> </v>
      </c>
      <c r="G357" s="145" t="str">
        <f xml:space="preserve"> IF(F357&gt;'депозитный калькулятор'!$D$8," ",IF('депозитный калькулятор'!$G$13="есть",IF('депозитный калькулятор'!$G$14="есть",G356+IF(I356=" ",0,I356)-J357-K357+L357+M357-N357,G356+IF(I356=" ",0,I356)-J357-K357+M357-N357),IF('депозитный калькулятор'!$G$14="есть",G356-J357-K357+L357+M357-N357,G356-J357-K357+M357-N357)))</f>
        <v xml:space="preserve"> </v>
      </c>
      <c r="H357" s="133" t="str">
        <f>IF(F357&gt;'депозитный калькулятор'!$D$8," ",IF(AND(OR('депозитный калькулятор'!$G$7="30/365",'депозитный калькулятор'!$G$7="30/360"),AND(MONTH(F357)=2,EOMONTH(F357,0)=F357)),IF(DAY(F357)=28,3*G357*'депозитный калькулятор'!$G$8,2*G357*'депозитный калькулятор'!$G$8),IF(AND(OR('депозитный калькулятор'!$G$7="30/365",'депозитный калькулятор'!$G$7="30/360"),DAY(F357)=31)," ",IF(AND('депозитный калькулятор'!$G$7="факт/факт",MOD(YEAR(F357),4)=0),G357*'депозитный калькулятор'!$D$11/366,G357*'депозитный калькулятор'!$G$8))))</f>
        <v xml:space="preserve"> </v>
      </c>
      <c r="I357" s="134" t="str">
        <f ca="1">IF(F357=" "," ",IF('депозитный калькулятор'!$G$10="ежедневное",H357,IF(AND('депозитный калькулятор'!$G$10="еженедельное",WEEKDAY(F357,2)=7),SUM(OFFSET(H357,-6,0):H357),IF(AND('депозитный калькулятор'!$G$10="еженедельное",F357='депозитный калькулятор'!$D$8),SUM($H$23:H357)-SUM($I$23:I356),IF(AND('депозитный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недели",WEEKDAY(F357,2)=7),MIN(OFFSET(H357,-6,0):H357)*(COUNTIF(OFFSET(H357,-6,0):H357,"&gt;0")+SUMIF(OFFSET(A357,-WEEKDAY(F357,2),0):A357,"=2",OFFSET(A357,-WEEKDAY(F357,2),0):A357)),IF(AND('депозитный калькулятор'!$G$10="еженедельное, на минимальную сумму зафиксированную в течение недели",F357='депозитный калькулятор'!$D$8,WEEKDAY(F357,2)&lt;&gt;7),MIN(OFFSET(H357,-WEEKDAY(F357,2),0):H357)*(COUNTIF(OFFSET(H357,-WEEKDAY(F357,2)+1,0):H357,"&gt;0")+SUM(OFFSET(A357,-WEEKDAY(F357,2),0):A357)),IF(AND('депозитный калькулятор'!$G$10="ежемесячное (в конце месяца)",F357='депозитный калькулятор'!$D$8,EOMONTH(F357,0)&lt;&gt;F357),IF('депозитный калькулятор'!$F$1=1,$H$24,SUM($H$23:H357)-SUM($I$23:I356)),IF(AND('депозитный калькулятор'!$G$10="ежемесячное (в конце месяца)",EOMONTH(F357,0)=F357),SUM($H$23:H357)-SUM($I$23:I356),IF(AND('депозитный калькулятор'!$G$10="ежемесячное (по дням открытия вклада)",F357='депозитный калькулятор'!$D$8,DAY('депозитный калькулятор'!$D$7)&lt;&gt;DAY(F357)),IF('депозитный калькулятор'!$F$1=1,$H$24,SUM($H$23:H357)-SUM($I$23:I356)),IF(AND('депозитный калькулятор'!$G$10="ежемесячное (по дням открытия вклада)",DAY('депозитный калькулятор'!$D$7)=DAY(F357)),SUM($H$23:H357)-SUM($I$23:I356),IF(AND('депозитный калькулятор'!$G$10="ежемесячное, на минимальную сумму зафиксированную в течение месяца",F357='депозитный калькулятор'!$D$8,EOMONTH(F357,0)&lt;&gt;F357),IF('депозитный калькулятор'!$F$1=1,$H$24,IF(AND(OR('депозитный калькулятор'!$G$7="30/365",'депозитный калькулятор'!$G$7="30/360"),DAY(F357)=31),0,MIN(OFFSET(H357,-E357+1,0):H357)*(E357+SUMIF(OFFSET(A357,-E357+1,0):A357,"=2",OFFSET(A357,-E357+1,0):A357)))),IF(AND('депозитный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калькулятор'!$G$7="30/360"),DAY(EOMONTH(F357,0))=31),EOMONTH(F357,0)-1=F357,EOMONTH(F357,0)=F357)),IF(IF(AND(OR('депозитный калькулятор'!$G$7="30/365",'депозитный калькулятор'!$G$7="30/360"),DAY(EOMONTH($F$23,0))=31),F357=EOMONTH($F$23,0)-1,F357=EOMONTH($F$23,0)),MIN(OFFSET(H357,-(DAY(F357)-DAY($F$23)),0):H357)*E357,MIN(OFFSET(H357,-(DAY(F357)-1),0):H357)*IF(AND(OR('депозитный калькулятор'!$G$7="30/365",'депозитный калькулятор'!$G$7="30/360"),DAY(F357)&lt;30),30,DAY(F357))),IF(AND('депозитный калькулятор'!$G$10="ежемесячное, на средний остаток в течение месяца, при условии что остаток больше чем ограничение",F357='депозитный калькулятор'!$D$8,EOMONTH(F357,0)&lt;&gt;F357),IF('депозитный калькулятор'!$F$1=1,$H$24,SUM(OFFSET(Q357,-E357+1,0):Q357)),IF(AND('депозитный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калькулятор'!$G$7="30/360"),DAY(EOMONTH(F357,0))=31),EOMONTH(F357,0)-1=F357,EOMONTH(F357,0)=F357)),IF(IF(AND(OR('депозитный калькулятор'!$G$7="30/365",'депозитный калькулятор'!$G$7="30/360"),DAY(EOMONTH($F$24,0))=31),F357=EOMONTH($F$24,0)-1,F357=EOMONTH($F$24,0)),SUM(OFFSET(Q357,-E357+1,0):Q357),SUM(OFFSET(Q357,-E357+1,0):Q357)),IF('депозитный калькулятор'!$G$10="ежеквартальное",IF(F357&gt;'депозитный калькулятор'!$D$8," ",IF(AND(EOMONTH(F357,0)=F357,OR(MONTH(F357)=3,MONTH(F357)=6,MONTH(F357)=9,MONTH(F357)=12)),IF(EDATE(F357,-3)&lt;'депозитный калькулятор'!$D$7,SUM($H$23:H357),IF(MOD(YEAR(F357),4)=0,IF(AND(EOMONTH(F357,0)=F357,OR(MONTH(F357)=3,MONTH(F357)=6)),SUM(OFFSET(H357,-90,0):H357),IF(AND(EOMONTH(F357,0)=F357,OR(MONTH(F357)=9,MONTH(F357)=12)),SUM(OFFSET(H357,-91,0):H357))),IF(AND(EOMONTH(F357,0)=F357,MONTH(F357)=3),SUM(OFFSET(H357,-89,0):H357),IF(AND(EOMONTH(F357,0)=F357,MONTH(F357)=6),SUM(OFFSET(H357,-90,0):H357),IF(AND(EOMONTH(F357,0)=F357,OR(MONTH(F357)=9,MONTH(F357)=12)),SUM(OFFSET(H357,-91,0):H357)))))),IF(F357='депозитный калькулятор'!$D$8,SUM($H$23:H357)-SUM($I$23:I356),0))),IF('депозитный калькулятор'!$G$10="ежегодное",IF(F357&gt;'депозитный калькулятор'!$D$8," ",IF(F357='депозитный калькулятор'!$D$8,SUM($H$23:H357)-SUM($I$23:I356),IF(AND(EOMONTH(F357,0)=F357,MONTH(F357)=12),IF(MOD(YEAR(F356),4)=0,IF(F357-'депозитный калькулятор'!$D$7&lt;366,SUM($H$23:H357),SUM(OFFSET(H357,-365,0):H357)),IF(F357-'депозитный калькулятор'!$D$7&lt;365,SUM($H$23:H357),SUM(OFFSET(H357,-364,0):H357))),0))),IF(AND('депозитный калькулятор'!$G$10="в конце срока",'депозитный калькулятор'!$D$8=F357),SUM($H$23:H357),0))))))))))))))))))</f>
        <v xml:space="preserve"> </v>
      </c>
      <c r="J357" s="59" t="str">
        <f>IF(F357&gt;'депозитный калькулятор'!$D$8," ",IF('депозитный калькулятор'!$G$16="нет",0,IF(AND('депозитный калькулятор'!$G$17="разовая (в конце срока)",F357='депозитный калькулятор'!$D$8),'депозитный калькулятор'!$G$18,IF(AND('депозитный калькулятор'!$G$17="ежемесячная",EOMONTH(F356,0)=F356),'депозитный калькулятор'!$G$18,IF(AND('депозитный калькулятор'!$G$17="ежегодная",DAY(F356)=31,MONTH(F356)=12),'депозитный калькулятор'!$G$18,IF(AND('депозитный калькулятор'!$G$17="ежемесячная в зависимости от остатка",EOMONTH(F356,0)=F356,P356&gt;0),'депозитный калькулятор'!$G$18,IF(AND('депозитный калькулятор'!$G$17="ежегодная в зависимости от остатка",DAY(F356)=31,MONTH(F356)=12,P356&gt;0),'депозитный калькулятор'!$G$18,0)))))))</f>
        <v xml:space="preserve"> </v>
      </c>
      <c r="K357" s="135" t="str">
        <f>IF($F357=" "," ",IFERROR(VLOOKUP($F357,'депозитный калькулятор'!$B$26:$F$70,2,0),0))</f>
        <v xml:space="preserve"> </v>
      </c>
      <c r="L357" s="135" t="str">
        <f>IF($F357=" "," ",IFERROR(VLOOKUP($F357,'депозитный калькулятор'!$B$26:$F$70,3,0),0))</f>
        <v xml:space="preserve"> </v>
      </c>
      <c r="M357" s="135" t="str">
        <f>IF($F357=" "," ",IFERROR(VLOOKUP($F357,'депозитный калькулятор'!$B$26:$F$70,4,0),0))</f>
        <v xml:space="preserve"> </v>
      </c>
      <c r="N357" s="135" t="str">
        <f>IF($F357=" "," ",IFERROR(VLOOKUP($F357,'депозитный калькулятор'!$B$26:$F$70,5,0),0))</f>
        <v xml:space="preserve"> </v>
      </c>
      <c r="O357" s="146" t="str">
        <f>IF(F357&gt;'депозитный калькулятор'!$D$8," ",IF(F357='депозитный калькулятор'!$D$8,IF(AND($F$24='депозитный калькулятор'!$D$8,'депозитный калькулятор'!$G$13="нет"),-G357-IF(I357=" ",0,I357)-IF(AND(OR('депозитный калькулятор'!$G$7="30/365",'депозитный калькулятор'!$G$7="30/360"),'депозитный калькулятор'!$G$10="в начале срока"),I356,0)-L357+M357-N357,-G357-IF(I357=" ",0,I357)-L357+M357-N357),IF('депозитный калькулятор'!$G$13="есть",M357-N357+IF('депозитный калькулятор'!$G$14="есть",0,-L357),-IF(I357=" ",0,I357)-IF(AND(OR('депозитный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срока"),I356,0)+M357-N357+IF('депозитный калькулятор'!$G$14="есть",0,-L357))))</f>
        <v xml:space="preserve"> </v>
      </c>
      <c r="P357" s="147" t="str">
        <f>IF(F357&gt;'депозитный калькулятор'!$D$8," ",IF(EOMONTH(F356,0)=F356,0,IF(G357&gt;='депозитный калькулятор'!$G$19,P356,P356+1)))</f>
        <v xml:space="preserve"> </v>
      </c>
      <c r="Q357" s="138" t="str">
        <f>IF(F357=" "," ",IF(AND(OR('депозитный калькулятор'!$G$7="30/365",'депозитный калькулятор'!$G$7="30/360"),AND(MONTH(F357)=2,EOMONTH(F357,0)=F357)),IF(DAY(F357)=28,3,2),1)*IF(G357&gt;='депозитный калькулятор'!$G$11,IF(AND('депозитный калькулятор'!$G$7="факт/факт",MOD(YEAR(F357),4)=0),G357*'депозитный калькулятор'!$D$11/366,G357*'депозитный калькулятор'!$G$8),0))</f>
        <v xml:space="preserve"> </v>
      </c>
      <c r="R357" s="148"/>
      <c r="S357" s="62" t="str">
        <f t="shared" ca="1" si="27"/>
        <v xml:space="preserve"> </v>
      </c>
      <c r="T357" s="149" t="str">
        <f ca="1">IF(S357=" "," ",IF('депозитный калькулятор'!$G$7="30/360",DAYS360(U356,IF(DAY(U357)=31,U357-1,U357))+IF(AND(MONTH(U357)=2,U357=EOMONTH(U357,0)),30-DAY(EOMONTH(U357,0)))+T356,VLOOKUP(S357,$C$22:$F$1023,2,0)))</f>
        <v xml:space="preserve"> </v>
      </c>
      <c r="U357" s="64" t="str">
        <f t="shared" ca="1" si="25"/>
        <v xml:space="preserve"> </v>
      </c>
      <c r="V357" s="150" t="str">
        <f t="shared" ca="1" si="28"/>
        <v xml:space="preserve"> </v>
      </c>
      <c r="W357" s="62" t="str">
        <f t="shared" ca="1" si="29"/>
        <v xml:space="preserve"> </v>
      </c>
      <c r="X357" s="141" t="str">
        <f ca="1">IF(S357=" "," ",IFERROR(VLOOKUP(U357,$F$23:$N$1023,7)+VLOOKUP(U357,$F$23:$N$1023,9)+IF(AND('депозитный калькулятор'!$G$13="нет",U357&lt;&gt;'депозитный калькулятор'!$D$8),VLOOKUP(U357,$F$23:$N$1023,4),0),0)+IF(U357='депозитный калькулятор'!$D$8,VLOOKUP(U357,$F$23:$N$1023,2)+VLOOKUP(U357,$F$23:$N$1023,4),0))</f>
        <v xml:space="preserve"> </v>
      </c>
      <c r="Y357" s="142" t="str">
        <f ca="1">IF(S357=" "," ",W357/(1+'депозитный калькулятор'!$K$8)^(T357/IF('депозитный калькулятор'!$G$7="30/360",360,365)))</f>
        <v xml:space="preserve"> </v>
      </c>
      <c r="Z357" s="142" t="str">
        <f ca="1">IF(S357=" "," ",X357/(1+'депозитный калькулятор'!$K$8)^(T357/IF('депозитный калькулятор'!$G$7="30/360",360,365)))</f>
        <v xml:space="preserve"> </v>
      </c>
      <c r="AA357" s="151"/>
      <c r="AB357" s="151"/>
      <c r="AC357" s="155"/>
      <c r="AD357" s="155"/>
    </row>
    <row r="358" spans="1:30" s="2" customFormat="1" ht="15.5" x14ac:dyDescent="0.35">
      <c r="A358" s="41" t="str">
        <f>IF(F358=" "," ",IF(OR('депозитный калькулятор'!$G$7="30/365",'депозитный калькулятор'!$G$7="30/360"),IF(AND(MONTH(F358)=2,DAY(F358)=DAY(EOMONTH(F358,0))),30-DAY(EOMONTH(F358,0)),IF(DAY(F358)=31,1," "))," "))</f>
        <v xml:space="preserve"> </v>
      </c>
      <c r="B358" s="130" t="str">
        <f t="shared" si="26"/>
        <v xml:space="preserve"> </v>
      </c>
      <c r="C358" s="130" t="str">
        <f>IF(OR(B358=0,B358=" ")," ",SUM($B$23:B358))</f>
        <v xml:space="preserve"> </v>
      </c>
      <c r="D358" s="62" t="str">
        <f>IF(D357=" "," ",IF(OR(F357='депозитный калькулятор'!$D$8,F357=" ")," ",D357+1))</f>
        <v xml:space="preserve"> </v>
      </c>
      <c r="E358" s="130" t="str">
        <f>IF(OR(F357='депозитный калькулятор'!$D$8,F357=" ")," ",IF(EOMONTH(F357,0)=F357,1,E357+1))</f>
        <v xml:space="preserve"> </v>
      </c>
      <c r="F358" s="64" t="str">
        <f>IF(F357=" "," ",IF(F357='депозитный калькулятор'!$D$8," ",F357+1))</f>
        <v xml:space="preserve"> </v>
      </c>
      <c r="G358" s="145" t="str">
        <f xml:space="preserve"> IF(F358&gt;'депозитный калькулятор'!$D$8," ",IF('депозитный калькулятор'!$G$13="есть",IF('депозитный калькулятор'!$G$14="есть",G357+IF(I357=" ",0,I357)-J358-K358+L358+M358-N358,G357+IF(I357=" ",0,I357)-J358-K358+M358-N358),IF('депозитный калькулятор'!$G$14="есть",G357-J358-K358+L358+M358-N358,G357-J358-K358+M358-N358)))</f>
        <v xml:space="preserve"> </v>
      </c>
      <c r="H358" s="133" t="str">
        <f>IF(F358&gt;'депозитный калькулятор'!$D$8," ",IF(AND(OR('депозитный калькулятор'!$G$7="30/365",'депозитный калькулятор'!$G$7="30/360"),AND(MONTH(F358)=2,EOMONTH(F358,0)=F358)),IF(DAY(F358)=28,3*G358*'депозитный калькулятор'!$G$8,2*G358*'депозитный калькулятор'!$G$8),IF(AND(OR('депозитный калькулятор'!$G$7="30/365",'депозитный калькулятор'!$G$7="30/360"),DAY(F358)=31)," ",IF(AND('депозитный калькулятор'!$G$7="факт/факт",MOD(YEAR(F358),4)=0),G358*'депозитный калькулятор'!$D$11/366,G358*'депозитный калькулятор'!$G$8))))</f>
        <v xml:space="preserve"> </v>
      </c>
      <c r="I358" s="134" t="str">
        <f ca="1">IF(F358=" "," ",IF('депозитный калькулятор'!$G$10="ежедневное",H358,IF(AND('депозитный калькулятор'!$G$10="еженедельное",WEEKDAY(F358,2)=7),SUM(OFFSET(H358,-6,0):H358),IF(AND('депозитный калькулятор'!$G$10="еженедельное",F358='депозитный калькулятор'!$D$8),SUM($H$23:H358)-SUM($I$23:I357),IF(AND('депозитный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недели",WEEKDAY(F358,2)=7),MIN(OFFSET(H358,-6,0):H358)*(COUNTIF(OFFSET(H358,-6,0):H358,"&gt;0")+SUMIF(OFFSET(A358,-WEEKDAY(F358,2),0):A358,"=2",OFFSET(A358,-WEEKDAY(F358,2),0):A358)),IF(AND('депозитный калькулятор'!$G$10="еженедельное, на минимальную сумму зафиксированную в течение недели",F358='депозитный калькулятор'!$D$8,WEEKDAY(F358,2)&lt;&gt;7),MIN(OFFSET(H358,-WEEKDAY(F358,2),0):H358)*(COUNTIF(OFFSET(H358,-WEEKDAY(F358,2)+1,0):H358,"&gt;0")+SUM(OFFSET(A358,-WEEKDAY(F358,2),0):A358)),IF(AND('депозитный калькулятор'!$G$10="ежемесячное (в конце месяца)",F358='депозитный калькулятор'!$D$8,EOMONTH(F358,0)&lt;&gt;F358),IF('депозитный калькулятор'!$F$1=1,$H$24,SUM($H$23:H358)-SUM($I$23:I357)),IF(AND('депозитный калькулятор'!$G$10="ежемесячное (в конце месяца)",EOMONTH(F358,0)=F358),SUM($H$23:H358)-SUM($I$23:I357),IF(AND('депозитный калькулятор'!$G$10="ежемесячное (по дням открытия вклада)",F358='депозитный калькулятор'!$D$8,DAY('депозитный калькулятор'!$D$7)&lt;&gt;DAY(F358)),IF('депозитный калькулятор'!$F$1=1,$H$24,SUM($H$23:H358)-SUM($I$23:I357)),IF(AND('депозитный калькулятор'!$G$10="ежемесячное (по дням открытия вклада)",DAY('депозитный калькулятор'!$D$7)=DAY(F358)),SUM($H$23:H358)-SUM($I$23:I357),IF(AND('депозитный калькулятор'!$G$10="ежемесячное, на минимальную сумму зафиксированную в течение месяца",F358='депозитный калькулятор'!$D$8,EOMONTH(F358,0)&lt;&gt;F358),IF('депозитный калькулятор'!$F$1=1,$H$24,IF(AND(OR('депозитный калькулятор'!$G$7="30/365",'депозитный калькулятор'!$G$7="30/360"),DAY(F358)=31),0,MIN(OFFSET(H358,-E358+1,0):H358)*(E358+SUMIF(OFFSET(A358,-E358+1,0):A358,"=2",OFFSET(A358,-E358+1,0):A358)))),IF(AND('депозитный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калькулятор'!$G$7="30/360"),DAY(EOMONTH(F358,0))=31),EOMONTH(F358,0)-1=F358,EOMONTH(F358,0)=F358)),IF(IF(AND(OR('депозитный калькулятор'!$G$7="30/365",'депозитный калькулятор'!$G$7="30/360"),DAY(EOMONTH($F$23,0))=31),F358=EOMONTH($F$23,0)-1,F358=EOMONTH($F$23,0)),MIN(OFFSET(H358,-(DAY(F358)-DAY($F$23)),0):H358)*E358,MIN(OFFSET(H358,-(DAY(F358)-1),0):H358)*IF(AND(OR('депозитный калькулятор'!$G$7="30/365",'депозитный калькулятор'!$G$7="30/360"),DAY(F358)&lt;30),30,DAY(F358))),IF(AND('депозитный калькулятор'!$G$10="ежемесячное, на средний остаток в течение месяца, при условии что остаток больше чем ограничение",F358='депозитный калькулятор'!$D$8,EOMONTH(F358,0)&lt;&gt;F358),IF('депозитный калькулятор'!$F$1=1,$H$24,SUM(OFFSET(Q358,-E358+1,0):Q358)),IF(AND('депозитный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калькулятор'!$G$7="30/360"),DAY(EOMONTH(F358,0))=31),EOMONTH(F358,0)-1=F358,EOMONTH(F358,0)=F358)),IF(IF(AND(OR('депозитный калькулятор'!$G$7="30/365",'депозитный калькулятор'!$G$7="30/360"),DAY(EOMONTH($F$24,0))=31),F358=EOMONTH($F$24,0)-1,F358=EOMONTH($F$24,0)),SUM(OFFSET(Q358,-E358+1,0):Q358),SUM(OFFSET(Q358,-E358+1,0):Q358)),IF('депозитный калькулятор'!$G$10="ежеквартальное",IF(F358&gt;'депозитный калькулятор'!$D$8," ",IF(AND(EOMONTH(F358,0)=F358,OR(MONTH(F358)=3,MONTH(F358)=6,MONTH(F358)=9,MONTH(F358)=12)),IF(EDATE(F358,-3)&lt;'депозитный калькулятор'!$D$7,SUM($H$23:H358),IF(MOD(YEAR(F358),4)=0,IF(AND(EOMONTH(F358,0)=F358,OR(MONTH(F358)=3,MONTH(F358)=6)),SUM(OFFSET(H358,-90,0):H358),IF(AND(EOMONTH(F358,0)=F358,OR(MONTH(F358)=9,MONTH(F358)=12)),SUM(OFFSET(H358,-91,0):H358))),IF(AND(EOMONTH(F358,0)=F358,MONTH(F358)=3),SUM(OFFSET(H358,-89,0):H358),IF(AND(EOMONTH(F358,0)=F358,MONTH(F358)=6),SUM(OFFSET(H358,-90,0):H358),IF(AND(EOMONTH(F358,0)=F358,OR(MONTH(F358)=9,MONTH(F358)=12)),SUM(OFFSET(H358,-91,0):H358)))))),IF(F358='депозитный калькулятор'!$D$8,SUM($H$23:H358)-SUM($I$23:I357),0))),IF('депозитный калькулятор'!$G$10="ежегодное",IF(F358&gt;'депозитный калькулятор'!$D$8," ",IF(F358='депозитный калькулятор'!$D$8,SUM($H$23:H358)-SUM($I$23:I357),IF(AND(EOMONTH(F358,0)=F358,MONTH(F358)=12),IF(MOD(YEAR(F357),4)=0,IF(F358-'депозитный калькулятор'!$D$7&lt;366,SUM($H$23:H358),SUM(OFFSET(H358,-365,0):H358)),IF(F358-'депозитный калькулятор'!$D$7&lt;365,SUM($H$23:H358),SUM(OFFSET(H358,-364,0):H358))),0))),IF(AND('депозитный калькулятор'!$G$10="в конце срока",'депозитный калькулятор'!$D$8=F358),SUM($H$23:H358),0))))))))))))))))))</f>
        <v xml:space="preserve"> </v>
      </c>
      <c r="J358" s="59" t="str">
        <f>IF(F358&gt;'депозитный калькулятор'!$D$8," ",IF('депозитный калькулятор'!$G$16="нет",0,IF(AND('депозитный калькулятор'!$G$17="разовая (в конце срока)",F358='депозитный калькулятор'!$D$8),'депозитный калькулятор'!$G$18,IF(AND('депозитный калькулятор'!$G$17="ежемесячная",EOMONTH(F357,0)=F357),'депозитный калькулятор'!$G$18,IF(AND('депозитный калькулятор'!$G$17="ежегодная",DAY(F357)=31,MONTH(F357)=12),'депозитный калькулятор'!$G$18,IF(AND('депозитный калькулятор'!$G$17="ежемесячная в зависимости от остатка",EOMONTH(F357,0)=F357,P357&gt;0),'депозитный калькулятор'!$G$18,IF(AND('депозитный калькулятор'!$G$17="ежегодная в зависимости от остатка",DAY(F357)=31,MONTH(F357)=12,P357&gt;0),'депозитный калькулятор'!$G$18,0)))))))</f>
        <v xml:space="preserve"> </v>
      </c>
      <c r="K358" s="135" t="str">
        <f>IF($F358=" "," ",IFERROR(VLOOKUP($F358,'депозитный калькулятор'!$B$26:$F$70,2,0),0))</f>
        <v xml:space="preserve"> </v>
      </c>
      <c r="L358" s="135" t="str">
        <f>IF($F358=" "," ",IFERROR(VLOOKUP($F358,'депозитный калькулятор'!$B$26:$F$70,3,0),0))</f>
        <v xml:space="preserve"> </v>
      </c>
      <c r="M358" s="135" t="str">
        <f>IF($F358=" "," ",IFERROR(VLOOKUP($F358,'депозитный калькулятор'!$B$26:$F$70,4,0),0))</f>
        <v xml:space="preserve"> </v>
      </c>
      <c r="N358" s="135" t="str">
        <f>IF($F358=" "," ",IFERROR(VLOOKUP($F358,'депозитный калькулятор'!$B$26:$F$70,5,0),0))</f>
        <v xml:space="preserve"> </v>
      </c>
      <c r="O358" s="146" t="str">
        <f>IF(F358&gt;'депозитный калькулятор'!$D$8," ",IF(F358='депозитный калькулятор'!$D$8,IF(AND($F$24='депозитный калькулятор'!$D$8,'депозитный калькулятор'!$G$13="нет"),-G358-IF(I358=" ",0,I358)-IF(AND(OR('депозитный калькулятор'!$G$7="30/365",'депозитный калькулятор'!$G$7="30/360"),'депозитный калькулятор'!$G$10="в начале срока"),I357,0)-L358+M358-N358,-G358-IF(I358=" ",0,I358)-L358+M358-N358),IF('депозитный калькулятор'!$G$13="есть",M358-N358+IF('депозитный калькулятор'!$G$14="есть",0,-L358),-IF(I358=" ",0,I358)-IF(AND(OR('депозитный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срока"),I357,0)+M358-N358+IF('депозитный калькулятор'!$G$14="есть",0,-L358))))</f>
        <v xml:space="preserve"> </v>
      </c>
      <c r="P358" s="147" t="str">
        <f>IF(F358&gt;'депозитный калькулятор'!$D$8," ",IF(EOMONTH(F357,0)=F357,0,IF(G358&gt;='депозитный калькулятор'!$G$19,P357,P357+1)))</f>
        <v xml:space="preserve"> </v>
      </c>
      <c r="Q358" s="138" t="str">
        <f>IF(F358=" "," ",IF(AND(OR('депозитный калькулятор'!$G$7="30/365",'депозитный калькулятор'!$G$7="30/360"),AND(MONTH(F358)=2,EOMONTH(F358,0)=F358)),IF(DAY(F358)=28,3,2),1)*IF(G358&gt;='депозитный калькулятор'!$G$11,IF(AND('депозитный калькулятор'!$G$7="факт/факт",MOD(YEAR(F358),4)=0),G358*'депозитный калькулятор'!$D$11/366,G358*'депозитный калькулятор'!$G$8),0))</f>
        <v xml:space="preserve"> </v>
      </c>
      <c r="R358" s="148"/>
      <c r="S358" s="62" t="str">
        <f t="shared" ca="1" si="27"/>
        <v xml:space="preserve"> </v>
      </c>
      <c r="T358" s="149" t="str">
        <f ca="1">IF(S358=" "," ",IF('депозитный калькулятор'!$G$7="30/360",DAYS360(U357,IF(DAY(U358)=31,U358-1,U358))+IF(AND(MONTH(U358)=2,U358=EOMONTH(U358,0)),30-DAY(EOMONTH(U358,0)))+T357,VLOOKUP(S358,$C$22:$F$1023,2,0)))</f>
        <v xml:space="preserve"> </v>
      </c>
      <c r="U358" s="64" t="str">
        <f t="shared" ca="1" si="25"/>
        <v xml:space="preserve"> </v>
      </c>
      <c r="V358" s="150" t="str">
        <f t="shared" ca="1" si="28"/>
        <v xml:space="preserve"> </v>
      </c>
      <c r="W358" s="62" t="str">
        <f t="shared" ca="1" si="29"/>
        <v xml:space="preserve"> </v>
      </c>
      <c r="X358" s="141" t="str">
        <f ca="1">IF(S358=" "," ",IFERROR(VLOOKUP(U358,$F$23:$N$1023,7)+VLOOKUP(U358,$F$23:$N$1023,9)+IF(AND('депозитный калькулятор'!$G$13="нет",U358&lt;&gt;'депозитный калькулятор'!$D$8),VLOOKUP(U358,$F$23:$N$1023,4),0),0)+IF(U358='депозитный калькулятор'!$D$8,VLOOKUP(U358,$F$23:$N$1023,2)+VLOOKUP(U358,$F$23:$N$1023,4),0))</f>
        <v xml:space="preserve"> </v>
      </c>
      <c r="Y358" s="142" t="str">
        <f ca="1">IF(S358=" "," ",W358/(1+'депозитный калькулятор'!$K$8)^(T358/IF('депозитный калькулятор'!$G$7="30/360",360,365)))</f>
        <v xml:space="preserve"> </v>
      </c>
      <c r="Z358" s="142" t="str">
        <f ca="1">IF(S358=" "," ",X358/(1+'депозитный калькулятор'!$K$8)^(T358/IF('депозитный калькулятор'!$G$7="30/360",360,365)))</f>
        <v xml:space="preserve"> </v>
      </c>
      <c r="AA358" s="151"/>
      <c r="AB358" s="151"/>
      <c r="AC358" s="155"/>
      <c r="AD358" s="155"/>
    </row>
    <row r="359" spans="1:30" s="2" customFormat="1" ht="15.5" x14ac:dyDescent="0.35">
      <c r="A359" s="41" t="str">
        <f>IF(F359=" "," ",IF(OR('депозитный калькулятор'!$G$7="30/365",'депозитный калькулятор'!$G$7="30/360"),IF(AND(MONTH(F359)=2,DAY(F359)=DAY(EOMONTH(F359,0))),30-DAY(EOMONTH(F359,0)),IF(DAY(F359)=31,1," "))," "))</f>
        <v xml:space="preserve"> </v>
      </c>
      <c r="B359" s="130" t="str">
        <f t="shared" si="26"/>
        <v xml:space="preserve"> </v>
      </c>
      <c r="C359" s="130" t="str">
        <f>IF(OR(B359=0,B359=" ")," ",SUM($B$23:B359))</f>
        <v xml:space="preserve"> </v>
      </c>
      <c r="D359" s="62" t="str">
        <f>IF(D358=" "," ",IF(OR(F358='депозитный калькулятор'!$D$8,F358=" ")," ",D358+1))</f>
        <v xml:space="preserve"> </v>
      </c>
      <c r="E359" s="130" t="str">
        <f>IF(OR(F358='депозитный калькулятор'!$D$8,F358=" ")," ",IF(EOMONTH(F358,0)=F358,1,E358+1))</f>
        <v xml:space="preserve"> </v>
      </c>
      <c r="F359" s="64" t="str">
        <f>IF(F358=" "," ",IF(F358='депозитный калькулятор'!$D$8," ",F358+1))</f>
        <v xml:space="preserve"> </v>
      </c>
      <c r="G359" s="145" t="str">
        <f xml:space="preserve"> IF(F359&gt;'депозитный калькулятор'!$D$8," ",IF('депозитный калькулятор'!$G$13="есть",IF('депозитный калькулятор'!$G$14="есть",G358+IF(I358=" ",0,I358)-J359-K359+L359+M359-N359,G358+IF(I358=" ",0,I358)-J359-K359+M359-N359),IF('депозитный калькулятор'!$G$14="есть",G358-J359-K359+L359+M359-N359,G358-J359-K359+M359-N359)))</f>
        <v xml:space="preserve"> </v>
      </c>
      <c r="H359" s="133" t="str">
        <f>IF(F359&gt;'депозитный калькулятор'!$D$8," ",IF(AND(OR('депозитный калькулятор'!$G$7="30/365",'депозитный калькулятор'!$G$7="30/360"),AND(MONTH(F359)=2,EOMONTH(F359,0)=F359)),IF(DAY(F359)=28,3*G359*'депозитный калькулятор'!$G$8,2*G359*'депозитный калькулятор'!$G$8),IF(AND(OR('депозитный калькулятор'!$G$7="30/365",'депозитный калькулятор'!$G$7="30/360"),DAY(F359)=31)," ",IF(AND('депозитный калькулятор'!$G$7="факт/факт",MOD(YEAR(F359),4)=0),G359*'депозитный калькулятор'!$D$11/366,G359*'депозитный калькулятор'!$G$8))))</f>
        <v xml:space="preserve"> </v>
      </c>
      <c r="I359" s="134" t="str">
        <f ca="1">IF(F359=" "," ",IF('депозитный калькулятор'!$G$10="ежедневное",H359,IF(AND('депозитный калькулятор'!$G$10="еженедельное",WEEKDAY(F359,2)=7),SUM(OFFSET(H359,-6,0):H359),IF(AND('депозитный калькулятор'!$G$10="еженедельное",F359='депозитный калькулятор'!$D$8),SUM($H$23:H359)-SUM($I$23:I358),IF(AND('депозитный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недели",WEEKDAY(F359,2)=7),MIN(OFFSET(H359,-6,0):H359)*(COUNTIF(OFFSET(H359,-6,0):H359,"&gt;0")+SUMIF(OFFSET(A359,-WEEKDAY(F359,2),0):A359,"=2",OFFSET(A359,-WEEKDAY(F359,2),0):A359)),IF(AND('депозитный калькулятор'!$G$10="еженедельное, на минимальную сумму зафиксированную в течение недели",F359='депозитный калькулятор'!$D$8,WEEKDAY(F359,2)&lt;&gt;7),MIN(OFFSET(H359,-WEEKDAY(F359,2),0):H359)*(COUNTIF(OFFSET(H359,-WEEKDAY(F359,2)+1,0):H359,"&gt;0")+SUM(OFFSET(A359,-WEEKDAY(F359,2),0):A359)),IF(AND('депозитный калькулятор'!$G$10="ежемесячное (в конце месяца)",F359='депозитный калькулятор'!$D$8,EOMONTH(F359,0)&lt;&gt;F359),IF('депозитный калькулятор'!$F$1=1,$H$24,SUM($H$23:H359)-SUM($I$23:I358)),IF(AND('депозитный калькулятор'!$G$10="ежемесячное (в конце месяца)",EOMONTH(F359,0)=F359),SUM($H$23:H359)-SUM($I$23:I358),IF(AND('депозитный калькулятор'!$G$10="ежемесячное (по дням открытия вклада)",F359='депозитный калькулятор'!$D$8,DAY('депозитный калькулятор'!$D$7)&lt;&gt;DAY(F359)),IF('депозитный калькулятор'!$F$1=1,$H$24,SUM($H$23:H359)-SUM($I$23:I358)),IF(AND('депозитный калькулятор'!$G$10="ежемесячное (по дням открытия вклада)",DAY('депозитный калькулятор'!$D$7)=DAY(F359)),SUM($H$23:H359)-SUM($I$23:I358),IF(AND('депозитный калькулятор'!$G$10="ежемесячное, на минимальную сумму зафиксированную в течение месяца",F359='депозитный калькулятор'!$D$8,EOMONTH(F359,0)&lt;&gt;F359),IF('депозитный калькулятор'!$F$1=1,$H$24,IF(AND(OR('депозитный калькулятор'!$G$7="30/365",'депозитный калькулятор'!$G$7="30/360"),DAY(F359)=31),0,MIN(OFFSET(H359,-E359+1,0):H359)*(E359+SUMIF(OFFSET(A359,-E359+1,0):A359,"=2",OFFSET(A359,-E359+1,0):A359)))),IF(AND('депозитный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калькулятор'!$G$7="30/360"),DAY(EOMONTH(F359,0))=31),EOMONTH(F359,0)-1=F359,EOMONTH(F359,0)=F359)),IF(IF(AND(OR('депозитный калькулятор'!$G$7="30/365",'депозитный калькулятор'!$G$7="30/360"),DAY(EOMONTH($F$23,0))=31),F359=EOMONTH($F$23,0)-1,F359=EOMONTH($F$23,0)),MIN(OFFSET(H359,-(DAY(F359)-DAY($F$23)),0):H359)*E359,MIN(OFFSET(H359,-(DAY(F359)-1),0):H359)*IF(AND(OR('депозитный калькулятор'!$G$7="30/365",'депозитный калькулятор'!$G$7="30/360"),DAY(F359)&lt;30),30,DAY(F359))),IF(AND('депозитный калькулятор'!$G$10="ежемесячное, на средний остаток в течение месяца, при условии что остаток больше чем ограничение",F359='депозитный калькулятор'!$D$8,EOMONTH(F359,0)&lt;&gt;F359),IF('депозитный калькулятор'!$F$1=1,$H$24,SUM(OFFSET(Q359,-E359+1,0):Q359)),IF(AND('депозитный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калькулятор'!$G$7="30/360"),DAY(EOMONTH(F359,0))=31),EOMONTH(F359,0)-1=F359,EOMONTH(F359,0)=F359)),IF(IF(AND(OR('депозитный калькулятор'!$G$7="30/365",'депозитный калькулятор'!$G$7="30/360"),DAY(EOMONTH($F$24,0))=31),F359=EOMONTH($F$24,0)-1,F359=EOMONTH($F$24,0)),SUM(OFFSET(Q359,-E359+1,0):Q359),SUM(OFFSET(Q359,-E359+1,0):Q359)),IF('депозитный калькулятор'!$G$10="ежеквартальное",IF(F359&gt;'депозитный калькулятор'!$D$8," ",IF(AND(EOMONTH(F359,0)=F359,OR(MONTH(F359)=3,MONTH(F359)=6,MONTH(F359)=9,MONTH(F359)=12)),IF(EDATE(F359,-3)&lt;'депозитный калькулятор'!$D$7,SUM($H$23:H359),IF(MOD(YEAR(F359),4)=0,IF(AND(EOMONTH(F359,0)=F359,OR(MONTH(F359)=3,MONTH(F359)=6)),SUM(OFFSET(H359,-90,0):H359),IF(AND(EOMONTH(F359,0)=F359,OR(MONTH(F359)=9,MONTH(F359)=12)),SUM(OFFSET(H359,-91,0):H359))),IF(AND(EOMONTH(F359,0)=F359,MONTH(F359)=3),SUM(OFFSET(H359,-89,0):H359),IF(AND(EOMONTH(F359,0)=F359,MONTH(F359)=6),SUM(OFFSET(H359,-90,0):H359),IF(AND(EOMONTH(F359,0)=F359,OR(MONTH(F359)=9,MONTH(F359)=12)),SUM(OFFSET(H359,-91,0):H359)))))),IF(F359='депозитный калькулятор'!$D$8,SUM($H$23:H359)-SUM($I$23:I358),0))),IF('депозитный калькулятор'!$G$10="ежегодное",IF(F359&gt;'депозитный калькулятор'!$D$8," ",IF(F359='депозитный калькулятор'!$D$8,SUM($H$23:H359)-SUM($I$23:I358),IF(AND(EOMONTH(F359,0)=F359,MONTH(F359)=12),IF(MOD(YEAR(F358),4)=0,IF(F359-'депозитный калькулятор'!$D$7&lt;366,SUM($H$23:H359),SUM(OFFSET(H359,-365,0):H359)),IF(F359-'депозитный калькулятор'!$D$7&lt;365,SUM($H$23:H359),SUM(OFFSET(H359,-364,0):H359))),0))),IF(AND('депозитный калькулятор'!$G$10="в конце срока",'депозитный калькулятор'!$D$8=F359),SUM($H$23:H359),0))))))))))))))))))</f>
        <v xml:space="preserve"> </v>
      </c>
      <c r="J359" s="59" t="str">
        <f>IF(F359&gt;'депозитный калькулятор'!$D$8," ",IF('депозитный калькулятор'!$G$16="нет",0,IF(AND('депозитный калькулятор'!$G$17="разовая (в конце срока)",F359='депозитный калькулятор'!$D$8),'депозитный калькулятор'!$G$18,IF(AND('депозитный калькулятор'!$G$17="ежемесячная",EOMONTH(F358,0)=F358),'депозитный калькулятор'!$G$18,IF(AND('депозитный калькулятор'!$G$17="ежегодная",DAY(F358)=31,MONTH(F358)=12),'депозитный калькулятор'!$G$18,IF(AND('депозитный калькулятор'!$G$17="ежемесячная в зависимости от остатка",EOMONTH(F358,0)=F358,P358&gt;0),'депозитный калькулятор'!$G$18,IF(AND('депозитный калькулятор'!$G$17="ежегодная в зависимости от остатка",DAY(F358)=31,MONTH(F358)=12,P358&gt;0),'депозитный калькулятор'!$G$18,0)))))))</f>
        <v xml:space="preserve"> </v>
      </c>
      <c r="K359" s="135" t="str">
        <f>IF($F359=" "," ",IFERROR(VLOOKUP($F359,'депозитный калькулятор'!$B$26:$F$70,2,0),0))</f>
        <v xml:space="preserve"> </v>
      </c>
      <c r="L359" s="135" t="str">
        <f>IF($F359=" "," ",IFERROR(VLOOKUP($F359,'депозитный калькулятор'!$B$26:$F$70,3,0),0))</f>
        <v xml:space="preserve"> </v>
      </c>
      <c r="M359" s="135" t="str">
        <f>IF($F359=" "," ",IFERROR(VLOOKUP($F359,'депозитный калькулятор'!$B$26:$F$70,4,0),0))</f>
        <v xml:space="preserve"> </v>
      </c>
      <c r="N359" s="135" t="str">
        <f>IF($F359=" "," ",IFERROR(VLOOKUP($F359,'депозитный калькулятор'!$B$26:$F$70,5,0),0))</f>
        <v xml:space="preserve"> </v>
      </c>
      <c r="O359" s="146" t="str">
        <f>IF(F359&gt;'депозитный калькулятор'!$D$8," ",IF(F359='депозитный калькулятор'!$D$8,IF(AND($F$24='депозитный калькулятор'!$D$8,'депозитный калькулятор'!$G$13="нет"),-G359-IF(I359=" ",0,I359)-IF(AND(OR('депозитный калькулятор'!$G$7="30/365",'депозитный калькулятор'!$G$7="30/360"),'депозитный калькулятор'!$G$10="в начале срока"),I358,0)-L359+M359-N359,-G359-IF(I359=" ",0,I359)-L359+M359-N359),IF('депозитный калькулятор'!$G$13="есть",M359-N359+IF('депозитный калькулятор'!$G$14="есть",0,-L359),-IF(I359=" ",0,I359)-IF(AND(OR('депозитный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срока"),I358,0)+M359-N359+IF('депозитный калькулятор'!$G$14="есть",0,-L359))))</f>
        <v xml:space="preserve"> </v>
      </c>
      <c r="P359" s="147" t="str">
        <f>IF(F359&gt;'депозитный калькулятор'!$D$8," ",IF(EOMONTH(F358,0)=F358,0,IF(G359&gt;='депозитный калькулятор'!$G$19,P358,P358+1)))</f>
        <v xml:space="preserve"> </v>
      </c>
      <c r="Q359" s="138" t="str">
        <f>IF(F359=" "," ",IF(AND(OR('депозитный калькулятор'!$G$7="30/365",'депозитный калькулятор'!$G$7="30/360"),AND(MONTH(F359)=2,EOMONTH(F359,0)=F359)),IF(DAY(F359)=28,3,2),1)*IF(G359&gt;='депозитный калькулятор'!$G$11,IF(AND('депозитный калькулятор'!$G$7="факт/факт",MOD(YEAR(F359),4)=0),G359*'депозитный калькулятор'!$D$11/366,G359*'депозитный калькулятор'!$G$8),0))</f>
        <v xml:space="preserve"> </v>
      </c>
      <c r="R359" s="148"/>
      <c r="S359" s="62" t="str">
        <f t="shared" ca="1" si="27"/>
        <v xml:space="preserve"> </v>
      </c>
      <c r="T359" s="149" t="str">
        <f ca="1">IF(S359=" "," ",IF('депозитный калькулятор'!$G$7="30/360",DAYS360(U358,IF(DAY(U359)=31,U359-1,U359))+IF(AND(MONTH(U359)=2,U359=EOMONTH(U359,0)),30-DAY(EOMONTH(U359,0)))+T358,VLOOKUP(S359,$C$22:$F$1023,2,0)))</f>
        <v xml:space="preserve"> </v>
      </c>
      <c r="U359" s="64" t="str">
        <f t="shared" ca="1" si="25"/>
        <v xml:space="preserve"> </v>
      </c>
      <c r="V359" s="150" t="str">
        <f t="shared" ca="1" si="28"/>
        <v xml:space="preserve"> </v>
      </c>
      <c r="W359" s="62" t="str">
        <f t="shared" ca="1" si="29"/>
        <v xml:space="preserve"> </v>
      </c>
      <c r="X359" s="141" t="str">
        <f ca="1">IF(S359=" "," ",IFERROR(VLOOKUP(U359,$F$23:$N$1023,7)+VLOOKUP(U359,$F$23:$N$1023,9)+IF(AND('депозитный калькулятор'!$G$13="нет",U359&lt;&gt;'депозитный калькулятор'!$D$8),VLOOKUP(U359,$F$23:$N$1023,4),0),0)+IF(U359='депозитный калькулятор'!$D$8,VLOOKUP(U359,$F$23:$N$1023,2)+VLOOKUP(U359,$F$23:$N$1023,4),0))</f>
        <v xml:space="preserve"> </v>
      </c>
      <c r="Y359" s="142" t="str">
        <f ca="1">IF(S359=" "," ",W359/(1+'депозитный калькулятор'!$K$8)^(T359/IF('депозитный калькулятор'!$G$7="30/360",360,365)))</f>
        <v xml:space="preserve"> </v>
      </c>
      <c r="Z359" s="142" t="str">
        <f ca="1">IF(S359=" "," ",X359/(1+'депозитный калькулятор'!$K$8)^(T359/IF('депозитный калькулятор'!$G$7="30/360",360,365)))</f>
        <v xml:space="preserve"> </v>
      </c>
      <c r="AA359" s="151"/>
      <c r="AB359" s="151"/>
      <c r="AC359" s="155"/>
      <c r="AD359" s="155"/>
    </row>
    <row r="360" spans="1:30" s="2" customFormat="1" ht="15.5" x14ac:dyDescent="0.35">
      <c r="A360" s="41" t="str">
        <f>IF(F360=" "," ",IF(OR('депозитный калькулятор'!$G$7="30/365",'депозитный калькулятор'!$G$7="30/360"),IF(AND(MONTH(F360)=2,DAY(F360)=DAY(EOMONTH(F360,0))),30-DAY(EOMONTH(F360,0)),IF(DAY(F360)=31,1," "))," "))</f>
        <v xml:space="preserve"> </v>
      </c>
      <c r="B360" s="130" t="str">
        <f t="shared" si="26"/>
        <v xml:space="preserve"> </v>
      </c>
      <c r="C360" s="130" t="str">
        <f>IF(OR(B360=0,B360=" ")," ",SUM($B$23:B360))</f>
        <v xml:space="preserve"> </v>
      </c>
      <c r="D360" s="62" t="str">
        <f>IF(D359=" "," ",IF(OR(F359='депозитный калькулятор'!$D$8,F359=" ")," ",D359+1))</f>
        <v xml:space="preserve"> </v>
      </c>
      <c r="E360" s="130" t="str">
        <f>IF(OR(F359='депозитный калькулятор'!$D$8,F359=" ")," ",IF(EOMONTH(F359,0)=F359,1,E359+1))</f>
        <v xml:space="preserve"> </v>
      </c>
      <c r="F360" s="64" t="str">
        <f>IF(F359=" "," ",IF(F359='депозитный калькулятор'!$D$8," ",F359+1))</f>
        <v xml:space="preserve"> </v>
      </c>
      <c r="G360" s="145" t="str">
        <f xml:space="preserve"> IF(F360&gt;'депозитный калькулятор'!$D$8," ",IF('депозитный калькулятор'!$G$13="есть",IF('депозитный калькулятор'!$G$14="есть",G359+IF(I359=" ",0,I359)-J360-K360+L360+M360-N360,G359+IF(I359=" ",0,I359)-J360-K360+M360-N360),IF('депозитный калькулятор'!$G$14="есть",G359-J360-K360+L360+M360-N360,G359-J360-K360+M360-N360)))</f>
        <v xml:space="preserve"> </v>
      </c>
      <c r="H360" s="133" t="str">
        <f>IF(F360&gt;'депозитный калькулятор'!$D$8," ",IF(AND(OR('депозитный калькулятор'!$G$7="30/365",'депозитный калькулятор'!$G$7="30/360"),AND(MONTH(F360)=2,EOMONTH(F360,0)=F360)),IF(DAY(F360)=28,3*G360*'депозитный калькулятор'!$G$8,2*G360*'депозитный калькулятор'!$G$8),IF(AND(OR('депозитный калькулятор'!$G$7="30/365",'депозитный калькулятор'!$G$7="30/360"),DAY(F360)=31)," ",IF(AND('депозитный калькулятор'!$G$7="факт/факт",MOD(YEAR(F360),4)=0),G360*'депозитный калькулятор'!$D$11/366,G360*'депозитный калькулятор'!$G$8))))</f>
        <v xml:space="preserve"> </v>
      </c>
      <c r="I360" s="134" t="str">
        <f ca="1">IF(F360=" "," ",IF('депозитный калькулятор'!$G$10="ежедневное",H360,IF(AND('депозитный калькулятор'!$G$10="еженедельное",WEEKDAY(F360,2)=7),SUM(OFFSET(H360,-6,0):H360),IF(AND('депозитный калькулятор'!$G$10="еженедельное",F360='депозитный калькулятор'!$D$8),SUM($H$23:H360)-SUM($I$23:I359),IF(AND('депозитный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недели",WEEKDAY(F360,2)=7),MIN(OFFSET(H360,-6,0):H360)*(COUNTIF(OFFSET(H360,-6,0):H360,"&gt;0")+SUMIF(OFFSET(A360,-WEEKDAY(F360,2),0):A360,"=2",OFFSET(A360,-WEEKDAY(F360,2),0):A360)),IF(AND('депозитный калькулятор'!$G$10="еженедельное, на минимальную сумму зафиксированную в течение недели",F360='депозитный калькулятор'!$D$8,WEEKDAY(F360,2)&lt;&gt;7),MIN(OFFSET(H360,-WEEKDAY(F360,2),0):H360)*(COUNTIF(OFFSET(H360,-WEEKDAY(F360,2)+1,0):H360,"&gt;0")+SUM(OFFSET(A360,-WEEKDAY(F360,2),0):A360)),IF(AND('депозитный калькулятор'!$G$10="ежемесячное (в конце месяца)",F360='депозитный калькулятор'!$D$8,EOMONTH(F360,0)&lt;&gt;F360),IF('депозитный калькулятор'!$F$1=1,$H$24,SUM($H$23:H360)-SUM($I$23:I359)),IF(AND('депозитный калькулятор'!$G$10="ежемесячное (в конце месяца)",EOMONTH(F360,0)=F360),SUM($H$23:H360)-SUM($I$23:I359),IF(AND('депозитный калькулятор'!$G$10="ежемесячное (по дням открытия вклада)",F360='депозитный калькулятор'!$D$8,DAY('депозитный калькулятор'!$D$7)&lt;&gt;DAY(F360)),IF('депозитный калькулятор'!$F$1=1,$H$24,SUM($H$23:H360)-SUM($I$23:I359)),IF(AND('депозитный калькулятор'!$G$10="ежемесячное (по дням открытия вклада)",DAY('депозитный калькулятор'!$D$7)=DAY(F360)),SUM($H$23:H360)-SUM($I$23:I359),IF(AND('депозитный калькулятор'!$G$10="ежемесячное, на минимальную сумму зафиксированную в течение месяца",F360='депозитный калькулятор'!$D$8,EOMONTH(F360,0)&lt;&gt;F360),IF('депозитный калькулятор'!$F$1=1,$H$24,IF(AND(OR('депозитный калькулятор'!$G$7="30/365",'депозитный калькулятор'!$G$7="30/360"),DAY(F360)=31),0,MIN(OFFSET(H360,-E360+1,0):H360)*(E360+SUMIF(OFFSET(A360,-E360+1,0):A360,"=2",OFFSET(A360,-E360+1,0):A360)))),IF(AND('депозитный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калькулятор'!$G$7="30/360"),DAY(EOMONTH(F360,0))=31),EOMONTH(F360,0)-1=F360,EOMONTH(F360,0)=F360)),IF(IF(AND(OR('депозитный калькулятор'!$G$7="30/365",'депозитный калькулятор'!$G$7="30/360"),DAY(EOMONTH($F$23,0))=31),F360=EOMONTH($F$23,0)-1,F360=EOMONTH($F$23,0)),MIN(OFFSET(H360,-(DAY(F360)-DAY($F$23)),0):H360)*E360,MIN(OFFSET(H360,-(DAY(F360)-1),0):H360)*IF(AND(OR('депозитный калькулятор'!$G$7="30/365",'депозитный калькулятор'!$G$7="30/360"),DAY(F360)&lt;30),30,DAY(F360))),IF(AND('депозитный калькулятор'!$G$10="ежемесячное, на средний остаток в течение месяца, при условии что остаток больше чем ограничение",F360='депозитный калькулятор'!$D$8,EOMONTH(F360,0)&lt;&gt;F360),IF('депозитный калькулятор'!$F$1=1,$H$24,SUM(OFFSET(Q360,-E360+1,0):Q360)),IF(AND('депозитный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калькулятор'!$G$7="30/360"),DAY(EOMONTH(F360,0))=31),EOMONTH(F360,0)-1=F360,EOMONTH(F360,0)=F360)),IF(IF(AND(OR('депозитный калькулятор'!$G$7="30/365",'депозитный калькулятор'!$G$7="30/360"),DAY(EOMONTH($F$24,0))=31),F360=EOMONTH($F$24,0)-1,F360=EOMONTH($F$24,0)),SUM(OFFSET(Q360,-E360+1,0):Q360),SUM(OFFSET(Q360,-E360+1,0):Q360)),IF('депозитный калькулятор'!$G$10="ежеквартальное",IF(F360&gt;'депозитный калькулятор'!$D$8," ",IF(AND(EOMONTH(F360,0)=F360,OR(MONTH(F360)=3,MONTH(F360)=6,MONTH(F360)=9,MONTH(F360)=12)),IF(EDATE(F360,-3)&lt;'депозитный калькулятор'!$D$7,SUM($H$23:H360),IF(MOD(YEAR(F360),4)=0,IF(AND(EOMONTH(F360,0)=F360,OR(MONTH(F360)=3,MONTH(F360)=6)),SUM(OFFSET(H360,-90,0):H360),IF(AND(EOMONTH(F360,0)=F360,OR(MONTH(F360)=9,MONTH(F360)=12)),SUM(OFFSET(H360,-91,0):H360))),IF(AND(EOMONTH(F360,0)=F360,MONTH(F360)=3),SUM(OFFSET(H360,-89,0):H360),IF(AND(EOMONTH(F360,0)=F360,MONTH(F360)=6),SUM(OFFSET(H360,-90,0):H360),IF(AND(EOMONTH(F360,0)=F360,OR(MONTH(F360)=9,MONTH(F360)=12)),SUM(OFFSET(H360,-91,0):H360)))))),IF(F360='депозитный калькулятор'!$D$8,SUM($H$23:H360)-SUM($I$23:I359),0))),IF('депозитный калькулятор'!$G$10="ежегодное",IF(F360&gt;'депозитный калькулятор'!$D$8," ",IF(F360='депозитный калькулятор'!$D$8,SUM($H$23:H360)-SUM($I$23:I359),IF(AND(EOMONTH(F360,0)=F360,MONTH(F360)=12),IF(MOD(YEAR(F359),4)=0,IF(F360-'депозитный калькулятор'!$D$7&lt;366,SUM($H$23:H360),SUM(OFFSET(H360,-365,0):H360)),IF(F360-'депозитный калькулятор'!$D$7&lt;365,SUM($H$23:H360),SUM(OFFSET(H360,-364,0):H360))),0))),IF(AND('депозитный калькулятор'!$G$10="в конце срока",'депозитный калькулятор'!$D$8=F360),SUM($H$23:H360),0))))))))))))))))))</f>
        <v xml:space="preserve"> </v>
      </c>
      <c r="J360" s="59" t="str">
        <f>IF(F360&gt;'депозитный калькулятор'!$D$8," ",IF('депозитный калькулятор'!$G$16="нет",0,IF(AND('депозитный калькулятор'!$G$17="разовая (в конце срока)",F360='депозитный калькулятор'!$D$8),'депозитный калькулятор'!$G$18,IF(AND('депозитный калькулятор'!$G$17="ежемесячная",EOMONTH(F359,0)=F359),'депозитный калькулятор'!$G$18,IF(AND('депозитный калькулятор'!$G$17="ежегодная",DAY(F359)=31,MONTH(F359)=12),'депозитный калькулятор'!$G$18,IF(AND('депозитный калькулятор'!$G$17="ежемесячная в зависимости от остатка",EOMONTH(F359,0)=F359,P359&gt;0),'депозитный калькулятор'!$G$18,IF(AND('депозитный калькулятор'!$G$17="ежегодная в зависимости от остатка",DAY(F359)=31,MONTH(F359)=12,P359&gt;0),'депозитный калькулятор'!$G$18,0)))))))</f>
        <v xml:space="preserve"> </v>
      </c>
      <c r="K360" s="135" t="str">
        <f>IF($F360=" "," ",IFERROR(VLOOKUP($F360,'депозитный калькулятор'!$B$26:$F$70,2,0),0))</f>
        <v xml:space="preserve"> </v>
      </c>
      <c r="L360" s="135" t="str">
        <f>IF($F360=" "," ",IFERROR(VLOOKUP($F360,'депозитный калькулятор'!$B$26:$F$70,3,0),0))</f>
        <v xml:space="preserve"> </v>
      </c>
      <c r="M360" s="135" t="str">
        <f>IF($F360=" "," ",IFERROR(VLOOKUP($F360,'депозитный калькулятор'!$B$26:$F$70,4,0),0))</f>
        <v xml:space="preserve"> </v>
      </c>
      <c r="N360" s="135" t="str">
        <f>IF($F360=" "," ",IFERROR(VLOOKUP($F360,'депозитный калькулятор'!$B$26:$F$70,5,0),0))</f>
        <v xml:space="preserve"> </v>
      </c>
      <c r="O360" s="146" t="str">
        <f>IF(F360&gt;'депозитный калькулятор'!$D$8," ",IF(F360='депозитный калькулятор'!$D$8,IF(AND($F$24='депозитный калькулятор'!$D$8,'депозитный калькулятор'!$G$13="нет"),-G360-IF(I360=" ",0,I360)-IF(AND(OR('депозитный калькулятор'!$G$7="30/365",'депозитный калькулятор'!$G$7="30/360"),'депозитный калькулятор'!$G$10="в начале срока"),I359,0)-L360+M360-N360,-G360-IF(I360=" ",0,I360)-L360+M360-N360),IF('депозитный калькулятор'!$G$13="есть",M360-N360+IF('депозитный калькулятор'!$G$14="есть",0,-L360),-IF(I360=" ",0,I360)-IF(AND(OR('депозитный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срока"),I359,0)+M360-N360+IF('депозитный калькулятор'!$G$14="есть",0,-L360))))</f>
        <v xml:space="preserve"> </v>
      </c>
      <c r="P360" s="147" t="str">
        <f>IF(F360&gt;'депозитный калькулятор'!$D$8," ",IF(EOMONTH(F359,0)=F359,0,IF(G360&gt;='депозитный калькулятор'!$G$19,P359,P359+1)))</f>
        <v xml:space="preserve"> </v>
      </c>
      <c r="Q360" s="138" t="str">
        <f>IF(F360=" "," ",IF(AND(OR('депозитный калькулятор'!$G$7="30/365",'депозитный калькулятор'!$G$7="30/360"),AND(MONTH(F360)=2,EOMONTH(F360,0)=F360)),IF(DAY(F360)=28,3,2),1)*IF(G360&gt;='депозитный калькулятор'!$G$11,IF(AND('депозитный калькулятор'!$G$7="факт/факт",MOD(YEAR(F360),4)=0),G360*'депозитный калькулятор'!$D$11/366,G360*'депозитный калькулятор'!$G$8),0))</f>
        <v xml:space="preserve"> </v>
      </c>
      <c r="R360" s="148"/>
      <c r="S360" s="62" t="str">
        <f t="shared" ca="1" si="27"/>
        <v xml:space="preserve"> </v>
      </c>
      <c r="T360" s="149" t="str">
        <f ca="1">IF(S360=" "," ",IF('депозитный калькулятор'!$G$7="30/360",DAYS360(U359,IF(DAY(U360)=31,U360-1,U360))+IF(AND(MONTH(U360)=2,U360=EOMONTH(U360,0)),30-DAY(EOMONTH(U360,0)))+T359,VLOOKUP(S360,$C$22:$F$1023,2,0)))</f>
        <v xml:space="preserve"> </v>
      </c>
      <c r="U360" s="64" t="str">
        <f t="shared" ca="1" si="25"/>
        <v xml:space="preserve"> </v>
      </c>
      <c r="V360" s="150" t="str">
        <f t="shared" ca="1" si="28"/>
        <v xml:space="preserve"> </v>
      </c>
      <c r="W360" s="62" t="str">
        <f t="shared" ca="1" si="29"/>
        <v xml:space="preserve"> </v>
      </c>
      <c r="X360" s="141" t="str">
        <f ca="1">IF(S360=" "," ",IFERROR(VLOOKUP(U360,$F$23:$N$1023,7)+VLOOKUP(U360,$F$23:$N$1023,9)+IF(AND('депозитный калькулятор'!$G$13="нет",U360&lt;&gt;'депозитный калькулятор'!$D$8),VLOOKUP(U360,$F$23:$N$1023,4),0),0)+IF(U360='депозитный калькулятор'!$D$8,VLOOKUP(U360,$F$23:$N$1023,2)+VLOOKUP(U360,$F$23:$N$1023,4),0))</f>
        <v xml:space="preserve"> </v>
      </c>
      <c r="Y360" s="142" t="str">
        <f ca="1">IF(S360=" "," ",W360/(1+'депозитный калькулятор'!$K$8)^(T360/IF('депозитный калькулятор'!$G$7="30/360",360,365)))</f>
        <v xml:space="preserve"> </v>
      </c>
      <c r="Z360" s="142" t="str">
        <f ca="1">IF(S360=" "," ",X360/(1+'депозитный калькулятор'!$K$8)^(T360/IF('депозитный калькулятор'!$G$7="30/360",360,365)))</f>
        <v xml:space="preserve"> </v>
      </c>
      <c r="AA360" s="151"/>
      <c r="AB360" s="151"/>
      <c r="AC360" s="155"/>
      <c r="AD360" s="155"/>
    </row>
    <row r="361" spans="1:30" s="2" customFormat="1" ht="15.5" x14ac:dyDescent="0.35">
      <c r="A361" s="41" t="str">
        <f>IF(F361=" "," ",IF(OR('депозитный калькулятор'!$G$7="30/365",'депозитный калькулятор'!$G$7="30/360"),IF(AND(MONTH(F361)=2,DAY(F361)=DAY(EOMONTH(F361,0))),30-DAY(EOMONTH(F361,0)),IF(DAY(F361)=31,1," "))," "))</f>
        <v xml:space="preserve"> </v>
      </c>
      <c r="B361" s="130" t="str">
        <f t="shared" si="26"/>
        <v xml:space="preserve"> </v>
      </c>
      <c r="C361" s="130" t="str">
        <f>IF(OR(B361=0,B361=" ")," ",SUM($B$23:B361))</f>
        <v xml:space="preserve"> </v>
      </c>
      <c r="D361" s="62" t="str">
        <f>IF(D360=" "," ",IF(OR(F360='депозитный калькулятор'!$D$8,F360=" ")," ",D360+1))</f>
        <v xml:space="preserve"> </v>
      </c>
      <c r="E361" s="130" t="str">
        <f>IF(OR(F360='депозитный калькулятор'!$D$8,F360=" ")," ",IF(EOMONTH(F360,0)=F360,1,E360+1))</f>
        <v xml:space="preserve"> </v>
      </c>
      <c r="F361" s="64" t="str">
        <f>IF(F360=" "," ",IF(F360='депозитный калькулятор'!$D$8," ",F360+1))</f>
        <v xml:space="preserve"> </v>
      </c>
      <c r="G361" s="145" t="str">
        <f xml:space="preserve"> IF(F361&gt;'депозитный калькулятор'!$D$8," ",IF('депозитный калькулятор'!$G$13="есть",IF('депозитный калькулятор'!$G$14="есть",G360+IF(I360=" ",0,I360)-J361-K361+L361+M361-N361,G360+IF(I360=" ",0,I360)-J361-K361+M361-N361),IF('депозитный калькулятор'!$G$14="есть",G360-J361-K361+L361+M361-N361,G360-J361-K361+M361-N361)))</f>
        <v xml:space="preserve"> </v>
      </c>
      <c r="H361" s="133" t="str">
        <f>IF(F361&gt;'депозитный калькулятор'!$D$8," ",IF(AND(OR('депозитный калькулятор'!$G$7="30/365",'депозитный калькулятор'!$G$7="30/360"),AND(MONTH(F361)=2,EOMONTH(F361,0)=F361)),IF(DAY(F361)=28,3*G361*'депозитный калькулятор'!$G$8,2*G361*'депозитный калькулятор'!$G$8),IF(AND(OR('депозитный калькулятор'!$G$7="30/365",'депозитный калькулятор'!$G$7="30/360"),DAY(F361)=31)," ",IF(AND('депозитный калькулятор'!$G$7="факт/факт",MOD(YEAR(F361),4)=0),G361*'депозитный калькулятор'!$D$11/366,G361*'депозитный калькулятор'!$G$8))))</f>
        <v xml:space="preserve"> </v>
      </c>
      <c r="I361" s="134" t="str">
        <f ca="1">IF(F361=" "," ",IF('депозитный калькулятор'!$G$10="ежедневное",H361,IF(AND('депозитный калькулятор'!$G$10="еженедельное",WEEKDAY(F361,2)=7),SUM(OFFSET(H361,-6,0):H361),IF(AND('депозитный калькулятор'!$G$10="еженедельное",F361='депозитный калькулятор'!$D$8),SUM($H$23:H361)-SUM($I$23:I360),IF(AND('депозитный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недели",WEEKDAY(F361,2)=7),MIN(OFFSET(H361,-6,0):H361)*(COUNTIF(OFFSET(H361,-6,0):H361,"&gt;0")+SUMIF(OFFSET(A361,-WEEKDAY(F361,2),0):A361,"=2",OFFSET(A361,-WEEKDAY(F361,2),0):A361)),IF(AND('депозитный калькулятор'!$G$10="еженедельное, на минимальную сумму зафиксированную в течение недели",F361='депозитный калькулятор'!$D$8,WEEKDAY(F361,2)&lt;&gt;7),MIN(OFFSET(H361,-WEEKDAY(F361,2),0):H361)*(COUNTIF(OFFSET(H361,-WEEKDAY(F361,2)+1,0):H361,"&gt;0")+SUM(OFFSET(A361,-WEEKDAY(F361,2),0):A361)),IF(AND('депозитный калькулятор'!$G$10="ежемесячное (в конце месяца)",F361='депозитный калькулятор'!$D$8,EOMONTH(F361,0)&lt;&gt;F361),IF('депозитный калькулятор'!$F$1=1,$H$24,SUM($H$23:H361)-SUM($I$23:I360)),IF(AND('депозитный калькулятор'!$G$10="ежемесячное (в конце месяца)",EOMONTH(F361,0)=F361),SUM($H$23:H361)-SUM($I$23:I360),IF(AND('депозитный калькулятор'!$G$10="ежемесячное (по дням открытия вклада)",F361='депозитный калькулятор'!$D$8,DAY('депозитный калькулятор'!$D$7)&lt;&gt;DAY(F361)),IF('депозитный калькулятор'!$F$1=1,$H$24,SUM($H$23:H361)-SUM($I$23:I360)),IF(AND('депозитный калькулятор'!$G$10="ежемесячное (по дням открытия вклада)",DAY('депозитный калькулятор'!$D$7)=DAY(F361)),SUM($H$23:H361)-SUM($I$23:I360),IF(AND('депозитный калькулятор'!$G$10="ежемесячное, на минимальную сумму зафиксированную в течение месяца",F361='депозитный калькулятор'!$D$8,EOMONTH(F361,0)&lt;&gt;F361),IF('депозитный калькулятор'!$F$1=1,$H$24,IF(AND(OR('депозитный калькулятор'!$G$7="30/365",'депозитный калькулятор'!$G$7="30/360"),DAY(F361)=31),0,MIN(OFFSET(H361,-E361+1,0):H361)*(E361+SUMIF(OFFSET(A361,-E361+1,0):A361,"=2",OFFSET(A361,-E361+1,0):A361)))),IF(AND('депозитный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калькулятор'!$G$7="30/360"),DAY(EOMONTH(F361,0))=31),EOMONTH(F361,0)-1=F361,EOMONTH(F361,0)=F361)),IF(IF(AND(OR('депозитный калькулятор'!$G$7="30/365",'депозитный калькулятор'!$G$7="30/360"),DAY(EOMONTH($F$23,0))=31),F361=EOMONTH($F$23,0)-1,F361=EOMONTH($F$23,0)),MIN(OFFSET(H361,-(DAY(F361)-DAY($F$23)),0):H361)*E361,MIN(OFFSET(H361,-(DAY(F361)-1),0):H361)*IF(AND(OR('депозитный калькулятор'!$G$7="30/365",'депозитный калькулятор'!$G$7="30/360"),DAY(F361)&lt;30),30,DAY(F361))),IF(AND('депозитный калькулятор'!$G$10="ежемесячное, на средний остаток в течение месяца, при условии что остаток больше чем ограничение",F361='депозитный калькулятор'!$D$8,EOMONTH(F361,0)&lt;&gt;F361),IF('депозитный калькулятор'!$F$1=1,$H$24,SUM(OFFSET(Q361,-E361+1,0):Q361)),IF(AND('депозитный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калькулятор'!$G$7="30/360"),DAY(EOMONTH(F361,0))=31),EOMONTH(F361,0)-1=F361,EOMONTH(F361,0)=F361)),IF(IF(AND(OR('депозитный калькулятор'!$G$7="30/365",'депозитный калькулятор'!$G$7="30/360"),DAY(EOMONTH($F$24,0))=31),F361=EOMONTH($F$24,0)-1,F361=EOMONTH($F$24,0)),SUM(OFFSET(Q361,-E361+1,0):Q361),SUM(OFFSET(Q361,-E361+1,0):Q361)),IF('депозитный калькулятор'!$G$10="ежеквартальное",IF(F361&gt;'депозитный калькулятор'!$D$8," ",IF(AND(EOMONTH(F361,0)=F361,OR(MONTH(F361)=3,MONTH(F361)=6,MONTH(F361)=9,MONTH(F361)=12)),IF(EDATE(F361,-3)&lt;'депозитный калькулятор'!$D$7,SUM($H$23:H361),IF(MOD(YEAR(F361),4)=0,IF(AND(EOMONTH(F361,0)=F361,OR(MONTH(F361)=3,MONTH(F361)=6)),SUM(OFFSET(H361,-90,0):H361),IF(AND(EOMONTH(F361,0)=F361,OR(MONTH(F361)=9,MONTH(F361)=12)),SUM(OFFSET(H361,-91,0):H361))),IF(AND(EOMONTH(F361,0)=F361,MONTH(F361)=3),SUM(OFFSET(H361,-89,0):H361),IF(AND(EOMONTH(F361,0)=F361,MONTH(F361)=6),SUM(OFFSET(H361,-90,0):H361),IF(AND(EOMONTH(F361,0)=F361,OR(MONTH(F361)=9,MONTH(F361)=12)),SUM(OFFSET(H361,-91,0):H361)))))),IF(F361='депозитный калькулятор'!$D$8,SUM($H$23:H361)-SUM($I$23:I360),0))),IF('депозитный калькулятор'!$G$10="ежегодное",IF(F361&gt;'депозитный калькулятор'!$D$8," ",IF(F361='депозитный калькулятор'!$D$8,SUM($H$23:H361)-SUM($I$23:I360),IF(AND(EOMONTH(F361,0)=F361,MONTH(F361)=12),IF(MOD(YEAR(F360),4)=0,IF(F361-'депозитный калькулятор'!$D$7&lt;366,SUM($H$23:H361),SUM(OFFSET(H361,-365,0):H361)),IF(F361-'депозитный калькулятор'!$D$7&lt;365,SUM($H$23:H361),SUM(OFFSET(H361,-364,0):H361))),0))),IF(AND('депозитный калькулятор'!$G$10="в конце срока",'депозитный калькулятор'!$D$8=F361),SUM($H$23:H361),0))))))))))))))))))</f>
        <v xml:space="preserve"> </v>
      </c>
      <c r="J361" s="59" t="str">
        <f>IF(F361&gt;'депозитный калькулятор'!$D$8," ",IF('депозитный калькулятор'!$G$16="нет",0,IF(AND('депозитный калькулятор'!$G$17="разовая (в конце срока)",F361='депозитный калькулятор'!$D$8),'депозитный калькулятор'!$G$18,IF(AND('депозитный калькулятор'!$G$17="ежемесячная",EOMONTH(F360,0)=F360),'депозитный калькулятор'!$G$18,IF(AND('депозитный калькулятор'!$G$17="ежегодная",DAY(F360)=31,MONTH(F360)=12),'депозитный калькулятор'!$G$18,IF(AND('депозитный калькулятор'!$G$17="ежемесячная в зависимости от остатка",EOMONTH(F360,0)=F360,P360&gt;0),'депозитный калькулятор'!$G$18,IF(AND('депозитный калькулятор'!$G$17="ежегодная в зависимости от остатка",DAY(F360)=31,MONTH(F360)=12,P360&gt;0),'депозитный калькулятор'!$G$18,0)))))))</f>
        <v xml:space="preserve"> </v>
      </c>
      <c r="K361" s="135" t="str">
        <f>IF($F361=" "," ",IFERROR(VLOOKUP($F361,'депозитный калькулятор'!$B$26:$F$70,2,0),0))</f>
        <v xml:space="preserve"> </v>
      </c>
      <c r="L361" s="135" t="str">
        <f>IF($F361=" "," ",IFERROR(VLOOKUP($F361,'депозитный калькулятор'!$B$26:$F$70,3,0),0))</f>
        <v xml:space="preserve"> </v>
      </c>
      <c r="M361" s="135" t="str">
        <f>IF($F361=" "," ",IFERROR(VLOOKUP($F361,'депозитный калькулятор'!$B$26:$F$70,4,0),0))</f>
        <v xml:space="preserve"> </v>
      </c>
      <c r="N361" s="135" t="str">
        <f>IF($F361=" "," ",IFERROR(VLOOKUP($F361,'депозитный калькулятор'!$B$26:$F$70,5,0),0))</f>
        <v xml:space="preserve"> </v>
      </c>
      <c r="O361" s="146" t="str">
        <f>IF(F361&gt;'депозитный калькулятор'!$D$8," ",IF(F361='депозитный калькулятор'!$D$8,IF(AND($F$24='депозитный калькулятор'!$D$8,'депозитный калькулятор'!$G$13="нет"),-G361-IF(I361=" ",0,I361)-IF(AND(OR('депозитный калькулятор'!$G$7="30/365",'депозитный калькулятор'!$G$7="30/360"),'депозитный калькулятор'!$G$10="в начале срока"),I360,0)-L361+M361-N361,-G361-IF(I361=" ",0,I361)-L361+M361-N361),IF('депозитный калькулятор'!$G$13="есть",M361-N361+IF('депозитный калькулятор'!$G$14="есть",0,-L361),-IF(I361=" ",0,I361)-IF(AND(OR('депозитный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срока"),I360,0)+M361-N361+IF('депозитный калькулятор'!$G$14="есть",0,-L361))))</f>
        <v xml:space="preserve"> </v>
      </c>
      <c r="P361" s="147" t="str">
        <f>IF(F361&gt;'депозитный калькулятор'!$D$8," ",IF(EOMONTH(F360,0)=F360,0,IF(G361&gt;='депозитный калькулятор'!$G$19,P360,P360+1)))</f>
        <v xml:space="preserve"> </v>
      </c>
      <c r="Q361" s="138" t="str">
        <f>IF(F361=" "," ",IF(AND(OR('депозитный калькулятор'!$G$7="30/365",'депозитный калькулятор'!$G$7="30/360"),AND(MONTH(F361)=2,EOMONTH(F361,0)=F361)),IF(DAY(F361)=28,3,2),1)*IF(G361&gt;='депозитный калькулятор'!$G$11,IF(AND('депозитный калькулятор'!$G$7="факт/факт",MOD(YEAR(F361),4)=0),G361*'депозитный калькулятор'!$D$11/366,G361*'депозитный калькулятор'!$G$8),0))</f>
        <v xml:space="preserve"> </v>
      </c>
      <c r="R361" s="148"/>
      <c r="S361" s="62" t="str">
        <f t="shared" ca="1" si="27"/>
        <v xml:space="preserve"> </v>
      </c>
      <c r="T361" s="149" t="str">
        <f ca="1">IF(S361=" "," ",IF('депозитный калькулятор'!$G$7="30/360",DAYS360(U360,IF(DAY(U361)=31,U361-1,U361))+IF(AND(MONTH(U361)=2,U361=EOMONTH(U361,0)),30-DAY(EOMONTH(U361,0)))+T360,VLOOKUP(S361,$C$22:$F$1023,2,0)))</f>
        <v xml:space="preserve"> </v>
      </c>
      <c r="U361" s="64" t="str">
        <f t="shared" ca="1" si="25"/>
        <v xml:space="preserve"> </v>
      </c>
      <c r="V361" s="150" t="str">
        <f t="shared" ca="1" si="28"/>
        <v xml:space="preserve"> </v>
      </c>
      <c r="W361" s="62" t="str">
        <f t="shared" ca="1" si="29"/>
        <v xml:space="preserve"> </v>
      </c>
      <c r="X361" s="141" t="str">
        <f ca="1">IF(S361=" "," ",IFERROR(VLOOKUP(U361,$F$23:$N$1023,7)+VLOOKUP(U361,$F$23:$N$1023,9)+IF(AND('депозитный калькулятор'!$G$13="нет",U361&lt;&gt;'депозитный калькулятор'!$D$8),VLOOKUP(U361,$F$23:$N$1023,4),0),0)+IF(U361='депозитный калькулятор'!$D$8,VLOOKUP(U361,$F$23:$N$1023,2)+VLOOKUP(U361,$F$23:$N$1023,4),0))</f>
        <v xml:space="preserve"> </v>
      </c>
      <c r="Y361" s="142" t="str">
        <f ca="1">IF(S361=" "," ",W361/(1+'депозитный калькулятор'!$K$8)^(T361/IF('депозитный калькулятор'!$G$7="30/360",360,365)))</f>
        <v xml:space="preserve"> </v>
      </c>
      <c r="Z361" s="142" t="str">
        <f ca="1">IF(S361=" "," ",X361/(1+'депозитный калькулятор'!$K$8)^(T361/IF('депозитный калькулятор'!$G$7="30/360",360,365)))</f>
        <v xml:space="preserve"> </v>
      </c>
      <c r="AA361" s="151"/>
      <c r="AB361" s="151"/>
      <c r="AC361" s="155"/>
      <c r="AD361" s="155"/>
    </row>
    <row r="362" spans="1:30" s="2" customFormat="1" ht="15.5" x14ac:dyDescent="0.35">
      <c r="A362" s="41" t="str">
        <f>IF(F362=" "," ",IF(OR('депозитный калькулятор'!$G$7="30/365",'депозитный калькулятор'!$G$7="30/360"),IF(AND(MONTH(F362)=2,DAY(F362)=DAY(EOMONTH(F362,0))),30-DAY(EOMONTH(F362,0)),IF(DAY(F362)=31,1," "))," "))</f>
        <v xml:space="preserve"> </v>
      </c>
      <c r="B362" s="130" t="str">
        <f t="shared" si="26"/>
        <v xml:space="preserve"> </v>
      </c>
      <c r="C362" s="130" t="str">
        <f>IF(OR(B362=0,B362=" ")," ",SUM($B$23:B362))</f>
        <v xml:space="preserve"> </v>
      </c>
      <c r="D362" s="62" t="str">
        <f>IF(D361=" "," ",IF(OR(F361='депозитный калькулятор'!$D$8,F361=" ")," ",D361+1))</f>
        <v xml:space="preserve"> </v>
      </c>
      <c r="E362" s="130" t="str">
        <f>IF(OR(F361='депозитный калькулятор'!$D$8,F361=" ")," ",IF(EOMONTH(F361,0)=F361,1,E361+1))</f>
        <v xml:space="preserve"> </v>
      </c>
      <c r="F362" s="64" t="str">
        <f>IF(F361=" "," ",IF(F361='депозитный калькулятор'!$D$8," ",F361+1))</f>
        <v xml:space="preserve"> </v>
      </c>
      <c r="G362" s="145" t="str">
        <f xml:space="preserve"> IF(F362&gt;'депозитный калькулятор'!$D$8," ",IF('депозитный калькулятор'!$G$13="есть",IF('депозитный калькулятор'!$G$14="есть",G361+IF(I361=" ",0,I361)-J362-K362+L362+M362-N362,G361+IF(I361=" ",0,I361)-J362-K362+M362-N362),IF('депозитный калькулятор'!$G$14="есть",G361-J362-K362+L362+M362-N362,G361-J362-K362+M362-N362)))</f>
        <v xml:space="preserve"> </v>
      </c>
      <c r="H362" s="133" t="str">
        <f>IF(F362&gt;'депозитный калькулятор'!$D$8," ",IF(AND(OR('депозитный калькулятор'!$G$7="30/365",'депозитный калькулятор'!$G$7="30/360"),AND(MONTH(F362)=2,EOMONTH(F362,0)=F362)),IF(DAY(F362)=28,3*G362*'депозитный калькулятор'!$G$8,2*G362*'депозитный калькулятор'!$G$8),IF(AND(OR('депозитный калькулятор'!$G$7="30/365",'депозитный калькулятор'!$G$7="30/360"),DAY(F362)=31)," ",IF(AND('депозитный калькулятор'!$G$7="факт/факт",MOD(YEAR(F362),4)=0),G362*'депозитный калькулятор'!$D$11/366,G362*'депозитный калькулятор'!$G$8))))</f>
        <v xml:space="preserve"> </v>
      </c>
      <c r="I362" s="134" t="str">
        <f ca="1">IF(F362=" "," ",IF('депозитный калькулятор'!$G$10="ежедневное",H362,IF(AND('депозитный калькулятор'!$G$10="еженедельное",WEEKDAY(F362,2)=7),SUM(OFFSET(H362,-6,0):H362),IF(AND('депозитный калькулятор'!$G$10="еженедельное",F362='депозитный калькулятор'!$D$8),SUM($H$23:H362)-SUM($I$23:I361),IF(AND('депозитный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недели",WEEKDAY(F362,2)=7),MIN(OFFSET(H362,-6,0):H362)*(COUNTIF(OFFSET(H362,-6,0):H362,"&gt;0")+SUMIF(OFFSET(A362,-WEEKDAY(F362,2),0):A362,"=2",OFFSET(A362,-WEEKDAY(F362,2),0):A362)),IF(AND('депозитный калькулятор'!$G$10="еженедельное, на минимальную сумму зафиксированную в течение недели",F362='депозитный калькулятор'!$D$8,WEEKDAY(F362,2)&lt;&gt;7),MIN(OFFSET(H362,-WEEKDAY(F362,2),0):H362)*(COUNTIF(OFFSET(H362,-WEEKDAY(F362,2)+1,0):H362,"&gt;0")+SUM(OFFSET(A362,-WEEKDAY(F362,2),0):A362)),IF(AND('депозитный калькулятор'!$G$10="ежемесячное (в конце месяца)",F362='депозитный калькулятор'!$D$8,EOMONTH(F362,0)&lt;&gt;F362),IF('депозитный калькулятор'!$F$1=1,$H$24,SUM($H$23:H362)-SUM($I$23:I361)),IF(AND('депозитный калькулятор'!$G$10="ежемесячное (в конце месяца)",EOMONTH(F362,0)=F362),SUM($H$23:H362)-SUM($I$23:I361),IF(AND('депозитный калькулятор'!$G$10="ежемесячное (по дням открытия вклада)",F362='депозитный калькулятор'!$D$8,DAY('депозитный калькулятор'!$D$7)&lt;&gt;DAY(F362)),IF('депозитный калькулятор'!$F$1=1,$H$24,SUM($H$23:H362)-SUM($I$23:I361)),IF(AND('депозитный калькулятор'!$G$10="ежемесячное (по дням открытия вклада)",DAY('депозитный калькулятор'!$D$7)=DAY(F362)),SUM($H$23:H362)-SUM($I$23:I361),IF(AND('депозитный калькулятор'!$G$10="ежемесячное, на минимальную сумму зафиксированную в течение месяца",F362='депозитный калькулятор'!$D$8,EOMONTH(F362,0)&lt;&gt;F362),IF('депозитный калькулятор'!$F$1=1,$H$24,IF(AND(OR('депозитный калькулятор'!$G$7="30/365",'депозитный калькулятор'!$G$7="30/360"),DAY(F362)=31),0,MIN(OFFSET(H362,-E362+1,0):H362)*(E362+SUMIF(OFFSET(A362,-E362+1,0):A362,"=2",OFFSET(A362,-E362+1,0):A362)))),IF(AND('депозитный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калькулятор'!$G$7="30/360"),DAY(EOMONTH(F362,0))=31),EOMONTH(F362,0)-1=F362,EOMONTH(F362,0)=F362)),IF(IF(AND(OR('депозитный калькулятор'!$G$7="30/365",'депозитный калькулятор'!$G$7="30/360"),DAY(EOMONTH($F$23,0))=31),F362=EOMONTH($F$23,0)-1,F362=EOMONTH($F$23,0)),MIN(OFFSET(H362,-(DAY(F362)-DAY($F$23)),0):H362)*E362,MIN(OFFSET(H362,-(DAY(F362)-1),0):H362)*IF(AND(OR('депозитный калькулятор'!$G$7="30/365",'депозитный калькулятор'!$G$7="30/360"),DAY(F362)&lt;30),30,DAY(F362))),IF(AND('депозитный калькулятор'!$G$10="ежемесячное, на средний остаток в течение месяца, при условии что остаток больше чем ограничение",F362='депозитный калькулятор'!$D$8,EOMONTH(F362,0)&lt;&gt;F362),IF('депозитный калькулятор'!$F$1=1,$H$24,SUM(OFFSET(Q362,-E362+1,0):Q362)),IF(AND('депозитный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калькулятор'!$G$7="30/360"),DAY(EOMONTH(F362,0))=31),EOMONTH(F362,0)-1=F362,EOMONTH(F362,0)=F362)),IF(IF(AND(OR('депозитный калькулятор'!$G$7="30/365",'депозитный калькулятор'!$G$7="30/360"),DAY(EOMONTH($F$24,0))=31),F362=EOMONTH($F$24,0)-1,F362=EOMONTH($F$24,0)),SUM(OFFSET(Q362,-E362+1,0):Q362),SUM(OFFSET(Q362,-E362+1,0):Q362)),IF('депозитный калькулятор'!$G$10="ежеквартальное",IF(F362&gt;'депозитный калькулятор'!$D$8," ",IF(AND(EOMONTH(F362,0)=F362,OR(MONTH(F362)=3,MONTH(F362)=6,MONTH(F362)=9,MONTH(F362)=12)),IF(EDATE(F362,-3)&lt;'депозитный калькулятор'!$D$7,SUM($H$23:H362),IF(MOD(YEAR(F362),4)=0,IF(AND(EOMONTH(F362,0)=F362,OR(MONTH(F362)=3,MONTH(F362)=6)),SUM(OFFSET(H362,-90,0):H362),IF(AND(EOMONTH(F362,0)=F362,OR(MONTH(F362)=9,MONTH(F362)=12)),SUM(OFFSET(H362,-91,0):H362))),IF(AND(EOMONTH(F362,0)=F362,MONTH(F362)=3),SUM(OFFSET(H362,-89,0):H362),IF(AND(EOMONTH(F362,0)=F362,MONTH(F362)=6),SUM(OFFSET(H362,-90,0):H362),IF(AND(EOMONTH(F362,0)=F362,OR(MONTH(F362)=9,MONTH(F362)=12)),SUM(OFFSET(H362,-91,0):H362)))))),IF(F362='депозитный калькулятор'!$D$8,SUM($H$23:H362)-SUM($I$23:I361),0))),IF('депозитный калькулятор'!$G$10="ежегодное",IF(F362&gt;'депозитный калькулятор'!$D$8," ",IF(F362='депозитный калькулятор'!$D$8,SUM($H$23:H362)-SUM($I$23:I361),IF(AND(EOMONTH(F362,0)=F362,MONTH(F362)=12),IF(MOD(YEAR(F361),4)=0,IF(F362-'депозитный калькулятор'!$D$7&lt;366,SUM($H$23:H362),SUM(OFFSET(H362,-365,0):H362)),IF(F362-'депозитный калькулятор'!$D$7&lt;365,SUM($H$23:H362),SUM(OFFSET(H362,-364,0):H362))),0))),IF(AND('депозитный калькулятор'!$G$10="в конце срока",'депозитный калькулятор'!$D$8=F362),SUM($H$23:H362),0))))))))))))))))))</f>
        <v xml:space="preserve"> </v>
      </c>
      <c r="J362" s="59" t="str">
        <f>IF(F362&gt;'депозитный калькулятор'!$D$8," ",IF('депозитный калькулятор'!$G$16="нет",0,IF(AND('депозитный калькулятор'!$G$17="разовая (в конце срока)",F362='депозитный калькулятор'!$D$8),'депозитный калькулятор'!$G$18,IF(AND('депозитный калькулятор'!$G$17="ежемесячная",EOMONTH(F361,0)=F361),'депозитный калькулятор'!$G$18,IF(AND('депозитный калькулятор'!$G$17="ежегодная",DAY(F361)=31,MONTH(F361)=12),'депозитный калькулятор'!$G$18,IF(AND('депозитный калькулятор'!$G$17="ежемесячная в зависимости от остатка",EOMONTH(F361,0)=F361,P361&gt;0),'депозитный калькулятор'!$G$18,IF(AND('депозитный калькулятор'!$G$17="ежегодная в зависимости от остатка",DAY(F361)=31,MONTH(F361)=12,P361&gt;0),'депозитный калькулятор'!$G$18,0)))))))</f>
        <v xml:space="preserve"> </v>
      </c>
      <c r="K362" s="135" t="str">
        <f>IF($F362=" "," ",IFERROR(VLOOKUP($F362,'депозитный калькулятор'!$B$26:$F$70,2,0),0))</f>
        <v xml:space="preserve"> </v>
      </c>
      <c r="L362" s="135" t="str">
        <f>IF($F362=" "," ",IFERROR(VLOOKUP($F362,'депозитный калькулятор'!$B$26:$F$70,3,0),0))</f>
        <v xml:space="preserve"> </v>
      </c>
      <c r="M362" s="135" t="str">
        <f>IF($F362=" "," ",IFERROR(VLOOKUP($F362,'депозитный калькулятор'!$B$26:$F$70,4,0),0))</f>
        <v xml:space="preserve"> </v>
      </c>
      <c r="N362" s="135" t="str">
        <f>IF($F362=" "," ",IFERROR(VLOOKUP($F362,'депозитный калькулятор'!$B$26:$F$70,5,0),0))</f>
        <v xml:space="preserve"> </v>
      </c>
      <c r="O362" s="146" t="str">
        <f>IF(F362&gt;'депозитный калькулятор'!$D$8," ",IF(F362='депозитный калькулятор'!$D$8,IF(AND($F$24='депозитный калькулятор'!$D$8,'депозитный калькулятор'!$G$13="нет"),-G362-IF(I362=" ",0,I362)-IF(AND(OR('депозитный калькулятор'!$G$7="30/365",'депозитный калькулятор'!$G$7="30/360"),'депозитный калькулятор'!$G$10="в начале срока"),I361,0)-L362+M362-N362,-G362-IF(I362=" ",0,I362)-L362+M362-N362),IF('депозитный калькулятор'!$G$13="есть",M362-N362+IF('депозитный калькулятор'!$G$14="есть",0,-L362),-IF(I362=" ",0,I362)-IF(AND(OR('депозитный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срока"),I361,0)+M362-N362+IF('депозитный калькулятор'!$G$14="есть",0,-L362))))</f>
        <v xml:space="preserve"> </v>
      </c>
      <c r="P362" s="147" t="str">
        <f>IF(F362&gt;'депозитный калькулятор'!$D$8," ",IF(EOMONTH(F361,0)=F361,0,IF(G362&gt;='депозитный калькулятор'!$G$19,P361,P361+1)))</f>
        <v xml:space="preserve"> </v>
      </c>
      <c r="Q362" s="138" t="str">
        <f>IF(F362=" "," ",IF(AND(OR('депозитный калькулятор'!$G$7="30/365",'депозитный калькулятор'!$G$7="30/360"),AND(MONTH(F362)=2,EOMONTH(F362,0)=F362)),IF(DAY(F362)=28,3,2),1)*IF(G362&gt;='депозитный калькулятор'!$G$11,IF(AND('депозитный калькулятор'!$G$7="факт/факт",MOD(YEAR(F362),4)=0),G362*'депозитный калькулятор'!$D$11/366,G362*'депозитный калькулятор'!$G$8),0))</f>
        <v xml:space="preserve"> </v>
      </c>
      <c r="R362" s="148"/>
      <c r="S362" s="62" t="str">
        <f t="shared" ca="1" si="27"/>
        <v xml:space="preserve"> </v>
      </c>
      <c r="T362" s="149" t="str">
        <f ca="1">IF(S362=" "," ",IF('депозитный калькулятор'!$G$7="30/360",DAYS360(U361,IF(DAY(U362)=31,U362-1,U362))+IF(AND(MONTH(U362)=2,U362=EOMONTH(U362,0)),30-DAY(EOMONTH(U362,0)))+T361,VLOOKUP(S362,$C$22:$F$1023,2,0)))</f>
        <v xml:space="preserve"> </v>
      </c>
      <c r="U362" s="64" t="str">
        <f t="shared" ca="1" si="25"/>
        <v xml:space="preserve"> </v>
      </c>
      <c r="V362" s="150" t="str">
        <f t="shared" ca="1" si="28"/>
        <v xml:space="preserve"> </v>
      </c>
      <c r="W362" s="62" t="str">
        <f t="shared" ca="1" si="29"/>
        <v xml:space="preserve"> </v>
      </c>
      <c r="X362" s="141" t="str">
        <f ca="1">IF(S362=" "," ",IFERROR(VLOOKUP(U362,$F$23:$N$1023,7)+VLOOKUP(U362,$F$23:$N$1023,9)+IF(AND('депозитный калькулятор'!$G$13="нет",U362&lt;&gt;'депозитный калькулятор'!$D$8),VLOOKUP(U362,$F$23:$N$1023,4),0),0)+IF(U362='депозитный калькулятор'!$D$8,VLOOKUP(U362,$F$23:$N$1023,2)+VLOOKUP(U362,$F$23:$N$1023,4),0))</f>
        <v xml:space="preserve"> </v>
      </c>
      <c r="Y362" s="142" t="str">
        <f ca="1">IF(S362=" "," ",W362/(1+'депозитный калькулятор'!$K$8)^(T362/IF('депозитный калькулятор'!$G$7="30/360",360,365)))</f>
        <v xml:space="preserve"> </v>
      </c>
      <c r="Z362" s="142" t="str">
        <f ca="1">IF(S362=" "," ",X362/(1+'депозитный калькулятор'!$K$8)^(T362/IF('депозитный калькулятор'!$G$7="30/360",360,365)))</f>
        <v xml:space="preserve"> </v>
      </c>
      <c r="AA362" s="151"/>
      <c r="AB362" s="151"/>
      <c r="AC362" s="155"/>
      <c r="AD362" s="155"/>
    </row>
    <row r="363" spans="1:30" s="2" customFormat="1" ht="15.5" x14ac:dyDescent="0.35">
      <c r="A363" s="41" t="str">
        <f>IF(F363=" "," ",IF(OR('депозитный калькулятор'!$G$7="30/365",'депозитный калькулятор'!$G$7="30/360"),IF(AND(MONTH(F363)=2,DAY(F363)=DAY(EOMONTH(F363,0))),30-DAY(EOMONTH(F363,0)),IF(DAY(F363)=31,1," "))," "))</f>
        <v xml:space="preserve"> </v>
      </c>
      <c r="B363" s="130" t="str">
        <f t="shared" si="26"/>
        <v xml:space="preserve"> </v>
      </c>
      <c r="C363" s="130" t="str">
        <f>IF(OR(B363=0,B363=" ")," ",SUM($B$23:B363))</f>
        <v xml:space="preserve"> </v>
      </c>
      <c r="D363" s="62" t="str">
        <f>IF(D362=" "," ",IF(OR(F362='депозитный калькулятор'!$D$8,F362=" ")," ",D362+1))</f>
        <v xml:space="preserve"> </v>
      </c>
      <c r="E363" s="130" t="str">
        <f>IF(OR(F362='депозитный калькулятор'!$D$8,F362=" ")," ",IF(EOMONTH(F362,0)=F362,1,E362+1))</f>
        <v xml:space="preserve"> </v>
      </c>
      <c r="F363" s="64" t="str">
        <f>IF(F362=" "," ",IF(F362='депозитный калькулятор'!$D$8," ",F362+1))</f>
        <v xml:space="preserve"> </v>
      </c>
      <c r="G363" s="145" t="str">
        <f xml:space="preserve"> IF(F363&gt;'депозитный калькулятор'!$D$8," ",IF('депозитный калькулятор'!$G$13="есть",IF('депозитный калькулятор'!$G$14="есть",G362+IF(I362=" ",0,I362)-J363-K363+L363+M363-N363,G362+IF(I362=" ",0,I362)-J363-K363+M363-N363),IF('депозитный калькулятор'!$G$14="есть",G362-J363-K363+L363+M363-N363,G362-J363-K363+M363-N363)))</f>
        <v xml:space="preserve"> </v>
      </c>
      <c r="H363" s="133" t="str">
        <f>IF(F363&gt;'депозитный калькулятор'!$D$8," ",IF(AND(OR('депозитный калькулятор'!$G$7="30/365",'депозитный калькулятор'!$G$7="30/360"),AND(MONTH(F363)=2,EOMONTH(F363,0)=F363)),IF(DAY(F363)=28,3*G363*'депозитный калькулятор'!$G$8,2*G363*'депозитный калькулятор'!$G$8),IF(AND(OR('депозитный калькулятор'!$G$7="30/365",'депозитный калькулятор'!$G$7="30/360"),DAY(F363)=31)," ",IF(AND('депозитный калькулятор'!$G$7="факт/факт",MOD(YEAR(F363),4)=0),G363*'депозитный калькулятор'!$D$11/366,G363*'депозитный калькулятор'!$G$8))))</f>
        <v xml:space="preserve"> </v>
      </c>
      <c r="I363" s="134" t="str">
        <f ca="1">IF(F363=" "," ",IF('депозитный калькулятор'!$G$10="ежедневное",H363,IF(AND('депозитный калькулятор'!$G$10="еженедельное",WEEKDAY(F363,2)=7),SUM(OFFSET(H363,-6,0):H363),IF(AND('депозитный калькулятор'!$G$10="еженедельное",F363='депозитный калькулятор'!$D$8),SUM($H$23:H363)-SUM($I$23:I362),IF(AND('депозитный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недели",WEEKDAY(F363,2)=7),MIN(OFFSET(H363,-6,0):H363)*(COUNTIF(OFFSET(H363,-6,0):H363,"&gt;0")+SUMIF(OFFSET(A363,-WEEKDAY(F363,2),0):A363,"=2",OFFSET(A363,-WEEKDAY(F363,2),0):A363)),IF(AND('депозитный калькулятор'!$G$10="еженедельное, на минимальную сумму зафиксированную в течение недели",F363='депозитный калькулятор'!$D$8,WEEKDAY(F363,2)&lt;&gt;7),MIN(OFFSET(H363,-WEEKDAY(F363,2),0):H363)*(COUNTIF(OFFSET(H363,-WEEKDAY(F363,2)+1,0):H363,"&gt;0")+SUM(OFFSET(A363,-WEEKDAY(F363,2),0):A363)),IF(AND('депозитный калькулятор'!$G$10="ежемесячное (в конце месяца)",F363='депозитный калькулятор'!$D$8,EOMONTH(F363,0)&lt;&gt;F363),IF('депозитный калькулятор'!$F$1=1,$H$24,SUM($H$23:H363)-SUM($I$23:I362)),IF(AND('депозитный калькулятор'!$G$10="ежемесячное (в конце месяца)",EOMONTH(F363,0)=F363),SUM($H$23:H363)-SUM($I$23:I362),IF(AND('депозитный калькулятор'!$G$10="ежемесячное (по дням открытия вклада)",F363='депозитный калькулятор'!$D$8,DAY('депозитный калькулятор'!$D$7)&lt;&gt;DAY(F363)),IF('депозитный калькулятор'!$F$1=1,$H$24,SUM($H$23:H363)-SUM($I$23:I362)),IF(AND('депозитный калькулятор'!$G$10="ежемесячное (по дням открытия вклада)",DAY('депозитный калькулятор'!$D$7)=DAY(F363)),SUM($H$23:H363)-SUM($I$23:I362),IF(AND('депозитный калькулятор'!$G$10="ежемесячное, на минимальную сумму зафиксированную в течение месяца",F363='депозитный калькулятор'!$D$8,EOMONTH(F363,0)&lt;&gt;F363),IF('депозитный калькулятор'!$F$1=1,$H$24,IF(AND(OR('депозитный калькулятор'!$G$7="30/365",'депозитный калькулятор'!$G$7="30/360"),DAY(F363)=31),0,MIN(OFFSET(H363,-E363+1,0):H363)*(E363+SUMIF(OFFSET(A363,-E363+1,0):A363,"=2",OFFSET(A363,-E363+1,0):A363)))),IF(AND('депозитный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калькулятор'!$G$7="30/360"),DAY(EOMONTH(F363,0))=31),EOMONTH(F363,0)-1=F363,EOMONTH(F363,0)=F363)),IF(IF(AND(OR('депозитный калькулятор'!$G$7="30/365",'депозитный калькулятор'!$G$7="30/360"),DAY(EOMONTH($F$23,0))=31),F363=EOMONTH($F$23,0)-1,F363=EOMONTH($F$23,0)),MIN(OFFSET(H363,-(DAY(F363)-DAY($F$23)),0):H363)*E363,MIN(OFFSET(H363,-(DAY(F363)-1),0):H363)*IF(AND(OR('депозитный калькулятор'!$G$7="30/365",'депозитный калькулятор'!$G$7="30/360"),DAY(F363)&lt;30),30,DAY(F363))),IF(AND('депозитный калькулятор'!$G$10="ежемесячное, на средний остаток в течение месяца, при условии что остаток больше чем ограничение",F363='депозитный калькулятор'!$D$8,EOMONTH(F363,0)&lt;&gt;F363),IF('депозитный калькулятор'!$F$1=1,$H$24,SUM(OFFSET(Q363,-E363+1,0):Q363)),IF(AND('депозитный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калькулятор'!$G$7="30/360"),DAY(EOMONTH(F363,0))=31),EOMONTH(F363,0)-1=F363,EOMONTH(F363,0)=F363)),IF(IF(AND(OR('депозитный калькулятор'!$G$7="30/365",'депозитный калькулятор'!$G$7="30/360"),DAY(EOMONTH($F$24,0))=31),F363=EOMONTH($F$24,0)-1,F363=EOMONTH($F$24,0)),SUM(OFFSET(Q363,-E363+1,0):Q363),SUM(OFFSET(Q363,-E363+1,0):Q363)),IF('депозитный калькулятор'!$G$10="ежеквартальное",IF(F363&gt;'депозитный калькулятор'!$D$8," ",IF(AND(EOMONTH(F363,0)=F363,OR(MONTH(F363)=3,MONTH(F363)=6,MONTH(F363)=9,MONTH(F363)=12)),IF(EDATE(F363,-3)&lt;'депозитный калькулятор'!$D$7,SUM($H$23:H363),IF(MOD(YEAR(F363),4)=0,IF(AND(EOMONTH(F363,0)=F363,OR(MONTH(F363)=3,MONTH(F363)=6)),SUM(OFFSET(H363,-90,0):H363),IF(AND(EOMONTH(F363,0)=F363,OR(MONTH(F363)=9,MONTH(F363)=12)),SUM(OFFSET(H363,-91,0):H363))),IF(AND(EOMONTH(F363,0)=F363,MONTH(F363)=3),SUM(OFFSET(H363,-89,0):H363),IF(AND(EOMONTH(F363,0)=F363,MONTH(F363)=6),SUM(OFFSET(H363,-90,0):H363),IF(AND(EOMONTH(F363,0)=F363,OR(MONTH(F363)=9,MONTH(F363)=12)),SUM(OFFSET(H363,-91,0):H363)))))),IF(F363='депозитный калькулятор'!$D$8,SUM($H$23:H363)-SUM($I$23:I362),0))),IF('депозитный калькулятор'!$G$10="ежегодное",IF(F363&gt;'депозитный калькулятор'!$D$8," ",IF(F363='депозитный калькулятор'!$D$8,SUM($H$23:H363)-SUM($I$23:I362),IF(AND(EOMONTH(F363,0)=F363,MONTH(F363)=12),IF(MOD(YEAR(F362),4)=0,IF(F363-'депозитный калькулятор'!$D$7&lt;366,SUM($H$23:H363),SUM(OFFSET(H363,-365,0):H363)),IF(F363-'депозитный калькулятор'!$D$7&lt;365,SUM($H$23:H363),SUM(OFFSET(H363,-364,0):H363))),0))),IF(AND('депозитный калькулятор'!$G$10="в конце срока",'депозитный калькулятор'!$D$8=F363),SUM($H$23:H363),0))))))))))))))))))</f>
        <v xml:space="preserve"> </v>
      </c>
      <c r="J363" s="59" t="str">
        <f>IF(F363&gt;'депозитный калькулятор'!$D$8," ",IF('депозитный калькулятор'!$G$16="нет",0,IF(AND('депозитный калькулятор'!$G$17="разовая (в конце срока)",F363='депозитный калькулятор'!$D$8),'депозитный калькулятор'!$G$18,IF(AND('депозитный калькулятор'!$G$17="ежемесячная",EOMONTH(F362,0)=F362),'депозитный калькулятор'!$G$18,IF(AND('депозитный калькулятор'!$G$17="ежегодная",DAY(F362)=31,MONTH(F362)=12),'депозитный калькулятор'!$G$18,IF(AND('депозитный калькулятор'!$G$17="ежемесячная в зависимости от остатка",EOMONTH(F362,0)=F362,P362&gt;0),'депозитный калькулятор'!$G$18,IF(AND('депозитный калькулятор'!$G$17="ежегодная в зависимости от остатка",DAY(F362)=31,MONTH(F362)=12,P362&gt;0),'депозитный калькулятор'!$G$18,0)))))))</f>
        <v xml:space="preserve"> </v>
      </c>
      <c r="K363" s="135" t="str">
        <f>IF($F363=" "," ",IFERROR(VLOOKUP($F363,'депозитный калькулятор'!$B$26:$F$70,2,0),0))</f>
        <v xml:space="preserve"> </v>
      </c>
      <c r="L363" s="135" t="str">
        <f>IF($F363=" "," ",IFERROR(VLOOKUP($F363,'депозитный калькулятор'!$B$26:$F$70,3,0),0))</f>
        <v xml:space="preserve"> </v>
      </c>
      <c r="M363" s="135" t="str">
        <f>IF($F363=" "," ",IFERROR(VLOOKUP($F363,'депозитный калькулятор'!$B$26:$F$70,4,0),0))</f>
        <v xml:space="preserve"> </v>
      </c>
      <c r="N363" s="135" t="str">
        <f>IF($F363=" "," ",IFERROR(VLOOKUP($F363,'депозитный калькулятор'!$B$26:$F$70,5,0),0))</f>
        <v xml:space="preserve"> </v>
      </c>
      <c r="O363" s="146" t="str">
        <f>IF(F363&gt;'депозитный калькулятор'!$D$8," ",IF(F363='депозитный калькулятор'!$D$8,IF(AND($F$24='депозитный калькулятор'!$D$8,'депозитный калькулятор'!$G$13="нет"),-G363-IF(I363=" ",0,I363)-IF(AND(OR('депозитный калькулятор'!$G$7="30/365",'депозитный калькулятор'!$G$7="30/360"),'депозитный калькулятор'!$G$10="в начале срока"),I362,0)-L363+M363-N363,-G363-IF(I363=" ",0,I363)-L363+M363-N363),IF('депозитный калькулятор'!$G$13="есть",M363-N363+IF('депозитный калькулятор'!$G$14="есть",0,-L363),-IF(I363=" ",0,I363)-IF(AND(OR('депозитный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срока"),I362,0)+M363-N363+IF('депозитный калькулятор'!$G$14="есть",0,-L363))))</f>
        <v xml:space="preserve"> </v>
      </c>
      <c r="P363" s="147" t="str">
        <f>IF(F363&gt;'депозитный калькулятор'!$D$8," ",IF(EOMONTH(F362,0)=F362,0,IF(G363&gt;='депозитный калькулятор'!$G$19,P362,P362+1)))</f>
        <v xml:space="preserve"> </v>
      </c>
      <c r="Q363" s="138" t="str">
        <f>IF(F363=" "," ",IF(AND(OR('депозитный калькулятор'!$G$7="30/365",'депозитный калькулятор'!$G$7="30/360"),AND(MONTH(F363)=2,EOMONTH(F363,0)=F363)),IF(DAY(F363)=28,3,2),1)*IF(G363&gt;='депозитный калькулятор'!$G$11,IF(AND('депозитный калькулятор'!$G$7="факт/факт",MOD(YEAR(F363),4)=0),G363*'депозитный калькулятор'!$D$11/366,G363*'депозитный калькулятор'!$G$8),0))</f>
        <v xml:space="preserve"> </v>
      </c>
      <c r="R363" s="148"/>
      <c r="S363" s="62" t="str">
        <f t="shared" ca="1" si="27"/>
        <v xml:space="preserve"> </v>
      </c>
      <c r="T363" s="149" t="str">
        <f ca="1">IF(S363=" "," ",IF('депозитный калькулятор'!$G$7="30/360",DAYS360(U362,IF(DAY(U363)=31,U363-1,U363))+IF(AND(MONTH(U363)=2,U363=EOMONTH(U363,0)),30-DAY(EOMONTH(U363,0)))+T362,VLOOKUP(S363,$C$22:$F$1023,2,0)))</f>
        <v xml:space="preserve"> </v>
      </c>
      <c r="U363" s="64" t="str">
        <f t="shared" ca="1" si="25"/>
        <v xml:space="preserve"> </v>
      </c>
      <c r="V363" s="150" t="str">
        <f t="shared" ca="1" si="28"/>
        <v xml:space="preserve"> </v>
      </c>
      <c r="W363" s="62" t="str">
        <f t="shared" ca="1" si="29"/>
        <v xml:space="preserve"> </v>
      </c>
      <c r="X363" s="141" t="str">
        <f ca="1">IF(S363=" "," ",IFERROR(VLOOKUP(U363,$F$23:$N$1023,7)+VLOOKUP(U363,$F$23:$N$1023,9)+IF(AND('депозитный калькулятор'!$G$13="нет",U363&lt;&gt;'депозитный калькулятор'!$D$8),VLOOKUP(U363,$F$23:$N$1023,4),0),0)+IF(U363='депозитный калькулятор'!$D$8,VLOOKUP(U363,$F$23:$N$1023,2)+VLOOKUP(U363,$F$23:$N$1023,4),0))</f>
        <v xml:space="preserve"> </v>
      </c>
      <c r="Y363" s="142" t="str">
        <f ca="1">IF(S363=" "," ",W363/(1+'депозитный калькулятор'!$K$8)^(T363/IF('депозитный калькулятор'!$G$7="30/360",360,365)))</f>
        <v xml:space="preserve"> </v>
      </c>
      <c r="Z363" s="142" t="str">
        <f ca="1">IF(S363=" "," ",X363/(1+'депозитный калькулятор'!$K$8)^(T363/IF('депозитный калькулятор'!$G$7="30/360",360,365)))</f>
        <v xml:space="preserve"> </v>
      </c>
      <c r="AA363" s="151"/>
      <c r="AB363" s="151"/>
      <c r="AC363" s="155"/>
      <c r="AD363" s="155"/>
    </row>
    <row r="364" spans="1:30" s="2" customFormat="1" ht="15.5" x14ac:dyDescent="0.35">
      <c r="A364" s="41" t="str">
        <f>IF(F364=" "," ",IF(OR('депозитный калькулятор'!$G$7="30/365",'депозитный калькулятор'!$G$7="30/360"),IF(AND(MONTH(F364)=2,DAY(F364)=DAY(EOMONTH(F364,0))),30-DAY(EOMONTH(F364,0)),IF(DAY(F364)=31,1," "))," "))</f>
        <v xml:space="preserve"> </v>
      </c>
      <c r="B364" s="130" t="str">
        <f t="shared" si="26"/>
        <v xml:space="preserve"> </v>
      </c>
      <c r="C364" s="130" t="str">
        <f>IF(OR(B364=0,B364=" ")," ",SUM($B$23:B364))</f>
        <v xml:space="preserve"> </v>
      </c>
      <c r="D364" s="62" t="str">
        <f>IF(D363=" "," ",IF(OR(F363='депозитный калькулятор'!$D$8,F363=" ")," ",D363+1))</f>
        <v xml:space="preserve"> </v>
      </c>
      <c r="E364" s="130" t="str">
        <f>IF(OR(F363='депозитный калькулятор'!$D$8,F363=" ")," ",IF(EOMONTH(F363,0)=F363,1,E363+1))</f>
        <v xml:space="preserve"> </v>
      </c>
      <c r="F364" s="64" t="str">
        <f>IF(F363=" "," ",IF(F363='депозитный калькулятор'!$D$8," ",F363+1))</f>
        <v xml:space="preserve"> </v>
      </c>
      <c r="G364" s="145" t="str">
        <f xml:space="preserve"> IF(F364&gt;'депозитный калькулятор'!$D$8," ",IF('депозитный калькулятор'!$G$13="есть",IF('депозитный калькулятор'!$G$14="есть",G363+IF(I363=" ",0,I363)-J364-K364+L364+M364-N364,G363+IF(I363=" ",0,I363)-J364-K364+M364-N364),IF('депозитный калькулятор'!$G$14="есть",G363-J364-K364+L364+M364-N364,G363-J364-K364+M364-N364)))</f>
        <v xml:space="preserve"> </v>
      </c>
      <c r="H364" s="133" t="str">
        <f>IF(F364&gt;'депозитный калькулятор'!$D$8," ",IF(AND(OR('депозитный калькулятор'!$G$7="30/365",'депозитный калькулятор'!$G$7="30/360"),AND(MONTH(F364)=2,EOMONTH(F364,0)=F364)),IF(DAY(F364)=28,3*G364*'депозитный калькулятор'!$G$8,2*G364*'депозитный калькулятор'!$G$8),IF(AND(OR('депозитный калькулятор'!$G$7="30/365",'депозитный калькулятор'!$G$7="30/360"),DAY(F364)=31)," ",IF(AND('депозитный калькулятор'!$G$7="факт/факт",MOD(YEAR(F364),4)=0),G364*'депозитный калькулятор'!$D$11/366,G364*'депозитный калькулятор'!$G$8))))</f>
        <v xml:space="preserve"> </v>
      </c>
      <c r="I364" s="134" t="str">
        <f ca="1">IF(F364=" "," ",IF('депозитный калькулятор'!$G$10="ежедневное",H364,IF(AND('депозитный калькулятор'!$G$10="еженедельное",WEEKDAY(F364,2)=7),SUM(OFFSET(H364,-6,0):H364),IF(AND('депозитный калькулятор'!$G$10="еженедельное",F364='депозитный калькулятор'!$D$8),SUM($H$23:H364)-SUM($I$23:I363),IF(AND('депозитный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недели",WEEKDAY(F364,2)=7),MIN(OFFSET(H364,-6,0):H364)*(COUNTIF(OFFSET(H364,-6,0):H364,"&gt;0")+SUMIF(OFFSET(A364,-WEEKDAY(F364,2),0):A364,"=2",OFFSET(A364,-WEEKDAY(F364,2),0):A364)),IF(AND('депозитный калькулятор'!$G$10="еженедельное, на минимальную сумму зафиксированную в течение недели",F364='депозитный калькулятор'!$D$8,WEEKDAY(F364,2)&lt;&gt;7),MIN(OFFSET(H364,-WEEKDAY(F364,2),0):H364)*(COUNTIF(OFFSET(H364,-WEEKDAY(F364,2)+1,0):H364,"&gt;0")+SUM(OFFSET(A364,-WEEKDAY(F364,2),0):A364)),IF(AND('депозитный калькулятор'!$G$10="ежемесячное (в конце месяца)",F364='депозитный калькулятор'!$D$8,EOMONTH(F364,0)&lt;&gt;F364),IF('депозитный калькулятор'!$F$1=1,$H$24,SUM($H$23:H364)-SUM($I$23:I363)),IF(AND('депозитный калькулятор'!$G$10="ежемесячное (в конце месяца)",EOMONTH(F364,0)=F364),SUM($H$23:H364)-SUM($I$23:I363),IF(AND('депозитный калькулятор'!$G$10="ежемесячное (по дням открытия вклада)",F364='депозитный калькулятор'!$D$8,DAY('депозитный калькулятор'!$D$7)&lt;&gt;DAY(F364)),IF('депозитный калькулятор'!$F$1=1,$H$24,SUM($H$23:H364)-SUM($I$23:I363)),IF(AND('депозитный калькулятор'!$G$10="ежемесячное (по дням открытия вклада)",DAY('депозитный калькулятор'!$D$7)=DAY(F364)),SUM($H$23:H364)-SUM($I$23:I363),IF(AND('депозитный калькулятор'!$G$10="ежемесячное, на минимальную сумму зафиксированную в течение месяца",F364='депозитный калькулятор'!$D$8,EOMONTH(F364,0)&lt;&gt;F364),IF('депозитный калькулятор'!$F$1=1,$H$24,IF(AND(OR('депозитный калькулятор'!$G$7="30/365",'депозитный калькулятор'!$G$7="30/360"),DAY(F364)=31),0,MIN(OFFSET(H364,-E364+1,0):H364)*(E364+SUMIF(OFFSET(A364,-E364+1,0):A364,"=2",OFFSET(A364,-E364+1,0):A364)))),IF(AND('депозитный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калькулятор'!$G$7="30/360"),DAY(EOMONTH(F364,0))=31),EOMONTH(F364,0)-1=F364,EOMONTH(F364,0)=F364)),IF(IF(AND(OR('депозитный калькулятор'!$G$7="30/365",'депозитный калькулятор'!$G$7="30/360"),DAY(EOMONTH($F$23,0))=31),F364=EOMONTH($F$23,0)-1,F364=EOMONTH($F$23,0)),MIN(OFFSET(H364,-(DAY(F364)-DAY($F$23)),0):H364)*E364,MIN(OFFSET(H364,-(DAY(F364)-1),0):H364)*IF(AND(OR('депозитный калькулятор'!$G$7="30/365",'депозитный калькулятор'!$G$7="30/360"),DAY(F364)&lt;30),30,DAY(F364))),IF(AND('депозитный калькулятор'!$G$10="ежемесячное, на средний остаток в течение месяца, при условии что остаток больше чем ограничение",F364='депозитный калькулятор'!$D$8,EOMONTH(F364,0)&lt;&gt;F364),IF('депозитный калькулятор'!$F$1=1,$H$24,SUM(OFFSET(Q364,-E364+1,0):Q364)),IF(AND('депозитный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калькулятор'!$G$7="30/360"),DAY(EOMONTH(F364,0))=31),EOMONTH(F364,0)-1=F364,EOMONTH(F364,0)=F364)),IF(IF(AND(OR('депозитный калькулятор'!$G$7="30/365",'депозитный калькулятор'!$G$7="30/360"),DAY(EOMONTH($F$24,0))=31),F364=EOMONTH($F$24,0)-1,F364=EOMONTH($F$24,0)),SUM(OFFSET(Q364,-E364+1,0):Q364),SUM(OFFSET(Q364,-E364+1,0):Q364)),IF('депозитный калькулятор'!$G$10="ежеквартальное",IF(F364&gt;'депозитный калькулятор'!$D$8," ",IF(AND(EOMONTH(F364,0)=F364,OR(MONTH(F364)=3,MONTH(F364)=6,MONTH(F364)=9,MONTH(F364)=12)),IF(EDATE(F364,-3)&lt;'депозитный калькулятор'!$D$7,SUM($H$23:H364),IF(MOD(YEAR(F364),4)=0,IF(AND(EOMONTH(F364,0)=F364,OR(MONTH(F364)=3,MONTH(F364)=6)),SUM(OFFSET(H364,-90,0):H364),IF(AND(EOMONTH(F364,0)=F364,OR(MONTH(F364)=9,MONTH(F364)=12)),SUM(OFFSET(H364,-91,0):H364))),IF(AND(EOMONTH(F364,0)=F364,MONTH(F364)=3),SUM(OFFSET(H364,-89,0):H364),IF(AND(EOMONTH(F364,0)=F364,MONTH(F364)=6),SUM(OFFSET(H364,-90,0):H364),IF(AND(EOMONTH(F364,0)=F364,OR(MONTH(F364)=9,MONTH(F364)=12)),SUM(OFFSET(H364,-91,0):H364)))))),IF(F364='депозитный калькулятор'!$D$8,SUM($H$23:H364)-SUM($I$23:I363),0))),IF('депозитный калькулятор'!$G$10="ежегодное",IF(F364&gt;'депозитный калькулятор'!$D$8," ",IF(F364='депозитный калькулятор'!$D$8,SUM($H$23:H364)-SUM($I$23:I363),IF(AND(EOMONTH(F364,0)=F364,MONTH(F364)=12),IF(MOD(YEAR(F363),4)=0,IF(F364-'депозитный калькулятор'!$D$7&lt;366,SUM($H$23:H364),SUM(OFFSET(H364,-365,0):H364)),IF(F364-'депозитный калькулятор'!$D$7&lt;365,SUM($H$23:H364),SUM(OFFSET(H364,-364,0):H364))),0))),IF(AND('депозитный калькулятор'!$G$10="в конце срока",'депозитный калькулятор'!$D$8=F364),SUM($H$23:H364),0))))))))))))))))))</f>
        <v xml:space="preserve"> </v>
      </c>
      <c r="J364" s="59" t="str">
        <f>IF(F364&gt;'депозитный калькулятор'!$D$8," ",IF('депозитный калькулятор'!$G$16="нет",0,IF(AND('депозитный калькулятор'!$G$17="разовая (в конце срока)",F364='депозитный калькулятор'!$D$8),'депозитный калькулятор'!$G$18,IF(AND('депозитный калькулятор'!$G$17="ежемесячная",EOMONTH(F363,0)=F363),'депозитный калькулятор'!$G$18,IF(AND('депозитный калькулятор'!$G$17="ежегодная",DAY(F363)=31,MONTH(F363)=12),'депозитный калькулятор'!$G$18,IF(AND('депозитный калькулятор'!$G$17="ежемесячная в зависимости от остатка",EOMONTH(F363,0)=F363,P363&gt;0),'депозитный калькулятор'!$G$18,IF(AND('депозитный калькулятор'!$G$17="ежегодная в зависимости от остатка",DAY(F363)=31,MONTH(F363)=12,P363&gt;0),'депозитный калькулятор'!$G$18,0)))))))</f>
        <v xml:space="preserve"> </v>
      </c>
      <c r="K364" s="135" t="str">
        <f>IF($F364=" "," ",IFERROR(VLOOKUP($F364,'депозитный калькулятор'!$B$26:$F$70,2,0),0))</f>
        <v xml:space="preserve"> </v>
      </c>
      <c r="L364" s="135" t="str">
        <f>IF($F364=" "," ",IFERROR(VLOOKUP($F364,'депозитный калькулятор'!$B$26:$F$70,3,0),0))</f>
        <v xml:space="preserve"> </v>
      </c>
      <c r="M364" s="135" t="str">
        <f>IF($F364=" "," ",IFERROR(VLOOKUP($F364,'депозитный калькулятор'!$B$26:$F$70,4,0),0))</f>
        <v xml:space="preserve"> </v>
      </c>
      <c r="N364" s="135" t="str">
        <f>IF($F364=" "," ",IFERROR(VLOOKUP($F364,'депозитный калькулятор'!$B$26:$F$70,5,0),0))</f>
        <v xml:space="preserve"> </v>
      </c>
      <c r="O364" s="146" t="str">
        <f>IF(F364&gt;'депозитный калькулятор'!$D$8," ",IF(F364='депозитный калькулятор'!$D$8,IF(AND($F$24='депозитный калькулятор'!$D$8,'депозитный калькулятор'!$G$13="нет"),-G364-IF(I364=" ",0,I364)-IF(AND(OR('депозитный калькулятор'!$G$7="30/365",'депозитный калькулятор'!$G$7="30/360"),'депозитный калькулятор'!$G$10="в начале срока"),I363,0)-L364+M364-N364,-G364-IF(I364=" ",0,I364)-L364+M364-N364),IF('депозитный калькулятор'!$G$13="есть",M364-N364+IF('депозитный калькулятор'!$G$14="есть",0,-L364),-IF(I364=" ",0,I364)-IF(AND(OR('депозитный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срока"),I363,0)+M364-N364+IF('депозитный калькулятор'!$G$14="есть",0,-L364))))</f>
        <v xml:space="preserve"> </v>
      </c>
      <c r="P364" s="147" t="str">
        <f>IF(F364&gt;'депозитный калькулятор'!$D$8," ",IF(EOMONTH(F363,0)=F363,0,IF(G364&gt;='депозитный калькулятор'!$G$19,P363,P363+1)))</f>
        <v xml:space="preserve"> </v>
      </c>
      <c r="Q364" s="138" t="str">
        <f>IF(F364=" "," ",IF(AND(OR('депозитный калькулятор'!$G$7="30/365",'депозитный калькулятор'!$G$7="30/360"),AND(MONTH(F364)=2,EOMONTH(F364,0)=F364)),IF(DAY(F364)=28,3,2),1)*IF(G364&gt;='депозитный калькулятор'!$G$11,IF(AND('депозитный калькулятор'!$G$7="факт/факт",MOD(YEAR(F364),4)=0),G364*'депозитный калькулятор'!$D$11/366,G364*'депозитный калькулятор'!$G$8),0))</f>
        <v xml:space="preserve"> </v>
      </c>
      <c r="R364" s="148"/>
      <c r="S364" s="62" t="str">
        <f t="shared" ca="1" si="27"/>
        <v xml:space="preserve"> </v>
      </c>
      <c r="T364" s="149" t="str">
        <f ca="1">IF(S364=" "," ",IF('депозитный калькулятор'!$G$7="30/360",DAYS360(U363,IF(DAY(U364)=31,U364-1,U364))+IF(AND(MONTH(U364)=2,U364=EOMONTH(U364,0)),30-DAY(EOMONTH(U364,0)))+T363,VLOOKUP(S364,$C$22:$F$1023,2,0)))</f>
        <v xml:space="preserve"> </v>
      </c>
      <c r="U364" s="64" t="str">
        <f t="shared" ca="1" si="25"/>
        <v xml:space="preserve"> </v>
      </c>
      <c r="V364" s="150" t="str">
        <f t="shared" ca="1" si="28"/>
        <v xml:space="preserve"> </v>
      </c>
      <c r="W364" s="62" t="str">
        <f t="shared" ca="1" si="29"/>
        <v xml:space="preserve"> </v>
      </c>
      <c r="X364" s="141" t="str">
        <f ca="1">IF(S364=" "," ",IFERROR(VLOOKUP(U364,$F$23:$N$1023,7)+VLOOKUP(U364,$F$23:$N$1023,9)+IF(AND('депозитный калькулятор'!$G$13="нет",U364&lt;&gt;'депозитный калькулятор'!$D$8),VLOOKUP(U364,$F$23:$N$1023,4),0),0)+IF(U364='депозитный калькулятор'!$D$8,VLOOKUP(U364,$F$23:$N$1023,2)+VLOOKUP(U364,$F$23:$N$1023,4),0))</f>
        <v xml:space="preserve"> </v>
      </c>
      <c r="Y364" s="142" t="str">
        <f ca="1">IF(S364=" "," ",W364/(1+'депозитный калькулятор'!$K$8)^(T364/IF('депозитный калькулятор'!$G$7="30/360",360,365)))</f>
        <v xml:space="preserve"> </v>
      </c>
      <c r="Z364" s="142" t="str">
        <f ca="1">IF(S364=" "," ",X364/(1+'депозитный калькулятор'!$K$8)^(T364/IF('депозитный калькулятор'!$G$7="30/360",360,365)))</f>
        <v xml:space="preserve"> </v>
      </c>
      <c r="AA364" s="151"/>
      <c r="AB364" s="151"/>
      <c r="AC364" s="155"/>
      <c r="AD364" s="155"/>
    </row>
    <row r="365" spans="1:30" s="2" customFormat="1" ht="15.5" x14ac:dyDescent="0.35">
      <c r="A365" s="41" t="str">
        <f>IF(F365=" "," ",IF(OR('депозитный калькулятор'!$G$7="30/365",'депозитный калькулятор'!$G$7="30/360"),IF(AND(MONTH(F365)=2,DAY(F365)=DAY(EOMONTH(F365,0))),30-DAY(EOMONTH(F365,0)),IF(DAY(F365)=31,1," "))," "))</f>
        <v xml:space="preserve"> </v>
      </c>
      <c r="B365" s="130" t="str">
        <f t="shared" si="26"/>
        <v xml:space="preserve"> </v>
      </c>
      <c r="C365" s="130" t="str">
        <f>IF(OR(B365=0,B365=" ")," ",SUM($B$23:B365))</f>
        <v xml:space="preserve"> </v>
      </c>
      <c r="D365" s="62" t="str">
        <f>IF(D364=" "," ",IF(OR(F364='депозитный калькулятор'!$D$8,F364=" ")," ",D364+1))</f>
        <v xml:space="preserve"> </v>
      </c>
      <c r="E365" s="130" t="str">
        <f>IF(OR(F364='депозитный калькулятор'!$D$8,F364=" ")," ",IF(EOMONTH(F364,0)=F364,1,E364+1))</f>
        <v xml:space="preserve"> </v>
      </c>
      <c r="F365" s="64" t="str">
        <f>IF(F364=" "," ",IF(F364='депозитный калькулятор'!$D$8," ",F364+1))</f>
        <v xml:space="preserve"> </v>
      </c>
      <c r="G365" s="145" t="str">
        <f xml:space="preserve"> IF(F365&gt;'депозитный калькулятор'!$D$8," ",IF('депозитный калькулятор'!$G$13="есть",IF('депозитный калькулятор'!$G$14="есть",G364+IF(I364=" ",0,I364)-J365-K365+L365+M365-N365,G364+IF(I364=" ",0,I364)-J365-K365+M365-N365),IF('депозитный калькулятор'!$G$14="есть",G364-J365-K365+L365+M365-N365,G364-J365-K365+M365-N365)))</f>
        <v xml:space="preserve"> </v>
      </c>
      <c r="H365" s="133" t="str">
        <f>IF(F365&gt;'депозитный калькулятор'!$D$8," ",IF(AND(OR('депозитный калькулятор'!$G$7="30/365",'депозитный калькулятор'!$G$7="30/360"),AND(MONTH(F365)=2,EOMONTH(F365,0)=F365)),IF(DAY(F365)=28,3*G365*'депозитный калькулятор'!$G$8,2*G365*'депозитный калькулятор'!$G$8),IF(AND(OR('депозитный калькулятор'!$G$7="30/365",'депозитный калькулятор'!$G$7="30/360"),DAY(F365)=31)," ",IF(AND('депозитный калькулятор'!$G$7="факт/факт",MOD(YEAR(F365),4)=0),G365*'депозитный калькулятор'!$D$11/366,G365*'депозитный калькулятор'!$G$8))))</f>
        <v xml:space="preserve"> </v>
      </c>
      <c r="I365" s="134" t="str">
        <f ca="1">IF(F365=" "," ",IF('депозитный калькулятор'!$G$10="ежедневное",H365,IF(AND('депозитный калькулятор'!$G$10="еженедельное",WEEKDAY(F365,2)=7),SUM(OFFSET(H365,-6,0):H365),IF(AND('депозитный калькулятор'!$G$10="еженедельное",F365='депозитный калькулятор'!$D$8),SUM($H$23:H365)-SUM($I$23:I364),IF(AND('депозитный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недели",WEEKDAY(F365,2)=7),MIN(OFFSET(H365,-6,0):H365)*(COUNTIF(OFFSET(H365,-6,0):H365,"&gt;0")+SUMIF(OFFSET(A365,-WEEKDAY(F365,2),0):A365,"=2",OFFSET(A365,-WEEKDAY(F365,2),0):A365)),IF(AND('депозитный калькулятор'!$G$10="еженедельное, на минимальную сумму зафиксированную в течение недели",F365='депозитный калькулятор'!$D$8,WEEKDAY(F365,2)&lt;&gt;7),MIN(OFFSET(H365,-WEEKDAY(F365,2),0):H365)*(COUNTIF(OFFSET(H365,-WEEKDAY(F365,2)+1,0):H365,"&gt;0")+SUM(OFFSET(A365,-WEEKDAY(F365,2),0):A365)),IF(AND('депозитный калькулятор'!$G$10="ежемесячное (в конце месяца)",F365='депозитный калькулятор'!$D$8,EOMONTH(F365,0)&lt;&gt;F365),IF('депозитный калькулятор'!$F$1=1,$H$24,SUM($H$23:H365)-SUM($I$23:I364)),IF(AND('депозитный калькулятор'!$G$10="ежемесячное (в конце месяца)",EOMONTH(F365,0)=F365),SUM($H$23:H365)-SUM($I$23:I364),IF(AND('депозитный калькулятор'!$G$10="ежемесячное (по дням открытия вклада)",F365='депозитный калькулятор'!$D$8,DAY('депозитный калькулятор'!$D$7)&lt;&gt;DAY(F365)),IF('депозитный калькулятор'!$F$1=1,$H$24,SUM($H$23:H365)-SUM($I$23:I364)),IF(AND('депозитный калькулятор'!$G$10="ежемесячное (по дням открытия вклада)",DAY('депозитный калькулятор'!$D$7)=DAY(F365)),SUM($H$23:H365)-SUM($I$23:I364),IF(AND('депозитный калькулятор'!$G$10="ежемесячное, на минимальную сумму зафиксированную в течение месяца",F365='депозитный калькулятор'!$D$8,EOMONTH(F365,0)&lt;&gt;F365),IF('депозитный калькулятор'!$F$1=1,$H$24,IF(AND(OR('депозитный калькулятор'!$G$7="30/365",'депозитный калькулятор'!$G$7="30/360"),DAY(F365)=31),0,MIN(OFFSET(H365,-E365+1,0):H365)*(E365+SUMIF(OFFSET(A365,-E365+1,0):A365,"=2",OFFSET(A365,-E365+1,0):A365)))),IF(AND('депозитный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калькулятор'!$G$7="30/360"),DAY(EOMONTH(F365,0))=31),EOMONTH(F365,0)-1=F365,EOMONTH(F365,0)=F365)),IF(IF(AND(OR('депозитный калькулятор'!$G$7="30/365",'депозитный калькулятор'!$G$7="30/360"),DAY(EOMONTH($F$23,0))=31),F365=EOMONTH($F$23,0)-1,F365=EOMONTH($F$23,0)),MIN(OFFSET(H365,-(DAY(F365)-DAY($F$23)),0):H365)*E365,MIN(OFFSET(H365,-(DAY(F365)-1),0):H365)*IF(AND(OR('депозитный калькулятор'!$G$7="30/365",'депозитный калькулятор'!$G$7="30/360"),DAY(F365)&lt;30),30,DAY(F365))),IF(AND('депозитный калькулятор'!$G$10="ежемесячное, на средний остаток в течение месяца, при условии что остаток больше чем ограничение",F365='депозитный калькулятор'!$D$8,EOMONTH(F365,0)&lt;&gt;F365),IF('депозитный калькулятор'!$F$1=1,$H$24,SUM(OFFSET(Q365,-E365+1,0):Q365)),IF(AND('депозитный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калькулятор'!$G$7="30/360"),DAY(EOMONTH(F365,0))=31),EOMONTH(F365,0)-1=F365,EOMONTH(F365,0)=F365)),IF(IF(AND(OR('депозитный калькулятор'!$G$7="30/365",'депозитный калькулятор'!$G$7="30/360"),DAY(EOMONTH($F$24,0))=31),F365=EOMONTH($F$24,0)-1,F365=EOMONTH($F$24,0)),SUM(OFFSET(Q365,-E365+1,0):Q365),SUM(OFFSET(Q365,-E365+1,0):Q365)),IF('депозитный калькулятор'!$G$10="ежеквартальное",IF(F365&gt;'депозитный калькулятор'!$D$8," ",IF(AND(EOMONTH(F365,0)=F365,OR(MONTH(F365)=3,MONTH(F365)=6,MONTH(F365)=9,MONTH(F365)=12)),IF(EDATE(F365,-3)&lt;'депозитный калькулятор'!$D$7,SUM($H$23:H365),IF(MOD(YEAR(F365),4)=0,IF(AND(EOMONTH(F365,0)=F365,OR(MONTH(F365)=3,MONTH(F365)=6)),SUM(OFFSET(H365,-90,0):H365),IF(AND(EOMONTH(F365,0)=F365,OR(MONTH(F365)=9,MONTH(F365)=12)),SUM(OFFSET(H365,-91,0):H365))),IF(AND(EOMONTH(F365,0)=F365,MONTH(F365)=3),SUM(OFFSET(H365,-89,0):H365),IF(AND(EOMONTH(F365,0)=F365,MONTH(F365)=6),SUM(OFFSET(H365,-90,0):H365),IF(AND(EOMONTH(F365,0)=F365,OR(MONTH(F365)=9,MONTH(F365)=12)),SUM(OFFSET(H365,-91,0):H365)))))),IF(F365='депозитный калькулятор'!$D$8,SUM($H$23:H365)-SUM($I$23:I364),0))),IF('депозитный калькулятор'!$G$10="ежегодное",IF(F365&gt;'депозитный калькулятор'!$D$8," ",IF(F365='депозитный калькулятор'!$D$8,SUM($H$23:H365)-SUM($I$23:I364),IF(AND(EOMONTH(F365,0)=F365,MONTH(F365)=12),IF(MOD(YEAR(F364),4)=0,IF(F365-'депозитный калькулятор'!$D$7&lt;366,SUM($H$23:H365),SUM(OFFSET(H365,-365,0):H365)),IF(F365-'депозитный калькулятор'!$D$7&lt;365,SUM($H$23:H365),SUM(OFFSET(H365,-364,0):H365))),0))),IF(AND('депозитный калькулятор'!$G$10="в конце срока",'депозитный калькулятор'!$D$8=F365),SUM($H$23:H365),0))))))))))))))))))</f>
        <v xml:space="preserve"> </v>
      </c>
      <c r="J365" s="59" t="str">
        <f>IF(F365&gt;'депозитный калькулятор'!$D$8," ",IF('депозитный калькулятор'!$G$16="нет",0,IF(AND('депозитный калькулятор'!$G$17="разовая (в конце срока)",F365='депозитный калькулятор'!$D$8),'депозитный калькулятор'!$G$18,IF(AND('депозитный калькулятор'!$G$17="ежемесячная",EOMONTH(F364,0)=F364),'депозитный калькулятор'!$G$18,IF(AND('депозитный калькулятор'!$G$17="ежегодная",DAY(F364)=31,MONTH(F364)=12),'депозитный калькулятор'!$G$18,IF(AND('депозитный калькулятор'!$G$17="ежемесячная в зависимости от остатка",EOMONTH(F364,0)=F364,P364&gt;0),'депозитный калькулятор'!$G$18,IF(AND('депозитный калькулятор'!$G$17="ежегодная в зависимости от остатка",DAY(F364)=31,MONTH(F364)=12,P364&gt;0),'депозитный калькулятор'!$G$18,0)))))))</f>
        <v xml:space="preserve"> </v>
      </c>
      <c r="K365" s="135" t="str">
        <f>IF($F365=" "," ",IFERROR(VLOOKUP($F365,'депозитный калькулятор'!$B$26:$F$70,2,0),0))</f>
        <v xml:space="preserve"> </v>
      </c>
      <c r="L365" s="135" t="str">
        <f>IF($F365=" "," ",IFERROR(VLOOKUP($F365,'депозитный калькулятор'!$B$26:$F$70,3,0),0))</f>
        <v xml:space="preserve"> </v>
      </c>
      <c r="M365" s="135" t="str">
        <f>IF($F365=" "," ",IFERROR(VLOOKUP($F365,'депозитный калькулятор'!$B$26:$F$70,4,0),0))</f>
        <v xml:space="preserve"> </v>
      </c>
      <c r="N365" s="135" t="str">
        <f>IF($F365=" "," ",IFERROR(VLOOKUP($F365,'депозитный калькулятор'!$B$26:$F$70,5,0),0))</f>
        <v xml:space="preserve"> </v>
      </c>
      <c r="O365" s="146" t="str">
        <f>IF(F365&gt;'депозитный калькулятор'!$D$8," ",IF(F365='депозитный калькулятор'!$D$8,IF(AND($F$24='депозитный калькулятор'!$D$8,'депозитный калькулятор'!$G$13="нет"),-G365-IF(I365=" ",0,I365)-IF(AND(OR('депозитный калькулятор'!$G$7="30/365",'депозитный калькулятор'!$G$7="30/360"),'депозитный калькулятор'!$G$10="в начале срока"),I364,0)-L365+M365-N365,-G365-IF(I365=" ",0,I365)-L365+M365-N365),IF('депозитный калькулятор'!$G$13="есть",M365-N365+IF('депозитный калькулятор'!$G$14="есть",0,-L365),-IF(I365=" ",0,I365)-IF(AND(OR('депозитный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срока"),I364,0)+M365-N365+IF('депозитный калькулятор'!$G$14="есть",0,-L365))))</f>
        <v xml:space="preserve"> </v>
      </c>
      <c r="P365" s="147" t="str">
        <f>IF(F365&gt;'депозитный калькулятор'!$D$8," ",IF(EOMONTH(F364,0)=F364,0,IF(G365&gt;='депозитный калькулятор'!$G$19,P364,P364+1)))</f>
        <v xml:space="preserve"> </v>
      </c>
      <c r="Q365" s="138" t="str">
        <f>IF(F365=" "," ",IF(AND(OR('депозитный калькулятор'!$G$7="30/365",'депозитный калькулятор'!$G$7="30/360"),AND(MONTH(F365)=2,EOMONTH(F365,0)=F365)),IF(DAY(F365)=28,3,2),1)*IF(G365&gt;='депозитный калькулятор'!$G$11,IF(AND('депозитный калькулятор'!$G$7="факт/факт",MOD(YEAR(F365),4)=0),G365*'депозитный калькулятор'!$D$11/366,G365*'депозитный калькулятор'!$G$8),0))</f>
        <v xml:space="preserve"> </v>
      </c>
      <c r="R365" s="148"/>
      <c r="S365" s="62" t="str">
        <f t="shared" ca="1" si="27"/>
        <v xml:space="preserve"> </v>
      </c>
      <c r="T365" s="149" t="str">
        <f ca="1">IF(S365=" "," ",IF('депозитный калькулятор'!$G$7="30/360",DAYS360(U364,IF(DAY(U365)=31,U365-1,U365))+IF(AND(MONTH(U365)=2,U365=EOMONTH(U365,0)),30-DAY(EOMONTH(U365,0)))+T364,VLOOKUP(S365,$C$22:$F$1023,2,0)))</f>
        <v xml:space="preserve"> </v>
      </c>
      <c r="U365" s="64" t="str">
        <f t="shared" ca="1" si="25"/>
        <v xml:space="preserve"> </v>
      </c>
      <c r="V365" s="150" t="str">
        <f t="shared" ca="1" si="28"/>
        <v xml:space="preserve"> </v>
      </c>
      <c r="W365" s="62" t="str">
        <f t="shared" ca="1" si="29"/>
        <v xml:space="preserve"> </v>
      </c>
      <c r="X365" s="141" t="str">
        <f ca="1">IF(S365=" "," ",IFERROR(VLOOKUP(U365,$F$23:$N$1023,7)+VLOOKUP(U365,$F$23:$N$1023,9)+IF(AND('депозитный калькулятор'!$G$13="нет",U365&lt;&gt;'депозитный калькулятор'!$D$8),VLOOKUP(U365,$F$23:$N$1023,4),0),0)+IF(U365='депозитный калькулятор'!$D$8,VLOOKUP(U365,$F$23:$N$1023,2)+VLOOKUP(U365,$F$23:$N$1023,4),0))</f>
        <v xml:space="preserve"> </v>
      </c>
      <c r="Y365" s="142" t="str">
        <f ca="1">IF(S365=" "," ",W365/(1+'депозитный калькулятор'!$K$8)^(T365/IF('депозитный калькулятор'!$G$7="30/360",360,365)))</f>
        <v xml:space="preserve"> </v>
      </c>
      <c r="Z365" s="142" t="str">
        <f ca="1">IF(S365=" "," ",X365/(1+'депозитный калькулятор'!$K$8)^(T365/IF('депозитный калькулятор'!$G$7="30/360",360,365)))</f>
        <v xml:space="preserve"> </v>
      </c>
      <c r="AA365" s="151"/>
      <c r="AB365" s="151"/>
      <c r="AC365" s="155"/>
      <c r="AD365" s="155"/>
    </row>
    <row r="366" spans="1:30" s="2" customFormat="1" ht="15.5" x14ac:dyDescent="0.35">
      <c r="A366" s="41" t="str">
        <f>IF(F366=" "," ",IF(OR('депозитный калькулятор'!$G$7="30/365",'депозитный калькулятор'!$G$7="30/360"),IF(AND(MONTH(F366)=2,DAY(F366)=DAY(EOMONTH(F366,0))),30-DAY(EOMONTH(F366,0)),IF(DAY(F366)=31,1," "))," "))</f>
        <v xml:space="preserve"> </v>
      </c>
      <c r="B366" s="130" t="str">
        <f t="shared" si="26"/>
        <v xml:space="preserve"> </v>
      </c>
      <c r="C366" s="130" t="str">
        <f>IF(OR(B366=0,B366=" ")," ",SUM($B$23:B366))</f>
        <v xml:space="preserve"> </v>
      </c>
      <c r="D366" s="62" t="str">
        <f>IF(D365=" "," ",IF(OR(F365='депозитный калькулятор'!$D$8,F365=" ")," ",D365+1))</f>
        <v xml:space="preserve"> </v>
      </c>
      <c r="E366" s="130" t="str">
        <f>IF(OR(F365='депозитный калькулятор'!$D$8,F365=" ")," ",IF(EOMONTH(F365,0)=F365,1,E365+1))</f>
        <v xml:space="preserve"> </v>
      </c>
      <c r="F366" s="64" t="str">
        <f>IF(F365=" "," ",IF(F365='депозитный калькулятор'!$D$8," ",F365+1))</f>
        <v xml:space="preserve"> </v>
      </c>
      <c r="G366" s="145" t="str">
        <f xml:space="preserve"> IF(F366&gt;'депозитный калькулятор'!$D$8," ",IF('депозитный калькулятор'!$G$13="есть",IF('депозитный калькулятор'!$G$14="есть",G365+IF(I365=" ",0,I365)-J366-K366+L366+M366-N366,G365+IF(I365=" ",0,I365)-J366-K366+M366-N366),IF('депозитный калькулятор'!$G$14="есть",G365-J366-K366+L366+M366-N366,G365-J366-K366+M366-N366)))</f>
        <v xml:space="preserve"> </v>
      </c>
      <c r="H366" s="133" t="str">
        <f>IF(F366&gt;'депозитный калькулятор'!$D$8," ",IF(AND(OR('депозитный калькулятор'!$G$7="30/365",'депозитный калькулятор'!$G$7="30/360"),AND(MONTH(F366)=2,EOMONTH(F366,0)=F366)),IF(DAY(F366)=28,3*G366*'депозитный калькулятор'!$G$8,2*G366*'депозитный калькулятор'!$G$8),IF(AND(OR('депозитный калькулятор'!$G$7="30/365",'депозитный калькулятор'!$G$7="30/360"),DAY(F366)=31)," ",IF(AND('депозитный калькулятор'!$G$7="факт/факт",MOD(YEAR(F366),4)=0),G366*'депозитный калькулятор'!$D$11/366,G366*'депозитный калькулятор'!$G$8))))</f>
        <v xml:space="preserve"> </v>
      </c>
      <c r="I366" s="134" t="str">
        <f ca="1">IF(F366=" "," ",IF('депозитный калькулятор'!$G$10="ежедневное",H366,IF(AND('депозитный калькулятор'!$G$10="еженедельное",WEEKDAY(F366,2)=7),SUM(OFFSET(H366,-6,0):H366),IF(AND('депозитный калькулятор'!$G$10="еженедельное",F366='депозитный калькулятор'!$D$8),SUM($H$23:H366)-SUM($I$23:I365),IF(AND('депозитный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недели",WEEKDAY(F366,2)=7),MIN(OFFSET(H366,-6,0):H366)*(COUNTIF(OFFSET(H366,-6,0):H366,"&gt;0")+SUMIF(OFFSET(A366,-WEEKDAY(F366,2),0):A366,"=2",OFFSET(A366,-WEEKDAY(F366,2),0):A366)),IF(AND('депозитный калькулятор'!$G$10="еженедельное, на минимальную сумму зафиксированную в течение недели",F366='депозитный калькулятор'!$D$8,WEEKDAY(F366,2)&lt;&gt;7),MIN(OFFSET(H366,-WEEKDAY(F366,2),0):H366)*(COUNTIF(OFFSET(H366,-WEEKDAY(F366,2)+1,0):H366,"&gt;0")+SUM(OFFSET(A366,-WEEKDAY(F366,2),0):A366)),IF(AND('депозитный калькулятор'!$G$10="ежемесячное (в конце месяца)",F366='депозитный калькулятор'!$D$8,EOMONTH(F366,0)&lt;&gt;F366),IF('депозитный калькулятор'!$F$1=1,$H$24,SUM($H$23:H366)-SUM($I$23:I365)),IF(AND('депозитный калькулятор'!$G$10="ежемесячное (в конце месяца)",EOMONTH(F366,0)=F366),SUM($H$23:H366)-SUM($I$23:I365),IF(AND('депозитный калькулятор'!$G$10="ежемесячное (по дням открытия вклада)",F366='депозитный калькулятор'!$D$8,DAY('депозитный калькулятор'!$D$7)&lt;&gt;DAY(F366)),IF('депозитный калькулятор'!$F$1=1,$H$24,SUM($H$23:H366)-SUM($I$23:I365)),IF(AND('депозитный калькулятор'!$G$10="ежемесячное (по дням открытия вклада)",DAY('депозитный калькулятор'!$D$7)=DAY(F366)),SUM($H$23:H366)-SUM($I$23:I365),IF(AND('депозитный калькулятор'!$G$10="ежемесячное, на минимальную сумму зафиксированную в течение месяца",F366='депозитный калькулятор'!$D$8,EOMONTH(F366,0)&lt;&gt;F366),IF('депозитный калькулятор'!$F$1=1,$H$24,IF(AND(OR('депозитный калькулятор'!$G$7="30/365",'депозитный калькулятор'!$G$7="30/360"),DAY(F366)=31),0,MIN(OFFSET(H366,-E366+1,0):H366)*(E366+SUMIF(OFFSET(A366,-E366+1,0):A366,"=2",OFFSET(A366,-E366+1,0):A366)))),IF(AND('депозитный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калькулятор'!$G$7="30/360"),DAY(EOMONTH(F366,0))=31),EOMONTH(F366,0)-1=F366,EOMONTH(F366,0)=F366)),IF(IF(AND(OR('депозитный калькулятор'!$G$7="30/365",'депозитный калькулятор'!$G$7="30/360"),DAY(EOMONTH($F$23,0))=31),F366=EOMONTH($F$23,0)-1,F366=EOMONTH($F$23,0)),MIN(OFFSET(H366,-(DAY(F366)-DAY($F$23)),0):H366)*E366,MIN(OFFSET(H366,-(DAY(F366)-1),0):H366)*IF(AND(OR('депозитный калькулятор'!$G$7="30/365",'депозитный калькулятор'!$G$7="30/360"),DAY(F366)&lt;30),30,DAY(F366))),IF(AND('депозитный калькулятор'!$G$10="ежемесячное, на средний остаток в течение месяца, при условии что остаток больше чем ограничение",F366='депозитный калькулятор'!$D$8,EOMONTH(F366,0)&lt;&gt;F366),IF('депозитный калькулятор'!$F$1=1,$H$24,SUM(OFFSET(Q366,-E366+1,0):Q366)),IF(AND('депозитный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калькулятор'!$G$7="30/360"),DAY(EOMONTH(F366,0))=31),EOMONTH(F366,0)-1=F366,EOMONTH(F366,0)=F366)),IF(IF(AND(OR('депозитный калькулятор'!$G$7="30/365",'депозитный калькулятор'!$G$7="30/360"),DAY(EOMONTH($F$24,0))=31),F366=EOMONTH($F$24,0)-1,F366=EOMONTH($F$24,0)),SUM(OFFSET(Q366,-E366+1,0):Q366),SUM(OFFSET(Q366,-E366+1,0):Q366)),IF('депозитный калькулятор'!$G$10="ежеквартальное",IF(F366&gt;'депозитный калькулятор'!$D$8," ",IF(AND(EOMONTH(F366,0)=F366,OR(MONTH(F366)=3,MONTH(F366)=6,MONTH(F366)=9,MONTH(F366)=12)),IF(EDATE(F366,-3)&lt;'депозитный калькулятор'!$D$7,SUM($H$23:H366),IF(MOD(YEAR(F366),4)=0,IF(AND(EOMONTH(F366,0)=F366,OR(MONTH(F366)=3,MONTH(F366)=6)),SUM(OFFSET(H366,-90,0):H366),IF(AND(EOMONTH(F366,0)=F366,OR(MONTH(F366)=9,MONTH(F366)=12)),SUM(OFFSET(H366,-91,0):H366))),IF(AND(EOMONTH(F366,0)=F366,MONTH(F366)=3),SUM(OFFSET(H366,-89,0):H366),IF(AND(EOMONTH(F366,0)=F366,MONTH(F366)=6),SUM(OFFSET(H366,-90,0):H366),IF(AND(EOMONTH(F366,0)=F366,OR(MONTH(F366)=9,MONTH(F366)=12)),SUM(OFFSET(H366,-91,0):H366)))))),IF(F366='депозитный калькулятор'!$D$8,SUM($H$23:H366)-SUM($I$23:I365),0))),IF('депозитный калькулятор'!$G$10="ежегодное",IF(F366&gt;'депозитный калькулятор'!$D$8," ",IF(F366='депозитный калькулятор'!$D$8,SUM($H$23:H366)-SUM($I$23:I365),IF(AND(EOMONTH(F366,0)=F366,MONTH(F366)=12),IF(MOD(YEAR(F365),4)=0,IF(F366-'депозитный калькулятор'!$D$7&lt;366,SUM($H$23:H366),SUM(OFFSET(H366,-365,0):H366)),IF(F366-'депозитный калькулятор'!$D$7&lt;365,SUM($H$23:H366),SUM(OFFSET(H366,-364,0):H366))),0))),IF(AND('депозитный калькулятор'!$G$10="в конце срока",'депозитный калькулятор'!$D$8=F366),SUM($H$23:H366),0))))))))))))))))))</f>
        <v xml:space="preserve"> </v>
      </c>
      <c r="J366" s="59" t="str">
        <f>IF(F366&gt;'депозитный калькулятор'!$D$8," ",IF('депозитный калькулятор'!$G$16="нет",0,IF(AND('депозитный калькулятор'!$G$17="разовая (в конце срока)",F366='депозитный калькулятор'!$D$8),'депозитный калькулятор'!$G$18,IF(AND('депозитный калькулятор'!$G$17="ежемесячная",EOMONTH(F365,0)=F365),'депозитный калькулятор'!$G$18,IF(AND('депозитный калькулятор'!$G$17="ежегодная",DAY(F365)=31,MONTH(F365)=12),'депозитный калькулятор'!$G$18,IF(AND('депозитный калькулятор'!$G$17="ежемесячная в зависимости от остатка",EOMONTH(F365,0)=F365,P365&gt;0),'депозитный калькулятор'!$G$18,IF(AND('депозитный калькулятор'!$G$17="ежегодная в зависимости от остатка",DAY(F365)=31,MONTH(F365)=12,P365&gt;0),'депозитный калькулятор'!$G$18,0)))))))</f>
        <v xml:space="preserve"> </v>
      </c>
      <c r="K366" s="135" t="str">
        <f>IF($F366=" "," ",IFERROR(VLOOKUP($F366,'депозитный калькулятор'!$B$26:$F$70,2,0),0))</f>
        <v xml:space="preserve"> </v>
      </c>
      <c r="L366" s="135" t="str">
        <f>IF($F366=" "," ",IFERROR(VLOOKUP($F366,'депозитный калькулятор'!$B$26:$F$70,3,0),0))</f>
        <v xml:space="preserve"> </v>
      </c>
      <c r="M366" s="135" t="str">
        <f>IF($F366=" "," ",IFERROR(VLOOKUP($F366,'депозитный калькулятор'!$B$26:$F$70,4,0),0))</f>
        <v xml:space="preserve"> </v>
      </c>
      <c r="N366" s="135" t="str">
        <f>IF($F366=" "," ",IFERROR(VLOOKUP($F366,'депозитный калькулятор'!$B$26:$F$70,5,0),0))</f>
        <v xml:space="preserve"> </v>
      </c>
      <c r="O366" s="146" t="str">
        <f>IF(F366&gt;'депозитный калькулятор'!$D$8," ",IF(F366='депозитный калькулятор'!$D$8,IF(AND($F$24='депозитный калькулятор'!$D$8,'депозитный калькулятор'!$G$13="нет"),-G366-IF(I366=" ",0,I366)-IF(AND(OR('депозитный калькулятор'!$G$7="30/365",'депозитный калькулятор'!$G$7="30/360"),'депозитный калькулятор'!$G$10="в начале срока"),I365,0)-L366+M366-N366,-G366-IF(I366=" ",0,I366)-L366+M366-N366),IF('депозитный калькулятор'!$G$13="есть",M366-N366+IF('депозитный калькулятор'!$G$14="есть",0,-L366),-IF(I366=" ",0,I366)-IF(AND(OR('депозитный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срока"),I365,0)+M366-N366+IF('депозитный калькулятор'!$G$14="есть",0,-L366))))</f>
        <v xml:space="preserve"> </v>
      </c>
      <c r="P366" s="147" t="str">
        <f>IF(F366&gt;'депозитный калькулятор'!$D$8," ",IF(EOMONTH(F365,0)=F365,0,IF(G366&gt;='депозитный калькулятор'!$G$19,P365,P365+1)))</f>
        <v xml:space="preserve"> </v>
      </c>
      <c r="Q366" s="138" t="str">
        <f>IF(F366=" "," ",IF(AND(OR('депозитный калькулятор'!$G$7="30/365",'депозитный калькулятор'!$G$7="30/360"),AND(MONTH(F366)=2,EOMONTH(F366,0)=F366)),IF(DAY(F366)=28,3,2),1)*IF(G366&gt;='депозитный калькулятор'!$G$11,IF(AND('депозитный калькулятор'!$G$7="факт/факт",MOD(YEAR(F366),4)=0),G366*'депозитный калькулятор'!$D$11/366,G366*'депозитный калькулятор'!$G$8),0))</f>
        <v xml:space="preserve"> </v>
      </c>
      <c r="R366" s="148"/>
      <c r="S366" s="62" t="str">
        <f t="shared" ca="1" si="27"/>
        <v xml:space="preserve"> </v>
      </c>
      <c r="T366" s="149" t="str">
        <f ca="1">IF(S366=" "," ",IF('депозитный калькулятор'!$G$7="30/360",DAYS360(U365,IF(DAY(U366)=31,U366-1,U366))+IF(AND(MONTH(U366)=2,U366=EOMONTH(U366,0)),30-DAY(EOMONTH(U366,0)))+T365,VLOOKUP(S366,$C$22:$F$1023,2,0)))</f>
        <v xml:space="preserve"> </v>
      </c>
      <c r="U366" s="64" t="str">
        <f t="shared" ca="1" si="25"/>
        <v xml:space="preserve"> </v>
      </c>
      <c r="V366" s="150" t="str">
        <f t="shared" ca="1" si="28"/>
        <v xml:space="preserve"> </v>
      </c>
      <c r="W366" s="62" t="str">
        <f t="shared" ca="1" si="29"/>
        <v xml:space="preserve"> </v>
      </c>
      <c r="X366" s="141" t="str">
        <f ca="1">IF(S366=" "," ",IFERROR(VLOOKUP(U366,$F$23:$N$1023,7)+VLOOKUP(U366,$F$23:$N$1023,9)+IF(AND('депозитный калькулятор'!$G$13="нет",U366&lt;&gt;'депозитный калькулятор'!$D$8),VLOOKUP(U366,$F$23:$N$1023,4),0),0)+IF(U366='депозитный калькулятор'!$D$8,VLOOKUP(U366,$F$23:$N$1023,2)+VLOOKUP(U366,$F$23:$N$1023,4),0))</f>
        <v xml:space="preserve"> </v>
      </c>
      <c r="Y366" s="142" t="str">
        <f ca="1">IF(S366=" "," ",W366/(1+'депозитный калькулятор'!$K$8)^(T366/IF('депозитный калькулятор'!$G$7="30/360",360,365)))</f>
        <v xml:space="preserve"> </v>
      </c>
      <c r="Z366" s="142" t="str">
        <f ca="1">IF(S366=" "," ",X366/(1+'депозитный калькулятор'!$K$8)^(T366/IF('депозитный калькулятор'!$G$7="30/360",360,365)))</f>
        <v xml:space="preserve"> </v>
      </c>
      <c r="AA366" s="151"/>
      <c r="AB366" s="151"/>
      <c r="AC366" s="155"/>
      <c r="AD366" s="155"/>
    </row>
    <row r="367" spans="1:30" s="2" customFormat="1" ht="15.5" x14ac:dyDescent="0.35">
      <c r="A367" s="41" t="str">
        <f>IF(F367=" "," ",IF(OR('депозитный калькулятор'!$G$7="30/365",'депозитный калькулятор'!$G$7="30/360"),IF(AND(MONTH(F367)=2,DAY(F367)=DAY(EOMONTH(F367,0))),30-DAY(EOMONTH(F367,0)),IF(DAY(F367)=31,1," "))," "))</f>
        <v xml:space="preserve"> </v>
      </c>
      <c r="B367" s="130" t="str">
        <f t="shared" si="26"/>
        <v xml:space="preserve"> </v>
      </c>
      <c r="C367" s="130" t="str">
        <f>IF(OR(B367=0,B367=" ")," ",SUM($B$23:B367))</f>
        <v xml:space="preserve"> </v>
      </c>
      <c r="D367" s="62" t="str">
        <f>IF(D366=" "," ",IF(OR(F366='депозитный калькулятор'!$D$8,F366=" ")," ",D366+1))</f>
        <v xml:space="preserve"> </v>
      </c>
      <c r="E367" s="130" t="str">
        <f>IF(OR(F366='депозитный калькулятор'!$D$8,F366=" ")," ",IF(EOMONTH(F366,0)=F366,1,E366+1))</f>
        <v xml:space="preserve"> </v>
      </c>
      <c r="F367" s="64" t="str">
        <f>IF(F366=" "," ",IF(F366='депозитный калькулятор'!$D$8," ",F366+1))</f>
        <v xml:space="preserve"> </v>
      </c>
      <c r="G367" s="145" t="str">
        <f xml:space="preserve"> IF(F367&gt;'депозитный калькулятор'!$D$8," ",IF('депозитный калькулятор'!$G$13="есть",IF('депозитный калькулятор'!$G$14="есть",G366+IF(I366=" ",0,I366)-J367-K367+L367+M367-N367,G366+IF(I366=" ",0,I366)-J367-K367+M367-N367),IF('депозитный калькулятор'!$G$14="есть",G366-J367-K367+L367+M367-N367,G366-J367-K367+M367-N367)))</f>
        <v xml:space="preserve"> </v>
      </c>
      <c r="H367" s="133" t="str">
        <f>IF(F367&gt;'депозитный калькулятор'!$D$8," ",IF(AND(OR('депозитный калькулятор'!$G$7="30/365",'депозитный калькулятор'!$G$7="30/360"),AND(MONTH(F367)=2,EOMONTH(F367,0)=F367)),IF(DAY(F367)=28,3*G367*'депозитный калькулятор'!$G$8,2*G367*'депозитный калькулятор'!$G$8),IF(AND(OR('депозитный калькулятор'!$G$7="30/365",'депозитный калькулятор'!$G$7="30/360"),DAY(F367)=31)," ",IF(AND('депозитный калькулятор'!$G$7="факт/факт",MOD(YEAR(F367),4)=0),G367*'депозитный калькулятор'!$D$11/366,G367*'депозитный калькулятор'!$G$8))))</f>
        <v xml:space="preserve"> </v>
      </c>
      <c r="I367" s="134" t="str">
        <f ca="1">IF(F367=" "," ",IF('депозитный калькулятор'!$G$10="ежедневное",H367,IF(AND('депозитный калькулятор'!$G$10="еженедельное",WEEKDAY(F367,2)=7),SUM(OFFSET(H367,-6,0):H367),IF(AND('депозитный калькулятор'!$G$10="еженедельное",F367='депозитный калькулятор'!$D$8),SUM($H$23:H367)-SUM($I$23:I366),IF(AND('депозитный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недели",WEEKDAY(F367,2)=7),MIN(OFFSET(H367,-6,0):H367)*(COUNTIF(OFFSET(H367,-6,0):H367,"&gt;0")+SUMIF(OFFSET(A367,-WEEKDAY(F367,2),0):A367,"=2",OFFSET(A367,-WEEKDAY(F367,2),0):A367)),IF(AND('депозитный калькулятор'!$G$10="еженедельное, на минимальную сумму зафиксированную в течение недели",F367='депозитный калькулятор'!$D$8,WEEKDAY(F367,2)&lt;&gt;7),MIN(OFFSET(H367,-WEEKDAY(F367,2),0):H367)*(COUNTIF(OFFSET(H367,-WEEKDAY(F367,2)+1,0):H367,"&gt;0")+SUM(OFFSET(A367,-WEEKDAY(F367,2),0):A367)),IF(AND('депозитный калькулятор'!$G$10="ежемесячное (в конце месяца)",F367='депозитный калькулятор'!$D$8,EOMONTH(F367,0)&lt;&gt;F367),IF('депозитный калькулятор'!$F$1=1,$H$24,SUM($H$23:H367)-SUM($I$23:I366)),IF(AND('депозитный калькулятор'!$G$10="ежемесячное (в конце месяца)",EOMONTH(F367,0)=F367),SUM($H$23:H367)-SUM($I$23:I366),IF(AND('депозитный калькулятор'!$G$10="ежемесячное (по дням открытия вклада)",F367='депозитный калькулятор'!$D$8,DAY('депозитный калькулятор'!$D$7)&lt;&gt;DAY(F367)),IF('депозитный калькулятор'!$F$1=1,$H$24,SUM($H$23:H367)-SUM($I$23:I366)),IF(AND('депозитный калькулятор'!$G$10="ежемесячное (по дням открытия вклада)",DAY('депозитный калькулятор'!$D$7)=DAY(F367)),SUM($H$23:H367)-SUM($I$23:I366),IF(AND('депозитный калькулятор'!$G$10="ежемесячное, на минимальную сумму зафиксированную в течение месяца",F367='депозитный калькулятор'!$D$8,EOMONTH(F367,0)&lt;&gt;F367),IF('депозитный калькулятор'!$F$1=1,$H$24,IF(AND(OR('депозитный калькулятор'!$G$7="30/365",'депозитный калькулятор'!$G$7="30/360"),DAY(F367)=31),0,MIN(OFFSET(H367,-E367+1,0):H367)*(E367+SUMIF(OFFSET(A367,-E367+1,0):A367,"=2",OFFSET(A367,-E367+1,0):A367)))),IF(AND('депозитный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калькулятор'!$G$7="30/360"),DAY(EOMONTH(F367,0))=31),EOMONTH(F367,0)-1=F367,EOMONTH(F367,0)=F367)),IF(IF(AND(OR('депозитный калькулятор'!$G$7="30/365",'депозитный калькулятор'!$G$7="30/360"),DAY(EOMONTH($F$23,0))=31),F367=EOMONTH($F$23,0)-1,F367=EOMONTH($F$23,0)),MIN(OFFSET(H367,-(DAY(F367)-DAY($F$23)),0):H367)*E367,MIN(OFFSET(H367,-(DAY(F367)-1),0):H367)*IF(AND(OR('депозитный калькулятор'!$G$7="30/365",'депозитный калькулятор'!$G$7="30/360"),DAY(F367)&lt;30),30,DAY(F367))),IF(AND('депозитный калькулятор'!$G$10="ежемесячное, на средний остаток в течение месяца, при условии что остаток больше чем ограничение",F367='депозитный калькулятор'!$D$8,EOMONTH(F367,0)&lt;&gt;F367),IF('депозитный калькулятор'!$F$1=1,$H$24,SUM(OFFSET(Q367,-E367+1,0):Q367)),IF(AND('депозитный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калькулятор'!$G$7="30/360"),DAY(EOMONTH(F367,0))=31),EOMONTH(F367,0)-1=F367,EOMONTH(F367,0)=F367)),IF(IF(AND(OR('депозитный калькулятор'!$G$7="30/365",'депозитный калькулятор'!$G$7="30/360"),DAY(EOMONTH($F$24,0))=31),F367=EOMONTH($F$24,0)-1,F367=EOMONTH($F$24,0)),SUM(OFFSET(Q367,-E367+1,0):Q367),SUM(OFFSET(Q367,-E367+1,0):Q367)),IF('депозитный калькулятор'!$G$10="ежеквартальное",IF(F367&gt;'депозитный калькулятор'!$D$8," ",IF(AND(EOMONTH(F367,0)=F367,OR(MONTH(F367)=3,MONTH(F367)=6,MONTH(F367)=9,MONTH(F367)=12)),IF(EDATE(F367,-3)&lt;'депозитный калькулятор'!$D$7,SUM($H$23:H367),IF(MOD(YEAR(F367),4)=0,IF(AND(EOMONTH(F367,0)=F367,OR(MONTH(F367)=3,MONTH(F367)=6)),SUM(OFFSET(H367,-90,0):H367),IF(AND(EOMONTH(F367,0)=F367,OR(MONTH(F367)=9,MONTH(F367)=12)),SUM(OFFSET(H367,-91,0):H367))),IF(AND(EOMONTH(F367,0)=F367,MONTH(F367)=3),SUM(OFFSET(H367,-89,0):H367),IF(AND(EOMONTH(F367,0)=F367,MONTH(F367)=6),SUM(OFFSET(H367,-90,0):H367),IF(AND(EOMONTH(F367,0)=F367,OR(MONTH(F367)=9,MONTH(F367)=12)),SUM(OFFSET(H367,-91,0):H367)))))),IF(F367='депозитный калькулятор'!$D$8,SUM($H$23:H367)-SUM($I$23:I366),0))),IF('депозитный калькулятор'!$G$10="ежегодное",IF(F367&gt;'депозитный калькулятор'!$D$8," ",IF(F367='депозитный калькулятор'!$D$8,SUM($H$23:H367)-SUM($I$23:I366),IF(AND(EOMONTH(F367,0)=F367,MONTH(F367)=12),IF(MOD(YEAR(F366),4)=0,IF(F367-'депозитный калькулятор'!$D$7&lt;366,SUM($H$23:H367),SUM(OFFSET(H367,-365,0):H367)),IF(F367-'депозитный калькулятор'!$D$7&lt;365,SUM($H$23:H367),SUM(OFFSET(H367,-364,0):H367))),0))),IF(AND('депозитный калькулятор'!$G$10="в конце срока",'депозитный калькулятор'!$D$8=F367),SUM($H$23:H367),0))))))))))))))))))</f>
        <v xml:space="preserve"> </v>
      </c>
      <c r="J367" s="59" t="str">
        <f>IF(F367&gt;'депозитный калькулятор'!$D$8," ",IF('депозитный калькулятор'!$G$16="нет",0,IF(AND('депозитный калькулятор'!$G$17="разовая (в конце срока)",F367='депозитный калькулятор'!$D$8),'депозитный калькулятор'!$G$18,IF(AND('депозитный калькулятор'!$G$17="ежемесячная",EOMONTH(F366,0)=F366),'депозитный калькулятор'!$G$18,IF(AND('депозитный калькулятор'!$G$17="ежегодная",DAY(F366)=31,MONTH(F366)=12),'депозитный калькулятор'!$G$18,IF(AND('депозитный калькулятор'!$G$17="ежемесячная в зависимости от остатка",EOMONTH(F366,0)=F366,P366&gt;0),'депозитный калькулятор'!$G$18,IF(AND('депозитный калькулятор'!$G$17="ежегодная в зависимости от остатка",DAY(F366)=31,MONTH(F366)=12,P366&gt;0),'депозитный калькулятор'!$G$18,0)))))))</f>
        <v xml:space="preserve"> </v>
      </c>
      <c r="K367" s="135" t="str">
        <f>IF($F367=" "," ",IFERROR(VLOOKUP($F367,'депозитный калькулятор'!$B$26:$F$70,2,0),0))</f>
        <v xml:space="preserve"> </v>
      </c>
      <c r="L367" s="135" t="str">
        <f>IF($F367=" "," ",IFERROR(VLOOKUP($F367,'депозитный калькулятор'!$B$26:$F$70,3,0),0))</f>
        <v xml:space="preserve"> </v>
      </c>
      <c r="M367" s="135" t="str">
        <f>IF($F367=" "," ",IFERROR(VLOOKUP($F367,'депозитный калькулятор'!$B$26:$F$70,4,0),0))</f>
        <v xml:space="preserve"> </v>
      </c>
      <c r="N367" s="135" t="str">
        <f>IF($F367=" "," ",IFERROR(VLOOKUP($F367,'депозитный калькулятор'!$B$26:$F$70,5,0),0))</f>
        <v xml:space="preserve"> </v>
      </c>
      <c r="O367" s="146" t="str">
        <f>IF(F367&gt;'депозитный калькулятор'!$D$8," ",IF(F367='депозитный калькулятор'!$D$8,IF(AND($F$24='депозитный калькулятор'!$D$8,'депозитный калькулятор'!$G$13="нет"),-G367-IF(I367=" ",0,I367)-IF(AND(OR('депозитный калькулятор'!$G$7="30/365",'депозитный калькулятор'!$G$7="30/360"),'депозитный калькулятор'!$G$10="в начале срока"),I366,0)-L367+M367-N367,-G367-IF(I367=" ",0,I367)-L367+M367-N367),IF('депозитный калькулятор'!$G$13="есть",M367-N367+IF('депозитный калькулятор'!$G$14="есть",0,-L367),-IF(I367=" ",0,I367)-IF(AND(OR('депозитный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срока"),I366,0)+M367-N367+IF('депозитный калькулятор'!$G$14="есть",0,-L367))))</f>
        <v xml:space="preserve"> </v>
      </c>
      <c r="P367" s="147" t="str">
        <f>IF(F367&gt;'депозитный калькулятор'!$D$8," ",IF(EOMONTH(F366,0)=F366,0,IF(G367&gt;='депозитный калькулятор'!$G$19,P366,P366+1)))</f>
        <v xml:space="preserve"> </v>
      </c>
      <c r="Q367" s="138" t="str">
        <f>IF(F367=" "," ",IF(AND(OR('депозитный калькулятор'!$G$7="30/365",'депозитный калькулятор'!$G$7="30/360"),AND(MONTH(F367)=2,EOMONTH(F367,0)=F367)),IF(DAY(F367)=28,3,2),1)*IF(G367&gt;='депозитный калькулятор'!$G$11,IF(AND('депозитный калькулятор'!$G$7="факт/факт",MOD(YEAR(F367),4)=0),G367*'депозитный калькулятор'!$D$11/366,G367*'депозитный калькулятор'!$G$8),0))</f>
        <v xml:space="preserve"> </v>
      </c>
      <c r="R367" s="148"/>
      <c r="S367" s="62" t="str">
        <f t="shared" ca="1" si="27"/>
        <v xml:space="preserve"> </v>
      </c>
      <c r="T367" s="149" t="str">
        <f ca="1">IF(S367=" "," ",IF('депозитный калькулятор'!$G$7="30/360",DAYS360(U366,IF(DAY(U367)=31,U367-1,U367))+IF(AND(MONTH(U367)=2,U367=EOMONTH(U367,0)),30-DAY(EOMONTH(U367,0)))+T366,VLOOKUP(S367,$C$22:$F$1023,2,0)))</f>
        <v xml:space="preserve"> </v>
      </c>
      <c r="U367" s="64" t="str">
        <f t="shared" ca="1" si="25"/>
        <v xml:space="preserve"> </v>
      </c>
      <c r="V367" s="150" t="str">
        <f t="shared" ca="1" si="28"/>
        <v xml:space="preserve"> </v>
      </c>
      <c r="W367" s="62" t="str">
        <f t="shared" ca="1" si="29"/>
        <v xml:space="preserve"> </v>
      </c>
      <c r="X367" s="141" t="str">
        <f ca="1">IF(S367=" "," ",IFERROR(VLOOKUP(U367,$F$23:$N$1023,7)+VLOOKUP(U367,$F$23:$N$1023,9)+IF(AND('депозитный калькулятор'!$G$13="нет",U367&lt;&gt;'депозитный калькулятор'!$D$8),VLOOKUP(U367,$F$23:$N$1023,4),0),0)+IF(U367='депозитный калькулятор'!$D$8,VLOOKUP(U367,$F$23:$N$1023,2)+VLOOKUP(U367,$F$23:$N$1023,4),0))</f>
        <v xml:space="preserve"> </v>
      </c>
      <c r="Y367" s="142" t="str">
        <f ca="1">IF(S367=" "," ",W367/(1+'депозитный калькулятор'!$K$8)^(T367/IF('депозитный калькулятор'!$G$7="30/360",360,365)))</f>
        <v xml:space="preserve"> </v>
      </c>
      <c r="Z367" s="142" t="str">
        <f ca="1">IF(S367=" "," ",X367/(1+'депозитный калькулятор'!$K$8)^(T367/IF('депозитный калькулятор'!$G$7="30/360",360,365)))</f>
        <v xml:space="preserve"> </v>
      </c>
      <c r="AA367" s="151"/>
      <c r="AB367" s="151"/>
      <c r="AC367" s="155"/>
      <c r="AD367" s="155"/>
    </row>
    <row r="368" spans="1:30" s="2" customFormat="1" ht="15.5" x14ac:dyDescent="0.35">
      <c r="A368" s="41" t="str">
        <f>IF(F368=" "," ",IF(OR('депозитный калькулятор'!$G$7="30/365",'депозитный калькулятор'!$G$7="30/360"),IF(AND(MONTH(F368)=2,DAY(F368)=DAY(EOMONTH(F368,0))),30-DAY(EOMONTH(F368,0)),IF(DAY(F368)=31,1," "))," "))</f>
        <v xml:space="preserve"> </v>
      </c>
      <c r="B368" s="130" t="str">
        <f t="shared" si="26"/>
        <v xml:space="preserve"> </v>
      </c>
      <c r="C368" s="130" t="str">
        <f>IF(OR(B368=0,B368=" ")," ",SUM($B$23:B368))</f>
        <v xml:space="preserve"> </v>
      </c>
      <c r="D368" s="62" t="str">
        <f>IF(D367=" "," ",IF(OR(F367='депозитный калькулятор'!$D$8,F367=" ")," ",D367+1))</f>
        <v xml:space="preserve"> </v>
      </c>
      <c r="E368" s="130" t="str">
        <f>IF(OR(F367='депозитный калькулятор'!$D$8,F367=" ")," ",IF(EOMONTH(F367,0)=F367,1,E367+1))</f>
        <v xml:space="preserve"> </v>
      </c>
      <c r="F368" s="64" t="str">
        <f>IF(F367=" "," ",IF(F367='депозитный калькулятор'!$D$8," ",F367+1))</f>
        <v xml:space="preserve"> </v>
      </c>
      <c r="G368" s="145" t="str">
        <f xml:space="preserve"> IF(F368&gt;'депозитный калькулятор'!$D$8," ",IF('депозитный калькулятор'!$G$13="есть",IF('депозитный калькулятор'!$G$14="есть",G367+IF(I367=" ",0,I367)-J368-K368+L368+M368-N368,G367+IF(I367=" ",0,I367)-J368-K368+M368-N368),IF('депозитный калькулятор'!$G$14="есть",G367-J368-K368+L368+M368-N368,G367-J368-K368+M368-N368)))</f>
        <v xml:space="preserve"> </v>
      </c>
      <c r="H368" s="133" t="str">
        <f>IF(F368&gt;'депозитный калькулятор'!$D$8," ",IF(AND(OR('депозитный калькулятор'!$G$7="30/365",'депозитный калькулятор'!$G$7="30/360"),AND(MONTH(F368)=2,EOMONTH(F368,0)=F368)),IF(DAY(F368)=28,3*G368*'депозитный калькулятор'!$G$8,2*G368*'депозитный калькулятор'!$G$8),IF(AND(OR('депозитный калькулятор'!$G$7="30/365",'депозитный калькулятор'!$G$7="30/360"),DAY(F368)=31)," ",IF(AND('депозитный калькулятор'!$G$7="факт/факт",MOD(YEAR(F368),4)=0),G368*'депозитный калькулятор'!$D$11/366,G368*'депозитный калькулятор'!$G$8))))</f>
        <v xml:space="preserve"> </v>
      </c>
      <c r="I368" s="134" t="str">
        <f ca="1">IF(F368=" "," ",IF('депозитный калькулятор'!$G$10="ежедневное",H368,IF(AND('депозитный калькулятор'!$G$10="еженедельное",WEEKDAY(F368,2)=7),SUM(OFFSET(H368,-6,0):H368),IF(AND('депозитный калькулятор'!$G$10="еженедельное",F368='депозитный калькулятор'!$D$8),SUM($H$23:H368)-SUM($I$23:I367),IF(AND('депозитный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недели",WEEKDAY(F368,2)=7),MIN(OFFSET(H368,-6,0):H368)*(COUNTIF(OFFSET(H368,-6,0):H368,"&gt;0")+SUMIF(OFFSET(A368,-WEEKDAY(F368,2),0):A368,"=2",OFFSET(A368,-WEEKDAY(F368,2),0):A368)),IF(AND('депозитный калькулятор'!$G$10="еженедельное, на минимальную сумму зафиксированную в течение недели",F368='депозитный калькулятор'!$D$8,WEEKDAY(F368,2)&lt;&gt;7),MIN(OFFSET(H368,-WEEKDAY(F368,2),0):H368)*(COUNTIF(OFFSET(H368,-WEEKDAY(F368,2)+1,0):H368,"&gt;0")+SUM(OFFSET(A368,-WEEKDAY(F368,2),0):A368)),IF(AND('депозитный калькулятор'!$G$10="ежемесячное (в конце месяца)",F368='депозитный калькулятор'!$D$8,EOMONTH(F368,0)&lt;&gt;F368),IF('депозитный калькулятор'!$F$1=1,$H$24,SUM($H$23:H368)-SUM($I$23:I367)),IF(AND('депозитный калькулятор'!$G$10="ежемесячное (в конце месяца)",EOMONTH(F368,0)=F368),SUM($H$23:H368)-SUM($I$23:I367),IF(AND('депозитный калькулятор'!$G$10="ежемесячное (по дням открытия вклада)",F368='депозитный калькулятор'!$D$8,DAY('депозитный калькулятор'!$D$7)&lt;&gt;DAY(F368)),IF('депозитный калькулятор'!$F$1=1,$H$24,SUM($H$23:H368)-SUM($I$23:I367)),IF(AND('депозитный калькулятор'!$G$10="ежемесячное (по дням открытия вклада)",DAY('депозитный калькулятор'!$D$7)=DAY(F368)),SUM($H$23:H368)-SUM($I$23:I367),IF(AND('депозитный калькулятор'!$G$10="ежемесячное, на минимальную сумму зафиксированную в течение месяца",F368='депозитный калькулятор'!$D$8,EOMONTH(F368,0)&lt;&gt;F368),IF('депозитный калькулятор'!$F$1=1,$H$24,IF(AND(OR('депозитный калькулятор'!$G$7="30/365",'депозитный калькулятор'!$G$7="30/360"),DAY(F368)=31),0,MIN(OFFSET(H368,-E368+1,0):H368)*(E368+SUMIF(OFFSET(A368,-E368+1,0):A368,"=2",OFFSET(A368,-E368+1,0):A368)))),IF(AND('депозитный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калькулятор'!$G$7="30/360"),DAY(EOMONTH(F368,0))=31),EOMONTH(F368,0)-1=F368,EOMONTH(F368,0)=F368)),IF(IF(AND(OR('депозитный калькулятор'!$G$7="30/365",'депозитный калькулятор'!$G$7="30/360"),DAY(EOMONTH($F$23,0))=31),F368=EOMONTH($F$23,0)-1,F368=EOMONTH($F$23,0)),MIN(OFFSET(H368,-(DAY(F368)-DAY($F$23)),0):H368)*E368,MIN(OFFSET(H368,-(DAY(F368)-1),0):H368)*IF(AND(OR('депозитный калькулятор'!$G$7="30/365",'депозитный калькулятор'!$G$7="30/360"),DAY(F368)&lt;30),30,DAY(F368))),IF(AND('депозитный калькулятор'!$G$10="ежемесячное, на средний остаток в течение месяца, при условии что остаток больше чем ограничение",F368='депозитный калькулятор'!$D$8,EOMONTH(F368,0)&lt;&gt;F368),IF('депозитный калькулятор'!$F$1=1,$H$24,SUM(OFFSET(Q368,-E368+1,0):Q368)),IF(AND('депозитный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калькулятор'!$G$7="30/360"),DAY(EOMONTH(F368,0))=31),EOMONTH(F368,0)-1=F368,EOMONTH(F368,0)=F368)),IF(IF(AND(OR('депозитный калькулятор'!$G$7="30/365",'депозитный калькулятор'!$G$7="30/360"),DAY(EOMONTH($F$24,0))=31),F368=EOMONTH($F$24,0)-1,F368=EOMONTH($F$24,0)),SUM(OFFSET(Q368,-E368+1,0):Q368),SUM(OFFSET(Q368,-E368+1,0):Q368)),IF('депозитный калькулятор'!$G$10="ежеквартальное",IF(F368&gt;'депозитный калькулятор'!$D$8," ",IF(AND(EOMONTH(F368,0)=F368,OR(MONTH(F368)=3,MONTH(F368)=6,MONTH(F368)=9,MONTH(F368)=12)),IF(EDATE(F368,-3)&lt;'депозитный калькулятор'!$D$7,SUM($H$23:H368),IF(MOD(YEAR(F368),4)=0,IF(AND(EOMONTH(F368,0)=F368,OR(MONTH(F368)=3,MONTH(F368)=6)),SUM(OFFSET(H368,-90,0):H368),IF(AND(EOMONTH(F368,0)=F368,OR(MONTH(F368)=9,MONTH(F368)=12)),SUM(OFFSET(H368,-91,0):H368))),IF(AND(EOMONTH(F368,0)=F368,MONTH(F368)=3),SUM(OFFSET(H368,-89,0):H368),IF(AND(EOMONTH(F368,0)=F368,MONTH(F368)=6),SUM(OFFSET(H368,-90,0):H368),IF(AND(EOMONTH(F368,0)=F368,OR(MONTH(F368)=9,MONTH(F368)=12)),SUM(OFFSET(H368,-91,0):H368)))))),IF(F368='депозитный калькулятор'!$D$8,SUM($H$23:H368)-SUM($I$23:I367),0))),IF('депозитный калькулятор'!$G$10="ежегодное",IF(F368&gt;'депозитный калькулятор'!$D$8," ",IF(F368='депозитный калькулятор'!$D$8,SUM($H$23:H368)-SUM($I$23:I367),IF(AND(EOMONTH(F368,0)=F368,MONTH(F368)=12),IF(MOD(YEAR(F367),4)=0,IF(F368-'депозитный калькулятор'!$D$7&lt;366,SUM($H$23:H368),SUM(OFFSET(H368,-365,0):H368)),IF(F368-'депозитный калькулятор'!$D$7&lt;365,SUM($H$23:H368),SUM(OFFSET(H368,-364,0):H368))),0))),IF(AND('депозитный калькулятор'!$G$10="в конце срока",'депозитный калькулятор'!$D$8=F368),SUM($H$23:H368),0))))))))))))))))))</f>
        <v xml:space="preserve"> </v>
      </c>
      <c r="J368" s="59" t="str">
        <f>IF(F368&gt;'депозитный калькулятор'!$D$8," ",IF('депозитный калькулятор'!$G$16="нет",0,IF(AND('депозитный калькулятор'!$G$17="разовая (в конце срока)",F368='депозитный калькулятор'!$D$8),'депозитный калькулятор'!$G$18,IF(AND('депозитный калькулятор'!$G$17="ежемесячная",EOMONTH(F367,0)=F367),'депозитный калькулятор'!$G$18,IF(AND('депозитный калькулятор'!$G$17="ежегодная",DAY(F367)=31,MONTH(F367)=12),'депозитный калькулятор'!$G$18,IF(AND('депозитный калькулятор'!$G$17="ежемесячная в зависимости от остатка",EOMONTH(F367,0)=F367,P367&gt;0),'депозитный калькулятор'!$G$18,IF(AND('депозитный калькулятор'!$G$17="ежегодная в зависимости от остатка",DAY(F367)=31,MONTH(F367)=12,P367&gt;0),'депозитный калькулятор'!$G$18,0)))))))</f>
        <v xml:space="preserve"> </v>
      </c>
      <c r="K368" s="135" t="str">
        <f>IF($F368=" "," ",IFERROR(VLOOKUP($F368,'депозитный калькулятор'!$B$26:$F$70,2,0),0))</f>
        <v xml:space="preserve"> </v>
      </c>
      <c r="L368" s="135" t="str">
        <f>IF($F368=" "," ",IFERROR(VLOOKUP($F368,'депозитный калькулятор'!$B$26:$F$70,3,0),0))</f>
        <v xml:space="preserve"> </v>
      </c>
      <c r="M368" s="135" t="str">
        <f>IF($F368=" "," ",IFERROR(VLOOKUP($F368,'депозитный калькулятор'!$B$26:$F$70,4,0),0))</f>
        <v xml:space="preserve"> </v>
      </c>
      <c r="N368" s="135" t="str">
        <f>IF($F368=" "," ",IFERROR(VLOOKUP($F368,'депозитный калькулятор'!$B$26:$F$70,5,0),0))</f>
        <v xml:space="preserve"> </v>
      </c>
      <c r="O368" s="146" t="str">
        <f>IF(F368&gt;'депозитный калькулятор'!$D$8," ",IF(F368='депозитный калькулятор'!$D$8,IF(AND($F$24='депозитный калькулятор'!$D$8,'депозитный калькулятор'!$G$13="нет"),-G368-IF(I368=" ",0,I368)-IF(AND(OR('депозитный калькулятор'!$G$7="30/365",'депозитный калькулятор'!$G$7="30/360"),'депозитный калькулятор'!$G$10="в начале срока"),I367,0)-L368+M368-N368,-G368-IF(I368=" ",0,I368)-L368+M368-N368),IF('депозитный калькулятор'!$G$13="есть",M368-N368+IF('депозитный калькулятор'!$G$14="есть",0,-L368),-IF(I368=" ",0,I368)-IF(AND(OR('депозитный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срока"),I367,0)+M368-N368+IF('депозитный калькулятор'!$G$14="есть",0,-L368))))</f>
        <v xml:space="preserve"> </v>
      </c>
      <c r="P368" s="147" t="str">
        <f>IF(F368&gt;'депозитный калькулятор'!$D$8," ",IF(EOMONTH(F367,0)=F367,0,IF(G368&gt;='депозитный калькулятор'!$G$19,P367,P367+1)))</f>
        <v xml:space="preserve"> </v>
      </c>
      <c r="Q368" s="138" t="str">
        <f>IF(F368=" "," ",IF(AND(OR('депозитный калькулятор'!$G$7="30/365",'депозитный калькулятор'!$G$7="30/360"),AND(MONTH(F368)=2,EOMONTH(F368,0)=F368)),IF(DAY(F368)=28,3,2),1)*IF(G368&gt;='депозитный калькулятор'!$G$11,IF(AND('депозитный калькулятор'!$G$7="факт/факт",MOD(YEAR(F368),4)=0),G368*'депозитный калькулятор'!$D$11/366,G368*'депозитный калькулятор'!$G$8),0))</f>
        <v xml:space="preserve"> </v>
      </c>
      <c r="R368" s="148"/>
      <c r="S368" s="62" t="str">
        <f t="shared" ca="1" si="27"/>
        <v xml:space="preserve"> </v>
      </c>
      <c r="T368" s="149" t="str">
        <f ca="1">IF(S368=" "," ",IF('депозитный калькулятор'!$G$7="30/360",DAYS360(U367,IF(DAY(U368)=31,U368-1,U368))+IF(AND(MONTH(U368)=2,U368=EOMONTH(U368,0)),30-DAY(EOMONTH(U368,0)))+T367,VLOOKUP(S368,$C$22:$F$1023,2,0)))</f>
        <v xml:space="preserve"> </v>
      </c>
      <c r="U368" s="64" t="str">
        <f t="shared" ca="1" si="25"/>
        <v xml:space="preserve"> </v>
      </c>
      <c r="V368" s="150" t="str">
        <f t="shared" ca="1" si="28"/>
        <v xml:space="preserve"> </v>
      </c>
      <c r="W368" s="62" t="str">
        <f t="shared" ca="1" si="29"/>
        <v xml:space="preserve"> </v>
      </c>
      <c r="X368" s="141" t="str">
        <f ca="1">IF(S368=" "," ",IFERROR(VLOOKUP(U368,$F$23:$N$1023,7)+VLOOKUP(U368,$F$23:$N$1023,9)+IF(AND('депозитный калькулятор'!$G$13="нет",U368&lt;&gt;'депозитный калькулятор'!$D$8),VLOOKUP(U368,$F$23:$N$1023,4),0),0)+IF(U368='депозитный калькулятор'!$D$8,VLOOKUP(U368,$F$23:$N$1023,2)+VLOOKUP(U368,$F$23:$N$1023,4),0))</f>
        <v xml:space="preserve"> </v>
      </c>
      <c r="Y368" s="142" t="str">
        <f ca="1">IF(S368=" "," ",W368/(1+'депозитный калькулятор'!$K$8)^(T368/IF('депозитный калькулятор'!$G$7="30/360",360,365)))</f>
        <v xml:space="preserve"> </v>
      </c>
      <c r="Z368" s="142" t="str">
        <f ca="1">IF(S368=" "," ",X368/(1+'депозитный калькулятор'!$K$8)^(T368/IF('депозитный калькулятор'!$G$7="30/360",360,365)))</f>
        <v xml:space="preserve"> </v>
      </c>
      <c r="AA368" s="151"/>
      <c r="AB368" s="151"/>
      <c r="AC368" s="155"/>
      <c r="AD368" s="155"/>
    </row>
    <row r="369" spans="1:30" s="2" customFormat="1" ht="15.5" x14ac:dyDescent="0.35">
      <c r="A369" s="41" t="str">
        <f>IF(F369=" "," ",IF(OR('депозитный калькулятор'!$G$7="30/365",'депозитный калькулятор'!$G$7="30/360"),IF(AND(MONTH(F369)=2,DAY(F369)=DAY(EOMONTH(F369,0))),30-DAY(EOMONTH(F369,0)),IF(DAY(F369)=31,1," "))," "))</f>
        <v xml:space="preserve"> </v>
      </c>
      <c r="B369" s="130" t="str">
        <f t="shared" si="26"/>
        <v xml:space="preserve"> </v>
      </c>
      <c r="C369" s="130" t="str">
        <f>IF(OR(B369=0,B369=" ")," ",SUM($B$23:B369))</f>
        <v xml:space="preserve"> </v>
      </c>
      <c r="D369" s="62" t="str">
        <f>IF(D368=" "," ",IF(OR(F368='депозитный калькулятор'!$D$8,F368=" ")," ",D368+1))</f>
        <v xml:space="preserve"> </v>
      </c>
      <c r="E369" s="130" t="str">
        <f>IF(OR(F368='депозитный калькулятор'!$D$8,F368=" ")," ",IF(EOMONTH(F368,0)=F368,1,E368+1))</f>
        <v xml:space="preserve"> </v>
      </c>
      <c r="F369" s="64" t="str">
        <f>IF(F368=" "," ",IF(F368='депозитный калькулятор'!$D$8," ",F368+1))</f>
        <v xml:space="preserve"> </v>
      </c>
      <c r="G369" s="145" t="str">
        <f xml:space="preserve"> IF(F369&gt;'депозитный калькулятор'!$D$8," ",IF('депозитный калькулятор'!$G$13="есть",IF('депозитный калькулятор'!$G$14="есть",G368+IF(I368=" ",0,I368)-J369-K369+L369+M369-N369,G368+IF(I368=" ",0,I368)-J369-K369+M369-N369),IF('депозитный калькулятор'!$G$14="есть",G368-J369-K369+L369+M369-N369,G368-J369-K369+M369-N369)))</f>
        <v xml:space="preserve"> </v>
      </c>
      <c r="H369" s="133" t="str">
        <f>IF(F369&gt;'депозитный калькулятор'!$D$8," ",IF(AND(OR('депозитный калькулятор'!$G$7="30/365",'депозитный калькулятор'!$G$7="30/360"),AND(MONTH(F369)=2,EOMONTH(F369,0)=F369)),IF(DAY(F369)=28,3*G369*'депозитный калькулятор'!$G$8,2*G369*'депозитный калькулятор'!$G$8),IF(AND(OR('депозитный калькулятор'!$G$7="30/365",'депозитный калькулятор'!$G$7="30/360"),DAY(F369)=31)," ",IF(AND('депозитный калькулятор'!$G$7="факт/факт",MOD(YEAR(F369),4)=0),G369*'депозитный калькулятор'!$D$11/366,G369*'депозитный калькулятор'!$G$8))))</f>
        <v xml:space="preserve"> </v>
      </c>
      <c r="I369" s="134" t="str">
        <f ca="1">IF(F369=" "," ",IF('депозитный калькулятор'!$G$10="ежедневное",H369,IF(AND('депозитный калькулятор'!$G$10="еженедельное",WEEKDAY(F369,2)=7),SUM(OFFSET(H369,-6,0):H369),IF(AND('депозитный калькулятор'!$G$10="еженедельное",F369='депозитный калькулятор'!$D$8),SUM($H$23:H369)-SUM($I$23:I368),IF(AND('депозитный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недели",WEEKDAY(F369,2)=7),MIN(OFFSET(H369,-6,0):H369)*(COUNTIF(OFFSET(H369,-6,0):H369,"&gt;0")+SUMIF(OFFSET(A369,-WEEKDAY(F369,2),0):A369,"=2",OFFSET(A369,-WEEKDAY(F369,2),0):A369)),IF(AND('депозитный калькулятор'!$G$10="еженедельное, на минимальную сумму зафиксированную в течение недели",F369='депозитный калькулятор'!$D$8,WEEKDAY(F369,2)&lt;&gt;7),MIN(OFFSET(H369,-WEEKDAY(F369,2),0):H369)*(COUNTIF(OFFSET(H369,-WEEKDAY(F369,2)+1,0):H369,"&gt;0")+SUM(OFFSET(A369,-WEEKDAY(F369,2),0):A369)),IF(AND('депозитный калькулятор'!$G$10="ежемесячное (в конце месяца)",F369='депозитный калькулятор'!$D$8,EOMONTH(F369,0)&lt;&gt;F369),IF('депозитный калькулятор'!$F$1=1,$H$24,SUM($H$23:H369)-SUM($I$23:I368)),IF(AND('депозитный калькулятор'!$G$10="ежемесячное (в конце месяца)",EOMONTH(F369,0)=F369),SUM($H$23:H369)-SUM($I$23:I368),IF(AND('депозитный калькулятор'!$G$10="ежемесячное (по дням открытия вклада)",F369='депозитный калькулятор'!$D$8,DAY('депозитный калькулятор'!$D$7)&lt;&gt;DAY(F369)),IF('депозитный калькулятор'!$F$1=1,$H$24,SUM($H$23:H369)-SUM($I$23:I368)),IF(AND('депозитный калькулятор'!$G$10="ежемесячное (по дням открытия вклада)",DAY('депозитный калькулятор'!$D$7)=DAY(F369)),SUM($H$23:H369)-SUM($I$23:I368),IF(AND('депозитный калькулятор'!$G$10="ежемесячное, на минимальную сумму зафиксированную в течение месяца",F369='депозитный калькулятор'!$D$8,EOMONTH(F369,0)&lt;&gt;F369),IF('депозитный калькулятор'!$F$1=1,$H$24,IF(AND(OR('депозитный калькулятор'!$G$7="30/365",'депозитный калькулятор'!$G$7="30/360"),DAY(F369)=31),0,MIN(OFFSET(H369,-E369+1,0):H369)*(E369+SUMIF(OFFSET(A369,-E369+1,0):A369,"=2",OFFSET(A369,-E369+1,0):A369)))),IF(AND('депозитный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калькулятор'!$G$7="30/360"),DAY(EOMONTH(F369,0))=31),EOMONTH(F369,0)-1=F369,EOMONTH(F369,0)=F369)),IF(IF(AND(OR('депозитный калькулятор'!$G$7="30/365",'депозитный калькулятор'!$G$7="30/360"),DAY(EOMONTH($F$23,0))=31),F369=EOMONTH($F$23,0)-1,F369=EOMONTH($F$23,0)),MIN(OFFSET(H369,-(DAY(F369)-DAY($F$23)),0):H369)*E369,MIN(OFFSET(H369,-(DAY(F369)-1),0):H369)*IF(AND(OR('депозитный калькулятор'!$G$7="30/365",'депозитный калькулятор'!$G$7="30/360"),DAY(F369)&lt;30),30,DAY(F369))),IF(AND('депозитный калькулятор'!$G$10="ежемесячное, на средний остаток в течение месяца, при условии что остаток больше чем ограничение",F369='депозитный калькулятор'!$D$8,EOMONTH(F369,0)&lt;&gt;F369),IF('депозитный калькулятор'!$F$1=1,$H$24,SUM(OFFSET(Q369,-E369+1,0):Q369)),IF(AND('депозитный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калькулятор'!$G$7="30/360"),DAY(EOMONTH(F369,0))=31),EOMONTH(F369,0)-1=F369,EOMONTH(F369,0)=F369)),IF(IF(AND(OR('депозитный калькулятор'!$G$7="30/365",'депозитный калькулятор'!$G$7="30/360"),DAY(EOMONTH($F$24,0))=31),F369=EOMONTH($F$24,0)-1,F369=EOMONTH($F$24,0)),SUM(OFFSET(Q369,-E369+1,0):Q369),SUM(OFFSET(Q369,-E369+1,0):Q369)),IF('депозитный калькулятор'!$G$10="ежеквартальное",IF(F369&gt;'депозитный калькулятор'!$D$8," ",IF(AND(EOMONTH(F369,0)=F369,OR(MONTH(F369)=3,MONTH(F369)=6,MONTH(F369)=9,MONTH(F369)=12)),IF(EDATE(F369,-3)&lt;'депозитный калькулятор'!$D$7,SUM($H$23:H369),IF(MOD(YEAR(F369),4)=0,IF(AND(EOMONTH(F369,0)=F369,OR(MONTH(F369)=3,MONTH(F369)=6)),SUM(OFFSET(H369,-90,0):H369),IF(AND(EOMONTH(F369,0)=F369,OR(MONTH(F369)=9,MONTH(F369)=12)),SUM(OFFSET(H369,-91,0):H369))),IF(AND(EOMONTH(F369,0)=F369,MONTH(F369)=3),SUM(OFFSET(H369,-89,0):H369),IF(AND(EOMONTH(F369,0)=F369,MONTH(F369)=6),SUM(OFFSET(H369,-90,0):H369),IF(AND(EOMONTH(F369,0)=F369,OR(MONTH(F369)=9,MONTH(F369)=12)),SUM(OFFSET(H369,-91,0):H369)))))),IF(F369='депозитный калькулятор'!$D$8,SUM($H$23:H369)-SUM($I$23:I368),0))),IF('депозитный калькулятор'!$G$10="ежегодное",IF(F369&gt;'депозитный калькулятор'!$D$8," ",IF(F369='депозитный калькулятор'!$D$8,SUM($H$23:H369)-SUM($I$23:I368),IF(AND(EOMONTH(F369,0)=F369,MONTH(F369)=12),IF(MOD(YEAR(F368),4)=0,IF(F369-'депозитный калькулятор'!$D$7&lt;366,SUM($H$23:H369),SUM(OFFSET(H369,-365,0):H369)),IF(F369-'депозитный калькулятор'!$D$7&lt;365,SUM($H$23:H369),SUM(OFFSET(H369,-364,0):H369))),0))),IF(AND('депозитный калькулятор'!$G$10="в конце срока",'депозитный калькулятор'!$D$8=F369),SUM($H$23:H369),0))))))))))))))))))</f>
        <v xml:space="preserve"> </v>
      </c>
      <c r="J369" s="59" t="str">
        <f>IF(F369&gt;'депозитный калькулятор'!$D$8," ",IF('депозитный калькулятор'!$G$16="нет",0,IF(AND('депозитный калькулятор'!$G$17="разовая (в конце срока)",F369='депозитный калькулятор'!$D$8),'депозитный калькулятор'!$G$18,IF(AND('депозитный калькулятор'!$G$17="ежемесячная",EOMONTH(F368,0)=F368),'депозитный калькулятор'!$G$18,IF(AND('депозитный калькулятор'!$G$17="ежегодная",DAY(F368)=31,MONTH(F368)=12),'депозитный калькулятор'!$G$18,IF(AND('депозитный калькулятор'!$G$17="ежемесячная в зависимости от остатка",EOMONTH(F368,0)=F368,P368&gt;0),'депозитный калькулятор'!$G$18,IF(AND('депозитный калькулятор'!$G$17="ежегодная в зависимости от остатка",DAY(F368)=31,MONTH(F368)=12,P368&gt;0),'депозитный калькулятор'!$G$18,0)))))))</f>
        <v xml:space="preserve"> </v>
      </c>
      <c r="K369" s="135" t="str">
        <f>IF($F369=" "," ",IFERROR(VLOOKUP($F369,'депозитный калькулятор'!$B$26:$F$70,2,0),0))</f>
        <v xml:space="preserve"> </v>
      </c>
      <c r="L369" s="135" t="str">
        <f>IF($F369=" "," ",IFERROR(VLOOKUP($F369,'депозитный калькулятор'!$B$26:$F$70,3,0),0))</f>
        <v xml:space="preserve"> </v>
      </c>
      <c r="M369" s="135" t="str">
        <f>IF($F369=" "," ",IFERROR(VLOOKUP($F369,'депозитный калькулятор'!$B$26:$F$70,4,0),0))</f>
        <v xml:space="preserve"> </v>
      </c>
      <c r="N369" s="135" t="str">
        <f>IF($F369=" "," ",IFERROR(VLOOKUP($F369,'депозитный калькулятор'!$B$26:$F$70,5,0),0))</f>
        <v xml:space="preserve"> </v>
      </c>
      <c r="O369" s="146" t="str">
        <f>IF(F369&gt;'депозитный калькулятор'!$D$8," ",IF(F369='депозитный калькулятор'!$D$8,IF(AND($F$24='депозитный калькулятор'!$D$8,'депозитный калькулятор'!$G$13="нет"),-G369-IF(I369=" ",0,I369)-IF(AND(OR('депозитный калькулятор'!$G$7="30/365",'депозитный калькулятор'!$G$7="30/360"),'депозитный калькулятор'!$G$10="в начале срока"),I368,0)-L369+M369-N369,-G369-IF(I369=" ",0,I369)-L369+M369-N369),IF('депозитный калькулятор'!$G$13="есть",M369-N369+IF('депозитный калькулятор'!$G$14="есть",0,-L369),-IF(I369=" ",0,I369)-IF(AND(OR('депозитный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срока"),I368,0)+M369-N369+IF('депозитный калькулятор'!$G$14="есть",0,-L369))))</f>
        <v xml:space="preserve"> </v>
      </c>
      <c r="P369" s="147" t="str">
        <f>IF(F369&gt;'депозитный калькулятор'!$D$8," ",IF(EOMONTH(F368,0)=F368,0,IF(G369&gt;='депозитный калькулятор'!$G$19,P368,P368+1)))</f>
        <v xml:space="preserve"> </v>
      </c>
      <c r="Q369" s="138" t="str">
        <f>IF(F369=" "," ",IF(AND(OR('депозитный калькулятор'!$G$7="30/365",'депозитный калькулятор'!$G$7="30/360"),AND(MONTH(F369)=2,EOMONTH(F369,0)=F369)),IF(DAY(F369)=28,3,2),1)*IF(G369&gt;='депозитный калькулятор'!$G$11,IF(AND('депозитный калькулятор'!$G$7="факт/факт",MOD(YEAR(F369),4)=0),G369*'депозитный калькулятор'!$D$11/366,G369*'депозитный калькулятор'!$G$8),0))</f>
        <v xml:space="preserve"> </v>
      </c>
      <c r="R369" s="148"/>
      <c r="S369" s="62" t="str">
        <f t="shared" ca="1" si="27"/>
        <v xml:space="preserve"> </v>
      </c>
      <c r="T369" s="149" t="str">
        <f ca="1">IF(S369=" "," ",IF('депозитный калькулятор'!$G$7="30/360",DAYS360(U368,IF(DAY(U369)=31,U369-1,U369))+IF(AND(MONTH(U369)=2,U369=EOMONTH(U369,0)),30-DAY(EOMONTH(U369,0)))+T368,VLOOKUP(S369,$C$22:$F$1023,2,0)))</f>
        <v xml:space="preserve"> </v>
      </c>
      <c r="U369" s="64" t="str">
        <f t="shared" ca="1" si="25"/>
        <v xml:space="preserve"> </v>
      </c>
      <c r="V369" s="150" t="str">
        <f t="shared" ca="1" si="28"/>
        <v xml:space="preserve"> </v>
      </c>
      <c r="W369" s="62" t="str">
        <f t="shared" ca="1" si="29"/>
        <v xml:space="preserve"> </v>
      </c>
      <c r="X369" s="141" t="str">
        <f ca="1">IF(S369=" "," ",IFERROR(VLOOKUP(U369,$F$23:$N$1023,7)+VLOOKUP(U369,$F$23:$N$1023,9)+IF(AND('депозитный калькулятор'!$G$13="нет",U369&lt;&gt;'депозитный калькулятор'!$D$8),VLOOKUP(U369,$F$23:$N$1023,4),0),0)+IF(U369='депозитный калькулятор'!$D$8,VLOOKUP(U369,$F$23:$N$1023,2)+VLOOKUP(U369,$F$23:$N$1023,4),0))</f>
        <v xml:space="preserve"> </v>
      </c>
      <c r="Y369" s="142" t="str">
        <f ca="1">IF(S369=" "," ",W369/(1+'депозитный калькулятор'!$K$8)^(T369/IF('депозитный калькулятор'!$G$7="30/360",360,365)))</f>
        <v xml:space="preserve"> </v>
      </c>
      <c r="Z369" s="142" t="str">
        <f ca="1">IF(S369=" "," ",X369/(1+'депозитный калькулятор'!$K$8)^(T369/IF('депозитный калькулятор'!$G$7="30/360",360,365)))</f>
        <v xml:space="preserve"> </v>
      </c>
      <c r="AA369" s="151"/>
      <c r="AB369" s="151"/>
      <c r="AC369" s="155"/>
      <c r="AD369" s="155"/>
    </row>
    <row r="370" spans="1:30" s="2" customFormat="1" ht="15.5" x14ac:dyDescent="0.35">
      <c r="A370" s="41" t="str">
        <f>IF(F370=" "," ",IF(OR('депозитный калькулятор'!$G$7="30/365",'депозитный калькулятор'!$G$7="30/360"),IF(AND(MONTH(F370)=2,DAY(F370)=DAY(EOMONTH(F370,0))),30-DAY(EOMONTH(F370,0)),IF(DAY(F370)=31,1," "))," "))</f>
        <v xml:space="preserve"> </v>
      </c>
      <c r="B370" s="130" t="str">
        <f t="shared" si="26"/>
        <v xml:space="preserve"> </v>
      </c>
      <c r="C370" s="130" t="str">
        <f>IF(OR(B370=0,B370=" ")," ",SUM($B$23:B370))</f>
        <v xml:space="preserve"> </v>
      </c>
      <c r="D370" s="62" t="str">
        <f>IF(D369=" "," ",IF(OR(F369='депозитный калькулятор'!$D$8,F369=" ")," ",D369+1))</f>
        <v xml:space="preserve"> </v>
      </c>
      <c r="E370" s="130" t="str">
        <f>IF(OR(F369='депозитный калькулятор'!$D$8,F369=" ")," ",IF(EOMONTH(F369,0)=F369,1,E369+1))</f>
        <v xml:space="preserve"> </v>
      </c>
      <c r="F370" s="64" t="str">
        <f>IF(F369=" "," ",IF(F369='депозитный калькулятор'!$D$8," ",F369+1))</f>
        <v xml:space="preserve"> </v>
      </c>
      <c r="G370" s="145" t="str">
        <f xml:space="preserve"> IF(F370&gt;'депозитный калькулятор'!$D$8," ",IF('депозитный калькулятор'!$G$13="есть",IF('депозитный калькулятор'!$G$14="есть",G369+IF(I369=" ",0,I369)-J370-K370+L370+M370-N370,G369+IF(I369=" ",0,I369)-J370-K370+M370-N370),IF('депозитный калькулятор'!$G$14="есть",G369-J370-K370+L370+M370-N370,G369-J370-K370+M370-N370)))</f>
        <v xml:space="preserve"> </v>
      </c>
      <c r="H370" s="133" t="str">
        <f>IF(F370&gt;'депозитный калькулятор'!$D$8," ",IF(AND(OR('депозитный калькулятор'!$G$7="30/365",'депозитный калькулятор'!$G$7="30/360"),AND(MONTH(F370)=2,EOMONTH(F370,0)=F370)),IF(DAY(F370)=28,3*G370*'депозитный калькулятор'!$G$8,2*G370*'депозитный калькулятор'!$G$8),IF(AND(OR('депозитный калькулятор'!$G$7="30/365",'депозитный калькулятор'!$G$7="30/360"),DAY(F370)=31)," ",IF(AND('депозитный калькулятор'!$G$7="факт/факт",MOD(YEAR(F370),4)=0),G370*'депозитный калькулятор'!$D$11/366,G370*'депозитный калькулятор'!$G$8))))</f>
        <v xml:space="preserve"> </v>
      </c>
      <c r="I370" s="134" t="str">
        <f ca="1">IF(F370=" "," ",IF('депозитный калькулятор'!$G$10="ежедневное",H370,IF(AND('депозитный калькулятор'!$G$10="еженедельное",WEEKDAY(F370,2)=7),SUM(OFFSET(H370,-6,0):H370),IF(AND('депозитный калькулятор'!$G$10="еженедельное",F370='депозитный калькулятор'!$D$8),SUM($H$23:H370)-SUM($I$23:I369),IF(AND('депозитный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недели",WEEKDAY(F370,2)=7),MIN(OFFSET(H370,-6,0):H370)*(COUNTIF(OFFSET(H370,-6,0):H370,"&gt;0")+SUMIF(OFFSET(A370,-WEEKDAY(F370,2),0):A370,"=2",OFFSET(A370,-WEEKDAY(F370,2),0):A370)),IF(AND('депозитный калькулятор'!$G$10="еженедельное, на минимальную сумму зафиксированную в течение недели",F370='депозитный калькулятор'!$D$8,WEEKDAY(F370,2)&lt;&gt;7),MIN(OFFSET(H370,-WEEKDAY(F370,2),0):H370)*(COUNTIF(OFFSET(H370,-WEEKDAY(F370,2)+1,0):H370,"&gt;0")+SUM(OFFSET(A370,-WEEKDAY(F370,2),0):A370)),IF(AND('депозитный калькулятор'!$G$10="ежемесячное (в конце месяца)",F370='депозитный калькулятор'!$D$8,EOMONTH(F370,0)&lt;&gt;F370),IF('депозитный калькулятор'!$F$1=1,$H$24,SUM($H$23:H370)-SUM($I$23:I369)),IF(AND('депозитный калькулятор'!$G$10="ежемесячное (в конце месяца)",EOMONTH(F370,0)=F370),SUM($H$23:H370)-SUM($I$23:I369),IF(AND('депозитный калькулятор'!$G$10="ежемесячное (по дням открытия вклада)",F370='депозитный калькулятор'!$D$8,DAY('депозитный калькулятор'!$D$7)&lt;&gt;DAY(F370)),IF('депозитный калькулятор'!$F$1=1,$H$24,SUM($H$23:H370)-SUM($I$23:I369)),IF(AND('депозитный калькулятор'!$G$10="ежемесячное (по дням открытия вклада)",DAY('депозитный калькулятор'!$D$7)=DAY(F370)),SUM($H$23:H370)-SUM($I$23:I369),IF(AND('депозитный калькулятор'!$G$10="ежемесячное, на минимальную сумму зафиксированную в течение месяца",F370='депозитный калькулятор'!$D$8,EOMONTH(F370,0)&lt;&gt;F370),IF('депозитный калькулятор'!$F$1=1,$H$24,IF(AND(OR('депозитный калькулятор'!$G$7="30/365",'депозитный калькулятор'!$G$7="30/360"),DAY(F370)=31),0,MIN(OFFSET(H370,-E370+1,0):H370)*(E370+SUMIF(OFFSET(A370,-E370+1,0):A370,"=2",OFFSET(A370,-E370+1,0):A370)))),IF(AND('депозитный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калькулятор'!$G$7="30/360"),DAY(EOMONTH(F370,0))=31),EOMONTH(F370,0)-1=F370,EOMONTH(F370,0)=F370)),IF(IF(AND(OR('депозитный калькулятор'!$G$7="30/365",'депозитный калькулятор'!$G$7="30/360"),DAY(EOMONTH($F$23,0))=31),F370=EOMONTH($F$23,0)-1,F370=EOMONTH($F$23,0)),MIN(OFFSET(H370,-(DAY(F370)-DAY($F$23)),0):H370)*E370,MIN(OFFSET(H370,-(DAY(F370)-1),0):H370)*IF(AND(OR('депозитный калькулятор'!$G$7="30/365",'депозитный калькулятор'!$G$7="30/360"),DAY(F370)&lt;30),30,DAY(F370))),IF(AND('депозитный калькулятор'!$G$10="ежемесячное, на средний остаток в течение месяца, при условии что остаток больше чем ограничение",F370='депозитный калькулятор'!$D$8,EOMONTH(F370,0)&lt;&gt;F370),IF('депозитный калькулятор'!$F$1=1,$H$24,SUM(OFFSET(Q370,-E370+1,0):Q370)),IF(AND('депозитный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калькулятор'!$G$7="30/360"),DAY(EOMONTH(F370,0))=31),EOMONTH(F370,0)-1=F370,EOMONTH(F370,0)=F370)),IF(IF(AND(OR('депозитный калькулятор'!$G$7="30/365",'депозитный калькулятор'!$G$7="30/360"),DAY(EOMONTH($F$24,0))=31),F370=EOMONTH($F$24,0)-1,F370=EOMONTH($F$24,0)),SUM(OFFSET(Q370,-E370+1,0):Q370),SUM(OFFSET(Q370,-E370+1,0):Q370)),IF('депозитный калькулятор'!$G$10="ежеквартальное",IF(F370&gt;'депозитный калькулятор'!$D$8," ",IF(AND(EOMONTH(F370,0)=F370,OR(MONTH(F370)=3,MONTH(F370)=6,MONTH(F370)=9,MONTH(F370)=12)),IF(EDATE(F370,-3)&lt;'депозитный калькулятор'!$D$7,SUM($H$23:H370),IF(MOD(YEAR(F370),4)=0,IF(AND(EOMONTH(F370,0)=F370,OR(MONTH(F370)=3,MONTH(F370)=6)),SUM(OFFSET(H370,-90,0):H370),IF(AND(EOMONTH(F370,0)=F370,OR(MONTH(F370)=9,MONTH(F370)=12)),SUM(OFFSET(H370,-91,0):H370))),IF(AND(EOMONTH(F370,0)=F370,MONTH(F370)=3),SUM(OFFSET(H370,-89,0):H370),IF(AND(EOMONTH(F370,0)=F370,MONTH(F370)=6),SUM(OFFSET(H370,-90,0):H370),IF(AND(EOMONTH(F370,0)=F370,OR(MONTH(F370)=9,MONTH(F370)=12)),SUM(OFFSET(H370,-91,0):H370)))))),IF(F370='депозитный калькулятор'!$D$8,SUM($H$23:H370)-SUM($I$23:I369),0))),IF('депозитный калькулятор'!$G$10="ежегодное",IF(F370&gt;'депозитный калькулятор'!$D$8," ",IF(F370='депозитный калькулятор'!$D$8,SUM($H$23:H370)-SUM($I$23:I369),IF(AND(EOMONTH(F370,0)=F370,MONTH(F370)=12),IF(MOD(YEAR(F369),4)=0,IF(F370-'депозитный калькулятор'!$D$7&lt;366,SUM($H$23:H370),SUM(OFFSET(H370,-365,0):H370)),IF(F370-'депозитный калькулятор'!$D$7&lt;365,SUM($H$23:H370),SUM(OFFSET(H370,-364,0):H370))),0))),IF(AND('депозитный калькулятор'!$G$10="в конце срока",'депозитный калькулятор'!$D$8=F370),SUM($H$23:H370),0))))))))))))))))))</f>
        <v xml:space="preserve"> </v>
      </c>
      <c r="J370" s="59" t="str">
        <f>IF(F370&gt;'депозитный калькулятор'!$D$8," ",IF('депозитный калькулятор'!$G$16="нет",0,IF(AND('депозитный калькулятор'!$G$17="разовая (в конце срока)",F370='депозитный калькулятор'!$D$8),'депозитный калькулятор'!$G$18,IF(AND('депозитный калькулятор'!$G$17="ежемесячная",EOMONTH(F369,0)=F369),'депозитный калькулятор'!$G$18,IF(AND('депозитный калькулятор'!$G$17="ежегодная",DAY(F369)=31,MONTH(F369)=12),'депозитный калькулятор'!$G$18,IF(AND('депозитный калькулятор'!$G$17="ежемесячная в зависимости от остатка",EOMONTH(F369,0)=F369,P369&gt;0),'депозитный калькулятор'!$G$18,IF(AND('депозитный калькулятор'!$G$17="ежегодная в зависимости от остатка",DAY(F369)=31,MONTH(F369)=12,P369&gt;0),'депозитный калькулятор'!$G$18,0)))))))</f>
        <v xml:space="preserve"> </v>
      </c>
      <c r="K370" s="135" t="str">
        <f>IF($F370=" "," ",IFERROR(VLOOKUP($F370,'депозитный калькулятор'!$B$26:$F$70,2,0),0))</f>
        <v xml:space="preserve"> </v>
      </c>
      <c r="L370" s="135" t="str">
        <f>IF($F370=" "," ",IFERROR(VLOOKUP($F370,'депозитный калькулятор'!$B$26:$F$70,3,0),0))</f>
        <v xml:space="preserve"> </v>
      </c>
      <c r="M370" s="135" t="str">
        <f>IF($F370=" "," ",IFERROR(VLOOKUP($F370,'депозитный калькулятор'!$B$26:$F$70,4,0),0))</f>
        <v xml:space="preserve"> </v>
      </c>
      <c r="N370" s="135" t="str">
        <f>IF($F370=" "," ",IFERROR(VLOOKUP($F370,'депозитный калькулятор'!$B$26:$F$70,5,0),0))</f>
        <v xml:space="preserve"> </v>
      </c>
      <c r="O370" s="146" t="str">
        <f>IF(F370&gt;'депозитный калькулятор'!$D$8," ",IF(F370='депозитный калькулятор'!$D$8,IF(AND($F$24='депозитный калькулятор'!$D$8,'депозитный калькулятор'!$G$13="нет"),-G370-IF(I370=" ",0,I370)-IF(AND(OR('депозитный калькулятор'!$G$7="30/365",'депозитный калькулятор'!$G$7="30/360"),'депозитный калькулятор'!$G$10="в начале срока"),I369,0)-L370+M370-N370,-G370-IF(I370=" ",0,I370)-L370+M370-N370),IF('депозитный калькулятор'!$G$13="есть",M370-N370+IF('депозитный калькулятор'!$G$14="есть",0,-L370),-IF(I370=" ",0,I370)-IF(AND(OR('депозитный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срока"),I369,0)+M370-N370+IF('депозитный калькулятор'!$G$14="есть",0,-L370))))</f>
        <v xml:space="preserve"> </v>
      </c>
      <c r="P370" s="147" t="str">
        <f>IF(F370&gt;'депозитный калькулятор'!$D$8," ",IF(EOMONTH(F369,0)=F369,0,IF(G370&gt;='депозитный калькулятор'!$G$19,P369,P369+1)))</f>
        <v xml:space="preserve"> </v>
      </c>
      <c r="Q370" s="138" t="str">
        <f>IF(F370=" "," ",IF(AND(OR('депозитный калькулятор'!$G$7="30/365",'депозитный калькулятор'!$G$7="30/360"),AND(MONTH(F370)=2,EOMONTH(F370,0)=F370)),IF(DAY(F370)=28,3,2),1)*IF(G370&gt;='депозитный калькулятор'!$G$11,IF(AND('депозитный калькулятор'!$G$7="факт/факт",MOD(YEAR(F370),4)=0),G370*'депозитный калькулятор'!$D$11/366,G370*'депозитный калькулятор'!$G$8),0))</f>
        <v xml:space="preserve"> </v>
      </c>
      <c r="R370" s="148"/>
      <c r="S370" s="62" t="str">
        <f t="shared" ca="1" si="27"/>
        <v xml:space="preserve"> </v>
      </c>
      <c r="T370" s="149" t="str">
        <f ca="1">IF(S370=" "," ",IF('депозитный калькулятор'!$G$7="30/360",DAYS360(U369,IF(DAY(U370)=31,U370-1,U370))+IF(AND(MONTH(U370)=2,U370=EOMONTH(U370,0)),30-DAY(EOMONTH(U370,0)))+T369,VLOOKUP(S370,$C$22:$F$1023,2,0)))</f>
        <v xml:space="preserve"> </v>
      </c>
      <c r="U370" s="64" t="str">
        <f t="shared" ca="1" si="25"/>
        <v xml:space="preserve"> </v>
      </c>
      <c r="V370" s="150" t="str">
        <f t="shared" ca="1" si="28"/>
        <v xml:space="preserve"> </v>
      </c>
      <c r="W370" s="62" t="str">
        <f t="shared" ca="1" si="29"/>
        <v xml:space="preserve"> </v>
      </c>
      <c r="X370" s="141" t="str">
        <f ca="1">IF(S370=" "," ",IFERROR(VLOOKUP(U370,$F$23:$N$1023,7)+VLOOKUP(U370,$F$23:$N$1023,9)+IF(AND('депозитный калькулятор'!$G$13="нет",U370&lt;&gt;'депозитный калькулятор'!$D$8),VLOOKUP(U370,$F$23:$N$1023,4),0),0)+IF(U370='депозитный калькулятор'!$D$8,VLOOKUP(U370,$F$23:$N$1023,2)+VLOOKUP(U370,$F$23:$N$1023,4),0))</f>
        <v xml:space="preserve"> </v>
      </c>
      <c r="Y370" s="142" t="str">
        <f ca="1">IF(S370=" "," ",W370/(1+'депозитный калькулятор'!$K$8)^(T370/IF('депозитный калькулятор'!$G$7="30/360",360,365)))</f>
        <v xml:space="preserve"> </v>
      </c>
      <c r="Z370" s="142" t="str">
        <f ca="1">IF(S370=" "," ",X370/(1+'депозитный калькулятор'!$K$8)^(T370/IF('депозитный калькулятор'!$G$7="30/360",360,365)))</f>
        <v xml:space="preserve"> </v>
      </c>
      <c r="AA370" s="151"/>
      <c r="AB370" s="151"/>
      <c r="AC370" s="155"/>
      <c r="AD370" s="155"/>
    </row>
    <row r="371" spans="1:30" s="2" customFormat="1" ht="15.5" x14ac:dyDescent="0.35">
      <c r="A371" s="41" t="str">
        <f>IF(F371=" "," ",IF(OR('депозитный калькулятор'!$G$7="30/365",'депозитный калькулятор'!$G$7="30/360"),IF(AND(MONTH(F371)=2,DAY(F371)=DAY(EOMONTH(F371,0))),30-DAY(EOMONTH(F371,0)),IF(DAY(F371)=31,1," "))," "))</f>
        <v xml:space="preserve"> </v>
      </c>
      <c r="B371" s="130" t="str">
        <f t="shared" si="26"/>
        <v xml:space="preserve"> </v>
      </c>
      <c r="C371" s="130" t="str">
        <f>IF(OR(B371=0,B371=" ")," ",SUM($B$23:B371))</f>
        <v xml:space="preserve"> </v>
      </c>
      <c r="D371" s="62" t="str">
        <f>IF(D370=" "," ",IF(OR(F370='депозитный калькулятор'!$D$8,F370=" ")," ",D370+1))</f>
        <v xml:space="preserve"> </v>
      </c>
      <c r="E371" s="130" t="str">
        <f>IF(OR(F370='депозитный калькулятор'!$D$8,F370=" ")," ",IF(EOMONTH(F370,0)=F370,1,E370+1))</f>
        <v xml:space="preserve"> </v>
      </c>
      <c r="F371" s="64" t="str">
        <f>IF(F370=" "," ",IF(F370='депозитный калькулятор'!$D$8," ",F370+1))</f>
        <v xml:space="preserve"> </v>
      </c>
      <c r="G371" s="145" t="str">
        <f xml:space="preserve"> IF(F371&gt;'депозитный калькулятор'!$D$8," ",IF('депозитный калькулятор'!$G$13="есть",IF('депозитный калькулятор'!$G$14="есть",G370+IF(I370=" ",0,I370)-J371-K371+L371+M371-N371,G370+IF(I370=" ",0,I370)-J371-K371+M371-N371),IF('депозитный калькулятор'!$G$14="есть",G370-J371-K371+L371+M371-N371,G370-J371-K371+M371-N371)))</f>
        <v xml:space="preserve"> </v>
      </c>
      <c r="H371" s="133" t="str">
        <f>IF(F371&gt;'депозитный калькулятор'!$D$8," ",IF(AND(OR('депозитный калькулятор'!$G$7="30/365",'депозитный калькулятор'!$G$7="30/360"),AND(MONTH(F371)=2,EOMONTH(F371,0)=F371)),IF(DAY(F371)=28,3*G371*'депозитный калькулятор'!$G$8,2*G371*'депозитный калькулятор'!$G$8),IF(AND(OR('депозитный калькулятор'!$G$7="30/365",'депозитный калькулятор'!$G$7="30/360"),DAY(F371)=31)," ",IF(AND('депозитный калькулятор'!$G$7="факт/факт",MOD(YEAR(F371),4)=0),G371*'депозитный калькулятор'!$D$11/366,G371*'депозитный калькулятор'!$G$8))))</f>
        <v xml:space="preserve"> </v>
      </c>
      <c r="I371" s="134" t="str">
        <f ca="1">IF(F371=" "," ",IF('депозитный калькулятор'!$G$10="ежедневное",H371,IF(AND('депозитный калькулятор'!$G$10="еженедельное",WEEKDAY(F371,2)=7),SUM(OFFSET(H371,-6,0):H371),IF(AND('депозитный калькулятор'!$G$10="еженедельное",F371='депозитный калькулятор'!$D$8),SUM($H$23:H371)-SUM($I$23:I370),IF(AND('депозитный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недели",WEEKDAY(F371,2)=7),MIN(OFFSET(H371,-6,0):H371)*(COUNTIF(OFFSET(H371,-6,0):H371,"&gt;0")+SUMIF(OFFSET(A371,-WEEKDAY(F371,2),0):A371,"=2",OFFSET(A371,-WEEKDAY(F371,2),0):A371)),IF(AND('депозитный калькулятор'!$G$10="еженедельное, на минимальную сумму зафиксированную в течение недели",F371='депозитный калькулятор'!$D$8,WEEKDAY(F371,2)&lt;&gt;7),MIN(OFFSET(H371,-WEEKDAY(F371,2),0):H371)*(COUNTIF(OFFSET(H371,-WEEKDAY(F371,2)+1,0):H371,"&gt;0")+SUM(OFFSET(A371,-WEEKDAY(F371,2),0):A371)),IF(AND('депозитный калькулятор'!$G$10="ежемесячное (в конце месяца)",F371='депозитный калькулятор'!$D$8,EOMONTH(F371,0)&lt;&gt;F371),IF('депозитный калькулятор'!$F$1=1,$H$24,SUM($H$23:H371)-SUM($I$23:I370)),IF(AND('депозитный калькулятор'!$G$10="ежемесячное (в конце месяца)",EOMONTH(F371,0)=F371),SUM($H$23:H371)-SUM($I$23:I370),IF(AND('депозитный калькулятор'!$G$10="ежемесячное (по дням открытия вклада)",F371='депозитный калькулятор'!$D$8,DAY('депозитный калькулятор'!$D$7)&lt;&gt;DAY(F371)),IF('депозитный калькулятор'!$F$1=1,$H$24,SUM($H$23:H371)-SUM($I$23:I370)),IF(AND('депозитный калькулятор'!$G$10="ежемесячное (по дням открытия вклада)",DAY('депозитный калькулятор'!$D$7)=DAY(F371)),SUM($H$23:H371)-SUM($I$23:I370),IF(AND('депозитный калькулятор'!$G$10="ежемесячное, на минимальную сумму зафиксированную в течение месяца",F371='депозитный калькулятор'!$D$8,EOMONTH(F371,0)&lt;&gt;F371),IF('депозитный калькулятор'!$F$1=1,$H$24,IF(AND(OR('депозитный калькулятор'!$G$7="30/365",'депозитный калькулятор'!$G$7="30/360"),DAY(F371)=31),0,MIN(OFFSET(H371,-E371+1,0):H371)*(E371+SUMIF(OFFSET(A371,-E371+1,0):A371,"=2",OFFSET(A371,-E371+1,0):A371)))),IF(AND('депозитный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калькулятор'!$G$7="30/360"),DAY(EOMONTH(F371,0))=31),EOMONTH(F371,0)-1=F371,EOMONTH(F371,0)=F371)),IF(IF(AND(OR('депозитный калькулятор'!$G$7="30/365",'депозитный калькулятор'!$G$7="30/360"),DAY(EOMONTH($F$23,0))=31),F371=EOMONTH($F$23,0)-1,F371=EOMONTH($F$23,0)),MIN(OFFSET(H371,-(DAY(F371)-DAY($F$23)),0):H371)*E371,MIN(OFFSET(H371,-(DAY(F371)-1),0):H371)*IF(AND(OR('депозитный калькулятор'!$G$7="30/365",'депозитный калькулятор'!$G$7="30/360"),DAY(F371)&lt;30),30,DAY(F371))),IF(AND('депозитный калькулятор'!$G$10="ежемесячное, на средний остаток в течение месяца, при условии что остаток больше чем ограничение",F371='депозитный калькулятор'!$D$8,EOMONTH(F371,0)&lt;&gt;F371),IF('депозитный калькулятор'!$F$1=1,$H$24,SUM(OFFSET(Q371,-E371+1,0):Q371)),IF(AND('депозитный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калькулятор'!$G$7="30/360"),DAY(EOMONTH(F371,0))=31),EOMONTH(F371,0)-1=F371,EOMONTH(F371,0)=F371)),IF(IF(AND(OR('депозитный калькулятор'!$G$7="30/365",'депозитный калькулятор'!$G$7="30/360"),DAY(EOMONTH($F$24,0))=31),F371=EOMONTH($F$24,0)-1,F371=EOMONTH($F$24,0)),SUM(OFFSET(Q371,-E371+1,0):Q371),SUM(OFFSET(Q371,-E371+1,0):Q371)),IF('депозитный калькулятор'!$G$10="ежеквартальное",IF(F371&gt;'депозитный калькулятор'!$D$8," ",IF(AND(EOMONTH(F371,0)=F371,OR(MONTH(F371)=3,MONTH(F371)=6,MONTH(F371)=9,MONTH(F371)=12)),IF(EDATE(F371,-3)&lt;'депозитный калькулятор'!$D$7,SUM($H$23:H371),IF(MOD(YEAR(F371),4)=0,IF(AND(EOMONTH(F371,0)=F371,OR(MONTH(F371)=3,MONTH(F371)=6)),SUM(OFFSET(H371,-90,0):H371),IF(AND(EOMONTH(F371,0)=F371,OR(MONTH(F371)=9,MONTH(F371)=12)),SUM(OFFSET(H371,-91,0):H371))),IF(AND(EOMONTH(F371,0)=F371,MONTH(F371)=3),SUM(OFFSET(H371,-89,0):H371),IF(AND(EOMONTH(F371,0)=F371,MONTH(F371)=6),SUM(OFFSET(H371,-90,0):H371),IF(AND(EOMONTH(F371,0)=F371,OR(MONTH(F371)=9,MONTH(F371)=12)),SUM(OFFSET(H371,-91,0):H371)))))),IF(F371='депозитный калькулятор'!$D$8,SUM($H$23:H371)-SUM($I$23:I370),0))),IF('депозитный калькулятор'!$G$10="ежегодное",IF(F371&gt;'депозитный калькулятор'!$D$8," ",IF(F371='депозитный калькулятор'!$D$8,SUM($H$23:H371)-SUM($I$23:I370),IF(AND(EOMONTH(F371,0)=F371,MONTH(F371)=12),IF(MOD(YEAR(F370),4)=0,IF(F371-'депозитный калькулятор'!$D$7&lt;366,SUM($H$23:H371),SUM(OFFSET(H371,-365,0):H371)),IF(F371-'депозитный калькулятор'!$D$7&lt;365,SUM($H$23:H371),SUM(OFFSET(H371,-364,0):H371))),0))),IF(AND('депозитный калькулятор'!$G$10="в конце срока",'депозитный калькулятор'!$D$8=F371),SUM($H$23:H371),0))))))))))))))))))</f>
        <v xml:space="preserve"> </v>
      </c>
      <c r="J371" s="59" t="str">
        <f>IF(F371&gt;'депозитный калькулятор'!$D$8," ",IF('депозитный калькулятор'!$G$16="нет",0,IF(AND('депозитный калькулятор'!$G$17="разовая (в конце срока)",F371='депозитный калькулятор'!$D$8),'депозитный калькулятор'!$G$18,IF(AND('депозитный калькулятор'!$G$17="ежемесячная",EOMONTH(F370,0)=F370),'депозитный калькулятор'!$G$18,IF(AND('депозитный калькулятор'!$G$17="ежегодная",DAY(F370)=31,MONTH(F370)=12),'депозитный калькулятор'!$G$18,IF(AND('депозитный калькулятор'!$G$17="ежемесячная в зависимости от остатка",EOMONTH(F370,0)=F370,P370&gt;0),'депозитный калькулятор'!$G$18,IF(AND('депозитный калькулятор'!$G$17="ежегодная в зависимости от остатка",DAY(F370)=31,MONTH(F370)=12,P370&gt;0),'депозитный калькулятор'!$G$18,0)))))))</f>
        <v xml:space="preserve"> </v>
      </c>
      <c r="K371" s="135" t="str">
        <f>IF($F371=" "," ",IFERROR(VLOOKUP($F371,'депозитный калькулятор'!$B$26:$F$70,2,0),0))</f>
        <v xml:space="preserve"> </v>
      </c>
      <c r="L371" s="135" t="str">
        <f>IF($F371=" "," ",IFERROR(VLOOKUP($F371,'депозитный калькулятор'!$B$26:$F$70,3,0),0))</f>
        <v xml:space="preserve"> </v>
      </c>
      <c r="M371" s="135" t="str">
        <f>IF($F371=" "," ",IFERROR(VLOOKUP($F371,'депозитный калькулятор'!$B$26:$F$70,4,0),0))</f>
        <v xml:space="preserve"> </v>
      </c>
      <c r="N371" s="135" t="str">
        <f>IF($F371=" "," ",IFERROR(VLOOKUP($F371,'депозитный калькулятор'!$B$26:$F$70,5,0),0))</f>
        <v xml:space="preserve"> </v>
      </c>
      <c r="O371" s="146" t="str">
        <f>IF(F371&gt;'депозитный калькулятор'!$D$8," ",IF(F371='депозитный калькулятор'!$D$8,IF(AND($F$24='депозитный калькулятор'!$D$8,'депозитный калькулятор'!$G$13="нет"),-G371-IF(I371=" ",0,I371)-IF(AND(OR('депозитный калькулятор'!$G$7="30/365",'депозитный калькулятор'!$G$7="30/360"),'депозитный калькулятор'!$G$10="в начале срока"),I370,0)-L371+M371-N371,-G371-IF(I371=" ",0,I371)-L371+M371-N371),IF('депозитный калькулятор'!$G$13="есть",M371-N371+IF('депозитный калькулятор'!$G$14="есть",0,-L371),-IF(I371=" ",0,I371)-IF(AND(OR('депозитный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срока"),I370,0)+M371-N371+IF('депозитный калькулятор'!$G$14="есть",0,-L371))))</f>
        <v xml:space="preserve"> </v>
      </c>
      <c r="P371" s="147" t="str">
        <f>IF(F371&gt;'депозитный калькулятор'!$D$8," ",IF(EOMONTH(F370,0)=F370,0,IF(G371&gt;='депозитный калькулятор'!$G$19,P370,P370+1)))</f>
        <v xml:space="preserve"> </v>
      </c>
      <c r="Q371" s="138" t="str">
        <f>IF(F371=" "," ",IF(AND(OR('депозитный калькулятор'!$G$7="30/365",'депозитный калькулятор'!$G$7="30/360"),AND(MONTH(F371)=2,EOMONTH(F371,0)=F371)),IF(DAY(F371)=28,3,2),1)*IF(G371&gt;='депозитный калькулятор'!$G$11,IF(AND('депозитный калькулятор'!$G$7="факт/факт",MOD(YEAR(F371),4)=0),G371*'депозитный калькулятор'!$D$11/366,G371*'депозитный калькулятор'!$G$8),0))</f>
        <v xml:space="preserve"> </v>
      </c>
      <c r="R371" s="148"/>
      <c r="S371" s="62" t="str">
        <f t="shared" ca="1" si="27"/>
        <v xml:space="preserve"> </v>
      </c>
      <c r="T371" s="149" t="str">
        <f ca="1">IF(S371=" "," ",IF('депозитный калькулятор'!$G$7="30/360",DAYS360(U370,IF(DAY(U371)=31,U371-1,U371))+IF(AND(MONTH(U371)=2,U371=EOMONTH(U371,0)),30-DAY(EOMONTH(U371,0)))+T370,VLOOKUP(S371,$C$22:$F$1023,2,0)))</f>
        <v xml:space="preserve"> </v>
      </c>
      <c r="U371" s="64" t="str">
        <f t="shared" ca="1" si="25"/>
        <v xml:space="preserve"> </v>
      </c>
      <c r="V371" s="150" t="str">
        <f t="shared" ca="1" si="28"/>
        <v xml:space="preserve"> </v>
      </c>
      <c r="W371" s="62" t="str">
        <f t="shared" ca="1" si="29"/>
        <v xml:space="preserve"> </v>
      </c>
      <c r="X371" s="141" t="str">
        <f ca="1">IF(S371=" "," ",IFERROR(VLOOKUP(U371,$F$23:$N$1023,7)+VLOOKUP(U371,$F$23:$N$1023,9)+IF(AND('депозитный калькулятор'!$G$13="нет",U371&lt;&gt;'депозитный калькулятор'!$D$8),VLOOKUP(U371,$F$23:$N$1023,4),0),0)+IF(U371='депозитный калькулятор'!$D$8,VLOOKUP(U371,$F$23:$N$1023,2)+VLOOKUP(U371,$F$23:$N$1023,4),0))</f>
        <v xml:space="preserve"> </v>
      </c>
      <c r="Y371" s="142" t="str">
        <f ca="1">IF(S371=" "," ",W371/(1+'депозитный калькулятор'!$K$8)^(T371/IF('депозитный калькулятор'!$G$7="30/360",360,365)))</f>
        <v xml:space="preserve"> </v>
      </c>
      <c r="Z371" s="142" t="str">
        <f ca="1">IF(S371=" "," ",X371/(1+'депозитный калькулятор'!$K$8)^(T371/IF('депозитный калькулятор'!$G$7="30/360",360,365)))</f>
        <v xml:space="preserve"> </v>
      </c>
      <c r="AA371" s="151"/>
      <c r="AB371" s="151"/>
      <c r="AC371" s="155"/>
      <c r="AD371" s="155"/>
    </row>
    <row r="372" spans="1:30" s="2" customFormat="1" ht="15.5" x14ac:dyDescent="0.35">
      <c r="A372" s="41" t="str">
        <f>IF(F372=" "," ",IF(OR('депозитный калькулятор'!$G$7="30/365",'депозитный калькулятор'!$G$7="30/360"),IF(AND(MONTH(F372)=2,DAY(F372)=DAY(EOMONTH(F372,0))),30-DAY(EOMONTH(F372,0)),IF(DAY(F372)=31,1," "))," "))</f>
        <v xml:space="preserve"> </v>
      </c>
      <c r="B372" s="130" t="str">
        <f t="shared" si="26"/>
        <v xml:space="preserve"> </v>
      </c>
      <c r="C372" s="130" t="str">
        <f>IF(OR(B372=0,B372=" ")," ",SUM($B$23:B372))</f>
        <v xml:space="preserve"> </v>
      </c>
      <c r="D372" s="62" t="str">
        <f>IF(D371=" "," ",IF(OR(F371='депозитный калькулятор'!$D$8,F371=" ")," ",D371+1))</f>
        <v xml:space="preserve"> </v>
      </c>
      <c r="E372" s="130" t="str">
        <f>IF(OR(F371='депозитный калькулятор'!$D$8,F371=" ")," ",IF(EOMONTH(F371,0)=F371,1,E371+1))</f>
        <v xml:space="preserve"> </v>
      </c>
      <c r="F372" s="64" t="str">
        <f>IF(F371=" "," ",IF(F371='депозитный калькулятор'!$D$8," ",F371+1))</f>
        <v xml:space="preserve"> </v>
      </c>
      <c r="G372" s="145" t="str">
        <f xml:space="preserve"> IF(F372&gt;'депозитный калькулятор'!$D$8," ",IF('депозитный калькулятор'!$G$13="есть",IF('депозитный калькулятор'!$G$14="есть",G371+IF(I371=" ",0,I371)-J372-K372+L372+M372-N372,G371+IF(I371=" ",0,I371)-J372-K372+M372-N372),IF('депозитный калькулятор'!$G$14="есть",G371-J372-K372+L372+M372-N372,G371-J372-K372+M372-N372)))</f>
        <v xml:space="preserve"> </v>
      </c>
      <c r="H372" s="133" t="str">
        <f>IF(F372&gt;'депозитный калькулятор'!$D$8," ",IF(AND(OR('депозитный калькулятор'!$G$7="30/365",'депозитный калькулятор'!$G$7="30/360"),AND(MONTH(F372)=2,EOMONTH(F372,0)=F372)),IF(DAY(F372)=28,3*G372*'депозитный калькулятор'!$G$8,2*G372*'депозитный калькулятор'!$G$8),IF(AND(OR('депозитный калькулятор'!$G$7="30/365",'депозитный калькулятор'!$G$7="30/360"),DAY(F372)=31)," ",IF(AND('депозитный калькулятор'!$G$7="факт/факт",MOD(YEAR(F372),4)=0),G372*'депозитный калькулятор'!$D$11/366,G372*'депозитный калькулятор'!$G$8))))</f>
        <v xml:space="preserve"> </v>
      </c>
      <c r="I372" s="134" t="str">
        <f ca="1">IF(F372=" "," ",IF('депозитный калькулятор'!$G$10="ежедневное",H372,IF(AND('депозитный калькулятор'!$G$10="еженедельное",WEEKDAY(F372,2)=7),SUM(OFFSET(H372,-6,0):H372),IF(AND('депозитный калькулятор'!$G$10="еженедельное",F372='депозитный калькулятор'!$D$8),SUM($H$23:H372)-SUM($I$23:I371),IF(AND('депозитный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недели",WEEKDAY(F372,2)=7),MIN(OFFSET(H372,-6,0):H372)*(COUNTIF(OFFSET(H372,-6,0):H372,"&gt;0")+SUMIF(OFFSET(A372,-WEEKDAY(F372,2),0):A372,"=2",OFFSET(A372,-WEEKDAY(F372,2),0):A372)),IF(AND('депозитный калькулятор'!$G$10="еженедельное, на минимальную сумму зафиксированную в течение недели",F372='депозитный калькулятор'!$D$8,WEEKDAY(F372,2)&lt;&gt;7),MIN(OFFSET(H372,-WEEKDAY(F372,2),0):H372)*(COUNTIF(OFFSET(H372,-WEEKDAY(F372,2)+1,0):H372,"&gt;0")+SUM(OFFSET(A372,-WEEKDAY(F372,2),0):A372)),IF(AND('депозитный калькулятор'!$G$10="ежемесячное (в конце месяца)",F372='депозитный калькулятор'!$D$8,EOMONTH(F372,0)&lt;&gt;F372),IF('депозитный калькулятор'!$F$1=1,$H$24,SUM($H$23:H372)-SUM($I$23:I371)),IF(AND('депозитный калькулятор'!$G$10="ежемесячное (в конце месяца)",EOMONTH(F372,0)=F372),SUM($H$23:H372)-SUM($I$23:I371),IF(AND('депозитный калькулятор'!$G$10="ежемесячное (по дням открытия вклада)",F372='депозитный калькулятор'!$D$8,DAY('депозитный калькулятор'!$D$7)&lt;&gt;DAY(F372)),IF('депозитный калькулятор'!$F$1=1,$H$24,SUM($H$23:H372)-SUM($I$23:I371)),IF(AND('депозитный калькулятор'!$G$10="ежемесячное (по дням открытия вклада)",DAY('депозитный калькулятор'!$D$7)=DAY(F372)),SUM($H$23:H372)-SUM($I$23:I371),IF(AND('депозитный калькулятор'!$G$10="ежемесячное, на минимальную сумму зафиксированную в течение месяца",F372='депозитный калькулятор'!$D$8,EOMONTH(F372,0)&lt;&gt;F372),IF('депозитный калькулятор'!$F$1=1,$H$24,IF(AND(OR('депозитный калькулятор'!$G$7="30/365",'депозитный калькулятор'!$G$7="30/360"),DAY(F372)=31),0,MIN(OFFSET(H372,-E372+1,0):H372)*(E372+SUMIF(OFFSET(A372,-E372+1,0):A372,"=2",OFFSET(A372,-E372+1,0):A372)))),IF(AND('депозитный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калькулятор'!$G$7="30/360"),DAY(EOMONTH(F372,0))=31),EOMONTH(F372,0)-1=F372,EOMONTH(F372,0)=F372)),IF(IF(AND(OR('депозитный калькулятор'!$G$7="30/365",'депозитный калькулятор'!$G$7="30/360"),DAY(EOMONTH($F$23,0))=31),F372=EOMONTH($F$23,0)-1,F372=EOMONTH($F$23,0)),MIN(OFFSET(H372,-(DAY(F372)-DAY($F$23)),0):H372)*E372,MIN(OFFSET(H372,-(DAY(F372)-1),0):H372)*IF(AND(OR('депозитный калькулятор'!$G$7="30/365",'депозитный калькулятор'!$G$7="30/360"),DAY(F372)&lt;30),30,DAY(F372))),IF(AND('депозитный калькулятор'!$G$10="ежемесячное, на средний остаток в течение месяца, при условии что остаток больше чем ограничение",F372='депозитный калькулятор'!$D$8,EOMONTH(F372,0)&lt;&gt;F372),IF('депозитный калькулятор'!$F$1=1,$H$24,SUM(OFFSET(Q372,-E372+1,0):Q372)),IF(AND('депозитный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калькулятор'!$G$7="30/360"),DAY(EOMONTH(F372,0))=31),EOMONTH(F372,0)-1=F372,EOMONTH(F372,0)=F372)),IF(IF(AND(OR('депозитный калькулятор'!$G$7="30/365",'депозитный калькулятор'!$G$7="30/360"),DAY(EOMONTH($F$24,0))=31),F372=EOMONTH($F$24,0)-1,F372=EOMONTH($F$24,0)),SUM(OFFSET(Q372,-E372+1,0):Q372),SUM(OFFSET(Q372,-E372+1,0):Q372)),IF('депозитный калькулятор'!$G$10="ежеквартальное",IF(F372&gt;'депозитный калькулятор'!$D$8," ",IF(AND(EOMONTH(F372,0)=F372,OR(MONTH(F372)=3,MONTH(F372)=6,MONTH(F372)=9,MONTH(F372)=12)),IF(EDATE(F372,-3)&lt;'депозитный калькулятор'!$D$7,SUM($H$23:H372),IF(MOD(YEAR(F372),4)=0,IF(AND(EOMONTH(F372,0)=F372,OR(MONTH(F372)=3,MONTH(F372)=6)),SUM(OFFSET(H372,-90,0):H372),IF(AND(EOMONTH(F372,0)=F372,OR(MONTH(F372)=9,MONTH(F372)=12)),SUM(OFFSET(H372,-91,0):H372))),IF(AND(EOMONTH(F372,0)=F372,MONTH(F372)=3),SUM(OFFSET(H372,-89,0):H372),IF(AND(EOMONTH(F372,0)=F372,MONTH(F372)=6),SUM(OFFSET(H372,-90,0):H372),IF(AND(EOMONTH(F372,0)=F372,OR(MONTH(F372)=9,MONTH(F372)=12)),SUM(OFFSET(H372,-91,0):H372)))))),IF(F372='депозитный калькулятор'!$D$8,SUM($H$23:H372)-SUM($I$23:I371),0))),IF('депозитный калькулятор'!$G$10="ежегодное",IF(F372&gt;'депозитный калькулятор'!$D$8," ",IF(F372='депозитный калькулятор'!$D$8,SUM($H$23:H372)-SUM($I$23:I371),IF(AND(EOMONTH(F372,0)=F372,MONTH(F372)=12),IF(MOD(YEAR(F371),4)=0,IF(F372-'депозитный калькулятор'!$D$7&lt;366,SUM($H$23:H372),SUM(OFFSET(H372,-365,0):H372)),IF(F372-'депозитный калькулятор'!$D$7&lt;365,SUM($H$23:H372),SUM(OFFSET(H372,-364,0):H372))),0))),IF(AND('депозитный калькулятор'!$G$10="в конце срока",'депозитный калькулятор'!$D$8=F372),SUM($H$23:H372),0))))))))))))))))))</f>
        <v xml:space="preserve"> </v>
      </c>
      <c r="J372" s="59" t="str">
        <f>IF(F372&gt;'депозитный калькулятор'!$D$8," ",IF('депозитный калькулятор'!$G$16="нет",0,IF(AND('депозитный калькулятор'!$G$17="разовая (в конце срока)",F372='депозитный калькулятор'!$D$8),'депозитный калькулятор'!$G$18,IF(AND('депозитный калькулятор'!$G$17="ежемесячная",EOMONTH(F371,0)=F371),'депозитный калькулятор'!$G$18,IF(AND('депозитный калькулятор'!$G$17="ежегодная",DAY(F371)=31,MONTH(F371)=12),'депозитный калькулятор'!$G$18,IF(AND('депозитный калькулятор'!$G$17="ежемесячная в зависимости от остатка",EOMONTH(F371,0)=F371,P371&gt;0),'депозитный калькулятор'!$G$18,IF(AND('депозитный калькулятор'!$G$17="ежегодная в зависимости от остатка",DAY(F371)=31,MONTH(F371)=12,P371&gt;0),'депозитный калькулятор'!$G$18,0)))))))</f>
        <v xml:space="preserve"> </v>
      </c>
      <c r="K372" s="135" t="str">
        <f>IF($F372=" "," ",IFERROR(VLOOKUP($F372,'депозитный калькулятор'!$B$26:$F$70,2,0),0))</f>
        <v xml:space="preserve"> </v>
      </c>
      <c r="L372" s="135" t="str">
        <f>IF($F372=" "," ",IFERROR(VLOOKUP($F372,'депозитный калькулятор'!$B$26:$F$70,3,0),0))</f>
        <v xml:space="preserve"> </v>
      </c>
      <c r="M372" s="135" t="str">
        <f>IF($F372=" "," ",IFERROR(VLOOKUP($F372,'депозитный калькулятор'!$B$26:$F$70,4,0),0))</f>
        <v xml:space="preserve"> </v>
      </c>
      <c r="N372" s="135" t="str">
        <f>IF($F372=" "," ",IFERROR(VLOOKUP($F372,'депозитный калькулятор'!$B$26:$F$70,5,0),0))</f>
        <v xml:space="preserve"> </v>
      </c>
      <c r="O372" s="146" t="str">
        <f>IF(F372&gt;'депозитный калькулятор'!$D$8," ",IF(F372='депозитный калькулятор'!$D$8,IF(AND($F$24='депозитный калькулятор'!$D$8,'депозитный калькулятор'!$G$13="нет"),-G372-IF(I372=" ",0,I372)-IF(AND(OR('депозитный калькулятор'!$G$7="30/365",'депозитный калькулятор'!$G$7="30/360"),'депозитный калькулятор'!$G$10="в начале срока"),I371,0)-L372+M372-N372,-G372-IF(I372=" ",0,I372)-L372+M372-N372),IF('депозитный калькулятор'!$G$13="есть",M372-N372+IF('депозитный калькулятор'!$G$14="есть",0,-L372),-IF(I372=" ",0,I372)-IF(AND(OR('депозитный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срока"),I371,0)+M372-N372+IF('депозитный калькулятор'!$G$14="есть",0,-L372))))</f>
        <v xml:space="preserve"> </v>
      </c>
      <c r="P372" s="147" t="str">
        <f>IF(F372&gt;'депозитный калькулятор'!$D$8," ",IF(EOMONTH(F371,0)=F371,0,IF(G372&gt;='депозитный калькулятор'!$G$19,P371,P371+1)))</f>
        <v xml:space="preserve"> </v>
      </c>
      <c r="Q372" s="138" t="str">
        <f>IF(F372=" "," ",IF(AND(OR('депозитный калькулятор'!$G$7="30/365",'депозитный калькулятор'!$G$7="30/360"),AND(MONTH(F372)=2,EOMONTH(F372,0)=F372)),IF(DAY(F372)=28,3,2),1)*IF(G372&gt;='депозитный калькулятор'!$G$11,IF(AND('депозитный калькулятор'!$G$7="факт/факт",MOD(YEAR(F372),4)=0),G372*'депозитный калькулятор'!$D$11/366,G372*'депозитный калькулятор'!$G$8),0))</f>
        <v xml:space="preserve"> </v>
      </c>
      <c r="R372" s="148"/>
      <c r="S372" s="62" t="str">
        <f t="shared" ca="1" si="27"/>
        <v xml:space="preserve"> </v>
      </c>
      <c r="T372" s="149" t="str">
        <f ca="1">IF(S372=" "," ",IF('депозитный калькулятор'!$G$7="30/360",DAYS360(U371,IF(DAY(U372)=31,U372-1,U372))+IF(AND(MONTH(U372)=2,U372=EOMONTH(U372,0)),30-DAY(EOMONTH(U372,0)))+T371,VLOOKUP(S372,$C$22:$F$1023,2,0)))</f>
        <v xml:space="preserve"> </v>
      </c>
      <c r="U372" s="64" t="str">
        <f t="shared" ca="1" si="25"/>
        <v xml:space="preserve"> </v>
      </c>
      <c r="V372" s="150" t="str">
        <f t="shared" ca="1" si="28"/>
        <v xml:space="preserve"> </v>
      </c>
      <c r="W372" s="62" t="str">
        <f t="shared" ca="1" si="29"/>
        <v xml:space="preserve"> </v>
      </c>
      <c r="X372" s="141" t="str">
        <f ca="1">IF(S372=" "," ",IFERROR(VLOOKUP(U372,$F$23:$N$1023,7)+VLOOKUP(U372,$F$23:$N$1023,9)+IF(AND('депозитный калькулятор'!$G$13="нет",U372&lt;&gt;'депозитный калькулятор'!$D$8),VLOOKUP(U372,$F$23:$N$1023,4),0),0)+IF(U372='депозитный калькулятор'!$D$8,VLOOKUP(U372,$F$23:$N$1023,2)+VLOOKUP(U372,$F$23:$N$1023,4),0))</f>
        <v xml:space="preserve"> </v>
      </c>
      <c r="Y372" s="142" t="str">
        <f ca="1">IF(S372=" "," ",W372/(1+'депозитный калькулятор'!$K$8)^(T372/IF('депозитный калькулятор'!$G$7="30/360",360,365)))</f>
        <v xml:space="preserve"> </v>
      </c>
      <c r="Z372" s="142" t="str">
        <f ca="1">IF(S372=" "," ",X372/(1+'депозитный калькулятор'!$K$8)^(T372/IF('депозитный калькулятор'!$G$7="30/360",360,365)))</f>
        <v xml:space="preserve"> </v>
      </c>
      <c r="AA372" s="151"/>
      <c r="AB372" s="151"/>
      <c r="AC372" s="155"/>
      <c r="AD372" s="155"/>
    </row>
    <row r="373" spans="1:30" s="2" customFormat="1" ht="15.5" x14ac:dyDescent="0.35">
      <c r="A373" s="41" t="str">
        <f>IF(F373=" "," ",IF(OR('депозитный калькулятор'!$G$7="30/365",'депозитный калькулятор'!$G$7="30/360"),IF(AND(MONTH(F373)=2,DAY(F373)=DAY(EOMONTH(F373,0))),30-DAY(EOMONTH(F373,0)),IF(DAY(F373)=31,1," "))," "))</f>
        <v xml:space="preserve"> </v>
      </c>
      <c r="B373" s="130" t="str">
        <f t="shared" si="26"/>
        <v xml:space="preserve"> </v>
      </c>
      <c r="C373" s="130" t="str">
        <f>IF(OR(B373=0,B373=" ")," ",SUM($B$23:B373))</f>
        <v xml:space="preserve"> </v>
      </c>
      <c r="D373" s="62" t="str">
        <f>IF(D372=" "," ",IF(OR(F372='депозитный калькулятор'!$D$8,F372=" ")," ",D372+1))</f>
        <v xml:space="preserve"> </v>
      </c>
      <c r="E373" s="130" t="str">
        <f>IF(OR(F372='депозитный калькулятор'!$D$8,F372=" ")," ",IF(EOMONTH(F372,0)=F372,1,E372+1))</f>
        <v xml:space="preserve"> </v>
      </c>
      <c r="F373" s="64" t="str">
        <f>IF(F372=" "," ",IF(F372='депозитный калькулятор'!$D$8," ",F372+1))</f>
        <v xml:space="preserve"> </v>
      </c>
      <c r="G373" s="145" t="str">
        <f xml:space="preserve"> IF(F373&gt;'депозитный калькулятор'!$D$8," ",IF('депозитный калькулятор'!$G$13="есть",IF('депозитный калькулятор'!$G$14="есть",G372+IF(I372=" ",0,I372)-J373-K373+L373+M373-N373,G372+IF(I372=" ",0,I372)-J373-K373+M373-N373),IF('депозитный калькулятор'!$G$14="есть",G372-J373-K373+L373+M373-N373,G372-J373-K373+M373-N373)))</f>
        <v xml:space="preserve"> </v>
      </c>
      <c r="H373" s="133" t="str">
        <f>IF(F373&gt;'депозитный калькулятор'!$D$8," ",IF(AND(OR('депозитный калькулятор'!$G$7="30/365",'депозитный калькулятор'!$G$7="30/360"),AND(MONTH(F373)=2,EOMONTH(F373,0)=F373)),IF(DAY(F373)=28,3*G373*'депозитный калькулятор'!$G$8,2*G373*'депозитный калькулятор'!$G$8),IF(AND(OR('депозитный калькулятор'!$G$7="30/365",'депозитный калькулятор'!$G$7="30/360"),DAY(F373)=31)," ",IF(AND('депозитный калькулятор'!$G$7="факт/факт",MOD(YEAR(F373),4)=0),G373*'депозитный калькулятор'!$D$11/366,G373*'депозитный калькулятор'!$G$8))))</f>
        <v xml:space="preserve"> </v>
      </c>
      <c r="I373" s="134" t="str">
        <f ca="1">IF(F373=" "," ",IF('депозитный калькулятор'!$G$10="ежедневное",H373,IF(AND('депозитный калькулятор'!$G$10="еженедельное",WEEKDAY(F373,2)=7),SUM(OFFSET(H373,-6,0):H373),IF(AND('депозитный калькулятор'!$G$10="еженедельное",F373='депозитный калькулятор'!$D$8),SUM($H$23:H373)-SUM($I$23:I372),IF(AND('депозитный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недели",WEEKDAY(F373,2)=7),MIN(OFFSET(H373,-6,0):H373)*(COUNTIF(OFFSET(H373,-6,0):H373,"&gt;0")+SUMIF(OFFSET(A373,-WEEKDAY(F373,2),0):A373,"=2",OFFSET(A373,-WEEKDAY(F373,2),0):A373)),IF(AND('депозитный калькулятор'!$G$10="еженедельное, на минимальную сумму зафиксированную в течение недели",F373='депозитный калькулятор'!$D$8,WEEKDAY(F373,2)&lt;&gt;7),MIN(OFFSET(H373,-WEEKDAY(F373,2),0):H373)*(COUNTIF(OFFSET(H373,-WEEKDAY(F373,2)+1,0):H373,"&gt;0")+SUM(OFFSET(A373,-WEEKDAY(F373,2),0):A373)),IF(AND('депозитный калькулятор'!$G$10="ежемесячное (в конце месяца)",F373='депозитный калькулятор'!$D$8,EOMONTH(F373,0)&lt;&gt;F373),IF('депозитный калькулятор'!$F$1=1,$H$24,SUM($H$23:H373)-SUM($I$23:I372)),IF(AND('депозитный калькулятор'!$G$10="ежемесячное (в конце месяца)",EOMONTH(F373,0)=F373),SUM($H$23:H373)-SUM($I$23:I372),IF(AND('депозитный калькулятор'!$G$10="ежемесячное (по дням открытия вклада)",F373='депозитный калькулятор'!$D$8,DAY('депозитный калькулятор'!$D$7)&lt;&gt;DAY(F373)),IF('депозитный калькулятор'!$F$1=1,$H$24,SUM($H$23:H373)-SUM($I$23:I372)),IF(AND('депозитный калькулятор'!$G$10="ежемесячное (по дням открытия вклада)",DAY('депозитный калькулятор'!$D$7)=DAY(F373)),SUM($H$23:H373)-SUM($I$23:I372),IF(AND('депозитный калькулятор'!$G$10="ежемесячное, на минимальную сумму зафиксированную в течение месяца",F373='депозитный калькулятор'!$D$8,EOMONTH(F373,0)&lt;&gt;F373),IF('депозитный калькулятор'!$F$1=1,$H$24,IF(AND(OR('депозитный калькулятор'!$G$7="30/365",'депозитный калькулятор'!$G$7="30/360"),DAY(F373)=31),0,MIN(OFFSET(H373,-E373+1,0):H373)*(E373+SUMIF(OFFSET(A373,-E373+1,0):A373,"=2",OFFSET(A373,-E373+1,0):A373)))),IF(AND('депозитный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калькулятор'!$G$7="30/360"),DAY(EOMONTH(F373,0))=31),EOMONTH(F373,0)-1=F373,EOMONTH(F373,0)=F373)),IF(IF(AND(OR('депозитный калькулятор'!$G$7="30/365",'депозитный калькулятор'!$G$7="30/360"),DAY(EOMONTH($F$23,0))=31),F373=EOMONTH($F$23,0)-1,F373=EOMONTH($F$23,0)),MIN(OFFSET(H373,-(DAY(F373)-DAY($F$23)),0):H373)*E373,MIN(OFFSET(H373,-(DAY(F373)-1),0):H373)*IF(AND(OR('депозитный калькулятор'!$G$7="30/365",'депозитный калькулятор'!$G$7="30/360"),DAY(F373)&lt;30),30,DAY(F373))),IF(AND('депозитный калькулятор'!$G$10="ежемесячное, на средний остаток в течение месяца, при условии что остаток больше чем ограничение",F373='депозитный калькулятор'!$D$8,EOMONTH(F373,0)&lt;&gt;F373),IF('депозитный калькулятор'!$F$1=1,$H$24,SUM(OFFSET(Q373,-E373+1,0):Q373)),IF(AND('депозитный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калькулятор'!$G$7="30/360"),DAY(EOMONTH(F373,0))=31),EOMONTH(F373,0)-1=F373,EOMONTH(F373,0)=F373)),IF(IF(AND(OR('депозитный калькулятор'!$G$7="30/365",'депозитный калькулятор'!$G$7="30/360"),DAY(EOMONTH($F$24,0))=31),F373=EOMONTH($F$24,0)-1,F373=EOMONTH($F$24,0)),SUM(OFFSET(Q373,-E373+1,0):Q373),SUM(OFFSET(Q373,-E373+1,0):Q373)),IF('депозитный калькулятор'!$G$10="ежеквартальное",IF(F373&gt;'депозитный калькулятор'!$D$8," ",IF(AND(EOMONTH(F373,0)=F373,OR(MONTH(F373)=3,MONTH(F373)=6,MONTH(F373)=9,MONTH(F373)=12)),IF(EDATE(F373,-3)&lt;'депозитный калькулятор'!$D$7,SUM($H$23:H373),IF(MOD(YEAR(F373),4)=0,IF(AND(EOMONTH(F373,0)=F373,OR(MONTH(F373)=3,MONTH(F373)=6)),SUM(OFFSET(H373,-90,0):H373),IF(AND(EOMONTH(F373,0)=F373,OR(MONTH(F373)=9,MONTH(F373)=12)),SUM(OFFSET(H373,-91,0):H373))),IF(AND(EOMONTH(F373,0)=F373,MONTH(F373)=3),SUM(OFFSET(H373,-89,0):H373),IF(AND(EOMONTH(F373,0)=F373,MONTH(F373)=6),SUM(OFFSET(H373,-90,0):H373),IF(AND(EOMONTH(F373,0)=F373,OR(MONTH(F373)=9,MONTH(F373)=12)),SUM(OFFSET(H373,-91,0):H373)))))),IF(F373='депозитный калькулятор'!$D$8,SUM($H$23:H373)-SUM($I$23:I372),0))),IF('депозитный калькулятор'!$G$10="ежегодное",IF(F373&gt;'депозитный калькулятор'!$D$8," ",IF(F373='депозитный калькулятор'!$D$8,SUM($H$23:H373)-SUM($I$23:I372),IF(AND(EOMONTH(F373,0)=F373,MONTH(F373)=12),IF(MOD(YEAR(F372),4)=0,IF(F373-'депозитный калькулятор'!$D$7&lt;366,SUM($H$23:H373),SUM(OFFSET(H373,-365,0):H373)),IF(F373-'депозитный калькулятор'!$D$7&lt;365,SUM($H$23:H373),SUM(OFFSET(H373,-364,0):H373))),0))),IF(AND('депозитный калькулятор'!$G$10="в конце срока",'депозитный калькулятор'!$D$8=F373),SUM($H$23:H373),0))))))))))))))))))</f>
        <v xml:space="preserve"> </v>
      </c>
      <c r="J373" s="59" t="str">
        <f>IF(F373&gt;'депозитный калькулятор'!$D$8," ",IF('депозитный калькулятор'!$G$16="нет",0,IF(AND('депозитный калькулятор'!$G$17="разовая (в конце срока)",F373='депозитный калькулятор'!$D$8),'депозитный калькулятор'!$G$18,IF(AND('депозитный калькулятор'!$G$17="ежемесячная",EOMONTH(F372,0)=F372),'депозитный калькулятор'!$G$18,IF(AND('депозитный калькулятор'!$G$17="ежегодная",DAY(F372)=31,MONTH(F372)=12),'депозитный калькулятор'!$G$18,IF(AND('депозитный калькулятор'!$G$17="ежемесячная в зависимости от остатка",EOMONTH(F372,0)=F372,P372&gt;0),'депозитный калькулятор'!$G$18,IF(AND('депозитный калькулятор'!$G$17="ежегодная в зависимости от остатка",DAY(F372)=31,MONTH(F372)=12,P372&gt;0),'депозитный калькулятор'!$G$18,0)))))))</f>
        <v xml:space="preserve"> </v>
      </c>
      <c r="K373" s="135" t="str">
        <f>IF($F373=" "," ",IFERROR(VLOOKUP($F373,'депозитный калькулятор'!$B$26:$F$70,2,0),0))</f>
        <v xml:space="preserve"> </v>
      </c>
      <c r="L373" s="135" t="str">
        <f>IF($F373=" "," ",IFERROR(VLOOKUP($F373,'депозитный калькулятор'!$B$26:$F$70,3,0),0))</f>
        <v xml:space="preserve"> </v>
      </c>
      <c r="M373" s="135" t="str">
        <f>IF($F373=" "," ",IFERROR(VLOOKUP($F373,'депозитный калькулятор'!$B$26:$F$70,4,0),0))</f>
        <v xml:space="preserve"> </v>
      </c>
      <c r="N373" s="135" t="str">
        <f>IF($F373=" "," ",IFERROR(VLOOKUP($F373,'депозитный калькулятор'!$B$26:$F$70,5,0),0))</f>
        <v xml:space="preserve"> </v>
      </c>
      <c r="O373" s="146" t="str">
        <f>IF(F373&gt;'депозитный калькулятор'!$D$8," ",IF(F373='депозитный калькулятор'!$D$8,IF(AND($F$24='депозитный калькулятор'!$D$8,'депозитный калькулятор'!$G$13="нет"),-G373-IF(I373=" ",0,I373)-IF(AND(OR('депозитный калькулятор'!$G$7="30/365",'депозитный калькулятор'!$G$7="30/360"),'депозитный калькулятор'!$G$10="в начале срока"),I372,0)-L373+M373-N373,-G373-IF(I373=" ",0,I373)-L373+M373-N373),IF('депозитный калькулятор'!$G$13="есть",M373-N373+IF('депозитный калькулятор'!$G$14="есть",0,-L373),-IF(I373=" ",0,I373)-IF(AND(OR('депозитный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срока"),I372,0)+M373-N373+IF('депозитный калькулятор'!$G$14="есть",0,-L373))))</f>
        <v xml:space="preserve"> </v>
      </c>
      <c r="P373" s="147" t="str">
        <f>IF(F373&gt;'депозитный калькулятор'!$D$8," ",IF(EOMONTH(F372,0)=F372,0,IF(G373&gt;='депозитный калькулятор'!$G$19,P372,P372+1)))</f>
        <v xml:space="preserve"> </v>
      </c>
      <c r="Q373" s="138" t="str">
        <f>IF(F373=" "," ",IF(AND(OR('депозитный калькулятор'!$G$7="30/365",'депозитный калькулятор'!$G$7="30/360"),AND(MONTH(F373)=2,EOMONTH(F373,0)=F373)),IF(DAY(F373)=28,3,2),1)*IF(G373&gt;='депозитный калькулятор'!$G$11,IF(AND('депозитный калькулятор'!$G$7="факт/факт",MOD(YEAR(F373),4)=0),G373*'депозитный калькулятор'!$D$11/366,G373*'депозитный калькулятор'!$G$8),0))</f>
        <v xml:space="preserve"> </v>
      </c>
      <c r="R373" s="148"/>
      <c r="S373" s="62" t="str">
        <f t="shared" ca="1" si="27"/>
        <v xml:space="preserve"> </v>
      </c>
      <c r="T373" s="149" t="str">
        <f ca="1">IF(S373=" "," ",IF('депозитный калькулятор'!$G$7="30/360",DAYS360(U372,IF(DAY(U373)=31,U373-1,U373))+IF(AND(MONTH(U373)=2,U373=EOMONTH(U373,0)),30-DAY(EOMONTH(U373,0)))+T372,VLOOKUP(S373,$C$22:$F$1023,2,0)))</f>
        <v xml:space="preserve"> </v>
      </c>
      <c r="U373" s="64" t="str">
        <f t="shared" ca="1" si="25"/>
        <v xml:space="preserve"> </v>
      </c>
      <c r="V373" s="150" t="str">
        <f t="shared" ca="1" si="28"/>
        <v xml:space="preserve"> </v>
      </c>
      <c r="W373" s="62" t="str">
        <f t="shared" ca="1" si="29"/>
        <v xml:space="preserve"> </v>
      </c>
      <c r="X373" s="141" t="str">
        <f ca="1">IF(S373=" "," ",IFERROR(VLOOKUP(U373,$F$23:$N$1023,7)+VLOOKUP(U373,$F$23:$N$1023,9)+IF(AND('депозитный калькулятор'!$G$13="нет",U373&lt;&gt;'депозитный калькулятор'!$D$8),VLOOKUP(U373,$F$23:$N$1023,4),0),0)+IF(U373='депозитный калькулятор'!$D$8,VLOOKUP(U373,$F$23:$N$1023,2)+VLOOKUP(U373,$F$23:$N$1023,4),0))</f>
        <v xml:space="preserve"> </v>
      </c>
      <c r="Y373" s="142" t="str">
        <f ca="1">IF(S373=" "," ",W373/(1+'депозитный калькулятор'!$K$8)^(T373/IF('депозитный калькулятор'!$G$7="30/360",360,365)))</f>
        <v xml:space="preserve"> </v>
      </c>
      <c r="Z373" s="142" t="str">
        <f ca="1">IF(S373=" "," ",X373/(1+'депозитный калькулятор'!$K$8)^(T373/IF('депозитный калькулятор'!$G$7="30/360",360,365)))</f>
        <v xml:space="preserve"> </v>
      </c>
      <c r="AA373" s="151"/>
      <c r="AB373" s="151"/>
      <c r="AC373" s="155"/>
      <c r="AD373" s="155"/>
    </row>
    <row r="374" spans="1:30" s="2" customFormat="1" ht="15.5" x14ac:dyDescent="0.35">
      <c r="A374" s="41" t="str">
        <f>IF(F374=" "," ",IF(OR('депозитный калькулятор'!$G$7="30/365",'депозитный калькулятор'!$G$7="30/360"),IF(AND(MONTH(F374)=2,DAY(F374)=DAY(EOMONTH(F374,0))),30-DAY(EOMONTH(F374,0)),IF(DAY(F374)=31,1," "))," "))</f>
        <v xml:space="preserve"> </v>
      </c>
      <c r="B374" s="130" t="str">
        <f t="shared" si="26"/>
        <v xml:space="preserve"> </v>
      </c>
      <c r="C374" s="130" t="str">
        <f>IF(OR(B374=0,B374=" ")," ",SUM($B$23:B374))</f>
        <v xml:space="preserve"> </v>
      </c>
      <c r="D374" s="62" t="str">
        <f>IF(D373=" "," ",IF(OR(F373='депозитный калькулятор'!$D$8,F373=" ")," ",D373+1))</f>
        <v xml:space="preserve"> </v>
      </c>
      <c r="E374" s="130" t="str">
        <f>IF(OR(F373='депозитный калькулятор'!$D$8,F373=" ")," ",IF(EOMONTH(F373,0)=F373,1,E373+1))</f>
        <v xml:space="preserve"> </v>
      </c>
      <c r="F374" s="64" t="str">
        <f>IF(F373=" "," ",IF(F373='депозитный калькулятор'!$D$8," ",F373+1))</f>
        <v xml:space="preserve"> </v>
      </c>
      <c r="G374" s="145" t="str">
        <f xml:space="preserve"> IF(F374&gt;'депозитный калькулятор'!$D$8," ",IF('депозитный калькулятор'!$G$13="есть",IF('депозитный калькулятор'!$G$14="есть",G373+IF(I373=" ",0,I373)-J374-K374+L374+M374-N374,G373+IF(I373=" ",0,I373)-J374-K374+M374-N374),IF('депозитный калькулятор'!$G$14="есть",G373-J374-K374+L374+M374-N374,G373-J374-K374+M374-N374)))</f>
        <v xml:space="preserve"> </v>
      </c>
      <c r="H374" s="133" t="str">
        <f>IF(F374&gt;'депозитный калькулятор'!$D$8," ",IF(AND(OR('депозитный калькулятор'!$G$7="30/365",'депозитный калькулятор'!$G$7="30/360"),AND(MONTH(F374)=2,EOMONTH(F374,0)=F374)),IF(DAY(F374)=28,3*G374*'депозитный калькулятор'!$G$8,2*G374*'депозитный калькулятор'!$G$8),IF(AND(OR('депозитный калькулятор'!$G$7="30/365",'депозитный калькулятор'!$G$7="30/360"),DAY(F374)=31)," ",IF(AND('депозитный калькулятор'!$G$7="факт/факт",MOD(YEAR(F374),4)=0),G374*'депозитный калькулятор'!$D$11/366,G374*'депозитный калькулятор'!$G$8))))</f>
        <v xml:space="preserve"> </v>
      </c>
      <c r="I374" s="134" t="str">
        <f ca="1">IF(F374=" "," ",IF('депозитный калькулятор'!$G$10="ежедневное",H374,IF(AND('депозитный калькулятор'!$G$10="еженедельное",WEEKDAY(F374,2)=7),SUM(OFFSET(H374,-6,0):H374),IF(AND('депозитный калькулятор'!$G$10="еженедельное",F374='депозитный калькулятор'!$D$8),SUM($H$23:H374)-SUM($I$23:I373),IF(AND('депозитный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недели",WEEKDAY(F374,2)=7),MIN(OFFSET(H374,-6,0):H374)*(COUNTIF(OFFSET(H374,-6,0):H374,"&gt;0")+SUMIF(OFFSET(A374,-WEEKDAY(F374,2),0):A374,"=2",OFFSET(A374,-WEEKDAY(F374,2),0):A374)),IF(AND('депозитный калькулятор'!$G$10="еженедельное, на минимальную сумму зафиксированную в течение недели",F374='депозитный калькулятор'!$D$8,WEEKDAY(F374,2)&lt;&gt;7),MIN(OFFSET(H374,-WEEKDAY(F374,2),0):H374)*(COUNTIF(OFFSET(H374,-WEEKDAY(F374,2)+1,0):H374,"&gt;0")+SUM(OFFSET(A374,-WEEKDAY(F374,2),0):A374)),IF(AND('депозитный калькулятор'!$G$10="ежемесячное (в конце месяца)",F374='депозитный калькулятор'!$D$8,EOMONTH(F374,0)&lt;&gt;F374),IF('депозитный калькулятор'!$F$1=1,$H$24,SUM($H$23:H374)-SUM($I$23:I373)),IF(AND('депозитный калькулятор'!$G$10="ежемесячное (в конце месяца)",EOMONTH(F374,0)=F374),SUM($H$23:H374)-SUM($I$23:I373),IF(AND('депозитный калькулятор'!$G$10="ежемесячное (по дням открытия вклада)",F374='депозитный калькулятор'!$D$8,DAY('депозитный калькулятор'!$D$7)&lt;&gt;DAY(F374)),IF('депозитный калькулятор'!$F$1=1,$H$24,SUM($H$23:H374)-SUM($I$23:I373)),IF(AND('депозитный калькулятор'!$G$10="ежемесячное (по дням открытия вклада)",DAY('депозитный калькулятор'!$D$7)=DAY(F374)),SUM($H$23:H374)-SUM($I$23:I373),IF(AND('депозитный калькулятор'!$G$10="ежемесячное, на минимальную сумму зафиксированную в течение месяца",F374='депозитный калькулятор'!$D$8,EOMONTH(F374,0)&lt;&gt;F374),IF('депозитный калькулятор'!$F$1=1,$H$24,IF(AND(OR('депозитный калькулятор'!$G$7="30/365",'депозитный калькулятор'!$G$7="30/360"),DAY(F374)=31),0,MIN(OFFSET(H374,-E374+1,0):H374)*(E374+SUMIF(OFFSET(A374,-E374+1,0):A374,"=2",OFFSET(A374,-E374+1,0):A374)))),IF(AND('депозитный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калькулятор'!$G$7="30/360"),DAY(EOMONTH(F374,0))=31),EOMONTH(F374,0)-1=F374,EOMONTH(F374,0)=F374)),IF(IF(AND(OR('депозитный калькулятор'!$G$7="30/365",'депозитный калькулятор'!$G$7="30/360"),DAY(EOMONTH($F$23,0))=31),F374=EOMONTH($F$23,0)-1,F374=EOMONTH($F$23,0)),MIN(OFFSET(H374,-(DAY(F374)-DAY($F$23)),0):H374)*E374,MIN(OFFSET(H374,-(DAY(F374)-1),0):H374)*IF(AND(OR('депозитный калькулятор'!$G$7="30/365",'депозитный калькулятор'!$G$7="30/360"),DAY(F374)&lt;30),30,DAY(F374))),IF(AND('депозитный калькулятор'!$G$10="ежемесячное, на средний остаток в течение месяца, при условии что остаток больше чем ограничение",F374='депозитный калькулятор'!$D$8,EOMONTH(F374,0)&lt;&gt;F374),IF('депозитный калькулятор'!$F$1=1,$H$24,SUM(OFFSET(Q374,-E374+1,0):Q374)),IF(AND('депозитный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калькулятор'!$G$7="30/360"),DAY(EOMONTH(F374,0))=31),EOMONTH(F374,0)-1=F374,EOMONTH(F374,0)=F374)),IF(IF(AND(OR('депозитный калькулятор'!$G$7="30/365",'депозитный калькулятор'!$G$7="30/360"),DAY(EOMONTH($F$24,0))=31),F374=EOMONTH($F$24,0)-1,F374=EOMONTH($F$24,0)),SUM(OFFSET(Q374,-E374+1,0):Q374),SUM(OFFSET(Q374,-E374+1,0):Q374)),IF('депозитный калькулятор'!$G$10="ежеквартальное",IF(F374&gt;'депозитный калькулятор'!$D$8," ",IF(AND(EOMONTH(F374,0)=F374,OR(MONTH(F374)=3,MONTH(F374)=6,MONTH(F374)=9,MONTH(F374)=12)),IF(EDATE(F374,-3)&lt;'депозитный калькулятор'!$D$7,SUM($H$23:H374),IF(MOD(YEAR(F374),4)=0,IF(AND(EOMONTH(F374,0)=F374,OR(MONTH(F374)=3,MONTH(F374)=6)),SUM(OFFSET(H374,-90,0):H374),IF(AND(EOMONTH(F374,0)=F374,OR(MONTH(F374)=9,MONTH(F374)=12)),SUM(OFFSET(H374,-91,0):H374))),IF(AND(EOMONTH(F374,0)=F374,MONTH(F374)=3),SUM(OFFSET(H374,-89,0):H374),IF(AND(EOMONTH(F374,0)=F374,MONTH(F374)=6),SUM(OFFSET(H374,-90,0):H374),IF(AND(EOMONTH(F374,0)=F374,OR(MONTH(F374)=9,MONTH(F374)=12)),SUM(OFFSET(H374,-91,0):H374)))))),IF(F374='депозитный калькулятор'!$D$8,SUM($H$23:H374)-SUM($I$23:I373),0))),IF('депозитный калькулятор'!$G$10="ежегодное",IF(F374&gt;'депозитный калькулятор'!$D$8," ",IF(F374='депозитный калькулятор'!$D$8,SUM($H$23:H374)-SUM($I$23:I373),IF(AND(EOMONTH(F374,0)=F374,MONTH(F374)=12),IF(MOD(YEAR(F373),4)=0,IF(F374-'депозитный калькулятор'!$D$7&lt;366,SUM($H$23:H374),SUM(OFFSET(H374,-365,0):H374)),IF(F374-'депозитный калькулятор'!$D$7&lt;365,SUM($H$23:H374),SUM(OFFSET(H374,-364,0):H374))),0))),IF(AND('депозитный калькулятор'!$G$10="в конце срока",'депозитный калькулятор'!$D$8=F374),SUM($H$23:H374),0))))))))))))))))))</f>
        <v xml:space="preserve"> </v>
      </c>
      <c r="J374" s="59" t="str">
        <f>IF(F374&gt;'депозитный калькулятор'!$D$8," ",IF('депозитный калькулятор'!$G$16="нет",0,IF(AND('депозитный калькулятор'!$G$17="разовая (в конце срока)",F374='депозитный калькулятор'!$D$8),'депозитный калькулятор'!$G$18,IF(AND('депозитный калькулятор'!$G$17="ежемесячная",EOMONTH(F373,0)=F373),'депозитный калькулятор'!$G$18,IF(AND('депозитный калькулятор'!$G$17="ежегодная",DAY(F373)=31,MONTH(F373)=12),'депозитный калькулятор'!$G$18,IF(AND('депозитный калькулятор'!$G$17="ежемесячная в зависимости от остатка",EOMONTH(F373,0)=F373,P373&gt;0),'депозитный калькулятор'!$G$18,IF(AND('депозитный калькулятор'!$G$17="ежегодная в зависимости от остатка",DAY(F373)=31,MONTH(F373)=12,P373&gt;0),'депозитный калькулятор'!$G$18,0)))))))</f>
        <v xml:space="preserve"> </v>
      </c>
      <c r="K374" s="135" t="str">
        <f>IF($F374=" "," ",IFERROR(VLOOKUP($F374,'депозитный калькулятор'!$B$26:$F$70,2,0),0))</f>
        <v xml:space="preserve"> </v>
      </c>
      <c r="L374" s="135" t="str">
        <f>IF($F374=" "," ",IFERROR(VLOOKUP($F374,'депозитный калькулятор'!$B$26:$F$70,3,0),0))</f>
        <v xml:space="preserve"> </v>
      </c>
      <c r="M374" s="135" t="str">
        <f>IF($F374=" "," ",IFERROR(VLOOKUP($F374,'депозитный калькулятор'!$B$26:$F$70,4,0),0))</f>
        <v xml:space="preserve"> </v>
      </c>
      <c r="N374" s="135" t="str">
        <f>IF($F374=" "," ",IFERROR(VLOOKUP($F374,'депозитный калькулятор'!$B$26:$F$70,5,0),0))</f>
        <v xml:space="preserve"> </v>
      </c>
      <c r="O374" s="146" t="str">
        <f>IF(F374&gt;'депозитный калькулятор'!$D$8," ",IF(F374='депозитный калькулятор'!$D$8,IF(AND($F$24='депозитный калькулятор'!$D$8,'депозитный калькулятор'!$G$13="нет"),-G374-IF(I374=" ",0,I374)-IF(AND(OR('депозитный калькулятор'!$G$7="30/365",'депозитный калькулятор'!$G$7="30/360"),'депозитный калькулятор'!$G$10="в начале срока"),I373,0)-L374+M374-N374,-G374-IF(I374=" ",0,I374)-L374+M374-N374),IF('депозитный калькулятор'!$G$13="есть",M374-N374+IF('депозитный калькулятор'!$G$14="есть",0,-L374),-IF(I374=" ",0,I374)-IF(AND(OR('депозитный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срока"),I373,0)+M374-N374+IF('депозитный калькулятор'!$G$14="есть",0,-L374))))</f>
        <v xml:space="preserve"> </v>
      </c>
      <c r="P374" s="147" t="str">
        <f>IF(F374&gt;'депозитный калькулятор'!$D$8," ",IF(EOMONTH(F373,0)=F373,0,IF(G374&gt;='депозитный калькулятор'!$G$19,P373,P373+1)))</f>
        <v xml:space="preserve"> </v>
      </c>
      <c r="Q374" s="138" t="str">
        <f>IF(F374=" "," ",IF(AND(OR('депозитный калькулятор'!$G$7="30/365",'депозитный калькулятор'!$G$7="30/360"),AND(MONTH(F374)=2,EOMONTH(F374,0)=F374)),IF(DAY(F374)=28,3,2),1)*IF(G374&gt;='депозитный калькулятор'!$G$11,IF(AND('депозитный калькулятор'!$G$7="факт/факт",MOD(YEAR(F374),4)=0),G374*'депозитный калькулятор'!$D$11/366,G374*'депозитный калькулятор'!$G$8),0))</f>
        <v xml:space="preserve"> </v>
      </c>
      <c r="R374" s="148"/>
      <c r="S374" s="62" t="str">
        <f t="shared" ca="1" si="27"/>
        <v xml:space="preserve"> </v>
      </c>
      <c r="T374" s="149" t="str">
        <f ca="1">IF(S374=" "," ",IF('депозитный калькулятор'!$G$7="30/360",DAYS360(U373,IF(DAY(U374)=31,U374-1,U374))+IF(AND(MONTH(U374)=2,U374=EOMONTH(U374,0)),30-DAY(EOMONTH(U374,0)))+T373,VLOOKUP(S374,$C$22:$F$1023,2,0)))</f>
        <v xml:space="preserve"> </v>
      </c>
      <c r="U374" s="64" t="str">
        <f t="shared" ca="1" si="25"/>
        <v xml:space="preserve"> </v>
      </c>
      <c r="V374" s="150" t="str">
        <f t="shared" ca="1" si="28"/>
        <v xml:space="preserve"> </v>
      </c>
      <c r="W374" s="62" t="str">
        <f t="shared" ca="1" si="29"/>
        <v xml:space="preserve"> </v>
      </c>
      <c r="X374" s="141" t="str">
        <f ca="1">IF(S374=" "," ",IFERROR(VLOOKUP(U374,$F$23:$N$1023,7)+VLOOKUP(U374,$F$23:$N$1023,9)+IF(AND('депозитный калькулятор'!$G$13="нет",U374&lt;&gt;'депозитный калькулятор'!$D$8),VLOOKUP(U374,$F$23:$N$1023,4),0),0)+IF(U374='депозитный калькулятор'!$D$8,VLOOKUP(U374,$F$23:$N$1023,2)+VLOOKUP(U374,$F$23:$N$1023,4),0))</f>
        <v xml:space="preserve"> </v>
      </c>
      <c r="Y374" s="142" t="str">
        <f ca="1">IF(S374=" "," ",W374/(1+'депозитный калькулятор'!$K$8)^(T374/IF('депозитный калькулятор'!$G$7="30/360",360,365)))</f>
        <v xml:space="preserve"> </v>
      </c>
      <c r="Z374" s="142" t="str">
        <f ca="1">IF(S374=" "," ",X374/(1+'депозитный калькулятор'!$K$8)^(T374/IF('депозитный калькулятор'!$G$7="30/360",360,365)))</f>
        <v xml:space="preserve"> </v>
      </c>
      <c r="AA374" s="151"/>
      <c r="AB374" s="151"/>
      <c r="AC374" s="155"/>
      <c r="AD374" s="155"/>
    </row>
    <row r="375" spans="1:30" s="2" customFormat="1" ht="15.5" x14ac:dyDescent="0.35">
      <c r="A375" s="41" t="str">
        <f>IF(F375=" "," ",IF(OR('депозитный калькулятор'!$G$7="30/365",'депозитный калькулятор'!$G$7="30/360"),IF(AND(MONTH(F375)=2,DAY(F375)=DAY(EOMONTH(F375,0))),30-DAY(EOMONTH(F375,0)),IF(DAY(F375)=31,1," "))," "))</f>
        <v xml:space="preserve"> </v>
      </c>
      <c r="B375" s="130" t="str">
        <f t="shared" si="26"/>
        <v xml:space="preserve"> </v>
      </c>
      <c r="C375" s="130" t="str">
        <f>IF(OR(B375=0,B375=" ")," ",SUM($B$23:B375))</f>
        <v xml:space="preserve"> </v>
      </c>
      <c r="D375" s="62" t="str">
        <f>IF(D374=" "," ",IF(OR(F374='депозитный калькулятор'!$D$8,F374=" ")," ",D374+1))</f>
        <v xml:space="preserve"> </v>
      </c>
      <c r="E375" s="130" t="str">
        <f>IF(OR(F374='депозитный калькулятор'!$D$8,F374=" ")," ",IF(EOMONTH(F374,0)=F374,1,E374+1))</f>
        <v xml:space="preserve"> </v>
      </c>
      <c r="F375" s="64" t="str">
        <f>IF(F374=" "," ",IF(F374='депозитный калькулятор'!$D$8," ",F374+1))</f>
        <v xml:space="preserve"> </v>
      </c>
      <c r="G375" s="145" t="str">
        <f xml:space="preserve"> IF(F375&gt;'депозитный калькулятор'!$D$8," ",IF('депозитный калькулятор'!$G$13="есть",IF('депозитный калькулятор'!$G$14="есть",G374+IF(I374=" ",0,I374)-J375-K375+L375+M375-N375,G374+IF(I374=" ",0,I374)-J375-K375+M375-N375),IF('депозитный калькулятор'!$G$14="есть",G374-J375-K375+L375+M375-N375,G374-J375-K375+M375-N375)))</f>
        <v xml:space="preserve"> </v>
      </c>
      <c r="H375" s="133" t="str">
        <f>IF(F375&gt;'депозитный калькулятор'!$D$8," ",IF(AND(OR('депозитный калькулятор'!$G$7="30/365",'депозитный калькулятор'!$G$7="30/360"),AND(MONTH(F375)=2,EOMONTH(F375,0)=F375)),IF(DAY(F375)=28,3*G375*'депозитный калькулятор'!$G$8,2*G375*'депозитный калькулятор'!$G$8),IF(AND(OR('депозитный калькулятор'!$G$7="30/365",'депозитный калькулятор'!$G$7="30/360"),DAY(F375)=31)," ",IF(AND('депозитный калькулятор'!$G$7="факт/факт",MOD(YEAR(F375),4)=0),G375*'депозитный калькулятор'!$D$11/366,G375*'депозитный калькулятор'!$G$8))))</f>
        <v xml:space="preserve"> </v>
      </c>
      <c r="I375" s="134" t="str">
        <f ca="1">IF(F375=" "," ",IF('депозитный калькулятор'!$G$10="ежедневное",H375,IF(AND('депозитный калькулятор'!$G$10="еженедельное",WEEKDAY(F375,2)=7),SUM(OFFSET(H375,-6,0):H375),IF(AND('депозитный калькулятор'!$G$10="еженедельное",F375='депозитный калькулятор'!$D$8),SUM($H$23:H375)-SUM($I$23:I374),IF(AND('депозитный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недели",WEEKDAY(F375,2)=7),MIN(OFFSET(H375,-6,0):H375)*(COUNTIF(OFFSET(H375,-6,0):H375,"&gt;0")+SUMIF(OFFSET(A375,-WEEKDAY(F375,2),0):A375,"=2",OFFSET(A375,-WEEKDAY(F375,2),0):A375)),IF(AND('депозитный калькулятор'!$G$10="еженедельное, на минимальную сумму зафиксированную в течение недели",F375='депозитный калькулятор'!$D$8,WEEKDAY(F375,2)&lt;&gt;7),MIN(OFFSET(H375,-WEEKDAY(F375,2),0):H375)*(COUNTIF(OFFSET(H375,-WEEKDAY(F375,2)+1,0):H375,"&gt;0")+SUM(OFFSET(A375,-WEEKDAY(F375,2),0):A375)),IF(AND('депозитный калькулятор'!$G$10="ежемесячное (в конце месяца)",F375='депозитный калькулятор'!$D$8,EOMONTH(F375,0)&lt;&gt;F375),IF('депозитный калькулятор'!$F$1=1,$H$24,SUM($H$23:H375)-SUM($I$23:I374)),IF(AND('депозитный калькулятор'!$G$10="ежемесячное (в конце месяца)",EOMONTH(F375,0)=F375),SUM($H$23:H375)-SUM($I$23:I374),IF(AND('депозитный калькулятор'!$G$10="ежемесячное (по дням открытия вклада)",F375='депозитный калькулятор'!$D$8,DAY('депозитный калькулятор'!$D$7)&lt;&gt;DAY(F375)),IF('депозитный калькулятор'!$F$1=1,$H$24,SUM($H$23:H375)-SUM($I$23:I374)),IF(AND('депозитный калькулятор'!$G$10="ежемесячное (по дням открытия вклада)",DAY('депозитный калькулятор'!$D$7)=DAY(F375)),SUM($H$23:H375)-SUM($I$23:I374),IF(AND('депозитный калькулятор'!$G$10="ежемесячное, на минимальную сумму зафиксированную в течение месяца",F375='депозитный калькулятор'!$D$8,EOMONTH(F375,0)&lt;&gt;F375),IF('депозитный калькулятор'!$F$1=1,$H$24,IF(AND(OR('депозитный калькулятор'!$G$7="30/365",'депозитный калькулятор'!$G$7="30/360"),DAY(F375)=31),0,MIN(OFFSET(H375,-E375+1,0):H375)*(E375+SUMIF(OFFSET(A375,-E375+1,0):A375,"=2",OFFSET(A375,-E375+1,0):A375)))),IF(AND('депозитный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калькулятор'!$G$7="30/360"),DAY(EOMONTH(F375,0))=31),EOMONTH(F375,0)-1=F375,EOMONTH(F375,0)=F375)),IF(IF(AND(OR('депозитный калькулятор'!$G$7="30/365",'депозитный калькулятор'!$G$7="30/360"),DAY(EOMONTH($F$23,0))=31),F375=EOMONTH($F$23,0)-1,F375=EOMONTH($F$23,0)),MIN(OFFSET(H375,-(DAY(F375)-DAY($F$23)),0):H375)*E375,MIN(OFFSET(H375,-(DAY(F375)-1),0):H375)*IF(AND(OR('депозитный калькулятор'!$G$7="30/365",'депозитный калькулятор'!$G$7="30/360"),DAY(F375)&lt;30),30,DAY(F375))),IF(AND('депозитный калькулятор'!$G$10="ежемесячное, на средний остаток в течение месяца, при условии что остаток больше чем ограничение",F375='депозитный калькулятор'!$D$8,EOMONTH(F375,0)&lt;&gt;F375),IF('депозитный калькулятор'!$F$1=1,$H$24,SUM(OFFSET(Q375,-E375+1,0):Q375)),IF(AND('депозитный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калькулятор'!$G$7="30/360"),DAY(EOMONTH(F375,0))=31),EOMONTH(F375,0)-1=F375,EOMONTH(F375,0)=F375)),IF(IF(AND(OR('депозитный калькулятор'!$G$7="30/365",'депозитный калькулятор'!$G$7="30/360"),DAY(EOMONTH($F$24,0))=31),F375=EOMONTH($F$24,0)-1,F375=EOMONTH($F$24,0)),SUM(OFFSET(Q375,-E375+1,0):Q375),SUM(OFFSET(Q375,-E375+1,0):Q375)),IF('депозитный калькулятор'!$G$10="ежеквартальное",IF(F375&gt;'депозитный калькулятор'!$D$8," ",IF(AND(EOMONTH(F375,0)=F375,OR(MONTH(F375)=3,MONTH(F375)=6,MONTH(F375)=9,MONTH(F375)=12)),IF(EDATE(F375,-3)&lt;'депозитный калькулятор'!$D$7,SUM($H$23:H375),IF(MOD(YEAR(F375),4)=0,IF(AND(EOMONTH(F375,0)=F375,OR(MONTH(F375)=3,MONTH(F375)=6)),SUM(OFFSET(H375,-90,0):H375),IF(AND(EOMONTH(F375,0)=F375,OR(MONTH(F375)=9,MONTH(F375)=12)),SUM(OFFSET(H375,-91,0):H375))),IF(AND(EOMONTH(F375,0)=F375,MONTH(F375)=3),SUM(OFFSET(H375,-89,0):H375),IF(AND(EOMONTH(F375,0)=F375,MONTH(F375)=6),SUM(OFFSET(H375,-90,0):H375),IF(AND(EOMONTH(F375,0)=F375,OR(MONTH(F375)=9,MONTH(F375)=12)),SUM(OFFSET(H375,-91,0):H375)))))),IF(F375='депозитный калькулятор'!$D$8,SUM($H$23:H375)-SUM($I$23:I374),0))),IF('депозитный калькулятор'!$G$10="ежегодное",IF(F375&gt;'депозитный калькулятор'!$D$8," ",IF(F375='депозитный калькулятор'!$D$8,SUM($H$23:H375)-SUM($I$23:I374),IF(AND(EOMONTH(F375,0)=F375,MONTH(F375)=12),IF(MOD(YEAR(F374),4)=0,IF(F375-'депозитный калькулятор'!$D$7&lt;366,SUM($H$23:H375),SUM(OFFSET(H375,-365,0):H375)),IF(F375-'депозитный калькулятор'!$D$7&lt;365,SUM($H$23:H375),SUM(OFFSET(H375,-364,0):H375))),0))),IF(AND('депозитный калькулятор'!$G$10="в конце срока",'депозитный калькулятор'!$D$8=F375),SUM($H$23:H375),0))))))))))))))))))</f>
        <v xml:space="preserve"> </v>
      </c>
      <c r="J375" s="59" t="str">
        <f>IF(F375&gt;'депозитный калькулятор'!$D$8," ",IF('депозитный калькулятор'!$G$16="нет",0,IF(AND('депозитный калькулятор'!$G$17="разовая (в конце срока)",F375='депозитный калькулятор'!$D$8),'депозитный калькулятор'!$G$18,IF(AND('депозитный калькулятор'!$G$17="ежемесячная",EOMONTH(F374,0)=F374),'депозитный калькулятор'!$G$18,IF(AND('депозитный калькулятор'!$G$17="ежегодная",DAY(F374)=31,MONTH(F374)=12),'депозитный калькулятор'!$G$18,IF(AND('депозитный калькулятор'!$G$17="ежемесячная в зависимости от остатка",EOMONTH(F374,0)=F374,P374&gt;0),'депозитный калькулятор'!$G$18,IF(AND('депозитный калькулятор'!$G$17="ежегодная в зависимости от остатка",DAY(F374)=31,MONTH(F374)=12,P374&gt;0),'депозитный калькулятор'!$G$18,0)))))))</f>
        <v xml:space="preserve"> </v>
      </c>
      <c r="K375" s="135" t="str">
        <f>IF($F375=" "," ",IFERROR(VLOOKUP($F375,'депозитный калькулятор'!$B$26:$F$70,2,0),0))</f>
        <v xml:space="preserve"> </v>
      </c>
      <c r="L375" s="135" t="str">
        <f>IF($F375=" "," ",IFERROR(VLOOKUP($F375,'депозитный калькулятор'!$B$26:$F$70,3,0),0))</f>
        <v xml:space="preserve"> </v>
      </c>
      <c r="M375" s="135" t="str">
        <f>IF($F375=" "," ",IFERROR(VLOOKUP($F375,'депозитный калькулятор'!$B$26:$F$70,4,0),0))</f>
        <v xml:space="preserve"> </v>
      </c>
      <c r="N375" s="135" t="str">
        <f>IF($F375=" "," ",IFERROR(VLOOKUP($F375,'депозитный калькулятор'!$B$26:$F$70,5,0),0))</f>
        <v xml:space="preserve"> </v>
      </c>
      <c r="O375" s="146" t="str">
        <f>IF(F375&gt;'депозитный калькулятор'!$D$8," ",IF(F375='депозитный калькулятор'!$D$8,IF(AND($F$24='депозитный калькулятор'!$D$8,'депозитный калькулятор'!$G$13="нет"),-G375-IF(I375=" ",0,I375)-IF(AND(OR('депозитный калькулятор'!$G$7="30/365",'депозитный калькулятор'!$G$7="30/360"),'депозитный калькулятор'!$G$10="в начале срока"),I374,0)-L375+M375-N375,-G375-IF(I375=" ",0,I375)-L375+M375-N375),IF('депозитный калькулятор'!$G$13="есть",M375-N375+IF('депозитный калькулятор'!$G$14="есть",0,-L375),-IF(I375=" ",0,I375)-IF(AND(OR('депозитный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срока"),I374,0)+M375-N375+IF('депозитный калькулятор'!$G$14="есть",0,-L375))))</f>
        <v xml:space="preserve"> </v>
      </c>
      <c r="P375" s="147" t="str">
        <f>IF(F375&gt;'депозитный калькулятор'!$D$8," ",IF(EOMONTH(F374,0)=F374,0,IF(G375&gt;='депозитный калькулятор'!$G$19,P374,P374+1)))</f>
        <v xml:space="preserve"> </v>
      </c>
      <c r="Q375" s="138" t="str">
        <f>IF(F375=" "," ",IF(AND(OR('депозитный калькулятор'!$G$7="30/365",'депозитный калькулятор'!$G$7="30/360"),AND(MONTH(F375)=2,EOMONTH(F375,0)=F375)),IF(DAY(F375)=28,3,2),1)*IF(G375&gt;='депозитный калькулятор'!$G$11,IF(AND('депозитный калькулятор'!$G$7="факт/факт",MOD(YEAR(F375),4)=0),G375*'депозитный калькулятор'!$D$11/366,G375*'депозитный калькулятор'!$G$8),0))</f>
        <v xml:space="preserve"> </v>
      </c>
      <c r="R375" s="148"/>
      <c r="S375" s="62" t="str">
        <f t="shared" ca="1" si="27"/>
        <v xml:space="preserve"> </v>
      </c>
      <c r="T375" s="149" t="str">
        <f ca="1">IF(S375=" "," ",IF('депозитный калькулятор'!$G$7="30/360",DAYS360(U374,IF(DAY(U375)=31,U375-1,U375))+IF(AND(MONTH(U375)=2,U375=EOMONTH(U375,0)),30-DAY(EOMONTH(U375,0)))+T374,VLOOKUP(S375,$C$22:$F$1023,2,0)))</f>
        <v xml:space="preserve"> </v>
      </c>
      <c r="U375" s="64" t="str">
        <f t="shared" ca="1" si="25"/>
        <v xml:space="preserve"> </v>
      </c>
      <c r="V375" s="150" t="str">
        <f t="shared" ca="1" si="28"/>
        <v xml:space="preserve"> </v>
      </c>
      <c r="W375" s="62" t="str">
        <f t="shared" ca="1" si="29"/>
        <v xml:space="preserve"> </v>
      </c>
      <c r="X375" s="141" t="str">
        <f ca="1">IF(S375=" "," ",IFERROR(VLOOKUP(U375,$F$23:$N$1023,7)+VLOOKUP(U375,$F$23:$N$1023,9)+IF(AND('депозитный калькулятор'!$G$13="нет",U375&lt;&gt;'депозитный калькулятор'!$D$8),VLOOKUP(U375,$F$23:$N$1023,4),0),0)+IF(U375='депозитный калькулятор'!$D$8,VLOOKUP(U375,$F$23:$N$1023,2)+VLOOKUP(U375,$F$23:$N$1023,4),0))</f>
        <v xml:space="preserve"> </v>
      </c>
      <c r="Y375" s="142" t="str">
        <f ca="1">IF(S375=" "," ",W375/(1+'депозитный калькулятор'!$K$8)^(T375/IF('депозитный калькулятор'!$G$7="30/360",360,365)))</f>
        <v xml:space="preserve"> </v>
      </c>
      <c r="Z375" s="142" t="str">
        <f ca="1">IF(S375=" "," ",X375/(1+'депозитный калькулятор'!$K$8)^(T375/IF('депозитный калькулятор'!$G$7="30/360",360,365)))</f>
        <v xml:space="preserve"> </v>
      </c>
      <c r="AA375" s="151"/>
      <c r="AB375" s="151"/>
      <c r="AC375" s="155"/>
      <c r="AD375" s="155"/>
    </row>
    <row r="376" spans="1:30" s="2" customFormat="1" ht="15.5" x14ac:dyDescent="0.35">
      <c r="A376" s="41" t="str">
        <f>IF(F376=" "," ",IF(OR('депозитный калькулятор'!$G$7="30/365",'депозитный калькулятор'!$G$7="30/360"),IF(AND(MONTH(F376)=2,DAY(F376)=DAY(EOMONTH(F376,0))),30-DAY(EOMONTH(F376,0)),IF(DAY(F376)=31,1," "))," "))</f>
        <v xml:space="preserve"> </v>
      </c>
      <c r="B376" s="130" t="str">
        <f t="shared" si="26"/>
        <v xml:space="preserve"> </v>
      </c>
      <c r="C376" s="130" t="str">
        <f>IF(OR(B376=0,B376=" ")," ",SUM($B$23:B376))</f>
        <v xml:space="preserve"> </v>
      </c>
      <c r="D376" s="62" t="str">
        <f>IF(D375=" "," ",IF(OR(F375='депозитный калькулятор'!$D$8,F375=" ")," ",D375+1))</f>
        <v xml:space="preserve"> </v>
      </c>
      <c r="E376" s="130" t="str">
        <f>IF(OR(F375='депозитный калькулятор'!$D$8,F375=" ")," ",IF(EOMONTH(F375,0)=F375,1,E375+1))</f>
        <v xml:space="preserve"> </v>
      </c>
      <c r="F376" s="64" t="str">
        <f>IF(F375=" "," ",IF(F375='депозитный калькулятор'!$D$8," ",F375+1))</f>
        <v xml:space="preserve"> </v>
      </c>
      <c r="G376" s="145" t="str">
        <f xml:space="preserve"> IF(F376&gt;'депозитный калькулятор'!$D$8," ",IF('депозитный калькулятор'!$G$13="есть",IF('депозитный калькулятор'!$G$14="есть",G375+IF(I375=" ",0,I375)-J376-K376+L376+M376-N376,G375+IF(I375=" ",0,I375)-J376-K376+M376-N376),IF('депозитный калькулятор'!$G$14="есть",G375-J376-K376+L376+M376-N376,G375-J376-K376+M376-N376)))</f>
        <v xml:space="preserve"> </v>
      </c>
      <c r="H376" s="133" t="str">
        <f>IF(F376&gt;'депозитный калькулятор'!$D$8," ",IF(AND(OR('депозитный калькулятор'!$G$7="30/365",'депозитный калькулятор'!$G$7="30/360"),AND(MONTH(F376)=2,EOMONTH(F376,0)=F376)),IF(DAY(F376)=28,3*G376*'депозитный калькулятор'!$G$8,2*G376*'депозитный калькулятор'!$G$8),IF(AND(OR('депозитный калькулятор'!$G$7="30/365",'депозитный калькулятор'!$G$7="30/360"),DAY(F376)=31)," ",IF(AND('депозитный калькулятор'!$G$7="факт/факт",MOD(YEAR(F376),4)=0),G376*'депозитный калькулятор'!$D$11/366,G376*'депозитный калькулятор'!$G$8))))</f>
        <v xml:space="preserve"> </v>
      </c>
      <c r="I376" s="134" t="str">
        <f ca="1">IF(F376=" "," ",IF('депозитный калькулятор'!$G$10="ежедневное",H376,IF(AND('депозитный калькулятор'!$G$10="еженедельное",WEEKDAY(F376,2)=7),SUM(OFFSET(H376,-6,0):H376),IF(AND('депозитный калькулятор'!$G$10="еженедельное",F376='депозитный калькулятор'!$D$8),SUM($H$23:H376)-SUM($I$23:I375),IF(AND('депозитный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недели",WEEKDAY(F376,2)=7),MIN(OFFSET(H376,-6,0):H376)*(COUNTIF(OFFSET(H376,-6,0):H376,"&gt;0")+SUMIF(OFFSET(A376,-WEEKDAY(F376,2),0):A376,"=2",OFFSET(A376,-WEEKDAY(F376,2),0):A376)),IF(AND('депозитный калькулятор'!$G$10="еженедельное, на минимальную сумму зафиксированную в течение недели",F376='депозитный калькулятор'!$D$8,WEEKDAY(F376,2)&lt;&gt;7),MIN(OFFSET(H376,-WEEKDAY(F376,2),0):H376)*(COUNTIF(OFFSET(H376,-WEEKDAY(F376,2)+1,0):H376,"&gt;0")+SUM(OFFSET(A376,-WEEKDAY(F376,2),0):A376)),IF(AND('депозитный калькулятор'!$G$10="ежемесячное (в конце месяца)",F376='депозитный калькулятор'!$D$8,EOMONTH(F376,0)&lt;&gt;F376),IF('депозитный калькулятор'!$F$1=1,$H$24,SUM($H$23:H376)-SUM($I$23:I375)),IF(AND('депозитный калькулятор'!$G$10="ежемесячное (в конце месяца)",EOMONTH(F376,0)=F376),SUM($H$23:H376)-SUM($I$23:I375),IF(AND('депозитный калькулятор'!$G$10="ежемесячное (по дням открытия вклада)",F376='депозитный калькулятор'!$D$8,DAY('депозитный калькулятор'!$D$7)&lt;&gt;DAY(F376)),IF('депозитный калькулятор'!$F$1=1,$H$24,SUM($H$23:H376)-SUM($I$23:I375)),IF(AND('депозитный калькулятор'!$G$10="ежемесячное (по дням открытия вклада)",DAY('депозитный калькулятор'!$D$7)=DAY(F376)),SUM($H$23:H376)-SUM($I$23:I375),IF(AND('депозитный калькулятор'!$G$10="ежемесячное, на минимальную сумму зафиксированную в течение месяца",F376='депозитный калькулятор'!$D$8,EOMONTH(F376,0)&lt;&gt;F376),IF('депозитный калькулятор'!$F$1=1,$H$24,IF(AND(OR('депозитный калькулятор'!$G$7="30/365",'депозитный калькулятор'!$G$7="30/360"),DAY(F376)=31),0,MIN(OFFSET(H376,-E376+1,0):H376)*(E376+SUMIF(OFFSET(A376,-E376+1,0):A376,"=2",OFFSET(A376,-E376+1,0):A376)))),IF(AND('депозитный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калькулятор'!$G$7="30/360"),DAY(EOMONTH(F376,0))=31),EOMONTH(F376,0)-1=F376,EOMONTH(F376,0)=F376)),IF(IF(AND(OR('депозитный калькулятор'!$G$7="30/365",'депозитный калькулятор'!$G$7="30/360"),DAY(EOMONTH($F$23,0))=31),F376=EOMONTH($F$23,0)-1,F376=EOMONTH($F$23,0)),MIN(OFFSET(H376,-(DAY(F376)-DAY($F$23)),0):H376)*E376,MIN(OFFSET(H376,-(DAY(F376)-1),0):H376)*IF(AND(OR('депозитный калькулятор'!$G$7="30/365",'депозитный калькулятор'!$G$7="30/360"),DAY(F376)&lt;30),30,DAY(F376))),IF(AND('депозитный калькулятор'!$G$10="ежемесячное, на средний остаток в течение месяца, при условии что остаток больше чем ограничение",F376='депозитный калькулятор'!$D$8,EOMONTH(F376,0)&lt;&gt;F376),IF('депозитный калькулятор'!$F$1=1,$H$24,SUM(OFFSET(Q376,-E376+1,0):Q376)),IF(AND('депозитный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калькулятор'!$G$7="30/360"),DAY(EOMONTH(F376,0))=31),EOMONTH(F376,0)-1=F376,EOMONTH(F376,0)=F376)),IF(IF(AND(OR('депозитный калькулятор'!$G$7="30/365",'депозитный калькулятор'!$G$7="30/360"),DAY(EOMONTH($F$24,0))=31),F376=EOMONTH($F$24,0)-1,F376=EOMONTH($F$24,0)),SUM(OFFSET(Q376,-E376+1,0):Q376),SUM(OFFSET(Q376,-E376+1,0):Q376)),IF('депозитный калькулятор'!$G$10="ежеквартальное",IF(F376&gt;'депозитный калькулятор'!$D$8," ",IF(AND(EOMONTH(F376,0)=F376,OR(MONTH(F376)=3,MONTH(F376)=6,MONTH(F376)=9,MONTH(F376)=12)),IF(EDATE(F376,-3)&lt;'депозитный калькулятор'!$D$7,SUM($H$23:H376),IF(MOD(YEAR(F376),4)=0,IF(AND(EOMONTH(F376,0)=F376,OR(MONTH(F376)=3,MONTH(F376)=6)),SUM(OFFSET(H376,-90,0):H376),IF(AND(EOMONTH(F376,0)=F376,OR(MONTH(F376)=9,MONTH(F376)=12)),SUM(OFFSET(H376,-91,0):H376))),IF(AND(EOMONTH(F376,0)=F376,MONTH(F376)=3),SUM(OFFSET(H376,-89,0):H376),IF(AND(EOMONTH(F376,0)=F376,MONTH(F376)=6),SUM(OFFSET(H376,-90,0):H376),IF(AND(EOMONTH(F376,0)=F376,OR(MONTH(F376)=9,MONTH(F376)=12)),SUM(OFFSET(H376,-91,0):H376)))))),IF(F376='депозитный калькулятор'!$D$8,SUM($H$23:H376)-SUM($I$23:I375),0))),IF('депозитный калькулятор'!$G$10="ежегодное",IF(F376&gt;'депозитный калькулятор'!$D$8," ",IF(F376='депозитный калькулятор'!$D$8,SUM($H$23:H376)-SUM($I$23:I375),IF(AND(EOMONTH(F376,0)=F376,MONTH(F376)=12),IF(MOD(YEAR(F375),4)=0,IF(F376-'депозитный калькулятор'!$D$7&lt;366,SUM($H$23:H376),SUM(OFFSET(H376,-365,0):H376)),IF(F376-'депозитный калькулятор'!$D$7&lt;365,SUM($H$23:H376),SUM(OFFSET(H376,-364,0):H376))),0))),IF(AND('депозитный калькулятор'!$G$10="в конце срока",'депозитный калькулятор'!$D$8=F376),SUM($H$23:H376),0))))))))))))))))))</f>
        <v xml:space="preserve"> </v>
      </c>
      <c r="J376" s="59" t="str">
        <f>IF(F376&gt;'депозитный калькулятор'!$D$8," ",IF('депозитный калькулятор'!$G$16="нет",0,IF(AND('депозитный калькулятор'!$G$17="разовая (в конце срока)",F376='депозитный калькулятор'!$D$8),'депозитный калькулятор'!$G$18,IF(AND('депозитный калькулятор'!$G$17="ежемесячная",EOMONTH(F375,0)=F375),'депозитный калькулятор'!$G$18,IF(AND('депозитный калькулятор'!$G$17="ежегодная",DAY(F375)=31,MONTH(F375)=12),'депозитный калькулятор'!$G$18,IF(AND('депозитный калькулятор'!$G$17="ежемесячная в зависимости от остатка",EOMONTH(F375,0)=F375,P375&gt;0),'депозитный калькулятор'!$G$18,IF(AND('депозитный калькулятор'!$G$17="ежегодная в зависимости от остатка",DAY(F375)=31,MONTH(F375)=12,P375&gt;0),'депозитный калькулятор'!$G$18,0)))))))</f>
        <v xml:space="preserve"> </v>
      </c>
      <c r="K376" s="135" t="str">
        <f>IF($F376=" "," ",IFERROR(VLOOKUP($F376,'депозитный калькулятор'!$B$26:$F$70,2,0),0))</f>
        <v xml:space="preserve"> </v>
      </c>
      <c r="L376" s="135" t="str">
        <f>IF($F376=" "," ",IFERROR(VLOOKUP($F376,'депозитный калькулятор'!$B$26:$F$70,3,0),0))</f>
        <v xml:space="preserve"> </v>
      </c>
      <c r="M376" s="135" t="str">
        <f>IF($F376=" "," ",IFERROR(VLOOKUP($F376,'депозитный калькулятор'!$B$26:$F$70,4,0),0))</f>
        <v xml:space="preserve"> </v>
      </c>
      <c r="N376" s="135" t="str">
        <f>IF($F376=" "," ",IFERROR(VLOOKUP($F376,'депозитный калькулятор'!$B$26:$F$70,5,0),0))</f>
        <v xml:space="preserve"> </v>
      </c>
      <c r="O376" s="146" t="str">
        <f>IF(F376&gt;'депозитный калькулятор'!$D$8," ",IF(F376='депозитный калькулятор'!$D$8,IF(AND($F$24='депозитный калькулятор'!$D$8,'депозитный калькулятор'!$G$13="нет"),-G376-IF(I376=" ",0,I376)-IF(AND(OR('депозитный калькулятор'!$G$7="30/365",'депозитный калькулятор'!$G$7="30/360"),'депозитный калькулятор'!$G$10="в начале срока"),I375,0)-L376+M376-N376,-G376-IF(I376=" ",0,I376)-L376+M376-N376),IF('депозитный калькулятор'!$G$13="есть",M376-N376+IF('депозитный калькулятор'!$G$14="есть",0,-L376),-IF(I376=" ",0,I376)-IF(AND(OR('депозитный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срока"),I375,0)+M376-N376+IF('депозитный калькулятор'!$G$14="есть",0,-L376))))</f>
        <v xml:space="preserve"> </v>
      </c>
      <c r="P376" s="147" t="str">
        <f>IF(F376&gt;'депозитный калькулятор'!$D$8," ",IF(EOMONTH(F375,0)=F375,0,IF(G376&gt;='депозитный калькулятор'!$G$19,P375,P375+1)))</f>
        <v xml:space="preserve"> </v>
      </c>
      <c r="Q376" s="138" t="str">
        <f>IF(F376=" "," ",IF(AND(OR('депозитный калькулятор'!$G$7="30/365",'депозитный калькулятор'!$G$7="30/360"),AND(MONTH(F376)=2,EOMONTH(F376,0)=F376)),IF(DAY(F376)=28,3,2),1)*IF(G376&gt;='депозитный калькулятор'!$G$11,IF(AND('депозитный калькулятор'!$G$7="факт/факт",MOD(YEAR(F376),4)=0),G376*'депозитный калькулятор'!$D$11/366,G376*'депозитный калькулятор'!$G$8),0))</f>
        <v xml:space="preserve"> </v>
      </c>
      <c r="R376" s="148"/>
      <c r="S376" s="62" t="str">
        <f t="shared" ca="1" si="27"/>
        <v xml:space="preserve"> </v>
      </c>
      <c r="T376" s="149" t="str">
        <f ca="1">IF(S376=" "," ",IF('депозитный калькулятор'!$G$7="30/360",DAYS360(U375,IF(DAY(U376)=31,U376-1,U376))+IF(AND(MONTH(U376)=2,U376=EOMONTH(U376,0)),30-DAY(EOMONTH(U376,0)))+T375,VLOOKUP(S376,$C$22:$F$1023,2,0)))</f>
        <v xml:space="preserve"> </v>
      </c>
      <c r="U376" s="64" t="str">
        <f t="shared" ca="1" si="25"/>
        <v xml:space="preserve"> </v>
      </c>
      <c r="V376" s="150" t="str">
        <f t="shared" ca="1" si="28"/>
        <v xml:space="preserve"> </v>
      </c>
      <c r="W376" s="62" t="str">
        <f t="shared" ca="1" si="29"/>
        <v xml:space="preserve"> </v>
      </c>
      <c r="X376" s="141" t="str">
        <f ca="1">IF(S376=" "," ",IFERROR(VLOOKUP(U376,$F$23:$N$1023,7)+VLOOKUP(U376,$F$23:$N$1023,9)+IF(AND('депозитный калькулятор'!$G$13="нет",U376&lt;&gt;'депозитный калькулятор'!$D$8),VLOOKUP(U376,$F$23:$N$1023,4),0),0)+IF(U376='депозитный калькулятор'!$D$8,VLOOKUP(U376,$F$23:$N$1023,2)+VLOOKUP(U376,$F$23:$N$1023,4),0))</f>
        <v xml:space="preserve"> </v>
      </c>
      <c r="Y376" s="142" t="str">
        <f ca="1">IF(S376=" "," ",W376/(1+'депозитный калькулятор'!$K$8)^(T376/IF('депозитный калькулятор'!$G$7="30/360",360,365)))</f>
        <v xml:space="preserve"> </v>
      </c>
      <c r="Z376" s="142" t="str">
        <f ca="1">IF(S376=" "," ",X376/(1+'депозитный калькулятор'!$K$8)^(T376/IF('депозитный калькулятор'!$G$7="30/360",360,365)))</f>
        <v xml:space="preserve"> </v>
      </c>
      <c r="AA376" s="151"/>
      <c r="AB376" s="151"/>
      <c r="AC376" s="155"/>
      <c r="AD376" s="155"/>
    </row>
    <row r="377" spans="1:30" s="2" customFormat="1" ht="15.5" x14ac:dyDescent="0.35">
      <c r="A377" s="41" t="str">
        <f>IF(F377=" "," ",IF(OR('депозитный калькулятор'!$G$7="30/365",'депозитный калькулятор'!$G$7="30/360"),IF(AND(MONTH(F377)=2,DAY(F377)=DAY(EOMONTH(F377,0))),30-DAY(EOMONTH(F377,0)),IF(DAY(F377)=31,1," "))," "))</f>
        <v xml:space="preserve"> </v>
      </c>
      <c r="B377" s="130" t="str">
        <f t="shared" si="26"/>
        <v xml:space="preserve"> </v>
      </c>
      <c r="C377" s="130" t="str">
        <f>IF(OR(B377=0,B377=" ")," ",SUM($B$23:B377))</f>
        <v xml:space="preserve"> </v>
      </c>
      <c r="D377" s="62" t="str">
        <f>IF(D376=" "," ",IF(OR(F376='депозитный калькулятор'!$D$8,F376=" ")," ",D376+1))</f>
        <v xml:space="preserve"> </v>
      </c>
      <c r="E377" s="130" t="str">
        <f>IF(OR(F376='депозитный калькулятор'!$D$8,F376=" ")," ",IF(EOMONTH(F376,0)=F376,1,E376+1))</f>
        <v xml:space="preserve"> </v>
      </c>
      <c r="F377" s="64" t="str">
        <f>IF(F376=" "," ",IF(F376='депозитный калькулятор'!$D$8," ",F376+1))</f>
        <v xml:space="preserve"> </v>
      </c>
      <c r="G377" s="145" t="str">
        <f xml:space="preserve"> IF(F377&gt;'депозитный калькулятор'!$D$8," ",IF('депозитный калькулятор'!$G$13="есть",IF('депозитный калькулятор'!$G$14="есть",G376+IF(I376=" ",0,I376)-J377-K377+L377+M377-N377,G376+IF(I376=" ",0,I376)-J377-K377+M377-N377),IF('депозитный калькулятор'!$G$14="есть",G376-J377-K377+L377+M377-N377,G376-J377-K377+M377-N377)))</f>
        <v xml:space="preserve"> </v>
      </c>
      <c r="H377" s="133" t="str">
        <f>IF(F377&gt;'депозитный калькулятор'!$D$8," ",IF(AND(OR('депозитный калькулятор'!$G$7="30/365",'депозитный калькулятор'!$G$7="30/360"),AND(MONTH(F377)=2,EOMONTH(F377,0)=F377)),IF(DAY(F377)=28,3*G377*'депозитный калькулятор'!$G$8,2*G377*'депозитный калькулятор'!$G$8),IF(AND(OR('депозитный калькулятор'!$G$7="30/365",'депозитный калькулятор'!$G$7="30/360"),DAY(F377)=31)," ",IF(AND('депозитный калькулятор'!$G$7="факт/факт",MOD(YEAR(F377),4)=0),G377*'депозитный калькулятор'!$D$11/366,G377*'депозитный калькулятор'!$G$8))))</f>
        <v xml:space="preserve"> </v>
      </c>
      <c r="I377" s="134" t="str">
        <f ca="1">IF(F377=" "," ",IF('депозитный калькулятор'!$G$10="ежедневное",H377,IF(AND('депозитный калькулятор'!$G$10="еженедельное",WEEKDAY(F377,2)=7),SUM(OFFSET(H377,-6,0):H377),IF(AND('депозитный калькулятор'!$G$10="еженедельное",F377='депозитный калькулятор'!$D$8),SUM($H$23:H377)-SUM($I$23:I376),IF(AND('депозитный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недели",WEEKDAY(F377,2)=7),MIN(OFFSET(H377,-6,0):H377)*(COUNTIF(OFFSET(H377,-6,0):H377,"&gt;0")+SUMIF(OFFSET(A377,-WEEKDAY(F377,2),0):A377,"=2",OFFSET(A377,-WEEKDAY(F377,2),0):A377)),IF(AND('депозитный калькулятор'!$G$10="еженедельное, на минимальную сумму зафиксированную в течение недели",F377='депозитный калькулятор'!$D$8,WEEKDAY(F377,2)&lt;&gt;7),MIN(OFFSET(H377,-WEEKDAY(F377,2),0):H377)*(COUNTIF(OFFSET(H377,-WEEKDAY(F377,2)+1,0):H377,"&gt;0")+SUM(OFFSET(A377,-WEEKDAY(F377,2),0):A377)),IF(AND('депозитный калькулятор'!$G$10="ежемесячное (в конце месяца)",F377='депозитный калькулятор'!$D$8,EOMONTH(F377,0)&lt;&gt;F377),IF('депозитный калькулятор'!$F$1=1,$H$24,SUM($H$23:H377)-SUM($I$23:I376)),IF(AND('депозитный калькулятор'!$G$10="ежемесячное (в конце месяца)",EOMONTH(F377,0)=F377),SUM($H$23:H377)-SUM($I$23:I376),IF(AND('депозитный калькулятор'!$G$10="ежемесячное (по дням открытия вклада)",F377='депозитный калькулятор'!$D$8,DAY('депозитный калькулятор'!$D$7)&lt;&gt;DAY(F377)),IF('депозитный калькулятор'!$F$1=1,$H$24,SUM($H$23:H377)-SUM($I$23:I376)),IF(AND('депозитный калькулятор'!$G$10="ежемесячное (по дням открытия вклада)",DAY('депозитный калькулятор'!$D$7)=DAY(F377)),SUM($H$23:H377)-SUM($I$23:I376),IF(AND('депозитный калькулятор'!$G$10="ежемесячное, на минимальную сумму зафиксированную в течение месяца",F377='депозитный калькулятор'!$D$8,EOMONTH(F377,0)&lt;&gt;F377),IF('депозитный калькулятор'!$F$1=1,$H$24,IF(AND(OR('депозитный калькулятор'!$G$7="30/365",'депозитный калькулятор'!$G$7="30/360"),DAY(F377)=31),0,MIN(OFFSET(H377,-E377+1,0):H377)*(E377+SUMIF(OFFSET(A377,-E377+1,0):A377,"=2",OFFSET(A377,-E377+1,0):A377)))),IF(AND('депозитный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калькулятор'!$G$7="30/360"),DAY(EOMONTH(F377,0))=31),EOMONTH(F377,0)-1=F377,EOMONTH(F377,0)=F377)),IF(IF(AND(OR('депозитный калькулятор'!$G$7="30/365",'депозитный калькулятор'!$G$7="30/360"),DAY(EOMONTH($F$23,0))=31),F377=EOMONTH($F$23,0)-1,F377=EOMONTH($F$23,0)),MIN(OFFSET(H377,-(DAY(F377)-DAY($F$23)),0):H377)*E377,MIN(OFFSET(H377,-(DAY(F377)-1),0):H377)*IF(AND(OR('депозитный калькулятор'!$G$7="30/365",'депозитный калькулятор'!$G$7="30/360"),DAY(F377)&lt;30),30,DAY(F377))),IF(AND('депозитный калькулятор'!$G$10="ежемесячное, на средний остаток в течение месяца, при условии что остаток больше чем ограничение",F377='депозитный калькулятор'!$D$8,EOMONTH(F377,0)&lt;&gt;F377),IF('депозитный калькулятор'!$F$1=1,$H$24,SUM(OFFSET(Q377,-E377+1,0):Q377)),IF(AND('депозитный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калькулятор'!$G$7="30/360"),DAY(EOMONTH(F377,0))=31),EOMONTH(F377,0)-1=F377,EOMONTH(F377,0)=F377)),IF(IF(AND(OR('депозитный калькулятор'!$G$7="30/365",'депозитный калькулятор'!$G$7="30/360"),DAY(EOMONTH($F$24,0))=31),F377=EOMONTH($F$24,0)-1,F377=EOMONTH($F$24,0)),SUM(OFFSET(Q377,-E377+1,0):Q377),SUM(OFFSET(Q377,-E377+1,0):Q377)),IF('депозитный калькулятор'!$G$10="ежеквартальное",IF(F377&gt;'депозитный калькулятор'!$D$8," ",IF(AND(EOMONTH(F377,0)=F377,OR(MONTH(F377)=3,MONTH(F377)=6,MONTH(F377)=9,MONTH(F377)=12)),IF(EDATE(F377,-3)&lt;'депозитный калькулятор'!$D$7,SUM($H$23:H377),IF(MOD(YEAR(F377),4)=0,IF(AND(EOMONTH(F377,0)=F377,OR(MONTH(F377)=3,MONTH(F377)=6)),SUM(OFFSET(H377,-90,0):H377),IF(AND(EOMONTH(F377,0)=F377,OR(MONTH(F377)=9,MONTH(F377)=12)),SUM(OFFSET(H377,-91,0):H377))),IF(AND(EOMONTH(F377,0)=F377,MONTH(F377)=3),SUM(OFFSET(H377,-89,0):H377),IF(AND(EOMONTH(F377,0)=F377,MONTH(F377)=6),SUM(OFFSET(H377,-90,0):H377),IF(AND(EOMONTH(F377,0)=F377,OR(MONTH(F377)=9,MONTH(F377)=12)),SUM(OFFSET(H377,-91,0):H377)))))),IF(F377='депозитный калькулятор'!$D$8,SUM($H$23:H377)-SUM($I$23:I376),0))),IF('депозитный калькулятор'!$G$10="ежегодное",IF(F377&gt;'депозитный калькулятор'!$D$8," ",IF(F377='депозитный калькулятор'!$D$8,SUM($H$23:H377)-SUM($I$23:I376),IF(AND(EOMONTH(F377,0)=F377,MONTH(F377)=12),IF(MOD(YEAR(F376),4)=0,IF(F377-'депозитный калькулятор'!$D$7&lt;366,SUM($H$23:H377),SUM(OFFSET(H377,-365,0):H377)),IF(F377-'депозитный калькулятор'!$D$7&lt;365,SUM($H$23:H377),SUM(OFFSET(H377,-364,0):H377))),0))),IF(AND('депозитный калькулятор'!$G$10="в конце срока",'депозитный калькулятор'!$D$8=F377),SUM($H$23:H377),0))))))))))))))))))</f>
        <v xml:space="preserve"> </v>
      </c>
      <c r="J377" s="59" t="str">
        <f>IF(F377&gt;'депозитный калькулятор'!$D$8," ",IF('депозитный калькулятор'!$G$16="нет",0,IF(AND('депозитный калькулятор'!$G$17="разовая (в конце срока)",F377='депозитный калькулятор'!$D$8),'депозитный калькулятор'!$G$18,IF(AND('депозитный калькулятор'!$G$17="ежемесячная",EOMONTH(F376,0)=F376),'депозитный калькулятор'!$G$18,IF(AND('депозитный калькулятор'!$G$17="ежегодная",DAY(F376)=31,MONTH(F376)=12),'депозитный калькулятор'!$G$18,IF(AND('депозитный калькулятор'!$G$17="ежемесячная в зависимости от остатка",EOMONTH(F376,0)=F376,P376&gt;0),'депозитный калькулятор'!$G$18,IF(AND('депозитный калькулятор'!$G$17="ежегодная в зависимости от остатка",DAY(F376)=31,MONTH(F376)=12,P376&gt;0),'депозитный калькулятор'!$G$18,0)))))))</f>
        <v xml:space="preserve"> </v>
      </c>
      <c r="K377" s="135" t="str">
        <f>IF($F377=" "," ",IFERROR(VLOOKUP($F377,'депозитный калькулятор'!$B$26:$F$70,2,0),0))</f>
        <v xml:space="preserve"> </v>
      </c>
      <c r="L377" s="135" t="str">
        <f>IF($F377=" "," ",IFERROR(VLOOKUP($F377,'депозитный калькулятор'!$B$26:$F$70,3,0),0))</f>
        <v xml:space="preserve"> </v>
      </c>
      <c r="M377" s="135" t="str">
        <f>IF($F377=" "," ",IFERROR(VLOOKUP($F377,'депозитный калькулятор'!$B$26:$F$70,4,0),0))</f>
        <v xml:space="preserve"> </v>
      </c>
      <c r="N377" s="135" t="str">
        <f>IF($F377=" "," ",IFERROR(VLOOKUP($F377,'депозитный калькулятор'!$B$26:$F$70,5,0),0))</f>
        <v xml:space="preserve"> </v>
      </c>
      <c r="O377" s="146" t="str">
        <f>IF(F377&gt;'депозитный калькулятор'!$D$8," ",IF(F377='депозитный калькулятор'!$D$8,IF(AND($F$24='депозитный калькулятор'!$D$8,'депозитный калькулятор'!$G$13="нет"),-G377-IF(I377=" ",0,I377)-IF(AND(OR('депозитный калькулятор'!$G$7="30/365",'депозитный калькулятор'!$G$7="30/360"),'депозитный калькулятор'!$G$10="в начале срока"),I376,0)-L377+M377-N377,-G377-IF(I377=" ",0,I377)-L377+M377-N377),IF('депозитный калькулятор'!$G$13="есть",M377-N377+IF('депозитный калькулятор'!$G$14="есть",0,-L377),-IF(I377=" ",0,I377)-IF(AND(OR('депозитный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срока"),I376,0)+M377-N377+IF('депозитный калькулятор'!$G$14="есть",0,-L377))))</f>
        <v xml:space="preserve"> </v>
      </c>
      <c r="P377" s="147" t="str">
        <f>IF(F377&gt;'депозитный калькулятор'!$D$8," ",IF(EOMONTH(F376,0)=F376,0,IF(G377&gt;='депозитный калькулятор'!$G$19,P376,P376+1)))</f>
        <v xml:space="preserve"> </v>
      </c>
      <c r="Q377" s="138" t="str">
        <f>IF(F377=" "," ",IF(AND(OR('депозитный калькулятор'!$G$7="30/365",'депозитный калькулятор'!$G$7="30/360"),AND(MONTH(F377)=2,EOMONTH(F377,0)=F377)),IF(DAY(F377)=28,3,2),1)*IF(G377&gt;='депозитный калькулятор'!$G$11,IF(AND('депозитный калькулятор'!$G$7="факт/факт",MOD(YEAR(F377),4)=0),G377*'депозитный калькулятор'!$D$11/366,G377*'депозитный калькулятор'!$G$8),0))</f>
        <v xml:space="preserve"> </v>
      </c>
      <c r="R377" s="148"/>
      <c r="S377" s="62" t="str">
        <f t="shared" ca="1" si="27"/>
        <v xml:space="preserve"> </v>
      </c>
      <c r="T377" s="149" t="str">
        <f ca="1">IF(S377=" "," ",IF('депозитный калькулятор'!$G$7="30/360",DAYS360(U376,IF(DAY(U377)=31,U377-1,U377))+IF(AND(MONTH(U377)=2,U377=EOMONTH(U377,0)),30-DAY(EOMONTH(U377,0)))+T376,VLOOKUP(S377,$C$22:$F$1023,2,0)))</f>
        <v xml:space="preserve"> </v>
      </c>
      <c r="U377" s="64" t="str">
        <f t="shared" ca="1" si="25"/>
        <v xml:space="preserve"> </v>
      </c>
      <c r="V377" s="150" t="str">
        <f t="shared" ca="1" si="28"/>
        <v xml:space="preserve"> </v>
      </c>
      <c r="W377" s="62" t="str">
        <f t="shared" ca="1" si="29"/>
        <v xml:space="preserve"> </v>
      </c>
      <c r="X377" s="141" t="str">
        <f ca="1">IF(S377=" "," ",IFERROR(VLOOKUP(U377,$F$23:$N$1023,7)+VLOOKUP(U377,$F$23:$N$1023,9)+IF(AND('депозитный калькулятор'!$G$13="нет",U377&lt;&gt;'депозитный калькулятор'!$D$8),VLOOKUP(U377,$F$23:$N$1023,4),0),0)+IF(U377='депозитный калькулятор'!$D$8,VLOOKUP(U377,$F$23:$N$1023,2)+VLOOKUP(U377,$F$23:$N$1023,4),0))</f>
        <v xml:space="preserve"> </v>
      </c>
      <c r="Y377" s="142" t="str">
        <f ca="1">IF(S377=" "," ",W377/(1+'депозитный калькулятор'!$K$8)^(T377/IF('депозитный калькулятор'!$G$7="30/360",360,365)))</f>
        <v xml:space="preserve"> </v>
      </c>
      <c r="Z377" s="142" t="str">
        <f ca="1">IF(S377=" "," ",X377/(1+'депозитный калькулятор'!$K$8)^(T377/IF('депозитный калькулятор'!$G$7="30/360",360,365)))</f>
        <v xml:space="preserve"> </v>
      </c>
      <c r="AA377" s="151"/>
      <c r="AB377" s="151"/>
      <c r="AC377" s="155"/>
      <c r="AD377" s="155"/>
    </row>
    <row r="378" spans="1:30" s="2" customFormat="1" ht="15.5" x14ac:dyDescent="0.35">
      <c r="A378" s="41" t="str">
        <f>IF(F378=" "," ",IF(OR('депозитный калькулятор'!$G$7="30/365",'депозитный калькулятор'!$G$7="30/360"),IF(AND(MONTH(F378)=2,DAY(F378)=DAY(EOMONTH(F378,0))),30-DAY(EOMONTH(F378,0)),IF(DAY(F378)=31,1," "))," "))</f>
        <v xml:space="preserve"> </v>
      </c>
      <c r="B378" s="130" t="str">
        <f t="shared" si="26"/>
        <v xml:space="preserve"> </v>
      </c>
      <c r="C378" s="130" t="str">
        <f>IF(OR(B378=0,B378=" ")," ",SUM($B$23:B378))</f>
        <v xml:space="preserve"> </v>
      </c>
      <c r="D378" s="62" t="str">
        <f>IF(D377=" "," ",IF(OR(F377='депозитный калькулятор'!$D$8,F377=" ")," ",D377+1))</f>
        <v xml:space="preserve"> </v>
      </c>
      <c r="E378" s="130" t="str">
        <f>IF(OR(F377='депозитный калькулятор'!$D$8,F377=" ")," ",IF(EOMONTH(F377,0)=F377,1,E377+1))</f>
        <v xml:space="preserve"> </v>
      </c>
      <c r="F378" s="64" t="str">
        <f>IF(F377=" "," ",IF(F377='депозитный калькулятор'!$D$8," ",F377+1))</f>
        <v xml:space="preserve"> </v>
      </c>
      <c r="G378" s="145" t="str">
        <f xml:space="preserve"> IF(F378&gt;'депозитный калькулятор'!$D$8," ",IF('депозитный калькулятор'!$G$13="есть",IF('депозитный калькулятор'!$G$14="есть",G377+IF(I377=" ",0,I377)-J378-K378+L378+M378-N378,G377+IF(I377=" ",0,I377)-J378-K378+M378-N378),IF('депозитный калькулятор'!$G$14="есть",G377-J378-K378+L378+M378-N378,G377-J378-K378+M378-N378)))</f>
        <v xml:space="preserve"> </v>
      </c>
      <c r="H378" s="133" t="str">
        <f>IF(F378&gt;'депозитный калькулятор'!$D$8," ",IF(AND(OR('депозитный калькулятор'!$G$7="30/365",'депозитный калькулятор'!$G$7="30/360"),AND(MONTH(F378)=2,EOMONTH(F378,0)=F378)),IF(DAY(F378)=28,3*G378*'депозитный калькулятор'!$G$8,2*G378*'депозитный калькулятор'!$G$8),IF(AND(OR('депозитный калькулятор'!$G$7="30/365",'депозитный калькулятор'!$G$7="30/360"),DAY(F378)=31)," ",IF(AND('депозитный калькулятор'!$G$7="факт/факт",MOD(YEAR(F378),4)=0),G378*'депозитный калькулятор'!$D$11/366,G378*'депозитный калькулятор'!$G$8))))</f>
        <v xml:space="preserve"> </v>
      </c>
      <c r="I378" s="134" t="str">
        <f ca="1">IF(F378=" "," ",IF('депозитный калькулятор'!$G$10="ежедневное",H378,IF(AND('депозитный калькулятор'!$G$10="еженедельное",WEEKDAY(F378,2)=7),SUM(OFFSET(H378,-6,0):H378),IF(AND('депозитный калькулятор'!$G$10="еженедельное",F378='депозитный калькулятор'!$D$8),SUM($H$23:H378)-SUM($I$23:I377),IF(AND('депозитный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недели",WEEKDAY(F378,2)=7),MIN(OFFSET(H378,-6,0):H378)*(COUNTIF(OFFSET(H378,-6,0):H378,"&gt;0")+SUMIF(OFFSET(A378,-WEEKDAY(F378,2),0):A378,"=2",OFFSET(A378,-WEEKDAY(F378,2),0):A378)),IF(AND('депозитный калькулятор'!$G$10="еженедельное, на минимальную сумму зафиксированную в течение недели",F378='депозитный калькулятор'!$D$8,WEEKDAY(F378,2)&lt;&gt;7),MIN(OFFSET(H378,-WEEKDAY(F378,2),0):H378)*(COUNTIF(OFFSET(H378,-WEEKDAY(F378,2)+1,0):H378,"&gt;0")+SUM(OFFSET(A378,-WEEKDAY(F378,2),0):A378)),IF(AND('депозитный калькулятор'!$G$10="ежемесячное (в конце месяца)",F378='депозитный калькулятор'!$D$8,EOMONTH(F378,0)&lt;&gt;F378),IF('депозитный калькулятор'!$F$1=1,$H$24,SUM($H$23:H378)-SUM($I$23:I377)),IF(AND('депозитный калькулятор'!$G$10="ежемесячное (в конце месяца)",EOMONTH(F378,0)=F378),SUM($H$23:H378)-SUM($I$23:I377),IF(AND('депозитный калькулятор'!$G$10="ежемесячное (по дням открытия вклада)",F378='депозитный калькулятор'!$D$8,DAY('депозитный калькулятор'!$D$7)&lt;&gt;DAY(F378)),IF('депозитный калькулятор'!$F$1=1,$H$24,SUM($H$23:H378)-SUM($I$23:I377)),IF(AND('депозитный калькулятор'!$G$10="ежемесячное (по дням открытия вклада)",DAY('депозитный калькулятор'!$D$7)=DAY(F378)),SUM($H$23:H378)-SUM($I$23:I377),IF(AND('депозитный калькулятор'!$G$10="ежемесячное, на минимальную сумму зафиксированную в течение месяца",F378='депозитный калькулятор'!$D$8,EOMONTH(F378,0)&lt;&gt;F378),IF('депозитный калькулятор'!$F$1=1,$H$24,IF(AND(OR('депозитный калькулятор'!$G$7="30/365",'депозитный калькулятор'!$G$7="30/360"),DAY(F378)=31),0,MIN(OFFSET(H378,-E378+1,0):H378)*(E378+SUMIF(OFFSET(A378,-E378+1,0):A378,"=2",OFFSET(A378,-E378+1,0):A378)))),IF(AND('депозитный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калькулятор'!$G$7="30/360"),DAY(EOMONTH(F378,0))=31),EOMONTH(F378,0)-1=F378,EOMONTH(F378,0)=F378)),IF(IF(AND(OR('депозитный калькулятор'!$G$7="30/365",'депозитный калькулятор'!$G$7="30/360"),DAY(EOMONTH($F$23,0))=31),F378=EOMONTH($F$23,0)-1,F378=EOMONTH($F$23,0)),MIN(OFFSET(H378,-(DAY(F378)-DAY($F$23)),0):H378)*E378,MIN(OFFSET(H378,-(DAY(F378)-1),0):H378)*IF(AND(OR('депозитный калькулятор'!$G$7="30/365",'депозитный калькулятор'!$G$7="30/360"),DAY(F378)&lt;30),30,DAY(F378))),IF(AND('депозитный калькулятор'!$G$10="ежемесячное, на средний остаток в течение месяца, при условии что остаток больше чем ограничение",F378='депозитный калькулятор'!$D$8,EOMONTH(F378,0)&lt;&gt;F378),IF('депозитный калькулятор'!$F$1=1,$H$24,SUM(OFFSET(Q378,-E378+1,0):Q378)),IF(AND('депозитный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калькулятор'!$G$7="30/360"),DAY(EOMONTH(F378,0))=31),EOMONTH(F378,0)-1=F378,EOMONTH(F378,0)=F378)),IF(IF(AND(OR('депозитный калькулятор'!$G$7="30/365",'депозитный калькулятор'!$G$7="30/360"),DAY(EOMONTH($F$24,0))=31),F378=EOMONTH($F$24,0)-1,F378=EOMONTH($F$24,0)),SUM(OFFSET(Q378,-E378+1,0):Q378),SUM(OFFSET(Q378,-E378+1,0):Q378)),IF('депозитный калькулятор'!$G$10="ежеквартальное",IF(F378&gt;'депозитный калькулятор'!$D$8," ",IF(AND(EOMONTH(F378,0)=F378,OR(MONTH(F378)=3,MONTH(F378)=6,MONTH(F378)=9,MONTH(F378)=12)),IF(EDATE(F378,-3)&lt;'депозитный калькулятор'!$D$7,SUM($H$23:H378),IF(MOD(YEAR(F378),4)=0,IF(AND(EOMONTH(F378,0)=F378,OR(MONTH(F378)=3,MONTH(F378)=6)),SUM(OFFSET(H378,-90,0):H378),IF(AND(EOMONTH(F378,0)=F378,OR(MONTH(F378)=9,MONTH(F378)=12)),SUM(OFFSET(H378,-91,0):H378))),IF(AND(EOMONTH(F378,0)=F378,MONTH(F378)=3),SUM(OFFSET(H378,-89,0):H378),IF(AND(EOMONTH(F378,0)=F378,MONTH(F378)=6),SUM(OFFSET(H378,-90,0):H378),IF(AND(EOMONTH(F378,0)=F378,OR(MONTH(F378)=9,MONTH(F378)=12)),SUM(OFFSET(H378,-91,0):H378)))))),IF(F378='депозитный калькулятор'!$D$8,SUM($H$23:H378)-SUM($I$23:I377),0))),IF('депозитный калькулятор'!$G$10="ежегодное",IF(F378&gt;'депозитный калькулятор'!$D$8," ",IF(F378='депозитный калькулятор'!$D$8,SUM($H$23:H378)-SUM($I$23:I377),IF(AND(EOMONTH(F378,0)=F378,MONTH(F378)=12),IF(MOD(YEAR(F377),4)=0,IF(F378-'депозитный калькулятор'!$D$7&lt;366,SUM($H$23:H378),SUM(OFFSET(H378,-365,0):H378)),IF(F378-'депозитный калькулятор'!$D$7&lt;365,SUM($H$23:H378),SUM(OFFSET(H378,-364,0):H378))),0))),IF(AND('депозитный калькулятор'!$G$10="в конце срока",'депозитный калькулятор'!$D$8=F378),SUM($H$23:H378),0))))))))))))))))))</f>
        <v xml:space="preserve"> </v>
      </c>
      <c r="J378" s="59" t="str">
        <f>IF(F378&gt;'депозитный калькулятор'!$D$8," ",IF('депозитный калькулятор'!$G$16="нет",0,IF(AND('депозитный калькулятор'!$G$17="разовая (в конце срока)",F378='депозитный калькулятор'!$D$8),'депозитный калькулятор'!$G$18,IF(AND('депозитный калькулятор'!$G$17="ежемесячная",EOMONTH(F377,0)=F377),'депозитный калькулятор'!$G$18,IF(AND('депозитный калькулятор'!$G$17="ежегодная",DAY(F377)=31,MONTH(F377)=12),'депозитный калькулятор'!$G$18,IF(AND('депозитный калькулятор'!$G$17="ежемесячная в зависимости от остатка",EOMONTH(F377,0)=F377,P377&gt;0),'депозитный калькулятор'!$G$18,IF(AND('депозитный калькулятор'!$G$17="ежегодная в зависимости от остатка",DAY(F377)=31,MONTH(F377)=12,P377&gt;0),'депозитный калькулятор'!$G$18,0)))))))</f>
        <v xml:space="preserve"> </v>
      </c>
      <c r="K378" s="135" t="str">
        <f>IF($F378=" "," ",IFERROR(VLOOKUP($F378,'депозитный калькулятор'!$B$26:$F$70,2,0),0))</f>
        <v xml:space="preserve"> </v>
      </c>
      <c r="L378" s="135" t="str">
        <f>IF($F378=" "," ",IFERROR(VLOOKUP($F378,'депозитный калькулятор'!$B$26:$F$70,3,0),0))</f>
        <v xml:space="preserve"> </v>
      </c>
      <c r="M378" s="135" t="str">
        <f>IF($F378=" "," ",IFERROR(VLOOKUP($F378,'депозитный калькулятор'!$B$26:$F$70,4,0),0))</f>
        <v xml:space="preserve"> </v>
      </c>
      <c r="N378" s="135" t="str">
        <f>IF($F378=" "," ",IFERROR(VLOOKUP($F378,'депозитный калькулятор'!$B$26:$F$70,5,0),0))</f>
        <v xml:space="preserve"> </v>
      </c>
      <c r="O378" s="146" t="str">
        <f>IF(F378&gt;'депозитный калькулятор'!$D$8," ",IF(F378='депозитный калькулятор'!$D$8,IF(AND($F$24='депозитный калькулятор'!$D$8,'депозитный калькулятор'!$G$13="нет"),-G378-IF(I378=" ",0,I378)-IF(AND(OR('депозитный калькулятор'!$G$7="30/365",'депозитный калькулятор'!$G$7="30/360"),'депозитный калькулятор'!$G$10="в начале срока"),I377,0)-L378+M378-N378,-G378-IF(I378=" ",0,I378)-L378+M378-N378),IF('депозитный калькулятор'!$G$13="есть",M378-N378+IF('депозитный калькулятор'!$G$14="есть",0,-L378),-IF(I378=" ",0,I378)-IF(AND(OR('депозитный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срока"),I377,0)+M378-N378+IF('депозитный калькулятор'!$G$14="есть",0,-L378))))</f>
        <v xml:space="preserve"> </v>
      </c>
      <c r="P378" s="147" t="str">
        <f>IF(F378&gt;'депозитный калькулятор'!$D$8," ",IF(EOMONTH(F377,0)=F377,0,IF(G378&gt;='депозитный калькулятор'!$G$19,P377,P377+1)))</f>
        <v xml:space="preserve"> </v>
      </c>
      <c r="Q378" s="138" t="str">
        <f>IF(F378=" "," ",IF(AND(OR('депозитный калькулятор'!$G$7="30/365",'депозитный калькулятор'!$G$7="30/360"),AND(MONTH(F378)=2,EOMONTH(F378,0)=F378)),IF(DAY(F378)=28,3,2),1)*IF(G378&gt;='депозитный калькулятор'!$G$11,IF(AND('депозитный калькулятор'!$G$7="факт/факт",MOD(YEAR(F378),4)=0),G378*'депозитный калькулятор'!$D$11/366,G378*'депозитный калькулятор'!$G$8),0))</f>
        <v xml:space="preserve"> </v>
      </c>
      <c r="R378" s="148"/>
      <c r="S378" s="62" t="str">
        <f t="shared" ca="1" si="27"/>
        <v xml:space="preserve"> </v>
      </c>
      <c r="T378" s="149" t="str">
        <f ca="1">IF(S378=" "," ",IF('депозитный калькулятор'!$G$7="30/360",DAYS360(U377,IF(DAY(U378)=31,U378-1,U378))+IF(AND(MONTH(U378)=2,U378=EOMONTH(U378,0)),30-DAY(EOMONTH(U378,0)))+T377,VLOOKUP(S378,$C$22:$F$1023,2,0)))</f>
        <v xml:space="preserve"> </v>
      </c>
      <c r="U378" s="64" t="str">
        <f t="shared" ca="1" si="25"/>
        <v xml:space="preserve"> </v>
      </c>
      <c r="V378" s="150" t="str">
        <f t="shared" ca="1" si="28"/>
        <v xml:space="preserve"> </v>
      </c>
      <c r="W378" s="62" t="str">
        <f t="shared" ca="1" si="29"/>
        <v xml:space="preserve"> </v>
      </c>
      <c r="X378" s="141" t="str">
        <f ca="1">IF(S378=" "," ",IFERROR(VLOOKUP(U378,$F$23:$N$1023,7)+VLOOKUP(U378,$F$23:$N$1023,9)+IF(AND('депозитный калькулятор'!$G$13="нет",U378&lt;&gt;'депозитный калькулятор'!$D$8),VLOOKUP(U378,$F$23:$N$1023,4),0),0)+IF(U378='депозитный калькулятор'!$D$8,VLOOKUP(U378,$F$23:$N$1023,2)+VLOOKUP(U378,$F$23:$N$1023,4),0))</f>
        <v xml:space="preserve"> </v>
      </c>
      <c r="Y378" s="142" t="str">
        <f ca="1">IF(S378=" "," ",W378/(1+'депозитный калькулятор'!$K$8)^(T378/IF('депозитный калькулятор'!$G$7="30/360",360,365)))</f>
        <v xml:space="preserve"> </v>
      </c>
      <c r="Z378" s="142" t="str">
        <f ca="1">IF(S378=" "," ",X378/(1+'депозитный калькулятор'!$K$8)^(T378/IF('депозитный калькулятор'!$G$7="30/360",360,365)))</f>
        <v xml:space="preserve"> </v>
      </c>
      <c r="AA378" s="151"/>
      <c r="AB378" s="151"/>
      <c r="AC378" s="155"/>
      <c r="AD378" s="155"/>
    </row>
    <row r="379" spans="1:30" s="2" customFormat="1" ht="15.5" x14ac:dyDescent="0.35">
      <c r="A379" s="41" t="str">
        <f>IF(F379=" "," ",IF(OR('депозитный калькулятор'!$G$7="30/365",'депозитный калькулятор'!$G$7="30/360"),IF(AND(MONTH(F379)=2,DAY(F379)=DAY(EOMONTH(F379,0))),30-DAY(EOMONTH(F379,0)),IF(DAY(F379)=31,1," "))," "))</f>
        <v xml:space="preserve"> </v>
      </c>
      <c r="B379" s="130" t="str">
        <f t="shared" si="26"/>
        <v xml:space="preserve"> </v>
      </c>
      <c r="C379" s="130" t="str">
        <f>IF(OR(B379=0,B379=" ")," ",SUM($B$23:B379))</f>
        <v xml:space="preserve"> </v>
      </c>
      <c r="D379" s="62" t="str">
        <f>IF(D378=" "," ",IF(OR(F378='депозитный калькулятор'!$D$8,F378=" ")," ",D378+1))</f>
        <v xml:space="preserve"> </v>
      </c>
      <c r="E379" s="130" t="str">
        <f>IF(OR(F378='депозитный калькулятор'!$D$8,F378=" ")," ",IF(EOMONTH(F378,0)=F378,1,E378+1))</f>
        <v xml:space="preserve"> </v>
      </c>
      <c r="F379" s="64" t="str">
        <f>IF(F378=" "," ",IF(F378='депозитный калькулятор'!$D$8," ",F378+1))</f>
        <v xml:space="preserve"> </v>
      </c>
      <c r="G379" s="145" t="str">
        <f xml:space="preserve"> IF(F379&gt;'депозитный калькулятор'!$D$8," ",IF('депозитный калькулятор'!$G$13="есть",IF('депозитный калькулятор'!$G$14="есть",G378+IF(I378=" ",0,I378)-J379-K379+L379+M379-N379,G378+IF(I378=" ",0,I378)-J379-K379+M379-N379),IF('депозитный калькулятор'!$G$14="есть",G378-J379-K379+L379+M379-N379,G378-J379-K379+M379-N379)))</f>
        <v xml:space="preserve"> </v>
      </c>
      <c r="H379" s="133" t="str">
        <f>IF(F379&gt;'депозитный калькулятор'!$D$8," ",IF(AND(OR('депозитный калькулятор'!$G$7="30/365",'депозитный калькулятор'!$G$7="30/360"),AND(MONTH(F379)=2,EOMONTH(F379,0)=F379)),IF(DAY(F379)=28,3*G379*'депозитный калькулятор'!$G$8,2*G379*'депозитный калькулятор'!$G$8),IF(AND(OR('депозитный калькулятор'!$G$7="30/365",'депозитный калькулятор'!$G$7="30/360"),DAY(F379)=31)," ",IF(AND('депозитный калькулятор'!$G$7="факт/факт",MOD(YEAR(F379),4)=0),G379*'депозитный калькулятор'!$D$11/366,G379*'депозитный калькулятор'!$G$8))))</f>
        <v xml:space="preserve"> </v>
      </c>
      <c r="I379" s="134" t="str">
        <f ca="1">IF(F379=" "," ",IF('депозитный калькулятор'!$G$10="ежедневное",H379,IF(AND('депозитный калькулятор'!$G$10="еженедельное",WEEKDAY(F379,2)=7),SUM(OFFSET(H379,-6,0):H379),IF(AND('депозитный калькулятор'!$G$10="еженедельное",F379='депозитный калькулятор'!$D$8),SUM($H$23:H379)-SUM($I$23:I378),IF(AND('депозитный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недели",WEEKDAY(F379,2)=7),MIN(OFFSET(H379,-6,0):H379)*(COUNTIF(OFFSET(H379,-6,0):H379,"&gt;0")+SUMIF(OFFSET(A379,-WEEKDAY(F379,2),0):A379,"=2",OFFSET(A379,-WEEKDAY(F379,2),0):A379)),IF(AND('депозитный калькулятор'!$G$10="еженедельное, на минимальную сумму зафиксированную в течение недели",F379='депозитный калькулятор'!$D$8,WEEKDAY(F379,2)&lt;&gt;7),MIN(OFFSET(H379,-WEEKDAY(F379,2),0):H379)*(COUNTIF(OFFSET(H379,-WEEKDAY(F379,2)+1,0):H379,"&gt;0")+SUM(OFFSET(A379,-WEEKDAY(F379,2),0):A379)),IF(AND('депозитный калькулятор'!$G$10="ежемесячное (в конце месяца)",F379='депозитный калькулятор'!$D$8,EOMONTH(F379,0)&lt;&gt;F379),IF('депозитный калькулятор'!$F$1=1,$H$24,SUM($H$23:H379)-SUM($I$23:I378)),IF(AND('депозитный калькулятор'!$G$10="ежемесячное (в конце месяца)",EOMONTH(F379,0)=F379),SUM($H$23:H379)-SUM($I$23:I378),IF(AND('депозитный калькулятор'!$G$10="ежемесячное (по дням открытия вклада)",F379='депозитный калькулятор'!$D$8,DAY('депозитный калькулятор'!$D$7)&lt;&gt;DAY(F379)),IF('депозитный калькулятор'!$F$1=1,$H$24,SUM($H$23:H379)-SUM($I$23:I378)),IF(AND('депозитный калькулятор'!$G$10="ежемесячное (по дням открытия вклада)",DAY('депозитный калькулятор'!$D$7)=DAY(F379)),SUM($H$23:H379)-SUM($I$23:I378),IF(AND('депозитный калькулятор'!$G$10="ежемесячное, на минимальную сумму зафиксированную в течение месяца",F379='депозитный калькулятор'!$D$8,EOMONTH(F379,0)&lt;&gt;F379),IF('депозитный калькулятор'!$F$1=1,$H$24,IF(AND(OR('депозитный калькулятор'!$G$7="30/365",'депозитный калькулятор'!$G$7="30/360"),DAY(F379)=31),0,MIN(OFFSET(H379,-E379+1,0):H379)*(E379+SUMIF(OFFSET(A379,-E379+1,0):A379,"=2",OFFSET(A379,-E379+1,0):A379)))),IF(AND('депозитный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калькулятор'!$G$7="30/360"),DAY(EOMONTH(F379,0))=31),EOMONTH(F379,0)-1=F379,EOMONTH(F379,0)=F379)),IF(IF(AND(OR('депозитный калькулятор'!$G$7="30/365",'депозитный калькулятор'!$G$7="30/360"),DAY(EOMONTH($F$23,0))=31),F379=EOMONTH($F$23,0)-1,F379=EOMONTH($F$23,0)),MIN(OFFSET(H379,-(DAY(F379)-DAY($F$23)),0):H379)*E379,MIN(OFFSET(H379,-(DAY(F379)-1),0):H379)*IF(AND(OR('депозитный калькулятор'!$G$7="30/365",'депозитный калькулятор'!$G$7="30/360"),DAY(F379)&lt;30),30,DAY(F379))),IF(AND('депозитный калькулятор'!$G$10="ежемесячное, на средний остаток в течение месяца, при условии что остаток больше чем ограничение",F379='депозитный калькулятор'!$D$8,EOMONTH(F379,0)&lt;&gt;F379),IF('депозитный калькулятор'!$F$1=1,$H$24,SUM(OFFSET(Q379,-E379+1,0):Q379)),IF(AND('депозитный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калькулятор'!$G$7="30/360"),DAY(EOMONTH(F379,0))=31),EOMONTH(F379,0)-1=F379,EOMONTH(F379,0)=F379)),IF(IF(AND(OR('депозитный калькулятор'!$G$7="30/365",'депозитный калькулятор'!$G$7="30/360"),DAY(EOMONTH($F$24,0))=31),F379=EOMONTH($F$24,0)-1,F379=EOMONTH($F$24,0)),SUM(OFFSET(Q379,-E379+1,0):Q379),SUM(OFFSET(Q379,-E379+1,0):Q379)),IF('депозитный калькулятор'!$G$10="ежеквартальное",IF(F379&gt;'депозитный калькулятор'!$D$8," ",IF(AND(EOMONTH(F379,0)=F379,OR(MONTH(F379)=3,MONTH(F379)=6,MONTH(F379)=9,MONTH(F379)=12)),IF(EDATE(F379,-3)&lt;'депозитный калькулятор'!$D$7,SUM($H$23:H379),IF(MOD(YEAR(F379),4)=0,IF(AND(EOMONTH(F379,0)=F379,OR(MONTH(F379)=3,MONTH(F379)=6)),SUM(OFFSET(H379,-90,0):H379),IF(AND(EOMONTH(F379,0)=F379,OR(MONTH(F379)=9,MONTH(F379)=12)),SUM(OFFSET(H379,-91,0):H379))),IF(AND(EOMONTH(F379,0)=F379,MONTH(F379)=3),SUM(OFFSET(H379,-89,0):H379),IF(AND(EOMONTH(F379,0)=F379,MONTH(F379)=6),SUM(OFFSET(H379,-90,0):H379),IF(AND(EOMONTH(F379,0)=F379,OR(MONTH(F379)=9,MONTH(F379)=12)),SUM(OFFSET(H379,-91,0):H379)))))),IF(F379='депозитный калькулятор'!$D$8,SUM($H$23:H379)-SUM($I$23:I378),0))),IF('депозитный калькулятор'!$G$10="ежегодное",IF(F379&gt;'депозитный калькулятор'!$D$8," ",IF(F379='депозитный калькулятор'!$D$8,SUM($H$23:H379)-SUM($I$23:I378),IF(AND(EOMONTH(F379,0)=F379,MONTH(F379)=12),IF(MOD(YEAR(F378),4)=0,IF(F379-'депозитный калькулятор'!$D$7&lt;366,SUM($H$23:H379),SUM(OFFSET(H379,-365,0):H379)),IF(F379-'депозитный калькулятор'!$D$7&lt;365,SUM($H$23:H379),SUM(OFFSET(H379,-364,0):H379))),0))),IF(AND('депозитный калькулятор'!$G$10="в конце срока",'депозитный калькулятор'!$D$8=F379),SUM($H$23:H379),0))))))))))))))))))</f>
        <v xml:space="preserve"> </v>
      </c>
      <c r="J379" s="59" t="str">
        <f>IF(F379&gt;'депозитный калькулятор'!$D$8," ",IF('депозитный калькулятор'!$G$16="нет",0,IF(AND('депозитный калькулятор'!$G$17="разовая (в конце срока)",F379='депозитный калькулятор'!$D$8),'депозитный калькулятор'!$G$18,IF(AND('депозитный калькулятор'!$G$17="ежемесячная",EOMONTH(F378,0)=F378),'депозитный калькулятор'!$G$18,IF(AND('депозитный калькулятор'!$G$17="ежегодная",DAY(F378)=31,MONTH(F378)=12),'депозитный калькулятор'!$G$18,IF(AND('депозитный калькулятор'!$G$17="ежемесячная в зависимости от остатка",EOMONTH(F378,0)=F378,P378&gt;0),'депозитный калькулятор'!$G$18,IF(AND('депозитный калькулятор'!$G$17="ежегодная в зависимости от остатка",DAY(F378)=31,MONTH(F378)=12,P378&gt;0),'депозитный калькулятор'!$G$18,0)))))))</f>
        <v xml:space="preserve"> </v>
      </c>
      <c r="K379" s="135" t="str">
        <f>IF($F379=" "," ",IFERROR(VLOOKUP($F379,'депозитный калькулятор'!$B$26:$F$70,2,0),0))</f>
        <v xml:space="preserve"> </v>
      </c>
      <c r="L379" s="135" t="str">
        <f>IF($F379=" "," ",IFERROR(VLOOKUP($F379,'депозитный калькулятор'!$B$26:$F$70,3,0),0))</f>
        <v xml:space="preserve"> </v>
      </c>
      <c r="M379" s="135" t="str">
        <f>IF($F379=" "," ",IFERROR(VLOOKUP($F379,'депозитный калькулятор'!$B$26:$F$70,4,0),0))</f>
        <v xml:space="preserve"> </v>
      </c>
      <c r="N379" s="135" t="str">
        <f>IF($F379=" "," ",IFERROR(VLOOKUP($F379,'депозитный калькулятор'!$B$26:$F$70,5,0),0))</f>
        <v xml:space="preserve"> </v>
      </c>
      <c r="O379" s="146" t="str">
        <f>IF(F379&gt;'депозитный калькулятор'!$D$8," ",IF(F379='депозитный калькулятор'!$D$8,IF(AND($F$24='депозитный калькулятор'!$D$8,'депозитный калькулятор'!$G$13="нет"),-G379-IF(I379=" ",0,I379)-IF(AND(OR('депозитный калькулятор'!$G$7="30/365",'депозитный калькулятор'!$G$7="30/360"),'депозитный калькулятор'!$G$10="в начале срока"),I378,0)-L379+M379-N379,-G379-IF(I379=" ",0,I379)-L379+M379-N379),IF('депозитный калькулятор'!$G$13="есть",M379-N379+IF('депозитный калькулятор'!$G$14="есть",0,-L379),-IF(I379=" ",0,I379)-IF(AND(OR('депозитный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срока"),I378,0)+M379-N379+IF('депозитный калькулятор'!$G$14="есть",0,-L379))))</f>
        <v xml:space="preserve"> </v>
      </c>
      <c r="P379" s="147" t="str">
        <f>IF(F379&gt;'депозитный калькулятор'!$D$8," ",IF(EOMONTH(F378,0)=F378,0,IF(G379&gt;='депозитный калькулятор'!$G$19,P378,P378+1)))</f>
        <v xml:space="preserve"> </v>
      </c>
      <c r="Q379" s="138" t="str">
        <f>IF(F379=" "," ",IF(AND(OR('депозитный калькулятор'!$G$7="30/365",'депозитный калькулятор'!$G$7="30/360"),AND(MONTH(F379)=2,EOMONTH(F379,0)=F379)),IF(DAY(F379)=28,3,2),1)*IF(G379&gt;='депозитный калькулятор'!$G$11,IF(AND('депозитный калькулятор'!$G$7="факт/факт",MOD(YEAR(F379),4)=0),G379*'депозитный калькулятор'!$D$11/366,G379*'депозитный калькулятор'!$G$8),0))</f>
        <v xml:space="preserve"> </v>
      </c>
      <c r="R379" s="148"/>
      <c r="S379" s="62" t="str">
        <f t="shared" ca="1" si="27"/>
        <v xml:space="preserve"> </v>
      </c>
      <c r="T379" s="149" t="str">
        <f ca="1">IF(S379=" "," ",IF('депозитный калькулятор'!$G$7="30/360",DAYS360(U378,IF(DAY(U379)=31,U379-1,U379))+IF(AND(MONTH(U379)=2,U379=EOMONTH(U379,0)),30-DAY(EOMONTH(U379,0)))+T378,VLOOKUP(S379,$C$22:$F$1023,2,0)))</f>
        <v xml:space="preserve"> </v>
      </c>
      <c r="U379" s="64" t="str">
        <f t="shared" ca="1" si="25"/>
        <v xml:space="preserve"> </v>
      </c>
      <c r="V379" s="150" t="str">
        <f t="shared" ca="1" si="28"/>
        <v xml:space="preserve"> </v>
      </c>
      <c r="W379" s="62" t="str">
        <f t="shared" ca="1" si="29"/>
        <v xml:space="preserve"> </v>
      </c>
      <c r="X379" s="141" t="str">
        <f ca="1">IF(S379=" "," ",IFERROR(VLOOKUP(U379,$F$23:$N$1023,7)+VLOOKUP(U379,$F$23:$N$1023,9)+IF(AND('депозитный калькулятор'!$G$13="нет",U379&lt;&gt;'депозитный калькулятор'!$D$8),VLOOKUP(U379,$F$23:$N$1023,4),0),0)+IF(U379='депозитный калькулятор'!$D$8,VLOOKUP(U379,$F$23:$N$1023,2)+VLOOKUP(U379,$F$23:$N$1023,4),0))</f>
        <v xml:space="preserve"> </v>
      </c>
      <c r="Y379" s="142" t="str">
        <f ca="1">IF(S379=" "," ",W379/(1+'депозитный калькулятор'!$K$8)^(T379/IF('депозитный калькулятор'!$G$7="30/360",360,365)))</f>
        <v xml:space="preserve"> </v>
      </c>
      <c r="Z379" s="142" t="str">
        <f ca="1">IF(S379=" "," ",X379/(1+'депозитный калькулятор'!$K$8)^(T379/IF('депозитный калькулятор'!$G$7="30/360",360,365)))</f>
        <v xml:space="preserve"> </v>
      </c>
      <c r="AA379" s="151"/>
      <c r="AB379" s="151"/>
      <c r="AC379" s="155"/>
      <c r="AD379" s="155"/>
    </row>
    <row r="380" spans="1:30" s="2" customFormat="1" ht="15.5" x14ac:dyDescent="0.35">
      <c r="A380" s="41" t="str">
        <f>IF(F380=" "," ",IF(OR('депозитный калькулятор'!$G$7="30/365",'депозитный калькулятор'!$G$7="30/360"),IF(AND(MONTH(F380)=2,DAY(F380)=DAY(EOMONTH(F380,0))),30-DAY(EOMONTH(F380,0)),IF(DAY(F380)=31,1," "))," "))</f>
        <v xml:space="preserve"> </v>
      </c>
      <c r="B380" s="130" t="str">
        <f t="shared" si="26"/>
        <v xml:space="preserve"> </v>
      </c>
      <c r="C380" s="130" t="str">
        <f>IF(OR(B380=0,B380=" ")," ",SUM($B$23:B380))</f>
        <v xml:space="preserve"> </v>
      </c>
      <c r="D380" s="62" t="str">
        <f>IF(D379=" "," ",IF(OR(F379='депозитный калькулятор'!$D$8,F379=" ")," ",D379+1))</f>
        <v xml:space="preserve"> </v>
      </c>
      <c r="E380" s="130" t="str">
        <f>IF(OR(F379='депозитный калькулятор'!$D$8,F379=" ")," ",IF(EOMONTH(F379,0)=F379,1,E379+1))</f>
        <v xml:space="preserve"> </v>
      </c>
      <c r="F380" s="64" t="str">
        <f>IF(F379=" "," ",IF(F379='депозитный калькулятор'!$D$8," ",F379+1))</f>
        <v xml:space="preserve"> </v>
      </c>
      <c r="G380" s="145" t="str">
        <f xml:space="preserve"> IF(F380&gt;'депозитный калькулятор'!$D$8," ",IF('депозитный калькулятор'!$G$13="есть",IF('депозитный калькулятор'!$G$14="есть",G379+IF(I379=" ",0,I379)-J380-K380+L380+M380-N380,G379+IF(I379=" ",0,I379)-J380-K380+M380-N380),IF('депозитный калькулятор'!$G$14="есть",G379-J380-K380+L380+M380-N380,G379-J380-K380+M380-N380)))</f>
        <v xml:space="preserve"> </v>
      </c>
      <c r="H380" s="133" t="str">
        <f>IF(F380&gt;'депозитный калькулятор'!$D$8," ",IF(AND(OR('депозитный калькулятор'!$G$7="30/365",'депозитный калькулятор'!$G$7="30/360"),AND(MONTH(F380)=2,EOMONTH(F380,0)=F380)),IF(DAY(F380)=28,3*G380*'депозитный калькулятор'!$G$8,2*G380*'депозитный калькулятор'!$G$8),IF(AND(OR('депозитный калькулятор'!$G$7="30/365",'депозитный калькулятор'!$G$7="30/360"),DAY(F380)=31)," ",IF(AND('депозитный калькулятор'!$G$7="факт/факт",MOD(YEAR(F380),4)=0),G380*'депозитный калькулятор'!$D$11/366,G380*'депозитный калькулятор'!$G$8))))</f>
        <v xml:space="preserve"> </v>
      </c>
      <c r="I380" s="134" t="str">
        <f ca="1">IF(F380=" "," ",IF('депозитный калькулятор'!$G$10="ежедневное",H380,IF(AND('депозитный калькулятор'!$G$10="еженедельное",WEEKDAY(F380,2)=7),SUM(OFFSET(H380,-6,0):H380),IF(AND('депозитный калькулятор'!$G$10="еженедельное",F380='депозитный калькулятор'!$D$8),SUM($H$23:H380)-SUM($I$23:I379),IF(AND('депозитный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недели",WEEKDAY(F380,2)=7),MIN(OFFSET(H380,-6,0):H380)*(COUNTIF(OFFSET(H380,-6,0):H380,"&gt;0")+SUMIF(OFFSET(A380,-WEEKDAY(F380,2),0):A380,"=2",OFFSET(A380,-WEEKDAY(F380,2),0):A380)),IF(AND('депозитный калькулятор'!$G$10="еженедельное, на минимальную сумму зафиксированную в течение недели",F380='депозитный калькулятор'!$D$8,WEEKDAY(F380,2)&lt;&gt;7),MIN(OFFSET(H380,-WEEKDAY(F380,2),0):H380)*(COUNTIF(OFFSET(H380,-WEEKDAY(F380,2)+1,0):H380,"&gt;0")+SUM(OFFSET(A380,-WEEKDAY(F380,2),0):A380)),IF(AND('депозитный калькулятор'!$G$10="ежемесячное (в конце месяца)",F380='депозитный калькулятор'!$D$8,EOMONTH(F380,0)&lt;&gt;F380),IF('депозитный калькулятор'!$F$1=1,$H$24,SUM($H$23:H380)-SUM($I$23:I379)),IF(AND('депозитный калькулятор'!$G$10="ежемесячное (в конце месяца)",EOMONTH(F380,0)=F380),SUM($H$23:H380)-SUM($I$23:I379),IF(AND('депозитный калькулятор'!$G$10="ежемесячное (по дням открытия вклада)",F380='депозитный калькулятор'!$D$8,DAY('депозитный калькулятор'!$D$7)&lt;&gt;DAY(F380)),IF('депозитный калькулятор'!$F$1=1,$H$24,SUM($H$23:H380)-SUM($I$23:I379)),IF(AND('депозитный калькулятор'!$G$10="ежемесячное (по дням открытия вклада)",DAY('депозитный калькулятор'!$D$7)=DAY(F380)),SUM($H$23:H380)-SUM($I$23:I379),IF(AND('депозитный калькулятор'!$G$10="ежемесячное, на минимальную сумму зафиксированную в течение месяца",F380='депозитный калькулятор'!$D$8,EOMONTH(F380,0)&lt;&gt;F380),IF('депозитный калькулятор'!$F$1=1,$H$24,IF(AND(OR('депозитный калькулятор'!$G$7="30/365",'депозитный калькулятор'!$G$7="30/360"),DAY(F380)=31),0,MIN(OFFSET(H380,-E380+1,0):H380)*(E380+SUMIF(OFFSET(A380,-E380+1,0):A380,"=2",OFFSET(A380,-E380+1,0):A380)))),IF(AND('депозитный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калькулятор'!$G$7="30/360"),DAY(EOMONTH(F380,0))=31),EOMONTH(F380,0)-1=F380,EOMONTH(F380,0)=F380)),IF(IF(AND(OR('депозитный калькулятор'!$G$7="30/365",'депозитный калькулятор'!$G$7="30/360"),DAY(EOMONTH($F$23,0))=31),F380=EOMONTH($F$23,0)-1,F380=EOMONTH($F$23,0)),MIN(OFFSET(H380,-(DAY(F380)-DAY($F$23)),0):H380)*E380,MIN(OFFSET(H380,-(DAY(F380)-1),0):H380)*IF(AND(OR('депозитный калькулятор'!$G$7="30/365",'депозитный калькулятор'!$G$7="30/360"),DAY(F380)&lt;30),30,DAY(F380))),IF(AND('депозитный калькулятор'!$G$10="ежемесячное, на средний остаток в течение месяца, при условии что остаток больше чем ограничение",F380='депозитный калькулятор'!$D$8,EOMONTH(F380,0)&lt;&gt;F380),IF('депозитный калькулятор'!$F$1=1,$H$24,SUM(OFFSET(Q380,-E380+1,0):Q380)),IF(AND('депозитный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калькулятор'!$G$7="30/360"),DAY(EOMONTH(F380,0))=31),EOMONTH(F380,0)-1=F380,EOMONTH(F380,0)=F380)),IF(IF(AND(OR('депозитный калькулятор'!$G$7="30/365",'депозитный калькулятор'!$G$7="30/360"),DAY(EOMONTH($F$24,0))=31),F380=EOMONTH($F$24,0)-1,F380=EOMONTH($F$24,0)),SUM(OFFSET(Q380,-E380+1,0):Q380),SUM(OFFSET(Q380,-E380+1,0):Q380)),IF('депозитный калькулятор'!$G$10="ежеквартальное",IF(F380&gt;'депозитный калькулятор'!$D$8," ",IF(AND(EOMONTH(F380,0)=F380,OR(MONTH(F380)=3,MONTH(F380)=6,MONTH(F380)=9,MONTH(F380)=12)),IF(EDATE(F380,-3)&lt;'депозитный калькулятор'!$D$7,SUM($H$23:H380),IF(MOD(YEAR(F380),4)=0,IF(AND(EOMONTH(F380,0)=F380,OR(MONTH(F380)=3,MONTH(F380)=6)),SUM(OFFSET(H380,-90,0):H380),IF(AND(EOMONTH(F380,0)=F380,OR(MONTH(F380)=9,MONTH(F380)=12)),SUM(OFFSET(H380,-91,0):H380))),IF(AND(EOMONTH(F380,0)=F380,MONTH(F380)=3),SUM(OFFSET(H380,-89,0):H380),IF(AND(EOMONTH(F380,0)=F380,MONTH(F380)=6),SUM(OFFSET(H380,-90,0):H380),IF(AND(EOMONTH(F380,0)=F380,OR(MONTH(F380)=9,MONTH(F380)=12)),SUM(OFFSET(H380,-91,0):H380)))))),IF(F380='депозитный калькулятор'!$D$8,SUM($H$23:H380)-SUM($I$23:I379),0))),IF('депозитный калькулятор'!$G$10="ежегодное",IF(F380&gt;'депозитный калькулятор'!$D$8," ",IF(F380='депозитный калькулятор'!$D$8,SUM($H$23:H380)-SUM($I$23:I379),IF(AND(EOMONTH(F380,0)=F380,MONTH(F380)=12),IF(MOD(YEAR(F379),4)=0,IF(F380-'депозитный калькулятор'!$D$7&lt;366,SUM($H$23:H380),SUM(OFFSET(H380,-365,0):H380)),IF(F380-'депозитный калькулятор'!$D$7&lt;365,SUM($H$23:H380),SUM(OFFSET(H380,-364,0):H380))),0))),IF(AND('депозитный калькулятор'!$G$10="в конце срока",'депозитный калькулятор'!$D$8=F380),SUM($H$23:H380),0))))))))))))))))))</f>
        <v xml:space="preserve"> </v>
      </c>
      <c r="J380" s="59" t="str">
        <f>IF(F380&gt;'депозитный калькулятор'!$D$8," ",IF('депозитный калькулятор'!$G$16="нет",0,IF(AND('депозитный калькулятор'!$G$17="разовая (в конце срока)",F380='депозитный калькулятор'!$D$8),'депозитный калькулятор'!$G$18,IF(AND('депозитный калькулятор'!$G$17="ежемесячная",EOMONTH(F379,0)=F379),'депозитный калькулятор'!$G$18,IF(AND('депозитный калькулятор'!$G$17="ежегодная",DAY(F379)=31,MONTH(F379)=12),'депозитный калькулятор'!$G$18,IF(AND('депозитный калькулятор'!$G$17="ежемесячная в зависимости от остатка",EOMONTH(F379,0)=F379,P379&gt;0),'депозитный калькулятор'!$G$18,IF(AND('депозитный калькулятор'!$G$17="ежегодная в зависимости от остатка",DAY(F379)=31,MONTH(F379)=12,P379&gt;0),'депозитный калькулятор'!$G$18,0)))))))</f>
        <v xml:space="preserve"> </v>
      </c>
      <c r="K380" s="135" t="str">
        <f>IF($F380=" "," ",IFERROR(VLOOKUP($F380,'депозитный калькулятор'!$B$26:$F$70,2,0),0))</f>
        <v xml:space="preserve"> </v>
      </c>
      <c r="L380" s="135" t="str">
        <f>IF($F380=" "," ",IFERROR(VLOOKUP($F380,'депозитный калькулятор'!$B$26:$F$70,3,0),0))</f>
        <v xml:space="preserve"> </v>
      </c>
      <c r="M380" s="135" t="str">
        <f>IF($F380=" "," ",IFERROR(VLOOKUP($F380,'депозитный калькулятор'!$B$26:$F$70,4,0),0))</f>
        <v xml:space="preserve"> </v>
      </c>
      <c r="N380" s="135" t="str">
        <f>IF($F380=" "," ",IFERROR(VLOOKUP($F380,'депозитный калькулятор'!$B$26:$F$70,5,0),0))</f>
        <v xml:space="preserve"> </v>
      </c>
      <c r="O380" s="146" t="str">
        <f>IF(F380&gt;'депозитный калькулятор'!$D$8," ",IF(F380='депозитный калькулятор'!$D$8,IF(AND($F$24='депозитный калькулятор'!$D$8,'депозитный калькулятор'!$G$13="нет"),-G380-IF(I380=" ",0,I380)-IF(AND(OR('депозитный калькулятор'!$G$7="30/365",'депозитный калькулятор'!$G$7="30/360"),'депозитный калькулятор'!$G$10="в начале срока"),I379,0)-L380+M380-N380,-G380-IF(I380=" ",0,I380)-L380+M380-N380),IF('депозитный калькулятор'!$G$13="есть",M380-N380+IF('депозитный калькулятор'!$G$14="есть",0,-L380),-IF(I380=" ",0,I380)-IF(AND(OR('депозитный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срока"),I379,0)+M380-N380+IF('депозитный калькулятор'!$G$14="есть",0,-L380))))</f>
        <v xml:space="preserve"> </v>
      </c>
      <c r="P380" s="147" t="str">
        <f>IF(F380&gt;'депозитный калькулятор'!$D$8," ",IF(EOMONTH(F379,0)=F379,0,IF(G380&gt;='депозитный калькулятор'!$G$19,P379,P379+1)))</f>
        <v xml:space="preserve"> </v>
      </c>
      <c r="Q380" s="138" t="str">
        <f>IF(F380=" "," ",IF(AND(OR('депозитный калькулятор'!$G$7="30/365",'депозитный калькулятор'!$G$7="30/360"),AND(MONTH(F380)=2,EOMONTH(F380,0)=F380)),IF(DAY(F380)=28,3,2),1)*IF(G380&gt;='депозитный калькулятор'!$G$11,IF(AND('депозитный калькулятор'!$G$7="факт/факт",MOD(YEAR(F380),4)=0),G380*'депозитный калькулятор'!$D$11/366,G380*'депозитный калькулятор'!$G$8),0))</f>
        <v xml:space="preserve"> </v>
      </c>
      <c r="R380" s="148"/>
      <c r="S380" s="62" t="str">
        <f t="shared" ca="1" si="27"/>
        <v xml:space="preserve"> </v>
      </c>
      <c r="T380" s="149" t="str">
        <f ca="1">IF(S380=" "," ",IF('депозитный калькулятор'!$G$7="30/360",DAYS360(U379,IF(DAY(U380)=31,U380-1,U380))+IF(AND(MONTH(U380)=2,U380=EOMONTH(U380,0)),30-DAY(EOMONTH(U380,0)))+T379,VLOOKUP(S380,$C$22:$F$1023,2,0)))</f>
        <v xml:space="preserve"> </v>
      </c>
      <c r="U380" s="64" t="str">
        <f t="shared" ca="1" si="25"/>
        <v xml:space="preserve"> </v>
      </c>
      <c r="V380" s="150" t="str">
        <f t="shared" ca="1" si="28"/>
        <v xml:space="preserve"> </v>
      </c>
      <c r="W380" s="62" t="str">
        <f t="shared" ca="1" si="29"/>
        <v xml:space="preserve"> </v>
      </c>
      <c r="X380" s="141" t="str">
        <f ca="1">IF(S380=" "," ",IFERROR(VLOOKUP(U380,$F$23:$N$1023,7)+VLOOKUP(U380,$F$23:$N$1023,9)+IF(AND('депозитный калькулятор'!$G$13="нет",U380&lt;&gt;'депозитный калькулятор'!$D$8),VLOOKUP(U380,$F$23:$N$1023,4),0),0)+IF(U380='депозитный калькулятор'!$D$8,VLOOKUP(U380,$F$23:$N$1023,2)+VLOOKUP(U380,$F$23:$N$1023,4),0))</f>
        <v xml:space="preserve"> </v>
      </c>
      <c r="Y380" s="142" t="str">
        <f ca="1">IF(S380=" "," ",W380/(1+'депозитный калькулятор'!$K$8)^(T380/IF('депозитный калькулятор'!$G$7="30/360",360,365)))</f>
        <v xml:space="preserve"> </v>
      </c>
      <c r="Z380" s="142" t="str">
        <f ca="1">IF(S380=" "," ",X380/(1+'депозитный калькулятор'!$K$8)^(T380/IF('депозитный калькулятор'!$G$7="30/360",360,365)))</f>
        <v xml:space="preserve"> </v>
      </c>
      <c r="AA380" s="151"/>
      <c r="AB380" s="151"/>
      <c r="AC380" s="155"/>
      <c r="AD380" s="155"/>
    </row>
    <row r="381" spans="1:30" s="2" customFormat="1" ht="15.5" x14ac:dyDescent="0.35">
      <c r="A381" s="41" t="str">
        <f>IF(F381=" "," ",IF(OR('депозитный калькулятор'!$G$7="30/365",'депозитный калькулятор'!$G$7="30/360"),IF(AND(MONTH(F381)=2,DAY(F381)=DAY(EOMONTH(F381,0))),30-DAY(EOMONTH(F381,0)),IF(DAY(F381)=31,1," "))," "))</f>
        <v xml:space="preserve"> </v>
      </c>
      <c r="B381" s="130" t="str">
        <f t="shared" si="26"/>
        <v xml:space="preserve"> </v>
      </c>
      <c r="C381" s="130" t="str">
        <f>IF(OR(B381=0,B381=" ")," ",SUM($B$23:B381))</f>
        <v xml:space="preserve"> </v>
      </c>
      <c r="D381" s="62" t="str">
        <f>IF(D380=" "," ",IF(OR(F380='депозитный калькулятор'!$D$8,F380=" ")," ",D380+1))</f>
        <v xml:space="preserve"> </v>
      </c>
      <c r="E381" s="130" t="str">
        <f>IF(OR(F380='депозитный калькулятор'!$D$8,F380=" ")," ",IF(EOMONTH(F380,0)=F380,1,E380+1))</f>
        <v xml:space="preserve"> </v>
      </c>
      <c r="F381" s="64" t="str">
        <f>IF(F380=" "," ",IF(F380='депозитный калькулятор'!$D$8," ",F380+1))</f>
        <v xml:space="preserve"> </v>
      </c>
      <c r="G381" s="145" t="str">
        <f xml:space="preserve"> IF(F381&gt;'депозитный калькулятор'!$D$8," ",IF('депозитный калькулятор'!$G$13="есть",IF('депозитный калькулятор'!$G$14="есть",G380+IF(I380=" ",0,I380)-J381-K381+L381+M381-N381,G380+IF(I380=" ",0,I380)-J381-K381+M381-N381),IF('депозитный калькулятор'!$G$14="есть",G380-J381-K381+L381+M381-N381,G380-J381-K381+M381-N381)))</f>
        <v xml:space="preserve"> </v>
      </c>
      <c r="H381" s="133" t="str">
        <f>IF(F381&gt;'депозитный калькулятор'!$D$8," ",IF(AND(OR('депозитный калькулятор'!$G$7="30/365",'депозитный калькулятор'!$G$7="30/360"),AND(MONTH(F381)=2,EOMONTH(F381,0)=F381)),IF(DAY(F381)=28,3*G381*'депозитный калькулятор'!$G$8,2*G381*'депозитный калькулятор'!$G$8),IF(AND(OR('депозитный калькулятор'!$G$7="30/365",'депозитный калькулятор'!$G$7="30/360"),DAY(F381)=31)," ",IF(AND('депозитный калькулятор'!$G$7="факт/факт",MOD(YEAR(F381),4)=0),G381*'депозитный калькулятор'!$D$11/366,G381*'депозитный калькулятор'!$G$8))))</f>
        <v xml:space="preserve"> </v>
      </c>
      <c r="I381" s="134" t="str">
        <f ca="1">IF(F381=" "," ",IF('депозитный калькулятор'!$G$10="ежедневное",H381,IF(AND('депозитный калькулятор'!$G$10="еженедельное",WEEKDAY(F381,2)=7),SUM(OFFSET(H381,-6,0):H381),IF(AND('депозитный калькулятор'!$G$10="еженедельное",F381='депозитный калькулятор'!$D$8),SUM($H$23:H381)-SUM($I$23:I380),IF(AND('депозитный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недели",WEEKDAY(F381,2)=7),MIN(OFFSET(H381,-6,0):H381)*(COUNTIF(OFFSET(H381,-6,0):H381,"&gt;0")+SUMIF(OFFSET(A381,-WEEKDAY(F381,2),0):A381,"=2",OFFSET(A381,-WEEKDAY(F381,2),0):A381)),IF(AND('депозитный калькулятор'!$G$10="еженедельное, на минимальную сумму зафиксированную в течение недели",F381='депозитный калькулятор'!$D$8,WEEKDAY(F381,2)&lt;&gt;7),MIN(OFFSET(H381,-WEEKDAY(F381,2),0):H381)*(COUNTIF(OFFSET(H381,-WEEKDAY(F381,2)+1,0):H381,"&gt;0")+SUM(OFFSET(A381,-WEEKDAY(F381,2),0):A381)),IF(AND('депозитный калькулятор'!$G$10="ежемесячное (в конце месяца)",F381='депозитный калькулятор'!$D$8,EOMONTH(F381,0)&lt;&gt;F381),IF('депозитный калькулятор'!$F$1=1,$H$24,SUM($H$23:H381)-SUM($I$23:I380)),IF(AND('депозитный калькулятор'!$G$10="ежемесячное (в конце месяца)",EOMONTH(F381,0)=F381),SUM($H$23:H381)-SUM($I$23:I380),IF(AND('депозитный калькулятор'!$G$10="ежемесячное (по дням открытия вклада)",F381='депозитный калькулятор'!$D$8,DAY('депозитный калькулятор'!$D$7)&lt;&gt;DAY(F381)),IF('депозитный калькулятор'!$F$1=1,$H$24,SUM($H$23:H381)-SUM($I$23:I380)),IF(AND('депозитный калькулятор'!$G$10="ежемесячное (по дням открытия вклада)",DAY('депозитный калькулятор'!$D$7)=DAY(F381)),SUM($H$23:H381)-SUM($I$23:I380),IF(AND('депозитный калькулятор'!$G$10="ежемесячное, на минимальную сумму зафиксированную в течение месяца",F381='депозитный калькулятор'!$D$8,EOMONTH(F381,0)&lt;&gt;F381),IF('депозитный калькулятор'!$F$1=1,$H$24,IF(AND(OR('депозитный калькулятор'!$G$7="30/365",'депозитный калькулятор'!$G$7="30/360"),DAY(F381)=31),0,MIN(OFFSET(H381,-E381+1,0):H381)*(E381+SUMIF(OFFSET(A381,-E381+1,0):A381,"=2",OFFSET(A381,-E381+1,0):A381)))),IF(AND('депозитный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калькулятор'!$G$7="30/360"),DAY(EOMONTH(F381,0))=31),EOMONTH(F381,0)-1=F381,EOMONTH(F381,0)=F381)),IF(IF(AND(OR('депозитный калькулятор'!$G$7="30/365",'депозитный калькулятор'!$G$7="30/360"),DAY(EOMONTH($F$23,0))=31),F381=EOMONTH($F$23,0)-1,F381=EOMONTH($F$23,0)),MIN(OFFSET(H381,-(DAY(F381)-DAY($F$23)),0):H381)*E381,MIN(OFFSET(H381,-(DAY(F381)-1),0):H381)*IF(AND(OR('депозитный калькулятор'!$G$7="30/365",'депозитный калькулятор'!$G$7="30/360"),DAY(F381)&lt;30),30,DAY(F381))),IF(AND('депозитный калькулятор'!$G$10="ежемесячное, на средний остаток в течение месяца, при условии что остаток больше чем ограничение",F381='депозитный калькулятор'!$D$8,EOMONTH(F381,0)&lt;&gt;F381),IF('депозитный калькулятор'!$F$1=1,$H$24,SUM(OFFSET(Q381,-E381+1,0):Q381)),IF(AND('депозитный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калькулятор'!$G$7="30/360"),DAY(EOMONTH(F381,0))=31),EOMONTH(F381,0)-1=F381,EOMONTH(F381,0)=F381)),IF(IF(AND(OR('депозитный калькулятор'!$G$7="30/365",'депозитный калькулятор'!$G$7="30/360"),DAY(EOMONTH($F$24,0))=31),F381=EOMONTH($F$24,0)-1,F381=EOMONTH($F$24,0)),SUM(OFFSET(Q381,-E381+1,0):Q381),SUM(OFFSET(Q381,-E381+1,0):Q381)),IF('депозитный калькулятор'!$G$10="ежеквартальное",IF(F381&gt;'депозитный калькулятор'!$D$8," ",IF(AND(EOMONTH(F381,0)=F381,OR(MONTH(F381)=3,MONTH(F381)=6,MONTH(F381)=9,MONTH(F381)=12)),IF(EDATE(F381,-3)&lt;'депозитный калькулятор'!$D$7,SUM($H$23:H381),IF(MOD(YEAR(F381),4)=0,IF(AND(EOMONTH(F381,0)=F381,OR(MONTH(F381)=3,MONTH(F381)=6)),SUM(OFFSET(H381,-90,0):H381),IF(AND(EOMONTH(F381,0)=F381,OR(MONTH(F381)=9,MONTH(F381)=12)),SUM(OFFSET(H381,-91,0):H381))),IF(AND(EOMONTH(F381,0)=F381,MONTH(F381)=3),SUM(OFFSET(H381,-89,0):H381),IF(AND(EOMONTH(F381,0)=F381,MONTH(F381)=6),SUM(OFFSET(H381,-90,0):H381),IF(AND(EOMONTH(F381,0)=F381,OR(MONTH(F381)=9,MONTH(F381)=12)),SUM(OFFSET(H381,-91,0):H381)))))),IF(F381='депозитный калькулятор'!$D$8,SUM($H$23:H381)-SUM($I$23:I380),0))),IF('депозитный калькулятор'!$G$10="ежегодное",IF(F381&gt;'депозитный калькулятор'!$D$8," ",IF(F381='депозитный калькулятор'!$D$8,SUM($H$23:H381)-SUM($I$23:I380),IF(AND(EOMONTH(F381,0)=F381,MONTH(F381)=12),IF(MOD(YEAR(F380),4)=0,IF(F381-'депозитный калькулятор'!$D$7&lt;366,SUM($H$23:H381),SUM(OFFSET(H381,-365,0):H381)),IF(F381-'депозитный калькулятор'!$D$7&lt;365,SUM($H$23:H381),SUM(OFFSET(H381,-364,0):H381))),0))),IF(AND('депозитный калькулятор'!$G$10="в конце срока",'депозитный калькулятор'!$D$8=F381),SUM($H$23:H381),0))))))))))))))))))</f>
        <v xml:space="preserve"> </v>
      </c>
      <c r="J381" s="59" t="str">
        <f>IF(F381&gt;'депозитный калькулятор'!$D$8," ",IF('депозитный калькулятор'!$G$16="нет",0,IF(AND('депозитный калькулятор'!$G$17="разовая (в конце срока)",F381='депозитный калькулятор'!$D$8),'депозитный калькулятор'!$G$18,IF(AND('депозитный калькулятор'!$G$17="ежемесячная",EOMONTH(F380,0)=F380),'депозитный калькулятор'!$G$18,IF(AND('депозитный калькулятор'!$G$17="ежегодная",DAY(F380)=31,MONTH(F380)=12),'депозитный калькулятор'!$G$18,IF(AND('депозитный калькулятор'!$G$17="ежемесячная в зависимости от остатка",EOMONTH(F380,0)=F380,P380&gt;0),'депозитный калькулятор'!$G$18,IF(AND('депозитный калькулятор'!$G$17="ежегодная в зависимости от остатка",DAY(F380)=31,MONTH(F380)=12,P380&gt;0),'депозитный калькулятор'!$G$18,0)))))))</f>
        <v xml:space="preserve"> </v>
      </c>
      <c r="K381" s="135" t="str">
        <f>IF($F381=" "," ",IFERROR(VLOOKUP($F381,'депозитный калькулятор'!$B$26:$F$70,2,0),0))</f>
        <v xml:space="preserve"> </v>
      </c>
      <c r="L381" s="135" t="str">
        <f>IF($F381=" "," ",IFERROR(VLOOKUP($F381,'депозитный калькулятор'!$B$26:$F$70,3,0),0))</f>
        <v xml:space="preserve"> </v>
      </c>
      <c r="M381" s="135" t="str">
        <f>IF($F381=" "," ",IFERROR(VLOOKUP($F381,'депозитный калькулятор'!$B$26:$F$70,4,0),0))</f>
        <v xml:space="preserve"> </v>
      </c>
      <c r="N381" s="135" t="str">
        <f>IF($F381=" "," ",IFERROR(VLOOKUP($F381,'депозитный калькулятор'!$B$26:$F$70,5,0),0))</f>
        <v xml:space="preserve"> </v>
      </c>
      <c r="O381" s="146" t="str">
        <f>IF(F381&gt;'депозитный калькулятор'!$D$8," ",IF(F381='депозитный калькулятор'!$D$8,IF(AND($F$24='депозитный калькулятор'!$D$8,'депозитный калькулятор'!$G$13="нет"),-G381-IF(I381=" ",0,I381)-IF(AND(OR('депозитный калькулятор'!$G$7="30/365",'депозитный калькулятор'!$G$7="30/360"),'депозитный калькулятор'!$G$10="в начале срока"),I380,0)-L381+M381-N381,-G381-IF(I381=" ",0,I381)-L381+M381-N381),IF('депозитный калькулятор'!$G$13="есть",M381-N381+IF('депозитный калькулятор'!$G$14="есть",0,-L381),-IF(I381=" ",0,I381)-IF(AND(OR('депозитный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срока"),I380,0)+M381-N381+IF('депозитный калькулятор'!$G$14="есть",0,-L381))))</f>
        <v xml:space="preserve"> </v>
      </c>
      <c r="P381" s="147" t="str">
        <f>IF(F381&gt;'депозитный калькулятор'!$D$8," ",IF(EOMONTH(F380,0)=F380,0,IF(G381&gt;='депозитный калькулятор'!$G$19,P380,P380+1)))</f>
        <v xml:space="preserve"> </v>
      </c>
      <c r="Q381" s="138" t="str">
        <f>IF(F381=" "," ",IF(AND(OR('депозитный калькулятор'!$G$7="30/365",'депозитный калькулятор'!$G$7="30/360"),AND(MONTH(F381)=2,EOMONTH(F381,0)=F381)),IF(DAY(F381)=28,3,2),1)*IF(G381&gt;='депозитный калькулятор'!$G$11,IF(AND('депозитный калькулятор'!$G$7="факт/факт",MOD(YEAR(F381),4)=0),G381*'депозитный калькулятор'!$D$11/366,G381*'депозитный калькулятор'!$G$8),0))</f>
        <v xml:space="preserve"> </v>
      </c>
      <c r="R381" s="148"/>
      <c r="S381" s="62" t="str">
        <f t="shared" ca="1" si="27"/>
        <v xml:space="preserve"> </v>
      </c>
      <c r="T381" s="149" t="str">
        <f ca="1">IF(S381=" "," ",IF('депозитный калькулятор'!$G$7="30/360",DAYS360(U380,IF(DAY(U381)=31,U381-1,U381))+IF(AND(MONTH(U381)=2,U381=EOMONTH(U381,0)),30-DAY(EOMONTH(U381,0)))+T380,VLOOKUP(S381,$C$22:$F$1023,2,0)))</f>
        <v xml:space="preserve"> </v>
      </c>
      <c r="U381" s="64" t="str">
        <f t="shared" ca="1" si="25"/>
        <v xml:space="preserve"> </v>
      </c>
      <c r="V381" s="150" t="str">
        <f t="shared" ca="1" si="28"/>
        <v xml:space="preserve"> </v>
      </c>
      <c r="W381" s="62" t="str">
        <f t="shared" ca="1" si="29"/>
        <v xml:space="preserve"> </v>
      </c>
      <c r="X381" s="141" t="str">
        <f ca="1">IF(S381=" "," ",IFERROR(VLOOKUP(U381,$F$23:$N$1023,7)+VLOOKUP(U381,$F$23:$N$1023,9)+IF(AND('депозитный калькулятор'!$G$13="нет",U381&lt;&gt;'депозитный калькулятор'!$D$8),VLOOKUP(U381,$F$23:$N$1023,4),0),0)+IF(U381='депозитный калькулятор'!$D$8,VLOOKUP(U381,$F$23:$N$1023,2)+VLOOKUP(U381,$F$23:$N$1023,4),0))</f>
        <v xml:space="preserve"> </v>
      </c>
      <c r="Y381" s="142" t="str">
        <f ca="1">IF(S381=" "," ",W381/(1+'депозитный калькулятор'!$K$8)^(T381/IF('депозитный калькулятор'!$G$7="30/360",360,365)))</f>
        <v xml:space="preserve"> </v>
      </c>
      <c r="Z381" s="142" t="str">
        <f ca="1">IF(S381=" "," ",X381/(1+'депозитный калькулятор'!$K$8)^(T381/IF('депозитный калькулятор'!$G$7="30/360",360,365)))</f>
        <v xml:space="preserve"> </v>
      </c>
      <c r="AA381" s="151"/>
      <c r="AB381" s="151"/>
      <c r="AC381" s="155"/>
      <c r="AD381" s="155"/>
    </row>
    <row r="382" spans="1:30" s="2" customFormat="1" ht="15.5" x14ac:dyDescent="0.35">
      <c r="A382" s="41" t="str">
        <f>IF(F382=" "," ",IF(OR('депозитный калькулятор'!$G$7="30/365",'депозитный калькулятор'!$G$7="30/360"),IF(AND(MONTH(F382)=2,DAY(F382)=DAY(EOMONTH(F382,0))),30-DAY(EOMONTH(F382,0)),IF(DAY(F382)=31,1," "))," "))</f>
        <v xml:space="preserve"> </v>
      </c>
      <c r="B382" s="130" t="str">
        <f t="shared" si="26"/>
        <v xml:space="preserve"> </v>
      </c>
      <c r="C382" s="130" t="str">
        <f>IF(OR(B382=0,B382=" ")," ",SUM($B$23:B382))</f>
        <v xml:space="preserve"> </v>
      </c>
      <c r="D382" s="62" t="str">
        <f>IF(D381=" "," ",IF(OR(F381='депозитный калькулятор'!$D$8,F381=" ")," ",D381+1))</f>
        <v xml:space="preserve"> </v>
      </c>
      <c r="E382" s="130" t="str">
        <f>IF(OR(F381='депозитный калькулятор'!$D$8,F381=" ")," ",IF(EOMONTH(F381,0)=F381,1,E381+1))</f>
        <v xml:space="preserve"> </v>
      </c>
      <c r="F382" s="64" t="str">
        <f>IF(F381=" "," ",IF(F381='депозитный калькулятор'!$D$8," ",F381+1))</f>
        <v xml:space="preserve"> </v>
      </c>
      <c r="G382" s="145" t="str">
        <f xml:space="preserve"> IF(F382&gt;'депозитный калькулятор'!$D$8," ",IF('депозитный калькулятор'!$G$13="есть",IF('депозитный калькулятор'!$G$14="есть",G381+IF(I381=" ",0,I381)-J382-K382+L382+M382-N382,G381+IF(I381=" ",0,I381)-J382-K382+M382-N382),IF('депозитный калькулятор'!$G$14="есть",G381-J382-K382+L382+M382-N382,G381-J382-K382+M382-N382)))</f>
        <v xml:space="preserve"> </v>
      </c>
      <c r="H382" s="133" t="str">
        <f>IF(F382&gt;'депозитный калькулятор'!$D$8," ",IF(AND(OR('депозитный калькулятор'!$G$7="30/365",'депозитный калькулятор'!$G$7="30/360"),AND(MONTH(F382)=2,EOMONTH(F382,0)=F382)),IF(DAY(F382)=28,3*G382*'депозитный калькулятор'!$G$8,2*G382*'депозитный калькулятор'!$G$8),IF(AND(OR('депозитный калькулятор'!$G$7="30/365",'депозитный калькулятор'!$G$7="30/360"),DAY(F382)=31)," ",IF(AND('депозитный калькулятор'!$G$7="факт/факт",MOD(YEAR(F382),4)=0),G382*'депозитный калькулятор'!$D$11/366,G382*'депозитный калькулятор'!$G$8))))</f>
        <v xml:space="preserve"> </v>
      </c>
      <c r="I382" s="134" t="str">
        <f ca="1">IF(F382=" "," ",IF('депозитный калькулятор'!$G$10="ежедневное",H382,IF(AND('депозитный калькулятор'!$G$10="еженедельное",WEEKDAY(F382,2)=7),SUM(OFFSET(H382,-6,0):H382),IF(AND('депозитный калькулятор'!$G$10="еженедельное",F382='депозитный калькулятор'!$D$8),SUM($H$23:H382)-SUM($I$23:I381),IF(AND('депозитный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недели",WEEKDAY(F382,2)=7),MIN(OFFSET(H382,-6,0):H382)*(COUNTIF(OFFSET(H382,-6,0):H382,"&gt;0")+SUMIF(OFFSET(A382,-WEEKDAY(F382,2),0):A382,"=2",OFFSET(A382,-WEEKDAY(F382,2),0):A382)),IF(AND('депозитный калькулятор'!$G$10="еженедельное, на минимальную сумму зафиксированную в течение недели",F382='депозитный калькулятор'!$D$8,WEEKDAY(F382,2)&lt;&gt;7),MIN(OFFSET(H382,-WEEKDAY(F382,2),0):H382)*(COUNTIF(OFFSET(H382,-WEEKDAY(F382,2)+1,0):H382,"&gt;0")+SUM(OFFSET(A382,-WEEKDAY(F382,2),0):A382)),IF(AND('депозитный калькулятор'!$G$10="ежемесячное (в конце месяца)",F382='депозитный калькулятор'!$D$8,EOMONTH(F382,0)&lt;&gt;F382),IF('депозитный калькулятор'!$F$1=1,$H$24,SUM($H$23:H382)-SUM($I$23:I381)),IF(AND('депозитный калькулятор'!$G$10="ежемесячное (в конце месяца)",EOMONTH(F382,0)=F382),SUM($H$23:H382)-SUM($I$23:I381),IF(AND('депозитный калькулятор'!$G$10="ежемесячное (по дням открытия вклада)",F382='депозитный калькулятор'!$D$8,DAY('депозитный калькулятор'!$D$7)&lt;&gt;DAY(F382)),IF('депозитный калькулятор'!$F$1=1,$H$24,SUM($H$23:H382)-SUM($I$23:I381)),IF(AND('депозитный калькулятор'!$G$10="ежемесячное (по дням открытия вклада)",DAY('депозитный калькулятор'!$D$7)=DAY(F382)),SUM($H$23:H382)-SUM($I$23:I381),IF(AND('депозитный калькулятор'!$G$10="ежемесячное, на минимальную сумму зафиксированную в течение месяца",F382='депозитный калькулятор'!$D$8,EOMONTH(F382,0)&lt;&gt;F382),IF('депозитный калькулятор'!$F$1=1,$H$24,IF(AND(OR('депозитный калькулятор'!$G$7="30/365",'депозитный калькулятор'!$G$7="30/360"),DAY(F382)=31),0,MIN(OFFSET(H382,-E382+1,0):H382)*(E382+SUMIF(OFFSET(A382,-E382+1,0):A382,"=2",OFFSET(A382,-E382+1,0):A382)))),IF(AND('депозитный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калькулятор'!$G$7="30/360"),DAY(EOMONTH(F382,0))=31),EOMONTH(F382,0)-1=F382,EOMONTH(F382,0)=F382)),IF(IF(AND(OR('депозитный калькулятор'!$G$7="30/365",'депозитный калькулятор'!$G$7="30/360"),DAY(EOMONTH($F$23,0))=31),F382=EOMONTH($F$23,0)-1,F382=EOMONTH($F$23,0)),MIN(OFFSET(H382,-(DAY(F382)-DAY($F$23)),0):H382)*E382,MIN(OFFSET(H382,-(DAY(F382)-1),0):H382)*IF(AND(OR('депозитный калькулятор'!$G$7="30/365",'депозитный калькулятор'!$G$7="30/360"),DAY(F382)&lt;30),30,DAY(F382))),IF(AND('депозитный калькулятор'!$G$10="ежемесячное, на средний остаток в течение месяца, при условии что остаток больше чем ограничение",F382='депозитный калькулятор'!$D$8,EOMONTH(F382,0)&lt;&gt;F382),IF('депозитный калькулятор'!$F$1=1,$H$24,SUM(OFFSET(Q382,-E382+1,0):Q382)),IF(AND('депозитный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калькулятор'!$G$7="30/360"),DAY(EOMONTH(F382,0))=31),EOMONTH(F382,0)-1=F382,EOMONTH(F382,0)=F382)),IF(IF(AND(OR('депозитный калькулятор'!$G$7="30/365",'депозитный калькулятор'!$G$7="30/360"),DAY(EOMONTH($F$24,0))=31),F382=EOMONTH($F$24,0)-1,F382=EOMONTH($F$24,0)),SUM(OFFSET(Q382,-E382+1,0):Q382),SUM(OFFSET(Q382,-E382+1,0):Q382)),IF('депозитный калькулятор'!$G$10="ежеквартальное",IF(F382&gt;'депозитный калькулятор'!$D$8," ",IF(AND(EOMONTH(F382,0)=F382,OR(MONTH(F382)=3,MONTH(F382)=6,MONTH(F382)=9,MONTH(F382)=12)),IF(EDATE(F382,-3)&lt;'депозитный калькулятор'!$D$7,SUM($H$23:H382),IF(MOD(YEAR(F382),4)=0,IF(AND(EOMONTH(F382,0)=F382,OR(MONTH(F382)=3,MONTH(F382)=6)),SUM(OFFSET(H382,-90,0):H382),IF(AND(EOMONTH(F382,0)=F382,OR(MONTH(F382)=9,MONTH(F382)=12)),SUM(OFFSET(H382,-91,0):H382))),IF(AND(EOMONTH(F382,0)=F382,MONTH(F382)=3),SUM(OFFSET(H382,-89,0):H382),IF(AND(EOMONTH(F382,0)=F382,MONTH(F382)=6),SUM(OFFSET(H382,-90,0):H382),IF(AND(EOMONTH(F382,0)=F382,OR(MONTH(F382)=9,MONTH(F382)=12)),SUM(OFFSET(H382,-91,0):H382)))))),IF(F382='депозитный калькулятор'!$D$8,SUM($H$23:H382)-SUM($I$23:I381),0))),IF('депозитный калькулятор'!$G$10="ежегодное",IF(F382&gt;'депозитный калькулятор'!$D$8," ",IF(F382='депозитный калькулятор'!$D$8,SUM($H$23:H382)-SUM($I$23:I381),IF(AND(EOMONTH(F382,0)=F382,MONTH(F382)=12),IF(MOD(YEAR(F381),4)=0,IF(F382-'депозитный калькулятор'!$D$7&lt;366,SUM($H$23:H382),SUM(OFFSET(H382,-365,0):H382)),IF(F382-'депозитный калькулятор'!$D$7&lt;365,SUM($H$23:H382),SUM(OFFSET(H382,-364,0):H382))),0))),IF(AND('депозитный калькулятор'!$G$10="в конце срока",'депозитный калькулятор'!$D$8=F382),SUM($H$23:H382),0))))))))))))))))))</f>
        <v xml:space="preserve"> </v>
      </c>
      <c r="J382" s="59" t="str">
        <f>IF(F382&gt;'депозитный калькулятор'!$D$8," ",IF('депозитный калькулятор'!$G$16="нет",0,IF(AND('депозитный калькулятор'!$G$17="разовая (в конце срока)",F382='депозитный калькулятор'!$D$8),'депозитный калькулятор'!$G$18,IF(AND('депозитный калькулятор'!$G$17="ежемесячная",EOMONTH(F381,0)=F381),'депозитный калькулятор'!$G$18,IF(AND('депозитный калькулятор'!$G$17="ежегодная",DAY(F381)=31,MONTH(F381)=12),'депозитный калькулятор'!$G$18,IF(AND('депозитный калькулятор'!$G$17="ежемесячная в зависимости от остатка",EOMONTH(F381,0)=F381,P381&gt;0),'депозитный калькулятор'!$G$18,IF(AND('депозитный калькулятор'!$G$17="ежегодная в зависимости от остатка",DAY(F381)=31,MONTH(F381)=12,P381&gt;0),'депозитный калькулятор'!$G$18,0)))))))</f>
        <v xml:space="preserve"> </v>
      </c>
      <c r="K382" s="135" t="str">
        <f>IF($F382=" "," ",IFERROR(VLOOKUP($F382,'депозитный калькулятор'!$B$26:$F$70,2,0),0))</f>
        <v xml:space="preserve"> </v>
      </c>
      <c r="L382" s="135" t="str">
        <f>IF($F382=" "," ",IFERROR(VLOOKUP($F382,'депозитный калькулятор'!$B$26:$F$70,3,0),0))</f>
        <v xml:space="preserve"> </v>
      </c>
      <c r="M382" s="135" t="str">
        <f>IF($F382=" "," ",IFERROR(VLOOKUP($F382,'депозитный калькулятор'!$B$26:$F$70,4,0),0))</f>
        <v xml:space="preserve"> </v>
      </c>
      <c r="N382" s="135" t="str">
        <f>IF($F382=" "," ",IFERROR(VLOOKUP($F382,'депозитный калькулятор'!$B$26:$F$70,5,0),0))</f>
        <v xml:space="preserve"> </v>
      </c>
      <c r="O382" s="146" t="str">
        <f>IF(F382&gt;'депозитный калькулятор'!$D$8," ",IF(F382='депозитный калькулятор'!$D$8,IF(AND($F$24='депозитный калькулятор'!$D$8,'депозитный калькулятор'!$G$13="нет"),-G382-IF(I382=" ",0,I382)-IF(AND(OR('депозитный калькулятор'!$G$7="30/365",'депозитный калькулятор'!$G$7="30/360"),'депозитный калькулятор'!$G$10="в начале срока"),I381,0)-L382+M382-N382,-G382-IF(I382=" ",0,I382)-L382+M382-N382),IF('депозитный калькулятор'!$G$13="есть",M382-N382+IF('депозитный калькулятор'!$G$14="есть",0,-L382),-IF(I382=" ",0,I382)-IF(AND(OR('депозитный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срока"),I381,0)+M382-N382+IF('депозитный калькулятор'!$G$14="есть",0,-L382))))</f>
        <v xml:space="preserve"> </v>
      </c>
      <c r="P382" s="147" t="str">
        <f>IF(F382&gt;'депозитный калькулятор'!$D$8," ",IF(EOMONTH(F381,0)=F381,0,IF(G382&gt;='депозитный калькулятор'!$G$19,P381,P381+1)))</f>
        <v xml:space="preserve"> </v>
      </c>
      <c r="Q382" s="138" t="str">
        <f>IF(F382=" "," ",IF(AND(OR('депозитный калькулятор'!$G$7="30/365",'депозитный калькулятор'!$G$7="30/360"),AND(MONTH(F382)=2,EOMONTH(F382,0)=F382)),IF(DAY(F382)=28,3,2),1)*IF(G382&gt;='депозитный калькулятор'!$G$11,IF(AND('депозитный калькулятор'!$G$7="факт/факт",MOD(YEAR(F382),4)=0),G382*'депозитный калькулятор'!$D$11/366,G382*'депозитный калькулятор'!$G$8),0))</f>
        <v xml:space="preserve"> </v>
      </c>
      <c r="R382" s="158"/>
      <c r="S382" s="62" t="str">
        <f t="shared" ca="1" si="27"/>
        <v xml:space="preserve"> </v>
      </c>
      <c r="T382" s="149" t="str">
        <f ca="1">IF(S382=" "," ",IF('депозитный калькулятор'!$G$7="30/360",DAYS360(U381,IF(DAY(U382)=31,U382-1,U382))+IF(AND(MONTH(U382)=2,U382=EOMONTH(U382,0)),30-DAY(EOMONTH(U382,0)))+T381,VLOOKUP(S382,$C$22:$F$1023,2,0)))</f>
        <v xml:space="preserve"> </v>
      </c>
      <c r="U382" s="64" t="str">
        <f t="shared" ca="1" si="25"/>
        <v xml:space="preserve"> </v>
      </c>
      <c r="V382" s="150" t="str">
        <f t="shared" ca="1" si="28"/>
        <v xml:space="preserve"> </v>
      </c>
      <c r="W382" s="62" t="str">
        <f t="shared" ca="1" si="29"/>
        <v xml:space="preserve"> </v>
      </c>
      <c r="X382" s="141" t="str">
        <f ca="1">IF(S382=" "," ",IFERROR(VLOOKUP(U382,$F$23:$N$1023,7)+VLOOKUP(U382,$F$23:$N$1023,9)+IF(AND('депозитный калькулятор'!$G$13="нет",U382&lt;&gt;'депозитный калькулятор'!$D$8),VLOOKUP(U382,$F$23:$N$1023,4),0),0)+IF(U382='депозитный калькулятор'!$D$8,VLOOKUP(U382,$F$23:$N$1023,2)+VLOOKUP(U382,$F$23:$N$1023,4),0))</f>
        <v xml:space="preserve"> </v>
      </c>
      <c r="Y382" s="142" t="str">
        <f ca="1">IF(S382=" "," ",W382/(1+'депозитный калькулятор'!$K$8)^(T382/IF('депозитный калькулятор'!$G$7="30/360",360,365)))</f>
        <v xml:space="preserve"> </v>
      </c>
      <c r="Z382" s="142" t="str">
        <f ca="1">IF(S382=" "," ",X382/(1+'депозитный калькулятор'!$K$8)^(T382/IF('депозитный калькулятор'!$G$7="30/360",360,365)))</f>
        <v xml:space="preserve"> </v>
      </c>
      <c r="AA382" s="151"/>
      <c r="AB382" s="151"/>
      <c r="AC382" s="155"/>
      <c r="AD382" s="155"/>
    </row>
    <row r="383" spans="1:30" s="2" customFormat="1" ht="15.5" x14ac:dyDescent="0.35">
      <c r="A383" s="41" t="str">
        <f>IF(F383=" "," ",IF(OR('депозитный калькулятор'!$G$7="30/365",'депозитный калькулятор'!$G$7="30/360"),IF(AND(MONTH(F383)=2,DAY(F383)=DAY(EOMONTH(F383,0))),30-DAY(EOMONTH(F383,0)),IF(DAY(F383)=31,1," "))," "))</f>
        <v xml:space="preserve"> </v>
      </c>
      <c r="B383" s="130" t="str">
        <f t="shared" si="26"/>
        <v xml:space="preserve"> </v>
      </c>
      <c r="C383" s="130" t="str">
        <f>IF(OR(B383=0,B383=" ")," ",SUM($B$23:B383))</f>
        <v xml:space="preserve"> </v>
      </c>
      <c r="D383" s="62" t="str">
        <f>IF(D382=" "," ",IF(OR(F382='депозитный калькулятор'!$D$8,F382=" ")," ",D382+1))</f>
        <v xml:space="preserve"> </v>
      </c>
      <c r="E383" s="130" t="str">
        <f>IF(OR(F382='депозитный калькулятор'!$D$8,F382=" ")," ",IF(EOMONTH(F382,0)=F382,1,E382+1))</f>
        <v xml:space="preserve"> </v>
      </c>
      <c r="F383" s="64" t="str">
        <f>IF(F382=" "," ",IF(F382='депозитный калькулятор'!$D$8," ",F382+1))</f>
        <v xml:space="preserve"> </v>
      </c>
      <c r="G383" s="145" t="str">
        <f xml:space="preserve"> IF(F383&gt;'депозитный калькулятор'!$D$8," ",IF('депозитный калькулятор'!$G$13="есть",IF('депозитный калькулятор'!$G$14="есть",G382+IF(I382=" ",0,I382)-J383-K383+L383+M383-N383,G382+IF(I382=" ",0,I382)-J383-K383+M383-N383),IF('депозитный калькулятор'!$G$14="есть",G382-J383-K383+L383+M383-N383,G382-J383-K383+M383-N383)))</f>
        <v xml:space="preserve"> </v>
      </c>
      <c r="H383" s="133" t="str">
        <f>IF(F383&gt;'депозитный калькулятор'!$D$8," ",IF(AND(OR('депозитный калькулятор'!$G$7="30/365",'депозитный калькулятор'!$G$7="30/360"),AND(MONTH(F383)=2,EOMONTH(F383,0)=F383)),IF(DAY(F383)=28,3*G383*'депозитный калькулятор'!$G$8,2*G383*'депозитный калькулятор'!$G$8),IF(AND(OR('депозитный калькулятор'!$G$7="30/365",'депозитный калькулятор'!$G$7="30/360"),DAY(F383)=31)," ",IF(AND('депозитный калькулятор'!$G$7="факт/факт",MOD(YEAR(F383),4)=0),G383*'депозитный калькулятор'!$D$11/366,G383*'депозитный калькулятор'!$G$8))))</f>
        <v xml:space="preserve"> </v>
      </c>
      <c r="I383" s="134" t="str">
        <f ca="1">IF(F383=" "," ",IF('депозитный калькулятор'!$G$10="ежедневное",H383,IF(AND('депозитный калькулятор'!$G$10="еженедельное",WEEKDAY(F383,2)=7),SUM(OFFSET(H383,-6,0):H383),IF(AND('депозитный калькулятор'!$G$10="еженедельное",F383='депозитный калькулятор'!$D$8),SUM($H$23:H383)-SUM($I$23:I382),IF(AND('депозитный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недели",WEEKDAY(F383,2)=7),MIN(OFFSET(H383,-6,0):H383)*(COUNTIF(OFFSET(H383,-6,0):H383,"&gt;0")+SUMIF(OFFSET(A383,-WEEKDAY(F383,2),0):A383,"=2",OFFSET(A383,-WEEKDAY(F383,2),0):A383)),IF(AND('депозитный калькулятор'!$G$10="еженедельное, на минимальную сумму зафиксированную в течение недели",F383='депозитный калькулятор'!$D$8,WEEKDAY(F383,2)&lt;&gt;7),MIN(OFFSET(H383,-WEEKDAY(F383,2),0):H383)*(COUNTIF(OFFSET(H383,-WEEKDAY(F383,2)+1,0):H383,"&gt;0")+SUM(OFFSET(A383,-WEEKDAY(F383,2),0):A383)),IF(AND('депозитный калькулятор'!$G$10="ежемесячное (в конце месяца)",F383='депозитный калькулятор'!$D$8,EOMONTH(F383,0)&lt;&gt;F383),IF('депозитный калькулятор'!$F$1=1,$H$24,SUM($H$23:H383)-SUM($I$23:I382)),IF(AND('депозитный калькулятор'!$G$10="ежемесячное (в конце месяца)",EOMONTH(F383,0)=F383),SUM($H$23:H383)-SUM($I$23:I382),IF(AND('депозитный калькулятор'!$G$10="ежемесячное (по дням открытия вклада)",F383='депозитный калькулятор'!$D$8,DAY('депозитный калькулятор'!$D$7)&lt;&gt;DAY(F383)),IF('депозитный калькулятор'!$F$1=1,$H$24,SUM($H$23:H383)-SUM($I$23:I382)),IF(AND('депозитный калькулятор'!$G$10="ежемесячное (по дням открытия вклада)",DAY('депозитный калькулятор'!$D$7)=DAY(F383)),SUM($H$23:H383)-SUM($I$23:I382),IF(AND('депозитный калькулятор'!$G$10="ежемесячное, на минимальную сумму зафиксированную в течение месяца",F383='депозитный калькулятор'!$D$8,EOMONTH(F383,0)&lt;&gt;F383),IF('депозитный калькулятор'!$F$1=1,$H$24,IF(AND(OR('депозитный калькулятор'!$G$7="30/365",'депозитный калькулятор'!$G$7="30/360"),DAY(F383)=31),0,MIN(OFFSET(H383,-E383+1,0):H383)*(E383+SUMIF(OFFSET(A383,-E383+1,0):A383,"=2",OFFSET(A383,-E383+1,0):A383)))),IF(AND('депозитный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калькулятор'!$G$7="30/360"),DAY(EOMONTH(F383,0))=31),EOMONTH(F383,0)-1=F383,EOMONTH(F383,0)=F383)),IF(IF(AND(OR('депозитный калькулятор'!$G$7="30/365",'депозитный калькулятор'!$G$7="30/360"),DAY(EOMONTH($F$23,0))=31),F383=EOMONTH($F$23,0)-1,F383=EOMONTH($F$23,0)),MIN(OFFSET(H383,-(DAY(F383)-DAY($F$23)),0):H383)*E383,MIN(OFFSET(H383,-(DAY(F383)-1),0):H383)*IF(AND(OR('депозитный калькулятор'!$G$7="30/365",'депозитный калькулятор'!$G$7="30/360"),DAY(F383)&lt;30),30,DAY(F383))),IF(AND('депозитный калькулятор'!$G$10="ежемесячное, на средний остаток в течение месяца, при условии что остаток больше чем ограничение",F383='депозитный калькулятор'!$D$8,EOMONTH(F383,0)&lt;&gt;F383),IF('депозитный калькулятор'!$F$1=1,$H$24,SUM(OFFSET(Q383,-E383+1,0):Q383)),IF(AND('депозитный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калькулятор'!$G$7="30/360"),DAY(EOMONTH(F383,0))=31),EOMONTH(F383,0)-1=F383,EOMONTH(F383,0)=F383)),IF(IF(AND(OR('депозитный калькулятор'!$G$7="30/365",'депозитный калькулятор'!$G$7="30/360"),DAY(EOMONTH($F$24,0))=31),F383=EOMONTH($F$24,0)-1,F383=EOMONTH($F$24,0)),SUM(OFFSET(Q383,-E383+1,0):Q383),SUM(OFFSET(Q383,-E383+1,0):Q383)),IF('депозитный калькулятор'!$G$10="ежеквартальное",IF(F383&gt;'депозитный калькулятор'!$D$8," ",IF(AND(EOMONTH(F383,0)=F383,OR(MONTH(F383)=3,MONTH(F383)=6,MONTH(F383)=9,MONTH(F383)=12)),IF(EDATE(F383,-3)&lt;'депозитный калькулятор'!$D$7,SUM($H$23:H383),IF(MOD(YEAR(F383),4)=0,IF(AND(EOMONTH(F383,0)=F383,OR(MONTH(F383)=3,MONTH(F383)=6)),SUM(OFFSET(H383,-90,0):H383),IF(AND(EOMONTH(F383,0)=F383,OR(MONTH(F383)=9,MONTH(F383)=12)),SUM(OFFSET(H383,-91,0):H383))),IF(AND(EOMONTH(F383,0)=F383,MONTH(F383)=3),SUM(OFFSET(H383,-89,0):H383),IF(AND(EOMONTH(F383,0)=F383,MONTH(F383)=6),SUM(OFFSET(H383,-90,0):H383),IF(AND(EOMONTH(F383,0)=F383,OR(MONTH(F383)=9,MONTH(F383)=12)),SUM(OFFSET(H383,-91,0):H383)))))),IF(F383='депозитный калькулятор'!$D$8,SUM($H$23:H383)-SUM($I$23:I382),0))),IF('депозитный калькулятор'!$G$10="ежегодное",IF(F383&gt;'депозитный калькулятор'!$D$8," ",IF(F383='депозитный калькулятор'!$D$8,SUM($H$23:H383)-SUM($I$23:I382),IF(AND(EOMONTH(F383,0)=F383,MONTH(F383)=12),IF(MOD(YEAR(F382),4)=0,IF(F383-'депозитный калькулятор'!$D$7&lt;366,SUM($H$23:H383),SUM(OFFSET(H383,-365,0):H383)),IF(F383-'депозитный калькулятор'!$D$7&lt;365,SUM($H$23:H383),SUM(OFFSET(H383,-364,0):H383))),0))),IF(AND('депозитный калькулятор'!$G$10="в конце срока",'депозитный калькулятор'!$D$8=F383),SUM($H$23:H383),0))))))))))))))))))</f>
        <v xml:space="preserve"> </v>
      </c>
      <c r="J383" s="59" t="str">
        <f>IF(F383&gt;'депозитный калькулятор'!$D$8," ",IF('депозитный калькулятор'!$G$16="нет",0,IF(AND('депозитный калькулятор'!$G$17="разовая (в конце срока)",F383='депозитный калькулятор'!$D$8),'депозитный калькулятор'!$G$18,IF(AND('депозитный калькулятор'!$G$17="ежемесячная",EOMONTH(F382,0)=F382),'депозитный калькулятор'!$G$18,IF(AND('депозитный калькулятор'!$G$17="ежегодная",DAY(F382)=31,MONTH(F382)=12),'депозитный калькулятор'!$G$18,IF(AND('депозитный калькулятор'!$G$17="ежемесячная в зависимости от остатка",EOMONTH(F382,0)=F382,P382&gt;0),'депозитный калькулятор'!$G$18,IF(AND('депозитный калькулятор'!$G$17="ежегодная в зависимости от остатка",DAY(F382)=31,MONTH(F382)=12,P382&gt;0),'депозитный калькулятор'!$G$18,0)))))))</f>
        <v xml:space="preserve"> </v>
      </c>
      <c r="K383" s="135" t="str">
        <f>IF($F383=" "," ",IFERROR(VLOOKUP($F383,'депозитный калькулятор'!$B$26:$F$70,2,0),0))</f>
        <v xml:space="preserve"> </v>
      </c>
      <c r="L383" s="135" t="str">
        <f>IF($F383=" "," ",IFERROR(VLOOKUP($F383,'депозитный калькулятор'!$B$26:$F$70,3,0),0))</f>
        <v xml:space="preserve"> </v>
      </c>
      <c r="M383" s="135" t="str">
        <f>IF($F383=" "," ",IFERROR(VLOOKUP($F383,'депозитный калькулятор'!$B$26:$F$70,4,0),0))</f>
        <v xml:space="preserve"> </v>
      </c>
      <c r="N383" s="135" t="str">
        <f>IF($F383=" "," ",IFERROR(VLOOKUP($F383,'депозитный калькулятор'!$B$26:$F$70,5,0),0))</f>
        <v xml:space="preserve"> </v>
      </c>
      <c r="O383" s="146" t="str">
        <f>IF(F383&gt;'депозитный калькулятор'!$D$8," ",IF(F383='депозитный калькулятор'!$D$8,IF(AND($F$24='депозитный калькулятор'!$D$8,'депозитный калькулятор'!$G$13="нет"),-G383-IF(I383=" ",0,I383)-IF(AND(OR('депозитный калькулятор'!$G$7="30/365",'депозитный калькулятор'!$G$7="30/360"),'депозитный калькулятор'!$G$10="в начале срока"),I382,0)-L383+M383-N383,-G383-IF(I383=" ",0,I383)-L383+M383-N383),IF('депозитный калькулятор'!$G$13="есть",M383-N383+IF('депозитный калькулятор'!$G$14="есть",0,-L383),-IF(I383=" ",0,I383)-IF(AND(OR('депозитный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срока"),I382,0)+M383-N383+IF('депозитный калькулятор'!$G$14="есть",0,-L383))))</f>
        <v xml:space="preserve"> </v>
      </c>
      <c r="P383" s="147" t="str">
        <f>IF(F383&gt;'депозитный калькулятор'!$D$8," ",IF(EOMONTH(F382,0)=F382,0,IF(G383&gt;='депозитный калькулятор'!$G$19,P382,P382+1)))</f>
        <v xml:space="preserve"> </v>
      </c>
      <c r="Q383" s="138" t="str">
        <f>IF(F383=" "," ",IF(AND(OR('депозитный калькулятор'!$G$7="30/365",'депозитный калькулятор'!$G$7="30/360"),AND(MONTH(F383)=2,EOMONTH(F383,0)=F383)),IF(DAY(F383)=28,3,2),1)*IF(G383&gt;='депозитный калькулятор'!$G$11,IF(AND('депозитный калькулятор'!$G$7="факт/факт",MOD(YEAR(F383),4)=0),G383*'депозитный калькулятор'!$D$11/366,G383*'депозитный калькулятор'!$G$8),0))</f>
        <v xml:space="preserve"> </v>
      </c>
      <c r="R383" s="158"/>
      <c r="S383" s="62" t="str">
        <f t="shared" ca="1" si="27"/>
        <v xml:space="preserve"> </v>
      </c>
      <c r="T383" s="149" t="str">
        <f ca="1">IF(S383=" "," ",IF('депозитный калькулятор'!$G$7="30/360",DAYS360(U382,IF(DAY(U383)=31,U383-1,U383))+IF(AND(MONTH(U383)=2,U383=EOMONTH(U383,0)),30-DAY(EOMONTH(U383,0)))+T382,VLOOKUP(S383,$C$22:$F$1023,2,0)))</f>
        <v xml:space="preserve"> </v>
      </c>
      <c r="U383" s="64" t="str">
        <f t="shared" ca="1" si="25"/>
        <v xml:space="preserve"> </v>
      </c>
      <c r="V383" s="150" t="str">
        <f t="shared" ca="1" si="28"/>
        <v xml:space="preserve"> </v>
      </c>
      <c r="W383" s="62" t="str">
        <f t="shared" ca="1" si="29"/>
        <v xml:space="preserve"> </v>
      </c>
      <c r="X383" s="141" t="str">
        <f ca="1">IF(S383=" "," ",IFERROR(VLOOKUP(U383,$F$23:$N$1023,7)+VLOOKUP(U383,$F$23:$N$1023,9)+IF(AND('депозитный калькулятор'!$G$13="нет",U383&lt;&gt;'депозитный калькулятор'!$D$8),VLOOKUP(U383,$F$23:$N$1023,4),0),0)+IF(U383='депозитный калькулятор'!$D$8,VLOOKUP(U383,$F$23:$N$1023,2)+VLOOKUP(U383,$F$23:$N$1023,4),0))</f>
        <v xml:space="preserve"> </v>
      </c>
      <c r="Y383" s="142" t="str">
        <f ca="1">IF(S383=" "," ",W383/(1+'депозитный калькулятор'!$K$8)^(T383/IF('депозитный калькулятор'!$G$7="30/360",360,365)))</f>
        <v xml:space="preserve"> </v>
      </c>
      <c r="Z383" s="142" t="str">
        <f ca="1">IF(S383=" "," ",X383/(1+'депозитный калькулятор'!$K$8)^(T383/IF('депозитный калькулятор'!$G$7="30/360",360,365)))</f>
        <v xml:space="preserve"> </v>
      </c>
      <c r="AA383" s="151"/>
      <c r="AB383" s="151"/>
      <c r="AC383" s="155"/>
      <c r="AD383" s="155"/>
    </row>
    <row r="384" spans="1:30" s="2" customFormat="1" ht="15.5" x14ac:dyDescent="0.35">
      <c r="A384" s="41" t="str">
        <f>IF(F384=" "," ",IF(OR('депозитный калькулятор'!$G$7="30/365",'депозитный калькулятор'!$G$7="30/360"),IF(AND(MONTH(F384)=2,DAY(F384)=DAY(EOMONTH(F384,0))),30-DAY(EOMONTH(F384,0)),IF(DAY(F384)=31,1," "))," "))</f>
        <v xml:space="preserve"> </v>
      </c>
      <c r="B384" s="130" t="str">
        <f t="shared" si="26"/>
        <v xml:space="preserve"> </v>
      </c>
      <c r="C384" s="130" t="str">
        <f>IF(OR(B384=0,B384=" ")," ",SUM($B$23:B384))</f>
        <v xml:space="preserve"> </v>
      </c>
      <c r="D384" s="62" t="str">
        <f>IF(D383=" "," ",IF(OR(F383='депозитный калькулятор'!$D$8,F383=" ")," ",D383+1))</f>
        <v xml:space="preserve"> </v>
      </c>
      <c r="E384" s="130" t="str">
        <f>IF(OR(F383='депозитный калькулятор'!$D$8,F383=" ")," ",IF(EOMONTH(F383,0)=F383,1,E383+1))</f>
        <v xml:space="preserve"> </v>
      </c>
      <c r="F384" s="64" t="str">
        <f>IF(F383=" "," ",IF(F383='депозитный калькулятор'!$D$8," ",F383+1))</f>
        <v xml:space="preserve"> </v>
      </c>
      <c r="G384" s="145" t="str">
        <f xml:space="preserve"> IF(F384&gt;'депозитный калькулятор'!$D$8," ",IF('депозитный калькулятор'!$G$13="есть",IF('депозитный калькулятор'!$G$14="есть",G383+IF(I383=" ",0,I383)-J384-K384+L384+M384-N384,G383+IF(I383=" ",0,I383)-J384-K384+M384-N384),IF('депозитный калькулятор'!$G$14="есть",G383-J384-K384+L384+M384-N384,G383-J384-K384+M384-N384)))</f>
        <v xml:space="preserve"> </v>
      </c>
      <c r="H384" s="133" t="str">
        <f>IF(F384&gt;'депозитный калькулятор'!$D$8," ",IF(AND(OR('депозитный калькулятор'!$G$7="30/365",'депозитный калькулятор'!$G$7="30/360"),AND(MONTH(F384)=2,EOMONTH(F384,0)=F384)),IF(DAY(F384)=28,3*G384*'депозитный калькулятор'!$G$8,2*G384*'депозитный калькулятор'!$G$8),IF(AND(OR('депозитный калькулятор'!$G$7="30/365",'депозитный калькулятор'!$G$7="30/360"),DAY(F384)=31)," ",IF(AND('депозитный калькулятор'!$G$7="факт/факт",MOD(YEAR(F384),4)=0),G384*'депозитный калькулятор'!$D$11/366,G384*'депозитный калькулятор'!$G$8))))</f>
        <v xml:space="preserve"> </v>
      </c>
      <c r="I384" s="134" t="str">
        <f ca="1">IF(F384=" "," ",IF('депозитный калькулятор'!$G$10="ежедневное",H384,IF(AND('депозитный калькулятор'!$G$10="еженедельное",WEEKDAY(F384,2)=7),SUM(OFFSET(H384,-6,0):H384),IF(AND('депозитный калькулятор'!$G$10="еженедельное",F384='депозитный калькулятор'!$D$8),SUM($H$23:H384)-SUM($I$23:I383),IF(AND('депозитный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недели",WEEKDAY(F384,2)=7),MIN(OFFSET(H384,-6,0):H384)*(COUNTIF(OFFSET(H384,-6,0):H384,"&gt;0")+SUMIF(OFFSET(A384,-WEEKDAY(F384,2),0):A384,"=2",OFFSET(A384,-WEEKDAY(F384,2),0):A384)),IF(AND('депозитный калькулятор'!$G$10="еженедельное, на минимальную сумму зафиксированную в течение недели",F384='депозитный калькулятор'!$D$8,WEEKDAY(F384,2)&lt;&gt;7),MIN(OFFSET(H384,-WEEKDAY(F384,2),0):H384)*(COUNTIF(OFFSET(H384,-WEEKDAY(F384,2)+1,0):H384,"&gt;0")+SUM(OFFSET(A384,-WEEKDAY(F384,2),0):A384)),IF(AND('депозитный калькулятор'!$G$10="ежемесячное (в конце месяца)",F384='депозитный калькулятор'!$D$8,EOMONTH(F384,0)&lt;&gt;F384),IF('депозитный калькулятор'!$F$1=1,$H$24,SUM($H$23:H384)-SUM($I$23:I383)),IF(AND('депозитный калькулятор'!$G$10="ежемесячное (в конце месяца)",EOMONTH(F384,0)=F384),SUM($H$23:H384)-SUM($I$23:I383),IF(AND('депозитный калькулятор'!$G$10="ежемесячное (по дням открытия вклада)",F384='депозитный калькулятор'!$D$8,DAY('депозитный калькулятор'!$D$7)&lt;&gt;DAY(F384)),IF('депозитный калькулятор'!$F$1=1,$H$24,SUM($H$23:H384)-SUM($I$23:I383)),IF(AND('депозитный калькулятор'!$G$10="ежемесячное (по дням открытия вклада)",DAY('депозитный калькулятор'!$D$7)=DAY(F384)),SUM($H$23:H384)-SUM($I$23:I383),IF(AND('депозитный калькулятор'!$G$10="ежемесячное, на минимальную сумму зафиксированную в течение месяца",F384='депозитный калькулятор'!$D$8,EOMONTH(F384,0)&lt;&gt;F384),IF('депозитный калькулятор'!$F$1=1,$H$24,IF(AND(OR('депозитный калькулятор'!$G$7="30/365",'депозитный калькулятор'!$G$7="30/360"),DAY(F384)=31),0,MIN(OFFSET(H384,-E384+1,0):H384)*(E384+SUMIF(OFFSET(A384,-E384+1,0):A384,"=2",OFFSET(A384,-E384+1,0):A384)))),IF(AND('депозитный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калькулятор'!$G$7="30/360"),DAY(EOMONTH(F384,0))=31),EOMONTH(F384,0)-1=F384,EOMONTH(F384,0)=F384)),IF(IF(AND(OR('депозитный калькулятор'!$G$7="30/365",'депозитный калькулятор'!$G$7="30/360"),DAY(EOMONTH($F$23,0))=31),F384=EOMONTH($F$23,0)-1,F384=EOMONTH($F$23,0)),MIN(OFFSET(H384,-(DAY(F384)-DAY($F$23)),0):H384)*E384,MIN(OFFSET(H384,-(DAY(F384)-1),0):H384)*IF(AND(OR('депозитный калькулятор'!$G$7="30/365",'депозитный калькулятор'!$G$7="30/360"),DAY(F384)&lt;30),30,DAY(F384))),IF(AND('депозитный калькулятор'!$G$10="ежемесячное, на средний остаток в течение месяца, при условии что остаток больше чем ограничение",F384='депозитный калькулятор'!$D$8,EOMONTH(F384,0)&lt;&gt;F384),IF('депозитный калькулятор'!$F$1=1,$H$24,SUM(OFFSET(Q384,-E384+1,0):Q384)),IF(AND('депозитный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калькулятор'!$G$7="30/360"),DAY(EOMONTH(F384,0))=31),EOMONTH(F384,0)-1=F384,EOMONTH(F384,0)=F384)),IF(IF(AND(OR('депозитный калькулятор'!$G$7="30/365",'депозитный калькулятор'!$G$7="30/360"),DAY(EOMONTH($F$24,0))=31),F384=EOMONTH($F$24,0)-1,F384=EOMONTH($F$24,0)),SUM(OFFSET(Q384,-E384+1,0):Q384),SUM(OFFSET(Q384,-E384+1,0):Q384)),IF('депозитный калькулятор'!$G$10="ежеквартальное",IF(F384&gt;'депозитный калькулятор'!$D$8," ",IF(AND(EOMONTH(F384,0)=F384,OR(MONTH(F384)=3,MONTH(F384)=6,MONTH(F384)=9,MONTH(F384)=12)),IF(EDATE(F384,-3)&lt;'депозитный калькулятор'!$D$7,SUM($H$23:H384),IF(MOD(YEAR(F384),4)=0,IF(AND(EOMONTH(F384,0)=F384,OR(MONTH(F384)=3,MONTH(F384)=6)),SUM(OFFSET(H384,-90,0):H384),IF(AND(EOMONTH(F384,0)=F384,OR(MONTH(F384)=9,MONTH(F384)=12)),SUM(OFFSET(H384,-91,0):H384))),IF(AND(EOMONTH(F384,0)=F384,MONTH(F384)=3),SUM(OFFSET(H384,-89,0):H384),IF(AND(EOMONTH(F384,0)=F384,MONTH(F384)=6),SUM(OFFSET(H384,-90,0):H384),IF(AND(EOMONTH(F384,0)=F384,OR(MONTH(F384)=9,MONTH(F384)=12)),SUM(OFFSET(H384,-91,0):H384)))))),IF(F384='депозитный калькулятор'!$D$8,SUM($H$23:H384)-SUM($I$23:I383),0))),IF('депозитный калькулятор'!$G$10="ежегодное",IF(F384&gt;'депозитный калькулятор'!$D$8," ",IF(F384='депозитный калькулятор'!$D$8,SUM($H$23:H384)-SUM($I$23:I383),IF(AND(EOMONTH(F384,0)=F384,MONTH(F384)=12),IF(MOD(YEAR(F383),4)=0,IF(F384-'депозитный калькулятор'!$D$7&lt;366,SUM($H$23:H384),SUM(OFFSET(H384,-365,0):H384)),IF(F384-'депозитный калькулятор'!$D$7&lt;365,SUM($H$23:H384),SUM(OFFSET(H384,-364,0):H384))),0))),IF(AND('депозитный калькулятор'!$G$10="в конце срока",'депозитный калькулятор'!$D$8=F384),SUM($H$23:H384),0))))))))))))))))))</f>
        <v xml:space="preserve"> </v>
      </c>
      <c r="J384" s="59" t="str">
        <f>IF(F384&gt;'депозитный калькулятор'!$D$8," ",IF('депозитный калькулятор'!$G$16="нет",0,IF(AND('депозитный калькулятор'!$G$17="разовая (в конце срока)",F384='депозитный калькулятор'!$D$8),'депозитный калькулятор'!$G$18,IF(AND('депозитный калькулятор'!$G$17="ежемесячная",EOMONTH(F383,0)=F383),'депозитный калькулятор'!$G$18,IF(AND('депозитный калькулятор'!$G$17="ежегодная",DAY(F383)=31,MONTH(F383)=12),'депозитный калькулятор'!$G$18,IF(AND('депозитный калькулятор'!$G$17="ежемесячная в зависимости от остатка",EOMONTH(F383,0)=F383,P383&gt;0),'депозитный калькулятор'!$G$18,IF(AND('депозитный калькулятор'!$G$17="ежегодная в зависимости от остатка",DAY(F383)=31,MONTH(F383)=12,P383&gt;0),'депозитный калькулятор'!$G$18,0)))))))</f>
        <v xml:space="preserve"> </v>
      </c>
      <c r="K384" s="135" t="str">
        <f>IF($F384=" "," ",IFERROR(VLOOKUP($F384,'депозитный калькулятор'!$B$26:$F$70,2,0),0))</f>
        <v xml:space="preserve"> </v>
      </c>
      <c r="L384" s="135" t="str">
        <f>IF($F384=" "," ",IFERROR(VLOOKUP($F384,'депозитный калькулятор'!$B$26:$F$70,3,0),0))</f>
        <v xml:space="preserve"> </v>
      </c>
      <c r="M384" s="135" t="str">
        <f>IF($F384=" "," ",IFERROR(VLOOKUP($F384,'депозитный калькулятор'!$B$26:$F$70,4,0),0))</f>
        <v xml:space="preserve"> </v>
      </c>
      <c r="N384" s="135" t="str">
        <f>IF($F384=" "," ",IFERROR(VLOOKUP($F384,'депозитный калькулятор'!$B$26:$F$70,5,0),0))</f>
        <v xml:space="preserve"> </v>
      </c>
      <c r="O384" s="146" t="str">
        <f>IF(F384&gt;'депозитный калькулятор'!$D$8," ",IF(F384='депозитный калькулятор'!$D$8,IF(AND($F$24='депозитный калькулятор'!$D$8,'депозитный калькулятор'!$G$13="нет"),-G384-IF(I384=" ",0,I384)-IF(AND(OR('депозитный калькулятор'!$G$7="30/365",'депозитный калькулятор'!$G$7="30/360"),'депозитный калькулятор'!$G$10="в начале срока"),I383,0)-L384+M384-N384,-G384-IF(I384=" ",0,I384)-L384+M384-N384),IF('депозитный калькулятор'!$G$13="есть",M384-N384+IF('депозитный калькулятор'!$G$14="есть",0,-L384),-IF(I384=" ",0,I384)-IF(AND(OR('депозитный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срока"),I383,0)+M384-N384+IF('депозитный калькулятор'!$G$14="есть",0,-L384))))</f>
        <v xml:space="preserve"> </v>
      </c>
      <c r="P384" s="147" t="str">
        <f>IF(F384&gt;'депозитный калькулятор'!$D$8," ",IF(EOMONTH(F383,0)=F383,0,IF(G384&gt;='депозитный калькулятор'!$G$19,P383,P383+1)))</f>
        <v xml:space="preserve"> </v>
      </c>
      <c r="Q384" s="138" t="str">
        <f>IF(F384=" "," ",IF(AND(OR('депозитный калькулятор'!$G$7="30/365",'депозитный калькулятор'!$G$7="30/360"),AND(MONTH(F384)=2,EOMONTH(F384,0)=F384)),IF(DAY(F384)=28,3,2),1)*IF(G384&gt;='депозитный калькулятор'!$G$11,IF(AND('депозитный калькулятор'!$G$7="факт/факт",MOD(YEAR(F384),4)=0),G384*'депозитный калькулятор'!$D$11/366,G384*'депозитный калькулятор'!$G$8),0))</f>
        <v xml:space="preserve"> </v>
      </c>
      <c r="R384" s="158"/>
      <c r="S384" s="62" t="str">
        <f t="shared" ca="1" si="27"/>
        <v xml:space="preserve"> </v>
      </c>
      <c r="T384" s="149" t="str">
        <f ca="1">IF(S384=" "," ",IF('депозитный калькулятор'!$G$7="30/360",DAYS360(U383,IF(DAY(U384)=31,U384-1,U384))+IF(AND(MONTH(U384)=2,U384=EOMONTH(U384,0)),30-DAY(EOMONTH(U384,0)))+T383,VLOOKUP(S384,$C$22:$F$1023,2,0)))</f>
        <v xml:space="preserve"> </v>
      </c>
      <c r="U384" s="64" t="str">
        <f t="shared" ca="1" si="25"/>
        <v xml:space="preserve"> </v>
      </c>
      <c r="V384" s="150" t="str">
        <f t="shared" ca="1" si="28"/>
        <v xml:space="preserve"> </v>
      </c>
      <c r="W384" s="62" t="str">
        <f t="shared" ca="1" si="29"/>
        <v xml:space="preserve"> </v>
      </c>
      <c r="X384" s="141" t="str">
        <f ca="1">IF(S384=" "," ",IFERROR(VLOOKUP(U384,$F$23:$N$1023,7)+VLOOKUP(U384,$F$23:$N$1023,9)+IF(AND('депозитный калькулятор'!$G$13="нет",U384&lt;&gt;'депозитный калькулятор'!$D$8),VLOOKUP(U384,$F$23:$N$1023,4),0),0)+IF(U384='депозитный калькулятор'!$D$8,VLOOKUP(U384,$F$23:$N$1023,2)+VLOOKUP(U384,$F$23:$N$1023,4),0))</f>
        <v xml:space="preserve"> </v>
      </c>
      <c r="Y384" s="142" t="str">
        <f ca="1">IF(S384=" "," ",W384/(1+'депозитный калькулятор'!$K$8)^(T384/IF('депозитный калькулятор'!$G$7="30/360",360,365)))</f>
        <v xml:space="preserve"> </v>
      </c>
      <c r="Z384" s="142" t="str">
        <f ca="1">IF(S384=" "," ",X384/(1+'депозитный калькулятор'!$K$8)^(T384/IF('депозитный калькулятор'!$G$7="30/360",360,365)))</f>
        <v xml:space="preserve"> </v>
      </c>
      <c r="AA384" s="151"/>
      <c r="AB384" s="151"/>
      <c r="AC384" s="155"/>
      <c r="AD384" s="155"/>
    </row>
    <row r="385" spans="1:32" s="2" customFormat="1" ht="15.5" x14ac:dyDescent="0.35">
      <c r="A385" s="41" t="str">
        <f>IF(F385=" "," ",IF(OR('депозитный калькулятор'!$G$7="30/365",'депозитный калькулятор'!$G$7="30/360"),IF(AND(MONTH(F385)=2,DAY(F385)=DAY(EOMONTH(F385,0))),30-DAY(EOMONTH(F385,0)),IF(DAY(F385)=31,1," "))," "))</f>
        <v xml:space="preserve"> </v>
      </c>
      <c r="B385" s="130" t="str">
        <f t="shared" si="26"/>
        <v xml:space="preserve"> </v>
      </c>
      <c r="C385" s="130" t="str">
        <f>IF(OR(B385=0,B385=" ")," ",SUM($B$23:B385))</f>
        <v xml:space="preserve"> </v>
      </c>
      <c r="D385" s="62" t="str">
        <f>IF(D384=" "," ",IF(OR(F384='депозитный калькулятор'!$D$8,F384=" ")," ",D384+1))</f>
        <v xml:space="preserve"> </v>
      </c>
      <c r="E385" s="130" t="str">
        <f>IF(OR(F384='депозитный калькулятор'!$D$8,F384=" ")," ",IF(EOMONTH(F384,0)=F384,1,E384+1))</f>
        <v xml:space="preserve"> </v>
      </c>
      <c r="F385" s="64" t="str">
        <f>IF(F384=" "," ",IF(F384='депозитный калькулятор'!$D$8," ",F384+1))</f>
        <v xml:space="preserve"> </v>
      </c>
      <c r="G385" s="145" t="str">
        <f xml:space="preserve"> IF(F385&gt;'депозитный калькулятор'!$D$8," ",IF('депозитный калькулятор'!$G$13="есть",IF('депозитный калькулятор'!$G$14="есть",G384+IF(I384=" ",0,I384)-J385-K385+L385+M385-N385,G384+IF(I384=" ",0,I384)-J385-K385+M385-N385),IF('депозитный калькулятор'!$G$14="есть",G384-J385-K385+L385+M385-N385,G384-J385-K385+M385-N385)))</f>
        <v xml:space="preserve"> </v>
      </c>
      <c r="H385" s="133" t="str">
        <f>IF(F385&gt;'депозитный калькулятор'!$D$8," ",IF(AND(OR('депозитный калькулятор'!$G$7="30/365",'депозитный калькулятор'!$G$7="30/360"),AND(MONTH(F385)=2,EOMONTH(F385,0)=F385)),IF(DAY(F385)=28,3*G385*'депозитный калькулятор'!$G$8,2*G385*'депозитный калькулятор'!$G$8),IF(AND(OR('депозитный калькулятор'!$G$7="30/365",'депозитный калькулятор'!$G$7="30/360"),DAY(F385)=31)," ",IF(AND('депозитный калькулятор'!$G$7="факт/факт",MOD(YEAR(F385),4)=0),G385*'депозитный калькулятор'!$D$11/366,G385*'депозитный калькулятор'!$G$8))))</f>
        <v xml:space="preserve"> </v>
      </c>
      <c r="I385" s="134" t="str">
        <f ca="1">IF(F385=" "," ",IF('депозитный калькулятор'!$G$10="ежедневное",H385,IF(AND('депозитный калькулятор'!$G$10="еженедельное",WEEKDAY(F385,2)=7),SUM(OFFSET(H385,-6,0):H385),IF(AND('депозитный калькулятор'!$G$10="еженедельное",F385='депозитный калькулятор'!$D$8),SUM($H$23:H385)-SUM($I$23:I384),IF(AND('депозитный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недели",WEEKDAY(F385,2)=7),MIN(OFFSET(H385,-6,0):H385)*(COUNTIF(OFFSET(H385,-6,0):H385,"&gt;0")+SUMIF(OFFSET(A385,-WEEKDAY(F385,2),0):A385,"=2",OFFSET(A385,-WEEKDAY(F385,2),0):A385)),IF(AND('депозитный калькулятор'!$G$10="еженедельное, на минимальную сумму зафиксированную в течение недели",F385='депозитный калькулятор'!$D$8,WEEKDAY(F385,2)&lt;&gt;7),MIN(OFFSET(H385,-WEEKDAY(F385,2),0):H385)*(COUNTIF(OFFSET(H385,-WEEKDAY(F385,2)+1,0):H385,"&gt;0")+SUM(OFFSET(A385,-WEEKDAY(F385,2),0):A385)),IF(AND('депозитный калькулятор'!$G$10="ежемесячное (в конце месяца)",F385='депозитный калькулятор'!$D$8,EOMONTH(F385,0)&lt;&gt;F385),IF('депозитный калькулятор'!$F$1=1,$H$24,SUM($H$23:H385)-SUM($I$23:I384)),IF(AND('депозитный калькулятор'!$G$10="ежемесячное (в конце месяца)",EOMONTH(F385,0)=F385),SUM($H$23:H385)-SUM($I$23:I384),IF(AND('депозитный калькулятор'!$G$10="ежемесячное (по дням открытия вклада)",F385='депозитный калькулятор'!$D$8,DAY('депозитный калькулятор'!$D$7)&lt;&gt;DAY(F385)),IF('депозитный калькулятор'!$F$1=1,$H$24,SUM($H$23:H385)-SUM($I$23:I384)),IF(AND('депозитный калькулятор'!$G$10="ежемесячное (по дням открытия вклада)",DAY('депозитный калькулятор'!$D$7)=DAY(F385)),SUM($H$23:H385)-SUM($I$23:I384),IF(AND('депозитный калькулятор'!$G$10="ежемесячное, на минимальную сумму зафиксированную в течение месяца",F385='депозитный калькулятор'!$D$8,EOMONTH(F385,0)&lt;&gt;F385),IF('депозитный калькулятор'!$F$1=1,$H$24,IF(AND(OR('депозитный калькулятор'!$G$7="30/365",'депозитный калькулятор'!$G$7="30/360"),DAY(F385)=31),0,MIN(OFFSET(H385,-E385+1,0):H385)*(E385+SUMIF(OFFSET(A385,-E385+1,0):A385,"=2",OFFSET(A385,-E385+1,0):A385)))),IF(AND('депозитный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калькулятор'!$G$7="30/360"),DAY(EOMONTH(F385,0))=31),EOMONTH(F385,0)-1=F385,EOMONTH(F385,0)=F385)),IF(IF(AND(OR('депозитный калькулятор'!$G$7="30/365",'депозитный калькулятор'!$G$7="30/360"),DAY(EOMONTH($F$23,0))=31),F385=EOMONTH($F$23,0)-1,F385=EOMONTH($F$23,0)),MIN(OFFSET(H385,-(DAY(F385)-DAY($F$23)),0):H385)*E385,MIN(OFFSET(H385,-(DAY(F385)-1),0):H385)*IF(AND(OR('депозитный калькулятор'!$G$7="30/365",'депозитный калькулятор'!$G$7="30/360"),DAY(F385)&lt;30),30,DAY(F385))),IF(AND('депозитный калькулятор'!$G$10="ежемесячное, на средний остаток в течение месяца, при условии что остаток больше чем ограничение",F385='депозитный калькулятор'!$D$8,EOMONTH(F385,0)&lt;&gt;F385),IF('депозитный калькулятор'!$F$1=1,$H$24,SUM(OFFSET(Q385,-E385+1,0):Q385)),IF(AND('депозитный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калькулятор'!$G$7="30/360"),DAY(EOMONTH(F385,0))=31),EOMONTH(F385,0)-1=F385,EOMONTH(F385,0)=F385)),IF(IF(AND(OR('депозитный калькулятор'!$G$7="30/365",'депозитный калькулятор'!$G$7="30/360"),DAY(EOMONTH($F$24,0))=31),F385=EOMONTH($F$24,0)-1,F385=EOMONTH($F$24,0)),SUM(OFFSET(Q385,-E385+1,0):Q385),SUM(OFFSET(Q385,-E385+1,0):Q385)),IF('депозитный калькулятор'!$G$10="ежеквартальное",IF(F385&gt;'депозитный калькулятор'!$D$8," ",IF(AND(EOMONTH(F385,0)=F385,OR(MONTH(F385)=3,MONTH(F385)=6,MONTH(F385)=9,MONTH(F385)=12)),IF(EDATE(F385,-3)&lt;'депозитный калькулятор'!$D$7,SUM($H$23:H385),IF(MOD(YEAR(F385),4)=0,IF(AND(EOMONTH(F385,0)=F385,OR(MONTH(F385)=3,MONTH(F385)=6)),SUM(OFFSET(H385,-90,0):H385),IF(AND(EOMONTH(F385,0)=F385,OR(MONTH(F385)=9,MONTH(F385)=12)),SUM(OFFSET(H385,-91,0):H385))),IF(AND(EOMONTH(F385,0)=F385,MONTH(F385)=3),SUM(OFFSET(H385,-89,0):H385),IF(AND(EOMONTH(F385,0)=F385,MONTH(F385)=6),SUM(OFFSET(H385,-90,0):H385),IF(AND(EOMONTH(F385,0)=F385,OR(MONTH(F385)=9,MONTH(F385)=12)),SUM(OFFSET(H385,-91,0):H385)))))),IF(F385='депозитный калькулятор'!$D$8,SUM($H$23:H385)-SUM($I$23:I384),0))),IF('депозитный калькулятор'!$G$10="ежегодное",IF(F385&gt;'депозитный калькулятор'!$D$8," ",IF(F385='депозитный калькулятор'!$D$8,SUM($H$23:H385)-SUM($I$23:I384),IF(AND(EOMONTH(F385,0)=F385,MONTH(F385)=12),IF(MOD(YEAR(F384),4)=0,IF(F385-'депозитный калькулятор'!$D$7&lt;366,SUM($H$23:H385),SUM(OFFSET(H385,-365,0):H385)),IF(F385-'депозитный калькулятор'!$D$7&lt;365,SUM($H$23:H385),SUM(OFFSET(H385,-364,0):H385))),0))),IF(AND('депозитный калькулятор'!$G$10="в конце срока",'депозитный калькулятор'!$D$8=F385),SUM($H$23:H385),0))))))))))))))))))</f>
        <v xml:space="preserve"> </v>
      </c>
      <c r="J385" s="59" t="str">
        <f>IF(F385&gt;'депозитный калькулятор'!$D$8," ",IF('депозитный калькулятор'!$G$16="нет",0,IF(AND('депозитный калькулятор'!$G$17="разовая (в конце срока)",F385='депозитный калькулятор'!$D$8),'депозитный калькулятор'!$G$18,IF(AND('депозитный калькулятор'!$G$17="ежемесячная",EOMONTH(F384,0)=F384),'депозитный калькулятор'!$G$18,IF(AND('депозитный калькулятор'!$G$17="ежегодная",DAY(F384)=31,MONTH(F384)=12),'депозитный калькулятор'!$G$18,IF(AND('депозитный калькулятор'!$G$17="ежемесячная в зависимости от остатка",EOMONTH(F384,0)=F384,P384&gt;0),'депозитный калькулятор'!$G$18,IF(AND('депозитный калькулятор'!$G$17="ежегодная в зависимости от остатка",DAY(F384)=31,MONTH(F384)=12,P384&gt;0),'депозитный калькулятор'!$G$18,0)))))))</f>
        <v xml:space="preserve"> </v>
      </c>
      <c r="K385" s="135" t="str">
        <f>IF($F385=" "," ",IFERROR(VLOOKUP($F385,'депозитный калькулятор'!$B$26:$F$70,2,0),0))</f>
        <v xml:space="preserve"> </v>
      </c>
      <c r="L385" s="135" t="str">
        <f>IF($F385=" "," ",IFERROR(VLOOKUP($F385,'депозитный калькулятор'!$B$26:$F$70,3,0),0))</f>
        <v xml:space="preserve"> </v>
      </c>
      <c r="M385" s="135" t="str">
        <f>IF($F385=" "," ",IFERROR(VLOOKUP($F385,'депозитный калькулятор'!$B$26:$F$70,4,0),0))</f>
        <v xml:space="preserve"> </v>
      </c>
      <c r="N385" s="135" t="str">
        <f>IF($F385=" "," ",IFERROR(VLOOKUP($F385,'депозитный калькулятор'!$B$26:$F$70,5,0),0))</f>
        <v xml:space="preserve"> </v>
      </c>
      <c r="O385" s="146" t="str">
        <f>IF(F385&gt;'депозитный калькулятор'!$D$8," ",IF(F385='депозитный калькулятор'!$D$8,IF(AND($F$24='депозитный калькулятор'!$D$8,'депозитный калькулятор'!$G$13="нет"),-G385-IF(I385=" ",0,I385)-IF(AND(OR('депозитный калькулятор'!$G$7="30/365",'депозитный калькулятор'!$G$7="30/360"),'депозитный калькулятор'!$G$10="в начале срока"),I384,0)-L385+M385-N385,-G385-IF(I385=" ",0,I385)-L385+M385-N385),IF('депозитный калькулятор'!$G$13="есть",M385-N385+IF('депозитный калькулятор'!$G$14="есть",0,-L385),-IF(I385=" ",0,I385)-IF(AND(OR('депозитный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срока"),I384,0)+M385-N385+IF('депозитный калькулятор'!$G$14="есть",0,-L385))))</f>
        <v xml:space="preserve"> </v>
      </c>
      <c r="P385" s="147" t="str">
        <f>IF(F385&gt;'депозитный калькулятор'!$D$8," ",IF(EOMONTH(F384,0)=F384,0,IF(G385&gt;='депозитный калькулятор'!$G$19,P384,P384+1)))</f>
        <v xml:space="preserve"> </v>
      </c>
      <c r="Q385" s="138" t="str">
        <f>IF(F385=" "," ",IF(AND(OR('депозитный калькулятор'!$G$7="30/365",'депозитный калькулятор'!$G$7="30/360"),AND(MONTH(F385)=2,EOMONTH(F385,0)=F385)),IF(DAY(F385)=28,3,2),1)*IF(G385&gt;='депозитный калькулятор'!$G$11,IF(AND('депозитный калькулятор'!$G$7="факт/факт",MOD(YEAR(F385),4)=0),G385*'депозитный калькулятор'!$D$11/366,G385*'депозитный калькулятор'!$G$8),0))</f>
        <v xml:space="preserve"> </v>
      </c>
      <c r="R385" s="158"/>
      <c r="S385" s="62" t="str">
        <f t="shared" ca="1" si="27"/>
        <v xml:space="preserve"> </v>
      </c>
      <c r="T385" s="149" t="str">
        <f ca="1">IF(S385=" "," ",IF('депозитный калькулятор'!$G$7="30/360",DAYS360(U384,IF(DAY(U385)=31,U385-1,U385))+IF(AND(MONTH(U385)=2,U385=EOMONTH(U385,0)),30-DAY(EOMONTH(U385,0)))+T384,VLOOKUP(S385,$C$22:$F$1023,2,0)))</f>
        <v xml:space="preserve"> </v>
      </c>
      <c r="U385" s="64" t="str">
        <f t="shared" ca="1" si="25"/>
        <v xml:space="preserve"> </v>
      </c>
      <c r="V385" s="150" t="str">
        <f t="shared" ca="1" si="28"/>
        <v xml:space="preserve"> </v>
      </c>
      <c r="W385" s="62" t="str">
        <f t="shared" ca="1" si="29"/>
        <v xml:space="preserve"> </v>
      </c>
      <c r="X385" s="141" t="str">
        <f ca="1">IF(S385=" "," ",IFERROR(VLOOKUP(U385,$F$23:$N$1023,7)+VLOOKUP(U385,$F$23:$N$1023,9)+IF(AND('депозитный калькулятор'!$G$13="нет",U385&lt;&gt;'депозитный калькулятор'!$D$8),VLOOKUP(U385,$F$23:$N$1023,4),0),0)+IF(U385='депозитный калькулятор'!$D$8,VLOOKUP(U385,$F$23:$N$1023,2)+VLOOKUP(U385,$F$23:$N$1023,4),0))</f>
        <v xml:space="preserve"> </v>
      </c>
      <c r="Y385" s="142" t="str">
        <f ca="1">IF(S385=" "," ",W385/(1+'депозитный калькулятор'!$K$8)^(T385/IF('депозитный калькулятор'!$G$7="30/360",360,365)))</f>
        <v xml:space="preserve"> </v>
      </c>
      <c r="Z385" s="142" t="str">
        <f ca="1">IF(S385=" "," ",X385/(1+'депозитный калькулятор'!$K$8)^(T385/IF('депозитный калькулятор'!$G$7="30/360",360,365)))</f>
        <v xml:space="preserve"> </v>
      </c>
      <c r="AA385" s="151"/>
      <c r="AB385" s="151"/>
      <c r="AC385" s="155"/>
      <c r="AD385" s="155"/>
      <c r="AF385" s="5"/>
    </row>
    <row r="386" spans="1:32" s="2" customFormat="1" ht="15.5" x14ac:dyDescent="0.35">
      <c r="A386" s="41" t="str">
        <f>IF(F386=" "," ",IF(OR('депозитный калькулятор'!$G$7="30/365",'депозитный калькулятор'!$G$7="30/360"),IF(AND(MONTH(F386)=2,DAY(F386)=DAY(EOMONTH(F386,0))),30-DAY(EOMONTH(F386,0)),IF(DAY(F386)=31,1," "))," "))</f>
        <v xml:space="preserve"> </v>
      </c>
      <c r="B386" s="130" t="str">
        <f t="shared" si="26"/>
        <v xml:space="preserve"> </v>
      </c>
      <c r="C386" s="130" t="str">
        <f>IF(OR(B386=0,B386=" ")," ",SUM($B$23:B386))</f>
        <v xml:space="preserve"> </v>
      </c>
      <c r="D386" s="62" t="str">
        <f>IF(D385=" "," ",IF(OR(F385='депозитный калькулятор'!$D$8,F385=" ")," ",D385+1))</f>
        <v xml:space="preserve"> </v>
      </c>
      <c r="E386" s="130" t="str">
        <f>IF(OR(F385='депозитный калькулятор'!$D$8,F385=" ")," ",IF(EOMONTH(F385,0)=F385,1,E385+1))</f>
        <v xml:space="preserve"> </v>
      </c>
      <c r="F386" s="64" t="str">
        <f>IF(F385=" "," ",IF(F385='депозитный калькулятор'!$D$8," ",F385+1))</f>
        <v xml:space="preserve"> </v>
      </c>
      <c r="G386" s="145" t="str">
        <f xml:space="preserve"> IF(F386&gt;'депозитный калькулятор'!$D$8," ",IF('депозитный калькулятор'!$G$13="есть",IF('депозитный калькулятор'!$G$14="есть",G385+IF(I385=" ",0,I385)-J386-K386+L386+M386-N386,G385+IF(I385=" ",0,I385)-J386-K386+M386-N386),IF('депозитный калькулятор'!$G$14="есть",G385-J386-K386+L386+M386-N386,G385-J386-K386+M386-N386)))</f>
        <v xml:space="preserve"> </v>
      </c>
      <c r="H386" s="133" t="str">
        <f>IF(F386&gt;'депозитный калькулятор'!$D$8," ",IF(AND(OR('депозитный калькулятор'!$G$7="30/365",'депозитный калькулятор'!$G$7="30/360"),AND(MONTH(F386)=2,EOMONTH(F386,0)=F386)),IF(DAY(F386)=28,3*G386*'депозитный калькулятор'!$G$8,2*G386*'депозитный калькулятор'!$G$8),IF(AND(OR('депозитный калькулятор'!$G$7="30/365",'депозитный калькулятор'!$G$7="30/360"),DAY(F386)=31)," ",IF(AND('депозитный калькулятор'!$G$7="факт/факт",MOD(YEAR(F386),4)=0),G386*'депозитный калькулятор'!$D$11/366,G386*'депозитный калькулятор'!$G$8))))</f>
        <v xml:space="preserve"> </v>
      </c>
      <c r="I386" s="134" t="str">
        <f ca="1">IF(F386=" "," ",IF('депозитный калькулятор'!$G$10="ежедневное",H386,IF(AND('депозитный калькулятор'!$G$10="еженедельное",WEEKDAY(F386,2)=7),SUM(OFFSET(H386,-6,0):H386),IF(AND('депозитный калькулятор'!$G$10="еженедельное",F386='депозитный калькулятор'!$D$8),SUM($H$23:H386)-SUM($I$23:I385),IF(AND('депозитный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недели",WEEKDAY(F386,2)=7),MIN(OFFSET(H386,-6,0):H386)*(COUNTIF(OFFSET(H386,-6,0):H386,"&gt;0")+SUMIF(OFFSET(A386,-WEEKDAY(F386,2),0):A386,"=2",OFFSET(A386,-WEEKDAY(F386,2),0):A386)),IF(AND('депозитный калькулятор'!$G$10="еженедельное, на минимальную сумму зафиксированную в течение недели",F386='депозитный калькулятор'!$D$8,WEEKDAY(F386,2)&lt;&gt;7),MIN(OFFSET(H386,-WEEKDAY(F386,2),0):H386)*(COUNTIF(OFFSET(H386,-WEEKDAY(F386,2)+1,0):H386,"&gt;0")+SUM(OFFSET(A386,-WEEKDAY(F386,2),0):A386)),IF(AND('депозитный калькулятор'!$G$10="ежемесячное (в конце месяца)",F386='депозитный калькулятор'!$D$8,EOMONTH(F386,0)&lt;&gt;F386),IF('депозитный калькулятор'!$F$1=1,$H$24,SUM($H$23:H386)-SUM($I$23:I385)),IF(AND('депозитный калькулятор'!$G$10="ежемесячное (в конце месяца)",EOMONTH(F386,0)=F386),SUM($H$23:H386)-SUM($I$23:I385),IF(AND('депозитный калькулятор'!$G$10="ежемесячное (по дням открытия вклада)",F386='депозитный калькулятор'!$D$8,DAY('депозитный калькулятор'!$D$7)&lt;&gt;DAY(F386)),IF('депозитный калькулятор'!$F$1=1,$H$24,SUM($H$23:H386)-SUM($I$23:I385)),IF(AND('депозитный калькулятор'!$G$10="ежемесячное (по дням открытия вклада)",DAY('депозитный калькулятор'!$D$7)=DAY(F386)),SUM($H$23:H386)-SUM($I$23:I385),IF(AND('депозитный калькулятор'!$G$10="ежемесячное, на минимальную сумму зафиксированную в течение месяца",F386='депозитный калькулятор'!$D$8,EOMONTH(F386,0)&lt;&gt;F386),IF('депозитный калькулятор'!$F$1=1,$H$24,IF(AND(OR('депозитный калькулятор'!$G$7="30/365",'депозитный калькулятор'!$G$7="30/360"),DAY(F386)=31),0,MIN(OFFSET(H386,-E386+1,0):H386)*(E386+SUMIF(OFFSET(A386,-E386+1,0):A386,"=2",OFFSET(A386,-E386+1,0):A386)))),IF(AND('депозитный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калькулятор'!$G$7="30/360"),DAY(EOMONTH(F386,0))=31),EOMONTH(F386,0)-1=F386,EOMONTH(F386,0)=F386)),IF(IF(AND(OR('депозитный калькулятор'!$G$7="30/365",'депозитный калькулятор'!$G$7="30/360"),DAY(EOMONTH($F$23,0))=31),F386=EOMONTH($F$23,0)-1,F386=EOMONTH($F$23,0)),MIN(OFFSET(H386,-(DAY(F386)-DAY($F$23)),0):H386)*E386,MIN(OFFSET(H386,-(DAY(F386)-1),0):H386)*IF(AND(OR('депозитный калькулятор'!$G$7="30/365",'депозитный калькулятор'!$G$7="30/360"),DAY(F386)&lt;30),30,DAY(F386))),IF(AND('депозитный калькулятор'!$G$10="ежемесячное, на средний остаток в течение месяца, при условии что остаток больше чем ограничение",F386='депозитный калькулятор'!$D$8,EOMONTH(F386,0)&lt;&gt;F386),IF('депозитный калькулятор'!$F$1=1,$H$24,SUM(OFFSET(Q386,-E386+1,0):Q386)),IF(AND('депозитный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калькулятор'!$G$7="30/360"),DAY(EOMONTH(F386,0))=31),EOMONTH(F386,0)-1=F386,EOMONTH(F386,0)=F386)),IF(IF(AND(OR('депозитный калькулятор'!$G$7="30/365",'депозитный калькулятор'!$G$7="30/360"),DAY(EOMONTH($F$24,0))=31),F386=EOMONTH($F$24,0)-1,F386=EOMONTH($F$24,0)),SUM(OFFSET(Q386,-E386+1,0):Q386),SUM(OFFSET(Q386,-E386+1,0):Q386)),IF('депозитный калькулятор'!$G$10="ежеквартальное",IF(F386&gt;'депозитный калькулятор'!$D$8," ",IF(AND(EOMONTH(F386,0)=F386,OR(MONTH(F386)=3,MONTH(F386)=6,MONTH(F386)=9,MONTH(F386)=12)),IF(EDATE(F386,-3)&lt;'депозитный калькулятор'!$D$7,SUM($H$23:H386),IF(MOD(YEAR(F386),4)=0,IF(AND(EOMONTH(F386,0)=F386,OR(MONTH(F386)=3,MONTH(F386)=6)),SUM(OFFSET(H386,-90,0):H386),IF(AND(EOMONTH(F386,0)=F386,OR(MONTH(F386)=9,MONTH(F386)=12)),SUM(OFFSET(H386,-91,0):H386))),IF(AND(EOMONTH(F386,0)=F386,MONTH(F386)=3),SUM(OFFSET(H386,-89,0):H386),IF(AND(EOMONTH(F386,0)=F386,MONTH(F386)=6),SUM(OFFSET(H386,-90,0):H386),IF(AND(EOMONTH(F386,0)=F386,OR(MONTH(F386)=9,MONTH(F386)=12)),SUM(OFFSET(H386,-91,0):H386)))))),IF(F386='депозитный калькулятор'!$D$8,SUM($H$23:H386)-SUM($I$23:I385),0))),IF('депозитный калькулятор'!$G$10="ежегодное",IF(F386&gt;'депозитный калькулятор'!$D$8," ",IF(F386='депозитный калькулятор'!$D$8,SUM($H$23:H386)-SUM($I$23:I385),IF(AND(EOMONTH(F386,0)=F386,MONTH(F386)=12),IF(MOD(YEAR(F385),4)=0,IF(F386-'депозитный калькулятор'!$D$7&lt;366,SUM($H$23:H386),SUM(OFFSET(H386,-365,0):H386)),IF(F386-'депозитный калькулятор'!$D$7&lt;365,SUM($H$23:H386),SUM(OFFSET(H386,-364,0):H386))),0))),IF(AND('депозитный калькулятор'!$G$10="в конце срока",'депозитный калькулятор'!$D$8=F386),SUM($H$23:H386),0))))))))))))))))))</f>
        <v xml:space="preserve"> </v>
      </c>
      <c r="J386" s="59" t="str">
        <f>IF(F386&gt;'депозитный калькулятор'!$D$8," ",IF('депозитный калькулятор'!$G$16="нет",0,IF(AND('депозитный калькулятор'!$G$17="разовая (в конце срока)",F386='депозитный калькулятор'!$D$8),'депозитный калькулятор'!$G$18,IF(AND('депозитный калькулятор'!$G$17="ежемесячная",EOMONTH(F385,0)=F385),'депозитный калькулятор'!$G$18,IF(AND('депозитный калькулятор'!$G$17="ежегодная",DAY(F385)=31,MONTH(F385)=12),'депозитный калькулятор'!$G$18,IF(AND('депозитный калькулятор'!$G$17="ежемесячная в зависимости от остатка",EOMONTH(F385,0)=F385,P385&gt;0),'депозитный калькулятор'!$G$18,IF(AND('депозитный калькулятор'!$G$17="ежегодная в зависимости от остатка",DAY(F385)=31,MONTH(F385)=12,P385&gt;0),'депозитный калькулятор'!$G$18,0)))))))</f>
        <v xml:space="preserve"> </v>
      </c>
      <c r="K386" s="135" t="str">
        <f>IF($F386=" "," ",IFERROR(VLOOKUP($F386,'депозитный калькулятор'!$B$26:$F$70,2,0),0))</f>
        <v xml:space="preserve"> </v>
      </c>
      <c r="L386" s="135" t="str">
        <f>IF($F386=" "," ",IFERROR(VLOOKUP($F386,'депозитный калькулятор'!$B$26:$F$70,3,0),0))</f>
        <v xml:space="preserve"> </v>
      </c>
      <c r="M386" s="135" t="str">
        <f>IF($F386=" "," ",IFERROR(VLOOKUP($F386,'депозитный калькулятор'!$B$26:$F$70,4,0),0))</f>
        <v xml:space="preserve"> </v>
      </c>
      <c r="N386" s="135" t="str">
        <f>IF($F386=" "," ",IFERROR(VLOOKUP($F386,'депозитный калькулятор'!$B$26:$F$70,5,0),0))</f>
        <v xml:space="preserve"> </v>
      </c>
      <c r="O386" s="146" t="str">
        <f>IF(F386&gt;'депозитный калькулятор'!$D$8," ",IF(F386='депозитный калькулятор'!$D$8,IF(AND($F$24='депозитный калькулятор'!$D$8,'депозитный калькулятор'!$G$13="нет"),-G386-IF(I386=" ",0,I386)-IF(AND(OR('депозитный калькулятор'!$G$7="30/365",'депозитный калькулятор'!$G$7="30/360"),'депозитный калькулятор'!$G$10="в начале срока"),I385,0)-L386+M386-N386,-G386-IF(I386=" ",0,I386)-L386+M386-N386),IF('депозитный калькулятор'!$G$13="есть",M386-N386+IF('депозитный калькулятор'!$G$14="есть",0,-L386),-IF(I386=" ",0,I386)-IF(AND(OR('депозитный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срока"),I385,0)+M386-N386+IF('депозитный калькулятор'!$G$14="есть",0,-L386))))</f>
        <v xml:space="preserve"> </v>
      </c>
      <c r="P386" s="147" t="str">
        <f>IF(F386&gt;'депозитный калькулятор'!$D$8," ",IF(EOMONTH(F385,0)=F385,0,IF(G386&gt;='депозитный калькулятор'!$G$19,P385,P385+1)))</f>
        <v xml:space="preserve"> </v>
      </c>
      <c r="Q386" s="138" t="str">
        <f>IF(F386=" "," ",IF(AND(OR('депозитный калькулятор'!$G$7="30/365",'депозитный калькулятор'!$G$7="30/360"),AND(MONTH(F386)=2,EOMONTH(F386,0)=F386)),IF(DAY(F386)=28,3,2),1)*IF(G386&gt;='депозитный калькулятор'!$G$11,IF(AND('депозитный калькулятор'!$G$7="факт/факт",MOD(YEAR(F386),4)=0),G386*'депозитный калькулятор'!$D$11/366,G386*'депозитный калькулятор'!$G$8),0))</f>
        <v xml:space="preserve"> </v>
      </c>
      <c r="R386" s="158"/>
      <c r="S386" s="62" t="str">
        <f t="shared" ca="1" si="27"/>
        <v xml:space="preserve"> </v>
      </c>
      <c r="T386" s="149" t="str">
        <f ca="1">IF(S386=" "," ",IF('депозитный калькулятор'!$G$7="30/360",DAYS360(U385,IF(DAY(U386)=31,U386-1,U386))+IF(AND(MONTH(U386)=2,U386=EOMONTH(U386,0)),30-DAY(EOMONTH(U386,0)))+T385,VLOOKUP(S386,$C$22:$F$1023,2,0)))</f>
        <v xml:space="preserve"> </v>
      </c>
      <c r="U386" s="64" t="str">
        <f t="shared" ca="1" si="25"/>
        <v xml:space="preserve"> </v>
      </c>
      <c r="V386" s="150" t="str">
        <f t="shared" ca="1" si="28"/>
        <v xml:space="preserve"> </v>
      </c>
      <c r="W386" s="62" t="str">
        <f t="shared" ca="1" si="29"/>
        <v xml:space="preserve"> </v>
      </c>
      <c r="X386" s="141" t="str">
        <f ca="1">IF(S386=" "," ",IFERROR(VLOOKUP(U386,$F$23:$N$1023,7)+VLOOKUP(U386,$F$23:$N$1023,9)+IF(AND('депозитный калькулятор'!$G$13="нет",U386&lt;&gt;'депозитный калькулятор'!$D$8),VLOOKUP(U386,$F$23:$N$1023,4),0),0)+IF(U386='депозитный калькулятор'!$D$8,VLOOKUP(U386,$F$23:$N$1023,2)+VLOOKUP(U386,$F$23:$N$1023,4),0))</f>
        <v xml:space="preserve"> </v>
      </c>
      <c r="Y386" s="142" t="str">
        <f ca="1">IF(S386=" "," ",W386/(1+'депозитный калькулятор'!$K$8)^(T386/IF('депозитный калькулятор'!$G$7="30/360",360,365)))</f>
        <v xml:space="preserve"> </v>
      </c>
      <c r="Z386" s="142" t="str">
        <f ca="1">IF(S386=" "," ",X386/(1+'депозитный калькулятор'!$K$8)^(T386/IF('депозитный калькулятор'!$G$7="30/360",360,365)))</f>
        <v xml:space="preserve"> </v>
      </c>
      <c r="AA386" s="151"/>
      <c r="AB386" s="151"/>
      <c r="AC386" s="155"/>
      <c r="AD386" s="155"/>
      <c r="AF386" s="5"/>
    </row>
    <row r="387" spans="1:32" s="2" customFormat="1" ht="15.5" x14ac:dyDescent="0.35">
      <c r="A387" s="41" t="str">
        <f>IF(F387=" "," ",IF(OR('депозитный калькулятор'!$G$7="30/365",'депозитный калькулятор'!$G$7="30/360"),IF(AND(MONTH(F387)=2,DAY(F387)=DAY(EOMONTH(F387,0))),30-DAY(EOMONTH(F387,0)),IF(DAY(F387)=31,1," "))," "))</f>
        <v xml:space="preserve"> </v>
      </c>
      <c r="B387" s="130" t="str">
        <f t="shared" si="26"/>
        <v xml:space="preserve"> </v>
      </c>
      <c r="C387" s="130" t="str">
        <f>IF(OR(B387=0,B387=" ")," ",SUM($B$23:B387))</f>
        <v xml:space="preserve"> </v>
      </c>
      <c r="D387" s="62" t="str">
        <f>IF(D386=" "," ",IF(OR(F386='депозитный калькулятор'!$D$8,F386=" ")," ",D386+1))</f>
        <v xml:space="preserve"> </v>
      </c>
      <c r="E387" s="130" t="str">
        <f>IF(OR(F386='депозитный калькулятор'!$D$8,F386=" ")," ",IF(EOMONTH(F386,0)=F386,1,E386+1))</f>
        <v xml:space="preserve"> </v>
      </c>
      <c r="F387" s="64" t="str">
        <f>IF(F386=" "," ",IF(F386='депозитный калькулятор'!$D$8," ",F386+1))</f>
        <v xml:space="preserve"> </v>
      </c>
      <c r="G387" s="145" t="str">
        <f xml:space="preserve"> IF(F387&gt;'депозитный калькулятор'!$D$8," ",IF('депозитный калькулятор'!$G$13="есть",IF('депозитный калькулятор'!$G$14="есть",G386+IF(I386=" ",0,I386)-J387-K387+L387+M387-N387,G386+IF(I386=" ",0,I386)-J387-K387+M387-N387),IF('депозитный калькулятор'!$G$14="есть",G386-J387-K387+L387+M387-N387,G386-J387-K387+M387-N387)))</f>
        <v xml:space="preserve"> </v>
      </c>
      <c r="H387" s="133" t="str">
        <f>IF(F387&gt;'депозитный калькулятор'!$D$8," ",IF(AND(OR('депозитный калькулятор'!$G$7="30/365",'депозитный калькулятор'!$G$7="30/360"),AND(MONTH(F387)=2,EOMONTH(F387,0)=F387)),IF(DAY(F387)=28,3*G387*'депозитный калькулятор'!$G$8,2*G387*'депозитный калькулятор'!$G$8),IF(AND(OR('депозитный калькулятор'!$G$7="30/365",'депозитный калькулятор'!$G$7="30/360"),DAY(F387)=31)," ",IF(AND('депозитный калькулятор'!$G$7="факт/факт",MOD(YEAR(F387),4)=0),G387*'депозитный калькулятор'!$D$11/366,G387*'депозитный калькулятор'!$G$8))))</f>
        <v xml:space="preserve"> </v>
      </c>
      <c r="I387" s="134" t="str">
        <f ca="1">IF(F387=" "," ",IF('депозитный калькулятор'!$G$10="ежедневное",H387,IF(AND('депозитный калькулятор'!$G$10="еженедельное",WEEKDAY(F387,2)=7),SUM(OFFSET(H387,-6,0):H387),IF(AND('депозитный калькулятор'!$G$10="еженедельное",F387='депозитный калькулятор'!$D$8),SUM($H$23:H387)-SUM($I$23:I386),IF(AND('депозитный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недели",WEEKDAY(F387,2)=7),MIN(OFFSET(H387,-6,0):H387)*(COUNTIF(OFFSET(H387,-6,0):H387,"&gt;0")+SUMIF(OFFSET(A387,-WEEKDAY(F387,2),0):A387,"=2",OFFSET(A387,-WEEKDAY(F387,2),0):A387)),IF(AND('депозитный калькулятор'!$G$10="еженедельное, на минимальную сумму зафиксированную в течение недели",F387='депозитный калькулятор'!$D$8,WEEKDAY(F387,2)&lt;&gt;7),MIN(OFFSET(H387,-WEEKDAY(F387,2),0):H387)*(COUNTIF(OFFSET(H387,-WEEKDAY(F387,2)+1,0):H387,"&gt;0")+SUM(OFFSET(A387,-WEEKDAY(F387,2),0):A387)),IF(AND('депозитный калькулятор'!$G$10="ежемесячное (в конце месяца)",F387='депозитный калькулятор'!$D$8,EOMONTH(F387,0)&lt;&gt;F387),IF('депозитный калькулятор'!$F$1=1,$H$24,SUM($H$23:H387)-SUM($I$23:I386)),IF(AND('депозитный калькулятор'!$G$10="ежемесячное (в конце месяца)",EOMONTH(F387,0)=F387),SUM($H$23:H387)-SUM($I$23:I386),IF(AND('депозитный калькулятор'!$G$10="ежемесячное (по дням открытия вклада)",F387='депозитный калькулятор'!$D$8,DAY('депозитный калькулятор'!$D$7)&lt;&gt;DAY(F387)),IF('депозитный калькулятор'!$F$1=1,$H$24,SUM($H$23:H387)-SUM($I$23:I386)),IF(AND('депозитный калькулятор'!$G$10="ежемесячное (по дням открытия вклада)",DAY('депозитный калькулятор'!$D$7)=DAY(F387)),SUM($H$23:H387)-SUM($I$23:I386),IF(AND('депозитный калькулятор'!$G$10="ежемесячное, на минимальную сумму зафиксированную в течение месяца",F387='депозитный калькулятор'!$D$8,EOMONTH(F387,0)&lt;&gt;F387),IF('депозитный калькулятор'!$F$1=1,$H$24,IF(AND(OR('депозитный калькулятор'!$G$7="30/365",'депозитный калькулятор'!$G$7="30/360"),DAY(F387)=31),0,MIN(OFFSET(H387,-E387+1,0):H387)*(E387+SUMIF(OFFSET(A387,-E387+1,0):A387,"=2",OFFSET(A387,-E387+1,0):A387)))),IF(AND('депозитный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калькулятор'!$G$7="30/360"),DAY(EOMONTH(F387,0))=31),EOMONTH(F387,0)-1=F387,EOMONTH(F387,0)=F387)),IF(IF(AND(OR('депозитный калькулятор'!$G$7="30/365",'депозитный калькулятор'!$G$7="30/360"),DAY(EOMONTH($F$23,0))=31),F387=EOMONTH($F$23,0)-1,F387=EOMONTH($F$23,0)),MIN(OFFSET(H387,-(DAY(F387)-DAY($F$23)),0):H387)*E387,MIN(OFFSET(H387,-(DAY(F387)-1),0):H387)*IF(AND(OR('депозитный калькулятор'!$G$7="30/365",'депозитный калькулятор'!$G$7="30/360"),DAY(F387)&lt;30),30,DAY(F387))),IF(AND('депозитный калькулятор'!$G$10="ежемесячное, на средний остаток в течение месяца, при условии что остаток больше чем ограничение",F387='депозитный калькулятор'!$D$8,EOMONTH(F387,0)&lt;&gt;F387),IF('депозитный калькулятор'!$F$1=1,$H$24,SUM(OFFSET(Q387,-E387+1,0):Q387)),IF(AND('депозитный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калькулятор'!$G$7="30/360"),DAY(EOMONTH(F387,0))=31),EOMONTH(F387,0)-1=F387,EOMONTH(F387,0)=F387)),IF(IF(AND(OR('депозитный калькулятор'!$G$7="30/365",'депозитный калькулятор'!$G$7="30/360"),DAY(EOMONTH($F$24,0))=31),F387=EOMONTH($F$24,0)-1,F387=EOMONTH($F$24,0)),SUM(OFFSET(Q387,-E387+1,0):Q387),SUM(OFFSET(Q387,-E387+1,0):Q387)),IF('депозитный калькулятор'!$G$10="ежеквартальное",IF(F387&gt;'депозитный калькулятор'!$D$8," ",IF(AND(EOMONTH(F387,0)=F387,OR(MONTH(F387)=3,MONTH(F387)=6,MONTH(F387)=9,MONTH(F387)=12)),IF(EDATE(F387,-3)&lt;'депозитный калькулятор'!$D$7,SUM($H$23:H387),IF(MOD(YEAR(F387),4)=0,IF(AND(EOMONTH(F387,0)=F387,OR(MONTH(F387)=3,MONTH(F387)=6)),SUM(OFFSET(H387,-90,0):H387),IF(AND(EOMONTH(F387,0)=F387,OR(MONTH(F387)=9,MONTH(F387)=12)),SUM(OFFSET(H387,-91,0):H387))),IF(AND(EOMONTH(F387,0)=F387,MONTH(F387)=3),SUM(OFFSET(H387,-89,0):H387),IF(AND(EOMONTH(F387,0)=F387,MONTH(F387)=6),SUM(OFFSET(H387,-90,0):H387),IF(AND(EOMONTH(F387,0)=F387,OR(MONTH(F387)=9,MONTH(F387)=12)),SUM(OFFSET(H387,-91,0):H387)))))),IF(F387='депозитный калькулятор'!$D$8,SUM($H$23:H387)-SUM($I$23:I386),0))),IF('депозитный калькулятор'!$G$10="ежегодное",IF(F387&gt;'депозитный калькулятор'!$D$8," ",IF(F387='депозитный калькулятор'!$D$8,SUM($H$23:H387)-SUM($I$23:I386),IF(AND(EOMONTH(F387,0)=F387,MONTH(F387)=12),IF(MOD(YEAR(F386),4)=0,IF(F387-'депозитный калькулятор'!$D$7&lt;366,SUM($H$23:H387),SUM(OFFSET(H387,-365,0):H387)),IF(F387-'депозитный калькулятор'!$D$7&lt;365,SUM($H$23:H387),SUM(OFFSET(H387,-364,0):H387))),0))),IF(AND('депозитный калькулятор'!$G$10="в конце срока",'депозитный калькулятор'!$D$8=F387),SUM($H$23:H387),0))))))))))))))))))</f>
        <v xml:space="preserve"> </v>
      </c>
      <c r="J387" s="59" t="str">
        <f>IF(F387&gt;'депозитный калькулятор'!$D$8," ",IF('депозитный калькулятор'!$G$16="нет",0,IF(AND('депозитный калькулятор'!$G$17="разовая (в конце срока)",F387='депозитный калькулятор'!$D$8),'депозитный калькулятор'!$G$18,IF(AND('депозитный калькулятор'!$G$17="ежемесячная",EOMONTH(F386,0)=F386),'депозитный калькулятор'!$G$18,IF(AND('депозитный калькулятор'!$G$17="ежегодная",DAY(F386)=31,MONTH(F386)=12),'депозитный калькулятор'!$G$18,IF(AND('депозитный калькулятор'!$G$17="ежемесячная в зависимости от остатка",EOMONTH(F386,0)=F386,P386&gt;0),'депозитный калькулятор'!$G$18,IF(AND('депозитный калькулятор'!$G$17="ежегодная в зависимости от остатка",DAY(F386)=31,MONTH(F386)=12,P386&gt;0),'депозитный калькулятор'!$G$18,0)))))))</f>
        <v xml:space="preserve"> </v>
      </c>
      <c r="K387" s="135" t="str">
        <f>IF($F387=" "," ",IFERROR(VLOOKUP($F387,'депозитный калькулятор'!$B$26:$F$70,2,0),0))</f>
        <v xml:space="preserve"> </v>
      </c>
      <c r="L387" s="135" t="str">
        <f>IF($F387=" "," ",IFERROR(VLOOKUP($F387,'депозитный калькулятор'!$B$26:$F$70,3,0),0))</f>
        <v xml:space="preserve"> </v>
      </c>
      <c r="M387" s="135" t="str">
        <f>IF($F387=" "," ",IFERROR(VLOOKUP($F387,'депозитный калькулятор'!$B$26:$F$70,4,0),0))</f>
        <v xml:space="preserve"> </v>
      </c>
      <c r="N387" s="135" t="str">
        <f>IF($F387=" "," ",IFERROR(VLOOKUP($F387,'депозитный калькулятор'!$B$26:$F$70,5,0),0))</f>
        <v xml:space="preserve"> </v>
      </c>
      <c r="O387" s="146" t="str">
        <f>IF(F387&gt;'депозитный калькулятор'!$D$8," ",IF(F387='депозитный калькулятор'!$D$8,IF(AND($F$24='депозитный калькулятор'!$D$8,'депозитный калькулятор'!$G$13="нет"),-G387-IF(I387=" ",0,I387)-IF(AND(OR('депозитный калькулятор'!$G$7="30/365",'депозитный калькулятор'!$G$7="30/360"),'депозитный калькулятор'!$G$10="в начале срока"),I386,0)-L387+M387-N387,-G387-IF(I387=" ",0,I387)-L387+M387-N387),IF('депозитный калькулятор'!$G$13="есть",M387-N387+IF('депозитный калькулятор'!$G$14="есть",0,-L387),-IF(I387=" ",0,I387)-IF(AND(OR('депозитный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срока"),I386,0)+M387-N387+IF('депозитный калькулятор'!$G$14="есть",0,-L387))))</f>
        <v xml:space="preserve"> </v>
      </c>
      <c r="P387" s="147" t="str">
        <f>IF(F387&gt;'депозитный калькулятор'!$D$8," ",IF(EOMONTH(F386,0)=F386,0,IF(G387&gt;='депозитный калькулятор'!$G$19,P386,P386+1)))</f>
        <v xml:space="preserve"> </v>
      </c>
      <c r="Q387" s="138" t="str">
        <f>IF(F387=" "," ",IF(AND(OR('депозитный калькулятор'!$G$7="30/365",'депозитный калькулятор'!$G$7="30/360"),AND(MONTH(F387)=2,EOMONTH(F387,0)=F387)),IF(DAY(F387)=28,3,2),1)*IF(G387&gt;='депозитный калькулятор'!$G$11,IF(AND('депозитный калькулятор'!$G$7="факт/факт",MOD(YEAR(F387),4)=0),G387*'депозитный калькулятор'!$D$11/366,G387*'депозитный калькулятор'!$G$8),0))</f>
        <v xml:space="preserve"> </v>
      </c>
      <c r="R387" s="158"/>
      <c r="S387" s="62" t="str">
        <f t="shared" ca="1" si="27"/>
        <v xml:space="preserve"> </v>
      </c>
      <c r="T387" s="149" t="str">
        <f ca="1">IF(S387=" "," ",IF('депозитный калькулятор'!$G$7="30/360",DAYS360(U386,IF(DAY(U387)=31,U387-1,U387))+IF(AND(MONTH(U387)=2,U387=EOMONTH(U387,0)),30-DAY(EOMONTH(U387,0)))+T386,VLOOKUP(S387,$C$22:$F$1023,2,0)))</f>
        <v xml:space="preserve"> </v>
      </c>
      <c r="U387" s="64" t="str">
        <f t="shared" ca="1" si="25"/>
        <v xml:space="preserve"> </v>
      </c>
      <c r="V387" s="150" t="str">
        <f t="shared" ca="1" si="28"/>
        <v xml:space="preserve"> </v>
      </c>
      <c r="W387" s="62" t="str">
        <f t="shared" ca="1" si="29"/>
        <v xml:space="preserve"> </v>
      </c>
      <c r="X387" s="141" t="str">
        <f ca="1">IF(S387=" "," ",IFERROR(VLOOKUP(U387,$F$23:$N$1023,7)+VLOOKUP(U387,$F$23:$N$1023,9)+IF(AND('депозитный калькулятор'!$G$13="нет",U387&lt;&gt;'депозитный калькулятор'!$D$8),VLOOKUP(U387,$F$23:$N$1023,4),0),0)+IF(U387='депозитный калькулятор'!$D$8,VLOOKUP(U387,$F$23:$N$1023,2)+VLOOKUP(U387,$F$23:$N$1023,4),0))</f>
        <v xml:space="preserve"> </v>
      </c>
      <c r="Y387" s="142" t="str">
        <f ca="1">IF(S387=" "," ",W387/(1+'депозитный калькулятор'!$K$8)^(T387/IF('депозитный калькулятор'!$G$7="30/360",360,365)))</f>
        <v xml:space="preserve"> </v>
      </c>
      <c r="Z387" s="142" t="str">
        <f ca="1">IF(S387=" "," ",X387/(1+'депозитный калькулятор'!$K$8)^(T387/IF('депозитный калькулятор'!$G$7="30/360",360,365)))</f>
        <v xml:space="preserve"> </v>
      </c>
      <c r="AA387" s="151"/>
      <c r="AB387" s="151"/>
      <c r="AC387" s="155"/>
      <c r="AD387" s="155"/>
      <c r="AF387" s="5"/>
    </row>
    <row r="388" spans="1:32" s="2" customFormat="1" ht="15.5" x14ac:dyDescent="0.35">
      <c r="A388" s="41" t="str">
        <f>IF(F388=" "," ",IF(OR('депозитный калькулятор'!$G$7="30/365",'депозитный калькулятор'!$G$7="30/360"),IF(AND(MONTH(F388)=2,DAY(F388)=DAY(EOMONTH(F388,0))),30-DAY(EOMONTH(F388,0)),IF(DAY(F388)=31,1," "))," "))</f>
        <v xml:space="preserve"> </v>
      </c>
      <c r="B388" s="130" t="str">
        <f t="shared" si="26"/>
        <v xml:space="preserve"> </v>
      </c>
      <c r="C388" s="130" t="str">
        <f>IF(OR(B388=0,B388=" ")," ",SUM($B$23:B388))</f>
        <v xml:space="preserve"> </v>
      </c>
      <c r="D388" s="62" t="str">
        <f>IF(D387=" "," ",IF(OR(F387='депозитный калькулятор'!$D$8,F387=" ")," ",D387+1))</f>
        <v xml:space="preserve"> </v>
      </c>
      <c r="E388" s="130" t="str">
        <f>IF(OR(F387='депозитный калькулятор'!$D$8,F387=" ")," ",IF(EOMONTH(F387,0)=F387,1,E387+1))</f>
        <v xml:space="preserve"> </v>
      </c>
      <c r="F388" s="64" t="str">
        <f>IF(F387=" "," ",IF(F387='депозитный калькулятор'!$D$8," ",F387+1))</f>
        <v xml:space="preserve"> </v>
      </c>
      <c r="G388" s="145" t="str">
        <f xml:space="preserve"> IF(F388&gt;'депозитный калькулятор'!$D$8," ",IF('депозитный калькулятор'!$G$13="есть",IF('депозитный калькулятор'!$G$14="есть",G387+IF(I387=" ",0,I387)-J388-K388+L388+M388-N388,G387+IF(I387=" ",0,I387)-J388-K388+M388-N388),IF('депозитный калькулятор'!$G$14="есть",G387-J388-K388+L388+M388-N388,G387-J388-K388+M388-N388)))</f>
        <v xml:space="preserve"> </v>
      </c>
      <c r="H388" s="133" t="str">
        <f>IF(F388&gt;'депозитный калькулятор'!$D$8," ",IF(AND(OR('депозитный калькулятор'!$G$7="30/365",'депозитный калькулятор'!$G$7="30/360"),AND(MONTH(F388)=2,EOMONTH(F388,0)=F388)),IF(DAY(F388)=28,3*G388*'депозитный калькулятор'!$G$8,2*G388*'депозитный калькулятор'!$G$8),IF(AND(OR('депозитный калькулятор'!$G$7="30/365",'депозитный калькулятор'!$G$7="30/360"),DAY(F388)=31)," ",IF(AND('депозитный калькулятор'!$G$7="факт/факт",MOD(YEAR(F388),4)=0),G388*'депозитный калькулятор'!$D$11/366,G388*'депозитный калькулятор'!$G$8))))</f>
        <v xml:space="preserve"> </v>
      </c>
      <c r="I388" s="134" t="str">
        <f ca="1">IF(F388=" "," ",IF('депозитный калькулятор'!$G$10="ежедневное",H388,IF(AND('депозитный калькулятор'!$G$10="еженедельное",WEEKDAY(F388,2)=7),SUM(OFFSET(H388,-6,0):H388),IF(AND('депозитный калькулятор'!$G$10="еженедельное",F388='депозитный калькулятор'!$D$8),SUM($H$23:H388)-SUM($I$23:I387),IF(AND('депозитный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недели",WEEKDAY(F388,2)=7),MIN(OFFSET(H388,-6,0):H388)*(COUNTIF(OFFSET(H388,-6,0):H388,"&gt;0")+SUMIF(OFFSET(A388,-WEEKDAY(F388,2),0):A388,"=2",OFFSET(A388,-WEEKDAY(F388,2),0):A388)),IF(AND('депозитный калькулятор'!$G$10="еженедельное, на минимальную сумму зафиксированную в течение недели",F388='депозитный калькулятор'!$D$8,WEEKDAY(F388,2)&lt;&gt;7),MIN(OFFSET(H388,-WEEKDAY(F388,2),0):H388)*(COUNTIF(OFFSET(H388,-WEEKDAY(F388,2)+1,0):H388,"&gt;0")+SUM(OFFSET(A388,-WEEKDAY(F388,2),0):A388)),IF(AND('депозитный калькулятор'!$G$10="ежемесячное (в конце месяца)",F388='депозитный калькулятор'!$D$8,EOMONTH(F388,0)&lt;&gt;F388),IF('депозитный калькулятор'!$F$1=1,$H$24,SUM($H$23:H388)-SUM($I$23:I387)),IF(AND('депозитный калькулятор'!$G$10="ежемесячное (в конце месяца)",EOMONTH(F388,0)=F388),SUM($H$23:H388)-SUM($I$23:I387),IF(AND('депозитный калькулятор'!$G$10="ежемесячное (по дням открытия вклада)",F388='депозитный калькулятор'!$D$8,DAY('депозитный калькулятор'!$D$7)&lt;&gt;DAY(F388)),IF('депозитный калькулятор'!$F$1=1,$H$24,SUM($H$23:H388)-SUM($I$23:I387)),IF(AND('депозитный калькулятор'!$G$10="ежемесячное (по дням открытия вклада)",DAY('депозитный калькулятор'!$D$7)=DAY(F388)),SUM($H$23:H388)-SUM($I$23:I387),IF(AND('депозитный калькулятор'!$G$10="ежемесячное, на минимальную сумму зафиксированную в течение месяца",F388='депозитный калькулятор'!$D$8,EOMONTH(F388,0)&lt;&gt;F388),IF('депозитный калькулятор'!$F$1=1,$H$24,IF(AND(OR('депозитный калькулятор'!$G$7="30/365",'депозитный калькулятор'!$G$7="30/360"),DAY(F388)=31),0,MIN(OFFSET(H388,-E388+1,0):H388)*(E388+SUMIF(OFFSET(A388,-E388+1,0):A388,"=2",OFFSET(A388,-E388+1,0):A388)))),IF(AND('депозитный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калькулятор'!$G$7="30/360"),DAY(EOMONTH(F388,0))=31),EOMONTH(F388,0)-1=F388,EOMONTH(F388,0)=F388)),IF(IF(AND(OR('депозитный калькулятор'!$G$7="30/365",'депозитный калькулятор'!$G$7="30/360"),DAY(EOMONTH($F$23,0))=31),F388=EOMONTH($F$23,0)-1,F388=EOMONTH($F$23,0)),MIN(OFFSET(H388,-(DAY(F388)-DAY($F$23)),0):H388)*E388,MIN(OFFSET(H388,-(DAY(F388)-1),0):H388)*IF(AND(OR('депозитный калькулятор'!$G$7="30/365",'депозитный калькулятор'!$G$7="30/360"),DAY(F388)&lt;30),30,DAY(F388))),IF(AND('депозитный калькулятор'!$G$10="ежемесячное, на средний остаток в течение месяца, при условии что остаток больше чем ограничение",F388='депозитный калькулятор'!$D$8,EOMONTH(F388,0)&lt;&gt;F388),IF('депозитный калькулятор'!$F$1=1,$H$24,SUM(OFFSET(Q388,-E388+1,0):Q388)),IF(AND('депозитный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калькулятор'!$G$7="30/360"),DAY(EOMONTH(F388,0))=31),EOMONTH(F388,0)-1=F388,EOMONTH(F388,0)=F388)),IF(IF(AND(OR('депозитный калькулятор'!$G$7="30/365",'депозитный калькулятор'!$G$7="30/360"),DAY(EOMONTH($F$24,0))=31),F388=EOMONTH($F$24,0)-1,F388=EOMONTH($F$24,0)),SUM(OFFSET(Q388,-E388+1,0):Q388),SUM(OFFSET(Q388,-E388+1,0):Q388)),IF('депозитный калькулятор'!$G$10="ежеквартальное",IF(F388&gt;'депозитный калькулятор'!$D$8," ",IF(AND(EOMONTH(F388,0)=F388,OR(MONTH(F388)=3,MONTH(F388)=6,MONTH(F388)=9,MONTH(F388)=12)),IF(EDATE(F388,-3)&lt;'депозитный калькулятор'!$D$7,SUM($H$23:H388),IF(MOD(YEAR(F388),4)=0,IF(AND(EOMONTH(F388,0)=F388,OR(MONTH(F388)=3,MONTH(F388)=6)),SUM(OFFSET(H388,-90,0):H388),IF(AND(EOMONTH(F388,0)=F388,OR(MONTH(F388)=9,MONTH(F388)=12)),SUM(OFFSET(H388,-91,0):H388))),IF(AND(EOMONTH(F388,0)=F388,MONTH(F388)=3),SUM(OFFSET(H388,-89,0):H388),IF(AND(EOMONTH(F388,0)=F388,MONTH(F388)=6),SUM(OFFSET(H388,-90,0):H388),IF(AND(EOMONTH(F388,0)=F388,OR(MONTH(F388)=9,MONTH(F388)=12)),SUM(OFFSET(H388,-91,0):H388)))))),IF(F388='депозитный калькулятор'!$D$8,SUM($H$23:H388)-SUM($I$23:I387),0))),IF('депозитный калькулятор'!$G$10="ежегодное",IF(F388&gt;'депозитный калькулятор'!$D$8," ",IF(F388='депозитный калькулятор'!$D$8,SUM($H$23:H388)-SUM($I$23:I387),IF(AND(EOMONTH(F388,0)=F388,MONTH(F388)=12),IF(MOD(YEAR(F387),4)=0,IF(F388-'депозитный калькулятор'!$D$7&lt;366,SUM($H$23:H388),SUM(OFFSET(H388,-365,0):H388)),IF(F388-'депозитный калькулятор'!$D$7&lt;365,SUM($H$23:H388),SUM(OFFSET(H388,-364,0):H388))),0))),IF(AND('депозитный калькулятор'!$G$10="в конце срока",'депозитный калькулятор'!$D$8=F388),SUM($H$23:H388),0))))))))))))))))))</f>
        <v xml:space="preserve"> </v>
      </c>
      <c r="J388" s="59" t="str">
        <f>IF(F388&gt;'депозитный калькулятор'!$D$8," ",IF('депозитный калькулятор'!$G$16="нет",0,IF(AND('депозитный калькулятор'!$G$17="разовая (в конце срока)",F388='депозитный калькулятор'!$D$8),'депозитный калькулятор'!$G$18,IF(AND('депозитный калькулятор'!$G$17="ежемесячная",EOMONTH(F387,0)=F387),'депозитный калькулятор'!$G$18,IF(AND('депозитный калькулятор'!$G$17="ежегодная",DAY(F387)=31,MONTH(F387)=12),'депозитный калькулятор'!$G$18,IF(AND('депозитный калькулятор'!$G$17="ежемесячная в зависимости от остатка",EOMONTH(F387,0)=F387,P387&gt;0),'депозитный калькулятор'!$G$18,IF(AND('депозитный калькулятор'!$G$17="ежегодная в зависимости от остатка",DAY(F387)=31,MONTH(F387)=12,P387&gt;0),'депозитный калькулятор'!$G$18,0)))))))</f>
        <v xml:space="preserve"> </v>
      </c>
      <c r="K388" s="135" t="str">
        <f>IF($F388=" "," ",IFERROR(VLOOKUP($F388,'депозитный калькулятор'!$B$26:$F$70,2,0),0))</f>
        <v xml:space="preserve"> </v>
      </c>
      <c r="L388" s="135" t="str">
        <f>IF($F388=" "," ",IFERROR(VLOOKUP($F388,'депозитный калькулятор'!$B$26:$F$70,3,0),0))</f>
        <v xml:space="preserve"> </v>
      </c>
      <c r="M388" s="135" t="str">
        <f>IF($F388=" "," ",IFERROR(VLOOKUP($F388,'депозитный калькулятор'!$B$26:$F$70,4,0),0))</f>
        <v xml:space="preserve"> </v>
      </c>
      <c r="N388" s="135" t="str">
        <f>IF($F388=" "," ",IFERROR(VLOOKUP($F388,'депозитный калькулятор'!$B$26:$F$70,5,0),0))</f>
        <v xml:space="preserve"> </v>
      </c>
      <c r="O388" s="146" t="str">
        <f>IF(F388&gt;'депозитный калькулятор'!$D$8," ",IF(F388='депозитный калькулятор'!$D$8,IF(AND($F$24='депозитный калькулятор'!$D$8,'депозитный калькулятор'!$G$13="нет"),-G388-IF(I388=" ",0,I388)-IF(AND(OR('депозитный калькулятор'!$G$7="30/365",'депозитный калькулятор'!$G$7="30/360"),'депозитный калькулятор'!$G$10="в начале срока"),I387,0)-L388+M388-N388,-G388-IF(I388=" ",0,I388)-L388+M388-N388),IF('депозитный калькулятор'!$G$13="есть",M388-N388+IF('депозитный калькулятор'!$G$14="есть",0,-L388),-IF(I388=" ",0,I388)-IF(AND(OR('депозитный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срока"),I387,0)+M388-N388+IF('депозитный калькулятор'!$G$14="есть",0,-L388))))</f>
        <v xml:space="preserve"> </v>
      </c>
      <c r="P388" s="147" t="str">
        <f>IF(F388&gt;'депозитный калькулятор'!$D$8," ",IF(EOMONTH(F387,0)=F387,0,IF(G388&gt;='депозитный калькулятор'!$G$19,P387,P387+1)))</f>
        <v xml:space="preserve"> </v>
      </c>
      <c r="Q388" s="138" t="str">
        <f>IF(F388=" "," ",IF(AND(OR('депозитный калькулятор'!$G$7="30/365",'депозитный калькулятор'!$G$7="30/360"),AND(MONTH(F388)=2,EOMONTH(F388,0)=F388)),IF(DAY(F388)=28,3,2),1)*IF(G388&gt;='депозитный калькулятор'!$G$11,IF(AND('депозитный калькулятор'!$G$7="факт/факт",MOD(YEAR(F388),4)=0),G388*'депозитный калькулятор'!$D$11/366,G388*'депозитный калькулятор'!$G$8),0))</f>
        <v xml:space="preserve"> </v>
      </c>
      <c r="R388" s="158"/>
      <c r="S388" s="62" t="str">
        <f t="shared" ca="1" si="27"/>
        <v xml:space="preserve"> </v>
      </c>
      <c r="T388" s="149" t="str">
        <f ca="1">IF(S388=" "," ",IF('депозитный калькулятор'!$G$7="30/360",DAYS360(U387,IF(DAY(U388)=31,U388-1,U388))+IF(AND(MONTH(U388)=2,U388=EOMONTH(U388,0)),30-DAY(EOMONTH(U388,0)))+T387,VLOOKUP(S388,$C$22:$F$1023,2,0)))</f>
        <v xml:space="preserve"> </v>
      </c>
      <c r="U388" s="64" t="str">
        <f t="shared" ca="1" si="25"/>
        <v xml:space="preserve"> </v>
      </c>
      <c r="V388" s="150" t="str">
        <f t="shared" ca="1" si="28"/>
        <v xml:space="preserve"> </v>
      </c>
      <c r="W388" s="62" t="str">
        <f t="shared" ca="1" si="29"/>
        <v xml:space="preserve"> </v>
      </c>
      <c r="X388" s="141" t="str">
        <f ca="1">IF(S388=" "," ",IFERROR(VLOOKUP(U388,$F$23:$N$1023,7)+VLOOKUP(U388,$F$23:$N$1023,9)+IF(AND('депозитный калькулятор'!$G$13="нет",U388&lt;&gt;'депозитный калькулятор'!$D$8),VLOOKUP(U388,$F$23:$N$1023,4),0),0)+IF(U388='депозитный калькулятор'!$D$8,VLOOKUP(U388,$F$23:$N$1023,2)+VLOOKUP(U388,$F$23:$N$1023,4),0))</f>
        <v xml:space="preserve"> </v>
      </c>
      <c r="Y388" s="142" t="str">
        <f ca="1">IF(S388=" "," ",W388/(1+'депозитный калькулятор'!$K$8)^(T388/IF('депозитный калькулятор'!$G$7="30/360",360,365)))</f>
        <v xml:space="preserve"> </v>
      </c>
      <c r="Z388" s="142" t="str">
        <f ca="1">IF(S388=" "," ",X388/(1+'депозитный калькулятор'!$K$8)^(T388/IF('депозитный калькулятор'!$G$7="30/360",360,365)))</f>
        <v xml:space="preserve"> </v>
      </c>
      <c r="AA388" s="151"/>
      <c r="AB388" s="151"/>
      <c r="AC388" s="155"/>
      <c r="AD388" s="155"/>
      <c r="AF388" s="5"/>
    </row>
    <row r="389" spans="1:32" s="2" customFormat="1" ht="15.5" x14ac:dyDescent="0.35">
      <c r="A389" s="41" t="str">
        <f>IF(F389=" "," ",IF(OR('депозитный калькулятор'!$G$7="30/365",'депозитный калькулятор'!$G$7="30/360"),IF(AND(MONTH(F389)=2,DAY(F389)=DAY(EOMONTH(F389,0))),30-DAY(EOMONTH(F389,0)),IF(DAY(F389)=31,1," "))," "))</f>
        <v xml:space="preserve"> </v>
      </c>
      <c r="B389" s="130" t="str">
        <f t="shared" si="26"/>
        <v xml:space="preserve"> </v>
      </c>
      <c r="C389" s="130" t="str">
        <f>IF(OR(B389=0,B389=" ")," ",SUM($B$23:B389))</f>
        <v xml:space="preserve"> </v>
      </c>
      <c r="D389" s="62" t="str">
        <f>IF(D388=" "," ",IF(OR(F388='депозитный калькулятор'!$D$8,F388=" ")," ",D388+1))</f>
        <v xml:space="preserve"> </v>
      </c>
      <c r="E389" s="130" t="str">
        <f>IF(OR(F388='депозитный калькулятор'!$D$8,F388=" ")," ",IF(EOMONTH(F388,0)=F388,1,E388+1))</f>
        <v xml:space="preserve"> </v>
      </c>
      <c r="F389" s="64" t="str">
        <f>IF(F388=" "," ",IF(F388='депозитный калькулятор'!$D$8," ",F388+1))</f>
        <v xml:space="preserve"> </v>
      </c>
      <c r="G389" s="145" t="str">
        <f xml:space="preserve"> IF(F389&gt;'депозитный калькулятор'!$D$8," ",IF('депозитный калькулятор'!$G$13="есть",IF('депозитный калькулятор'!$G$14="есть",G388+IF(I388=" ",0,I388)-J389-K389+L389+M389-N389,G388+IF(I388=" ",0,I388)-J389-K389+M389-N389),IF('депозитный калькулятор'!$G$14="есть",G388-J389-K389+L389+M389-N389,G388-J389-K389+M389-N389)))</f>
        <v xml:space="preserve"> </v>
      </c>
      <c r="H389" s="133" t="str">
        <f>IF(F389&gt;'депозитный калькулятор'!$D$8," ",IF(AND(OR('депозитный калькулятор'!$G$7="30/365",'депозитный калькулятор'!$G$7="30/360"),AND(MONTH(F389)=2,EOMONTH(F389,0)=F389)),IF(DAY(F389)=28,3*G389*'депозитный калькулятор'!$G$8,2*G389*'депозитный калькулятор'!$G$8),IF(AND(OR('депозитный калькулятор'!$G$7="30/365",'депозитный калькулятор'!$G$7="30/360"),DAY(F389)=31)," ",IF(AND('депозитный калькулятор'!$G$7="факт/факт",MOD(YEAR(F389),4)=0),G389*'депозитный калькулятор'!$D$11/366,G389*'депозитный калькулятор'!$G$8))))</f>
        <v xml:space="preserve"> </v>
      </c>
      <c r="I389" s="134" t="str">
        <f ca="1">IF(F389=" "," ",IF('депозитный калькулятор'!$G$10="ежедневное",H389,IF(AND('депозитный калькулятор'!$G$10="еженедельное",WEEKDAY(F389,2)=7),SUM(OFFSET(H389,-6,0):H389),IF(AND('депозитный калькулятор'!$G$10="еженедельное",F389='депозитный калькулятор'!$D$8),SUM($H$23:H389)-SUM($I$23:I388),IF(AND('депозитный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недели",WEEKDAY(F389,2)=7),MIN(OFFSET(H389,-6,0):H389)*(COUNTIF(OFFSET(H389,-6,0):H389,"&gt;0")+SUMIF(OFFSET(A389,-WEEKDAY(F389,2),0):A389,"=2",OFFSET(A389,-WEEKDAY(F389,2),0):A389)),IF(AND('депозитный калькулятор'!$G$10="еженедельное, на минимальную сумму зафиксированную в течение недели",F389='депозитный калькулятор'!$D$8,WEEKDAY(F389,2)&lt;&gt;7),MIN(OFFSET(H389,-WEEKDAY(F389,2),0):H389)*(COUNTIF(OFFSET(H389,-WEEKDAY(F389,2)+1,0):H389,"&gt;0")+SUM(OFFSET(A389,-WEEKDAY(F389,2),0):A389)),IF(AND('депозитный калькулятор'!$G$10="ежемесячное (в конце месяца)",F389='депозитный калькулятор'!$D$8,EOMONTH(F389,0)&lt;&gt;F389),IF('депозитный калькулятор'!$F$1=1,$H$24,SUM($H$23:H389)-SUM($I$23:I388)),IF(AND('депозитный калькулятор'!$G$10="ежемесячное (в конце месяца)",EOMONTH(F389,0)=F389),SUM($H$23:H389)-SUM($I$23:I388),IF(AND('депозитный калькулятор'!$G$10="ежемесячное (по дням открытия вклада)",F389='депозитный калькулятор'!$D$8,DAY('депозитный калькулятор'!$D$7)&lt;&gt;DAY(F389)),IF('депозитный калькулятор'!$F$1=1,$H$24,SUM($H$23:H389)-SUM($I$23:I388)),IF(AND('депозитный калькулятор'!$G$10="ежемесячное (по дням открытия вклада)",DAY('депозитный калькулятор'!$D$7)=DAY(F389)),SUM($H$23:H389)-SUM($I$23:I388),IF(AND('депозитный калькулятор'!$G$10="ежемесячное, на минимальную сумму зафиксированную в течение месяца",F389='депозитный калькулятор'!$D$8,EOMONTH(F389,0)&lt;&gt;F389),IF('депозитный калькулятор'!$F$1=1,$H$24,IF(AND(OR('депозитный калькулятор'!$G$7="30/365",'депозитный калькулятор'!$G$7="30/360"),DAY(F389)=31),0,MIN(OFFSET(H389,-E389+1,0):H389)*(E389+SUMIF(OFFSET(A389,-E389+1,0):A389,"=2",OFFSET(A389,-E389+1,0):A389)))),IF(AND('депозитный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калькулятор'!$G$7="30/360"),DAY(EOMONTH(F389,0))=31),EOMONTH(F389,0)-1=F389,EOMONTH(F389,0)=F389)),IF(IF(AND(OR('депозитный калькулятор'!$G$7="30/365",'депозитный калькулятор'!$G$7="30/360"),DAY(EOMONTH($F$23,0))=31),F389=EOMONTH($F$23,0)-1,F389=EOMONTH($F$23,0)),MIN(OFFSET(H389,-(DAY(F389)-DAY($F$23)),0):H389)*E389,MIN(OFFSET(H389,-(DAY(F389)-1),0):H389)*IF(AND(OR('депозитный калькулятор'!$G$7="30/365",'депозитный калькулятор'!$G$7="30/360"),DAY(F389)&lt;30),30,DAY(F389))),IF(AND('депозитный калькулятор'!$G$10="ежемесячное, на средний остаток в течение месяца, при условии что остаток больше чем ограничение",F389='депозитный калькулятор'!$D$8,EOMONTH(F389,0)&lt;&gt;F389),IF('депозитный калькулятор'!$F$1=1,$H$24,SUM(OFFSET(Q389,-E389+1,0):Q389)),IF(AND('депозитный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калькулятор'!$G$7="30/360"),DAY(EOMONTH(F389,0))=31),EOMONTH(F389,0)-1=F389,EOMONTH(F389,0)=F389)),IF(IF(AND(OR('депозитный калькулятор'!$G$7="30/365",'депозитный калькулятор'!$G$7="30/360"),DAY(EOMONTH($F$24,0))=31),F389=EOMONTH($F$24,0)-1,F389=EOMONTH($F$24,0)),SUM(OFFSET(Q389,-E389+1,0):Q389),SUM(OFFSET(Q389,-E389+1,0):Q389)),IF('депозитный калькулятор'!$G$10="ежеквартальное",IF(F389&gt;'депозитный калькулятор'!$D$8," ",IF(AND(EOMONTH(F389,0)=F389,OR(MONTH(F389)=3,MONTH(F389)=6,MONTH(F389)=9,MONTH(F389)=12)),IF(EDATE(F389,-3)&lt;'депозитный калькулятор'!$D$7,SUM($H$23:H389),IF(MOD(YEAR(F389),4)=0,IF(AND(EOMONTH(F389,0)=F389,OR(MONTH(F389)=3,MONTH(F389)=6)),SUM(OFFSET(H389,-90,0):H389),IF(AND(EOMONTH(F389,0)=F389,OR(MONTH(F389)=9,MONTH(F389)=12)),SUM(OFFSET(H389,-91,0):H389))),IF(AND(EOMONTH(F389,0)=F389,MONTH(F389)=3),SUM(OFFSET(H389,-89,0):H389),IF(AND(EOMONTH(F389,0)=F389,MONTH(F389)=6),SUM(OFFSET(H389,-90,0):H389),IF(AND(EOMONTH(F389,0)=F389,OR(MONTH(F389)=9,MONTH(F389)=12)),SUM(OFFSET(H389,-91,0):H389)))))),IF(F389='депозитный калькулятор'!$D$8,SUM($H$23:H389)-SUM($I$23:I388),0))),IF('депозитный калькулятор'!$G$10="ежегодное",IF(F389&gt;'депозитный калькулятор'!$D$8," ",IF(F389='депозитный калькулятор'!$D$8,SUM($H$23:H389)-SUM($I$23:I388),IF(AND(EOMONTH(F389,0)=F389,MONTH(F389)=12),IF(MOD(YEAR(F388),4)=0,IF(F389-'депозитный калькулятор'!$D$7&lt;366,SUM($H$23:H389),SUM(OFFSET(H389,-365,0):H389)),IF(F389-'депозитный калькулятор'!$D$7&lt;365,SUM($H$23:H389),SUM(OFFSET(H389,-364,0):H389))),0))),IF(AND('депозитный калькулятор'!$G$10="в конце срока",'депозитный калькулятор'!$D$8=F389),SUM($H$23:H389),0))))))))))))))))))</f>
        <v xml:space="preserve"> </v>
      </c>
      <c r="J389" s="59" t="str">
        <f>IF(F389&gt;'депозитный калькулятор'!$D$8," ",IF('депозитный калькулятор'!$G$16="нет",0,IF(AND('депозитный калькулятор'!$G$17="разовая (в конце срока)",F389='депозитный калькулятор'!$D$8),'депозитный калькулятор'!$G$18,IF(AND('депозитный калькулятор'!$G$17="ежемесячная",EOMONTH(F388,0)=F388),'депозитный калькулятор'!$G$18,IF(AND('депозитный калькулятор'!$G$17="ежегодная",DAY(F388)=31,MONTH(F388)=12),'депозитный калькулятор'!$G$18,IF(AND('депозитный калькулятор'!$G$17="ежемесячная в зависимости от остатка",EOMONTH(F388,0)=F388,P388&gt;0),'депозитный калькулятор'!$G$18,IF(AND('депозитный калькулятор'!$G$17="ежегодная в зависимости от остатка",DAY(F388)=31,MONTH(F388)=12,P388&gt;0),'депозитный калькулятор'!$G$18,0)))))))</f>
        <v xml:space="preserve"> </v>
      </c>
      <c r="K389" s="135" t="str">
        <f>IF($F389=" "," ",IFERROR(VLOOKUP($F389,'депозитный калькулятор'!$B$26:$F$70,2,0),0))</f>
        <v xml:space="preserve"> </v>
      </c>
      <c r="L389" s="135" t="str">
        <f>IF($F389=" "," ",IFERROR(VLOOKUP($F389,'депозитный калькулятор'!$B$26:$F$70,3,0),0))</f>
        <v xml:space="preserve"> </v>
      </c>
      <c r="M389" s="135" t="str">
        <f>IF($F389=" "," ",IFERROR(VLOOKUP($F389,'депозитный калькулятор'!$B$26:$F$70,4,0),0))</f>
        <v xml:space="preserve"> </v>
      </c>
      <c r="N389" s="135" t="str">
        <f>IF($F389=" "," ",IFERROR(VLOOKUP($F389,'депозитный калькулятор'!$B$26:$F$70,5,0),0))</f>
        <v xml:space="preserve"> </v>
      </c>
      <c r="O389" s="146" t="str">
        <f>IF(F389&gt;'депозитный калькулятор'!$D$8," ",IF(F389='депозитный калькулятор'!$D$8,IF(AND($F$24='депозитный калькулятор'!$D$8,'депозитный калькулятор'!$G$13="нет"),-G389-IF(I389=" ",0,I389)-IF(AND(OR('депозитный калькулятор'!$G$7="30/365",'депозитный калькулятор'!$G$7="30/360"),'депозитный калькулятор'!$G$10="в начале срока"),I388,0)-L389+M389-N389,-G389-IF(I389=" ",0,I389)-L389+M389-N389),IF('депозитный калькулятор'!$G$13="есть",M389-N389+IF('депозитный калькулятор'!$G$14="есть",0,-L389),-IF(I389=" ",0,I389)-IF(AND(OR('депозитный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срока"),I388,0)+M389-N389+IF('депозитный калькулятор'!$G$14="есть",0,-L389))))</f>
        <v xml:space="preserve"> </v>
      </c>
      <c r="P389" s="147" t="str">
        <f>IF(F389&gt;'депозитный калькулятор'!$D$8," ",IF(EOMONTH(F388,0)=F388,0,IF(G389&gt;='депозитный калькулятор'!$G$19,P388,P388+1)))</f>
        <v xml:space="preserve"> </v>
      </c>
      <c r="Q389" s="138" t="str">
        <f>IF(F389=" "," ",IF(AND(OR('депозитный калькулятор'!$G$7="30/365",'депозитный калькулятор'!$G$7="30/360"),AND(MONTH(F389)=2,EOMONTH(F389,0)=F389)),IF(DAY(F389)=28,3,2),1)*IF(G389&gt;='депозитный калькулятор'!$G$11,IF(AND('депозитный калькулятор'!$G$7="факт/факт",MOD(YEAR(F389),4)=0),G389*'депозитный калькулятор'!$D$11/366,G389*'депозитный калькулятор'!$G$8),0))</f>
        <v xml:space="preserve"> </v>
      </c>
      <c r="R389" s="158"/>
      <c r="S389" s="62" t="str">
        <f t="shared" ca="1" si="27"/>
        <v xml:space="preserve"> </v>
      </c>
      <c r="T389" s="149" t="str">
        <f ca="1">IF(S389=" "," ",IF('депозитный калькулятор'!$G$7="30/360",DAYS360(U388,IF(DAY(U389)=31,U389-1,U389))+IF(AND(MONTH(U389)=2,U389=EOMONTH(U389,0)),30-DAY(EOMONTH(U389,0)))+T388,VLOOKUP(S389,$C$22:$F$1023,2,0)))</f>
        <v xml:space="preserve"> </v>
      </c>
      <c r="U389" s="64" t="str">
        <f t="shared" ca="1" si="25"/>
        <v xml:space="preserve"> </v>
      </c>
      <c r="V389" s="150" t="str">
        <f t="shared" ca="1" si="28"/>
        <v xml:space="preserve"> </v>
      </c>
      <c r="W389" s="62" t="str">
        <f t="shared" ca="1" si="29"/>
        <v xml:space="preserve"> </v>
      </c>
      <c r="X389" s="141" t="str">
        <f ca="1">IF(S389=" "," ",IFERROR(VLOOKUP(U389,$F$23:$N$1023,7)+VLOOKUP(U389,$F$23:$N$1023,9)+IF(AND('депозитный калькулятор'!$G$13="нет",U389&lt;&gt;'депозитный калькулятор'!$D$8),VLOOKUP(U389,$F$23:$N$1023,4),0),0)+IF(U389='депозитный калькулятор'!$D$8,VLOOKUP(U389,$F$23:$N$1023,2)+VLOOKUP(U389,$F$23:$N$1023,4),0))</f>
        <v xml:space="preserve"> </v>
      </c>
      <c r="Y389" s="142" t="str">
        <f ca="1">IF(S389=" "," ",W389/(1+'депозитный калькулятор'!$K$8)^(T389/IF('депозитный калькулятор'!$G$7="30/360",360,365)))</f>
        <v xml:space="preserve"> </v>
      </c>
      <c r="Z389" s="142" t="str">
        <f ca="1">IF(S389=" "," ",X389/(1+'депозитный калькулятор'!$K$8)^(T389/IF('депозитный калькулятор'!$G$7="30/360",360,365)))</f>
        <v xml:space="preserve"> </v>
      </c>
      <c r="AA389" s="151"/>
      <c r="AB389" s="151"/>
      <c r="AC389" s="155"/>
      <c r="AD389" s="155"/>
      <c r="AF389" s="5"/>
    </row>
    <row r="390" spans="1:32" s="2" customFormat="1" ht="15.5" x14ac:dyDescent="0.35">
      <c r="A390" s="41" t="str">
        <f>IF(F390=" "," ",IF(OR('депозитный калькулятор'!$G$7="30/365",'депозитный калькулятор'!$G$7="30/360"),IF(AND(MONTH(F390)=2,DAY(F390)=DAY(EOMONTH(F390,0))),30-DAY(EOMONTH(F390,0)),IF(DAY(F390)=31,1," "))," "))</f>
        <v xml:space="preserve"> </v>
      </c>
      <c r="B390" s="130" t="str">
        <f t="shared" si="26"/>
        <v xml:space="preserve"> </v>
      </c>
      <c r="C390" s="130" t="str">
        <f>IF(OR(B390=0,B390=" ")," ",SUM($B$23:B390))</f>
        <v xml:space="preserve"> </v>
      </c>
      <c r="D390" s="62" t="str">
        <f>IF(D389=" "," ",IF(OR(F389='депозитный калькулятор'!$D$8,F389=" ")," ",D389+1))</f>
        <v xml:space="preserve"> </v>
      </c>
      <c r="E390" s="130" t="str">
        <f>IF(OR(F389='депозитный калькулятор'!$D$8,F389=" ")," ",IF(EOMONTH(F389,0)=F389,1,E389+1))</f>
        <v xml:space="preserve"> </v>
      </c>
      <c r="F390" s="64" t="str">
        <f>IF(F389=" "," ",IF(F389='депозитный калькулятор'!$D$8," ",F389+1))</f>
        <v xml:space="preserve"> </v>
      </c>
      <c r="G390" s="145" t="str">
        <f xml:space="preserve"> IF(F390&gt;'депозитный калькулятор'!$D$8," ",IF('депозитный калькулятор'!$G$13="есть",IF('депозитный калькулятор'!$G$14="есть",G389+IF(I389=" ",0,I389)-J390-K390+L390+M390-N390,G389+IF(I389=" ",0,I389)-J390-K390+M390-N390),IF('депозитный калькулятор'!$G$14="есть",G389-J390-K390+L390+M390-N390,G389-J390-K390+M390-N390)))</f>
        <v xml:space="preserve"> </v>
      </c>
      <c r="H390" s="133" t="str">
        <f>IF(F390&gt;'депозитный калькулятор'!$D$8," ",IF(AND(OR('депозитный калькулятор'!$G$7="30/365",'депозитный калькулятор'!$G$7="30/360"),AND(MONTH(F390)=2,EOMONTH(F390,0)=F390)),IF(DAY(F390)=28,3*G390*'депозитный калькулятор'!$G$8,2*G390*'депозитный калькулятор'!$G$8),IF(AND(OR('депозитный калькулятор'!$G$7="30/365",'депозитный калькулятор'!$G$7="30/360"),DAY(F390)=31)," ",IF(AND('депозитный калькулятор'!$G$7="факт/факт",MOD(YEAR(F390),4)=0),G390*'депозитный калькулятор'!$D$11/366,G390*'депозитный калькулятор'!$G$8))))</f>
        <v xml:space="preserve"> </v>
      </c>
      <c r="I390" s="134" t="str">
        <f ca="1">IF(F390=" "," ",IF('депозитный калькулятор'!$G$10="ежедневное",H390,IF(AND('депозитный калькулятор'!$G$10="еженедельное",WEEKDAY(F390,2)=7),SUM(OFFSET(H390,-6,0):H390),IF(AND('депозитный калькулятор'!$G$10="еженедельное",F390='депозитный калькулятор'!$D$8),SUM($H$23:H390)-SUM($I$23:I389),IF(AND('депозитный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недели",WEEKDAY(F390,2)=7),MIN(OFFSET(H390,-6,0):H390)*(COUNTIF(OFFSET(H390,-6,0):H390,"&gt;0")+SUMIF(OFFSET(A390,-WEEKDAY(F390,2),0):A390,"=2",OFFSET(A390,-WEEKDAY(F390,2),0):A390)),IF(AND('депозитный калькулятор'!$G$10="еженедельное, на минимальную сумму зафиксированную в течение недели",F390='депозитный калькулятор'!$D$8,WEEKDAY(F390,2)&lt;&gt;7),MIN(OFFSET(H390,-WEEKDAY(F390,2),0):H390)*(COUNTIF(OFFSET(H390,-WEEKDAY(F390,2)+1,0):H390,"&gt;0")+SUM(OFFSET(A390,-WEEKDAY(F390,2),0):A390)),IF(AND('депозитный калькулятор'!$G$10="ежемесячное (в конце месяца)",F390='депозитный калькулятор'!$D$8,EOMONTH(F390,0)&lt;&gt;F390),IF('депозитный калькулятор'!$F$1=1,$H$24,SUM($H$23:H390)-SUM($I$23:I389)),IF(AND('депозитный калькулятор'!$G$10="ежемесячное (в конце месяца)",EOMONTH(F390,0)=F390),SUM($H$23:H390)-SUM($I$23:I389),IF(AND('депозитный калькулятор'!$G$10="ежемесячное (по дням открытия вклада)",F390='депозитный калькулятор'!$D$8,DAY('депозитный калькулятор'!$D$7)&lt;&gt;DAY(F390)),IF('депозитный калькулятор'!$F$1=1,$H$24,SUM($H$23:H390)-SUM($I$23:I389)),IF(AND('депозитный калькулятор'!$G$10="ежемесячное (по дням открытия вклада)",DAY('депозитный калькулятор'!$D$7)=DAY(F390)),SUM($H$23:H390)-SUM($I$23:I389),IF(AND('депозитный калькулятор'!$G$10="ежемесячное, на минимальную сумму зафиксированную в течение месяца",F390='депозитный калькулятор'!$D$8,EOMONTH(F390,0)&lt;&gt;F390),IF('депозитный калькулятор'!$F$1=1,$H$24,IF(AND(OR('депозитный калькулятор'!$G$7="30/365",'депозитный калькулятор'!$G$7="30/360"),DAY(F390)=31),0,MIN(OFFSET(H390,-E390+1,0):H390)*(E390+SUMIF(OFFSET(A390,-E390+1,0):A390,"=2",OFFSET(A390,-E390+1,0):A390)))),IF(AND('депозитный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калькулятор'!$G$7="30/360"),DAY(EOMONTH(F390,0))=31),EOMONTH(F390,0)-1=F390,EOMONTH(F390,0)=F390)),IF(IF(AND(OR('депозитный калькулятор'!$G$7="30/365",'депозитный калькулятор'!$G$7="30/360"),DAY(EOMONTH($F$23,0))=31),F390=EOMONTH($F$23,0)-1,F390=EOMONTH($F$23,0)),MIN(OFFSET(H390,-(DAY(F390)-DAY($F$23)),0):H390)*E390,MIN(OFFSET(H390,-(DAY(F390)-1),0):H390)*IF(AND(OR('депозитный калькулятор'!$G$7="30/365",'депозитный калькулятор'!$G$7="30/360"),DAY(F390)&lt;30),30,DAY(F390))),IF(AND('депозитный калькулятор'!$G$10="ежемесячное, на средний остаток в течение месяца, при условии что остаток больше чем ограничение",F390='депозитный калькулятор'!$D$8,EOMONTH(F390,0)&lt;&gt;F390),IF('депозитный калькулятор'!$F$1=1,$H$24,SUM(OFFSET(Q390,-E390+1,0):Q390)),IF(AND('депозитный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калькулятор'!$G$7="30/360"),DAY(EOMONTH(F390,0))=31),EOMONTH(F390,0)-1=F390,EOMONTH(F390,0)=F390)),IF(IF(AND(OR('депозитный калькулятор'!$G$7="30/365",'депозитный калькулятор'!$G$7="30/360"),DAY(EOMONTH($F$24,0))=31),F390=EOMONTH($F$24,0)-1,F390=EOMONTH($F$24,0)),SUM(OFFSET(Q390,-E390+1,0):Q390),SUM(OFFSET(Q390,-E390+1,0):Q390)),IF('депозитный калькулятор'!$G$10="ежеквартальное",IF(F390&gt;'депозитный калькулятор'!$D$8," ",IF(AND(EOMONTH(F390,0)=F390,OR(MONTH(F390)=3,MONTH(F390)=6,MONTH(F390)=9,MONTH(F390)=12)),IF(EDATE(F390,-3)&lt;'депозитный калькулятор'!$D$7,SUM($H$23:H390),IF(MOD(YEAR(F390),4)=0,IF(AND(EOMONTH(F390,0)=F390,OR(MONTH(F390)=3,MONTH(F390)=6)),SUM(OFFSET(H390,-90,0):H390),IF(AND(EOMONTH(F390,0)=F390,OR(MONTH(F390)=9,MONTH(F390)=12)),SUM(OFFSET(H390,-91,0):H390))),IF(AND(EOMONTH(F390,0)=F390,MONTH(F390)=3),SUM(OFFSET(H390,-89,0):H390),IF(AND(EOMONTH(F390,0)=F390,MONTH(F390)=6),SUM(OFFSET(H390,-90,0):H390),IF(AND(EOMONTH(F390,0)=F390,OR(MONTH(F390)=9,MONTH(F390)=12)),SUM(OFFSET(H390,-91,0):H390)))))),IF(F390='депозитный калькулятор'!$D$8,SUM($H$23:H390)-SUM($I$23:I389),0))),IF('депозитный калькулятор'!$G$10="ежегодное",IF(F390&gt;'депозитный калькулятор'!$D$8," ",IF(F390='депозитный калькулятор'!$D$8,SUM($H$23:H390)-SUM($I$23:I389),IF(AND(EOMONTH(F390,0)=F390,MONTH(F390)=12),IF(MOD(YEAR(F389),4)=0,IF(F390-'депозитный калькулятор'!$D$7&lt;366,SUM($H$23:H390),SUM(OFFSET(H390,-365,0):H390)),IF(F390-'депозитный калькулятор'!$D$7&lt;365,SUM($H$23:H390),SUM(OFFSET(H390,-364,0):H390))),0))),IF(AND('депозитный калькулятор'!$G$10="в конце срока",'депозитный калькулятор'!$D$8=F390),SUM($H$23:H390),0))))))))))))))))))</f>
        <v xml:space="preserve"> </v>
      </c>
      <c r="J390" s="59" t="str">
        <f>IF(F390&gt;'депозитный калькулятор'!$D$8," ",IF('депозитный калькулятор'!$G$16="нет",0,IF(AND('депозитный калькулятор'!$G$17="разовая (в конце срока)",F390='депозитный калькулятор'!$D$8),'депозитный калькулятор'!$G$18,IF(AND('депозитный калькулятор'!$G$17="ежемесячная",EOMONTH(F389,0)=F389),'депозитный калькулятор'!$G$18,IF(AND('депозитный калькулятор'!$G$17="ежегодная",DAY(F389)=31,MONTH(F389)=12),'депозитный калькулятор'!$G$18,IF(AND('депозитный калькулятор'!$G$17="ежемесячная в зависимости от остатка",EOMONTH(F389,0)=F389,P389&gt;0),'депозитный калькулятор'!$G$18,IF(AND('депозитный калькулятор'!$G$17="ежегодная в зависимости от остатка",DAY(F389)=31,MONTH(F389)=12,P389&gt;0),'депозитный калькулятор'!$G$18,0)))))))</f>
        <v xml:space="preserve"> </v>
      </c>
      <c r="K390" s="135" t="str">
        <f>IF($F390=" "," ",IFERROR(VLOOKUP($F390,'депозитный калькулятор'!$B$26:$F$70,2,0),0))</f>
        <v xml:space="preserve"> </v>
      </c>
      <c r="L390" s="135" t="str">
        <f>IF($F390=" "," ",IFERROR(VLOOKUP($F390,'депозитный калькулятор'!$B$26:$F$70,3,0),0))</f>
        <v xml:space="preserve"> </v>
      </c>
      <c r="M390" s="135" t="str">
        <f>IF($F390=" "," ",IFERROR(VLOOKUP($F390,'депозитный калькулятор'!$B$26:$F$70,4,0),0))</f>
        <v xml:space="preserve"> </v>
      </c>
      <c r="N390" s="135" t="str">
        <f>IF($F390=" "," ",IFERROR(VLOOKUP($F390,'депозитный калькулятор'!$B$26:$F$70,5,0),0))</f>
        <v xml:space="preserve"> </v>
      </c>
      <c r="O390" s="146" t="str">
        <f>IF(F390&gt;'депозитный калькулятор'!$D$8," ",IF(F390='депозитный калькулятор'!$D$8,IF(AND($F$24='депозитный калькулятор'!$D$8,'депозитный калькулятор'!$G$13="нет"),-G390-IF(I390=" ",0,I390)-IF(AND(OR('депозитный калькулятор'!$G$7="30/365",'депозитный калькулятор'!$G$7="30/360"),'депозитный калькулятор'!$G$10="в начале срока"),I389,0)-L390+M390-N390,-G390-IF(I390=" ",0,I390)-L390+M390-N390),IF('депозитный калькулятор'!$G$13="есть",M390-N390+IF('депозитный калькулятор'!$G$14="есть",0,-L390),-IF(I390=" ",0,I390)-IF(AND(OR('депозитный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срока"),I389,0)+M390-N390+IF('депозитный калькулятор'!$G$14="есть",0,-L390))))</f>
        <v xml:space="preserve"> </v>
      </c>
      <c r="P390" s="147" t="str">
        <f>IF(F390&gt;'депозитный калькулятор'!$D$8," ",IF(EOMONTH(F389,0)=F389,0,IF(G390&gt;='депозитный калькулятор'!$G$19,P389,P389+1)))</f>
        <v xml:space="preserve"> </v>
      </c>
      <c r="Q390" s="138" t="str">
        <f>IF(F390=" "," ",IF(AND(OR('депозитный калькулятор'!$G$7="30/365",'депозитный калькулятор'!$G$7="30/360"),AND(MONTH(F390)=2,EOMONTH(F390,0)=F390)),IF(DAY(F390)=28,3,2),1)*IF(G390&gt;='депозитный калькулятор'!$G$11,IF(AND('депозитный калькулятор'!$G$7="факт/факт",MOD(YEAR(F390),4)=0),G390*'депозитный калькулятор'!$D$11/366,G390*'депозитный калькулятор'!$G$8),0))</f>
        <v xml:space="preserve"> </v>
      </c>
      <c r="R390" s="158"/>
      <c r="S390" s="62" t="str">
        <f t="shared" ca="1" si="27"/>
        <v xml:space="preserve"> </v>
      </c>
      <c r="T390" s="149" t="str">
        <f ca="1">IF(S390=" "," ",IF('депозитный калькулятор'!$G$7="30/360",DAYS360(U389,IF(DAY(U390)=31,U390-1,U390))+IF(AND(MONTH(U390)=2,U390=EOMONTH(U390,0)),30-DAY(EOMONTH(U390,0)))+T389,VLOOKUP(S390,$C$22:$F$1023,2,0)))</f>
        <v xml:space="preserve"> </v>
      </c>
      <c r="U390" s="64" t="str">
        <f t="shared" ca="1" si="25"/>
        <v xml:space="preserve"> </v>
      </c>
      <c r="V390" s="150" t="str">
        <f t="shared" ca="1" si="28"/>
        <v xml:space="preserve"> </v>
      </c>
      <c r="W390" s="62" t="str">
        <f t="shared" ca="1" si="29"/>
        <v xml:space="preserve"> </v>
      </c>
      <c r="X390" s="141" t="str">
        <f ca="1">IF(S390=" "," ",IFERROR(VLOOKUP(U390,$F$23:$N$1023,7)+VLOOKUP(U390,$F$23:$N$1023,9)+IF(AND('депозитный калькулятор'!$G$13="нет",U390&lt;&gt;'депозитный калькулятор'!$D$8),VLOOKUP(U390,$F$23:$N$1023,4),0),0)+IF(U390='депозитный калькулятор'!$D$8,VLOOKUP(U390,$F$23:$N$1023,2)+VLOOKUP(U390,$F$23:$N$1023,4),0))</f>
        <v xml:space="preserve"> </v>
      </c>
      <c r="Y390" s="142" t="str">
        <f ca="1">IF(S390=" "," ",W390/(1+'депозитный калькулятор'!$K$8)^(T390/IF('депозитный калькулятор'!$G$7="30/360",360,365)))</f>
        <v xml:space="preserve"> </v>
      </c>
      <c r="Z390" s="142" t="str">
        <f ca="1">IF(S390=" "," ",X390/(1+'депозитный калькулятор'!$K$8)^(T390/IF('депозитный калькулятор'!$G$7="30/360",360,365)))</f>
        <v xml:space="preserve"> </v>
      </c>
      <c r="AA390" s="151"/>
      <c r="AB390" s="151"/>
      <c r="AC390" s="155"/>
      <c r="AD390" s="155"/>
      <c r="AF390" s="5"/>
    </row>
    <row r="391" spans="1:32" s="2" customFormat="1" ht="15.5" x14ac:dyDescent="0.35">
      <c r="A391" s="41" t="str">
        <f>IF(F391=" "," ",IF(OR('депозитный калькулятор'!$G$7="30/365",'депозитный калькулятор'!$G$7="30/360"),IF(AND(MONTH(F391)=2,DAY(F391)=DAY(EOMONTH(F391,0))),30-DAY(EOMONTH(F391,0)),IF(DAY(F391)=31,1," "))," "))</f>
        <v xml:space="preserve"> </v>
      </c>
      <c r="B391" s="130" t="str">
        <f t="shared" si="26"/>
        <v xml:space="preserve"> </v>
      </c>
      <c r="C391" s="130" t="str">
        <f>IF(OR(B391=0,B391=" ")," ",SUM($B$23:B391))</f>
        <v xml:space="preserve"> </v>
      </c>
      <c r="D391" s="62" t="str">
        <f>IF(D390=" "," ",IF(OR(F390='депозитный калькулятор'!$D$8,F390=" ")," ",D390+1))</f>
        <v xml:space="preserve"> </v>
      </c>
      <c r="E391" s="130" t="str">
        <f>IF(OR(F390='депозитный калькулятор'!$D$8,F390=" ")," ",IF(EOMONTH(F390,0)=F390,1,E390+1))</f>
        <v xml:space="preserve"> </v>
      </c>
      <c r="F391" s="64" t="str">
        <f>IF(F390=" "," ",IF(F390='депозитный калькулятор'!$D$8," ",F390+1))</f>
        <v xml:space="preserve"> </v>
      </c>
      <c r="G391" s="145" t="str">
        <f xml:space="preserve"> IF(F391&gt;'депозитный калькулятор'!$D$8," ",IF('депозитный калькулятор'!$G$13="есть",IF('депозитный калькулятор'!$G$14="есть",G390+IF(I390=" ",0,I390)-J391-K391+L391+M391-N391,G390+IF(I390=" ",0,I390)-J391-K391+M391-N391),IF('депозитный калькулятор'!$G$14="есть",G390-J391-K391+L391+M391-N391,G390-J391-K391+M391-N391)))</f>
        <v xml:space="preserve"> </v>
      </c>
      <c r="H391" s="133" t="str">
        <f>IF(F391&gt;'депозитный калькулятор'!$D$8," ",IF(AND(OR('депозитный калькулятор'!$G$7="30/365",'депозитный калькулятор'!$G$7="30/360"),AND(MONTH(F391)=2,EOMONTH(F391,0)=F391)),IF(DAY(F391)=28,3*G391*'депозитный калькулятор'!$G$8,2*G391*'депозитный калькулятор'!$G$8),IF(AND(OR('депозитный калькулятор'!$G$7="30/365",'депозитный калькулятор'!$G$7="30/360"),DAY(F391)=31)," ",IF(AND('депозитный калькулятор'!$G$7="факт/факт",MOD(YEAR(F391),4)=0),G391*'депозитный калькулятор'!$D$11/366,G391*'депозитный калькулятор'!$G$8))))</f>
        <v xml:space="preserve"> </v>
      </c>
      <c r="I391" s="134" t="str">
        <f ca="1">IF(F391=" "," ",IF('депозитный калькулятор'!$G$10="ежедневное",H391,IF(AND('депозитный калькулятор'!$G$10="еженедельное",WEEKDAY(F391,2)=7),SUM(OFFSET(H391,-6,0):H391),IF(AND('депозитный калькулятор'!$G$10="еженедельное",F391='депозитный калькулятор'!$D$8),SUM($H$23:H391)-SUM($I$23:I390),IF(AND('депозитный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недели",WEEKDAY(F391,2)=7),MIN(OFFSET(H391,-6,0):H391)*(COUNTIF(OFFSET(H391,-6,0):H391,"&gt;0")+SUMIF(OFFSET(A391,-WEEKDAY(F391,2),0):A391,"=2",OFFSET(A391,-WEEKDAY(F391,2),0):A391)),IF(AND('депозитный калькулятор'!$G$10="еженедельное, на минимальную сумму зафиксированную в течение недели",F391='депозитный калькулятор'!$D$8,WEEKDAY(F391,2)&lt;&gt;7),MIN(OFFSET(H391,-WEEKDAY(F391,2),0):H391)*(COUNTIF(OFFSET(H391,-WEEKDAY(F391,2)+1,0):H391,"&gt;0")+SUM(OFFSET(A391,-WEEKDAY(F391,2),0):A391)),IF(AND('депозитный калькулятор'!$G$10="ежемесячное (в конце месяца)",F391='депозитный калькулятор'!$D$8,EOMONTH(F391,0)&lt;&gt;F391),IF('депозитный калькулятор'!$F$1=1,$H$24,SUM($H$23:H391)-SUM($I$23:I390)),IF(AND('депозитный калькулятор'!$G$10="ежемесячное (в конце месяца)",EOMONTH(F391,0)=F391),SUM($H$23:H391)-SUM($I$23:I390),IF(AND('депозитный калькулятор'!$G$10="ежемесячное (по дням открытия вклада)",F391='депозитный калькулятор'!$D$8,DAY('депозитный калькулятор'!$D$7)&lt;&gt;DAY(F391)),IF('депозитный калькулятор'!$F$1=1,$H$24,SUM($H$23:H391)-SUM($I$23:I390)),IF(AND('депозитный калькулятор'!$G$10="ежемесячное (по дням открытия вклада)",DAY('депозитный калькулятор'!$D$7)=DAY(F391)),SUM($H$23:H391)-SUM($I$23:I390),IF(AND('депозитный калькулятор'!$G$10="ежемесячное, на минимальную сумму зафиксированную в течение месяца",F391='депозитный калькулятор'!$D$8,EOMONTH(F391,0)&lt;&gt;F391),IF('депозитный калькулятор'!$F$1=1,$H$24,IF(AND(OR('депозитный калькулятор'!$G$7="30/365",'депозитный калькулятор'!$G$7="30/360"),DAY(F391)=31),0,MIN(OFFSET(H391,-E391+1,0):H391)*(E391+SUMIF(OFFSET(A391,-E391+1,0):A391,"=2",OFFSET(A391,-E391+1,0):A391)))),IF(AND('депозитный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калькулятор'!$G$7="30/360"),DAY(EOMONTH(F391,0))=31),EOMONTH(F391,0)-1=F391,EOMONTH(F391,0)=F391)),IF(IF(AND(OR('депозитный калькулятор'!$G$7="30/365",'депозитный калькулятор'!$G$7="30/360"),DAY(EOMONTH($F$23,0))=31),F391=EOMONTH($F$23,0)-1,F391=EOMONTH($F$23,0)),MIN(OFFSET(H391,-(DAY(F391)-DAY($F$23)),0):H391)*E391,MIN(OFFSET(H391,-(DAY(F391)-1),0):H391)*IF(AND(OR('депозитный калькулятор'!$G$7="30/365",'депозитный калькулятор'!$G$7="30/360"),DAY(F391)&lt;30),30,DAY(F391))),IF(AND('депозитный калькулятор'!$G$10="ежемесячное, на средний остаток в течение месяца, при условии что остаток больше чем ограничение",F391='депозитный калькулятор'!$D$8,EOMONTH(F391,0)&lt;&gt;F391),IF('депозитный калькулятор'!$F$1=1,$H$24,SUM(OFFSET(Q391,-E391+1,0):Q391)),IF(AND('депозитный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калькулятор'!$G$7="30/360"),DAY(EOMONTH(F391,0))=31),EOMONTH(F391,0)-1=F391,EOMONTH(F391,0)=F391)),IF(IF(AND(OR('депозитный калькулятор'!$G$7="30/365",'депозитный калькулятор'!$G$7="30/360"),DAY(EOMONTH($F$24,0))=31),F391=EOMONTH($F$24,0)-1,F391=EOMONTH($F$24,0)),SUM(OFFSET(Q391,-E391+1,0):Q391),SUM(OFFSET(Q391,-E391+1,0):Q391)),IF('депозитный калькулятор'!$G$10="ежеквартальное",IF(F391&gt;'депозитный калькулятор'!$D$8," ",IF(AND(EOMONTH(F391,0)=F391,OR(MONTH(F391)=3,MONTH(F391)=6,MONTH(F391)=9,MONTH(F391)=12)),IF(EDATE(F391,-3)&lt;'депозитный калькулятор'!$D$7,SUM($H$23:H391),IF(MOD(YEAR(F391),4)=0,IF(AND(EOMONTH(F391,0)=F391,OR(MONTH(F391)=3,MONTH(F391)=6)),SUM(OFFSET(H391,-90,0):H391),IF(AND(EOMONTH(F391,0)=F391,OR(MONTH(F391)=9,MONTH(F391)=12)),SUM(OFFSET(H391,-91,0):H391))),IF(AND(EOMONTH(F391,0)=F391,MONTH(F391)=3),SUM(OFFSET(H391,-89,0):H391),IF(AND(EOMONTH(F391,0)=F391,MONTH(F391)=6),SUM(OFFSET(H391,-90,0):H391),IF(AND(EOMONTH(F391,0)=F391,OR(MONTH(F391)=9,MONTH(F391)=12)),SUM(OFFSET(H391,-91,0):H391)))))),IF(F391='депозитный калькулятор'!$D$8,SUM($H$23:H391)-SUM($I$23:I390),0))),IF('депозитный калькулятор'!$G$10="ежегодное",IF(F391&gt;'депозитный калькулятор'!$D$8," ",IF(F391='депозитный калькулятор'!$D$8,SUM($H$23:H391)-SUM($I$23:I390),IF(AND(EOMONTH(F391,0)=F391,MONTH(F391)=12),IF(MOD(YEAR(F390),4)=0,IF(F391-'депозитный калькулятор'!$D$7&lt;366,SUM($H$23:H391),SUM(OFFSET(H391,-365,0):H391)),IF(F391-'депозитный калькулятор'!$D$7&lt;365,SUM($H$23:H391),SUM(OFFSET(H391,-364,0):H391))),0))),IF(AND('депозитный калькулятор'!$G$10="в конце срока",'депозитный калькулятор'!$D$8=F391),SUM($H$23:H391),0))))))))))))))))))</f>
        <v xml:space="preserve"> </v>
      </c>
      <c r="J391" s="59" t="str">
        <f>IF(F391&gt;'депозитный калькулятор'!$D$8," ",IF('депозитный калькулятор'!$G$16="нет",0,IF(AND('депозитный калькулятор'!$G$17="разовая (в конце срока)",F391='депозитный калькулятор'!$D$8),'депозитный калькулятор'!$G$18,IF(AND('депозитный калькулятор'!$G$17="ежемесячная",EOMONTH(F390,0)=F390),'депозитный калькулятор'!$G$18,IF(AND('депозитный калькулятор'!$G$17="ежегодная",DAY(F390)=31,MONTH(F390)=12),'депозитный калькулятор'!$G$18,IF(AND('депозитный калькулятор'!$G$17="ежемесячная в зависимости от остатка",EOMONTH(F390,0)=F390,P390&gt;0),'депозитный калькулятор'!$G$18,IF(AND('депозитный калькулятор'!$G$17="ежегодная в зависимости от остатка",DAY(F390)=31,MONTH(F390)=12,P390&gt;0),'депозитный калькулятор'!$G$18,0)))))))</f>
        <v xml:space="preserve"> </v>
      </c>
      <c r="K391" s="135" t="str">
        <f>IF($F391=" "," ",IFERROR(VLOOKUP($F391,'депозитный калькулятор'!$B$26:$F$70,2,0),0))</f>
        <v xml:space="preserve"> </v>
      </c>
      <c r="L391" s="135" t="str">
        <f>IF($F391=" "," ",IFERROR(VLOOKUP($F391,'депозитный калькулятор'!$B$26:$F$70,3,0),0))</f>
        <v xml:space="preserve"> </v>
      </c>
      <c r="M391" s="135" t="str">
        <f>IF($F391=" "," ",IFERROR(VLOOKUP($F391,'депозитный калькулятор'!$B$26:$F$70,4,0),0))</f>
        <v xml:space="preserve"> </v>
      </c>
      <c r="N391" s="135" t="str">
        <f>IF($F391=" "," ",IFERROR(VLOOKUP($F391,'депозитный калькулятор'!$B$26:$F$70,5,0),0))</f>
        <v xml:space="preserve"> </v>
      </c>
      <c r="O391" s="146" t="str">
        <f>IF(F391&gt;'депозитный калькулятор'!$D$8," ",IF(F391='депозитный калькулятор'!$D$8,IF(AND($F$24='депозитный калькулятор'!$D$8,'депозитный калькулятор'!$G$13="нет"),-G391-IF(I391=" ",0,I391)-IF(AND(OR('депозитный калькулятор'!$G$7="30/365",'депозитный калькулятор'!$G$7="30/360"),'депозитный калькулятор'!$G$10="в начале срока"),I390,0)-L391+M391-N391,-G391-IF(I391=" ",0,I391)-L391+M391-N391),IF('депозитный калькулятор'!$G$13="есть",M391-N391+IF('депозитный калькулятор'!$G$14="есть",0,-L391),-IF(I391=" ",0,I391)-IF(AND(OR('депозитный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срока"),I390,0)+M391-N391+IF('депозитный калькулятор'!$G$14="есть",0,-L391))))</f>
        <v xml:space="preserve"> </v>
      </c>
      <c r="P391" s="147" t="str">
        <f>IF(F391&gt;'депозитный калькулятор'!$D$8," ",IF(EOMONTH(F390,0)=F390,0,IF(G391&gt;='депозитный калькулятор'!$G$19,P390,P390+1)))</f>
        <v xml:space="preserve"> </v>
      </c>
      <c r="Q391" s="138" t="str">
        <f>IF(F391=" "," ",IF(AND(OR('депозитный калькулятор'!$G$7="30/365",'депозитный калькулятор'!$G$7="30/360"),AND(MONTH(F391)=2,EOMONTH(F391,0)=F391)),IF(DAY(F391)=28,3,2),1)*IF(G391&gt;='депозитный калькулятор'!$G$11,IF(AND('депозитный калькулятор'!$G$7="факт/факт",MOD(YEAR(F391),4)=0),G391*'депозитный калькулятор'!$D$11/366,G391*'депозитный калькулятор'!$G$8),0))</f>
        <v xml:space="preserve"> </v>
      </c>
      <c r="R391" s="158"/>
      <c r="S391" s="62" t="str">
        <f t="shared" ca="1" si="27"/>
        <v xml:space="preserve"> </v>
      </c>
      <c r="T391" s="149" t="str">
        <f ca="1">IF(S391=" "," ",IF('депозитный калькулятор'!$G$7="30/360",DAYS360(U390,IF(DAY(U391)=31,U391-1,U391))+IF(AND(MONTH(U391)=2,U391=EOMONTH(U391,0)),30-DAY(EOMONTH(U391,0)))+T390,VLOOKUP(S391,$C$22:$F$1023,2,0)))</f>
        <v xml:space="preserve"> </v>
      </c>
      <c r="U391" s="64" t="str">
        <f t="shared" ca="1" si="25"/>
        <v xml:space="preserve"> </v>
      </c>
      <c r="V391" s="150" t="str">
        <f t="shared" ca="1" si="28"/>
        <v xml:space="preserve"> </v>
      </c>
      <c r="W391" s="62" t="str">
        <f t="shared" ca="1" si="29"/>
        <v xml:space="preserve"> </v>
      </c>
      <c r="X391" s="141" t="str">
        <f ca="1">IF(S391=" "," ",IFERROR(VLOOKUP(U391,$F$23:$N$1023,7)+VLOOKUP(U391,$F$23:$N$1023,9)+IF(AND('депозитный калькулятор'!$G$13="нет",U391&lt;&gt;'депозитный калькулятор'!$D$8),VLOOKUP(U391,$F$23:$N$1023,4),0),0)+IF(U391='депозитный калькулятор'!$D$8,VLOOKUP(U391,$F$23:$N$1023,2)+VLOOKUP(U391,$F$23:$N$1023,4),0))</f>
        <v xml:space="preserve"> </v>
      </c>
      <c r="Y391" s="142" t="str">
        <f ca="1">IF(S391=" "," ",W391/(1+'депозитный калькулятор'!$K$8)^(T391/IF('депозитный калькулятор'!$G$7="30/360",360,365)))</f>
        <v xml:space="preserve"> </v>
      </c>
      <c r="Z391" s="142" t="str">
        <f ca="1">IF(S391=" "," ",X391/(1+'депозитный калькулятор'!$K$8)^(T391/IF('депозитный калькулятор'!$G$7="30/360",360,365)))</f>
        <v xml:space="preserve"> </v>
      </c>
      <c r="AA391" s="151"/>
      <c r="AB391" s="151"/>
      <c r="AC391" s="155"/>
      <c r="AD391" s="155"/>
      <c r="AF391" s="5"/>
    </row>
    <row r="392" spans="1:32" s="2" customFormat="1" ht="15.5" x14ac:dyDescent="0.35">
      <c r="A392" s="41" t="str">
        <f>IF(F392=" "," ",IF(OR('депозитный калькулятор'!$G$7="30/365",'депозитный калькулятор'!$G$7="30/360"),IF(AND(MONTH(F392)=2,DAY(F392)=DAY(EOMONTH(F392,0))),30-DAY(EOMONTH(F392,0)),IF(DAY(F392)=31,1," "))," "))</f>
        <v xml:space="preserve"> </v>
      </c>
      <c r="B392" s="130" t="str">
        <f t="shared" si="26"/>
        <v xml:space="preserve"> </v>
      </c>
      <c r="C392" s="130" t="str">
        <f>IF(OR(B392=0,B392=" ")," ",SUM($B$23:B392))</f>
        <v xml:space="preserve"> </v>
      </c>
      <c r="D392" s="62" t="str">
        <f>IF(D391=" "," ",IF(OR(F391='депозитный калькулятор'!$D$8,F391=" ")," ",D391+1))</f>
        <v xml:space="preserve"> </v>
      </c>
      <c r="E392" s="130" t="str">
        <f>IF(OR(F391='депозитный калькулятор'!$D$8,F391=" ")," ",IF(EOMONTH(F391,0)=F391,1,E391+1))</f>
        <v xml:space="preserve"> </v>
      </c>
      <c r="F392" s="64" t="str">
        <f>IF(F391=" "," ",IF(F391='депозитный калькулятор'!$D$8," ",F391+1))</f>
        <v xml:space="preserve"> </v>
      </c>
      <c r="G392" s="145" t="str">
        <f xml:space="preserve"> IF(F392&gt;'депозитный калькулятор'!$D$8," ",IF('депозитный калькулятор'!$G$13="есть",IF('депозитный калькулятор'!$G$14="есть",G391+IF(I391=" ",0,I391)-J392-K392+L392+M392-N392,G391+IF(I391=" ",0,I391)-J392-K392+M392-N392),IF('депозитный калькулятор'!$G$14="есть",G391-J392-K392+L392+M392-N392,G391-J392-K392+M392-N392)))</f>
        <v xml:space="preserve"> </v>
      </c>
      <c r="H392" s="133" t="str">
        <f>IF(F392&gt;'депозитный калькулятор'!$D$8," ",IF(AND(OR('депозитный калькулятор'!$G$7="30/365",'депозитный калькулятор'!$G$7="30/360"),AND(MONTH(F392)=2,EOMONTH(F392,0)=F392)),IF(DAY(F392)=28,3*G392*'депозитный калькулятор'!$G$8,2*G392*'депозитный калькулятор'!$G$8),IF(AND(OR('депозитный калькулятор'!$G$7="30/365",'депозитный калькулятор'!$G$7="30/360"),DAY(F392)=31)," ",IF(AND('депозитный калькулятор'!$G$7="факт/факт",MOD(YEAR(F392),4)=0),G392*'депозитный калькулятор'!$D$11/366,G392*'депозитный калькулятор'!$G$8))))</f>
        <v xml:space="preserve"> </v>
      </c>
      <c r="I392" s="134" t="str">
        <f ca="1">IF(F392=" "," ",IF('депозитный калькулятор'!$G$10="ежедневное",H392,IF(AND('депозитный калькулятор'!$G$10="еженедельное",WEEKDAY(F392,2)=7),SUM(OFFSET(H392,-6,0):H392),IF(AND('депозитный калькулятор'!$G$10="еженедельное",F392='депозитный калькулятор'!$D$8),SUM($H$23:H392)-SUM($I$23:I391),IF(AND('депозитный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недели",WEEKDAY(F392,2)=7),MIN(OFFSET(H392,-6,0):H392)*(COUNTIF(OFFSET(H392,-6,0):H392,"&gt;0")+SUMIF(OFFSET(A392,-WEEKDAY(F392,2),0):A392,"=2",OFFSET(A392,-WEEKDAY(F392,2),0):A392)),IF(AND('депозитный калькулятор'!$G$10="еженедельное, на минимальную сумму зафиксированную в течение недели",F392='депозитный калькулятор'!$D$8,WEEKDAY(F392,2)&lt;&gt;7),MIN(OFFSET(H392,-WEEKDAY(F392,2),0):H392)*(COUNTIF(OFFSET(H392,-WEEKDAY(F392,2)+1,0):H392,"&gt;0")+SUM(OFFSET(A392,-WEEKDAY(F392,2),0):A392)),IF(AND('депозитный калькулятор'!$G$10="ежемесячное (в конце месяца)",F392='депозитный калькулятор'!$D$8,EOMONTH(F392,0)&lt;&gt;F392),IF('депозитный калькулятор'!$F$1=1,$H$24,SUM($H$23:H392)-SUM($I$23:I391)),IF(AND('депозитный калькулятор'!$G$10="ежемесячное (в конце месяца)",EOMONTH(F392,0)=F392),SUM($H$23:H392)-SUM($I$23:I391),IF(AND('депозитный калькулятор'!$G$10="ежемесячное (по дням открытия вклада)",F392='депозитный калькулятор'!$D$8,DAY('депозитный калькулятор'!$D$7)&lt;&gt;DAY(F392)),IF('депозитный калькулятор'!$F$1=1,$H$24,SUM($H$23:H392)-SUM($I$23:I391)),IF(AND('депозитный калькулятор'!$G$10="ежемесячное (по дням открытия вклада)",DAY('депозитный калькулятор'!$D$7)=DAY(F392)),SUM($H$23:H392)-SUM($I$23:I391),IF(AND('депозитный калькулятор'!$G$10="ежемесячное, на минимальную сумму зафиксированную в течение месяца",F392='депозитный калькулятор'!$D$8,EOMONTH(F392,0)&lt;&gt;F392),IF('депозитный калькулятор'!$F$1=1,$H$24,IF(AND(OR('депозитный калькулятор'!$G$7="30/365",'депозитный калькулятор'!$G$7="30/360"),DAY(F392)=31),0,MIN(OFFSET(H392,-E392+1,0):H392)*(E392+SUMIF(OFFSET(A392,-E392+1,0):A392,"=2",OFFSET(A392,-E392+1,0):A392)))),IF(AND('депозитный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калькулятор'!$G$7="30/360"),DAY(EOMONTH(F392,0))=31),EOMONTH(F392,0)-1=F392,EOMONTH(F392,0)=F392)),IF(IF(AND(OR('депозитный калькулятор'!$G$7="30/365",'депозитный калькулятор'!$G$7="30/360"),DAY(EOMONTH($F$23,0))=31),F392=EOMONTH($F$23,0)-1,F392=EOMONTH($F$23,0)),MIN(OFFSET(H392,-(DAY(F392)-DAY($F$23)),0):H392)*E392,MIN(OFFSET(H392,-(DAY(F392)-1),0):H392)*IF(AND(OR('депозитный калькулятор'!$G$7="30/365",'депозитный калькулятор'!$G$7="30/360"),DAY(F392)&lt;30),30,DAY(F392))),IF(AND('депозитный калькулятор'!$G$10="ежемесячное, на средний остаток в течение месяца, при условии что остаток больше чем ограничение",F392='депозитный калькулятор'!$D$8,EOMONTH(F392,0)&lt;&gt;F392),IF('депозитный калькулятор'!$F$1=1,$H$24,SUM(OFFSET(Q392,-E392+1,0):Q392)),IF(AND('депозитный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калькулятор'!$G$7="30/360"),DAY(EOMONTH(F392,0))=31),EOMONTH(F392,0)-1=F392,EOMONTH(F392,0)=F392)),IF(IF(AND(OR('депозитный калькулятор'!$G$7="30/365",'депозитный калькулятор'!$G$7="30/360"),DAY(EOMONTH($F$24,0))=31),F392=EOMONTH($F$24,0)-1,F392=EOMONTH($F$24,0)),SUM(OFFSET(Q392,-E392+1,0):Q392),SUM(OFFSET(Q392,-E392+1,0):Q392)),IF('депозитный калькулятор'!$G$10="ежеквартальное",IF(F392&gt;'депозитный калькулятор'!$D$8," ",IF(AND(EOMONTH(F392,0)=F392,OR(MONTH(F392)=3,MONTH(F392)=6,MONTH(F392)=9,MONTH(F392)=12)),IF(EDATE(F392,-3)&lt;'депозитный калькулятор'!$D$7,SUM($H$23:H392),IF(MOD(YEAR(F392),4)=0,IF(AND(EOMONTH(F392,0)=F392,OR(MONTH(F392)=3,MONTH(F392)=6)),SUM(OFFSET(H392,-90,0):H392),IF(AND(EOMONTH(F392,0)=F392,OR(MONTH(F392)=9,MONTH(F392)=12)),SUM(OFFSET(H392,-91,0):H392))),IF(AND(EOMONTH(F392,0)=F392,MONTH(F392)=3),SUM(OFFSET(H392,-89,0):H392),IF(AND(EOMONTH(F392,0)=F392,MONTH(F392)=6),SUM(OFFSET(H392,-90,0):H392),IF(AND(EOMONTH(F392,0)=F392,OR(MONTH(F392)=9,MONTH(F392)=12)),SUM(OFFSET(H392,-91,0):H392)))))),IF(F392='депозитный калькулятор'!$D$8,SUM($H$23:H392)-SUM($I$23:I391),0))),IF('депозитный калькулятор'!$G$10="ежегодное",IF(F392&gt;'депозитный калькулятор'!$D$8," ",IF(F392='депозитный калькулятор'!$D$8,SUM($H$23:H392)-SUM($I$23:I391),IF(AND(EOMONTH(F392,0)=F392,MONTH(F392)=12),IF(MOD(YEAR(F391),4)=0,IF(F392-'депозитный калькулятор'!$D$7&lt;366,SUM($H$23:H392),SUM(OFFSET(H392,-365,0):H392)),IF(F392-'депозитный калькулятор'!$D$7&lt;365,SUM($H$23:H392),SUM(OFFSET(H392,-364,0):H392))),0))),IF(AND('депозитный калькулятор'!$G$10="в конце срока",'депозитный калькулятор'!$D$8=F392),SUM($H$23:H392),0))))))))))))))))))</f>
        <v xml:space="preserve"> </v>
      </c>
      <c r="J392" s="59" t="str">
        <f>IF(F392&gt;'депозитный калькулятор'!$D$8," ",IF('депозитный калькулятор'!$G$16="нет",0,IF(AND('депозитный калькулятор'!$G$17="разовая (в конце срока)",F392='депозитный калькулятор'!$D$8),'депозитный калькулятор'!$G$18,IF(AND('депозитный калькулятор'!$G$17="ежемесячная",EOMONTH(F391,0)=F391),'депозитный калькулятор'!$G$18,IF(AND('депозитный калькулятор'!$G$17="ежегодная",DAY(F391)=31,MONTH(F391)=12),'депозитный калькулятор'!$G$18,IF(AND('депозитный калькулятор'!$G$17="ежемесячная в зависимости от остатка",EOMONTH(F391,0)=F391,P391&gt;0),'депозитный калькулятор'!$G$18,IF(AND('депозитный калькулятор'!$G$17="ежегодная в зависимости от остатка",DAY(F391)=31,MONTH(F391)=12,P391&gt;0),'депозитный калькулятор'!$G$18,0)))))))</f>
        <v xml:space="preserve"> </v>
      </c>
      <c r="K392" s="135" t="str">
        <f>IF($F392=" "," ",IFERROR(VLOOKUP($F392,'депозитный калькулятор'!$B$26:$F$70,2,0),0))</f>
        <v xml:space="preserve"> </v>
      </c>
      <c r="L392" s="135" t="str">
        <f>IF($F392=" "," ",IFERROR(VLOOKUP($F392,'депозитный калькулятор'!$B$26:$F$70,3,0),0))</f>
        <v xml:space="preserve"> </v>
      </c>
      <c r="M392" s="135" t="str">
        <f>IF($F392=" "," ",IFERROR(VLOOKUP($F392,'депозитный калькулятор'!$B$26:$F$70,4,0),0))</f>
        <v xml:space="preserve"> </v>
      </c>
      <c r="N392" s="135" t="str">
        <f>IF($F392=" "," ",IFERROR(VLOOKUP($F392,'депозитный калькулятор'!$B$26:$F$70,5,0),0))</f>
        <v xml:space="preserve"> </v>
      </c>
      <c r="O392" s="146" t="str">
        <f>IF(F392&gt;'депозитный калькулятор'!$D$8," ",IF(F392='депозитный калькулятор'!$D$8,IF(AND($F$24='депозитный калькулятор'!$D$8,'депозитный калькулятор'!$G$13="нет"),-G392-IF(I392=" ",0,I392)-IF(AND(OR('депозитный калькулятор'!$G$7="30/365",'депозитный калькулятор'!$G$7="30/360"),'депозитный калькулятор'!$G$10="в начале срока"),I391,0)-L392+M392-N392,-G392-IF(I392=" ",0,I392)-L392+M392-N392),IF('депозитный калькулятор'!$G$13="есть",M392-N392+IF('депозитный калькулятор'!$G$14="есть",0,-L392),-IF(I392=" ",0,I392)-IF(AND(OR('депозитный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срока"),I391,0)+M392-N392+IF('депозитный калькулятор'!$G$14="есть",0,-L392))))</f>
        <v xml:space="preserve"> </v>
      </c>
      <c r="P392" s="147" t="str">
        <f>IF(F392&gt;'депозитный калькулятор'!$D$8," ",IF(EOMONTH(F391,0)=F391,0,IF(G392&gt;='депозитный калькулятор'!$G$19,P391,P391+1)))</f>
        <v xml:space="preserve"> </v>
      </c>
      <c r="Q392" s="138" t="str">
        <f>IF(F392=" "," ",IF(AND(OR('депозитный калькулятор'!$G$7="30/365",'депозитный калькулятор'!$G$7="30/360"),AND(MONTH(F392)=2,EOMONTH(F392,0)=F392)),IF(DAY(F392)=28,3,2),1)*IF(G392&gt;='депозитный калькулятор'!$G$11,IF(AND('депозитный калькулятор'!$G$7="факт/факт",MOD(YEAR(F392),4)=0),G392*'депозитный калькулятор'!$D$11/366,G392*'депозитный калькулятор'!$G$8),0))</f>
        <v xml:space="preserve"> </v>
      </c>
      <c r="R392" s="158"/>
      <c r="S392" s="62" t="str">
        <f t="shared" ca="1" si="27"/>
        <v xml:space="preserve"> </v>
      </c>
      <c r="T392" s="149" t="str">
        <f ca="1">IF(S392=" "," ",IF('депозитный калькулятор'!$G$7="30/360",DAYS360(U391,IF(DAY(U392)=31,U392-1,U392))+IF(AND(MONTH(U392)=2,U392=EOMONTH(U392,0)),30-DAY(EOMONTH(U392,0)))+T391,VLOOKUP(S392,$C$22:$F$1023,2,0)))</f>
        <v xml:space="preserve"> </v>
      </c>
      <c r="U392" s="64" t="str">
        <f t="shared" ca="1" si="25"/>
        <v xml:space="preserve"> </v>
      </c>
      <c r="V392" s="150" t="str">
        <f t="shared" ca="1" si="28"/>
        <v xml:space="preserve"> </v>
      </c>
      <c r="W392" s="62" t="str">
        <f t="shared" ca="1" si="29"/>
        <v xml:space="preserve"> </v>
      </c>
      <c r="X392" s="141" t="str">
        <f ca="1">IF(S392=" "," ",IFERROR(VLOOKUP(U392,$F$23:$N$1023,7)+VLOOKUP(U392,$F$23:$N$1023,9)+IF(AND('депозитный калькулятор'!$G$13="нет",U392&lt;&gt;'депозитный калькулятор'!$D$8),VLOOKUP(U392,$F$23:$N$1023,4),0),0)+IF(U392='депозитный калькулятор'!$D$8,VLOOKUP(U392,$F$23:$N$1023,2)+VLOOKUP(U392,$F$23:$N$1023,4),0))</f>
        <v xml:space="preserve"> </v>
      </c>
      <c r="Y392" s="142" t="str">
        <f ca="1">IF(S392=" "," ",W392/(1+'депозитный калькулятор'!$K$8)^(T392/IF('депозитный калькулятор'!$G$7="30/360",360,365)))</f>
        <v xml:space="preserve"> </v>
      </c>
      <c r="Z392" s="142" t="str">
        <f ca="1">IF(S392=" "," ",X392/(1+'депозитный калькулятор'!$K$8)^(T392/IF('депозитный калькулятор'!$G$7="30/360",360,365)))</f>
        <v xml:space="preserve"> </v>
      </c>
      <c r="AA392" s="151"/>
      <c r="AB392" s="151"/>
      <c r="AC392" s="155"/>
      <c r="AD392" s="155"/>
      <c r="AF392" s="5"/>
    </row>
    <row r="393" spans="1:32" s="2" customFormat="1" ht="15.5" x14ac:dyDescent="0.35">
      <c r="A393" s="41" t="str">
        <f>IF(F393=" "," ",IF(OR('депозитный калькулятор'!$G$7="30/365",'депозитный калькулятор'!$G$7="30/360"),IF(AND(MONTH(F393)=2,DAY(F393)=DAY(EOMONTH(F393,0))),30-DAY(EOMONTH(F393,0)),IF(DAY(F393)=31,1," "))," "))</f>
        <v xml:space="preserve"> </v>
      </c>
      <c r="B393" s="130" t="str">
        <f t="shared" si="26"/>
        <v xml:space="preserve"> </v>
      </c>
      <c r="C393" s="130" t="str">
        <f>IF(OR(B393=0,B393=" ")," ",SUM($B$23:B393))</f>
        <v xml:space="preserve"> </v>
      </c>
      <c r="D393" s="62" t="str">
        <f>IF(D392=" "," ",IF(OR(F392='депозитный калькулятор'!$D$8,F392=" ")," ",D392+1))</f>
        <v xml:space="preserve"> </v>
      </c>
      <c r="E393" s="130" t="str">
        <f>IF(OR(F392='депозитный калькулятор'!$D$8,F392=" ")," ",IF(EOMONTH(F392,0)=F392,1,E392+1))</f>
        <v xml:space="preserve"> </v>
      </c>
      <c r="F393" s="64" t="str">
        <f>IF(F392=" "," ",IF(F392='депозитный калькулятор'!$D$8," ",F392+1))</f>
        <v xml:space="preserve"> </v>
      </c>
      <c r="G393" s="145" t="str">
        <f xml:space="preserve"> IF(F393&gt;'депозитный калькулятор'!$D$8," ",IF('депозитный калькулятор'!$G$13="есть",IF('депозитный калькулятор'!$G$14="есть",G392+IF(I392=" ",0,I392)-J393-K393+L393+M393-N393,G392+IF(I392=" ",0,I392)-J393-K393+M393-N393),IF('депозитный калькулятор'!$G$14="есть",G392-J393-K393+L393+M393-N393,G392-J393-K393+M393-N393)))</f>
        <v xml:space="preserve"> </v>
      </c>
      <c r="H393" s="133" t="str">
        <f>IF(F393&gt;'депозитный калькулятор'!$D$8," ",IF(AND(OR('депозитный калькулятор'!$G$7="30/365",'депозитный калькулятор'!$G$7="30/360"),AND(MONTH(F393)=2,EOMONTH(F393,0)=F393)),IF(DAY(F393)=28,3*G393*'депозитный калькулятор'!$G$8,2*G393*'депозитный калькулятор'!$G$8),IF(AND(OR('депозитный калькулятор'!$G$7="30/365",'депозитный калькулятор'!$G$7="30/360"),DAY(F393)=31)," ",IF(AND('депозитный калькулятор'!$G$7="факт/факт",MOD(YEAR(F393),4)=0),G393*'депозитный калькулятор'!$D$11/366,G393*'депозитный калькулятор'!$G$8))))</f>
        <v xml:space="preserve"> </v>
      </c>
      <c r="I393" s="134" t="str">
        <f ca="1">IF(F393=" "," ",IF('депозитный калькулятор'!$G$10="ежедневное",H393,IF(AND('депозитный калькулятор'!$G$10="еженедельное",WEEKDAY(F393,2)=7),SUM(OFFSET(H393,-6,0):H393),IF(AND('депозитный калькулятор'!$G$10="еженедельное",F393='депозитный калькулятор'!$D$8),SUM($H$23:H393)-SUM($I$23:I392),IF(AND('депозитный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недели",WEEKDAY(F393,2)=7),MIN(OFFSET(H393,-6,0):H393)*(COUNTIF(OFFSET(H393,-6,0):H393,"&gt;0")+SUMIF(OFFSET(A393,-WEEKDAY(F393,2),0):A393,"=2",OFFSET(A393,-WEEKDAY(F393,2),0):A393)),IF(AND('депозитный калькулятор'!$G$10="еженедельное, на минимальную сумму зафиксированную в течение недели",F393='депозитный калькулятор'!$D$8,WEEKDAY(F393,2)&lt;&gt;7),MIN(OFFSET(H393,-WEEKDAY(F393,2),0):H393)*(COUNTIF(OFFSET(H393,-WEEKDAY(F393,2)+1,0):H393,"&gt;0")+SUM(OFFSET(A393,-WEEKDAY(F393,2),0):A393)),IF(AND('депозитный калькулятор'!$G$10="ежемесячное (в конце месяца)",F393='депозитный калькулятор'!$D$8,EOMONTH(F393,0)&lt;&gt;F393),IF('депозитный калькулятор'!$F$1=1,$H$24,SUM($H$23:H393)-SUM($I$23:I392)),IF(AND('депозитный калькулятор'!$G$10="ежемесячное (в конце месяца)",EOMONTH(F393,0)=F393),SUM($H$23:H393)-SUM($I$23:I392),IF(AND('депозитный калькулятор'!$G$10="ежемесячное (по дням открытия вклада)",F393='депозитный калькулятор'!$D$8,DAY('депозитный калькулятор'!$D$7)&lt;&gt;DAY(F393)),IF('депозитный калькулятор'!$F$1=1,$H$24,SUM($H$23:H393)-SUM($I$23:I392)),IF(AND('депозитный калькулятор'!$G$10="ежемесячное (по дням открытия вклада)",DAY('депозитный калькулятор'!$D$7)=DAY(F393)),SUM($H$23:H393)-SUM($I$23:I392),IF(AND('депозитный калькулятор'!$G$10="ежемесячное, на минимальную сумму зафиксированную в течение месяца",F393='депозитный калькулятор'!$D$8,EOMONTH(F393,0)&lt;&gt;F393),IF('депозитный калькулятор'!$F$1=1,$H$24,IF(AND(OR('депозитный калькулятор'!$G$7="30/365",'депозитный калькулятор'!$G$7="30/360"),DAY(F393)=31),0,MIN(OFFSET(H393,-E393+1,0):H393)*(E393+SUMIF(OFFSET(A393,-E393+1,0):A393,"=2",OFFSET(A393,-E393+1,0):A393)))),IF(AND('депозитный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калькулятор'!$G$7="30/360"),DAY(EOMONTH(F393,0))=31),EOMONTH(F393,0)-1=F393,EOMONTH(F393,0)=F393)),IF(IF(AND(OR('депозитный калькулятор'!$G$7="30/365",'депозитный калькулятор'!$G$7="30/360"),DAY(EOMONTH($F$23,0))=31),F393=EOMONTH($F$23,0)-1,F393=EOMONTH($F$23,0)),MIN(OFFSET(H393,-(DAY(F393)-DAY($F$23)),0):H393)*E393,MIN(OFFSET(H393,-(DAY(F393)-1),0):H393)*IF(AND(OR('депозитный калькулятор'!$G$7="30/365",'депозитный калькулятор'!$G$7="30/360"),DAY(F393)&lt;30),30,DAY(F393))),IF(AND('депозитный калькулятор'!$G$10="ежемесячное, на средний остаток в течение месяца, при условии что остаток больше чем ограничение",F393='депозитный калькулятор'!$D$8,EOMONTH(F393,0)&lt;&gt;F393),IF('депозитный калькулятор'!$F$1=1,$H$24,SUM(OFFSET(Q393,-E393+1,0):Q393)),IF(AND('депозитный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калькулятор'!$G$7="30/360"),DAY(EOMONTH(F393,0))=31),EOMONTH(F393,0)-1=F393,EOMONTH(F393,0)=F393)),IF(IF(AND(OR('депозитный калькулятор'!$G$7="30/365",'депозитный калькулятор'!$G$7="30/360"),DAY(EOMONTH($F$24,0))=31),F393=EOMONTH($F$24,0)-1,F393=EOMONTH($F$24,0)),SUM(OFFSET(Q393,-E393+1,0):Q393),SUM(OFFSET(Q393,-E393+1,0):Q393)),IF('депозитный калькулятор'!$G$10="ежеквартальное",IF(F393&gt;'депозитный калькулятор'!$D$8," ",IF(AND(EOMONTH(F393,0)=F393,OR(MONTH(F393)=3,MONTH(F393)=6,MONTH(F393)=9,MONTH(F393)=12)),IF(EDATE(F393,-3)&lt;'депозитный калькулятор'!$D$7,SUM($H$23:H393),IF(MOD(YEAR(F393),4)=0,IF(AND(EOMONTH(F393,0)=F393,OR(MONTH(F393)=3,MONTH(F393)=6)),SUM(OFFSET(H393,-90,0):H393),IF(AND(EOMONTH(F393,0)=F393,OR(MONTH(F393)=9,MONTH(F393)=12)),SUM(OFFSET(H393,-91,0):H393))),IF(AND(EOMONTH(F393,0)=F393,MONTH(F393)=3),SUM(OFFSET(H393,-89,0):H393),IF(AND(EOMONTH(F393,0)=F393,MONTH(F393)=6),SUM(OFFSET(H393,-90,0):H393),IF(AND(EOMONTH(F393,0)=F393,OR(MONTH(F393)=9,MONTH(F393)=12)),SUM(OFFSET(H393,-91,0):H393)))))),IF(F393='депозитный калькулятор'!$D$8,SUM($H$23:H393)-SUM($I$23:I392),0))),IF('депозитный калькулятор'!$G$10="ежегодное",IF(F393&gt;'депозитный калькулятор'!$D$8," ",IF(F393='депозитный калькулятор'!$D$8,SUM($H$23:H393)-SUM($I$23:I392),IF(AND(EOMONTH(F393,0)=F393,MONTH(F393)=12),IF(MOD(YEAR(F392),4)=0,IF(F393-'депозитный калькулятор'!$D$7&lt;366,SUM($H$23:H393),SUM(OFFSET(H393,-365,0):H393)),IF(F393-'депозитный калькулятор'!$D$7&lt;365,SUM($H$23:H393),SUM(OFFSET(H393,-364,0):H393))),0))),IF(AND('депозитный калькулятор'!$G$10="в конце срока",'депозитный калькулятор'!$D$8=F393),SUM($H$23:H393),0))))))))))))))))))</f>
        <v xml:space="preserve"> </v>
      </c>
      <c r="J393" s="59" t="str">
        <f>IF(F393&gt;'депозитный калькулятор'!$D$8," ",IF('депозитный калькулятор'!$G$16="нет",0,IF(AND('депозитный калькулятор'!$G$17="разовая (в конце срока)",F393='депозитный калькулятор'!$D$8),'депозитный калькулятор'!$G$18,IF(AND('депозитный калькулятор'!$G$17="ежемесячная",EOMONTH(F392,0)=F392),'депозитный калькулятор'!$G$18,IF(AND('депозитный калькулятор'!$G$17="ежегодная",DAY(F392)=31,MONTH(F392)=12),'депозитный калькулятор'!$G$18,IF(AND('депозитный калькулятор'!$G$17="ежемесячная в зависимости от остатка",EOMONTH(F392,0)=F392,P392&gt;0),'депозитный калькулятор'!$G$18,IF(AND('депозитный калькулятор'!$G$17="ежегодная в зависимости от остатка",DAY(F392)=31,MONTH(F392)=12,P392&gt;0),'депозитный калькулятор'!$G$18,0)))))))</f>
        <v xml:space="preserve"> </v>
      </c>
      <c r="K393" s="135" t="str">
        <f>IF($F393=" "," ",IFERROR(VLOOKUP($F393,'депозитный калькулятор'!$B$26:$F$70,2,0),0))</f>
        <v xml:space="preserve"> </v>
      </c>
      <c r="L393" s="135" t="str">
        <f>IF($F393=" "," ",IFERROR(VLOOKUP($F393,'депозитный калькулятор'!$B$26:$F$70,3,0),0))</f>
        <v xml:space="preserve"> </v>
      </c>
      <c r="M393" s="135" t="str">
        <f>IF($F393=" "," ",IFERROR(VLOOKUP($F393,'депозитный калькулятор'!$B$26:$F$70,4,0),0))</f>
        <v xml:space="preserve"> </v>
      </c>
      <c r="N393" s="135" t="str">
        <f>IF($F393=" "," ",IFERROR(VLOOKUP($F393,'депозитный калькулятор'!$B$26:$F$70,5,0),0))</f>
        <v xml:space="preserve"> </v>
      </c>
      <c r="O393" s="146" t="str">
        <f>IF(F393&gt;'депозитный калькулятор'!$D$8," ",IF(F393='депозитный калькулятор'!$D$8,IF(AND($F$24='депозитный калькулятор'!$D$8,'депозитный калькулятор'!$G$13="нет"),-G393-IF(I393=" ",0,I393)-IF(AND(OR('депозитный калькулятор'!$G$7="30/365",'депозитный калькулятор'!$G$7="30/360"),'депозитный калькулятор'!$G$10="в начале срока"),I392,0)-L393+M393-N393,-G393-IF(I393=" ",0,I393)-L393+M393-N393),IF('депозитный калькулятор'!$G$13="есть",M393-N393+IF('депозитный калькулятор'!$G$14="есть",0,-L393),-IF(I393=" ",0,I393)-IF(AND(OR('депозитный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срока"),I392,0)+M393-N393+IF('депозитный калькулятор'!$G$14="есть",0,-L393))))</f>
        <v xml:space="preserve"> </v>
      </c>
      <c r="P393" s="147" t="str">
        <f>IF(F393&gt;'депозитный калькулятор'!$D$8," ",IF(EOMONTH(F392,0)=F392,0,IF(G393&gt;='депозитный калькулятор'!$G$19,P392,P392+1)))</f>
        <v xml:space="preserve"> </v>
      </c>
      <c r="Q393" s="138" t="str">
        <f>IF(F393=" "," ",IF(AND(OR('депозитный калькулятор'!$G$7="30/365",'депозитный калькулятор'!$G$7="30/360"),AND(MONTH(F393)=2,EOMONTH(F393,0)=F393)),IF(DAY(F393)=28,3,2),1)*IF(G393&gt;='депозитный калькулятор'!$G$11,IF(AND('депозитный калькулятор'!$G$7="факт/факт",MOD(YEAR(F393),4)=0),G393*'депозитный калькулятор'!$D$11/366,G393*'депозитный калькулятор'!$G$8),0))</f>
        <v xml:space="preserve"> </v>
      </c>
      <c r="R393" s="158"/>
      <c r="S393" s="62" t="str">
        <f t="shared" ca="1" si="27"/>
        <v xml:space="preserve"> </v>
      </c>
      <c r="T393" s="149" t="str">
        <f ca="1">IF(S393=" "," ",IF('депозитный калькулятор'!$G$7="30/360",DAYS360(U392,IF(DAY(U393)=31,U393-1,U393))+IF(AND(MONTH(U393)=2,U393=EOMONTH(U393,0)),30-DAY(EOMONTH(U393,0)))+T392,VLOOKUP(S393,$C$22:$F$1023,2,0)))</f>
        <v xml:space="preserve"> </v>
      </c>
      <c r="U393" s="64" t="str">
        <f t="shared" ca="1" si="25"/>
        <v xml:space="preserve"> </v>
      </c>
      <c r="V393" s="150" t="str">
        <f t="shared" ca="1" si="28"/>
        <v xml:space="preserve"> </v>
      </c>
      <c r="W393" s="62" t="str">
        <f t="shared" ca="1" si="29"/>
        <v xml:space="preserve"> </v>
      </c>
      <c r="X393" s="141" t="str">
        <f ca="1">IF(S393=" "," ",IFERROR(VLOOKUP(U393,$F$23:$N$1023,7)+VLOOKUP(U393,$F$23:$N$1023,9)+IF(AND('депозитный калькулятор'!$G$13="нет",U393&lt;&gt;'депозитный калькулятор'!$D$8),VLOOKUP(U393,$F$23:$N$1023,4),0),0)+IF(U393='депозитный калькулятор'!$D$8,VLOOKUP(U393,$F$23:$N$1023,2)+VLOOKUP(U393,$F$23:$N$1023,4),0))</f>
        <v xml:space="preserve"> </v>
      </c>
      <c r="Y393" s="142" t="str">
        <f ca="1">IF(S393=" "," ",W393/(1+'депозитный калькулятор'!$K$8)^(T393/IF('депозитный калькулятор'!$G$7="30/360",360,365)))</f>
        <v xml:space="preserve"> </v>
      </c>
      <c r="Z393" s="142" t="str">
        <f ca="1">IF(S393=" "," ",X393/(1+'депозитный калькулятор'!$K$8)^(T393/IF('депозитный калькулятор'!$G$7="30/360",360,365)))</f>
        <v xml:space="preserve"> </v>
      </c>
      <c r="AA393" s="151"/>
      <c r="AB393" s="151"/>
      <c r="AC393" s="155"/>
      <c r="AD393" s="155"/>
      <c r="AF393" s="5"/>
    </row>
    <row r="394" spans="1:32" s="2" customFormat="1" ht="15.5" x14ac:dyDescent="0.35">
      <c r="A394" s="41" t="str">
        <f>IF(F394=" "," ",IF(OR('депозитный калькулятор'!$G$7="30/365",'депозитный калькулятор'!$G$7="30/360"),IF(AND(MONTH(F394)=2,DAY(F394)=DAY(EOMONTH(F394,0))),30-DAY(EOMONTH(F394,0)),IF(DAY(F394)=31,1," "))," "))</f>
        <v xml:space="preserve"> </v>
      </c>
      <c r="B394" s="130" t="str">
        <f t="shared" si="26"/>
        <v xml:space="preserve"> </v>
      </c>
      <c r="C394" s="130" t="str">
        <f>IF(OR(B394=0,B394=" ")," ",SUM($B$23:B394))</f>
        <v xml:space="preserve"> </v>
      </c>
      <c r="D394" s="62" t="str">
        <f>IF(D393=" "," ",IF(OR(F393='депозитный калькулятор'!$D$8,F393=" ")," ",D393+1))</f>
        <v xml:space="preserve"> </v>
      </c>
      <c r="E394" s="130" t="str">
        <f>IF(OR(F393='депозитный калькулятор'!$D$8,F393=" ")," ",IF(EOMONTH(F393,0)=F393,1,E393+1))</f>
        <v xml:space="preserve"> </v>
      </c>
      <c r="F394" s="64" t="str">
        <f>IF(F393=" "," ",IF(F393='депозитный калькулятор'!$D$8," ",F393+1))</f>
        <v xml:space="preserve"> </v>
      </c>
      <c r="G394" s="145" t="str">
        <f xml:space="preserve"> IF(F394&gt;'депозитный калькулятор'!$D$8," ",IF('депозитный калькулятор'!$G$13="есть",IF('депозитный калькулятор'!$G$14="есть",G393+IF(I393=" ",0,I393)-J394-K394+L394+M394-N394,G393+IF(I393=" ",0,I393)-J394-K394+M394-N394),IF('депозитный калькулятор'!$G$14="есть",G393-J394-K394+L394+M394-N394,G393-J394-K394+M394-N394)))</f>
        <v xml:space="preserve"> </v>
      </c>
      <c r="H394" s="133" t="str">
        <f>IF(F394&gt;'депозитный калькулятор'!$D$8," ",IF(AND(OR('депозитный калькулятор'!$G$7="30/365",'депозитный калькулятор'!$G$7="30/360"),AND(MONTH(F394)=2,EOMONTH(F394,0)=F394)),IF(DAY(F394)=28,3*G394*'депозитный калькулятор'!$G$8,2*G394*'депозитный калькулятор'!$G$8),IF(AND(OR('депозитный калькулятор'!$G$7="30/365",'депозитный калькулятор'!$G$7="30/360"),DAY(F394)=31)," ",IF(AND('депозитный калькулятор'!$G$7="факт/факт",MOD(YEAR(F394),4)=0),G394*'депозитный калькулятор'!$D$11/366,G394*'депозитный калькулятор'!$G$8))))</f>
        <v xml:space="preserve"> </v>
      </c>
      <c r="I394" s="134" t="str">
        <f ca="1">IF(F394=" "," ",IF('депозитный калькулятор'!$G$10="ежедневное",H394,IF(AND('депозитный калькулятор'!$G$10="еженедельное",WEEKDAY(F394,2)=7),SUM(OFFSET(H394,-6,0):H394),IF(AND('депозитный калькулятор'!$G$10="еженедельное",F394='депозитный калькулятор'!$D$8),SUM($H$23:H394)-SUM($I$23:I393),IF(AND('депозитный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недели",WEEKDAY(F394,2)=7),MIN(OFFSET(H394,-6,0):H394)*(COUNTIF(OFFSET(H394,-6,0):H394,"&gt;0")+SUMIF(OFFSET(A394,-WEEKDAY(F394,2),0):A394,"=2",OFFSET(A394,-WEEKDAY(F394,2),0):A394)),IF(AND('депозитный калькулятор'!$G$10="еженедельное, на минимальную сумму зафиксированную в течение недели",F394='депозитный калькулятор'!$D$8,WEEKDAY(F394,2)&lt;&gt;7),MIN(OFFSET(H394,-WEEKDAY(F394,2),0):H394)*(COUNTIF(OFFSET(H394,-WEEKDAY(F394,2)+1,0):H394,"&gt;0")+SUM(OFFSET(A394,-WEEKDAY(F394,2),0):A394)),IF(AND('депозитный калькулятор'!$G$10="ежемесячное (в конце месяца)",F394='депозитный калькулятор'!$D$8,EOMONTH(F394,0)&lt;&gt;F394),IF('депозитный калькулятор'!$F$1=1,$H$24,SUM($H$23:H394)-SUM($I$23:I393)),IF(AND('депозитный калькулятор'!$G$10="ежемесячное (в конце месяца)",EOMONTH(F394,0)=F394),SUM($H$23:H394)-SUM($I$23:I393),IF(AND('депозитный калькулятор'!$G$10="ежемесячное (по дням открытия вклада)",F394='депозитный калькулятор'!$D$8,DAY('депозитный калькулятор'!$D$7)&lt;&gt;DAY(F394)),IF('депозитный калькулятор'!$F$1=1,$H$24,SUM($H$23:H394)-SUM($I$23:I393)),IF(AND('депозитный калькулятор'!$G$10="ежемесячное (по дням открытия вклада)",DAY('депозитный калькулятор'!$D$7)=DAY(F394)),SUM($H$23:H394)-SUM($I$23:I393),IF(AND('депозитный калькулятор'!$G$10="ежемесячное, на минимальную сумму зафиксированную в течение месяца",F394='депозитный калькулятор'!$D$8,EOMONTH(F394,0)&lt;&gt;F394),IF('депозитный калькулятор'!$F$1=1,$H$24,IF(AND(OR('депозитный калькулятор'!$G$7="30/365",'депозитный калькулятор'!$G$7="30/360"),DAY(F394)=31),0,MIN(OFFSET(H394,-E394+1,0):H394)*(E394+SUMIF(OFFSET(A394,-E394+1,0):A394,"=2",OFFSET(A394,-E394+1,0):A394)))),IF(AND('депозитный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калькулятор'!$G$7="30/360"),DAY(EOMONTH(F394,0))=31),EOMONTH(F394,0)-1=F394,EOMONTH(F394,0)=F394)),IF(IF(AND(OR('депозитный калькулятор'!$G$7="30/365",'депозитный калькулятор'!$G$7="30/360"),DAY(EOMONTH($F$23,0))=31),F394=EOMONTH($F$23,0)-1,F394=EOMONTH($F$23,0)),MIN(OFFSET(H394,-(DAY(F394)-DAY($F$23)),0):H394)*E394,MIN(OFFSET(H394,-(DAY(F394)-1),0):H394)*IF(AND(OR('депозитный калькулятор'!$G$7="30/365",'депозитный калькулятор'!$G$7="30/360"),DAY(F394)&lt;30),30,DAY(F394))),IF(AND('депозитный калькулятор'!$G$10="ежемесячное, на средний остаток в течение месяца, при условии что остаток больше чем ограничение",F394='депозитный калькулятор'!$D$8,EOMONTH(F394,0)&lt;&gt;F394),IF('депозитный калькулятор'!$F$1=1,$H$24,SUM(OFFSET(Q394,-E394+1,0):Q394)),IF(AND('депозитный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калькулятор'!$G$7="30/360"),DAY(EOMONTH(F394,0))=31),EOMONTH(F394,0)-1=F394,EOMONTH(F394,0)=F394)),IF(IF(AND(OR('депозитный калькулятор'!$G$7="30/365",'депозитный калькулятор'!$G$7="30/360"),DAY(EOMONTH($F$24,0))=31),F394=EOMONTH($F$24,0)-1,F394=EOMONTH($F$24,0)),SUM(OFFSET(Q394,-E394+1,0):Q394),SUM(OFFSET(Q394,-E394+1,0):Q394)),IF('депозитный калькулятор'!$G$10="ежеквартальное",IF(F394&gt;'депозитный калькулятор'!$D$8," ",IF(AND(EOMONTH(F394,0)=F394,OR(MONTH(F394)=3,MONTH(F394)=6,MONTH(F394)=9,MONTH(F394)=12)),IF(EDATE(F394,-3)&lt;'депозитный калькулятор'!$D$7,SUM($H$23:H394),IF(MOD(YEAR(F394),4)=0,IF(AND(EOMONTH(F394,0)=F394,OR(MONTH(F394)=3,MONTH(F394)=6)),SUM(OFFSET(H394,-90,0):H394),IF(AND(EOMONTH(F394,0)=F394,OR(MONTH(F394)=9,MONTH(F394)=12)),SUM(OFFSET(H394,-91,0):H394))),IF(AND(EOMONTH(F394,0)=F394,MONTH(F394)=3),SUM(OFFSET(H394,-89,0):H394),IF(AND(EOMONTH(F394,0)=F394,MONTH(F394)=6),SUM(OFFSET(H394,-90,0):H394),IF(AND(EOMONTH(F394,0)=F394,OR(MONTH(F394)=9,MONTH(F394)=12)),SUM(OFFSET(H394,-91,0):H394)))))),IF(F394='депозитный калькулятор'!$D$8,SUM($H$23:H394)-SUM($I$23:I393),0))),IF('депозитный калькулятор'!$G$10="ежегодное",IF(F394&gt;'депозитный калькулятор'!$D$8," ",IF(F394='депозитный калькулятор'!$D$8,SUM($H$23:H394)-SUM($I$23:I393),IF(AND(EOMONTH(F394,0)=F394,MONTH(F394)=12),IF(MOD(YEAR(F393),4)=0,IF(F394-'депозитный калькулятор'!$D$7&lt;366,SUM($H$23:H394),SUM(OFFSET(H394,-365,0):H394)),IF(F394-'депозитный калькулятор'!$D$7&lt;365,SUM($H$23:H394),SUM(OFFSET(H394,-364,0):H394))),0))),IF(AND('депозитный калькулятор'!$G$10="в конце срока",'депозитный калькулятор'!$D$8=F394),SUM($H$23:H394),0))))))))))))))))))</f>
        <v xml:space="preserve"> </v>
      </c>
      <c r="J394" s="59" t="str">
        <f>IF(F394&gt;'депозитный калькулятор'!$D$8," ",IF('депозитный калькулятор'!$G$16="нет",0,IF(AND('депозитный калькулятор'!$G$17="разовая (в конце срока)",F394='депозитный калькулятор'!$D$8),'депозитный калькулятор'!$G$18,IF(AND('депозитный калькулятор'!$G$17="ежемесячная",EOMONTH(F393,0)=F393),'депозитный калькулятор'!$G$18,IF(AND('депозитный калькулятор'!$G$17="ежегодная",DAY(F393)=31,MONTH(F393)=12),'депозитный калькулятор'!$G$18,IF(AND('депозитный калькулятор'!$G$17="ежемесячная в зависимости от остатка",EOMONTH(F393,0)=F393,P393&gt;0),'депозитный калькулятор'!$G$18,IF(AND('депозитный калькулятор'!$G$17="ежегодная в зависимости от остатка",DAY(F393)=31,MONTH(F393)=12,P393&gt;0),'депозитный калькулятор'!$G$18,0)))))))</f>
        <v xml:space="preserve"> </v>
      </c>
      <c r="K394" s="135" t="str">
        <f>IF($F394=" "," ",IFERROR(VLOOKUP($F394,'депозитный калькулятор'!$B$26:$F$70,2,0),0))</f>
        <v xml:space="preserve"> </v>
      </c>
      <c r="L394" s="135" t="str">
        <f>IF($F394=" "," ",IFERROR(VLOOKUP($F394,'депозитный калькулятор'!$B$26:$F$70,3,0),0))</f>
        <v xml:space="preserve"> </v>
      </c>
      <c r="M394" s="135" t="str">
        <f>IF($F394=" "," ",IFERROR(VLOOKUP($F394,'депозитный калькулятор'!$B$26:$F$70,4,0),0))</f>
        <v xml:space="preserve"> </v>
      </c>
      <c r="N394" s="135" t="str">
        <f>IF($F394=" "," ",IFERROR(VLOOKUP($F394,'депозитный калькулятор'!$B$26:$F$70,5,0),0))</f>
        <v xml:space="preserve"> </v>
      </c>
      <c r="O394" s="146" t="str">
        <f>IF(F394&gt;'депозитный калькулятор'!$D$8," ",IF(F394='депозитный калькулятор'!$D$8,IF(AND($F$24='депозитный калькулятор'!$D$8,'депозитный калькулятор'!$G$13="нет"),-G394-IF(I394=" ",0,I394)-IF(AND(OR('депозитный калькулятор'!$G$7="30/365",'депозитный калькулятор'!$G$7="30/360"),'депозитный калькулятор'!$G$10="в начале срока"),I393,0)-L394+M394-N394,-G394-IF(I394=" ",0,I394)-L394+M394-N394),IF('депозитный калькулятор'!$G$13="есть",M394-N394+IF('депозитный калькулятор'!$G$14="есть",0,-L394),-IF(I394=" ",0,I394)-IF(AND(OR('депозитный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срока"),I393,0)+M394-N394+IF('депозитный калькулятор'!$G$14="есть",0,-L394))))</f>
        <v xml:space="preserve"> </v>
      </c>
      <c r="P394" s="147" t="str">
        <f>IF(F394&gt;'депозитный калькулятор'!$D$8," ",IF(EOMONTH(F393,0)=F393,0,IF(G394&gt;='депозитный калькулятор'!$G$19,P393,P393+1)))</f>
        <v xml:space="preserve"> </v>
      </c>
      <c r="Q394" s="138" t="str">
        <f>IF(F394=" "," ",IF(AND(OR('депозитный калькулятор'!$G$7="30/365",'депозитный калькулятор'!$G$7="30/360"),AND(MONTH(F394)=2,EOMONTH(F394,0)=F394)),IF(DAY(F394)=28,3,2),1)*IF(G394&gt;='депозитный калькулятор'!$G$11,IF(AND('депозитный калькулятор'!$G$7="факт/факт",MOD(YEAR(F394),4)=0),G394*'депозитный калькулятор'!$D$11/366,G394*'депозитный калькулятор'!$G$8),0))</f>
        <v xml:space="preserve"> </v>
      </c>
      <c r="R394" s="158"/>
      <c r="S394" s="62" t="str">
        <f t="shared" ca="1" si="27"/>
        <v xml:space="preserve"> </v>
      </c>
      <c r="T394" s="149" t="str">
        <f ca="1">IF(S394=" "," ",IF('депозитный калькулятор'!$G$7="30/360",DAYS360(U393,IF(DAY(U394)=31,U394-1,U394))+IF(AND(MONTH(U394)=2,U394=EOMONTH(U394,0)),30-DAY(EOMONTH(U394,0)))+T393,VLOOKUP(S394,$C$22:$F$1023,2,0)))</f>
        <v xml:space="preserve"> </v>
      </c>
      <c r="U394" s="64" t="str">
        <f t="shared" ca="1" si="25"/>
        <v xml:space="preserve"> </v>
      </c>
      <c r="V394" s="150" t="str">
        <f t="shared" ca="1" si="28"/>
        <v xml:space="preserve"> </v>
      </c>
      <c r="W394" s="62" t="str">
        <f t="shared" ca="1" si="29"/>
        <v xml:space="preserve"> </v>
      </c>
      <c r="X394" s="141" t="str">
        <f ca="1">IF(S394=" "," ",IFERROR(VLOOKUP(U394,$F$23:$N$1023,7)+VLOOKUP(U394,$F$23:$N$1023,9)+IF(AND('депозитный калькулятор'!$G$13="нет",U394&lt;&gt;'депозитный калькулятор'!$D$8),VLOOKUP(U394,$F$23:$N$1023,4),0),0)+IF(U394='депозитный калькулятор'!$D$8,VLOOKUP(U394,$F$23:$N$1023,2)+VLOOKUP(U394,$F$23:$N$1023,4),0))</f>
        <v xml:space="preserve"> </v>
      </c>
      <c r="Y394" s="142" t="str">
        <f ca="1">IF(S394=" "," ",W394/(1+'депозитный калькулятор'!$K$8)^(T394/IF('депозитный калькулятор'!$G$7="30/360",360,365)))</f>
        <v xml:space="preserve"> </v>
      </c>
      <c r="Z394" s="142" t="str">
        <f ca="1">IF(S394=" "," ",X394/(1+'депозитный калькулятор'!$K$8)^(T394/IF('депозитный калькулятор'!$G$7="30/360",360,365)))</f>
        <v xml:space="preserve"> </v>
      </c>
      <c r="AA394" s="151"/>
      <c r="AB394" s="151"/>
      <c r="AC394" s="155"/>
      <c r="AD394" s="155"/>
      <c r="AF394" s="5"/>
    </row>
    <row r="395" spans="1:32" s="2" customFormat="1" ht="15.5" x14ac:dyDescent="0.35">
      <c r="A395" s="41" t="str">
        <f>IF(F395=" "," ",IF(OR('депозитный калькулятор'!$G$7="30/365",'депозитный калькулятор'!$G$7="30/360"),IF(AND(MONTH(F395)=2,DAY(F395)=DAY(EOMONTH(F395,0))),30-DAY(EOMONTH(F395,0)),IF(DAY(F395)=31,1," "))," "))</f>
        <v xml:space="preserve"> </v>
      </c>
      <c r="B395" s="130" t="str">
        <f t="shared" si="26"/>
        <v xml:space="preserve"> </v>
      </c>
      <c r="C395" s="130" t="str">
        <f>IF(OR(B395=0,B395=" ")," ",SUM($B$23:B395))</f>
        <v xml:space="preserve"> </v>
      </c>
      <c r="D395" s="62" t="str">
        <f>IF(D394=" "," ",IF(OR(F394='депозитный калькулятор'!$D$8,F394=" ")," ",D394+1))</f>
        <v xml:space="preserve"> </v>
      </c>
      <c r="E395" s="130" t="str">
        <f>IF(OR(F394='депозитный калькулятор'!$D$8,F394=" ")," ",IF(EOMONTH(F394,0)=F394,1,E394+1))</f>
        <v xml:space="preserve"> </v>
      </c>
      <c r="F395" s="64" t="str">
        <f>IF(F394=" "," ",IF(F394='депозитный калькулятор'!$D$8," ",F394+1))</f>
        <v xml:space="preserve"> </v>
      </c>
      <c r="G395" s="145" t="str">
        <f xml:space="preserve"> IF(F395&gt;'депозитный калькулятор'!$D$8," ",IF('депозитный калькулятор'!$G$13="есть",IF('депозитный калькулятор'!$G$14="есть",G394+IF(I394=" ",0,I394)-J395-K395+L395+M395-N395,G394+IF(I394=" ",0,I394)-J395-K395+M395-N395),IF('депозитный калькулятор'!$G$14="есть",G394-J395-K395+L395+M395-N395,G394-J395-K395+M395-N395)))</f>
        <v xml:space="preserve"> </v>
      </c>
      <c r="H395" s="133" t="str">
        <f>IF(F395&gt;'депозитный калькулятор'!$D$8," ",IF(AND(OR('депозитный калькулятор'!$G$7="30/365",'депозитный калькулятор'!$G$7="30/360"),AND(MONTH(F395)=2,EOMONTH(F395,0)=F395)),IF(DAY(F395)=28,3*G395*'депозитный калькулятор'!$G$8,2*G395*'депозитный калькулятор'!$G$8),IF(AND(OR('депозитный калькулятор'!$G$7="30/365",'депозитный калькулятор'!$G$7="30/360"),DAY(F395)=31)," ",IF(AND('депозитный калькулятор'!$G$7="факт/факт",MOD(YEAR(F395),4)=0),G395*'депозитный калькулятор'!$D$11/366,G395*'депозитный калькулятор'!$G$8))))</f>
        <v xml:space="preserve"> </v>
      </c>
      <c r="I395" s="134" t="str">
        <f ca="1">IF(F395=" "," ",IF('депозитный калькулятор'!$G$10="ежедневное",H395,IF(AND('депозитный калькулятор'!$G$10="еженедельное",WEEKDAY(F395,2)=7),SUM(OFFSET(H395,-6,0):H395),IF(AND('депозитный калькулятор'!$G$10="еженедельное",F395='депозитный калькулятор'!$D$8),SUM($H$23:H395)-SUM($I$23:I394),IF(AND('депозитный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недели",WEEKDAY(F395,2)=7),MIN(OFFSET(H395,-6,0):H395)*(COUNTIF(OFFSET(H395,-6,0):H395,"&gt;0")+SUMIF(OFFSET(A395,-WEEKDAY(F395,2),0):A395,"=2",OFFSET(A395,-WEEKDAY(F395,2),0):A395)),IF(AND('депозитный калькулятор'!$G$10="еженедельное, на минимальную сумму зафиксированную в течение недели",F395='депозитный калькулятор'!$D$8,WEEKDAY(F395,2)&lt;&gt;7),MIN(OFFSET(H395,-WEEKDAY(F395,2),0):H395)*(COUNTIF(OFFSET(H395,-WEEKDAY(F395,2)+1,0):H395,"&gt;0")+SUM(OFFSET(A395,-WEEKDAY(F395,2),0):A395)),IF(AND('депозитный калькулятор'!$G$10="ежемесячное (в конце месяца)",F395='депозитный калькулятор'!$D$8,EOMONTH(F395,0)&lt;&gt;F395),IF('депозитный калькулятор'!$F$1=1,$H$24,SUM($H$23:H395)-SUM($I$23:I394)),IF(AND('депозитный калькулятор'!$G$10="ежемесячное (в конце месяца)",EOMONTH(F395,0)=F395),SUM($H$23:H395)-SUM($I$23:I394),IF(AND('депозитный калькулятор'!$G$10="ежемесячное (по дням открытия вклада)",F395='депозитный калькулятор'!$D$8,DAY('депозитный калькулятор'!$D$7)&lt;&gt;DAY(F395)),IF('депозитный калькулятор'!$F$1=1,$H$24,SUM($H$23:H395)-SUM($I$23:I394)),IF(AND('депозитный калькулятор'!$G$10="ежемесячное (по дням открытия вклада)",DAY('депозитный калькулятор'!$D$7)=DAY(F395)),SUM($H$23:H395)-SUM($I$23:I394),IF(AND('депозитный калькулятор'!$G$10="ежемесячное, на минимальную сумму зафиксированную в течение месяца",F395='депозитный калькулятор'!$D$8,EOMONTH(F395,0)&lt;&gt;F395),IF('депозитный калькулятор'!$F$1=1,$H$24,IF(AND(OR('депозитный калькулятор'!$G$7="30/365",'депозитный калькулятор'!$G$7="30/360"),DAY(F395)=31),0,MIN(OFFSET(H395,-E395+1,0):H395)*(E395+SUMIF(OFFSET(A395,-E395+1,0):A395,"=2",OFFSET(A395,-E395+1,0):A395)))),IF(AND('депозитный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калькулятор'!$G$7="30/360"),DAY(EOMONTH(F395,0))=31),EOMONTH(F395,0)-1=F395,EOMONTH(F395,0)=F395)),IF(IF(AND(OR('депозитный калькулятор'!$G$7="30/365",'депозитный калькулятор'!$G$7="30/360"),DAY(EOMONTH($F$23,0))=31),F395=EOMONTH($F$23,0)-1,F395=EOMONTH($F$23,0)),MIN(OFFSET(H395,-(DAY(F395)-DAY($F$23)),0):H395)*E395,MIN(OFFSET(H395,-(DAY(F395)-1),0):H395)*IF(AND(OR('депозитный калькулятор'!$G$7="30/365",'депозитный калькулятор'!$G$7="30/360"),DAY(F395)&lt;30),30,DAY(F395))),IF(AND('депозитный калькулятор'!$G$10="ежемесячное, на средний остаток в течение месяца, при условии что остаток больше чем ограничение",F395='депозитный калькулятор'!$D$8,EOMONTH(F395,0)&lt;&gt;F395),IF('депозитный калькулятор'!$F$1=1,$H$24,SUM(OFFSET(Q395,-E395+1,0):Q395)),IF(AND('депозитный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калькулятор'!$G$7="30/360"),DAY(EOMONTH(F395,0))=31),EOMONTH(F395,0)-1=F395,EOMONTH(F395,0)=F395)),IF(IF(AND(OR('депозитный калькулятор'!$G$7="30/365",'депозитный калькулятор'!$G$7="30/360"),DAY(EOMONTH($F$24,0))=31),F395=EOMONTH($F$24,0)-1,F395=EOMONTH($F$24,0)),SUM(OFFSET(Q395,-E395+1,0):Q395),SUM(OFFSET(Q395,-E395+1,0):Q395)),IF('депозитный калькулятор'!$G$10="ежеквартальное",IF(F395&gt;'депозитный калькулятор'!$D$8," ",IF(AND(EOMONTH(F395,0)=F395,OR(MONTH(F395)=3,MONTH(F395)=6,MONTH(F395)=9,MONTH(F395)=12)),IF(EDATE(F395,-3)&lt;'депозитный калькулятор'!$D$7,SUM($H$23:H395),IF(MOD(YEAR(F395),4)=0,IF(AND(EOMONTH(F395,0)=F395,OR(MONTH(F395)=3,MONTH(F395)=6)),SUM(OFFSET(H395,-90,0):H395),IF(AND(EOMONTH(F395,0)=F395,OR(MONTH(F395)=9,MONTH(F395)=12)),SUM(OFFSET(H395,-91,0):H395))),IF(AND(EOMONTH(F395,0)=F395,MONTH(F395)=3),SUM(OFFSET(H395,-89,0):H395),IF(AND(EOMONTH(F395,0)=F395,MONTH(F395)=6),SUM(OFFSET(H395,-90,0):H395),IF(AND(EOMONTH(F395,0)=F395,OR(MONTH(F395)=9,MONTH(F395)=12)),SUM(OFFSET(H395,-91,0):H395)))))),IF(F395='депозитный калькулятор'!$D$8,SUM($H$23:H395)-SUM($I$23:I394),0))),IF('депозитный калькулятор'!$G$10="ежегодное",IF(F395&gt;'депозитный калькулятор'!$D$8," ",IF(F395='депозитный калькулятор'!$D$8,SUM($H$23:H395)-SUM($I$23:I394),IF(AND(EOMONTH(F395,0)=F395,MONTH(F395)=12),IF(MOD(YEAR(F394),4)=0,IF(F395-'депозитный калькулятор'!$D$7&lt;366,SUM($H$23:H395),SUM(OFFSET(H395,-365,0):H395)),IF(F395-'депозитный калькулятор'!$D$7&lt;365,SUM($H$23:H395),SUM(OFFSET(H395,-364,0):H395))),0))),IF(AND('депозитный калькулятор'!$G$10="в конце срока",'депозитный калькулятор'!$D$8=F395),SUM($H$23:H395),0))))))))))))))))))</f>
        <v xml:space="preserve"> </v>
      </c>
      <c r="J395" s="59" t="str">
        <f>IF(F395&gt;'депозитный калькулятор'!$D$8," ",IF('депозитный калькулятор'!$G$16="нет",0,IF(AND('депозитный калькулятор'!$G$17="разовая (в конце срока)",F395='депозитный калькулятор'!$D$8),'депозитный калькулятор'!$G$18,IF(AND('депозитный калькулятор'!$G$17="ежемесячная",EOMONTH(F394,0)=F394),'депозитный калькулятор'!$G$18,IF(AND('депозитный калькулятор'!$G$17="ежегодная",DAY(F394)=31,MONTH(F394)=12),'депозитный калькулятор'!$G$18,IF(AND('депозитный калькулятор'!$G$17="ежемесячная в зависимости от остатка",EOMONTH(F394,0)=F394,P394&gt;0),'депозитный калькулятор'!$G$18,IF(AND('депозитный калькулятор'!$G$17="ежегодная в зависимости от остатка",DAY(F394)=31,MONTH(F394)=12,P394&gt;0),'депозитный калькулятор'!$G$18,0)))))))</f>
        <v xml:space="preserve"> </v>
      </c>
      <c r="K395" s="135" t="str">
        <f>IF($F395=" "," ",IFERROR(VLOOKUP($F395,'депозитный калькулятор'!$B$26:$F$70,2,0),0))</f>
        <v xml:space="preserve"> </v>
      </c>
      <c r="L395" s="135" t="str">
        <f>IF($F395=" "," ",IFERROR(VLOOKUP($F395,'депозитный калькулятор'!$B$26:$F$70,3,0),0))</f>
        <v xml:space="preserve"> </v>
      </c>
      <c r="M395" s="135" t="str">
        <f>IF($F395=" "," ",IFERROR(VLOOKUP($F395,'депозитный калькулятор'!$B$26:$F$70,4,0),0))</f>
        <v xml:space="preserve"> </v>
      </c>
      <c r="N395" s="135" t="str">
        <f>IF($F395=" "," ",IFERROR(VLOOKUP($F395,'депозитный калькулятор'!$B$26:$F$70,5,0),0))</f>
        <v xml:space="preserve"> </v>
      </c>
      <c r="O395" s="146" t="str">
        <f>IF(F395&gt;'депозитный калькулятор'!$D$8," ",IF(F395='депозитный калькулятор'!$D$8,IF(AND($F$24='депозитный калькулятор'!$D$8,'депозитный калькулятор'!$G$13="нет"),-G395-IF(I395=" ",0,I395)-IF(AND(OR('депозитный калькулятор'!$G$7="30/365",'депозитный калькулятор'!$G$7="30/360"),'депозитный калькулятор'!$G$10="в начале срока"),I394,0)-L395+M395-N395,-G395-IF(I395=" ",0,I395)-L395+M395-N395),IF('депозитный калькулятор'!$G$13="есть",M395-N395+IF('депозитный калькулятор'!$G$14="есть",0,-L395),-IF(I395=" ",0,I395)-IF(AND(OR('депозитный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срока"),I394,0)+M395-N395+IF('депозитный калькулятор'!$G$14="есть",0,-L395))))</f>
        <v xml:space="preserve"> </v>
      </c>
      <c r="P395" s="147" t="str">
        <f>IF(F395&gt;'депозитный калькулятор'!$D$8," ",IF(EOMONTH(F394,0)=F394,0,IF(G395&gt;='депозитный калькулятор'!$G$19,P394,P394+1)))</f>
        <v xml:space="preserve"> </v>
      </c>
      <c r="Q395" s="138" t="str">
        <f>IF(F395=" "," ",IF(AND(OR('депозитный калькулятор'!$G$7="30/365",'депозитный калькулятор'!$G$7="30/360"),AND(MONTH(F395)=2,EOMONTH(F395,0)=F395)),IF(DAY(F395)=28,3,2),1)*IF(G395&gt;='депозитный калькулятор'!$G$11,IF(AND('депозитный калькулятор'!$G$7="факт/факт",MOD(YEAR(F395),4)=0),G395*'депозитный калькулятор'!$D$11/366,G395*'депозитный калькулятор'!$G$8),0))</f>
        <v xml:space="preserve"> </v>
      </c>
      <c r="R395" s="158"/>
      <c r="S395" s="62" t="str">
        <f t="shared" ca="1" si="27"/>
        <v xml:space="preserve"> </v>
      </c>
      <c r="T395" s="149" t="str">
        <f ca="1">IF(S395=" "," ",IF('депозитный калькулятор'!$G$7="30/360",DAYS360(U394,IF(DAY(U395)=31,U395-1,U395))+IF(AND(MONTH(U395)=2,U395=EOMONTH(U395,0)),30-DAY(EOMONTH(U395,0)))+T394,VLOOKUP(S395,$C$22:$F$1023,2,0)))</f>
        <v xml:space="preserve"> </v>
      </c>
      <c r="U395" s="64" t="str">
        <f t="shared" ca="1" si="25"/>
        <v xml:space="preserve"> </v>
      </c>
      <c r="V395" s="150" t="str">
        <f t="shared" ca="1" si="28"/>
        <v xml:space="preserve"> </v>
      </c>
      <c r="W395" s="62" t="str">
        <f t="shared" ca="1" si="29"/>
        <v xml:space="preserve"> </v>
      </c>
      <c r="X395" s="141" t="str">
        <f ca="1">IF(S395=" "," ",IFERROR(VLOOKUP(U395,$F$23:$N$1023,7)+VLOOKUP(U395,$F$23:$N$1023,9)+IF(AND('депозитный калькулятор'!$G$13="нет",U395&lt;&gt;'депозитный калькулятор'!$D$8),VLOOKUP(U395,$F$23:$N$1023,4),0),0)+IF(U395='депозитный калькулятор'!$D$8,VLOOKUP(U395,$F$23:$N$1023,2)+VLOOKUP(U395,$F$23:$N$1023,4),0))</f>
        <v xml:space="preserve"> </v>
      </c>
      <c r="Y395" s="142" t="str">
        <f ca="1">IF(S395=" "," ",W395/(1+'депозитный калькулятор'!$K$8)^(T395/IF('депозитный калькулятор'!$G$7="30/360",360,365)))</f>
        <v xml:space="preserve"> </v>
      </c>
      <c r="Z395" s="142" t="str">
        <f ca="1">IF(S395=" "," ",X395/(1+'депозитный калькулятор'!$K$8)^(T395/IF('депозитный калькулятор'!$G$7="30/360",360,365)))</f>
        <v xml:space="preserve"> </v>
      </c>
      <c r="AA395" s="151"/>
      <c r="AB395" s="151"/>
      <c r="AC395" s="155"/>
      <c r="AD395" s="155"/>
      <c r="AF395" s="5"/>
    </row>
    <row r="396" spans="1:32" s="2" customFormat="1" ht="15.5" x14ac:dyDescent="0.35">
      <c r="A396" s="41" t="str">
        <f>IF(F396=" "," ",IF(OR('депозитный калькулятор'!$G$7="30/365",'депозитный калькулятор'!$G$7="30/360"),IF(AND(MONTH(F396)=2,DAY(F396)=DAY(EOMONTH(F396,0))),30-DAY(EOMONTH(F396,0)),IF(DAY(F396)=31,1," "))," "))</f>
        <v xml:space="preserve"> </v>
      </c>
      <c r="B396" s="130" t="str">
        <f t="shared" si="26"/>
        <v xml:space="preserve"> </v>
      </c>
      <c r="C396" s="130" t="str">
        <f>IF(OR(B396=0,B396=" ")," ",SUM($B$23:B396))</f>
        <v xml:space="preserve"> </v>
      </c>
      <c r="D396" s="62" t="str">
        <f>IF(D395=" "," ",IF(OR(F395='депозитный калькулятор'!$D$8,F395=" ")," ",D395+1))</f>
        <v xml:space="preserve"> </v>
      </c>
      <c r="E396" s="130" t="str">
        <f>IF(OR(F395='депозитный калькулятор'!$D$8,F395=" ")," ",IF(EOMONTH(F395,0)=F395,1,E395+1))</f>
        <v xml:space="preserve"> </v>
      </c>
      <c r="F396" s="64" t="str">
        <f>IF(F395=" "," ",IF(F395='депозитный калькулятор'!$D$8," ",F395+1))</f>
        <v xml:space="preserve"> </v>
      </c>
      <c r="G396" s="145" t="str">
        <f xml:space="preserve"> IF(F396&gt;'депозитный калькулятор'!$D$8," ",IF('депозитный калькулятор'!$G$13="есть",IF('депозитный калькулятор'!$G$14="есть",G395+IF(I395=" ",0,I395)-J396-K396+L396+M396-N396,G395+IF(I395=" ",0,I395)-J396-K396+M396-N396),IF('депозитный калькулятор'!$G$14="есть",G395-J396-K396+L396+M396-N396,G395-J396-K396+M396-N396)))</f>
        <v xml:space="preserve"> </v>
      </c>
      <c r="H396" s="133" t="str">
        <f>IF(F396&gt;'депозитный калькулятор'!$D$8," ",IF(AND(OR('депозитный калькулятор'!$G$7="30/365",'депозитный калькулятор'!$G$7="30/360"),AND(MONTH(F396)=2,EOMONTH(F396,0)=F396)),IF(DAY(F396)=28,3*G396*'депозитный калькулятор'!$G$8,2*G396*'депозитный калькулятор'!$G$8),IF(AND(OR('депозитный калькулятор'!$G$7="30/365",'депозитный калькулятор'!$G$7="30/360"),DAY(F396)=31)," ",IF(AND('депозитный калькулятор'!$G$7="факт/факт",MOD(YEAR(F396),4)=0),G396*'депозитный калькулятор'!$D$11/366,G396*'депозитный калькулятор'!$G$8))))</f>
        <v xml:space="preserve"> </v>
      </c>
      <c r="I396" s="134" t="str">
        <f ca="1">IF(F396=" "," ",IF('депозитный калькулятор'!$G$10="ежедневное",H396,IF(AND('депозитный калькулятор'!$G$10="еженедельное",WEEKDAY(F396,2)=7),SUM(OFFSET(H396,-6,0):H396),IF(AND('депозитный калькулятор'!$G$10="еженедельное",F396='депозитный калькулятор'!$D$8),SUM($H$23:H396)-SUM($I$23:I395),IF(AND('депозитный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недели",WEEKDAY(F396,2)=7),MIN(OFFSET(H396,-6,0):H396)*(COUNTIF(OFFSET(H396,-6,0):H396,"&gt;0")+SUMIF(OFFSET(A396,-WEEKDAY(F396,2),0):A396,"=2",OFFSET(A396,-WEEKDAY(F396,2),0):A396)),IF(AND('депозитный калькулятор'!$G$10="еженедельное, на минимальную сумму зафиксированную в течение недели",F396='депозитный калькулятор'!$D$8,WEEKDAY(F396,2)&lt;&gt;7),MIN(OFFSET(H396,-WEEKDAY(F396,2),0):H396)*(COUNTIF(OFFSET(H396,-WEEKDAY(F396,2)+1,0):H396,"&gt;0")+SUM(OFFSET(A396,-WEEKDAY(F396,2),0):A396)),IF(AND('депозитный калькулятор'!$G$10="ежемесячное (в конце месяца)",F396='депозитный калькулятор'!$D$8,EOMONTH(F396,0)&lt;&gt;F396),IF('депозитный калькулятор'!$F$1=1,$H$24,SUM($H$23:H396)-SUM($I$23:I395)),IF(AND('депозитный калькулятор'!$G$10="ежемесячное (в конце месяца)",EOMONTH(F396,0)=F396),SUM($H$23:H396)-SUM($I$23:I395),IF(AND('депозитный калькулятор'!$G$10="ежемесячное (по дням открытия вклада)",F396='депозитный калькулятор'!$D$8,DAY('депозитный калькулятор'!$D$7)&lt;&gt;DAY(F396)),IF('депозитный калькулятор'!$F$1=1,$H$24,SUM($H$23:H396)-SUM($I$23:I395)),IF(AND('депозитный калькулятор'!$G$10="ежемесячное (по дням открытия вклада)",DAY('депозитный калькулятор'!$D$7)=DAY(F396)),SUM($H$23:H396)-SUM($I$23:I395),IF(AND('депозитный калькулятор'!$G$10="ежемесячное, на минимальную сумму зафиксированную в течение месяца",F396='депозитный калькулятор'!$D$8,EOMONTH(F396,0)&lt;&gt;F396),IF('депозитный калькулятор'!$F$1=1,$H$24,IF(AND(OR('депозитный калькулятор'!$G$7="30/365",'депозитный калькулятор'!$G$7="30/360"),DAY(F396)=31),0,MIN(OFFSET(H396,-E396+1,0):H396)*(E396+SUMIF(OFFSET(A396,-E396+1,0):A396,"=2",OFFSET(A396,-E396+1,0):A396)))),IF(AND('депозитный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калькулятор'!$G$7="30/360"),DAY(EOMONTH(F396,0))=31),EOMONTH(F396,0)-1=F396,EOMONTH(F396,0)=F396)),IF(IF(AND(OR('депозитный калькулятор'!$G$7="30/365",'депозитный калькулятор'!$G$7="30/360"),DAY(EOMONTH($F$23,0))=31),F396=EOMONTH($F$23,0)-1,F396=EOMONTH($F$23,0)),MIN(OFFSET(H396,-(DAY(F396)-DAY($F$23)),0):H396)*E396,MIN(OFFSET(H396,-(DAY(F396)-1),0):H396)*IF(AND(OR('депозитный калькулятор'!$G$7="30/365",'депозитный калькулятор'!$G$7="30/360"),DAY(F396)&lt;30),30,DAY(F396))),IF(AND('депозитный калькулятор'!$G$10="ежемесячное, на средний остаток в течение месяца, при условии что остаток больше чем ограничение",F396='депозитный калькулятор'!$D$8,EOMONTH(F396,0)&lt;&gt;F396),IF('депозитный калькулятор'!$F$1=1,$H$24,SUM(OFFSET(Q396,-E396+1,0):Q396)),IF(AND('депозитный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калькулятор'!$G$7="30/360"),DAY(EOMONTH(F396,0))=31),EOMONTH(F396,0)-1=F396,EOMONTH(F396,0)=F396)),IF(IF(AND(OR('депозитный калькулятор'!$G$7="30/365",'депозитный калькулятор'!$G$7="30/360"),DAY(EOMONTH($F$24,0))=31),F396=EOMONTH($F$24,0)-1,F396=EOMONTH($F$24,0)),SUM(OFFSET(Q396,-E396+1,0):Q396),SUM(OFFSET(Q396,-E396+1,0):Q396)),IF('депозитный калькулятор'!$G$10="ежеквартальное",IF(F396&gt;'депозитный калькулятор'!$D$8," ",IF(AND(EOMONTH(F396,0)=F396,OR(MONTH(F396)=3,MONTH(F396)=6,MONTH(F396)=9,MONTH(F396)=12)),IF(EDATE(F396,-3)&lt;'депозитный калькулятор'!$D$7,SUM($H$23:H396),IF(MOD(YEAR(F396),4)=0,IF(AND(EOMONTH(F396,0)=F396,OR(MONTH(F396)=3,MONTH(F396)=6)),SUM(OFFSET(H396,-90,0):H396),IF(AND(EOMONTH(F396,0)=F396,OR(MONTH(F396)=9,MONTH(F396)=12)),SUM(OFFSET(H396,-91,0):H396))),IF(AND(EOMONTH(F396,0)=F396,MONTH(F396)=3),SUM(OFFSET(H396,-89,0):H396),IF(AND(EOMONTH(F396,0)=F396,MONTH(F396)=6),SUM(OFFSET(H396,-90,0):H396),IF(AND(EOMONTH(F396,0)=F396,OR(MONTH(F396)=9,MONTH(F396)=12)),SUM(OFFSET(H396,-91,0):H396)))))),IF(F396='депозитный калькулятор'!$D$8,SUM($H$23:H396)-SUM($I$23:I395),0))),IF('депозитный калькулятор'!$G$10="ежегодное",IF(F396&gt;'депозитный калькулятор'!$D$8," ",IF(F396='депозитный калькулятор'!$D$8,SUM($H$23:H396)-SUM($I$23:I395),IF(AND(EOMONTH(F396,0)=F396,MONTH(F396)=12),IF(MOD(YEAR(F395),4)=0,IF(F396-'депозитный калькулятор'!$D$7&lt;366,SUM($H$23:H396),SUM(OFFSET(H396,-365,0):H396)),IF(F396-'депозитный калькулятор'!$D$7&lt;365,SUM($H$23:H396),SUM(OFFSET(H396,-364,0):H396))),0))),IF(AND('депозитный калькулятор'!$G$10="в конце срока",'депозитный калькулятор'!$D$8=F396),SUM($H$23:H396),0))))))))))))))))))</f>
        <v xml:space="preserve"> </v>
      </c>
      <c r="J396" s="59" t="str">
        <f>IF(F396&gt;'депозитный калькулятор'!$D$8," ",IF('депозитный калькулятор'!$G$16="нет",0,IF(AND('депозитный калькулятор'!$G$17="разовая (в конце срока)",F396='депозитный калькулятор'!$D$8),'депозитный калькулятор'!$G$18,IF(AND('депозитный калькулятор'!$G$17="ежемесячная",EOMONTH(F395,0)=F395),'депозитный калькулятор'!$G$18,IF(AND('депозитный калькулятор'!$G$17="ежегодная",DAY(F395)=31,MONTH(F395)=12),'депозитный калькулятор'!$G$18,IF(AND('депозитный калькулятор'!$G$17="ежемесячная в зависимости от остатка",EOMONTH(F395,0)=F395,P395&gt;0),'депозитный калькулятор'!$G$18,IF(AND('депозитный калькулятор'!$G$17="ежегодная в зависимости от остатка",DAY(F395)=31,MONTH(F395)=12,P395&gt;0),'депозитный калькулятор'!$G$18,0)))))))</f>
        <v xml:space="preserve"> </v>
      </c>
      <c r="K396" s="135" t="str">
        <f>IF($F396=" "," ",IFERROR(VLOOKUP($F396,'депозитный калькулятор'!$B$26:$F$70,2,0),0))</f>
        <v xml:space="preserve"> </v>
      </c>
      <c r="L396" s="135" t="str">
        <f>IF($F396=" "," ",IFERROR(VLOOKUP($F396,'депозитный калькулятор'!$B$26:$F$70,3,0),0))</f>
        <v xml:space="preserve"> </v>
      </c>
      <c r="M396" s="135" t="str">
        <f>IF($F396=" "," ",IFERROR(VLOOKUP($F396,'депозитный калькулятор'!$B$26:$F$70,4,0),0))</f>
        <v xml:space="preserve"> </v>
      </c>
      <c r="N396" s="135" t="str">
        <f>IF($F396=" "," ",IFERROR(VLOOKUP($F396,'депозитный калькулятор'!$B$26:$F$70,5,0),0))</f>
        <v xml:space="preserve"> </v>
      </c>
      <c r="O396" s="146" t="str">
        <f>IF(F396&gt;'депозитный калькулятор'!$D$8," ",IF(F396='депозитный калькулятор'!$D$8,IF(AND($F$24='депозитный калькулятор'!$D$8,'депозитный калькулятор'!$G$13="нет"),-G396-IF(I396=" ",0,I396)-IF(AND(OR('депозитный калькулятор'!$G$7="30/365",'депозитный калькулятор'!$G$7="30/360"),'депозитный калькулятор'!$G$10="в начале срока"),I395,0)-L396+M396-N396,-G396-IF(I396=" ",0,I396)-L396+M396-N396),IF('депозитный калькулятор'!$G$13="есть",M396-N396+IF('депозитный калькулятор'!$G$14="есть",0,-L396),-IF(I396=" ",0,I396)-IF(AND(OR('депозитный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срока"),I395,0)+M396-N396+IF('депозитный калькулятор'!$G$14="есть",0,-L396))))</f>
        <v xml:space="preserve"> </v>
      </c>
      <c r="P396" s="147" t="str">
        <f>IF(F396&gt;'депозитный калькулятор'!$D$8," ",IF(EOMONTH(F395,0)=F395,0,IF(G396&gt;='депозитный калькулятор'!$G$19,P395,P395+1)))</f>
        <v xml:space="preserve"> </v>
      </c>
      <c r="Q396" s="138" t="str">
        <f>IF(F396=" "," ",IF(AND(OR('депозитный калькулятор'!$G$7="30/365",'депозитный калькулятор'!$G$7="30/360"),AND(MONTH(F396)=2,EOMONTH(F396,0)=F396)),IF(DAY(F396)=28,3,2),1)*IF(G396&gt;='депозитный калькулятор'!$G$11,IF(AND('депозитный калькулятор'!$G$7="факт/факт",MOD(YEAR(F396),4)=0),G396*'депозитный калькулятор'!$D$11/366,G396*'депозитный калькулятор'!$G$8),0))</f>
        <v xml:space="preserve"> </v>
      </c>
      <c r="R396" s="158"/>
      <c r="S396" s="62" t="str">
        <f t="shared" ca="1" si="27"/>
        <v xml:space="preserve"> </v>
      </c>
      <c r="T396" s="149" t="str">
        <f ca="1">IF(S396=" "," ",IF('депозитный калькулятор'!$G$7="30/360",DAYS360(U395,IF(DAY(U396)=31,U396-1,U396))+IF(AND(MONTH(U396)=2,U396=EOMONTH(U396,0)),30-DAY(EOMONTH(U396,0)))+T395,VLOOKUP(S396,$C$22:$F$1023,2,0)))</f>
        <v xml:space="preserve"> </v>
      </c>
      <c r="U396" s="64" t="str">
        <f t="shared" ca="1" si="25"/>
        <v xml:space="preserve"> </v>
      </c>
      <c r="V396" s="150" t="str">
        <f t="shared" ca="1" si="28"/>
        <v xml:space="preserve"> </v>
      </c>
      <c r="W396" s="62" t="str">
        <f t="shared" ca="1" si="29"/>
        <v xml:space="preserve"> </v>
      </c>
      <c r="X396" s="141" t="str">
        <f ca="1">IF(S396=" "," ",IFERROR(VLOOKUP(U396,$F$23:$N$1023,7)+VLOOKUP(U396,$F$23:$N$1023,9)+IF(AND('депозитный калькулятор'!$G$13="нет",U396&lt;&gt;'депозитный калькулятор'!$D$8),VLOOKUP(U396,$F$23:$N$1023,4),0),0)+IF(U396='депозитный калькулятор'!$D$8,VLOOKUP(U396,$F$23:$N$1023,2)+VLOOKUP(U396,$F$23:$N$1023,4),0))</f>
        <v xml:space="preserve"> </v>
      </c>
      <c r="Y396" s="142" t="str">
        <f ca="1">IF(S396=" "," ",W396/(1+'депозитный калькулятор'!$K$8)^(T396/IF('депозитный калькулятор'!$G$7="30/360",360,365)))</f>
        <v xml:space="preserve"> </v>
      </c>
      <c r="Z396" s="142" t="str">
        <f ca="1">IF(S396=" "," ",X396/(1+'депозитный калькулятор'!$K$8)^(T396/IF('депозитный калькулятор'!$G$7="30/360",360,365)))</f>
        <v xml:space="preserve"> </v>
      </c>
      <c r="AA396" s="151"/>
      <c r="AB396" s="151"/>
      <c r="AC396" s="155"/>
      <c r="AD396" s="155"/>
      <c r="AF396" s="157"/>
    </row>
    <row r="397" spans="1:32" s="2" customFormat="1" ht="15.5" x14ac:dyDescent="0.35">
      <c r="A397" s="41" t="str">
        <f>IF(F397=" "," ",IF(OR('депозитный калькулятор'!$G$7="30/365",'депозитный калькулятор'!$G$7="30/360"),IF(AND(MONTH(F397)=2,DAY(F397)=DAY(EOMONTH(F397,0))),30-DAY(EOMONTH(F397,0)),IF(DAY(F397)=31,1," "))," "))</f>
        <v xml:space="preserve"> </v>
      </c>
      <c r="B397" s="130" t="str">
        <f t="shared" si="26"/>
        <v xml:space="preserve"> </v>
      </c>
      <c r="C397" s="130" t="str">
        <f>IF(OR(B397=0,B397=" ")," ",SUM($B$23:B397))</f>
        <v xml:space="preserve"> </v>
      </c>
      <c r="D397" s="62" t="str">
        <f>IF(D396=" "," ",IF(OR(F396='депозитный калькулятор'!$D$8,F396=" ")," ",D396+1))</f>
        <v xml:space="preserve"> </v>
      </c>
      <c r="E397" s="130" t="str">
        <f>IF(OR(F396='депозитный калькулятор'!$D$8,F396=" ")," ",IF(EOMONTH(F396,0)=F396,1,E396+1))</f>
        <v xml:space="preserve"> </v>
      </c>
      <c r="F397" s="64" t="str">
        <f>IF(F396=" "," ",IF(F396='депозитный калькулятор'!$D$8," ",F396+1))</f>
        <v xml:space="preserve"> </v>
      </c>
      <c r="G397" s="145" t="str">
        <f xml:space="preserve"> IF(F397&gt;'депозитный калькулятор'!$D$8," ",IF('депозитный калькулятор'!$G$13="есть",IF('депозитный калькулятор'!$G$14="есть",G396+IF(I396=" ",0,I396)-J397-K397+L397+M397-N397,G396+IF(I396=" ",0,I396)-J397-K397+M397-N397),IF('депозитный калькулятор'!$G$14="есть",G396-J397-K397+L397+M397-N397,G396-J397-K397+M397-N397)))</f>
        <v xml:space="preserve"> </v>
      </c>
      <c r="H397" s="133" t="str">
        <f>IF(F397&gt;'депозитный калькулятор'!$D$8," ",IF(AND(OR('депозитный калькулятор'!$G$7="30/365",'депозитный калькулятор'!$G$7="30/360"),AND(MONTH(F397)=2,EOMONTH(F397,0)=F397)),IF(DAY(F397)=28,3*G397*'депозитный калькулятор'!$G$8,2*G397*'депозитный калькулятор'!$G$8),IF(AND(OR('депозитный калькулятор'!$G$7="30/365",'депозитный калькулятор'!$G$7="30/360"),DAY(F397)=31)," ",IF(AND('депозитный калькулятор'!$G$7="факт/факт",MOD(YEAR(F397),4)=0),G397*'депозитный калькулятор'!$D$11/366,G397*'депозитный калькулятор'!$G$8))))</f>
        <v xml:space="preserve"> </v>
      </c>
      <c r="I397" s="134" t="str">
        <f ca="1">IF(F397=" "," ",IF('депозитный калькулятор'!$G$10="ежедневное",H397,IF(AND('депозитный калькулятор'!$G$10="еженедельное",WEEKDAY(F397,2)=7),SUM(OFFSET(H397,-6,0):H397),IF(AND('депозитный калькулятор'!$G$10="еженедельное",F397='депозитный калькулятор'!$D$8),SUM($H$23:H397)-SUM($I$23:I396),IF(AND('депозитный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недели",WEEKDAY(F397,2)=7),MIN(OFFSET(H397,-6,0):H397)*(COUNTIF(OFFSET(H397,-6,0):H397,"&gt;0")+SUMIF(OFFSET(A397,-WEEKDAY(F397,2),0):A397,"=2",OFFSET(A397,-WEEKDAY(F397,2),0):A397)),IF(AND('депозитный калькулятор'!$G$10="еженедельное, на минимальную сумму зафиксированную в течение недели",F397='депозитный калькулятор'!$D$8,WEEKDAY(F397,2)&lt;&gt;7),MIN(OFFSET(H397,-WEEKDAY(F397,2),0):H397)*(COUNTIF(OFFSET(H397,-WEEKDAY(F397,2)+1,0):H397,"&gt;0")+SUM(OFFSET(A397,-WEEKDAY(F397,2),0):A397)),IF(AND('депозитный калькулятор'!$G$10="ежемесячное (в конце месяца)",F397='депозитный калькулятор'!$D$8,EOMONTH(F397,0)&lt;&gt;F397),IF('депозитный калькулятор'!$F$1=1,$H$24,SUM($H$23:H397)-SUM($I$23:I396)),IF(AND('депозитный калькулятор'!$G$10="ежемесячное (в конце месяца)",EOMONTH(F397,0)=F397),SUM($H$23:H397)-SUM($I$23:I396),IF(AND('депозитный калькулятор'!$G$10="ежемесячное (по дням открытия вклада)",F397='депозитный калькулятор'!$D$8,DAY('депозитный калькулятор'!$D$7)&lt;&gt;DAY(F397)),IF('депозитный калькулятор'!$F$1=1,$H$24,SUM($H$23:H397)-SUM($I$23:I396)),IF(AND('депозитный калькулятор'!$G$10="ежемесячное (по дням открытия вклада)",DAY('депозитный калькулятор'!$D$7)=DAY(F397)),SUM($H$23:H397)-SUM($I$23:I396),IF(AND('депозитный калькулятор'!$G$10="ежемесячное, на минимальную сумму зафиксированную в течение месяца",F397='депозитный калькулятор'!$D$8,EOMONTH(F397,0)&lt;&gt;F397),IF('депозитный калькулятор'!$F$1=1,$H$24,IF(AND(OR('депозитный калькулятор'!$G$7="30/365",'депозитный калькулятор'!$G$7="30/360"),DAY(F397)=31),0,MIN(OFFSET(H397,-E397+1,0):H397)*(E397+SUMIF(OFFSET(A397,-E397+1,0):A397,"=2",OFFSET(A397,-E397+1,0):A397)))),IF(AND('депозитный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калькулятор'!$G$7="30/360"),DAY(EOMONTH(F397,0))=31),EOMONTH(F397,0)-1=F397,EOMONTH(F397,0)=F397)),IF(IF(AND(OR('депозитный калькулятор'!$G$7="30/365",'депозитный калькулятор'!$G$7="30/360"),DAY(EOMONTH($F$23,0))=31),F397=EOMONTH($F$23,0)-1,F397=EOMONTH($F$23,0)),MIN(OFFSET(H397,-(DAY(F397)-DAY($F$23)),0):H397)*E397,MIN(OFFSET(H397,-(DAY(F397)-1),0):H397)*IF(AND(OR('депозитный калькулятор'!$G$7="30/365",'депозитный калькулятор'!$G$7="30/360"),DAY(F397)&lt;30),30,DAY(F397))),IF(AND('депозитный калькулятор'!$G$10="ежемесячное, на средний остаток в течение месяца, при условии что остаток больше чем ограничение",F397='депозитный калькулятор'!$D$8,EOMONTH(F397,0)&lt;&gt;F397),IF('депозитный калькулятор'!$F$1=1,$H$24,SUM(OFFSET(Q397,-E397+1,0):Q397)),IF(AND('депозитный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калькулятор'!$G$7="30/360"),DAY(EOMONTH(F397,0))=31),EOMONTH(F397,0)-1=F397,EOMONTH(F397,0)=F397)),IF(IF(AND(OR('депозитный калькулятор'!$G$7="30/365",'депозитный калькулятор'!$G$7="30/360"),DAY(EOMONTH($F$24,0))=31),F397=EOMONTH($F$24,0)-1,F397=EOMONTH($F$24,0)),SUM(OFFSET(Q397,-E397+1,0):Q397),SUM(OFFSET(Q397,-E397+1,0):Q397)),IF('депозитный калькулятор'!$G$10="ежеквартальное",IF(F397&gt;'депозитный калькулятор'!$D$8," ",IF(AND(EOMONTH(F397,0)=F397,OR(MONTH(F397)=3,MONTH(F397)=6,MONTH(F397)=9,MONTH(F397)=12)),IF(EDATE(F397,-3)&lt;'депозитный калькулятор'!$D$7,SUM($H$23:H397),IF(MOD(YEAR(F397),4)=0,IF(AND(EOMONTH(F397,0)=F397,OR(MONTH(F397)=3,MONTH(F397)=6)),SUM(OFFSET(H397,-90,0):H397),IF(AND(EOMONTH(F397,0)=F397,OR(MONTH(F397)=9,MONTH(F397)=12)),SUM(OFFSET(H397,-91,0):H397))),IF(AND(EOMONTH(F397,0)=F397,MONTH(F397)=3),SUM(OFFSET(H397,-89,0):H397),IF(AND(EOMONTH(F397,0)=F397,MONTH(F397)=6),SUM(OFFSET(H397,-90,0):H397),IF(AND(EOMONTH(F397,0)=F397,OR(MONTH(F397)=9,MONTH(F397)=12)),SUM(OFFSET(H397,-91,0):H397)))))),IF(F397='депозитный калькулятор'!$D$8,SUM($H$23:H397)-SUM($I$23:I396),0))),IF('депозитный калькулятор'!$G$10="ежегодное",IF(F397&gt;'депозитный калькулятор'!$D$8," ",IF(F397='депозитный калькулятор'!$D$8,SUM($H$23:H397)-SUM($I$23:I396),IF(AND(EOMONTH(F397,0)=F397,MONTH(F397)=12),IF(MOD(YEAR(F396),4)=0,IF(F397-'депозитный калькулятор'!$D$7&lt;366,SUM($H$23:H397),SUM(OFFSET(H397,-365,0):H397)),IF(F397-'депозитный калькулятор'!$D$7&lt;365,SUM($H$23:H397),SUM(OFFSET(H397,-364,0):H397))),0))),IF(AND('депозитный калькулятор'!$G$10="в конце срока",'депозитный калькулятор'!$D$8=F397),SUM($H$23:H397),0))))))))))))))))))</f>
        <v xml:space="preserve"> </v>
      </c>
      <c r="J397" s="59" t="str">
        <f>IF(F397&gt;'депозитный калькулятор'!$D$8," ",IF('депозитный калькулятор'!$G$16="нет",0,IF(AND('депозитный калькулятор'!$G$17="разовая (в конце срока)",F397='депозитный калькулятор'!$D$8),'депозитный калькулятор'!$G$18,IF(AND('депозитный калькулятор'!$G$17="ежемесячная",EOMONTH(F396,0)=F396),'депозитный калькулятор'!$G$18,IF(AND('депозитный калькулятор'!$G$17="ежегодная",DAY(F396)=31,MONTH(F396)=12),'депозитный калькулятор'!$G$18,IF(AND('депозитный калькулятор'!$G$17="ежемесячная в зависимости от остатка",EOMONTH(F396,0)=F396,P396&gt;0),'депозитный калькулятор'!$G$18,IF(AND('депозитный калькулятор'!$G$17="ежегодная в зависимости от остатка",DAY(F396)=31,MONTH(F396)=12,P396&gt;0),'депозитный калькулятор'!$G$18,0)))))))</f>
        <v xml:space="preserve"> </v>
      </c>
      <c r="K397" s="135" t="str">
        <f>IF($F397=" "," ",IFERROR(VLOOKUP($F397,'депозитный калькулятор'!$B$26:$F$70,2,0),0))</f>
        <v xml:space="preserve"> </v>
      </c>
      <c r="L397" s="135" t="str">
        <f>IF($F397=" "," ",IFERROR(VLOOKUP($F397,'депозитный калькулятор'!$B$26:$F$70,3,0),0))</f>
        <v xml:space="preserve"> </v>
      </c>
      <c r="M397" s="135" t="str">
        <f>IF($F397=" "," ",IFERROR(VLOOKUP($F397,'депозитный калькулятор'!$B$26:$F$70,4,0),0))</f>
        <v xml:space="preserve"> </v>
      </c>
      <c r="N397" s="135" t="str">
        <f>IF($F397=" "," ",IFERROR(VLOOKUP($F397,'депозитный калькулятор'!$B$26:$F$70,5,0),0))</f>
        <v xml:space="preserve"> </v>
      </c>
      <c r="O397" s="146" t="str">
        <f>IF(F397&gt;'депозитный калькулятор'!$D$8," ",IF(F397='депозитный калькулятор'!$D$8,IF(AND($F$24='депозитный калькулятор'!$D$8,'депозитный калькулятор'!$G$13="нет"),-G397-IF(I397=" ",0,I397)-IF(AND(OR('депозитный калькулятор'!$G$7="30/365",'депозитный калькулятор'!$G$7="30/360"),'депозитный калькулятор'!$G$10="в начале срока"),I396,0)-L397+M397-N397,-G397-IF(I397=" ",0,I397)-L397+M397-N397),IF('депозитный калькулятор'!$G$13="есть",M397-N397+IF('депозитный калькулятор'!$G$14="есть",0,-L397),-IF(I397=" ",0,I397)-IF(AND(OR('депозитный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срока"),I396,0)+M397-N397+IF('депозитный калькулятор'!$G$14="есть",0,-L397))))</f>
        <v xml:space="preserve"> </v>
      </c>
      <c r="P397" s="147" t="str">
        <f>IF(F397&gt;'депозитный калькулятор'!$D$8," ",IF(EOMONTH(F396,0)=F396,0,IF(G397&gt;='депозитный калькулятор'!$G$19,P396,P396+1)))</f>
        <v xml:space="preserve"> </v>
      </c>
      <c r="Q397" s="138" t="str">
        <f>IF(F397=" "," ",IF(AND(OR('депозитный калькулятор'!$G$7="30/365",'депозитный калькулятор'!$G$7="30/360"),AND(MONTH(F397)=2,EOMONTH(F397,0)=F397)),IF(DAY(F397)=28,3,2),1)*IF(G397&gt;='депозитный калькулятор'!$G$11,IF(AND('депозитный калькулятор'!$G$7="факт/факт",MOD(YEAR(F397),4)=0),G397*'депозитный калькулятор'!$D$11/366,G397*'депозитный калькулятор'!$G$8),0))</f>
        <v xml:space="preserve"> </v>
      </c>
      <c r="R397" s="158"/>
      <c r="S397" s="62" t="str">
        <f t="shared" ca="1" si="27"/>
        <v xml:space="preserve"> </v>
      </c>
      <c r="T397" s="149" t="str">
        <f ca="1">IF(S397=" "," ",IF('депозитный калькулятор'!$G$7="30/360",DAYS360(U396,IF(DAY(U397)=31,U397-1,U397))+IF(AND(MONTH(U397)=2,U397=EOMONTH(U397,0)),30-DAY(EOMONTH(U397,0)))+T396,VLOOKUP(S397,$C$22:$F$1023,2,0)))</f>
        <v xml:space="preserve"> </v>
      </c>
      <c r="U397" s="64" t="str">
        <f t="shared" ca="1" si="25"/>
        <v xml:space="preserve"> </v>
      </c>
      <c r="V397" s="150" t="str">
        <f t="shared" ca="1" si="28"/>
        <v xml:space="preserve"> </v>
      </c>
      <c r="W397" s="62" t="str">
        <f t="shared" ca="1" si="29"/>
        <v xml:space="preserve"> </v>
      </c>
      <c r="X397" s="141" t="str">
        <f ca="1">IF(S397=" "," ",IFERROR(VLOOKUP(U397,$F$23:$N$1023,7)+VLOOKUP(U397,$F$23:$N$1023,9)+IF(AND('депозитный калькулятор'!$G$13="нет",U397&lt;&gt;'депозитный калькулятор'!$D$8),VLOOKUP(U397,$F$23:$N$1023,4),0),0)+IF(U397='депозитный калькулятор'!$D$8,VLOOKUP(U397,$F$23:$N$1023,2)+VLOOKUP(U397,$F$23:$N$1023,4),0))</f>
        <v xml:space="preserve"> </v>
      </c>
      <c r="Y397" s="142" t="str">
        <f ca="1">IF(S397=" "," ",W397/(1+'депозитный калькулятор'!$K$8)^(T397/IF('депозитный калькулятор'!$G$7="30/360",360,365)))</f>
        <v xml:space="preserve"> </v>
      </c>
      <c r="Z397" s="142" t="str">
        <f ca="1">IF(S397=" "," ",X397/(1+'депозитный калькулятор'!$K$8)^(T397/IF('депозитный калькулятор'!$G$7="30/360",360,365)))</f>
        <v xml:space="preserve"> </v>
      </c>
      <c r="AA397" s="151"/>
      <c r="AB397" s="151"/>
      <c r="AC397" s="155"/>
      <c r="AD397" s="155"/>
      <c r="AF397" s="5"/>
    </row>
    <row r="398" spans="1:32" s="2" customFormat="1" ht="15.5" x14ac:dyDescent="0.35">
      <c r="A398" s="41" t="str">
        <f>IF(F398=" "," ",IF(OR('депозитный калькулятор'!$G$7="30/365",'депозитный калькулятор'!$G$7="30/360"),IF(AND(MONTH(F398)=2,DAY(F398)=DAY(EOMONTH(F398,0))),30-DAY(EOMONTH(F398,0)),IF(DAY(F398)=31,1," "))," "))</f>
        <v xml:space="preserve"> </v>
      </c>
      <c r="B398" s="130" t="str">
        <f t="shared" si="26"/>
        <v xml:space="preserve"> </v>
      </c>
      <c r="C398" s="130" t="str">
        <f>IF(OR(B398=0,B398=" ")," ",SUM($B$23:B398))</f>
        <v xml:space="preserve"> </v>
      </c>
      <c r="D398" s="62" t="str">
        <f>IF(D397=" "," ",IF(OR(F397='депозитный калькулятор'!$D$8,F397=" ")," ",D397+1))</f>
        <v xml:space="preserve"> </v>
      </c>
      <c r="E398" s="130" t="str">
        <f>IF(OR(F397='депозитный калькулятор'!$D$8,F397=" ")," ",IF(EOMONTH(F397,0)=F397,1,E397+1))</f>
        <v xml:space="preserve"> </v>
      </c>
      <c r="F398" s="64" t="str">
        <f>IF(F397=" "," ",IF(F397='депозитный калькулятор'!$D$8," ",F397+1))</f>
        <v xml:space="preserve"> </v>
      </c>
      <c r="G398" s="145" t="str">
        <f xml:space="preserve"> IF(F398&gt;'депозитный калькулятор'!$D$8," ",IF('депозитный калькулятор'!$G$13="есть",IF('депозитный калькулятор'!$G$14="есть",G397+IF(I397=" ",0,I397)-J398-K398+L398+M398-N398,G397+IF(I397=" ",0,I397)-J398-K398+M398-N398),IF('депозитный калькулятор'!$G$14="есть",G397-J398-K398+L398+M398-N398,G397-J398-K398+M398-N398)))</f>
        <v xml:space="preserve"> </v>
      </c>
      <c r="H398" s="133" t="str">
        <f>IF(F398&gt;'депозитный калькулятор'!$D$8," ",IF(AND(OR('депозитный калькулятор'!$G$7="30/365",'депозитный калькулятор'!$G$7="30/360"),AND(MONTH(F398)=2,EOMONTH(F398,0)=F398)),IF(DAY(F398)=28,3*G398*'депозитный калькулятор'!$G$8,2*G398*'депозитный калькулятор'!$G$8),IF(AND(OR('депозитный калькулятор'!$G$7="30/365",'депозитный калькулятор'!$G$7="30/360"),DAY(F398)=31)," ",IF(AND('депозитный калькулятор'!$G$7="факт/факт",MOD(YEAR(F398),4)=0),G398*'депозитный калькулятор'!$D$11/366,G398*'депозитный калькулятор'!$G$8))))</f>
        <v xml:space="preserve"> </v>
      </c>
      <c r="I398" s="134" t="str">
        <f ca="1">IF(F398=" "," ",IF('депозитный калькулятор'!$G$10="ежедневное",H398,IF(AND('депозитный калькулятор'!$G$10="еженедельное",WEEKDAY(F398,2)=7),SUM(OFFSET(H398,-6,0):H398),IF(AND('депозитный калькулятор'!$G$10="еженедельное",F398='депозитный калькулятор'!$D$8),SUM($H$23:H398)-SUM($I$23:I397),IF(AND('депозитный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недели",WEEKDAY(F398,2)=7),MIN(OFFSET(H398,-6,0):H398)*(COUNTIF(OFFSET(H398,-6,0):H398,"&gt;0")+SUMIF(OFFSET(A398,-WEEKDAY(F398,2),0):A398,"=2",OFFSET(A398,-WEEKDAY(F398,2),0):A398)),IF(AND('депозитный калькулятор'!$G$10="еженедельное, на минимальную сумму зафиксированную в течение недели",F398='депозитный калькулятор'!$D$8,WEEKDAY(F398,2)&lt;&gt;7),MIN(OFFSET(H398,-WEEKDAY(F398,2),0):H398)*(COUNTIF(OFFSET(H398,-WEEKDAY(F398,2)+1,0):H398,"&gt;0")+SUM(OFFSET(A398,-WEEKDAY(F398,2),0):A398)),IF(AND('депозитный калькулятор'!$G$10="ежемесячное (в конце месяца)",F398='депозитный калькулятор'!$D$8,EOMONTH(F398,0)&lt;&gt;F398),IF('депозитный калькулятор'!$F$1=1,$H$24,SUM($H$23:H398)-SUM($I$23:I397)),IF(AND('депозитный калькулятор'!$G$10="ежемесячное (в конце месяца)",EOMONTH(F398,0)=F398),SUM($H$23:H398)-SUM($I$23:I397),IF(AND('депозитный калькулятор'!$G$10="ежемесячное (по дням открытия вклада)",F398='депозитный калькулятор'!$D$8,DAY('депозитный калькулятор'!$D$7)&lt;&gt;DAY(F398)),IF('депозитный калькулятор'!$F$1=1,$H$24,SUM($H$23:H398)-SUM($I$23:I397)),IF(AND('депозитный калькулятор'!$G$10="ежемесячное (по дням открытия вклада)",DAY('депозитный калькулятор'!$D$7)=DAY(F398)),SUM($H$23:H398)-SUM($I$23:I397),IF(AND('депозитный калькулятор'!$G$10="ежемесячное, на минимальную сумму зафиксированную в течение месяца",F398='депозитный калькулятор'!$D$8,EOMONTH(F398,0)&lt;&gt;F398),IF('депозитный калькулятор'!$F$1=1,$H$24,IF(AND(OR('депозитный калькулятор'!$G$7="30/365",'депозитный калькулятор'!$G$7="30/360"),DAY(F398)=31),0,MIN(OFFSET(H398,-E398+1,0):H398)*(E398+SUMIF(OFFSET(A398,-E398+1,0):A398,"=2",OFFSET(A398,-E398+1,0):A398)))),IF(AND('депозитный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калькулятор'!$G$7="30/360"),DAY(EOMONTH(F398,0))=31),EOMONTH(F398,0)-1=F398,EOMONTH(F398,0)=F398)),IF(IF(AND(OR('депозитный калькулятор'!$G$7="30/365",'депозитный калькулятор'!$G$7="30/360"),DAY(EOMONTH($F$23,0))=31),F398=EOMONTH($F$23,0)-1,F398=EOMONTH($F$23,0)),MIN(OFFSET(H398,-(DAY(F398)-DAY($F$23)),0):H398)*E398,MIN(OFFSET(H398,-(DAY(F398)-1),0):H398)*IF(AND(OR('депозитный калькулятор'!$G$7="30/365",'депозитный калькулятор'!$G$7="30/360"),DAY(F398)&lt;30),30,DAY(F398))),IF(AND('депозитный калькулятор'!$G$10="ежемесячное, на средний остаток в течение месяца, при условии что остаток больше чем ограничение",F398='депозитный калькулятор'!$D$8,EOMONTH(F398,0)&lt;&gt;F398),IF('депозитный калькулятор'!$F$1=1,$H$24,SUM(OFFSET(Q398,-E398+1,0):Q398)),IF(AND('депозитный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калькулятор'!$G$7="30/360"),DAY(EOMONTH(F398,0))=31),EOMONTH(F398,0)-1=F398,EOMONTH(F398,0)=F398)),IF(IF(AND(OR('депозитный калькулятор'!$G$7="30/365",'депозитный калькулятор'!$G$7="30/360"),DAY(EOMONTH($F$24,0))=31),F398=EOMONTH($F$24,0)-1,F398=EOMONTH($F$24,0)),SUM(OFFSET(Q398,-E398+1,0):Q398),SUM(OFFSET(Q398,-E398+1,0):Q398)),IF('депозитный калькулятор'!$G$10="ежеквартальное",IF(F398&gt;'депозитный калькулятор'!$D$8," ",IF(AND(EOMONTH(F398,0)=F398,OR(MONTH(F398)=3,MONTH(F398)=6,MONTH(F398)=9,MONTH(F398)=12)),IF(EDATE(F398,-3)&lt;'депозитный калькулятор'!$D$7,SUM($H$23:H398),IF(MOD(YEAR(F398),4)=0,IF(AND(EOMONTH(F398,0)=F398,OR(MONTH(F398)=3,MONTH(F398)=6)),SUM(OFFSET(H398,-90,0):H398),IF(AND(EOMONTH(F398,0)=F398,OR(MONTH(F398)=9,MONTH(F398)=12)),SUM(OFFSET(H398,-91,0):H398))),IF(AND(EOMONTH(F398,0)=F398,MONTH(F398)=3),SUM(OFFSET(H398,-89,0):H398),IF(AND(EOMONTH(F398,0)=F398,MONTH(F398)=6),SUM(OFFSET(H398,-90,0):H398),IF(AND(EOMONTH(F398,0)=F398,OR(MONTH(F398)=9,MONTH(F398)=12)),SUM(OFFSET(H398,-91,0):H398)))))),IF(F398='депозитный калькулятор'!$D$8,SUM($H$23:H398)-SUM($I$23:I397),0))),IF('депозитный калькулятор'!$G$10="ежегодное",IF(F398&gt;'депозитный калькулятор'!$D$8," ",IF(F398='депозитный калькулятор'!$D$8,SUM($H$23:H398)-SUM($I$23:I397),IF(AND(EOMONTH(F398,0)=F398,MONTH(F398)=12),IF(MOD(YEAR(F397),4)=0,IF(F398-'депозитный калькулятор'!$D$7&lt;366,SUM($H$23:H398),SUM(OFFSET(H398,-365,0):H398)),IF(F398-'депозитный калькулятор'!$D$7&lt;365,SUM($H$23:H398),SUM(OFFSET(H398,-364,0):H398))),0))),IF(AND('депозитный калькулятор'!$G$10="в конце срока",'депозитный калькулятор'!$D$8=F398),SUM($H$23:H398),0))))))))))))))))))</f>
        <v xml:space="preserve"> </v>
      </c>
      <c r="J398" s="59" t="str">
        <f>IF(F398&gt;'депозитный калькулятор'!$D$8," ",IF('депозитный калькулятор'!$G$16="нет",0,IF(AND('депозитный калькулятор'!$G$17="разовая (в конце срока)",F398='депозитный калькулятор'!$D$8),'депозитный калькулятор'!$G$18,IF(AND('депозитный калькулятор'!$G$17="ежемесячная",EOMONTH(F397,0)=F397),'депозитный калькулятор'!$G$18,IF(AND('депозитный калькулятор'!$G$17="ежегодная",DAY(F397)=31,MONTH(F397)=12),'депозитный калькулятор'!$G$18,IF(AND('депозитный калькулятор'!$G$17="ежемесячная в зависимости от остатка",EOMONTH(F397,0)=F397,P397&gt;0),'депозитный калькулятор'!$G$18,IF(AND('депозитный калькулятор'!$G$17="ежегодная в зависимости от остатка",DAY(F397)=31,MONTH(F397)=12,P397&gt;0),'депозитный калькулятор'!$G$18,0)))))))</f>
        <v xml:space="preserve"> </v>
      </c>
      <c r="K398" s="135" t="str">
        <f>IF($F398=" "," ",IFERROR(VLOOKUP($F398,'депозитный калькулятор'!$B$26:$F$70,2,0),0))</f>
        <v xml:space="preserve"> </v>
      </c>
      <c r="L398" s="135" t="str">
        <f>IF($F398=" "," ",IFERROR(VLOOKUP($F398,'депозитный калькулятор'!$B$26:$F$70,3,0),0))</f>
        <v xml:space="preserve"> </v>
      </c>
      <c r="M398" s="135" t="str">
        <f>IF($F398=" "," ",IFERROR(VLOOKUP($F398,'депозитный калькулятор'!$B$26:$F$70,4,0),0))</f>
        <v xml:space="preserve"> </v>
      </c>
      <c r="N398" s="135" t="str">
        <f>IF($F398=" "," ",IFERROR(VLOOKUP($F398,'депозитный калькулятор'!$B$26:$F$70,5,0),0))</f>
        <v xml:space="preserve"> </v>
      </c>
      <c r="O398" s="146" t="str">
        <f>IF(F398&gt;'депозитный калькулятор'!$D$8," ",IF(F398='депозитный калькулятор'!$D$8,IF(AND($F$24='депозитный калькулятор'!$D$8,'депозитный калькулятор'!$G$13="нет"),-G398-IF(I398=" ",0,I398)-IF(AND(OR('депозитный калькулятор'!$G$7="30/365",'депозитный калькулятор'!$G$7="30/360"),'депозитный калькулятор'!$G$10="в начале срока"),I397,0)-L398+M398-N398,-G398-IF(I398=" ",0,I398)-L398+M398-N398),IF('депозитный калькулятор'!$G$13="есть",M398-N398+IF('депозитный калькулятор'!$G$14="есть",0,-L398),-IF(I398=" ",0,I398)-IF(AND(OR('депозитный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срока"),I397,0)+M398-N398+IF('депозитный калькулятор'!$G$14="есть",0,-L398))))</f>
        <v xml:space="preserve"> </v>
      </c>
      <c r="P398" s="147" t="str">
        <f>IF(F398&gt;'депозитный калькулятор'!$D$8," ",IF(EOMONTH(F397,0)=F397,0,IF(G398&gt;='депозитный калькулятор'!$G$19,P397,P397+1)))</f>
        <v xml:space="preserve"> </v>
      </c>
      <c r="Q398" s="138" t="str">
        <f>IF(F398=" "," ",IF(AND(OR('депозитный калькулятор'!$G$7="30/365",'депозитный калькулятор'!$G$7="30/360"),AND(MONTH(F398)=2,EOMONTH(F398,0)=F398)),IF(DAY(F398)=28,3,2),1)*IF(G398&gt;='депозитный калькулятор'!$G$11,IF(AND('депозитный калькулятор'!$G$7="факт/факт",MOD(YEAR(F398),4)=0),G398*'депозитный калькулятор'!$D$11/366,G398*'депозитный калькулятор'!$G$8),0))</f>
        <v xml:space="preserve"> </v>
      </c>
      <c r="R398" s="158"/>
      <c r="S398" s="62" t="str">
        <f t="shared" ca="1" si="27"/>
        <v xml:space="preserve"> </v>
      </c>
      <c r="T398" s="149" t="str">
        <f ca="1">IF(S398=" "," ",IF('депозитный калькулятор'!$G$7="30/360",DAYS360(U397,IF(DAY(U398)=31,U398-1,U398))+IF(AND(MONTH(U398)=2,U398=EOMONTH(U398,0)),30-DAY(EOMONTH(U398,0)))+T397,VLOOKUP(S398,$C$22:$F$1023,2,0)))</f>
        <v xml:space="preserve"> </v>
      </c>
      <c r="U398" s="64" t="str">
        <f t="shared" ca="1" si="25"/>
        <v xml:space="preserve"> </v>
      </c>
      <c r="V398" s="150" t="str">
        <f t="shared" ca="1" si="28"/>
        <v xml:space="preserve"> </v>
      </c>
      <c r="W398" s="62" t="str">
        <f t="shared" ca="1" si="29"/>
        <v xml:space="preserve"> </v>
      </c>
      <c r="X398" s="141" t="str">
        <f ca="1">IF(S398=" "," ",IFERROR(VLOOKUP(U398,$F$23:$N$1023,7)+VLOOKUP(U398,$F$23:$N$1023,9)+IF(AND('депозитный калькулятор'!$G$13="нет",U398&lt;&gt;'депозитный калькулятор'!$D$8),VLOOKUP(U398,$F$23:$N$1023,4),0),0)+IF(U398='депозитный калькулятор'!$D$8,VLOOKUP(U398,$F$23:$N$1023,2)+VLOOKUP(U398,$F$23:$N$1023,4),0))</f>
        <v xml:space="preserve"> </v>
      </c>
      <c r="Y398" s="142" t="str">
        <f ca="1">IF(S398=" "," ",W398/(1+'депозитный калькулятор'!$K$8)^(T398/IF('депозитный калькулятор'!$G$7="30/360",360,365)))</f>
        <v xml:space="preserve"> </v>
      </c>
      <c r="Z398" s="142" t="str">
        <f ca="1">IF(S398=" "," ",X398/(1+'депозитный калькулятор'!$K$8)^(T398/IF('депозитный калькулятор'!$G$7="30/360",360,365)))</f>
        <v xml:space="preserve"> </v>
      </c>
      <c r="AA398" s="151"/>
      <c r="AB398" s="151"/>
      <c r="AC398" s="155"/>
      <c r="AD398" s="155"/>
      <c r="AF398" s="5"/>
    </row>
    <row r="399" spans="1:32" s="2" customFormat="1" ht="15.5" x14ac:dyDescent="0.35">
      <c r="A399" s="41" t="str">
        <f>IF(F399=" "," ",IF(OR('депозитный калькулятор'!$G$7="30/365",'депозитный калькулятор'!$G$7="30/360"),IF(AND(MONTH(F399)=2,DAY(F399)=DAY(EOMONTH(F399,0))),30-DAY(EOMONTH(F399,0)),IF(DAY(F399)=31,1," "))," "))</f>
        <v xml:space="preserve"> </v>
      </c>
      <c r="B399" s="130" t="str">
        <f t="shared" si="26"/>
        <v xml:space="preserve"> </v>
      </c>
      <c r="C399" s="130" t="str">
        <f>IF(OR(B399=0,B399=" ")," ",SUM($B$23:B399))</f>
        <v xml:space="preserve"> </v>
      </c>
      <c r="D399" s="62" t="str">
        <f>IF(D398=" "," ",IF(OR(F398='депозитный калькулятор'!$D$8,F398=" ")," ",D398+1))</f>
        <v xml:space="preserve"> </v>
      </c>
      <c r="E399" s="130" t="str">
        <f>IF(OR(F398='депозитный калькулятор'!$D$8,F398=" ")," ",IF(EOMONTH(F398,0)=F398,1,E398+1))</f>
        <v xml:space="preserve"> </v>
      </c>
      <c r="F399" s="64" t="str">
        <f>IF(F398=" "," ",IF(F398='депозитный калькулятор'!$D$8," ",F398+1))</f>
        <v xml:space="preserve"> </v>
      </c>
      <c r="G399" s="145" t="str">
        <f xml:space="preserve"> IF(F399&gt;'депозитный калькулятор'!$D$8," ",IF('депозитный калькулятор'!$G$13="есть",IF('депозитный калькулятор'!$G$14="есть",G398+IF(I398=" ",0,I398)-J399-K399+L399+M399-N399,G398+IF(I398=" ",0,I398)-J399-K399+M399-N399),IF('депозитный калькулятор'!$G$14="есть",G398-J399-K399+L399+M399-N399,G398-J399-K399+M399-N399)))</f>
        <v xml:space="preserve"> </v>
      </c>
      <c r="H399" s="133" t="str">
        <f>IF(F399&gt;'депозитный калькулятор'!$D$8," ",IF(AND(OR('депозитный калькулятор'!$G$7="30/365",'депозитный калькулятор'!$G$7="30/360"),AND(MONTH(F399)=2,EOMONTH(F399,0)=F399)),IF(DAY(F399)=28,3*G399*'депозитный калькулятор'!$G$8,2*G399*'депозитный калькулятор'!$G$8),IF(AND(OR('депозитный калькулятор'!$G$7="30/365",'депозитный калькулятор'!$G$7="30/360"),DAY(F399)=31)," ",IF(AND('депозитный калькулятор'!$G$7="факт/факт",MOD(YEAR(F399),4)=0),G399*'депозитный калькулятор'!$D$11/366,G399*'депозитный калькулятор'!$G$8))))</f>
        <v xml:space="preserve"> </v>
      </c>
      <c r="I399" s="134" t="str">
        <f ca="1">IF(F399=" "," ",IF('депозитный калькулятор'!$G$10="ежедневное",H399,IF(AND('депозитный калькулятор'!$G$10="еженедельное",WEEKDAY(F399,2)=7),SUM(OFFSET(H399,-6,0):H399),IF(AND('депозитный калькулятор'!$G$10="еженедельное",F399='депозитный калькулятор'!$D$8),SUM($H$23:H399)-SUM($I$23:I398),IF(AND('депозитный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недели",WEEKDAY(F399,2)=7),MIN(OFFSET(H399,-6,0):H399)*(COUNTIF(OFFSET(H399,-6,0):H399,"&gt;0")+SUMIF(OFFSET(A399,-WEEKDAY(F399,2),0):A399,"=2",OFFSET(A399,-WEEKDAY(F399,2),0):A399)),IF(AND('депозитный калькулятор'!$G$10="еженедельное, на минимальную сумму зафиксированную в течение недели",F399='депозитный калькулятор'!$D$8,WEEKDAY(F399,2)&lt;&gt;7),MIN(OFFSET(H399,-WEEKDAY(F399,2),0):H399)*(COUNTIF(OFFSET(H399,-WEEKDAY(F399,2)+1,0):H399,"&gt;0")+SUM(OFFSET(A399,-WEEKDAY(F399,2),0):A399)),IF(AND('депозитный калькулятор'!$G$10="ежемесячное (в конце месяца)",F399='депозитный калькулятор'!$D$8,EOMONTH(F399,0)&lt;&gt;F399),IF('депозитный калькулятор'!$F$1=1,$H$24,SUM($H$23:H399)-SUM($I$23:I398)),IF(AND('депозитный калькулятор'!$G$10="ежемесячное (в конце месяца)",EOMONTH(F399,0)=F399),SUM($H$23:H399)-SUM($I$23:I398),IF(AND('депозитный калькулятор'!$G$10="ежемесячное (по дням открытия вклада)",F399='депозитный калькулятор'!$D$8,DAY('депозитный калькулятор'!$D$7)&lt;&gt;DAY(F399)),IF('депозитный калькулятор'!$F$1=1,$H$24,SUM($H$23:H399)-SUM($I$23:I398)),IF(AND('депозитный калькулятор'!$G$10="ежемесячное (по дням открытия вклада)",DAY('депозитный калькулятор'!$D$7)=DAY(F399)),SUM($H$23:H399)-SUM($I$23:I398),IF(AND('депозитный калькулятор'!$G$10="ежемесячное, на минимальную сумму зафиксированную в течение месяца",F399='депозитный калькулятор'!$D$8,EOMONTH(F399,0)&lt;&gt;F399),IF('депозитный калькулятор'!$F$1=1,$H$24,IF(AND(OR('депозитный калькулятор'!$G$7="30/365",'депозитный калькулятор'!$G$7="30/360"),DAY(F399)=31),0,MIN(OFFSET(H399,-E399+1,0):H399)*(E399+SUMIF(OFFSET(A399,-E399+1,0):A399,"=2",OFFSET(A399,-E399+1,0):A399)))),IF(AND('депозитный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калькулятор'!$G$7="30/360"),DAY(EOMONTH(F399,0))=31),EOMONTH(F399,0)-1=F399,EOMONTH(F399,0)=F399)),IF(IF(AND(OR('депозитный калькулятор'!$G$7="30/365",'депозитный калькулятор'!$G$7="30/360"),DAY(EOMONTH($F$23,0))=31),F399=EOMONTH($F$23,0)-1,F399=EOMONTH($F$23,0)),MIN(OFFSET(H399,-(DAY(F399)-DAY($F$23)),0):H399)*E399,MIN(OFFSET(H399,-(DAY(F399)-1),0):H399)*IF(AND(OR('депозитный калькулятор'!$G$7="30/365",'депозитный калькулятор'!$G$7="30/360"),DAY(F399)&lt;30),30,DAY(F399))),IF(AND('депозитный калькулятор'!$G$10="ежемесячное, на средний остаток в течение месяца, при условии что остаток больше чем ограничение",F399='депозитный калькулятор'!$D$8,EOMONTH(F399,0)&lt;&gt;F399),IF('депозитный калькулятор'!$F$1=1,$H$24,SUM(OFFSET(Q399,-E399+1,0):Q399)),IF(AND('депозитный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калькулятор'!$G$7="30/360"),DAY(EOMONTH(F399,0))=31),EOMONTH(F399,0)-1=F399,EOMONTH(F399,0)=F399)),IF(IF(AND(OR('депозитный калькулятор'!$G$7="30/365",'депозитный калькулятор'!$G$7="30/360"),DAY(EOMONTH($F$24,0))=31),F399=EOMONTH($F$24,0)-1,F399=EOMONTH($F$24,0)),SUM(OFFSET(Q399,-E399+1,0):Q399),SUM(OFFSET(Q399,-E399+1,0):Q399)),IF('депозитный калькулятор'!$G$10="ежеквартальное",IF(F399&gt;'депозитный калькулятор'!$D$8," ",IF(AND(EOMONTH(F399,0)=F399,OR(MONTH(F399)=3,MONTH(F399)=6,MONTH(F399)=9,MONTH(F399)=12)),IF(EDATE(F399,-3)&lt;'депозитный калькулятор'!$D$7,SUM($H$23:H399),IF(MOD(YEAR(F399),4)=0,IF(AND(EOMONTH(F399,0)=F399,OR(MONTH(F399)=3,MONTH(F399)=6)),SUM(OFFSET(H399,-90,0):H399),IF(AND(EOMONTH(F399,0)=F399,OR(MONTH(F399)=9,MONTH(F399)=12)),SUM(OFFSET(H399,-91,0):H399))),IF(AND(EOMONTH(F399,0)=F399,MONTH(F399)=3),SUM(OFFSET(H399,-89,0):H399),IF(AND(EOMONTH(F399,0)=F399,MONTH(F399)=6),SUM(OFFSET(H399,-90,0):H399),IF(AND(EOMONTH(F399,0)=F399,OR(MONTH(F399)=9,MONTH(F399)=12)),SUM(OFFSET(H399,-91,0):H399)))))),IF(F399='депозитный калькулятор'!$D$8,SUM($H$23:H399)-SUM($I$23:I398),0))),IF('депозитный калькулятор'!$G$10="ежегодное",IF(F399&gt;'депозитный калькулятор'!$D$8," ",IF(F399='депозитный калькулятор'!$D$8,SUM($H$23:H399)-SUM($I$23:I398),IF(AND(EOMONTH(F399,0)=F399,MONTH(F399)=12),IF(MOD(YEAR(F398),4)=0,IF(F399-'депозитный калькулятор'!$D$7&lt;366,SUM($H$23:H399),SUM(OFFSET(H399,-365,0):H399)),IF(F399-'депозитный калькулятор'!$D$7&lt;365,SUM($H$23:H399),SUM(OFFSET(H399,-364,0):H399))),0))),IF(AND('депозитный калькулятор'!$G$10="в конце срока",'депозитный калькулятор'!$D$8=F399),SUM($H$23:H399),0))))))))))))))))))</f>
        <v xml:space="preserve"> </v>
      </c>
      <c r="J399" s="59" t="str">
        <f>IF(F399&gt;'депозитный калькулятор'!$D$8," ",IF('депозитный калькулятор'!$G$16="нет",0,IF(AND('депозитный калькулятор'!$G$17="разовая (в конце срока)",F399='депозитный калькулятор'!$D$8),'депозитный калькулятор'!$G$18,IF(AND('депозитный калькулятор'!$G$17="ежемесячная",EOMONTH(F398,0)=F398),'депозитный калькулятор'!$G$18,IF(AND('депозитный калькулятор'!$G$17="ежегодная",DAY(F398)=31,MONTH(F398)=12),'депозитный калькулятор'!$G$18,IF(AND('депозитный калькулятор'!$G$17="ежемесячная в зависимости от остатка",EOMONTH(F398,0)=F398,P398&gt;0),'депозитный калькулятор'!$G$18,IF(AND('депозитный калькулятор'!$G$17="ежегодная в зависимости от остатка",DAY(F398)=31,MONTH(F398)=12,P398&gt;0),'депозитный калькулятор'!$G$18,0)))))))</f>
        <v xml:space="preserve"> </v>
      </c>
      <c r="K399" s="135" t="str">
        <f>IF($F399=" "," ",IFERROR(VLOOKUP($F399,'депозитный калькулятор'!$B$26:$F$70,2,0),0))</f>
        <v xml:space="preserve"> </v>
      </c>
      <c r="L399" s="135" t="str">
        <f>IF($F399=" "," ",IFERROR(VLOOKUP($F399,'депозитный калькулятор'!$B$26:$F$70,3,0),0))</f>
        <v xml:space="preserve"> </v>
      </c>
      <c r="M399" s="135" t="str">
        <f>IF($F399=" "," ",IFERROR(VLOOKUP($F399,'депозитный калькулятор'!$B$26:$F$70,4,0),0))</f>
        <v xml:space="preserve"> </v>
      </c>
      <c r="N399" s="135" t="str">
        <f>IF($F399=" "," ",IFERROR(VLOOKUP($F399,'депозитный калькулятор'!$B$26:$F$70,5,0),0))</f>
        <v xml:space="preserve"> </v>
      </c>
      <c r="O399" s="146" t="str">
        <f>IF(F399&gt;'депозитный калькулятор'!$D$8," ",IF(F399='депозитный калькулятор'!$D$8,IF(AND($F$24='депозитный калькулятор'!$D$8,'депозитный калькулятор'!$G$13="нет"),-G399-IF(I399=" ",0,I399)-IF(AND(OR('депозитный калькулятор'!$G$7="30/365",'депозитный калькулятор'!$G$7="30/360"),'депозитный калькулятор'!$G$10="в начале срока"),I398,0)-L399+M399-N399,-G399-IF(I399=" ",0,I399)-L399+M399-N399),IF('депозитный калькулятор'!$G$13="есть",M399-N399+IF('депозитный калькулятор'!$G$14="есть",0,-L399),-IF(I399=" ",0,I399)-IF(AND(OR('депозитный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срока"),I398,0)+M399-N399+IF('депозитный калькулятор'!$G$14="есть",0,-L399))))</f>
        <v xml:space="preserve"> </v>
      </c>
      <c r="P399" s="147" t="str">
        <f>IF(F399&gt;'депозитный калькулятор'!$D$8," ",IF(EOMONTH(F398,0)=F398,0,IF(G399&gt;='депозитный калькулятор'!$G$19,P398,P398+1)))</f>
        <v xml:space="preserve"> </v>
      </c>
      <c r="Q399" s="138" t="str">
        <f>IF(F399=" "," ",IF(AND(OR('депозитный калькулятор'!$G$7="30/365",'депозитный калькулятор'!$G$7="30/360"),AND(MONTH(F399)=2,EOMONTH(F399,0)=F399)),IF(DAY(F399)=28,3,2),1)*IF(G399&gt;='депозитный калькулятор'!$G$11,IF(AND('депозитный калькулятор'!$G$7="факт/факт",MOD(YEAR(F399),4)=0),G399*'депозитный калькулятор'!$D$11/366,G399*'депозитный калькулятор'!$G$8),0))</f>
        <v xml:space="preserve"> </v>
      </c>
      <c r="R399" s="158"/>
      <c r="S399" s="62" t="str">
        <f t="shared" ca="1" si="27"/>
        <v xml:space="preserve"> </v>
      </c>
      <c r="T399" s="149" t="str">
        <f ca="1">IF(S399=" "," ",IF('депозитный калькулятор'!$G$7="30/360",DAYS360(U398,IF(DAY(U399)=31,U399-1,U399))+IF(AND(MONTH(U399)=2,U399=EOMONTH(U399,0)),30-DAY(EOMONTH(U399,0)))+T398,VLOOKUP(S399,$C$22:$F$1023,2,0)))</f>
        <v xml:space="preserve"> </v>
      </c>
      <c r="U399" s="64" t="str">
        <f t="shared" ca="1" si="25"/>
        <v xml:space="preserve"> </v>
      </c>
      <c r="V399" s="150" t="str">
        <f t="shared" ca="1" si="28"/>
        <v xml:space="preserve"> </v>
      </c>
      <c r="W399" s="62" t="str">
        <f t="shared" ca="1" si="29"/>
        <v xml:space="preserve"> </v>
      </c>
      <c r="X399" s="141" t="str">
        <f ca="1">IF(S399=" "," ",IFERROR(VLOOKUP(U399,$F$23:$N$1023,7)+VLOOKUP(U399,$F$23:$N$1023,9)+IF(AND('депозитный калькулятор'!$G$13="нет",U399&lt;&gt;'депозитный калькулятор'!$D$8),VLOOKUP(U399,$F$23:$N$1023,4),0),0)+IF(U399='депозитный калькулятор'!$D$8,VLOOKUP(U399,$F$23:$N$1023,2)+VLOOKUP(U399,$F$23:$N$1023,4),0))</f>
        <v xml:space="preserve"> </v>
      </c>
      <c r="Y399" s="142" t="str">
        <f ca="1">IF(S399=" "," ",W399/(1+'депозитный калькулятор'!$K$8)^(T399/IF('депозитный калькулятор'!$G$7="30/360",360,365)))</f>
        <v xml:space="preserve"> </v>
      </c>
      <c r="Z399" s="142" t="str">
        <f ca="1">IF(S399=" "," ",X399/(1+'депозитный калькулятор'!$K$8)^(T399/IF('депозитный калькулятор'!$G$7="30/360",360,365)))</f>
        <v xml:space="preserve"> </v>
      </c>
      <c r="AA399" s="151"/>
      <c r="AB399" s="151"/>
      <c r="AC399" s="155"/>
      <c r="AD399" s="155"/>
      <c r="AF399" s="5"/>
    </row>
    <row r="400" spans="1:32" s="2" customFormat="1" ht="15.5" x14ac:dyDescent="0.35">
      <c r="A400" s="41" t="str">
        <f>IF(F400=" "," ",IF(OR('депозитный калькулятор'!$G$7="30/365",'депозитный калькулятор'!$G$7="30/360"),IF(AND(MONTH(F400)=2,DAY(F400)=DAY(EOMONTH(F400,0))),30-DAY(EOMONTH(F400,0)),IF(DAY(F400)=31,1," "))," "))</f>
        <v xml:space="preserve"> </v>
      </c>
      <c r="B400" s="130" t="str">
        <f t="shared" si="26"/>
        <v xml:space="preserve"> </v>
      </c>
      <c r="C400" s="130" t="str">
        <f>IF(OR(B400=0,B400=" ")," ",SUM($B$23:B400))</f>
        <v xml:space="preserve"> </v>
      </c>
      <c r="D400" s="62" t="str">
        <f>IF(D399=" "," ",IF(OR(F399='депозитный калькулятор'!$D$8,F399=" ")," ",D399+1))</f>
        <v xml:space="preserve"> </v>
      </c>
      <c r="E400" s="130" t="str">
        <f>IF(OR(F399='депозитный калькулятор'!$D$8,F399=" ")," ",IF(EOMONTH(F399,0)=F399,1,E399+1))</f>
        <v xml:space="preserve"> </v>
      </c>
      <c r="F400" s="64" t="str">
        <f>IF(F399=" "," ",IF(F399='депозитный калькулятор'!$D$8," ",F399+1))</f>
        <v xml:space="preserve"> </v>
      </c>
      <c r="G400" s="145" t="str">
        <f xml:space="preserve"> IF(F400&gt;'депозитный калькулятор'!$D$8," ",IF('депозитный калькулятор'!$G$13="есть",IF('депозитный калькулятор'!$G$14="есть",G399+IF(I399=" ",0,I399)-J400-K400+L400+M400-N400,G399+IF(I399=" ",0,I399)-J400-K400+M400-N400),IF('депозитный калькулятор'!$G$14="есть",G399-J400-K400+L400+M400-N400,G399-J400-K400+M400-N400)))</f>
        <v xml:space="preserve"> </v>
      </c>
      <c r="H400" s="133" t="str">
        <f>IF(F400&gt;'депозитный калькулятор'!$D$8," ",IF(AND(OR('депозитный калькулятор'!$G$7="30/365",'депозитный калькулятор'!$G$7="30/360"),AND(MONTH(F400)=2,EOMONTH(F400,0)=F400)),IF(DAY(F400)=28,3*G400*'депозитный калькулятор'!$G$8,2*G400*'депозитный калькулятор'!$G$8),IF(AND(OR('депозитный калькулятор'!$G$7="30/365",'депозитный калькулятор'!$G$7="30/360"),DAY(F400)=31)," ",IF(AND('депозитный калькулятор'!$G$7="факт/факт",MOD(YEAR(F400),4)=0),G400*'депозитный калькулятор'!$D$11/366,G400*'депозитный калькулятор'!$G$8))))</f>
        <v xml:space="preserve"> </v>
      </c>
      <c r="I400" s="134" t="str">
        <f ca="1">IF(F400=" "," ",IF('депозитный калькулятор'!$G$10="ежедневное",H400,IF(AND('депозитный калькулятор'!$G$10="еженедельное",WEEKDAY(F400,2)=7),SUM(OFFSET(H400,-6,0):H400),IF(AND('депозитный калькулятор'!$G$10="еженедельное",F400='депозитный калькулятор'!$D$8),SUM($H$23:H400)-SUM($I$23:I399),IF(AND('депозитный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недели",WEEKDAY(F400,2)=7),MIN(OFFSET(H400,-6,0):H400)*(COUNTIF(OFFSET(H400,-6,0):H400,"&gt;0")+SUMIF(OFFSET(A400,-WEEKDAY(F400,2),0):A400,"=2",OFFSET(A400,-WEEKDAY(F400,2),0):A400)),IF(AND('депозитный калькулятор'!$G$10="еженедельное, на минимальную сумму зафиксированную в течение недели",F400='депозитный калькулятор'!$D$8,WEEKDAY(F400,2)&lt;&gt;7),MIN(OFFSET(H400,-WEEKDAY(F400,2),0):H400)*(COUNTIF(OFFSET(H400,-WEEKDAY(F400,2)+1,0):H400,"&gt;0")+SUM(OFFSET(A400,-WEEKDAY(F400,2),0):A400)),IF(AND('депозитный калькулятор'!$G$10="ежемесячное (в конце месяца)",F400='депозитный калькулятор'!$D$8,EOMONTH(F400,0)&lt;&gt;F400),IF('депозитный калькулятор'!$F$1=1,$H$24,SUM($H$23:H400)-SUM($I$23:I399)),IF(AND('депозитный калькулятор'!$G$10="ежемесячное (в конце месяца)",EOMONTH(F400,0)=F400),SUM($H$23:H400)-SUM($I$23:I399),IF(AND('депозитный калькулятор'!$G$10="ежемесячное (по дням открытия вклада)",F400='депозитный калькулятор'!$D$8,DAY('депозитный калькулятор'!$D$7)&lt;&gt;DAY(F400)),IF('депозитный калькулятор'!$F$1=1,$H$24,SUM($H$23:H400)-SUM($I$23:I399)),IF(AND('депозитный калькулятор'!$G$10="ежемесячное (по дням открытия вклада)",DAY('депозитный калькулятор'!$D$7)=DAY(F400)),SUM($H$23:H400)-SUM($I$23:I399),IF(AND('депозитный калькулятор'!$G$10="ежемесячное, на минимальную сумму зафиксированную в течение месяца",F400='депозитный калькулятор'!$D$8,EOMONTH(F400,0)&lt;&gt;F400),IF('депозитный калькулятор'!$F$1=1,$H$24,IF(AND(OR('депозитный калькулятор'!$G$7="30/365",'депозитный калькулятор'!$G$7="30/360"),DAY(F400)=31),0,MIN(OFFSET(H400,-E400+1,0):H400)*(E400+SUMIF(OFFSET(A400,-E400+1,0):A400,"=2",OFFSET(A400,-E400+1,0):A400)))),IF(AND('депозитный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калькулятор'!$G$7="30/360"),DAY(EOMONTH(F400,0))=31),EOMONTH(F400,0)-1=F400,EOMONTH(F400,0)=F400)),IF(IF(AND(OR('депозитный калькулятор'!$G$7="30/365",'депозитный калькулятор'!$G$7="30/360"),DAY(EOMONTH($F$23,0))=31),F400=EOMONTH($F$23,0)-1,F400=EOMONTH($F$23,0)),MIN(OFFSET(H400,-(DAY(F400)-DAY($F$23)),0):H400)*E400,MIN(OFFSET(H400,-(DAY(F400)-1),0):H400)*IF(AND(OR('депозитный калькулятор'!$G$7="30/365",'депозитный калькулятор'!$G$7="30/360"),DAY(F400)&lt;30),30,DAY(F400))),IF(AND('депозитный калькулятор'!$G$10="ежемесячное, на средний остаток в течение месяца, при условии что остаток больше чем ограничение",F400='депозитный калькулятор'!$D$8,EOMONTH(F400,0)&lt;&gt;F400),IF('депозитный калькулятор'!$F$1=1,$H$24,SUM(OFFSET(Q400,-E400+1,0):Q400)),IF(AND('депозитный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калькулятор'!$G$7="30/360"),DAY(EOMONTH(F400,0))=31),EOMONTH(F400,0)-1=F400,EOMONTH(F400,0)=F400)),IF(IF(AND(OR('депозитный калькулятор'!$G$7="30/365",'депозитный калькулятор'!$G$7="30/360"),DAY(EOMONTH($F$24,0))=31),F400=EOMONTH($F$24,0)-1,F400=EOMONTH($F$24,0)),SUM(OFFSET(Q400,-E400+1,0):Q400),SUM(OFFSET(Q400,-E400+1,0):Q400)),IF('депозитный калькулятор'!$G$10="ежеквартальное",IF(F400&gt;'депозитный калькулятор'!$D$8," ",IF(AND(EOMONTH(F400,0)=F400,OR(MONTH(F400)=3,MONTH(F400)=6,MONTH(F400)=9,MONTH(F400)=12)),IF(EDATE(F400,-3)&lt;'депозитный калькулятор'!$D$7,SUM($H$23:H400),IF(MOD(YEAR(F400),4)=0,IF(AND(EOMONTH(F400,0)=F400,OR(MONTH(F400)=3,MONTH(F400)=6)),SUM(OFFSET(H400,-90,0):H400),IF(AND(EOMONTH(F400,0)=F400,OR(MONTH(F400)=9,MONTH(F400)=12)),SUM(OFFSET(H400,-91,0):H400))),IF(AND(EOMONTH(F400,0)=F400,MONTH(F400)=3),SUM(OFFSET(H400,-89,0):H400),IF(AND(EOMONTH(F400,0)=F400,MONTH(F400)=6),SUM(OFFSET(H400,-90,0):H400),IF(AND(EOMONTH(F400,0)=F400,OR(MONTH(F400)=9,MONTH(F400)=12)),SUM(OFFSET(H400,-91,0):H400)))))),IF(F400='депозитный калькулятор'!$D$8,SUM($H$23:H400)-SUM($I$23:I399),0))),IF('депозитный калькулятор'!$G$10="ежегодное",IF(F400&gt;'депозитный калькулятор'!$D$8," ",IF(F400='депозитный калькулятор'!$D$8,SUM($H$23:H400)-SUM($I$23:I399),IF(AND(EOMONTH(F400,0)=F400,MONTH(F400)=12),IF(MOD(YEAR(F399),4)=0,IF(F400-'депозитный калькулятор'!$D$7&lt;366,SUM($H$23:H400),SUM(OFFSET(H400,-365,0):H400)),IF(F400-'депозитный калькулятор'!$D$7&lt;365,SUM($H$23:H400),SUM(OFFSET(H400,-364,0):H400))),0))),IF(AND('депозитный калькулятор'!$G$10="в конце срока",'депозитный калькулятор'!$D$8=F400),SUM($H$23:H400),0))))))))))))))))))</f>
        <v xml:space="preserve"> </v>
      </c>
      <c r="J400" s="59" t="str">
        <f>IF(F400&gt;'депозитный калькулятор'!$D$8," ",IF('депозитный калькулятор'!$G$16="нет",0,IF(AND('депозитный калькулятор'!$G$17="разовая (в конце срока)",F400='депозитный калькулятор'!$D$8),'депозитный калькулятор'!$G$18,IF(AND('депозитный калькулятор'!$G$17="ежемесячная",EOMONTH(F399,0)=F399),'депозитный калькулятор'!$G$18,IF(AND('депозитный калькулятор'!$G$17="ежегодная",DAY(F399)=31,MONTH(F399)=12),'депозитный калькулятор'!$G$18,IF(AND('депозитный калькулятор'!$G$17="ежемесячная в зависимости от остатка",EOMONTH(F399,0)=F399,P399&gt;0),'депозитный калькулятор'!$G$18,IF(AND('депозитный калькулятор'!$G$17="ежегодная в зависимости от остатка",DAY(F399)=31,MONTH(F399)=12,P399&gt;0),'депозитный калькулятор'!$G$18,0)))))))</f>
        <v xml:space="preserve"> </v>
      </c>
      <c r="K400" s="135" t="str">
        <f>IF($F400=" "," ",IFERROR(VLOOKUP($F400,'депозитный калькулятор'!$B$26:$F$70,2,0),0))</f>
        <v xml:space="preserve"> </v>
      </c>
      <c r="L400" s="135" t="str">
        <f>IF($F400=" "," ",IFERROR(VLOOKUP($F400,'депозитный калькулятор'!$B$26:$F$70,3,0),0))</f>
        <v xml:space="preserve"> </v>
      </c>
      <c r="M400" s="135" t="str">
        <f>IF($F400=" "," ",IFERROR(VLOOKUP($F400,'депозитный калькулятор'!$B$26:$F$70,4,0),0))</f>
        <v xml:space="preserve"> </v>
      </c>
      <c r="N400" s="135" t="str">
        <f>IF($F400=" "," ",IFERROR(VLOOKUP($F400,'депозитный калькулятор'!$B$26:$F$70,5,0),0))</f>
        <v xml:space="preserve"> </v>
      </c>
      <c r="O400" s="146" t="str">
        <f>IF(F400&gt;'депозитный калькулятор'!$D$8," ",IF(F400='депозитный калькулятор'!$D$8,IF(AND($F$24='депозитный калькулятор'!$D$8,'депозитный калькулятор'!$G$13="нет"),-G400-IF(I400=" ",0,I400)-IF(AND(OR('депозитный калькулятор'!$G$7="30/365",'депозитный калькулятор'!$G$7="30/360"),'депозитный калькулятор'!$G$10="в начале срока"),I399,0)-L400+M400-N400,-G400-IF(I400=" ",0,I400)-L400+M400-N400),IF('депозитный калькулятор'!$G$13="есть",M400-N400+IF('депозитный калькулятор'!$G$14="есть",0,-L400),-IF(I400=" ",0,I400)-IF(AND(OR('депозитный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срока"),I399,0)+M400-N400+IF('депозитный калькулятор'!$G$14="есть",0,-L400))))</f>
        <v xml:space="preserve"> </v>
      </c>
      <c r="P400" s="147" t="str">
        <f>IF(F400&gt;'депозитный калькулятор'!$D$8," ",IF(EOMONTH(F399,0)=F399,0,IF(G400&gt;='депозитный калькулятор'!$G$19,P399,P399+1)))</f>
        <v xml:space="preserve"> </v>
      </c>
      <c r="Q400" s="138" t="str">
        <f>IF(F400=" "," ",IF(AND(OR('депозитный калькулятор'!$G$7="30/365",'депозитный калькулятор'!$G$7="30/360"),AND(MONTH(F400)=2,EOMONTH(F400,0)=F400)),IF(DAY(F400)=28,3,2),1)*IF(G400&gt;='депозитный калькулятор'!$G$11,IF(AND('депозитный калькулятор'!$G$7="факт/факт",MOD(YEAR(F400),4)=0),G400*'депозитный калькулятор'!$D$11/366,G400*'депозитный калькулятор'!$G$8),0))</f>
        <v xml:space="preserve"> </v>
      </c>
      <c r="R400" s="158"/>
      <c r="S400" s="62" t="str">
        <f t="shared" ca="1" si="27"/>
        <v xml:space="preserve"> </v>
      </c>
      <c r="T400" s="149" t="str">
        <f ca="1">IF(S400=" "," ",IF('депозитный калькулятор'!$G$7="30/360",DAYS360(U399,IF(DAY(U400)=31,U400-1,U400))+IF(AND(MONTH(U400)=2,U400=EOMONTH(U400,0)),30-DAY(EOMONTH(U400,0)))+T399,VLOOKUP(S400,$C$22:$F$1023,2,0)))</f>
        <v xml:space="preserve"> </v>
      </c>
      <c r="U400" s="64" t="str">
        <f t="shared" ca="1" si="25"/>
        <v xml:space="preserve"> </v>
      </c>
      <c r="V400" s="150" t="str">
        <f t="shared" ca="1" si="28"/>
        <v xml:space="preserve"> </v>
      </c>
      <c r="W400" s="62" t="str">
        <f t="shared" ca="1" si="29"/>
        <v xml:space="preserve"> </v>
      </c>
      <c r="X400" s="141" t="str">
        <f ca="1">IF(S400=" "," ",IFERROR(VLOOKUP(U400,$F$23:$N$1023,7)+VLOOKUP(U400,$F$23:$N$1023,9)+IF(AND('депозитный калькулятор'!$G$13="нет",U400&lt;&gt;'депозитный калькулятор'!$D$8),VLOOKUP(U400,$F$23:$N$1023,4),0),0)+IF(U400='депозитный калькулятор'!$D$8,VLOOKUP(U400,$F$23:$N$1023,2)+VLOOKUP(U400,$F$23:$N$1023,4),0))</f>
        <v xml:space="preserve"> </v>
      </c>
      <c r="Y400" s="142" t="str">
        <f ca="1">IF(S400=" "," ",W400/(1+'депозитный калькулятор'!$K$8)^(T400/IF('депозитный калькулятор'!$G$7="30/360",360,365)))</f>
        <v xml:space="preserve"> </v>
      </c>
      <c r="Z400" s="142" t="str">
        <f ca="1">IF(S400=" "," ",X400/(1+'депозитный калькулятор'!$K$8)^(T400/IF('депозитный калькулятор'!$G$7="30/360",360,365)))</f>
        <v xml:space="preserve"> </v>
      </c>
      <c r="AA400" s="151"/>
      <c r="AB400" s="151"/>
      <c r="AC400" s="155"/>
      <c r="AD400" s="155"/>
      <c r="AF400" s="5"/>
    </row>
    <row r="401" spans="1:30" s="2" customFormat="1" ht="15.5" x14ac:dyDescent="0.35">
      <c r="A401" s="41" t="str">
        <f>IF(F401=" "," ",IF(OR('депозитный калькулятор'!$G$7="30/365",'депозитный калькулятор'!$G$7="30/360"),IF(AND(MONTH(F401)=2,DAY(F401)=DAY(EOMONTH(F401,0))),30-DAY(EOMONTH(F401,0)),IF(DAY(F401)=31,1," "))," "))</f>
        <v xml:space="preserve"> </v>
      </c>
      <c r="B401" s="130" t="str">
        <f t="shared" si="26"/>
        <v xml:space="preserve"> </v>
      </c>
      <c r="C401" s="130" t="str">
        <f>IF(OR(B401=0,B401=" ")," ",SUM($B$23:B401))</f>
        <v xml:space="preserve"> </v>
      </c>
      <c r="D401" s="62" t="str">
        <f>IF(D400=" "," ",IF(OR(F400='депозитный калькулятор'!$D$8,F400=" ")," ",D400+1))</f>
        <v xml:space="preserve"> </v>
      </c>
      <c r="E401" s="130" t="str">
        <f>IF(OR(F400='депозитный калькулятор'!$D$8,F400=" ")," ",IF(EOMONTH(F400,0)=F400,1,E400+1))</f>
        <v xml:space="preserve"> </v>
      </c>
      <c r="F401" s="64" t="str">
        <f>IF(F400=" "," ",IF(F400='депозитный калькулятор'!$D$8," ",F400+1))</f>
        <v xml:space="preserve"> </v>
      </c>
      <c r="G401" s="145" t="str">
        <f xml:space="preserve"> IF(F401&gt;'депозитный калькулятор'!$D$8," ",IF('депозитный калькулятор'!$G$13="есть",IF('депозитный калькулятор'!$G$14="есть",G400+IF(I400=" ",0,I400)-J401-K401+L401+M401-N401,G400+IF(I400=" ",0,I400)-J401-K401+M401-N401),IF('депозитный калькулятор'!$G$14="есть",G400-J401-K401+L401+M401-N401,G400-J401-K401+M401-N401)))</f>
        <v xml:space="preserve"> </v>
      </c>
      <c r="H401" s="133" t="str">
        <f>IF(F401&gt;'депозитный калькулятор'!$D$8," ",IF(AND(OR('депозитный калькулятор'!$G$7="30/365",'депозитный калькулятор'!$G$7="30/360"),AND(MONTH(F401)=2,EOMONTH(F401,0)=F401)),IF(DAY(F401)=28,3*G401*'депозитный калькулятор'!$G$8,2*G401*'депозитный калькулятор'!$G$8),IF(AND(OR('депозитный калькулятор'!$G$7="30/365",'депозитный калькулятор'!$G$7="30/360"),DAY(F401)=31)," ",IF(AND('депозитный калькулятор'!$G$7="факт/факт",MOD(YEAR(F401),4)=0),G401*'депозитный калькулятор'!$D$11/366,G401*'депозитный калькулятор'!$G$8))))</f>
        <v xml:space="preserve"> </v>
      </c>
      <c r="I401" s="134" t="str">
        <f ca="1">IF(F401=" "," ",IF('депозитный калькулятор'!$G$10="ежедневное",H401,IF(AND('депозитный калькулятор'!$G$10="еженедельное",WEEKDAY(F401,2)=7),SUM(OFFSET(H401,-6,0):H401),IF(AND('депозитный калькулятор'!$G$10="еженедельное",F401='депозитный калькулятор'!$D$8),SUM($H$23:H401)-SUM($I$23:I400),IF(AND('депозитный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недели",WEEKDAY(F401,2)=7),MIN(OFFSET(H401,-6,0):H401)*(COUNTIF(OFFSET(H401,-6,0):H401,"&gt;0")+SUMIF(OFFSET(A401,-WEEKDAY(F401,2),0):A401,"=2",OFFSET(A401,-WEEKDAY(F401,2),0):A401)),IF(AND('депозитный калькулятор'!$G$10="еженедельное, на минимальную сумму зафиксированную в течение недели",F401='депозитный калькулятор'!$D$8,WEEKDAY(F401,2)&lt;&gt;7),MIN(OFFSET(H401,-WEEKDAY(F401,2),0):H401)*(COUNTIF(OFFSET(H401,-WEEKDAY(F401,2)+1,0):H401,"&gt;0")+SUM(OFFSET(A401,-WEEKDAY(F401,2),0):A401)),IF(AND('депозитный калькулятор'!$G$10="ежемесячное (в конце месяца)",F401='депозитный калькулятор'!$D$8,EOMONTH(F401,0)&lt;&gt;F401),IF('депозитный калькулятор'!$F$1=1,$H$24,SUM($H$23:H401)-SUM($I$23:I400)),IF(AND('депозитный калькулятор'!$G$10="ежемесячное (в конце месяца)",EOMONTH(F401,0)=F401),SUM($H$23:H401)-SUM($I$23:I400),IF(AND('депозитный калькулятор'!$G$10="ежемесячное (по дням открытия вклада)",F401='депозитный калькулятор'!$D$8,DAY('депозитный калькулятор'!$D$7)&lt;&gt;DAY(F401)),IF('депозитный калькулятор'!$F$1=1,$H$24,SUM($H$23:H401)-SUM($I$23:I400)),IF(AND('депозитный калькулятор'!$G$10="ежемесячное (по дням открытия вклада)",DAY('депозитный калькулятор'!$D$7)=DAY(F401)),SUM($H$23:H401)-SUM($I$23:I400),IF(AND('депозитный калькулятор'!$G$10="ежемесячное, на минимальную сумму зафиксированную в течение месяца",F401='депозитный калькулятор'!$D$8,EOMONTH(F401,0)&lt;&gt;F401),IF('депозитный калькулятор'!$F$1=1,$H$24,IF(AND(OR('депозитный калькулятор'!$G$7="30/365",'депозитный калькулятор'!$G$7="30/360"),DAY(F401)=31),0,MIN(OFFSET(H401,-E401+1,0):H401)*(E401+SUMIF(OFFSET(A401,-E401+1,0):A401,"=2",OFFSET(A401,-E401+1,0):A401)))),IF(AND('депозитный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калькулятор'!$G$7="30/360"),DAY(EOMONTH(F401,0))=31),EOMONTH(F401,0)-1=F401,EOMONTH(F401,0)=F401)),IF(IF(AND(OR('депозитный калькулятор'!$G$7="30/365",'депозитный калькулятор'!$G$7="30/360"),DAY(EOMONTH($F$23,0))=31),F401=EOMONTH($F$23,0)-1,F401=EOMONTH($F$23,0)),MIN(OFFSET(H401,-(DAY(F401)-DAY($F$23)),0):H401)*E401,MIN(OFFSET(H401,-(DAY(F401)-1),0):H401)*IF(AND(OR('депозитный калькулятор'!$G$7="30/365",'депозитный калькулятор'!$G$7="30/360"),DAY(F401)&lt;30),30,DAY(F401))),IF(AND('депозитный калькулятор'!$G$10="ежемесячное, на средний остаток в течение месяца, при условии что остаток больше чем ограничение",F401='депозитный калькулятор'!$D$8,EOMONTH(F401,0)&lt;&gt;F401),IF('депозитный калькулятор'!$F$1=1,$H$24,SUM(OFFSET(Q401,-E401+1,0):Q401)),IF(AND('депозитный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калькулятор'!$G$7="30/360"),DAY(EOMONTH(F401,0))=31),EOMONTH(F401,0)-1=F401,EOMONTH(F401,0)=F401)),IF(IF(AND(OR('депозитный калькулятор'!$G$7="30/365",'депозитный калькулятор'!$G$7="30/360"),DAY(EOMONTH($F$24,0))=31),F401=EOMONTH($F$24,0)-1,F401=EOMONTH($F$24,0)),SUM(OFFSET(Q401,-E401+1,0):Q401),SUM(OFFSET(Q401,-E401+1,0):Q401)),IF('депозитный калькулятор'!$G$10="ежеквартальное",IF(F401&gt;'депозитный калькулятор'!$D$8," ",IF(AND(EOMONTH(F401,0)=F401,OR(MONTH(F401)=3,MONTH(F401)=6,MONTH(F401)=9,MONTH(F401)=12)),IF(EDATE(F401,-3)&lt;'депозитный калькулятор'!$D$7,SUM($H$23:H401),IF(MOD(YEAR(F401),4)=0,IF(AND(EOMONTH(F401,0)=F401,OR(MONTH(F401)=3,MONTH(F401)=6)),SUM(OFFSET(H401,-90,0):H401),IF(AND(EOMONTH(F401,0)=F401,OR(MONTH(F401)=9,MONTH(F401)=12)),SUM(OFFSET(H401,-91,0):H401))),IF(AND(EOMONTH(F401,0)=F401,MONTH(F401)=3),SUM(OFFSET(H401,-89,0):H401),IF(AND(EOMONTH(F401,0)=F401,MONTH(F401)=6),SUM(OFFSET(H401,-90,0):H401),IF(AND(EOMONTH(F401,0)=F401,OR(MONTH(F401)=9,MONTH(F401)=12)),SUM(OFFSET(H401,-91,0):H401)))))),IF(F401='депозитный калькулятор'!$D$8,SUM($H$23:H401)-SUM($I$23:I400),0))),IF('депозитный калькулятор'!$G$10="ежегодное",IF(F401&gt;'депозитный калькулятор'!$D$8," ",IF(F401='депозитный калькулятор'!$D$8,SUM($H$23:H401)-SUM($I$23:I400),IF(AND(EOMONTH(F401,0)=F401,MONTH(F401)=12),IF(MOD(YEAR(F400),4)=0,IF(F401-'депозитный калькулятор'!$D$7&lt;366,SUM($H$23:H401),SUM(OFFSET(H401,-365,0):H401)),IF(F401-'депозитный калькулятор'!$D$7&lt;365,SUM($H$23:H401),SUM(OFFSET(H401,-364,0):H401))),0))),IF(AND('депозитный калькулятор'!$G$10="в конце срока",'депозитный калькулятор'!$D$8=F401),SUM($H$23:H401),0))))))))))))))))))</f>
        <v xml:space="preserve"> </v>
      </c>
      <c r="J401" s="59" t="str">
        <f>IF(F401&gt;'депозитный калькулятор'!$D$8," ",IF('депозитный калькулятор'!$G$16="нет",0,IF(AND('депозитный калькулятор'!$G$17="разовая (в конце срока)",F401='депозитный калькулятор'!$D$8),'депозитный калькулятор'!$G$18,IF(AND('депозитный калькулятор'!$G$17="ежемесячная",EOMONTH(F400,0)=F400),'депозитный калькулятор'!$G$18,IF(AND('депозитный калькулятор'!$G$17="ежегодная",DAY(F400)=31,MONTH(F400)=12),'депозитный калькулятор'!$G$18,IF(AND('депозитный калькулятор'!$G$17="ежемесячная в зависимости от остатка",EOMONTH(F400,0)=F400,P400&gt;0),'депозитный калькулятор'!$G$18,IF(AND('депозитный калькулятор'!$G$17="ежегодная в зависимости от остатка",DAY(F400)=31,MONTH(F400)=12,P400&gt;0),'депозитный калькулятор'!$G$18,0)))))))</f>
        <v xml:space="preserve"> </v>
      </c>
      <c r="K401" s="135" t="str">
        <f>IF($F401=" "," ",IFERROR(VLOOKUP($F401,'депозитный калькулятор'!$B$26:$F$70,2,0),0))</f>
        <v xml:space="preserve"> </v>
      </c>
      <c r="L401" s="135" t="str">
        <f>IF($F401=" "," ",IFERROR(VLOOKUP($F401,'депозитный калькулятор'!$B$26:$F$70,3,0),0))</f>
        <v xml:space="preserve"> </v>
      </c>
      <c r="M401" s="135" t="str">
        <f>IF($F401=" "," ",IFERROR(VLOOKUP($F401,'депозитный калькулятор'!$B$26:$F$70,4,0),0))</f>
        <v xml:space="preserve"> </v>
      </c>
      <c r="N401" s="135" t="str">
        <f>IF($F401=" "," ",IFERROR(VLOOKUP($F401,'депозитный калькулятор'!$B$26:$F$70,5,0),0))</f>
        <v xml:space="preserve"> </v>
      </c>
      <c r="O401" s="146" t="str">
        <f>IF(F401&gt;'депозитный калькулятор'!$D$8," ",IF(F401='депозитный калькулятор'!$D$8,IF(AND($F$24='депозитный калькулятор'!$D$8,'депозитный калькулятор'!$G$13="нет"),-G401-IF(I401=" ",0,I401)-IF(AND(OR('депозитный калькулятор'!$G$7="30/365",'депозитный калькулятор'!$G$7="30/360"),'депозитный калькулятор'!$G$10="в начале срока"),I400,0)-L401+M401-N401,-G401-IF(I401=" ",0,I401)-L401+M401-N401),IF('депозитный калькулятор'!$G$13="есть",M401-N401+IF('депозитный калькулятор'!$G$14="есть",0,-L401),-IF(I401=" ",0,I401)-IF(AND(OR('депозитный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срока"),I400,0)+M401-N401+IF('депозитный калькулятор'!$G$14="есть",0,-L401))))</f>
        <v xml:space="preserve"> </v>
      </c>
      <c r="P401" s="147" t="str">
        <f>IF(F401&gt;'депозитный калькулятор'!$D$8," ",IF(EOMONTH(F400,0)=F400,0,IF(G401&gt;='депозитный калькулятор'!$G$19,P400,P400+1)))</f>
        <v xml:space="preserve"> </v>
      </c>
      <c r="Q401" s="138" t="str">
        <f>IF(F401=" "," ",IF(AND(OR('депозитный калькулятор'!$G$7="30/365",'депозитный калькулятор'!$G$7="30/360"),AND(MONTH(F401)=2,EOMONTH(F401,0)=F401)),IF(DAY(F401)=28,3,2),1)*IF(G401&gt;='депозитный калькулятор'!$G$11,IF(AND('депозитный калькулятор'!$G$7="факт/факт",MOD(YEAR(F401),4)=0),G401*'депозитный калькулятор'!$D$11/366,G401*'депозитный калькулятор'!$G$8),0))</f>
        <v xml:space="preserve"> </v>
      </c>
      <c r="R401" s="158"/>
      <c r="S401" s="62" t="str">
        <f t="shared" ca="1" si="27"/>
        <v xml:space="preserve"> </v>
      </c>
      <c r="T401" s="149" t="str">
        <f ca="1">IF(S401=" "," ",IF('депозитный калькулятор'!$G$7="30/360",DAYS360(U400,IF(DAY(U401)=31,U401-1,U401))+IF(AND(MONTH(U401)=2,U401=EOMONTH(U401,0)),30-DAY(EOMONTH(U401,0)))+T400,VLOOKUP(S401,$C$22:$F$1023,2,0)))</f>
        <v xml:space="preserve"> </v>
      </c>
      <c r="U401" s="64" t="str">
        <f t="shared" ca="1" si="25"/>
        <v xml:space="preserve"> </v>
      </c>
      <c r="V401" s="150" t="str">
        <f t="shared" ca="1" si="28"/>
        <v xml:space="preserve"> </v>
      </c>
      <c r="W401" s="62" t="str">
        <f t="shared" ca="1" si="29"/>
        <v xml:space="preserve"> </v>
      </c>
      <c r="X401" s="141" t="str">
        <f ca="1">IF(S401=" "," ",IFERROR(VLOOKUP(U401,$F$23:$N$1023,7)+VLOOKUP(U401,$F$23:$N$1023,9)+IF(AND('депозитный калькулятор'!$G$13="нет",U401&lt;&gt;'депозитный калькулятор'!$D$8),VLOOKUP(U401,$F$23:$N$1023,4),0),0)+IF(U401='депозитный калькулятор'!$D$8,VLOOKUP(U401,$F$23:$N$1023,2)+VLOOKUP(U401,$F$23:$N$1023,4),0))</f>
        <v xml:space="preserve"> </v>
      </c>
      <c r="Y401" s="142" t="str">
        <f ca="1">IF(S401=" "," ",W401/(1+'депозитный калькулятор'!$K$8)^(T401/IF('депозитный калькулятор'!$G$7="30/360",360,365)))</f>
        <v xml:space="preserve"> </v>
      </c>
      <c r="Z401" s="142" t="str">
        <f ca="1">IF(S401=" "," ",X401/(1+'депозитный калькулятор'!$K$8)^(T401/IF('депозитный калькулятор'!$G$7="30/360",360,365)))</f>
        <v xml:space="preserve"> </v>
      </c>
      <c r="AA401" s="151"/>
      <c r="AB401" s="151"/>
      <c r="AC401" s="155"/>
      <c r="AD401" s="155"/>
    </row>
    <row r="402" spans="1:30" s="2" customFormat="1" ht="15.5" x14ac:dyDescent="0.35">
      <c r="A402" s="41" t="str">
        <f>IF(F402=" "," ",IF(OR('депозитный калькулятор'!$G$7="30/365",'депозитный калькулятор'!$G$7="30/360"),IF(AND(MONTH(F402)=2,DAY(F402)=DAY(EOMONTH(F402,0))),30-DAY(EOMONTH(F402,0)),IF(DAY(F402)=31,1," "))," "))</f>
        <v xml:space="preserve"> </v>
      </c>
      <c r="B402" s="130" t="str">
        <f t="shared" si="26"/>
        <v xml:space="preserve"> </v>
      </c>
      <c r="C402" s="130" t="str">
        <f>IF(OR(B402=0,B402=" ")," ",SUM($B$23:B402))</f>
        <v xml:space="preserve"> </v>
      </c>
      <c r="D402" s="62" t="str">
        <f>IF(D401=" "," ",IF(OR(F401='депозитный калькулятор'!$D$8,F401=" ")," ",D401+1))</f>
        <v xml:space="preserve"> </v>
      </c>
      <c r="E402" s="130" t="str">
        <f>IF(OR(F401='депозитный калькулятор'!$D$8,F401=" ")," ",IF(EOMONTH(F401,0)=F401,1,E401+1))</f>
        <v xml:space="preserve"> </v>
      </c>
      <c r="F402" s="64" t="str">
        <f>IF(F401=" "," ",IF(F401='депозитный калькулятор'!$D$8," ",F401+1))</f>
        <v xml:space="preserve"> </v>
      </c>
      <c r="G402" s="145" t="str">
        <f xml:space="preserve"> IF(F402&gt;'депозитный калькулятор'!$D$8," ",IF('депозитный калькулятор'!$G$13="есть",IF('депозитный калькулятор'!$G$14="есть",G401+IF(I401=" ",0,I401)-J402-K402+L402+M402-N402,G401+IF(I401=" ",0,I401)-J402-K402+M402-N402),IF('депозитный калькулятор'!$G$14="есть",G401-J402-K402+L402+M402-N402,G401-J402-K402+M402-N402)))</f>
        <v xml:space="preserve"> </v>
      </c>
      <c r="H402" s="133" t="str">
        <f>IF(F402&gt;'депозитный калькулятор'!$D$8," ",IF(AND(OR('депозитный калькулятор'!$G$7="30/365",'депозитный калькулятор'!$G$7="30/360"),AND(MONTH(F402)=2,EOMONTH(F402,0)=F402)),IF(DAY(F402)=28,3*G402*'депозитный калькулятор'!$G$8,2*G402*'депозитный калькулятор'!$G$8),IF(AND(OR('депозитный калькулятор'!$G$7="30/365",'депозитный калькулятор'!$G$7="30/360"),DAY(F402)=31)," ",IF(AND('депозитный калькулятор'!$G$7="факт/факт",MOD(YEAR(F402),4)=0),G402*'депозитный калькулятор'!$D$11/366,G402*'депозитный калькулятор'!$G$8))))</f>
        <v xml:space="preserve"> </v>
      </c>
      <c r="I402" s="134" t="str">
        <f ca="1">IF(F402=" "," ",IF('депозитный калькулятор'!$G$10="ежедневное",H402,IF(AND('депозитный калькулятор'!$G$10="еженедельное",WEEKDAY(F402,2)=7),SUM(OFFSET(H402,-6,0):H402),IF(AND('депозитный калькулятор'!$G$10="еженедельное",F402='депозитный калькулятор'!$D$8),SUM($H$23:H402)-SUM($I$23:I401),IF(AND('депозитный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недели",WEEKDAY(F402,2)=7),MIN(OFFSET(H402,-6,0):H402)*(COUNTIF(OFFSET(H402,-6,0):H402,"&gt;0")+SUMIF(OFFSET(A402,-WEEKDAY(F402,2),0):A402,"=2",OFFSET(A402,-WEEKDAY(F402,2),0):A402)),IF(AND('депозитный калькулятор'!$G$10="еженедельное, на минимальную сумму зафиксированную в течение недели",F402='депозитный калькулятор'!$D$8,WEEKDAY(F402,2)&lt;&gt;7),MIN(OFFSET(H402,-WEEKDAY(F402,2),0):H402)*(COUNTIF(OFFSET(H402,-WEEKDAY(F402,2)+1,0):H402,"&gt;0")+SUM(OFFSET(A402,-WEEKDAY(F402,2),0):A402)),IF(AND('депозитный калькулятор'!$G$10="ежемесячное (в конце месяца)",F402='депозитный калькулятор'!$D$8,EOMONTH(F402,0)&lt;&gt;F402),IF('депозитный калькулятор'!$F$1=1,$H$24,SUM($H$23:H402)-SUM($I$23:I401)),IF(AND('депозитный калькулятор'!$G$10="ежемесячное (в конце месяца)",EOMONTH(F402,0)=F402),SUM($H$23:H402)-SUM($I$23:I401),IF(AND('депозитный калькулятор'!$G$10="ежемесячное (по дням открытия вклада)",F402='депозитный калькулятор'!$D$8,DAY('депозитный калькулятор'!$D$7)&lt;&gt;DAY(F402)),IF('депозитный калькулятор'!$F$1=1,$H$24,SUM($H$23:H402)-SUM($I$23:I401)),IF(AND('депозитный калькулятор'!$G$10="ежемесячное (по дням открытия вклада)",DAY('депозитный калькулятор'!$D$7)=DAY(F402)),SUM($H$23:H402)-SUM($I$23:I401),IF(AND('депозитный калькулятор'!$G$10="ежемесячное, на минимальную сумму зафиксированную в течение месяца",F402='депозитный калькулятор'!$D$8,EOMONTH(F402,0)&lt;&gt;F402),IF('депозитный калькулятор'!$F$1=1,$H$24,IF(AND(OR('депозитный калькулятор'!$G$7="30/365",'депозитный калькулятор'!$G$7="30/360"),DAY(F402)=31),0,MIN(OFFSET(H402,-E402+1,0):H402)*(E402+SUMIF(OFFSET(A402,-E402+1,0):A402,"=2",OFFSET(A402,-E402+1,0):A402)))),IF(AND('депозитный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калькулятор'!$G$7="30/360"),DAY(EOMONTH(F402,0))=31),EOMONTH(F402,0)-1=F402,EOMONTH(F402,0)=F402)),IF(IF(AND(OR('депозитный калькулятор'!$G$7="30/365",'депозитный калькулятор'!$G$7="30/360"),DAY(EOMONTH($F$23,0))=31),F402=EOMONTH($F$23,0)-1,F402=EOMONTH($F$23,0)),MIN(OFFSET(H402,-(DAY(F402)-DAY($F$23)),0):H402)*E402,MIN(OFFSET(H402,-(DAY(F402)-1),0):H402)*IF(AND(OR('депозитный калькулятор'!$G$7="30/365",'депозитный калькулятор'!$G$7="30/360"),DAY(F402)&lt;30),30,DAY(F402))),IF(AND('депозитный калькулятор'!$G$10="ежемесячное, на средний остаток в течение месяца, при условии что остаток больше чем ограничение",F402='депозитный калькулятор'!$D$8,EOMONTH(F402,0)&lt;&gt;F402),IF('депозитный калькулятор'!$F$1=1,$H$24,SUM(OFFSET(Q402,-E402+1,0):Q402)),IF(AND('депозитный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калькулятор'!$G$7="30/360"),DAY(EOMONTH(F402,0))=31),EOMONTH(F402,0)-1=F402,EOMONTH(F402,0)=F402)),IF(IF(AND(OR('депозитный калькулятор'!$G$7="30/365",'депозитный калькулятор'!$G$7="30/360"),DAY(EOMONTH($F$24,0))=31),F402=EOMONTH($F$24,0)-1,F402=EOMONTH($F$24,0)),SUM(OFFSET(Q402,-E402+1,0):Q402),SUM(OFFSET(Q402,-E402+1,0):Q402)),IF('депозитный калькулятор'!$G$10="ежеквартальное",IF(F402&gt;'депозитный калькулятор'!$D$8," ",IF(AND(EOMONTH(F402,0)=F402,OR(MONTH(F402)=3,MONTH(F402)=6,MONTH(F402)=9,MONTH(F402)=12)),IF(EDATE(F402,-3)&lt;'депозитный калькулятор'!$D$7,SUM($H$23:H402),IF(MOD(YEAR(F402),4)=0,IF(AND(EOMONTH(F402,0)=F402,OR(MONTH(F402)=3,MONTH(F402)=6)),SUM(OFFSET(H402,-90,0):H402),IF(AND(EOMONTH(F402,0)=F402,OR(MONTH(F402)=9,MONTH(F402)=12)),SUM(OFFSET(H402,-91,0):H402))),IF(AND(EOMONTH(F402,0)=F402,MONTH(F402)=3),SUM(OFFSET(H402,-89,0):H402),IF(AND(EOMONTH(F402,0)=F402,MONTH(F402)=6),SUM(OFFSET(H402,-90,0):H402),IF(AND(EOMONTH(F402,0)=F402,OR(MONTH(F402)=9,MONTH(F402)=12)),SUM(OFFSET(H402,-91,0):H402)))))),IF(F402='депозитный калькулятор'!$D$8,SUM($H$23:H402)-SUM($I$23:I401),0))),IF('депозитный калькулятор'!$G$10="ежегодное",IF(F402&gt;'депозитный калькулятор'!$D$8," ",IF(F402='депозитный калькулятор'!$D$8,SUM($H$23:H402)-SUM($I$23:I401),IF(AND(EOMONTH(F402,0)=F402,MONTH(F402)=12),IF(MOD(YEAR(F401),4)=0,IF(F402-'депозитный калькулятор'!$D$7&lt;366,SUM($H$23:H402),SUM(OFFSET(H402,-365,0):H402)),IF(F402-'депозитный калькулятор'!$D$7&lt;365,SUM($H$23:H402),SUM(OFFSET(H402,-364,0):H402))),0))),IF(AND('депозитный калькулятор'!$G$10="в конце срока",'депозитный калькулятор'!$D$8=F402),SUM($H$23:H402),0))))))))))))))))))</f>
        <v xml:space="preserve"> </v>
      </c>
      <c r="J402" s="59" t="str">
        <f>IF(F402&gt;'депозитный калькулятор'!$D$8," ",IF('депозитный калькулятор'!$G$16="нет",0,IF(AND('депозитный калькулятор'!$G$17="разовая (в конце срока)",F402='депозитный калькулятор'!$D$8),'депозитный калькулятор'!$G$18,IF(AND('депозитный калькулятор'!$G$17="ежемесячная",EOMONTH(F401,0)=F401),'депозитный калькулятор'!$G$18,IF(AND('депозитный калькулятор'!$G$17="ежегодная",DAY(F401)=31,MONTH(F401)=12),'депозитный калькулятор'!$G$18,IF(AND('депозитный калькулятор'!$G$17="ежемесячная в зависимости от остатка",EOMONTH(F401,0)=F401,P401&gt;0),'депозитный калькулятор'!$G$18,IF(AND('депозитный калькулятор'!$G$17="ежегодная в зависимости от остатка",DAY(F401)=31,MONTH(F401)=12,P401&gt;0),'депозитный калькулятор'!$G$18,0)))))))</f>
        <v xml:space="preserve"> </v>
      </c>
      <c r="K402" s="135" t="str">
        <f>IF($F402=" "," ",IFERROR(VLOOKUP($F402,'депозитный калькулятор'!$B$26:$F$70,2,0),0))</f>
        <v xml:space="preserve"> </v>
      </c>
      <c r="L402" s="135" t="str">
        <f>IF($F402=" "," ",IFERROR(VLOOKUP($F402,'депозитный калькулятор'!$B$26:$F$70,3,0),0))</f>
        <v xml:space="preserve"> </v>
      </c>
      <c r="M402" s="135" t="str">
        <f>IF($F402=" "," ",IFERROR(VLOOKUP($F402,'депозитный калькулятор'!$B$26:$F$70,4,0),0))</f>
        <v xml:space="preserve"> </v>
      </c>
      <c r="N402" s="135" t="str">
        <f>IF($F402=" "," ",IFERROR(VLOOKUP($F402,'депозитный калькулятор'!$B$26:$F$70,5,0),0))</f>
        <v xml:space="preserve"> </v>
      </c>
      <c r="O402" s="146" t="str">
        <f>IF(F402&gt;'депозитный калькулятор'!$D$8," ",IF(F402='депозитный калькулятор'!$D$8,IF(AND($F$24='депозитный калькулятор'!$D$8,'депозитный калькулятор'!$G$13="нет"),-G402-IF(I402=" ",0,I402)-IF(AND(OR('депозитный калькулятор'!$G$7="30/365",'депозитный калькулятор'!$G$7="30/360"),'депозитный калькулятор'!$G$10="в начале срока"),I401,0)-L402+M402-N402,-G402-IF(I402=" ",0,I402)-L402+M402-N402),IF('депозитный калькулятор'!$G$13="есть",M402-N402+IF('депозитный калькулятор'!$G$14="есть",0,-L402),-IF(I402=" ",0,I402)-IF(AND(OR('депозитный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срока"),I401,0)+M402-N402+IF('депозитный калькулятор'!$G$14="есть",0,-L402))))</f>
        <v xml:space="preserve"> </v>
      </c>
      <c r="P402" s="147" t="str">
        <f>IF(F402&gt;'депозитный калькулятор'!$D$8," ",IF(EOMONTH(F401,0)=F401,0,IF(G402&gt;='депозитный калькулятор'!$G$19,P401,P401+1)))</f>
        <v xml:space="preserve"> </v>
      </c>
      <c r="Q402" s="138" t="str">
        <f>IF(F402=" "," ",IF(AND(OR('депозитный калькулятор'!$G$7="30/365",'депозитный калькулятор'!$G$7="30/360"),AND(MONTH(F402)=2,EOMONTH(F402,0)=F402)),IF(DAY(F402)=28,3,2),1)*IF(G402&gt;='депозитный калькулятор'!$G$11,IF(AND('депозитный калькулятор'!$G$7="факт/факт",MOD(YEAR(F402),4)=0),G402*'депозитный калькулятор'!$D$11/366,G402*'депозитный калькулятор'!$G$8),0))</f>
        <v xml:space="preserve"> </v>
      </c>
      <c r="R402" s="158"/>
      <c r="S402" s="62" t="str">
        <f t="shared" ca="1" si="27"/>
        <v xml:space="preserve"> </v>
      </c>
      <c r="T402" s="149" t="str">
        <f ca="1">IF(S402=" "," ",IF('депозитный калькулятор'!$G$7="30/360",DAYS360(U401,IF(DAY(U402)=31,U402-1,U402))+IF(AND(MONTH(U402)=2,U402=EOMONTH(U402,0)),30-DAY(EOMONTH(U402,0)))+T401,VLOOKUP(S402,$C$22:$F$1023,2,0)))</f>
        <v xml:space="preserve"> </v>
      </c>
      <c r="U402" s="64" t="str">
        <f t="shared" ca="1" si="25"/>
        <v xml:space="preserve"> </v>
      </c>
      <c r="V402" s="150" t="str">
        <f t="shared" ca="1" si="28"/>
        <v xml:space="preserve"> </v>
      </c>
      <c r="W402" s="62" t="str">
        <f t="shared" ca="1" si="29"/>
        <v xml:space="preserve"> </v>
      </c>
      <c r="X402" s="141" t="str">
        <f ca="1">IF(S402=" "," ",IFERROR(VLOOKUP(U402,$F$23:$N$1023,7)+VLOOKUP(U402,$F$23:$N$1023,9)+IF(AND('депозитный калькулятор'!$G$13="нет",U402&lt;&gt;'депозитный калькулятор'!$D$8),VLOOKUP(U402,$F$23:$N$1023,4),0),0)+IF(U402='депозитный калькулятор'!$D$8,VLOOKUP(U402,$F$23:$N$1023,2)+VLOOKUP(U402,$F$23:$N$1023,4),0))</f>
        <v xml:space="preserve"> </v>
      </c>
      <c r="Y402" s="142" t="str">
        <f ca="1">IF(S402=" "," ",W402/(1+'депозитный калькулятор'!$K$8)^(T402/IF('депозитный калькулятор'!$G$7="30/360",360,365)))</f>
        <v xml:space="preserve"> </v>
      </c>
      <c r="Z402" s="142" t="str">
        <f ca="1">IF(S402=" "," ",X402/(1+'депозитный калькулятор'!$K$8)^(T402/IF('депозитный калькулятор'!$G$7="30/360",360,365)))</f>
        <v xml:space="preserve"> </v>
      </c>
      <c r="AA402" s="151"/>
      <c r="AB402" s="151"/>
      <c r="AC402" s="155"/>
      <c r="AD402" s="155"/>
    </row>
    <row r="403" spans="1:30" s="2" customFormat="1" ht="15.5" x14ac:dyDescent="0.35">
      <c r="A403" s="41" t="str">
        <f>IF(F403=" "," ",IF(OR('депозитный калькулятор'!$G$7="30/365",'депозитный калькулятор'!$G$7="30/360"),IF(AND(MONTH(F403)=2,DAY(F403)=DAY(EOMONTH(F403,0))),30-DAY(EOMONTH(F403,0)),IF(DAY(F403)=31,1," "))," "))</f>
        <v xml:space="preserve"> </v>
      </c>
      <c r="B403" s="130" t="str">
        <f t="shared" si="26"/>
        <v xml:space="preserve"> </v>
      </c>
      <c r="C403" s="130" t="str">
        <f>IF(OR(B403=0,B403=" ")," ",SUM($B$23:B403))</f>
        <v xml:space="preserve"> </v>
      </c>
      <c r="D403" s="62" t="str">
        <f>IF(D402=" "," ",IF(OR(F402='депозитный калькулятор'!$D$8,F402=" ")," ",D402+1))</f>
        <v xml:space="preserve"> </v>
      </c>
      <c r="E403" s="130" t="str">
        <f>IF(OR(F402='депозитный калькулятор'!$D$8,F402=" ")," ",IF(EOMONTH(F402,0)=F402,1,E402+1))</f>
        <v xml:space="preserve"> </v>
      </c>
      <c r="F403" s="64" t="str">
        <f>IF(F402=" "," ",IF(F402='депозитный калькулятор'!$D$8," ",F402+1))</f>
        <v xml:space="preserve"> </v>
      </c>
      <c r="G403" s="145" t="str">
        <f xml:space="preserve"> IF(F403&gt;'депозитный калькулятор'!$D$8," ",IF('депозитный калькулятор'!$G$13="есть",IF('депозитный калькулятор'!$G$14="есть",G402+IF(I402=" ",0,I402)-J403-K403+L403+M403-N403,G402+IF(I402=" ",0,I402)-J403-K403+M403-N403),IF('депозитный калькулятор'!$G$14="есть",G402-J403-K403+L403+M403-N403,G402-J403-K403+M403-N403)))</f>
        <v xml:space="preserve"> </v>
      </c>
      <c r="H403" s="133" t="str">
        <f>IF(F403&gt;'депозитный калькулятор'!$D$8," ",IF(AND(OR('депозитный калькулятор'!$G$7="30/365",'депозитный калькулятор'!$G$7="30/360"),AND(MONTH(F403)=2,EOMONTH(F403,0)=F403)),IF(DAY(F403)=28,3*G403*'депозитный калькулятор'!$G$8,2*G403*'депозитный калькулятор'!$G$8),IF(AND(OR('депозитный калькулятор'!$G$7="30/365",'депозитный калькулятор'!$G$7="30/360"),DAY(F403)=31)," ",IF(AND('депозитный калькулятор'!$G$7="факт/факт",MOD(YEAR(F403),4)=0),G403*'депозитный калькулятор'!$D$11/366,G403*'депозитный калькулятор'!$G$8))))</f>
        <v xml:space="preserve"> </v>
      </c>
      <c r="I403" s="134" t="str">
        <f ca="1">IF(F403=" "," ",IF('депозитный калькулятор'!$G$10="ежедневное",H403,IF(AND('депозитный калькулятор'!$G$10="еженедельное",WEEKDAY(F403,2)=7),SUM(OFFSET(H403,-6,0):H403),IF(AND('депозитный калькулятор'!$G$10="еженедельное",F403='депозитный калькулятор'!$D$8),SUM($H$23:H403)-SUM($I$23:I402),IF(AND('депозитный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недели",WEEKDAY(F403,2)=7),MIN(OFFSET(H403,-6,0):H403)*(COUNTIF(OFFSET(H403,-6,0):H403,"&gt;0")+SUMIF(OFFSET(A403,-WEEKDAY(F403,2),0):A403,"=2",OFFSET(A403,-WEEKDAY(F403,2),0):A403)),IF(AND('депозитный калькулятор'!$G$10="еженедельное, на минимальную сумму зафиксированную в течение недели",F403='депозитный калькулятор'!$D$8,WEEKDAY(F403,2)&lt;&gt;7),MIN(OFFSET(H403,-WEEKDAY(F403,2),0):H403)*(COUNTIF(OFFSET(H403,-WEEKDAY(F403,2)+1,0):H403,"&gt;0")+SUM(OFFSET(A403,-WEEKDAY(F403,2),0):A403)),IF(AND('депозитный калькулятор'!$G$10="ежемесячное (в конце месяца)",F403='депозитный калькулятор'!$D$8,EOMONTH(F403,0)&lt;&gt;F403),IF('депозитный калькулятор'!$F$1=1,$H$24,SUM($H$23:H403)-SUM($I$23:I402)),IF(AND('депозитный калькулятор'!$G$10="ежемесячное (в конце месяца)",EOMONTH(F403,0)=F403),SUM($H$23:H403)-SUM($I$23:I402),IF(AND('депозитный калькулятор'!$G$10="ежемесячное (по дням открытия вклада)",F403='депозитный калькулятор'!$D$8,DAY('депозитный калькулятор'!$D$7)&lt;&gt;DAY(F403)),IF('депозитный калькулятор'!$F$1=1,$H$24,SUM($H$23:H403)-SUM($I$23:I402)),IF(AND('депозитный калькулятор'!$G$10="ежемесячное (по дням открытия вклада)",DAY('депозитный калькулятор'!$D$7)=DAY(F403)),SUM($H$23:H403)-SUM($I$23:I402),IF(AND('депозитный калькулятор'!$G$10="ежемесячное, на минимальную сумму зафиксированную в течение месяца",F403='депозитный калькулятор'!$D$8,EOMONTH(F403,0)&lt;&gt;F403),IF('депозитный калькулятор'!$F$1=1,$H$24,IF(AND(OR('депозитный калькулятор'!$G$7="30/365",'депозитный калькулятор'!$G$7="30/360"),DAY(F403)=31),0,MIN(OFFSET(H403,-E403+1,0):H403)*(E403+SUMIF(OFFSET(A403,-E403+1,0):A403,"=2",OFFSET(A403,-E403+1,0):A403)))),IF(AND('депозитный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калькулятор'!$G$7="30/360"),DAY(EOMONTH(F403,0))=31),EOMONTH(F403,0)-1=F403,EOMONTH(F403,0)=F403)),IF(IF(AND(OR('депозитный калькулятор'!$G$7="30/365",'депозитный калькулятор'!$G$7="30/360"),DAY(EOMONTH($F$23,0))=31),F403=EOMONTH($F$23,0)-1,F403=EOMONTH($F$23,0)),MIN(OFFSET(H403,-(DAY(F403)-DAY($F$23)),0):H403)*E403,MIN(OFFSET(H403,-(DAY(F403)-1),0):H403)*IF(AND(OR('депозитный калькулятор'!$G$7="30/365",'депозитный калькулятор'!$G$7="30/360"),DAY(F403)&lt;30),30,DAY(F403))),IF(AND('депозитный калькулятор'!$G$10="ежемесячное, на средний остаток в течение месяца, при условии что остаток больше чем ограничение",F403='депозитный калькулятор'!$D$8,EOMONTH(F403,0)&lt;&gt;F403),IF('депозитный калькулятор'!$F$1=1,$H$24,SUM(OFFSET(Q403,-E403+1,0):Q403)),IF(AND('депозитный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калькулятор'!$G$7="30/360"),DAY(EOMONTH(F403,0))=31),EOMONTH(F403,0)-1=F403,EOMONTH(F403,0)=F403)),IF(IF(AND(OR('депозитный калькулятор'!$G$7="30/365",'депозитный калькулятор'!$G$7="30/360"),DAY(EOMONTH($F$24,0))=31),F403=EOMONTH($F$24,0)-1,F403=EOMONTH($F$24,0)),SUM(OFFSET(Q403,-E403+1,0):Q403),SUM(OFFSET(Q403,-E403+1,0):Q403)),IF('депозитный калькулятор'!$G$10="ежеквартальное",IF(F403&gt;'депозитный калькулятор'!$D$8," ",IF(AND(EOMONTH(F403,0)=F403,OR(MONTH(F403)=3,MONTH(F403)=6,MONTH(F403)=9,MONTH(F403)=12)),IF(EDATE(F403,-3)&lt;'депозитный калькулятор'!$D$7,SUM($H$23:H403),IF(MOD(YEAR(F403),4)=0,IF(AND(EOMONTH(F403,0)=F403,OR(MONTH(F403)=3,MONTH(F403)=6)),SUM(OFFSET(H403,-90,0):H403),IF(AND(EOMONTH(F403,0)=F403,OR(MONTH(F403)=9,MONTH(F403)=12)),SUM(OFFSET(H403,-91,0):H403))),IF(AND(EOMONTH(F403,0)=F403,MONTH(F403)=3),SUM(OFFSET(H403,-89,0):H403),IF(AND(EOMONTH(F403,0)=F403,MONTH(F403)=6),SUM(OFFSET(H403,-90,0):H403),IF(AND(EOMONTH(F403,0)=F403,OR(MONTH(F403)=9,MONTH(F403)=12)),SUM(OFFSET(H403,-91,0):H403)))))),IF(F403='депозитный калькулятор'!$D$8,SUM($H$23:H403)-SUM($I$23:I402),0))),IF('депозитный калькулятор'!$G$10="ежегодное",IF(F403&gt;'депозитный калькулятор'!$D$8," ",IF(F403='депозитный калькулятор'!$D$8,SUM($H$23:H403)-SUM($I$23:I402),IF(AND(EOMONTH(F403,0)=F403,MONTH(F403)=12),IF(MOD(YEAR(F402),4)=0,IF(F403-'депозитный калькулятор'!$D$7&lt;366,SUM($H$23:H403),SUM(OFFSET(H403,-365,0):H403)),IF(F403-'депозитный калькулятор'!$D$7&lt;365,SUM($H$23:H403),SUM(OFFSET(H403,-364,0):H403))),0))),IF(AND('депозитный калькулятор'!$G$10="в конце срока",'депозитный калькулятор'!$D$8=F403),SUM($H$23:H403),0))))))))))))))))))</f>
        <v xml:space="preserve"> </v>
      </c>
      <c r="J403" s="59" t="str">
        <f>IF(F403&gt;'депозитный калькулятор'!$D$8," ",IF('депозитный калькулятор'!$G$16="нет",0,IF(AND('депозитный калькулятор'!$G$17="разовая (в конце срока)",F403='депозитный калькулятор'!$D$8),'депозитный калькулятор'!$G$18,IF(AND('депозитный калькулятор'!$G$17="ежемесячная",EOMONTH(F402,0)=F402),'депозитный калькулятор'!$G$18,IF(AND('депозитный калькулятор'!$G$17="ежегодная",DAY(F402)=31,MONTH(F402)=12),'депозитный калькулятор'!$G$18,IF(AND('депозитный калькулятор'!$G$17="ежемесячная в зависимости от остатка",EOMONTH(F402,0)=F402,P402&gt;0),'депозитный калькулятор'!$G$18,IF(AND('депозитный калькулятор'!$G$17="ежегодная в зависимости от остатка",DAY(F402)=31,MONTH(F402)=12,P402&gt;0),'депозитный калькулятор'!$G$18,0)))))))</f>
        <v xml:space="preserve"> </v>
      </c>
      <c r="K403" s="135" t="str">
        <f>IF($F403=" "," ",IFERROR(VLOOKUP($F403,'депозитный калькулятор'!$B$26:$F$70,2,0),0))</f>
        <v xml:space="preserve"> </v>
      </c>
      <c r="L403" s="135" t="str">
        <f>IF($F403=" "," ",IFERROR(VLOOKUP($F403,'депозитный калькулятор'!$B$26:$F$70,3,0),0))</f>
        <v xml:space="preserve"> </v>
      </c>
      <c r="M403" s="135" t="str">
        <f>IF($F403=" "," ",IFERROR(VLOOKUP($F403,'депозитный калькулятор'!$B$26:$F$70,4,0),0))</f>
        <v xml:space="preserve"> </v>
      </c>
      <c r="N403" s="135" t="str">
        <f>IF($F403=" "," ",IFERROR(VLOOKUP($F403,'депозитный калькулятор'!$B$26:$F$70,5,0),0))</f>
        <v xml:space="preserve"> </v>
      </c>
      <c r="O403" s="146" t="str">
        <f>IF(F403&gt;'депозитный калькулятор'!$D$8," ",IF(F403='депозитный калькулятор'!$D$8,IF(AND($F$24='депозитный калькулятор'!$D$8,'депозитный калькулятор'!$G$13="нет"),-G403-IF(I403=" ",0,I403)-IF(AND(OR('депозитный калькулятор'!$G$7="30/365",'депозитный калькулятор'!$G$7="30/360"),'депозитный калькулятор'!$G$10="в начале срока"),I402,0)-L403+M403-N403,-G403-IF(I403=" ",0,I403)-L403+M403-N403),IF('депозитный калькулятор'!$G$13="есть",M403-N403+IF('депозитный калькулятор'!$G$14="есть",0,-L403),-IF(I403=" ",0,I403)-IF(AND(OR('депозитный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срока"),I402,0)+M403-N403+IF('депозитный калькулятор'!$G$14="есть",0,-L403))))</f>
        <v xml:space="preserve"> </v>
      </c>
      <c r="P403" s="147" t="str">
        <f>IF(F403&gt;'депозитный калькулятор'!$D$8," ",IF(EOMONTH(F402,0)=F402,0,IF(G403&gt;='депозитный калькулятор'!$G$19,P402,P402+1)))</f>
        <v xml:space="preserve"> </v>
      </c>
      <c r="Q403" s="138" t="str">
        <f>IF(F403=" "," ",IF(AND(OR('депозитный калькулятор'!$G$7="30/365",'депозитный калькулятор'!$G$7="30/360"),AND(MONTH(F403)=2,EOMONTH(F403,0)=F403)),IF(DAY(F403)=28,3,2),1)*IF(G403&gt;='депозитный калькулятор'!$G$11,IF(AND('депозитный калькулятор'!$G$7="факт/факт",MOD(YEAR(F403),4)=0),G403*'депозитный калькулятор'!$D$11/366,G403*'депозитный калькулятор'!$G$8),0))</f>
        <v xml:space="preserve"> </v>
      </c>
      <c r="R403" s="158"/>
      <c r="S403" s="62" t="str">
        <f t="shared" ca="1" si="27"/>
        <v xml:space="preserve"> </v>
      </c>
      <c r="T403" s="149" t="str">
        <f ca="1">IF(S403=" "," ",IF('депозитный калькулятор'!$G$7="30/360",DAYS360(U402,IF(DAY(U403)=31,U403-1,U403))+IF(AND(MONTH(U403)=2,U403=EOMONTH(U403,0)),30-DAY(EOMONTH(U403,0)))+T402,VLOOKUP(S403,$C$22:$F$1023,2,0)))</f>
        <v xml:space="preserve"> </v>
      </c>
      <c r="U403" s="64" t="str">
        <f t="shared" ca="1" si="25"/>
        <v xml:space="preserve"> </v>
      </c>
      <c r="V403" s="150" t="str">
        <f t="shared" ca="1" si="28"/>
        <v xml:space="preserve"> </v>
      </c>
      <c r="W403" s="62" t="str">
        <f t="shared" ca="1" si="29"/>
        <v xml:space="preserve"> </v>
      </c>
      <c r="X403" s="141" t="str">
        <f ca="1">IF(S403=" "," ",IFERROR(VLOOKUP(U403,$F$23:$N$1023,7)+VLOOKUP(U403,$F$23:$N$1023,9)+IF(AND('депозитный калькулятор'!$G$13="нет",U403&lt;&gt;'депозитный калькулятор'!$D$8),VLOOKUP(U403,$F$23:$N$1023,4),0),0)+IF(U403='депозитный калькулятор'!$D$8,VLOOKUP(U403,$F$23:$N$1023,2)+VLOOKUP(U403,$F$23:$N$1023,4),0))</f>
        <v xml:space="preserve"> </v>
      </c>
      <c r="Y403" s="142" t="str">
        <f ca="1">IF(S403=" "," ",W403/(1+'депозитный калькулятор'!$K$8)^(T403/IF('депозитный калькулятор'!$G$7="30/360",360,365)))</f>
        <v xml:space="preserve"> </v>
      </c>
      <c r="Z403" s="142" t="str">
        <f ca="1">IF(S403=" "," ",X403/(1+'депозитный калькулятор'!$K$8)^(T403/IF('депозитный калькулятор'!$G$7="30/360",360,365)))</f>
        <v xml:space="preserve"> </v>
      </c>
      <c r="AA403" s="151"/>
      <c r="AB403" s="151"/>
      <c r="AC403" s="155"/>
      <c r="AD403" s="155"/>
    </row>
    <row r="404" spans="1:30" s="2" customFormat="1" ht="15.5" x14ac:dyDescent="0.35">
      <c r="A404" s="41" t="str">
        <f>IF(F404=" "," ",IF(OR('депозитный калькулятор'!$G$7="30/365",'депозитный калькулятор'!$G$7="30/360"),IF(AND(MONTH(F404)=2,DAY(F404)=DAY(EOMONTH(F404,0))),30-DAY(EOMONTH(F404,0)),IF(DAY(F404)=31,1," "))," "))</f>
        <v xml:space="preserve"> </v>
      </c>
      <c r="B404" s="130" t="str">
        <f t="shared" si="26"/>
        <v xml:space="preserve"> </v>
      </c>
      <c r="C404" s="130" t="str">
        <f>IF(OR(B404=0,B404=" ")," ",SUM($B$23:B404))</f>
        <v xml:space="preserve"> </v>
      </c>
      <c r="D404" s="62" t="str">
        <f>IF(D403=" "," ",IF(OR(F403='депозитный калькулятор'!$D$8,F403=" ")," ",D403+1))</f>
        <v xml:space="preserve"> </v>
      </c>
      <c r="E404" s="130" t="str">
        <f>IF(OR(F403='депозитный калькулятор'!$D$8,F403=" ")," ",IF(EOMONTH(F403,0)=F403,1,E403+1))</f>
        <v xml:space="preserve"> </v>
      </c>
      <c r="F404" s="64" t="str">
        <f>IF(F403=" "," ",IF(F403='депозитный калькулятор'!$D$8," ",F403+1))</f>
        <v xml:space="preserve"> </v>
      </c>
      <c r="G404" s="145" t="str">
        <f xml:space="preserve"> IF(F404&gt;'депозитный калькулятор'!$D$8," ",IF('депозитный калькулятор'!$G$13="есть",IF('депозитный калькулятор'!$G$14="есть",G403+IF(I403=" ",0,I403)-J404-K404+L404+M404-N404,G403+IF(I403=" ",0,I403)-J404-K404+M404-N404),IF('депозитный калькулятор'!$G$14="есть",G403-J404-K404+L404+M404-N404,G403-J404-K404+M404-N404)))</f>
        <v xml:space="preserve"> </v>
      </c>
      <c r="H404" s="133" t="str">
        <f>IF(F404&gt;'депозитный калькулятор'!$D$8," ",IF(AND(OR('депозитный калькулятор'!$G$7="30/365",'депозитный калькулятор'!$G$7="30/360"),AND(MONTH(F404)=2,EOMONTH(F404,0)=F404)),IF(DAY(F404)=28,3*G404*'депозитный калькулятор'!$G$8,2*G404*'депозитный калькулятор'!$G$8),IF(AND(OR('депозитный калькулятор'!$G$7="30/365",'депозитный калькулятор'!$G$7="30/360"),DAY(F404)=31)," ",IF(AND('депозитный калькулятор'!$G$7="факт/факт",MOD(YEAR(F404),4)=0),G404*'депозитный калькулятор'!$D$11/366,G404*'депозитный калькулятор'!$G$8))))</f>
        <v xml:space="preserve"> </v>
      </c>
      <c r="I404" s="134" t="str">
        <f ca="1">IF(F404=" "," ",IF('депозитный калькулятор'!$G$10="ежедневное",H404,IF(AND('депозитный калькулятор'!$G$10="еженедельное",WEEKDAY(F404,2)=7),SUM(OFFSET(H404,-6,0):H404),IF(AND('депозитный калькулятор'!$G$10="еженедельное",F404='депозитный калькулятор'!$D$8),SUM($H$23:H404)-SUM($I$23:I403),IF(AND('депозитный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недели",WEEKDAY(F404,2)=7),MIN(OFFSET(H404,-6,0):H404)*(COUNTIF(OFFSET(H404,-6,0):H404,"&gt;0")+SUMIF(OFFSET(A404,-WEEKDAY(F404,2),0):A404,"=2",OFFSET(A404,-WEEKDAY(F404,2),0):A404)),IF(AND('депозитный калькулятор'!$G$10="еженедельное, на минимальную сумму зафиксированную в течение недели",F404='депозитный калькулятор'!$D$8,WEEKDAY(F404,2)&lt;&gt;7),MIN(OFFSET(H404,-WEEKDAY(F404,2),0):H404)*(COUNTIF(OFFSET(H404,-WEEKDAY(F404,2)+1,0):H404,"&gt;0")+SUM(OFFSET(A404,-WEEKDAY(F404,2),0):A404)),IF(AND('депозитный калькулятор'!$G$10="ежемесячное (в конце месяца)",F404='депозитный калькулятор'!$D$8,EOMONTH(F404,0)&lt;&gt;F404),IF('депозитный калькулятор'!$F$1=1,$H$24,SUM($H$23:H404)-SUM($I$23:I403)),IF(AND('депозитный калькулятор'!$G$10="ежемесячное (в конце месяца)",EOMONTH(F404,0)=F404),SUM($H$23:H404)-SUM($I$23:I403),IF(AND('депозитный калькулятор'!$G$10="ежемесячное (по дням открытия вклада)",F404='депозитный калькулятор'!$D$8,DAY('депозитный калькулятор'!$D$7)&lt;&gt;DAY(F404)),IF('депозитный калькулятор'!$F$1=1,$H$24,SUM($H$23:H404)-SUM($I$23:I403)),IF(AND('депозитный калькулятор'!$G$10="ежемесячное (по дням открытия вклада)",DAY('депозитный калькулятор'!$D$7)=DAY(F404)),SUM($H$23:H404)-SUM($I$23:I403),IF(AND('депозитный калькулятор'!$G$10="ежемесячное, на минимальную сумму зафиксированную в течение месяца",F404='депозитный калькулятор'!$D$8,EOMONTH(F404,0)&lt;&gt;F404),IF('депозитный калькулятор'!$F$1=1,$H$24,IF(AND(OR('депозитный калькулятор'!$G$7="30/365",'депозитный калькулятор'!$G$7="30/360"),DAY(F404)=31),0,MIN(OFFSET(H404,-E404+1,0):H404)*(E404+SUMIF(OFFSET(A404,-E404+1,0):A404,"=2",OFFSET(A404,-E404+1,0):A404)))),IF(AND('депозитный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калькулятор'!$G$7="30/360"),DAY(EOMONTH(F404,0))=31),EOMONTH(F404,0)-1=F404,EOMONTH(F404,0)=F404)),IF(IF(AND(OR('депозитный калькулятор'!$G$7="30/365",'депозитный калькулятор'!$G$7="30/360"),DAY(EOMONTH($F$23,0))=31),F404=EOMONTH($F$23,0)-1,F404=EOMONTH($F$23,0)),MIN(OFFSET(H404,-(DAY(F404)-DAY($F$23)),0):H404)*E404,MIN(OFFSET(H404,-(DAY(F404)-1),0):H404)*IF(AND(OR('депозитный калькулятор'!$G$7="30/365",'депозитный калькулятор'!$G$7="30/360"),DAY(F404)&lt;30),30,DAY(F404))),IF(AND('депозитный калькулятор'!$G$10="ежемесячное, на средний остаток в течение месяца, при условии что остаток больше чем ограничение",F404='депозитный калькулятор'!$D$8,EOMONTH(F404,0)&lt;&gt;F404),IF('депозитный калькулятор'!$F$1=1,$H$24,SUM(OFFSET(Q404,-E404+1,0):Q404)),IF(AND('депозитный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калькулятор'!$G$7="30/360"),DAY(EOMONTH(F404,0))=31),EOMONTH(F404,0)-1=F404,EOMONTH(F404,0)=F404)),IF(IF(AND(OR('депозитный калькулятор'!$G$7="30/365",'депозитный калькулятор'!$G$7="30/360"),DAY(EOMONTH($F$24,0))=31),F404=EOMONTH($F$24,0)-1,F404=EOMONTH($F$24,0)),SUM(OFFSET(Q404,-E404+1,0):Q404),SUM(OFFSET(Q404,-E404+1,0):Q404)),IF('депозитный калькулятор'!$G$10="ежеквартальное",IF(F404&gt;'депозитный калькулятор'!$D$8," ",IF(AND(EOMONTH(F404,0)=F404,OR(MONTH(F404)=3,MONTH(F404)=6,MONTH(F404)=9,MONTH(F404)=12)),IF(EDATE(F404,-3)&lt;'депозитный калькулятор'!$D$7,SUM($H$23:H404),IF(MOD(YEAR(F404),4)=0,IF(AND(EOMONTH(F404,0)=F404,OR(MONTH(F404)=3,MONTH(F404)=6)),SUM(OFFSET(H404,-90,0):H404),IF(AND(EOMONTH(F404,0)=F404,OR(MONTH(F404)=9,MONTH(F404)=12)),SUM(OFFSET(H404,-91,0):H404))),IF(AND(EOMONTH(F404,0)=F404,MONTH(F404)=3),SUM(OFFSET(H404,-89,0):H404),IF(AND(EOMONTH(F404,0)=F404,MONTH(F404)=6),SUM(OFFSET(H404,-90,0):H404),IF(AND(EOMONTH(F404,0)=F404,OR(MONTH(F404)=9,MONTH(F404)=12)),SUM(OFFSET(H404,-91,0):H404)))))),IF(F404='депозитный калькулятор'!$D$8,SUM($H$23:H404)-SUM($I$23:I403),0))),IF('депозитный калькулятор'!$G$10="ежегодное",IF(F404&gt;'депозитный калькулятор'!$D$8," ",IF(F404='депозитный калькулятор'!$D$8,SUM($H$23:H404)-SUM($I$23:I403),IF(AND(EOMONTH(F404,0)=F404,MONTH(F404)=12),IF(MOD(YEAR(F403),4)=0,IF(F404-'депозитный калькулятор'!$D$7&lt;366,SUM($H$23:H404),SUM(OFFSET(H404,-365,0):H404)),IF(F404-'депозитный калькулятор'!$D$7&lt;365,SUM($H$23:H404),SUM(OFFSET(H404,-364,0):H404))),0))),IF(AND('депозитный калькулятор'!$G$10="в конце срока",'депозитный калькулятор'!$D$8=F404),SUM($H$23:H404),0))))))))))))))))))</f>
        <v xml:space="preserve"> </v>
      </c>
      <c r="J404" s="59" t="str">
        <f>IF(F404&gt;'депозитный калькулятор'!$D$8," ",IF('депозитный калькулятор'!$G$16="нет",0,IF(AND('депозитный калькулятор'!$G$17="разовая (в конце срока)",F404='депозитный калькулятор'!$D$8),'депозитный калькулятор'!$G$18,IF(AND('депозитный калькулятор'!$G$17="ежемесячная",EOMONTH(F403,0)=F403),'депозитный калькулятор'!$G$18,IF(AND('депозитный калькулятор'!$G$17="ежегодная",DAY(F403)=31,MONTH(F403)=12),'депозитный калькулятор'!$G$18,IF(AND('депозитный калькулятор'!$G$17="ежемесячная в зависимости от остатка",EOMONTH(F403,0)=F403,P403&gt;0),'депозитный калькулятор'!$G$18,IF(AND('депозитный калькулятор'!$G$17="ежегодная в зависимости от остатка",DAY(F403)=31,MONTH(F403)=12,P403&gt;0),'депозитный калькулятор'!$G$18,0)))))))</f>
        <v xml:space="preserve"> </v>
      </c>
      <c r="K404" s="135" t="str">
        <f>IF($F404=" "," ",IFERROR(VLOOKUP($F404,'депозитный калькулятор'!$B$26:$F$70,2,0),0))</f>
        <v xml:space="preserve"> </v>
      </c>
      <c r="L404" s="135" t="str">
        <f>IF($F404=" "," ",IFERROR(VLOOKUP($F404,'депозитный калькулятор'!$B$26:$F$70,3,0),0))</f>
        <v xml:space="preserve"> </v>
      </c>
      <c r="M404" s="135" t="str">
        <f>IF($F404=" "," ",IFERROR(VLOOKUP($F404,'депозитный калькулятор'!$B$26:$F$70,4,0),0))</f>
        <v xml:space="preserve"> </v>
      </c>
      <c r="N404" s="135" t="str">
        <f>IF($F404=" "," ",IFERROR(VLOOKUP($F404,'депозитный калькулятор'!$B$26:$F$70,5,0),0))</f>
        <v xml:space="preserve"> </v>
      </c>
      <c r="O404" s="146" t="str">
        <f>IF(F404&gt;'депозитный калькулятор'!$D$8," ",IF(F404='депозитный калькулятор'!$D$8,IF(AND($F$24='депозитный калькулятор'!$D$8,'депозитный калькулятор'!$G$13="нет"),-G404-IF(I404=" ",0,I404)-IF(AND(OR('депозитный калькулятор'!$G$7="30/365",'депозитный калькулятор'!$G$7="30/360"),'депозитный калькулятор'!$G$10="в начале срока"),I403,0)-L404+M404-N404,-G404-IF(I404=" ",0,I404)-L404+M404-N404),IF('депозитный калькулятор'!$G$13="есть",M404-N404+IF('депозитный калькулятор'!$G$14="есть",0,-L404),-IF(I404=" ",0,I404)-IF(AND(OR('депозитный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срока"),I403,0)+M404-N404+IF('депозитный калькулятор'!$G$14="есть",0,-L404))))</f>
        <v xml:space="preserve"> </v>
      </c>
      <c r="P404" s="147" t="str">
        <f>IF(F404&gt;'депозитный калькулятор'!$D$8," ",IF(EOMONTH(F403,0)=F403,0,IF(G404&gt;='депозитный калькулятор'!$G$19,P403,P403+1)))</f>
        <v xml:space="preserve"> </v>
      </c>
      <c r="Q404" s="138" t="str">
        <f>IF(F404=" "," ",IF(AND(OR('депозитный калькулятор'!$G$7="30/365",'депозитный калькулятор'!$G$7="30/360"),AND(MONTH(F404)=2,EOMONTH(F404,0)=F404)),IF(DAY(F404)=28,3,2),1)*IF(G404&gt;='депозитный калькулятор'!$G$11,IF(AND('депозитный калькулятор'!$G$7="факт/факт",MOD(YEAR(F404),4)=0),G404*'депозитный калькулятор'!$D$11/366,G404*'депозитный калькулятор'!$G$8),0))</f>
        <v xml:space="preserve"> </v>
      </c>
      <c r="R404" s="158"/>
      <c r="S404" s="62" t="str">
        <f t="shared" ca="1" si="27"/>
        <v xml:space="preserve"> </v>
      </c>
      <c r="T404" s="149" t="str">
        <f ca="1">IF(S404=" "," ",IF('депозитный калькулятор'!$G$7="30/360",DAYS360(U403,IF(DAY(U404)=31,U404-1,U404))+IF(AND(MONTH(U404)=2,U404=EOMONTH(U404,0)),30-DAY(EOMONTH(U404,0)))+T403,VLOOKUP(S404,$C$22:$F$1023,2,0)))</f>
        <v xml:space="preserve"> </v>
      </c>
      <c r="U404" s="64" t="str">
        <f t="shared" ca="1" si="25"/>
        <v xml:space="preserve"> </v>
      </c>
      <c r="V404" s="150" t="str">
        <f t="shared" ca="1" si="28"/>
        <v xml:space="preserve"> </v>
      </c>
      <c r="W404" s="62" t="str">
        <f t="shared" ca="1" si="29"/>
        <v xml:space="preserve"> </v>
      </c>
      <c r="X404" s="141" t="str">
        <f ca="1">IF(S404=" "," ",IFERROR(VLOOKUP(U404,$F$23:$N$1023,7)+VLOOKUP(U404,$F$23:$N$1023,9)+IF(AND('депозитный калькулятор'!$G$13="нет",U404&lt;&gt;'депозитный калькулятор'!$D$8),VLOOKUP(U404,$F$23:$N$1023,4),0),0)+IF(U404='депозитный калькулятор'!$D$8,VLOOKUP(U404,$F$23:$N$1023,2)+VLOOKUP(U404,$F$23:$N$1023,4),0))</f>
        <v xml:space="preserve"> </v>
      </c>
      <c r="Y404" s="142" t="str">
        <f ca="1">IF(S404=" "," ",W404/(1+'депозитный калькулятор'!$K$8)^(T404/IF('депозитный калькулятор'!$G$7="30/360",360,365)))</f>
        <v xml:space="preserve"> </v>
      </c>
      <c r="Z404" s="142" t="str">
        <f ca="1">IF(S404=" "," ",X404/(1+'депозитный калькулятор'!$K$8)^(T404/IF('депозитный калькулятор'!$G$7="30/360",360,365)))</f>
        <v xml:space="preserve"> </v>
      </c>
      <c r="AA404" s="151"/>
      <c r="AB404" s="151"/>
      <c r="AC404" s="155"/>
      <c r="AD404" s="155"/>
    </row>
    <row r="405" spans="1:30" s="2" customFormat="1" ht="15.5" x14ac:dyDescent="0.35">
      <c r="A405" s="41" t="str">
        <f>IF(F405=" "," ",IF(OR('депозитный калькулятор'!$G$7="30/365",'депозитный калькулятор'!$G$7="30/360"),IF(AND(MONTH(F405)=2,DAY(F405)=DAY(EOMONTH(F405,0))),30-DAY(EOMONTH(F405,0)),IF(DAY(F405)=31,1," "))," "))</f>
        <v xml:space="preserve"> </v>
      </c>
      <c r="B405" s="130" t="str">
        <f t="shared" si="26"/>
        <v xml:space="preserve"> </v>
      </c>
      <c r="C405" s="130" t="str">
        <f>IF(OR(B405=0,B405=" ")," ",SUM($B$23:B405))</f>
        <v xml:space="preserve"> </v>
      </c>
      <c r="D405" s="62" t="str">
        <f>IF(D404=" "," ",IF(OR(F404='депозитный калькулятор'!$D$8,F404=" ")," ",D404+1))</f>
        <v xml:space="preserve"> </v>
      </c>
      <c r="E405" s="130" t="str">
        <f>IF(OR(F404='депозитный калькулятор'!$D$8,F404=" ")," ",IF(EOMONTH(F404,0)=F404,1,E404+1))</f>
        <v xml:space="preserve"> </v>
      </c>
      <c r="F405" s="64" t="str">
        <f>IF(F404=" "," ",IF(F404='депозитный калькулятор'!$D$8," ",F404+1))</f>
        <v xml:space="preserve"> </v>
      </c>
      <c r="G405" s="145" t="str">
        <f xml:space="preserve"> IF(F405&gt;'депозитный калькулятор'!$D$8," ",IF('депозитный калькулятор'!$G$13="есть",IF('депозитный калькулятор'!$G$14="есть",G404+IF(I404=" ",0,I404)-J405-K405+L405+M405-N405,G404+IF(I404=" ",0,I404)-J405-K405+M405-N405),IF('депозитный калькулятор'!$G$14="есть",G404-J405-K405+L405+M405-N405,G404-J405-K405+M405-N405)))</f>
        <v xml:space="preserve"> </v>
      </c>
      <c r="H405" s="133" t="str">
        <f>IF(F405&gt;'депозитный калькулятор'!$D$8," ",IF(AND(OR('депозитный калькулятор'!$G$7="30/365",'депозитный калькулятор'!$G$7="30/360"),AND(MONTH(F405)=2,EOMONTH(F405,0)=F405)),IF(DAY(F405)=28,3*G405*'депозитный калькулятор'!$G$8,2*G405*'депозитный калькулятор'!$G$8),IF(AND(OR('депозитный калькулятор'!$G$7="30/365",'депозитный калькулятор'!$G$7="30/360"),DAY(F405)=31)," ",IF(AND('депозитный калькулятор'!$G$7="факт/факт",MOD(YEAR(F405),4)=0),G405*'депозитный калькулятор'!$D$11/366,G405*'депозитный калькулятор'!$G$8))))</f>
        <v xml:space="preserve"> </v>
      </c>
      <c r="I405" s="134" t="str">
        <f ca="1">IF(F405=" "," ",IF('депозитный калькулятор'!$G$10="ежедневное",H405,IF(AND('депозитный калькулятор'!$G$10="еженедельное",WEEKDAY(F405,2)=7),SUM(OFFSET(H405,-6,0):H405),IF(AND('депозитный калькулятор'!$G$10="еженедельное",F405='депозитный калькулятор'!$D$8),SUM($H$23:H405)-SUM($I$23:I404),IF(AND('депозитный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недели",WEEKDAY(F405,2)=7),MIN(OFFSET(H405,-6,0):H405)*(COUNTIF(OFFSET(H405,-6,0):H405,"&gt;0")+SUMIF(OFFSET(A405,-WEEKDAY(F405,2),0):A405,"=2",OFFSET(A405,-WEEKDAY(F405,2),0):A405)),IF(AND('депозитный калькулятор'!$G$10="еженедельное, на минимальную сумму зафиксированную в течение недели",F405='депозитный калькулятор'!$D$8,WEEKDAY(F405,2)&lt;&gt;7),MIN(OFFSET(H405,-WEEKDAY(F405,2),0):H405)*(COUNTIF(OFFSET(H405,-WEEKDAY(F405,2)+1,0):H405,"&gt;0")+SUM(OFFSET(A405,-WEEKDAY(F405,2),0):A405)),IF(AND('депозитный калькулятор'!$G$10="ежемесячное (в конце месяца)",F405='депозитный калькулятор'!$D$8,EOMONTH(F405,0)&lt;&gt;F405),IF('депозитный калькулятор'!$F$1=1,$H$24,SUM($H$23:H405)-SUM($I$23:I404)),IF(AND('депозитный калькулятор'!$G$10="ежемесячное (в конце месяца)",EOMONTH(F405,0)=F405),SUM($H$23:H405)-SUM($I$23:I404),IF(AND('депозитный калькулятор'!$G$10="ежемесячное (по дням открытия вклада)",F405='депозитный калькулятор'!$D$8,DAY('депозитный калькулятор'!$D$7)&lt;&gt;DAY(F405)),IF('депозитный калькулятор'!$F$1=1,$H$24,SUM($H$23:H405)-SUM($I$23:I404)),IF(AND('депозитный калькулятор'!$G$10="ежемесячное (по дням открытия вклада)",DAY('депозитный калькулятор'!$D$7)=DAY(F405)),SUM($H$23:H405)-SUM($I$23:I404),IF(AND('депозитный калькулятор'!$G$10="ежемесячное, на минимальную сумму зафиксированную в течение месяца",F405='депозитный калькулятор'!$D$8,EOMONTH(F405,0)&lt;&gt;F405),IF('депозитный калькулятор'!$F$1=1,$H$24,IF(AND(OR('депозитный калькулятор'!$G$7="30/365",'депозитный калькулятор'!$G$7="30/360"),DAY(F405)=31),0,MIN(OFFSET(H405,-E405+1,0):H405)*(E405+SUMIF(OFFSET(A405,-E405+1,0):A405,"=2",OFFSET(A405,-E405+1,0):A405)))),IF(AND('депозитный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калькулятор'!$G$7="30/360"),DAY(EOMONTH(F405,0))=31),EOMONTH(F405,0)-1=F405,EOMONTH(F405,0)=F405)),IF(IF(AND(OR('депозитный калькулятор'!$G$7="30/365",'депозитный калькулятор'!$G$7="30/360"),DAY(EOMONTH($F$23,0))=31),F405=EOMONTH($F$23,0)-1,F405=EOMONTH($F$23,0)),MIN(OFFSET(H405,-(DAY(F405)-DAY($F$23)),0):H405)*E405,MIN(OFFSET(H405,-(DAY(F405)-1),0):H405)*IF(AND(OR('депозитный калькулятор'!$G$7="30/365",'депозитный калькулятор'!$G$7="30/360"),DAY(F405)&lt;30),30,DAY(F405))),IF(AND('депозитный калькулятор'!$G$10="ежемесячное, на средний остаток в течение месяца, при условии что остаток больше чем ограничение",F405='депозитный калькулятор'!$D$8,EOMONTH(F405,0)&lt;&gt;F405),IF('депозитный калькулятор'!$F$1=1,$H$24,SUM(OFFSET(Q405,-E405+1,0):Q405)),IF(AND('депозитный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калькулятор'!$G$7="30/360"),DAY(EOMONTH(F405,0))=31),EOMONTH(F405,0)-1=F405,EOMONTH(F405,0)=F405)),IF(IF(AND(OR('депозитный калькулятор'!$G$7="30/365",'депозитный калькулятор'!$G$7="30/360"),DAY(EOMONTH($F$24,0))=31),F405=EOMONTH($F$24,0)-1,F405=EOMONTH($F$24,0)),SUM(OFFSET(Q405,-E405+1,0):Q405),SUM(OFFSET(Q405,-E405+1,0):Q405)),IF('депозитный калькулятор'!$G$10="ежеквартальное",IF(F405&gt;'депозитный калькулятор'!$D$8," ",IF(AND(EOMONTH(F405,0)=F405,OR(MONTH(F405)=3,MONTH(F405)=6,MONTH(F405)=9,MONTH(F405)=12)),IF(EDATE(F405,-3)&lt;'депозитный калькулятор'!$D$7,SUM($H$23:H405),IF(MOD(YEAR(F405),4)=0,IF(AND(EOMONTH(F405,0)=F405,OR(MONTH(F405)=3,MONTH(F405)=6)),SUM(OFFSET(H405,-90,0):H405),IF(AND(EOMONTH(F405,0)=F405,OR(MONTH(F405)=9,MONTH(F405)=12)),SUM(OFFSET(H405,-91,0):H405))),IF(AND(EOMONTH(F405,0)=F405,MONTH(F405)=3),SUM(OFFSET(H405,-89,0):H405),IF(AND(EOMONTH(F405,0)=F405,MONTH(F405)=6),SUM(OFFSET(H405,-90,0):H405),IF(AND(EOMONTH(F405,0)=F405,OR(MONTH(F405)=9,MONTH(F405)=12)),SUM(OFFSET(H405,-91,0):H405)))))),IF(F405='депозитный калькулятор'!$D$8,SUM($H$23:H405)-SUM($I$23:I404),0))),IF('депозитный калькулятор'!$G$10="ежегодное",IF(F405&gt;'депозитный калькулятор'!$D$8," ",IF(F405='депозитный калькулятор'!$D$8,SUM($H$23:H405)-SUM($I$23:I404),IF(AND(EOMONTH(F405,0)=F405,MONTH(F405)=12),IF(MOD(YEAR(F404),4)=0,IF(F405-'депозитный калькулятор'!$D$7&lt;366,SUM($H$23:H405),SUM(OFFSET(H405,-365,0):H405)),IF(F405-'депозитный калькулятор'!$D$7&lt;365,SUM($H$23:H405),SUM(OFFSET(H405,-364,0):H405))),0))),IF(AND('депозитный калькулятор'!$G$10="в конце срока",'депозитный калькулятор'!$D$8=F405),SUM($H$23:H405),0))))))))))))))))))</f>
        <v xml:space="preserve"> </v>
      </c>
      <c r="J405" s="59" t="str">
        <f>IF(F405&gt;'депозитный калькулятор'!$D$8," ",IF('депозитный калькулятор'!$G$16="нет",0,IF(AND('депозитный калькулятор'!$G$17="разовая (в конце срока)",F405='депозитный калькулятор'!$D$8),'депозитный калькулятор'!$G$18,IF(AND('депозитный калькулятор'!$G$17="ежемесячная",EOMONTH(F404,0)=F404),'депозитный калькулятор'!$G$18,IF(AND('депозитный калькулятор'!$G$17="ежегодная",DAY(F404)=31,MONTH(F404)=12),'депозитный калькулятор'!$G$18,IF(AND('депозитный калькулятор'!$G$17="ежемесячная в зависимости от остатка",EOMONTH(F404,0)=F404,P404&gt;0),'депозитный калькулятор'!$G$18,IF(AND('депозитный калькулятор'!$G$17="ежегодная в зависимости от остатка",DAY(F404)=31,MONTH(F404)=12,P404&gt;0),'депозитный калькулятор'!$G$18,0)))))))</f>
        <v xml:space="preserve"> </v>
      </c>
      <c r="K405" s="135" t="str">
        <f>IF($F405=" "," ",IFERROR(VLOOKUP($F405,'депозитный калькулятор'!$B$26:$F$70,2,0),0))</f>
        <v xml:space="preserve"> </v>
      </c>
      <c r="L405" s="135" t="str">
        <f>IF($F405=" "," ",IFERROR(VLOOKUP($F405,'депозитный калькулятор'!$B$26:$F$70,3,0),0))</f>
        <v xml:space="preserve"> </v>
      </c>
      <c r="M405" s="135" t="str">
        <f>IF($F405=" "," ",IFERROR(VLOOKUP($F405,'депозитный калькулятор'!$B$26:$F$70,4,0),0))</f>
        <v xml:space="preserve"> </v>
      </c>
      <c r="N405" s="135" t="str">
        <f>IF($F405=" "," ",IFERROR(VLOOKUP($F405,'депозитный калькулятор'!$B$26:$F$70,5,0),0))</f>
        <v xml:space="preserve"> </v>
      </c>
      <c r="O405" s="146" t="str">
        <f>IF(F405&gt;'депозитный калькулятор'!$D$8," ",IF(F405='депозитный калькулятор'!$D$8,IF(AND($F$24='депозитный калькулятор'!$D$8,'депозитный калькулятор'!$G$13="нет"),-G405-IF(I405=" ",0,I405)-IF(AND(OR('депозитный калькулятор'!$G$7="30/365",'депозитный калькулятор'!$G$7="30/360"),'депозитный калькулятор'!$G$10="в начале срока"),I404,0)-L405+M405-N405,-G405-IF(I405=" ",0,I405)-L405+M405-N405),IF('депозитный калькулятор'!$G$13="есть",M405-N405+IF('депозитный калькулятор'!$G$14="есть",0,-L405),-IF(I405=" ",0,I405)-IF(AND(OR('депозитный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срока"),I404,0)+M405-N405+IF('депозитный калькулятор'!$G$14="есть",0,-L405))))</f>
        <v xml:space="preserve"> </v>
      </c>
      <c r="P405" s="147" t="str">
        <f>IF(F405&gt;'депозитный калькулятор'!$D$8," ",IF(EOMONTH(F404,0)=F404,0,IF(G405&gt;='депозитный калькулятор'!$G$19,P404,P404+1)))</f>
        <v xml:space="preserve"> </v>
      </c>
      <c r="Q405" s="138" t="str">
        <f>IF(F405=" "," ",IF(AND(OR('депозитный калькулятор'!$G$7="30/365",'депозитный калькулятор'!$G$7="30/360"),AND(MONTH(F405)=2,EOMONTH(F405,0)=F405)),IF(DAY(F405)=28,3,2),1)*IF(G405&gt;='депозитный калькулятор'!$G$11,IF(AND('депозитный калькулятор'!$G$7="факт/факт",MOD(YEAR(F405),4)=0),G405*'депозитный калькулятор'!$D$11/366,G405*'депозитный калькулятор'!$G$8),0))</f>
        <v xml:space="preserve"> </v>
      </c>
      <c r="R405" s="158"/>
      <c r="S405" s="62" t="str">
        <f t="shared" ca="1" si="27"/>
        <v xml:space="preserve"> </v>
      </c>
      <c r="T405" s="149" t="str">
        <f ca="1">IF(S405=" "," ",IF('депозитный калькулятор'!$G$7="30/360",DAYS360(U404,IF(DAY(U405)=31,U405-1,U405))+IF(AND(MONTH(U405)=2,U405=EOMONTH(U405,0)),30-DAY(EOMONTH(U405,0)))+T404,VLOOKUP(S405,$C$22:$F$1023,2,0)))</f>
        <v xml:space="preserve"> </v>
      </c>
      <c r="U405" s="64" t="str">
        <f t="shared" ca="1" si="25"/>
        <v xml:space="preserve"> </v>
      </c>
      <c r="V405" s="150" t="str">
        <f t="shared" ca="1" si="28"/>
        <v xml:space="preserve"> </v>
      </c>
      <c r="W405" s="62" t="str">
        <f t="shared" ca="1" si="29"/>
        <v xml:space="preserve"> </v>
      </c>
      <c r="X405" s="141" t="str">
        <f ca="1">IF(S405=" "," ",IFERROR(VLOOKUP(U405,$F$23:$N$1023,7)+VLOOKUP(U405,$F$23:$N$1023,9)+IF(AND('депозитный калькулятор'!$G$13="нет",U405&lt;&gt;'депозитный калькулятор'!$D$8),VLOOKUP(U405,$F$23:$N$1023,4),0),0)+IF(U405='депозитный калькулятор'!$D$8,VLOOKUP(U405,$F$23:$N$1023,2)+VLOOKUP(U405,$F$23:$N$1023,4),0))</f>
        <v xml:space="preserve"> </v>
      </c>
      <c r="Y405" s="142" t="str">
        <f ca="1">IF(S405=" "," ",W405/(1+'депозитный калькулятор'!$K$8)^(T405/IF('депозитный калькулятор'!$G$7="30/360",360,365)))</f>
        <v xml:space="preserve"> </v>
      </c>
      <c r="Z405" s="142" t="str">
        <f ca="1">IF(S405=" "," ",X405/(1+'депозитный калькулятор'!$K$8)^(T405/IF('депозитный калькулятор'!$G$7="30/360",360,365)))</f>
        <v xml:space="preserve"> </v>
      </c>
      <c r="AA405" s="151"/>
      <c r="AB405" s="151"/>
      <c r="AC405" s="155"/>
      <c r="AD405" s="155"/>
    </row>
    <row r="406" spans="1:30" s="2" customFormat="1" ht="15.5" x14ac:dyDescent="0.35">
      <c r="A406" s="41" t="str">
        <f>IF(F406=" "," ",IF(OR('депозитный калькулятор'!$G$7="30/365",'депозитный калькулятор'!$G$7="30/360"),IF(AND(MONTH(F406)=2,DAY(F406)=DAY(EOMONTH(F406,0))),30-DAY(EOMONTH(F406,0)),IF(DAY(F406)=31,1," "))," "))</f>
        <v xml:space="preserve"> </v>
      </c>
      <c r="B406" s="130" t="str">
        <f t="shared" si="26"/>
        <v xml:space="preserve"> </v>
      </c>
      <c r="C406" s="130" t="str">
        <f>IF(OR(B406=0,B406=" ")," ",SUM($B$23:B406))</f>
        <v xml:space="preserve"> </v>
      </c>
      <c r="D406" s="62" t="str">
        <f>IF(D405=" "," ",IF(OR(F405='депозитный калькулятор'!$D$8,F405=" ")," ",D405+1))</f>
        <v xml:space="preserve"> </v>
      </c>
      <c r="E406" s="130" t="str">
        <f>IF(OR(F405='депозитный калькулятор'!$D$8,F405=" ")," ",IF(EOMONTH(F405,0)=F405,1,E405+1))</f>
        <v xml:space="preserve"> </v>
      </c>
      <c r="F406" s="64" t="str">
        <f>IF(F405=" "," ",IF(F405='депозитный калькулятор'!$D$8," ",F405+1))</f>
        <v xml:space="preserve"> </v>
      </c>
      <c r="G406" s="145" t="str">
        <f xml:space="preserve"> IF(F406&gt;'депозитный калькулятор'!$D$8," ",IF('депозитный калькулятор'!$G$13="есть",IF('депозитный калькулятор'!$G$14="есть",G405+IF(I405=" ",0,I405)-J406-K406+L406+M406-N406,G405+IF(I405=" ",0,I405)-J406-K406+M406-N406),IF('депозитный калькулятор'!$G$14="есть",G405-J406-K406+L406+M406-N406,G405-J406-K406+M406-N406)))</f>
        <v xml:space="preserve"> </v>
      </c>
      <c r="H406" s="133" t="str">
        <f>IF(F406&gt;'депозитный калькулятор'!$D$8," ",IF(AND(OR('депозитный калькулятор'!$G$7="30/365",'депозитный калькулятор'!$G$7="30/360"),AND(MONTH(F406)=2,EOMONTH(F406,0)=F406)),IF(DAY(F406)=28,3*G406*'депозитный калькулятор'!$G$8,2*G406*'депозитный калькулятор'!$G$8),IF(AND(OR('депозитный калькулятор'!$G$7="30/365",'депозитный калькулятор'!$G$7="30/360"),DAY(F406)=31)," ",IF(AND('депозитный калькулятор'!$G$7="факт/факт",MOD(YEAR(F406),4)=0),G406*'депозитный калькулятор'!$D$11/366,G406*'депозитный калькулятор'!$G$8))))</f>
        <v xml:space="preserve"> </v>
      </c>
      <c r="I406" s="134" t="str">
        <f ca="1">IF(F406=" "," ",IF('депозитный калькулятор'!$G$10="ежедневное",H406,IF(AND('депозитный калькулятор'!$G$10="еженедельное",WEEKDAY(F406,2)=7),SUM(OFFSET(H406,-6,0):H406),IF(AND('депозитный калькулятор'!$G$10="еженедельное",F406='депозитный калькулятор'!$D$8),SUM($H$23:H406)-SUM($I$23:I405),IF(AND('депозитный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недели",WEEKDAY(F406,2)=7),MIN(OFFSET(H406,-6,0):H406)*(COUNTIF(OFFSET(H406,-6,0):H406,"&gt;0")+SUMIF(OFFSET(A406,-WEEKDAY(F406,2),0):A406,"=2",OFFSET(A406,-WEEKDAY(F406,2),0):A406)),IF(AND('депозитный калькулятор'!$G$10="еженедельное, на минимальную сумму зафиксированную в течение недели",F406='депозитный калькулятор'!$D$8,WEEKDAY(F406,2)&lt;&gt;7),MIN(OFFSET(H406,-WEEKDAY(F406,2),0):H406)*(COUNTIF(OFFSET(H406,-WEEKDAY(F406,2)+1,0):H406,"&gt;0")+SUM(OFFSET(A406,-WEEKDAY(F406,2),0):A406)),IF(AND('депозитный калькулятор'!$G$10="ежемесячное (в конце месяца)",F406='депозитный калькулятор'!$D$8,EOMONTH(F406,0)&lt;&gt;F406),IF('депозитный калькулятор'!$F$1=1,$H$24,SUM($H$23:H406)-SUM($I$23:I405)),IF(AND('депозитный калькулятор'!$G$10="ежемесячное (в конце месяца)",EOMONTH(F406,0)=F406),SUM($H$23:H406)-SUM($I$23:I405),IF(AND('депозитный калькулятор'!$G$10="ежемесячное (по дням открытия вклада)",F406='депозитный калькулятор'!$D$8,DAY('депозитный калькулятор'!$D$7)&lt;&gt;DAY(F406)),IF('депозитный калькулятор'!$F$1=1,$H$24,SUM($H$23:H406)-SUM($I$23:I405)),IF(AND('депозитный калькулятор'!$G$10="ежемесячное (по дням открытия вклада)",DAY('депозитный калькулятор'!$D$7)=DAY(F406)),SUM($H$23:H406)-SUM($I$23:I405),IF(AND('депозитный калькулятор'!$G$10="ежемесячное, на минимальную сумму зафиксированную в течение месяца",F406='депозитный калькулятор'!$D$8,EOMONTH(F406,0)&lt;&gt;F406),IF('депозитный калькулятор'!$F$1=1,$H$24,IF(AND(OR('депозитный калькулятор'!$G$7="30/365",'депозитный калькулятор'!$G$7="30/360"),DAY(F406)=31),0,MIN(OFFSET(H406,-E406+1,0):H406)*(E406+SUMIF(OFFSET(A406,-E406+1,0):A406,"=2",OFFSET(A406,-E406+1,0):A406)))),IF(AND('депозитный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калькулятор'!$G$7="30/360"),DAY(EOMONTH(F406,0))=31),EOMONTH(F406,0)-1=F406,EOMONTH(F406,0)=F406)),IF(IF(AND(OR('депозитный калькулятор'!$G$7="30/365",'депозитный калькулятор'!$G$7="30/360"),DAY(EOMONTH($F$23,0))=31),F406=EOMONTH($F$23,0)-1,F406=EOMONTH($F$23,0)),MIN(OFFSET(H406,-(DAY(F406)-DAY($F$23)),0):H406)*E406,MIN(OFFSET(H406,-(DAY(F406)-1),0):H406)*IF(AND(OR('депозитный калькулятор'!$G$7="30/365",'депозитный калькулятор'!$G$7="30/360"),DAY(F406)&lt;30),30,DAY(F406))),IF(AND('депозитный калькулятор'!$G$10="ежемесячное, на средний остаток в течение месяца, при условии что остаток больше чем ограничение",F406='депозитный калькулятор'!$D$8,EOMONTH(F406,0)&lt;&gt;F406),IF('депозитный калькулятор'!$F$1=1,$H$24,SUM(OFFSET(Q406,-E406+1,0):Q406)),IF(AND('депозитный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калькулятор'!$G$7="30/360"),DAY(EOMONTH(F406,0))=31),EOMONTH(F406,0)-1=F406,EOMONTH(F406,0)=F406)),IF(IF(AND(OR('депозитный калькулятор'!$G$7="30/365",'депозитный калькулятор'!$G$7="30/360"),DAY(EOMONTH($F$24,0))=31),F406=EOMONTH($F$24,0)-1,F406=EOMONTH($F$24,0)),SUM(OFFSET(Q406,-E406+1,0):Q406),SUM(OFFSET(Q406,-E406+1,0):Q406)),IF('депозитный калькулятор'!$G$10="ежеквартальное",IF(F406&gt;'депозитный калькулятор'!$D$8," ",IF(AND(EOMONTH(F406,0)=F406,OR(MONTH(F406)=3,MONTH(F406)=6,MONTH(F406)=9,MONTH(F406)=12)),IF(EDATE(F406,-3)&lt;'депозитный калькулятор'!$D$7,SUM($H$23:H406),IF(MOD(YEAR(F406),4)=0,IF(AND(EOMONTH(F406,0)=F406,OR(MONTH(F406)=3,MONTH(F406)=6)),SUM(OFFSET(H406,-90,0):H406),IF(AND(EOMONTH(F406,0)=F406,OR(MONTH(F406)=9,MONTH(F406)=12)),SUM(OFFSET(H406,-91,0):H406))),IF(AND(EOMONTH(F406,0)=F406,MONTH(F406)=3),SUM(OFFSET(H406,-89,0):H406),IF(AND(EOMONTH(F406,0)=F406,MONTH(F406)=6),SUM(OFFSET(H406,-90,0):H406),IF(AND(EOMONTH(F406,0)=F406,OR(MONTH(F406)=9,MONTH(F406)=12)),SUM(OFFSET(H406,-91,0):H406)))))),IF(F406='депозитный калькулятор'!$D$8,SUM($H$23:H406)-SUM($I$23:I405),0))),IF('депозитный калькулятор'!$G$10="ежегодное",IF(F406&gt;'депозитный калькулятор'!$D$8," ",IF(F406='депозитный калькулятор'!$D$8,SUM($H$23:H406)-SUM($I$23:I405),IF(AND(EOMONTH(F406,0)=F406,MONTH(F406)=12),IF(MOD(YEAR(F405),4)=0,IF(F406-'депозитный калькулятор'!$D$7&lt;366,SUM($H$23:H406),SUM(OFFSET(H406,-365,0):H406)),IF(F406-'депозитный калькулятор'!$D$7&lt;365,SUM($H$23:H406),SUM(OFFSET(H406,-364,0):H406))),0))),IF(AND('депозитный калькулятор'!$G$10="в конце срока",'депозитный калькулятор'!$D$8=F406),SUM($H$23:H406),0))))))))))))))))))</f>
        <v xml:space="preserve"> </v>
      </c>
      <c r="J406" s="59" t="str">
        <f>IF(F406&gt;'депозитный калькулятор'!$D$8," ",IF('депозитный калькулятор'!$G$16="нет",0,IF(AND('депозитный калькулятор'!$G$17="разовая (в конце срока)",F406='депозитный калькулятор'!$D$8),'депозитный калькулятор'!$G$18,IF(AND('депозитный калькулятор'!$G$17="ежемесячная",EOMONTH(F405,0)=F405),'депозитный калькулятор'!$G$18,IF(AND('депозитный калькулятор'!$G$17="ежегодная",DAY(F405)=31,MONTH(F405)=12),'депозитный калькулятор'!$G$18,IF(AND('депозитный калькулятор'!$G$17="ежемесячная в зависимости от остатка",EOMONTH(F405,0)=F405,P405&gt;0),'депозитный калькулятор'!$G$18,IF(AND('депозитный калькулятор'!$G$17="ежегодная в зависимости от остатка",DAY(F405)=31,MONTH(F405)=12,P405&gt;0),'депозитный калькулятор'!$G$18,0)))))))</f>
        <v xml:space="preserve"> </v>
      </c>
      <c r="K406" s="135" t="str">
        <f>IF($F406=" "," ",IFERROR(VLOOKUP($F406,'депозитный калькулятор'!$B$26:$F$70,2,0),0))</f>
        <v xml:space="preserve"> </v>
      </c>
      <c r="L406" s="135" t="str">
        <f>IF($F406=" "," ",IFERROR(VLOOKUP($F406,'депозитный калькулятор'!$B$26:$F$70,3,0),0))</f>
        <v xml:space="preserve"> </v>
      </c>
      <c r="M406" s="135" t="str">
        <f>IF($F406=" "," ",IFERROR(VLOOKUP($F406,'депозитный калькулятор'!$B$26:$F$70,4,0),0))</f>
        <v xml:space="preserve"> </v>
      </c>
      <c r="N406" s="135" t="str">
        <f>IF($F406=" "," ",IFERROR(VLOOKUP($F406,'депозитный калькулятор'!$B$26:$F$70,5,0),0))</f>
        <v xml:space="preserve"> </v>
      </c>
      <c r="O406" s="146" t="str">
        <f>IF(F406&gt;'депозитный калькулятор'!$D$8," ",IF(F406='депозитный калькулятор'!$D$8,IF(AND($F$24='депозитный калькулятор'!$D$8,'депозитный калькулятор'!$G$13="нет"),-G406-IF(I406=" ",0,I406)-IF(AND(OR('депозитный калькулятор'!$G$7="30/365",'депозитный калькулятор'!$G$7="30/360"),'депозитный калькулятор'!$G$10="в начале срока"),I405,0)-L406+M406-N406,-G406-IF(I406=" ",0,I406)-L406+M406-N406),IF('депозитный калькулятор'!$G$13="есть",M406-N406+IF('депозитный калькулятор'!$G$14="есть",0,-L406),-IF(I406=" ",0,I406)-IF(AND(OR('депозитный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срока"),I405,0)+M406-N406+IF('депозитный калькулятор'!$G$14="есть",0,-L406))))</f>
        <v xml:space="preserve"> </v>
      </c>
      <c r="P406" s="147" t="str">
        <f>IF(F406&gt;'депозитный калькулятор'!$D$8," ",IF(EOMONTH(F405,0)=F405,0,IF(G406&gt;='депозитный калькулятор'!$G$19,P405,P405+1)))</f>
        <v xml:space="preserve"> </v>
      </c>
      <c r="Q406" s="138" t="str">
        <f>IF(F406=" "," ",IF(AND(OR('депозитный калькулятор'!$G$7="30/365",'депозитный калькулятор'!$G$7="30/360"),AND(MONTH(F406)=2,EOMONTH(F406,0)=F406)),IF(DAY(F406)=28,3,2),1)*IF(G406&gt;='депозитный калькулятор'!$G$11,IF(AND('депозитный калькулятор'!$G$7="факт/факт",MOD(YEAR(F406),4)=0),G406*'депозитный калькулятор'!$D$11/366,G406*'депозитный калькулятор'!$G$8),0))</f>
        <v xml:space="preserve"> </v>
      </c>
      <c r="R406" s="158"/>
      <c r="S406" s="62" t="str">
        <f t="shared" ca="1" si="27"/>
        <v xml:space="preserve"> </v>
      </c>
      <c r="T406" s="149" t="str">
        <f ca="1">IF(S406=" "," ",IF('депозитный калькулятор'!$G$7="30/360",DAYS360(U405,IF(DAY(U406)=31,U406-1,U406))+IF(AND(MONTH(U406)=2,U406=EOMONTH(U406,0)),30-DAY(EOMONTH(U406,0)))+T405,VLOOKUP(S406,$C$22:$F$1023,2,0)))</f>
        <v xml:space="preserve"> </v>
      </c>
      <c r="U406" s="64" t="str">
        <f t="shared" ca="1" si="25"/>
        <v xml:space="preserve"> </v>
      </c>
      <c r="V406" s="150" t="str">
        <f t="shared" ca="1" si="28"/>
        <v xml:space="preserve"> </v>
      </c>
      <c r="W406" s="62" t="str">
        <f t="shared" ca="1" si="29"/>
        <v xml:space="preserve"> </v>
      </c>
      <c r="X406" s="141" t="str">
        <f ca="1">IF(S406=" "," ",IFERROR(VLOOKUP(U406,$F$23:$N$1023,7)+VLOOKUP(U406,$F$23:$N$1023,9)+IF(AND('депозитный калькулятор'!$G$13="нет",U406&lt;&gt;'депозитный калькулятор'!$D$8),VLOOKUP(U406,$F$23:$N$1023,4),0),0)+IF(U406='депозитный калькулятор'!$D$8,VLOOKUP(U406,$F$23:$N$1023,2)+VLOOKUP(U406,$F$23:$N$1023,4),0))</f>
        <v xml:space="preserve"> </v>
      </c>
      <c r="Y406" s="142" t="str">
        <f ca="1">IF(S406=" "," ",W406/(1+'депозитный калькулятор'!$K$8)^(T406/IF('депозитный калькулятор'!$G$7="30/360",360,365)))</f>
        <v xml:space="preserve"> </v>
      </c>
      <c r="Z406" s="142" t="str">
        <f ca="1">IF(S406=" "," ",X406/(1+'депозитный калькулятор'!$K$8)^(T406/IF('депозитный калькулятор'!$G$7="30/360",360,365)))</f>
        <v xml:space="preserve"> </v>
      </c>
      <c r="AA406" s="151"/>
      <c r="AB406" s="151"/>
      <c r="AC406" s="155"/>
      <c r="AD406" s="155"/>
    </row>
    <row r="407" spans="1:30" s="2" customFormat="1" ht="15.5" x14ac:dyDescent="0.35">
      <c r="A407" s="41" t="str">
        <f>IF(F407=" "," ",IF(OR('депозитный калькулятор'!$G$7="30/365",'депозитный калькулятор'!$G$7="30/360"),IF(AND(MONTH(F407)=2,DAY(F407)=DAY(EOMONTH(F407,0))),30-DAY(EOMONTH(F407,0)),IF(DAY(F407)=31,1," "))," "))</f>
        <v xml:space="preserve"> </v>
      </c>
      <c r="B407" s="130" t="str">
        <f t="shared" si="26"/>
        <v xml:space="preserve"> </v>
      </c>
      <c r="C407" s="130" t="str">
        <f>IF(OR(B407=0,B407=" ")," ",SUM($B$23:B407))</f>
        <v xml:space="preserve"> </v>
      </c>
      <c r="D407" s="62" t="str">
        <f>IF(D406=" "," ",IF(OR(F406='депозитный калькулятор'!$D$8,F406=" ")," ",D406+1))</f>
        <v xml:space="preserve"> </v>
      </c>
      <c r="E407" s="130" t="str">
        <f>IF(OR(F406='депозитный калькулятор'!$D$8,F406=" ")," ",IF(EOMONTH(F406,0)=F406,1,E406+1))</f>
        <v xml:space="preserve"> </v>
      </c>
      <c r="F407" s="64" t="str">
        <f>IF(F406=" "," ",IF(F406='депозитный калькулятор'!$D$8," ",F406+1))</f>
        <v xml:space="preserve"> </v>
      </c>
      <c r="G407" s="145" t="str">
        <f xml:space="preserve"> IF(F407&gt;'депозитный калькулятор'!$D$8," ",IF('депозитный калькулятор'!$G$13="есть",IF('депозитный калькулятор'!$G$14="есть",G406+IF(I406=" ",0,I406)-J407-K407+L407+M407-N407,G406+IF(I406=" ",0,I406)-J407-K407+M407-N407),IF('депозитный калькулятор'!$G$14="есть",G406-J407-K407+L407+M407-N407,G406-J407-K407+M407-N407)))</f>
        <v xml:space="preserve"> </v>
      </c>
      <c r="H407" s="133" t="str">
        <f>IF(F407&gt;'депозитный калькулятор'!$D$8," ",IF(AND(OR('депозитный калькулятор'!$G$7="30/365",'депозитный калькулятор'!$G$7="30/360"),AND(MONTH(F407)=2,EOMONTH(F407,0)=F407)),IF(DAY(F407)=28,3*G407*'депозитный калькулятор'!$G$8,2*G407*'депозитный калькулятор'!$G$8),IF(AND(OR('депозитный калькулятор'!$G$7="30/365",'депозитный калькулятор'!$G$7="30/360"),DAY(F407)=31)," ",IF(AND('депозитный калькулятор'!$G$7="факт/факт",MOD(YEAR(F407),4)=0),G407*'депозитный калькулятор'!$D$11/366,G407*'депозитный калькулятор'!$G$8))))</f>
        <v xml:space="preserve"> </v>
      </c>
      <c r="I407" s="134" t="str">
        <f ca="1">IF(F407=" "," ",IF('депозитный калькулятор'!$G$10="ежедневное",H407,IF(AND('депозитный калькулятор'!$G$10="еженедельное",WEEKDAY(F407,2)=7),SUM(OFFSET(H407,-6,0):H407),IF(AND('депозитный калькулятор'!$G$10="еженедельное",F407='депозитный калькулятор'!$D$8),SUM($H$23:H407)-SUM($I$23:I406),IF(AND('депозитный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недели",WEEKDAY(F407,2)=7),MIN(OFFSET(H407,-6,0):H407)*(COUNTIF(OFFSET(H407,-6,0):H407,"&gt;0")+SUMIF(OFFSET(A407,-WEEKDAY(F407,2),0):A407,"=2",OFFSET(A407,-WEEKDAY(F407,2),0):A407)),IF(AND('депозитный калькулятор'!$G$10="еженедельное, на минимальную сумму зафиксированную в течение недели",F407='депозитный калькулятор'!$D$8,WEEKDAY(F407,2)&lt;&gt;7),MIN(OFFSET(H407,-WEEKDAY(F407,2),0):H407)*(COUNTIF(OFFSET(H407,-WEEKDAY(F407,2)+1,0):H407,"&gt;0")+SUM(OFFSET(A407,-WEEKDAY(F407,2),0):A407)),IF(AND('депозитный калькулятор'!$G$10="ежемесячное (в конце месяца)",F407='депозитный калькулятор'!$D$8,EOMONTH(F407,0)&lt;&gt;F407),IF('депозитный калькулятор'!$F$1=1,$H$24,SUM($H$23:H407)-SUM($I$23:I406)),IF(AND('депозитный калькулятор'!$G$10="ежемесячное (в конце месяца)",EOMONTH(F407,0)=F407),SUM($H$23:H407)-SUM($I$23:I406),IF(AND('депозитный калькулятор'!$G$10="ежемесячное (по дням открытия вклада)",F407='депозитный калькулятор'!$D$8,DAY('депозитный калькулятор'!$D$7)&lt;&gt;DAY(F407)),IF('депозитный калькулятор'!$F$1=1,$H$24,SUM($H$23:H407)-SUM($I$23:I406)),IF(AND('депозитный калькулятор'!$G$10="ежемесячное (по дням открытия вклада)",DAY('депозитный калькулятор'!$D$7)=DAY(F407)),SUM($H$23:H407)-SUM($I$23:I406),IF(AND('депозитный калькулятор'!$G$10="ежемесячное, на минимальную сумму зафиксированную в течение месяца",F407='депозитный калькулятор'!$D$8,EOMONTH(F407,0)&lt;&gt;F407),IF('депозитный калькулятор'!$F$1=1,$H$24,IF(AND(OR('депозитный калькулятор'!$G$7="30/365",'депозитный калькулятор'!$G$7="30/360"),DAY(F407)=31),0,MIN(OFFSET(H407,-E407+1,0):H407)*(E407+SUMIF(OFFSET(A407,-E407+1,0):A407,"=2",OFFSET(A407,-E407+1,0):A407)))),IF(AND('депозитный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калькулятор'!$G$7="30/360"),DAY(EOMONTH(F407,0))=31),EOMONTH(F407,0)-1=F407,EOMONTH(F407,0)=F407)),IF(IF(AND(OR('депозитный калькулятор'!$G$7="30/365",'депозитный калькулятор'!$G$7="30/360"),DAY(EOMONTH($F$23,0))=31),F407=EOMONTH($F$23,0)-1,F407=EOMONTH($F$23,0)),MIN(OFFSET(H407,-(DAY(F407)-DAY($F$23)),0):H407)*E407,MIN(OFFSET(H407,-(DAY(F407)-1),0):H407)*IF(AND(OR('депозитный калькулятор'!$G$7="30/365",'депозитный калькулятор'!$G$7="30/360"),DAY(F407)&lt;30),30,DAY(F407))),IF(AND('депозитный калькулятор'!$G$10="ежемесячное, на средний остаток в течение месяца, при условии что остаток больше чем ограничение",F407='депозитный калькулятор'!$D$8,EOMONTH(F407,0)&lt;&gt;F407),IF('депозитный калькулятор'!$F$1=1,$H$24,SUM(OFFSET(Q407,-E407+1,0):Q407)),IF(AND('депозитный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калькулятор'!$G$7="30/360"),DAY(EOMONTH(F407,0))=31),EOMONTH(F407,0)-1=F407,EOMONTH(F407,0)=F407)),IF(IF(AND(OR('депозитный калькулятор'!$G$7="30/365",'депозитный калькулятор'!$G$7="30/360"),DAY(EOMONTH($F$24,0))=31),F407=EOMONTH($F$24,0)-1,F407=EOMONTH($F$24,0)),SUM(OFFSET(Q407,-E407+1,0):Q407),SUM(OFFSET(Q407,-E407+1,0):Q407)),IF('депозитный калькулятор'!$G$10="ежеквартальное",IF(F407&gt;'депозитный калькулятор'!$D$8," ",IF(AND(EOMONTH(F407,0)=F407,OR(MONTH(F407)=3,MONTH(F407)=6,MONTH(F407)=9,MONTH(F407)=12)),IF(EDATE(F407,-3)&lt;'депозитный калькулятор'!$D$7,SUM($H$23:H407),IF(MOD(YEAR(F407),4)=0,IF(AND(EOMONTH(F407,0)=F407,OR(MONTH(F407)=3,MONTH(F407)=6)),SUM(OFFSET(H407,-90,0):H407),IF(AND(EOMONTH(F407,0)=F407,OR(MONTH(F407)=9,MONTH(F407)=12)),SUM(OFFSET(H407,-91,0):H407))),IF(AND(EOMONTH(F407,0)=F407,MONTH(F407)=3),SUM(OFFSET(H407,-89,0):H407),IF(AND(EOMONTH(F407,0)=F407,MONTH(F407)=6),SUM(OFFSET(H407,-90,0):H407),IF(AND(EOMONTH(F407,0)=F407,OR(MONTH(F407)=9,MONTH(F407)=12)),SUM(OFFSET(H407,-91,0):H407)))))),IF(F407='депозитный калькулятор'!$D$8,SUM($H$23:H407)-SUM($I$23:I406),0))),IF('депозитный калькулятор'!$G$10="ежегодное",IF(F407&gt;'депозитный калькулятор'!$D$8," ",IF(F407='депозитный калькулятор'!$D$8,SUM($H$23:H407)-SUM($I$23:I406),IF(AND(EOMONTH(F407,0)=F407,MONTH(F407)=12),IF(MOD(YEAR(F406),4)=0,IF(F407-'депозитный калькулятор'!$D$7&lt;366,SUM($H$23:H407),SUM(OFFSET(H407,-365,0):H407)),IF(F407-'депозитный калькулятор'!$D$7&lt;365,SUM($H$23:H407),SUM(OFFSET(H407,-364,0):H407))),0))),IF(AND('депозитный калькулятор'!$G$10="в конце срока",'депозитный калькулятор'!$D$8=F407),SUM($H$23:H407),0))))))))))))))))))</f>
        <v xml:space="preserve"> </v>
      </c>
      <c r="J407" s="59" t="str">
        <f>IF(F407&gt;'депозитный калькулятор'!$D$8," ",IF('депозитный калькулятор'!$G$16="нет",0,IF(AND('депозитный калькулятор'!$G$17="разовая (в конце срока)",F407='депозитный калькулятор'!$D$8),'депозитный калькулятор'!$G$18,IF(AND('депозитный калькулятор'!$G$17="ежемесячная",EOMONTH(F406,0)=F406),'депозитный калькулятор'!$G$18,IF(AND('депозитный калькулятор'!$G$17="ежегодная",DAY(F406)=31,MONTH(F406)=12),'депозитный калькулятор'!$G$18,IF(AND('депозитный калькулятор'!$G$17="ежемесячная в зависимости от остатка",EOMONTH(F406,0)=F406,P406&gt;0),'депозитный калькулятор'!$G$18,IF(AND('депозитный калькулятор'!$G$17="ежегодная в зависимости от остатка",DAY(F406)=31,MONTH(F406)=12,P406&gt;0),'депозитный калькулятор'!$G$18,0)))))))</f>
        <v xml:space="preserve"> </v>
      </c>
      <c r="K407" s="135" t="str">
        <f>IF($F407=" "," ",IFERROR(VLOOKUP($F407,'депозитный калькулятор'!$B$26:$F$70,2,0),0))</f>
        <v xml:space="preserve"> </v>
      </c>
      <c r="L407" s="135" t="str">
        <f>IF($F407=" "," ",IFERROR(VLOOKUP($F407,'депозитный калькулятор'!$B$26:$F$70,3,0),0))</f>
        <v xml:space="preserve"> </v>
      </c>
      <c r="M407" s="135" t="str">
        <f>IF($F407=" "," ",IFERROR(VLOOKUP($F407,'депозитный калькулятор'!$B$26:$F$70,4,0),0))</f>
        <v xml:space="preserve"> </v>
      </c>
      <c r="N407" s="135" t="str">
        <f>IF($F407=" "," ",IFERROR(VLOOKUP($F407,'депозитный калькулятор'!$B$26:$F$70,5,0),0))</f>
        <v xml:space="preserve"> </v>
      </c>
      <c r="O407" s="146" t="str">
        <f>IF(F407&gt;'депозитный калькулятор'!$D$8," ",IF(F407='депозитный калькулятор'!$D$8,IF(AND($F$24='депозитный калькулятор'!$D$8,'депозитный калькулятор'!$G$13="нет"),-G407-IF(I407=" ",0,I407)-IF(AND(OR('депозитный калькулятор'!$G$7="30/365",'депозитный калькулятор'!$G$7="30/360"),'депозитный калькулятор'!$G$10="в начале срока"),I406,0)-L407+M407-N407,-G407-IF(I407=" ",0,I407)-L407+M407-N407),IF('депозитный калькулятор'!$G$13="есть",M407-N407+IF('депозитный калькулятор'!$G$14="есть",0,-L407),-IF(I407=" ",0,I407)-IF(AND(OR('депозитный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срока"),I406,0)+M407-N407+IF('депозитный калькулятор'!$G$14="есть",0,-L407))))</f>
        <v xml:space="preserve"> </v>
      </c>
      <c r="P407" s="147" t="str">
        <f>IF(F407&gt;'депозитный калькулятор'!$D$8," ",IF(EOMONTH(F406,0)=F406,0,IF(G407&gt;='депозитный калькулятор'!$G$19,P406,P406+1)))</f>
        <v xml:space="preserve"> </v>
      </c>
      <c r="Q407" s="138" t="str">
        <f>IF(F407=" "," ",IF(AND(OR('депозитный калькулятор'!$G$7="30/365",'депозитный калькулятор'!$G$7="30/360"),AND(MONTH(F407)=2,EOMONTH(F407,0)=F407)),IF(DAY(F407)=28,3,2),1)*IF(G407&gt;='депозитный калькулятор'!$G$11,IF(AND('депозитный калькулятор'!$G$7="факт/факт",MOD(YEAR(F407),4)=0),G407*'депозитный калькулятор'!$D$11/366,G407*'депозитный калькулятор'!$G$8),0))</f>
        <v xml:space="preserve"> </v>
      </c>
      <c r="R407" s="158"/>
      <c r="S407" s="62" t="str">
        <f t="shared" ca="1" si="27"/>
        <v xml:space="preserve"> </v>
      </c>
      <c r="T407" s="149" t="str">
        <f ca="1">IF(S407=" "," ",IF('депозитный калькулятор'!$G$7="30/360",DAYS360(U406,IF(DAY(U407)=31,U407-1,U407))+IF(AND(MONTH(U407)=2,U407=EOMONTH(U407,0)),30-DAY(EOMONTH(U407,0)))+T406,VLOOKUP(S407,$C$22:$F$1023,2,0)))</f>
        <v xml:space="preserve"> </v>
      </c>
      <c r="U407" s="64" t="str">
        <f t="shared" ref="U407:U470" ca="1" si="30">IF(S407=" "," ",VLOOKUP(S407,$C$22:$F$1023,4,0))</f>
        <v xml:space="preserve"> </v>
      </c>
      <c r="V407" s="150" t="str">
        <f t="shared" ca="1" si="28"/>
        <v xml:space="preserve"> </v>
      </c>
      <c r="W407" s="62" t="str">
        <f t="shared" ca="1" si="29"/>
        <v xml:space="preserve"> </v>
      </c>
      <c r="X407" s="141" t="str">
        <f ca="1">IF(S407=" "," ",IFERROR(VLOOKUP(U407,$F$23:$N$1023,7)+VLOOKUP(U407,$F$23:$N$1023,9)+IF(AND('депозитный калькулятор'!$G$13="нет",U407&lt;&gt;'депозитный калькулятор'!$D$8),VLOOKUP(U407,$F$23:$N$1023,4),0),0)+IF(U407='депозитный калькулятор'!$D$8,VLOOKUP(U407,$F$23:$N$1023,2)+VLOOKUP(U407,$F$23:$N$1023,4),0))</f>
        <v xml:space="preserve"> </v>
      </c>
      <c r="Y407" s="142" t="str">
        <f ca="1">IF(S407=" "," ",W407/(1+'депозитный калькулятор'!$K$8)^(T407/IF('депозитный калькулятор'!$G$7="30/360",360,365)))</f>
        <v xml:space="preserve"> </v>
      </c>
      <c r="Z407" s="142" t="str">
        <f ca="1">IF(S407=" "," ",X407/(1+'депозитный калькулятор'!$K$8)^(T407/IF('депозитный калькулятор'!$G$7="30/360",360,365)))</f>
        <v xml:space="preserve"> </v>
      </c>
      <c r="AA407" s="151"/>
      <c r="AB407" s="151"/>
      <c r="AC407" s="155"/>
      <c r="AD407" s="155"/>
    </row>
    <row r="408" spans="1:30" s="2" customFormat="1" ht="15.5" x14ac:dyDescent="0.35">
      <c r="A408" s="41" t="str">
        <f>IF(F408=" "," ",IF(OR('депозитный калькулятор'!$G$7="30/365",'депозитный калькулятор'!$G$7="30/360"),IF(AND(MONTH(F408)=2,DAY(F408)=DAY(EOMONTH(F408,0))),30-DAY(EOMONTH(F408,0)),IF(DAY(F408)=31,1," "))," "))</f>
        <v xml:space="preserve"> </v>
      </c>
      <c r="B408" s="130" t="str">
        <f t="shared" ref="B408:B471" si="31">IF(F408=" "," ",IF(O408&lt;&gt;0,1,0))</f>
        <v xml:space="preserve"> </v>
      </c>
      <c r="C408" s="130" t="str">
        <f>IF(OR(B408=0,B408=" ")," ",SUM($B$23:B408))</f>
        <v xml:space="preserve"> </v>
      </c>
      <c r="D408" s="62" t="str">
        <f>IF(D407=" "," ",IF(OR(F407='депозитный калькулятор'!$D$8,F407=" ")," ",D407+1))</f>
        <v xml:space="preserve"> </v>
      </c>
      <c r="E408" s="130" t="str">
        <f>IF(OR(F407='депозитный калькулятор'!$D$8,F407=" ")," ",IF(EOMONTH(F407,0)=F407,1,E407+1))</f>
        <v xml:space="preserve"> </v>
      </c>
      <c r="F408" s="64" t="str">
        <f>IF(F407=" "," ",IF(F407='депозитный калькулятор'!$D$8," ",F407+1))</f>
        <v xml:space="preserve"> </v>
      </c>
      <c r="G408" s="145" t="str">
        <f xml:space="preserve"> IF(F408&gt;'депозитный калькулятор'!$D$8," ",IF('депозитный калькулятор'!$G$13="есть",IF('депозитный калькулятор'!$G$14="есть",G407+IF(I407=" ",0,I407)-J408-K408+L408+M408-N408,G407+IF(I407=" ",0,I407)-J408-K408+M408-N408),IF('депозитный калькулятор'!$G$14="есть",G407-J408-K408+L408+M408-N408,G407-J408-K408+M408-N408)))</f>
        <v xml:space="preserve"> </v>
      </c>
      <c r="H408" s="133" t="str">
        <f>IF(F408&gt;'депозитный калькулятор'!$D$8," ",IF(AND(OR('депозитный калькулятор'!$G$7="30/365",'депозитный калькулятор'!$G$7="30/360"),AND(MONTH(F408)=2,EOMONTH(F408,0)=F408)),IF(DAY(F408)=28,3*G408*'депозитный калькулятор'!$G$8,2*G408*'депозитный калькулятор'!$G$8),IF(AND(OR('депозитный калькулятор'!$G$7="30/365",'депозитный калькулятор'!$G$7="30/360"),DAY(F408)=31)," ",IF(AND('депозитный калькулятор'!$G$7="факт/факт",MOD(YEAR(F408),4)=0),G408*'депозитный калькулятор'!$D$11/366,G408*'депозитный калькулятор'!$G$8))))</f>
        <v xml:space="preserve"> </v>
      </c>
      <c r="I408" s="134" t="str">
        <f ca="1">IF(F408=" "," ",IF('депозитный калькулятор'!$G$10="ежедневное",H408,IF(AND('депозитный калькулятор'!$G$10="еженедельное",WEEKDAY(F408,2)=7),SUM(OFFSET(H408,-6,0):H408),IF(AND('депозитный калькулятор'!$G$10="еженедельное",F408='депозитный калькулятор'!$D$8),SUM($H$23:H408)-SUM($I$23:I407),IF(AND('депозитный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недели",WEEKDAY(F408,2)=7),MIN(OFFSET(H408,-6,0):H408)*(COUNTIF(OFFSET(H408,-6,0):H408,"&gt;0")+SUMIF(OFFSET(A408,-WEEKDAY(F408,2),0):A408,"=2",OFFSET(A408,-WEEKDAY(F408,2),0):A408)),IF(AND('депозитный калькулятор'!$G$10="еженедельное, на минимальную сумму зафиксированную в течение недели",F408='депозитный калькулятор'!$D$8,WEEKDAY(F408,2)&lt;&gt;7),MIN(OFFSET(H408,-WEEKDAY(F408,2),0):H408)*(COUNTIF(OFFSET(H408,-WEEKDAY(F408,2)+1,0):H408,"&gt;0")+SUM(OFFSET(A408,-WEEKDAY(F408,2),0):A408)),IF(AND('депозитный калькулятор'!$G$10="ежемесячное (в конце месяца)",F408='депозитный калькулятор'!$D$8,EOMONTH(F408,0)&lt;&gt;F408),IF('депозитный калькулятор'!$F$1=1,$H$24,SUM($H$23:H408)-SUM($I$23:I407)),IF(AND('депозитный калькулятор'!$G$10="ежемесячное (в конце месяца)",EOMONTH(F408,0)=F408),SUM($H$23:H408)-SUM($I$23:I407),IF(AND('депозитный калькулятор'!$G$10="ежемесячное (по дням открытия вклада)",F408='депозитный калькулятор'!$D$8,DAY('депозитный калькулятор'!$D$7)&lt;&gt;DAY(F408)),IF('депозитный калькулятор'!$F$1=1,$H$24,SUM($H$23:H408)-SUM($I$23:I407)),IF(AND('депозитный калькулятор'!$G$10="ежемесячное (по дням открытия вклада)",DAY('депозитный калькулятор'!$D$7)=DAY(F408)),SUM($H$23:H408)-SUM($I$23:I407),IF(AND('депозитный калькулятор'!$G$10="ежемесячное, на минимальную сумму зафиксированную в течение месяца",F408='депозитный калькулятор'!$D$8,EOMONTH(F408,0)&lt;&gt;F408),IF('депозитный калькулятор'!$F$1=1,$H$24,IF(AND(OR('депозитный калькулятор'!$G$7="30/365",'депозитный калькулятор'!$G$7="30/360"),DAY(F408)=31),0,MIN(OFFSET(H408,-E408+1,0):H408)*(E408+SUMIF(OFFSET(A408,-E408+1,0):A408,"=2",OFFSET(A408,-E408+1,0):A408)))),IF(AND('депозитный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калькулятор'!$G$7="30/360"),DAY(EOMONTH(F408,0))=31),EOMONTH(F408,0)-1=F408,EOMONTH(F408,0)=F408)),IF(IF(AND(OR('депозитный калькулятор'!$G$7="30/365",'депозитный калькулятор'!$G$7="30/360"),DAY(EOMONTH($F$23,0))=31),F408=EOMONTH($F$23,0)-1,F408=EOMONTH($F$23,0)),MIN(OFFSET(H408,-(DAY(F408)-DAY($F$23)),0):H408)*E408,MIN(OFFSET(H408,-(DAY(F408)-1),0):H408)*IF(AND(OR('депозитный калькулятор'!$G$7="30/365",'депозитный калькулятор'!$G$7="30/360"),DAY(F408)&lt;30),30,DAY(F408))),IF(AND('депозитный калькулятор'!$G$10="ежемесячное, на средний остаток в течение месяца, при условии что остаток больше чем ограничение",F408='депозитный калькулятор'!$D$8,EOMONTH(F408,0)&lt;&gt;F408),IF('депозитный калькулятор'!$F$1=1,$H$24,SUM(OFFSET(Q408,-E408+1,0):Q408)),IF(AND('депозитный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калькулятор'!$G$7="30/360"),DAY(EOMONTH(F408,0))=31),EOMONTH(F408,0)-1=F408,EOMONTH(F408,0)=F408)),IF(IF(AND(OR('депозитный калькулятор'!$G$7="30/365",'депозитный калькулятор'!$G$7="30/360"),DAY(EOMONTH($F$24,0))=31),F408=EOMONTH($F$24,0)-1,F408=EOMONTH($F$24,0)),SUM(OFFSET(Q408,-E408+1,0):Q408),SUM(OFFSET(Q408,-E408+1,0):Q408)),IF('депозитный калькулятор'!$G$10="ежеквартальное",IF(F408&gt;'депозитный калькулятор'!$D$8," ",IF(AND(EOMONTH(F408,0)=F408,OR(MONTH(F408)=3,MONTH(F408)=6,MONTH(F408)=9,MONTH(F408)=12)),IF(EDATE(F408,-3)&lt;'депозитный калькулятор'!$D$7,SUM($H$23:H408),IF(MOD(YEAR(F408),4)=0,IF(AND(EOMONTH(F408,0)=F408,OR(MONTH(F408)=3,MONTH(F408)=6)),SUM(OFFSET(H408,-90,0):H408),IF(AND(EOMONTH(F408,0)=F408,OR(MONTH(F408)=9,MONTH(F408)=12)),SUM(OFFSET(H408,-91,0):H408))),IF(AND(EOMONTH(F408,0)=F408,MONTH(F408)=3),SUM(OFFSET(H408,-89,0):H408),IF(AND(EOMONTH(F408,0)=F408,MONTH(F408)=6),SUM(OFFSET(H408,-90,0):H408),IF(AND(EOMONTH(F408,0)=F408,OR(MONTH(F408)=9,MONTH(F408)=12)),SUM(OFFSET(H408,-91,0):H408)))))),IF(F408='депозитный калькулятор'!$D$8,SUM($H$23:H408)-SUM($I$23:I407),0))),IF('депозитный калькулятор'!$G$10="ежегодное",IF(F408&gt;'депозитный калькулятор'!$D$8," ",IF(F408='депозитный калькулятор'!$D$8,SUM($H$23:H408)-SUM($I$23:I407),IF(AND(EOMONTH(F408,0)=F408,MONTH(F408)=12),IF(MOD(YEAR(F407),4)=0,IF(F408-'депозитный калькулятор'!$D$7&lt;366,SUM($H$23:H408),SUM(OFFSET(H408,-365,0):H408)),IF(F408-'депозитный калькулятор'!$D$7&lt;365,SUM($H$23:H408),SUM(OFFSET(H408,-364,0):H408))),0))),IF(AND('депозитный калькулятор'!$G$10="в конце срока",'депозитный калькулятор'!$D$8=F408),SUM($H$23:H408),0))))))))))))))))))</f>
        <v xml:space="preserve"> </v>
      </c>
      <c r="J408" s="59" t="str">
        <f>IF(F408&gt;'депозитный калькулятор'!$D$8," ",IF('депозитный калькулятор'!$G$16="нет",0,IF(AND('депозитный калькулятор'!$G$17="разовая (в конце срока)",F408='депозитный калькулятор'!$D$8),'депозитный калькулятор'!$G$18,IF(AND('депозитный калькулятор'!$G$17="ежемесячная",EOMONTH(F407,0)=F407),'депозитный калькулятор'!$G$18,IF(AND('депозитный калькулятор'!$G$17="ежегодная",DAY(F407)=31,MONTH(F407)=12),'депозитный калькулятор'!$G$18,IF(AND('депозитный калькулятор'!$G$17="ежемесячная в зависимости от остатка",EOMONTH(F407,0)=F407,P407&gt;0),'депозитный калькулятор'!$G$18,IF(AND('депозитный калькулятор'!$G$17="ежегодная в зависимости от остатка",DAY(F407)=31,MONTH(F407)=12,P407&gt;0),'депозитный калькулятор'!$G$18,0)))))))</f>
        <v xml:space="preserve"> </v>
      </c>
      <c r="K408" s="135" t="str">
        <f>IF($F408=" "," ",IFERROR(VLOOKUP($F408,'депозитный калькулятор'!$B$26:$F$70,2,0),0))</f>
        <v xml:space="preserve"> </v>
      </c>
      <c r="L408" s="135" t="str">
        <f>IF($F408=" "," ",IFERROR(VLOOKUP($F408,'депозитный калькулятор'!$B$26:$F$70,3,0),0))</f>
        <v xml:space="preserve"> </v>
      </c>
      <c r="M408" s="135" t="str">
        <f>IF($F408=" "," ",IFERROR(VLOOKUP($F408,'депозитный калькулятор'!$B$26:$F$70,4,0),0))</f>
        <v xml:space="preserve"> </v>
      </c>
      <c r="N408" s="135" t="str">
        <f>IF($F408=" "," ",IFERROR(VLOOKUP($F408,'депозитный калькулятор'!$B$26:$F$70,5,0),0))</f>
        <v xml:space="preserve"> </v>
      </c>
      <c r="O408" s="146" t="str">
        <f>IF(F408&gt;'депозитный калькулятор'!$D$8," ",IF(F408='депозитный калькулятор'!$D$8,IF(AND($F$24='депозитный калькулятор'!$D$8,'депозитный калькулятор'!$G$13="нет"),-G408-IF(I408=" ",0,I408)-IF(AND(OR('депозитный калькулятор'!$G$7="30/365",'депозитный калькулятор'!$G$7="30/360"),'депозитный калькулятор'!$G$10="в начале срока"),I407,0)-L408+M408-N408,-G408-IF(I408=" ",0,I408)-L408+M408-N408),IF('депозитный калькулятор'!$G$13="есть",M408-N408+IF('депозитный калькулятор'!$G$14="есть",0,-L408),-IF(I408=" ",0,I408)-IF(AND(OR('депозитный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срока"),I407,0)+M408-N408+IF('депозитный калькулятор'!$G$14="есть",0,-L408))))</f>
        <v xml:space="preserve"> </v>
      </c>
      <c r="P408" s="147" t="str">
        <f>IF(F408&gt;'депозитный калькулятор'!$D$8," ",IF(EOMONTH(F407,0)=F407,0,IF(G408&gt;='депозитный калькулятор'!$G$19,P407,P407+1)))</f>
        <v xml:space="preserve"> </v>
      </c>
      <c r="Q408" s="138" t="str">
        <f>IF(F408=" "," ",IF(AND(OR('депозитный калькулятор'!$G$7="30/365",'депозитный калькулятор'!$G$7="30/360"),AND(MONTH(F408)=2,EOMONTH(F408,0)=F408)),IF(DAY(F408)=28,3,2),1)*IF(G408&gt;='депозитный калькулятор'!$G$11,IF(AND('депозитный калькулятор'!$G$7="факт/факт",MOD(YEAR(F408),4)=0),G408*'депозитный калькулятор'!$D$11/366,G408*'депозитный калькулятор'!$G$8),0))</f>
        <v xml:space="preserve"> </v>
      </c>
      <c r="R408" s="158"/>
      <c r="S408" s="62" t="str">
        <f t="shared" ref="S408:S471" ca="1" si="32">IF(S407&lt;COUNTIFS($B$23:$B$1023,"&gt;0"),S407+1," ")</f>
        <v xml:space="preserve"> </v>
      </c>
      <c r="T408" s="149" t="str">
        <f ca="1">IF(S408=" "," ",IF('депозитный калькулятор'!$G$7="30/360",DAYS360(U407,IF(DAY(U408)=31,U408-1,U408))+IF(AND(MONTH(U408)=2,U408=EOMONTH(U408,0)),30-DAY(EOMONTH(U408,0)))+T407,VLOOKUP(S408,$C$22:$F$1023,2,0)))</f>
        <v xml:space="preserve"> </v>
      </c>
      <c r="U408" s="64" t="str">
        <f t="shared" ca="1" si="30"/>
        <v xml:space="preserve"> </v>
      </c>
      <c r="V408" s="150" t="str">
        <f t="shared" ref="V408:V471" ca="1" si="33">VLOOKUP(U408,$F$24:$O$1023,10)</f>
        <v xml:space="preserve"> </v>
      </c>
      <c r="W408" s="62" t="str">
        <f t="shared" ref="W408:W471" ca="1" si="34">IF(S408=" "," ",VLOOKUP(U408,$F$24:$N$1023,8))</f>
        <v xml:space="preserve"> </v>
      </c>
      <c r="X408" s="141" t="str">
        <f ca="1">IF(S408=" "," ",IFERROR(VLOOKUP(U408,$F$23:$N$1023,7)+VLOOKUP(U408,$F$23:$N$1023,9)+IF(AND('депозитный калькулятор'!$G$13="нет",U408&lt;&gt;'депозитный калькулятор'!$D$8),VLOOKUP(U408,$F$23:$N$1023,4),0),0)+IF(U408='депозитный калькулятор'!$D$8,VLOOKUP(U408,$F$23:$N$1023,2)+VLOOKUP(U408,$F$23:$N$1023,4),0))</f>
        <v xml:space="preserve"> </v>
      </c>
      <c r="Y408" s="142" t="str">
        <f ca="1">IF(S408=" "," ",W408/(1+'депозитный калькулятор'!$K$8)^(T408/IF('депозитный калькулятор'!$G$7="30/360",360,365)))</f>
        <v xml:space="preserve"> </v>
      </c>
      <c r="Z408" s="142" t="str">
        <f ca="1">IF(S408=" "," ",X408/(1+'депозитный калькулятор'!$K$8)^(T408/IF('депозитный калькулятор'!$G$7="30/360",360,365)))</f>
        <v xml:space="preserve"> </v>
      </c>
      <c r="AA408" s="151"/>
      <c r="AB408" s="151"/>
      <c r="AC408" s="155"/>
      <c r="AD408" s="155"/>
    </row>
    <row r="409" spans="1:30" s="2" customFormat="1" ht="15.5" x14ac:dyDescent="0.35">
      <c r="A409" s="41" t="str">
        <f>IF(F409=" "," ",IF(OR('депозитный калькулятор'!$G$7="30/365",'депозитный калькулятор'!$G$7="30/360"),IF(AND(MONTH(F409)=2,DAY(F409)=DAY(EOMONTH(F409,0))),30-DAY(EOMONTH(F409,0)),IF(DAY(F409)=31,1," "))," "))</f>
        <v xml:space="preserve"> </v>
      </c>
      <c r="B409" s="130" t="str">
        <f t="shared" si="31"/>
        <v xml:space="preserve"> </v>
      </c>
      <c r="C409" s="130" t="str">
        <f>IF(OR(B409=0,B409=" ")," ",SUM($B$23:B409))</f>
        <v xml:space="preserve"> </v>
      </c>
      <c r="D409" s="62" t="str">
        <f>IF(D408=" "," ",IF(OR(F408='депозитный калькулятор'!$D$8,F408=" ")," ",D408+1))</f>
        <v xml:space="preserve"> </v>
      </c>
      <c r="E409" s="130" t="str">
        <f>IF(OR(F408='депозитный калькулятор'!$D$8,F408=" ")," ",IF(EOMONTH(F408,0)=F408,1,E408+1))</f>
        <v xml:space="preserve"> </v>
      </c>
      <c r="F409" s="64" t="str">
        <f>IF(F408=" "," ",IF(F408='депозитный калькулятор'!$D$8," ",F408+1))</f>
        <v xml:space="preserve"> </v>
      </c>
      <c r="G409" s="145" t="str">
        <f xml:space="preserve"> IF(F409&gt;'депозитный калькулятор'!$D$8," ",IF('депозитный калькулятор'!$G$13="есть",IF('депозитный калькулятор'!$G$14="есть",G408+IF(I408=" ",0,I408)-J409-K409+L409+M409-N409,G408+IF(I408=" ",0,I408)-J409-K409+M409-N409),IF('депозитный калькулятор'!$G$14="есть",G408-J409-K409+L409+M409-N409,G408-J409-K409+M409-N409)))</f>
        <v xml:space="preserve"> </v>
      </c>
      <c r="H409" s="133" t="str">
        <f>IF(F409&gt;'депозитный калькулятор'!$D$8," ",IF(AND(OR('депозитный калькулятор'!$G$7="30/365",'депозитный калькулятор'!$G$7="30/360"),AND(MONTH(F409)=2,EOMONTH(F409,0)=F409)),IF(DAY(F409)=28,3*G409*'депозитный калькулятор'!$G$8,2*G409*'депозитный калькулятор'!$G$8),IF(AND(OR('депозитный калькулятор'!$G$7="30/365",'депозитный калькулятор'!$G$7="30/360"),DAY(F409)=31)," ",IF(AND('депозитный калькулятор'!$G$7="факт/факт",MOD(YEAR(F409),4)=0),G409*'депозитный калькулятор'!$D$11/366,G409*'депозитный калькулятор'!$G$8))))</f>
        <v xml:space="preserve"> </v>
      </c>
      <c r="I409" s="134" t="str">
        <f ca="1">IF(F409=" "," ",IF('депозитный калькулятор'!$G$10="ежедневное",H409,IF(AND('депозитный калькулятор'!$G$10="еженедельное",WEEKDAY(F409,2)=7),SUM(OFFSET(H409,-6,0):H409),IF(AND('депозитный калькулятор'!$G$10="еженедельное",F409='депозитный калькулятор'!$D$8),SUM($H$23:H409)-SUM($I$23:I408),IF(AND('депозитный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недели",WEEKDAY(F409,2)=7),MIN(OFFSET(H409,-6,0):H409)*(COUNTIF(OFFSET(H409,-6,0):H409,"&gt;0")+SUMIF(OFFSET(A409,-WEEKDAY(F409,2),0):A409,"=2",OFFSET(A409,-WEEKDAY(F409,2),0):A409)),IF(AND('депозитный калькулятор'!$G$10="еженедельное, на минимальную сумму зафиксированную в течение недели",F409='депозитный калькулятор'!$D$8,WEEKDAY(F409,2)&lt;&gt;7),MIN(OFFSET(H409,-WEEKDAY(F409,2),0):H409)*(COUNTIF(OFFSET(H409,-WEEKDAY(F409,2)+1,0):H409,"&gt;0")+SUM(OFFSET(A409,-WEEKDAY(F409,2),0):A409)),IF(AND('депозитный калькулятор'!$G$10="ежемесячное (в конце месяца)",F409='депозитный калькулятор'!$D$8,EOMONTH(F409,0)&lt;&gt;F409),IF('депозитный калькулятор'!$F$1=1,$H$24,SUM($H$23:H409)-SUM($I$23:I408)),IF(AND('депозитный калькулятор'!$G$10="ежемесячное (в конце месяца)",EOMONTH(F409,0)=F409),SUM($H$23:H409)-SUM($I$23:I408),IF(AND('депозитный калькулятор'!$G$10="ежемесячное (по дням открытия вклада)",F409='депозитный калькулятор'!$D$8,DAY('депозитный калькулятор'!$D$7)&lt;&gt;DAY(F409)),IF('депозитный калькулятор'!$F$1=1,$H$24,SUM($H$23:H409)-SUM($I$23:I408)),IF(AND('депозитный калькулятор'!$G$10="ежемесячное (по дням открытия вклада)",DAY('депозитный калькулятор'!$D$7)=DAY(F409)),SUM($H$23:H409)-SUM($I$23:I408),IF(AND('депозитный калькулятор'!$G$10="ежемесячное, на минимальную сумму зафиксированную в течение месяца",F409='депозитный калькулятор'!$D$8,EOMONTH(F409,0)&lt;&gt;F409),IF('депозитный калькулятор'!$F$1=1,$H$24,IF(AND(OR('депозитный калькулятор'!$G$7="30/365",'депозитный калькулятор'!$G$7="30/360"),DAY(F409)=31),0,MIN(OFFSET(H409,-E409+1,0):H409)*(E409+SUMIF(OFFSET(A409,-E409+1,0):A409,"=2",OFFSET(A409,-E409+1,0):A409)))),IF(AND('депозитный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калькулятор'!$G$7="30/360"),DAY(EOMONTH(F409,0))=31),EOMONTH(F409,0)-1=F409,EOMONTH(F409,0)=F409)),IF(IF(AND(OR('депозитный калькулятор'!$G$7="30/365",'депозитный калькулятор'!$G$7="30/360"),DAY(EOMONTH($F$23,0))=31),F409=EOMONTH($F$23,0)-1,F409=EOMONTH($F$23,0)),MIN(OFFSET(H409,-(DAY(F409)-DAY($F$23)),0):H409)*E409,MIN(OFFSET(H409,-(DAY(F409)-1),0):H409)*IF(AND(OR('депозитный калькулятор'!$G$7="30/365",'депозитный калькулятор'!$G$7="30/360"),DAY(F409)&lt;30),30,DAY(F409))),IF(AND('депозитный калькулятор'!$G$10="ежемесячное, на средний остаток в течение месяца, при условии что остаток больше чем ограничение",F409='депозитный калькулятор'!$D$8,EOMONTH(F409,0)&lt;&gt;F409),IF('депозитный калькулятор'!$F$1=1,$H$24,SUM(OFFSET(Q409,-E409+1,0):Q409)),IF(AND('депозитный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калькулятор'!$G$7="30/360"),DAY(EOMONTH(F409,0))=31),EOMONTH(F409,0)-1=F409,EOMONTH(F409,0)=F409)),IF(IF(AND(OR('депозитный калькулятор'!$G$7="30/365",'депозитный калькулятор'!$G$7="30/360"),DAY(EOMONTH($F$24,0))=31),F409=EOMONTH($F$24,0)-1,F409=EOMONTH($F$24,0)),SUM(OFFSET(Q409,-E409+1,0):Q409),SUM(OFFSET(Q409,-E409+1,0):Q409)),IF('депозитный калькулятор'!$G$10="ежеквартальное",IF(F409&gt;'депозитный калькулятор'!$D$8," ",IF(AND(EOMONTH(F409,0)=F409,OR(MONTH(F409)=3,MONTH(F409)=6,MONTH(F409)=9,MONTH(F409)=12)),IF(EDATE(F409,-3)&lt;'депозитный калькулятор'!$D$7,SUM($H$23:H409),IF(MOD(YEAR(F409),4)=0,IF(AND(EOMONTH(F409,0)=F409,OR(MONTH(F409)=3,MONTH(F409)=6)),SUM(OFFSET(H409,-90,0):H409),IF(AND(EOMONTH(F409,0)=F409,OR(MONTH(F409)=9,MONTH(F409)=12)),SUM(OFFSET(H409,-91,0):H409))),IF(AND(EOMONTH(F409,0)=F409,MONTH(F409)=3),SUM(OFFSET(H409,-89,0):H409),IF(AND(EOMONTH(F409,0)=F409,MONTH(F409)=6),SUM(OFFSET(H409,-90,0):H409),IF(AND(EOMONTH(F409,0)=F409,OR(MONTH(F409)=9,MONTH(F409)=12)),SUM(OFFSET(H409,-91,0):H409)))))),IF(F409='депозитный калькулятор'!$D$8,SUM($H$23:H409)-SUM($I$23:I408),0))),IF('депозитный калькулятор'!$G$10="ежегодное",IF(F409&gt;'депозитный калькулятор'!$D$8," ",IF(F409='депозитный калькулятор'!$D$8,SUM($H$23:H409)-SUM($I$23:I408),IF(AND(EOMONTH(F409,0)=F409,MONTH(F409)=12),IF(MOD(YEAR(F408),4)=0,IF(F409-'депозитный калькулятор'!$D$7&lt;366,SUM($H$23:H409),SUM(OFFSET(H409,-365,0):H409)),IF(F409-'депозитный калькулятор'!$D$7&lt;365,SUM($H$23:H409),SUM(OFFSET(H409,-364,0):H409))),0))),IF(AND('депозитный калькулятор'!$G$10="в конце срока",'депозитный калькулятор'!$D$8=F409),SUM($H$23:H409),0))))))))))))))))))</f>
        <v xml:space="preserve"> </v>
      </c>
      <c r="J409" s="59" t="str">
        <f>IF(F409&gt;'депозитный калькулятор'!$D$8," ",IF('депозитный калькулятор'!$G$16="нет",0,IF(AND('депозитный калькулятор'!$G$17="разовая (в конце срока)",F409='депозитный калькулятор'!$D$8),'депозитный калькулятор'!$G$18,IF(AND('депозитный калькулятор'!$G$17="ежемесячная",EOMONTH(F408,0)=F408),'депозитный калькулятор'!$G$18,IF(AND('депозитный калькулятор'!$G$17="ежегодная",DAY(F408)=31,MONTH(F408)=12),'депозитный калькулятор'!$G$18,IF(AND('депозитный калькулятор'!$G$17="ежемесячная в зависимости от остатка",EOMONTH(F408,0)=F408,P408&gt;0),'депозитный калькулятор'!$G$18,IF(AND('депозитный калькулятор'!$G$17="ежегодная в зависимости от остатка",DAY(F408)=31,MONTH(F408)=12,P408&gt;0),'депозитный калькулятор'!$G$18,0)))))))</f>
        <v xml:space="preserve"> </v>
      </c>
      <c r="K409" s="135" t="str">
        <f>IF($F409=" "," ",IFERROR(VLOOKUP($F409,'депозитный калькулятор'!$B$26:$F$70,2,0),0))</f>
        <v xml:space="preserve"> </v>
      </c>
      <c r="L409" s="135" t="str">
        <f>IF($F409=" "," ",IFERROR(VLOOKUP($F409,'депозитный калькулятор'!$B$26:$F$70,3,0),0))</f>
        <v xml:space="preserve"> </v>
      </c>
      <c r="M409" s="135" t="str">
        <f>IF($F409=" "," ",IFERROR(VLOOKUP($F409,'депозитный калькулятор'!$B$26:$F$70,4,0),0))</f>
        <v xml:space="preserve"> </v>
      </c>
      <c r="N409" s="135" t="str">
        <f>IF($F409=" "," ",IFERROR(VLOOKUP($F409,'депозитный калькулятор'!$B$26:$F$70,5,0),0))</f>
        <v xml:space="preserve"> </v>
      </c>
      <c r="O409" s="146" t="str">
        <f>IF(F409&gt;'депозитный калькулятор'!$D$8," ",IF(F409='депозитный калькулятор'!$D$8,IF(AND($F$24='депозитный калькулятор'!$D$8,'депозитный калькулятор'!$G$13="нет"),-G409-IF(I409=" ",0,I409)-IF(AND(OR('депозитный калькулятор'!$G$7="30/365",'депозитный калькулятор'!$G$7="30/360"),'депозитный калькулятор'!$G$10="в начале срока"),I408,0)-L409+M409-N409,-G409-IF(I409=" ",0,I409)-L409+M409-N409),IF('депозитный калькулятор'!$G$13="есть",M409-N409+IF('депозитный калькулятор'!$G$14="есть",0,-L409),-IF(I409=" ",0,I409)-IF(AND(OR('депозитный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срока"),I408,0)+M409-N409+IF('депозитный калькулятор'!$G$14="есть",0,-L409))))</f>
        <v xml:space="preserve"> </v>
      </c>
      <c r="P409" s="147" t="str">
        <f>IF(F409&gt;'депозитный калькулятор'!$D$8," ",IF(EOMONTH(F408,0)=F408,0,IF(G409&gt;='депозитный калькулятор'!$G$19,P408,P408+1)))</f>
        <v xml:space="preserve"> </v>
      </c>
      <c r="Q409" s="138" t="str">
        <f>IF(F409=" "," ",IF(AND(OR('депозитный калькулятор'!$G$7="30/365",'депозитный калькулятор'!$G$7="30/360"),AND(MONTH(F409)=2,EOMONTH(F409,0)=F409)),IF(DAY(F409)=28,3,2),1)*IF(G409&gt;='депозитный калькулятор'!$G$11,IF(AND('депозитный калькулятор'!$G$7="факт/факт",MOD(YEAR(F409),4)=0),G409*'депозитный калькулятор'!$D$11/366,G409*'депозитный калькулятор'!$G$8),0))</f>
        <v xml:space="preserve"> </v>
      </c>
      <c r="R409" s="158"/>
      <c r="S409" s="62" t="str">
        <f t="shared" ca="1" si="32"/>
        <v xml:space="preserve"> </v>
      </c>
      <c r="T409" s="149" t="str">
        <f ca="1">IF(S409=" "," ",IF('депозитный калькулятор'!$G$7="30/360",DAYS360(U408,IF(DAY(U409)=31,U409-1,U409))+IF(AND(MONTH(U409)=2,U409=EOMONTH(U409,0)),30-DAY(EOMONTH(U409,0)))+T408,VLOOKUP(S409,$C$22:$F$1023,2,0)))</f>
        <v xml:space="preserve"> </v>
      </c>
      <c r="U409" s="64" t="str">
        <f t="shared" ca="1" si="30"/>
        <v xml:space="preserve"> </v>
      </c>
      <c r="V409" s="150" t="str">
        <f t="shared" ca="1" si="33"/>
        <v xml:space="preserve"> </v>
      </c>
      <c r="W409" s="62" t="str">
        <f t="shared" ca="1" si="34"/>
        <v xml:space="preserve"> </v>
      </c>
      <c r="X409" s="141" t="str">
        <f ca="1">IF(S409=" "," ",IFERROR(VLOOKUP(U409,$F$23:$N$1023,7)+VLOOKUP(U409,$F$23:$N$1023,9)+IF(AND('депозитный калькулятор'!$G$13="нет",U409&lt;&gt;'депозитный калькулятор'!$D$8),VLOOKUP(U409,$F$23:$N$1023,4),0),0)+IF(U409='депозитный калькулятор'!$D$8,VLOOKUP(U409,$F$23:$N$1023,2)+VLOOKUP(U409,$F$23:$N$1023,4),0))</f>
        <v xml:space="preserve"> </v>
      </c>
      <c r="Y409" s="142" t="str">
        <f ca="1">IF(S409=" "," ",W409/(1+'депозитный калькулятор'!$K$8)^(T409/IF('депозитный калькулятор'!$G$7="30/360",360,365)))</f>
        <v xml:space="preserve"> </v>
      </c>
      <c r="Z409" s="142" t="str">
        <f ca="1">IF(S409=" "," ",X409/(1+'депозитный калькулятор'!$K$8)^(T409/IF('депозитный калькулятор'!$G$7="30/360",360,365)))</f>
        <v xml:space="preserve"> </v>
      </c>
      <c r="AA409" s="151"/>
      <c r="AB409" s="151"/>
      <c r="AC409" s="155"/>
      <c r="AD409" s="155"/>
    </row>
    <row r="410" spans="1:30" s="2" customFormat="1" ht="15.5" x14ac:dyDescent="0.35">
      <c r="A410" s="41" t="str">
        <f>IF(F410=" "," ",IF(OR('депозитный калькулятор'!$G$7="30/365",'депозитный калькулятор'!$G$7="30/360"),IF(AND(MONTH(F410)=2,DAY(F410)=DAY(EOMONTH(F410,0))),30-DAY(EOMONTH(F410,0)),IF(DAY(F410)=31,1," "))," "))</f>
        <v xml:space="preserve"> </v>
      </c>
      <c r="B410" s="130" t="str">
        <f t="shared" si="31"/>
        <v xml:space="preserve"> </v>
      </c>
      <c r="C410" s="130" t="str">
        <f>IF(OR(B410=0,B410=" ")," ",SUM($B$23:B410))</f>
        <v xml:space="preserve"> </v>
      </c>
      <c r="D410" s="62" t="str">
        <f>IF(D409=" "," ",IF(OR(F409='депозитный калькулятор'!$D$8,F409=" ")," ",D409+1))</f>
        <v xml:space="preserve"> </v>
      </c>
      <c r="E410" s="130" t="str">
        <f>IF(OR(F409='депозитный калькулятор'!$D$8,F409=" ")," ",IF(EOMONTH(F409,0)=F409,1,E409+1))</f>
        <v xml:space="preserve"> </v>
      </c>
      <c r="F410" s="64" t="str">
        <f>IF(F409=" "," ",IF(F409='депозитный калькулятор'!$D$8," ",F409+1))</f>
        <v xml:space="preserve"> </v>
      </c>
      <c r="G410" s="145" t="str">
        <f xml:space="preserve"> IF(F410&gt;'депозитный калькулятор'!$D$8," ",IF('депозитный калькулятор'!$G$13="есть",IF('депозитный калькулятор'!$G$14="есть",G409+IF(I409=" ",0,I409)-J410-K410+L410+M410-N410,G409+IF(I409=" ",0,I409)-J410-K410+M410-N410),IF('депозитный калькулятор'!$G$14="есть",G409-J410-K410+L410+M410-N410,G409-J410-K410+M410-N410)))</f>
        <v xml:space="preserve"> </v>
      </c>
      <c r="H410" s="133" t="str">
        <f>IF(F410&gt;'депозитный калькулятор'!$D$8," ",IF(AND(OR('депозитный калькулятор'!$G$7="30/365",'депозитный калькулятор'!$G$7="30/360"),AND(MONTH(F410)=2,EOMONTH(F410,0)=F410)),IF(DAY(F410)=28,3*G410*'депозитный калькулятор'!$G$8,2*G410*'депозитный калькулятор'!$G$8),IF(AND(OR('депозитный калькулятор'!$G$7="30/365",'депозитный калькулятор'!$G$7="30/360"),DAY(F410)=31)," ",IF(AND('депозитный калькулятор'!$G$7="факт/факт",MOD(YEAR(F410),4)=0),G410*'депозитный калькулятор'!$D$11/366,G410*'депозитный калькулятор'!$G$8))))</f>
        <v xml:space="preserve"> </v>
      </c>
      <c r="I410" s="134" t="str">
        <f ca="1">IF(F410=" "," ",IF('депозитный калькулятор'!$G$10="ежедневное",H410,IF(AND('депозитный калькулятор'!$G$10="еженедельное",WEEKDAY(F410,2)=7),SUM(OFFSET(H410,-6,0):H410),IF(AND('депозитный калькулятор'!$G$10="еженедельное",F410='депозитный калькулятор'!$D$8),SUM($H$23:H410)-SUM($I$23:I409),IF(AND('депозитный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недели",WEEKDAY(F410,2)=7),MIN(OFFSET(H410,-6,0):H410)*(COUNTIF(OFFSET(H410,-6,0):H410,"&gt;0")+SUMIF(OFFSET(A410,-WEEKDAY(F410,2),0):A410,"=2",OFFSET(A410,-WEEKDAY(F410,2),0):A410)),IF(AND('депозитный калькулятор'!$G$10="еженедельное, на минимальную сумму зафиксированную в течение недели",F410='депозитный калькулятор'!$D$8,WEEKDAY(F410,2)&lt;&gt;7),MIN(OFFSET(H410,-WEEKDAY(F410,2),0):H410)*(COUNTIF(OFFSET(H410,-WEEKDAY(F410,2)+1,0):H410,"&gt;0")+SUM(OFFSET(A410,-WEEKDAY(F410,2),0):A410)),IF(AND('депозитный калькулятор'!$G$10="ежемесячное (в конце месяца)",F410='депозитный калькулятор'!$D$8,EOMONTH(F410,0)&lt;&gt;F410),IF('депозитный калькулятор'!$F$1=1,$H$24,SUM($H$23:H410)-SUM($I$23:I409)),IF(AND('депозитный калькулятор'!$G$10="ежемесячное (в конце месяца)",EOMONTH(F410,0)=F410),SUM($H$23:H410)-SUM($I$23:I409),IF(AND('депозитный калькулятор'!$G$10="ежемесячное (по дням открытия вклада)",F410='депозитный калькулятор'!$D$8,DAY('депозитный калькулятор'!$D$7)&lt;&gt;DAY(F410)),IF('депозитный калькулятор'!$F$1=1,$H$24,SUM($H$23:H410)-SUM($I$23:I409)),IF(AND('депозитный калькулятор'!$G$10="ежемесячное (по дням открытия вклада)",DAY('депозитный калькулятор'!$D$7)=DAY(F410)),SUM($H$23:H410)-SUM($I$23:I409),IF(AND('депозитный калькулятор'!$G$10="ежемесячное, на минимальную сумму зафиксированную в течение месяца",F410='депозитный калькулятор'!$D$8,EOMONTH(F410,0)&lt;&gt;F410),IF('депозитный калькулятор'!$F$1=1,$H$24,IF(AND(OR('депозитный калькулятор'!$G$7="30/365",'депозитный калькулятор'!$G$7="30/360"),DAY(F410)=31),0,MIN(OFFSET(H410,-E410+1,0):H410)*(E410+SUMIF(OFFSET(A410,-E410+1,0):A410,"=2",OFFSET(A410,-E410+1,0):A410)))),IF(AND('депозитный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калькулятор'!$G$7="30/360"),DAY(EOMONTH(F410,0))=31),EOMONTH(F410,0)-1=F410,EOMONTH(F410,0)=F410)),IF(IF(AND(OR('депозитный калькулятор'!$G$7="30/365",'депозитный калькулятор'!$G$7="30/360"),DAY(EOMONTH($F$23,0))=31),F410=EOMONTH($F$23,0)-1,F410=EOMONTH($F$23,0)),MIN(OFFSET(H410,-(DAY(F410)-DAY($F$23)),0):H410)*E410,MIN(OFFSET(H410,-(DAY(F410)-1),0):H410)*IF(AND(OR('депозитный калькулятор'!$G$7="30/365",'депозитный калькулятор'!$G$7="30/360"),DAY(F410)&lt;30),30,DAY(F410))),IF(AND('депозитный калькулятор'!$G$10="ежемесячное, на средний остаток в течение месяца, при условии что остаток больше чем ограничение",F410='депозитный калькулятор'!$D$8,EOMONTH(F410,0)&lt;&gt;F410),IF('депозитный калькулятор'!$F$1=1,$H$24,SUM(OFFSET(Q410,-E410+1,0):Q410)),IF(AND('депозитный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калькулятор'!$G$7="30/360"),DAY(EOMONTH(F410,0))=31),EOMONTH(F410,0)-1=F410,EOMONTH(F410,0)=F410)),IF(IF(AND(OR('депозитный калькулятор'!$G$7="30/365",'депозитный калькулятор'!$G$7="30/360"),DAY(EOMONTH($F$24,0))=31),F410=EOMONTH($F$24,0)-1,F410=EOMONTH($F$24,0)),SUM(OFFSET(Q410,-E410+1,0):Q410),SUM(OFFSET(Q410,-E410+1,0):Q410)),IF('депозитный калькулятор'!$G$10="ежеквартальное",IF(F410&gt;'депозитный калькулятор'!$D$8," ",IF(AND(EOMONTH(F410,0)=F410,OR(MONTH(F410)=3,MONTH(F410)=6,MONTH(F410)=9,MONTH(F410)=12)),IF(EDATE(F410,-3)&lt;'депозитный калькулятор'!$D$7,SUM($H$23:H410),IF(MOD(YEAR(F410),4)=0,IF(AND(EOMONTH(F410,0)=F410,OR(MONTH(F410)=3,MONTH(F410)=6)),SUM(OFFSET(H410,-90,0):H410),IF(AND(EOMONTH(F410,0)=F410,OR(MONTH(F410)=9,MONTH(F410)=12)),SUM(OFFSET(H410,-91,0):H410))),IF(AND(EOMONTH(F410,0)=F410,MONTH(F410)=3),SUM(OFFSET(H410,-89,0):H410),IF(AND(EOMONTH(F410,0)=F410,MONTH(F410)=6),SUM(OFFSET(H410,-90,0):H410),IF(AND(EOMONTH(F410,0)=F410,OR(MONTH(F410)=9,MONTH(F410)=12)),SUM(OFFSET(H410,-91,0):H410)))))),IF(F410='депозитный калькулятор'!$D$8,SUM($H$23:H410)-SUM($I$23:I409),0))),IF('депозитный калькулятор'!$G$10="ежегодное",IF(F410&gt;'депозитный калькулятор'!$D$8," ",IF(F410='депозитный калькулятор'!$D$8,SUM($H$23:H410)-SUM($I$23:I409),IF(AND(EOMONTH(F410,0)=F410,MONTH(F410)=12),IF(MOD(YEAR(F409),4)=0,IF(F410-'депозитный калькулятор'!$D$7&lt;366,SUM($H$23:H410),SUM(OFFSET(H410,-365,0):H410)),IF(F410-'депозитный калькулятор'!$D$7&lt;365,SUM($H$23:H410),SUM(OFFSET(H410,-364,0):H410))),0))),IF(AND('депозитный калькулятор'!$G$10="в конце срока",'депозитный калькулятор'!$D$8=F410),SUM($H$23:H410),0))))))))))))))))))</f>
        <v xml:space="preserve"> </v>
      </c>
      <c r="J410" s="59" t="str">
        <f>IF(F410&gt;'депозитный калькулятор'!$D$8," ",IF('депозитный калькулятор'!$G$16="нет",0,IF(AND('депозитный калькулятор'!$G$17="разовая (в конце срока)",F410='депозитный калькулятор'!$D$8),'депозитный калькулятор'!$G$18,IF(AND('депозитный калькулятор'!$G$17="ежемесячная",EOMONTH(F409,0)=F409),'депозитный калькулятор'!$G$18,IF(AND('депозитный калькулятор'!$G$17="ежегодная",DAY(F409)=31,MONTH(F409)=12),'депозитный калькулятор'!$G$18,IF(AND('депозитный калькулятор'!$G$17="ежемесячная в зависимости от остатка",EOMONTH(F409,0)=F409,P409&gt;0),'депозитный калькулятор'!$G$18,IF(AND('депозитный калькулятор'!$G$17="ежегодная в зависимости от остатка",DAY(F409)=31,MONTH(F409)=12,P409&gt;0),'депозитный калькулятор'!$G$18,0)))))))</f>
        <v xml:space="preserve"> </v>
      </c>
      <c r="K410" s="135" t="str">
        <f>IF($F410=" "," ",IFERROR(VLOOKUP($F410,'депозитный калькулятор'!$B$26:$F$70,2,0),0))</f>
        <v xml:space="preserve"> </v>
      </c>
      <c r="L410" s="135" t="str">
        <f>IF($F410=" "," ",IFERROR(VLOOKUP($F410,'депозитный калькулятор'!$B$26:$F$70,3,0),0))</f>
        <v xml:space="preserve"> </v>
      </c>
      <c r="M410" s="135" t="str">
        <f>IF($F410=" "," ",IFERROR(VLOOKUP($F410,'депозитный калькулятор'!$B$26:$F$70,4,0),0))</f>
        <v xml:space="preserve"> </v>
      </c>
      <c r="N410" s="135" t="str">
        <f>IF($F410=" "," ",IFERROR(VLOOKUP($F410,'депозитный калькулятор'!$B$26:$F$70,5,0),0))</f>
        <v xml:space="preserve"> </v>
      </c>
      <c r="O410" s="146" t="str">
        <f>IF(F410&gt;'депозитный калькулятор'!$D$8," ",IF(F410='депозитный калькулятор'!$D$8,IF(AND($F$24='депозитный калькулятор'!$D$8,'депозитный калькулятор'!$G$13="нет"),-G410-IF(I410=" ",0,I410)-IF(AND(OR('депозитный калькулятор'!$G$7="30/365",'депозитный калькулятор'!$G$7="30/360"),'депозитный калькулятор'!$G$10="в начале срока"),I409,0)-L410+M410-N410,-G410-IF(I410=" ",0,I410)-L410+M410-N410),IF('депозитный калькулятор'!$G$13="есть",M410-N410+IF('депозитный калькулятор'!$G$14="есть",0,-L410),-IF(I410=" ",0,I410)-IF(AND(OR('депозитный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срока"),I409,0)+M410-N410+IF('депозитный калькулятор'!$G$14="есть",0,-L410))))</f>
        <v xml:space="preserve"> </v>
      </c>
      <c r="P410" s="147" t="str">
        <f>IF(F410&gt;'депозитный калькулятор'!$D$8," ",IF(EOMONTH(F409,0)=F409,0,IF(G410&gt;='депозитный калькулятор'!$G$19,P409,P409+1)))</f>
        <v xml:space="preserve"> </v>
      </c>
      <c r="Q410" s="138" t="str">
        <f>IF(F410=" "," ",IF(AND(OR('депозитный калькулятор'!$G$7="30/365",'депозитный калькулятор'!$G$7="30/360"),AND(MONTH(F410)=2,EOMONTH(F410,0)=F410)),IF(DAY(F410)=28,3,2),1)*IF(G410&gt;='депозитный калькулятор'!$G$11,IF(AND('депозитный калькулятор'!$G$7="факт/факт",MOD(YEAR(F410),4)=0),G410*'депозитный калькулятор'!$D$11/366,G410*'депозитный калькулятор'!$G$8),0))</f>
        <v xml:space="preserve"> </v>
      </c>
      <c r="R410" s="158"/>
      <c r="S410" s="62" t="str">
        <f t="shared" ca="1" si="32"/>
        <v xml:space="preserve"> </v>
      </c>
      <c r="T410" s="149" t="str">
        <f ca="1">IF(S410=" "," ",IF('депозитный калькулятор'!$G$7="30/360",DAYS360(U409,IF(DAY(U410)=31,U410-1,U410))+IF(AND(MONTH(U410)=2,U410=EOMONTH(U410,0)),30-DAY(EOMONTH(U410,0)))+T409,VLOOKUP(S410,$C$22:$F$1023,2,0)))</f>
        <v xml:space="preserve"> </v>
      </c>
      <c r="U410" s="64" t="str">
        <f t="shared" ca="1" si="30"/>
        <v xml:space="preserve"> </v>
      </c>
      <c r="V410" s="150" t="str">
        <f t="shared" ca="1" si="33"/>
        <v xml:space="preserve"> </v>
      </c>
      <c r="W410" s="62" t="str">
        <f t="shared" ca="1" si="34"/>
        <v xml:space="preserve"> </v>
      </c>
      <c r="X410" s="141" t="str">
        <f ca="1">IF(S410=" "," ",IFERROR(VLOOKUP(U410,$F$23:$N$1023,7)+VLOOKUP(U410,$F$23:$N$1023,9)+IF(AND('депозитный калькулятор'!$G$13="нет",U410&lt;&gt;'депозитный калькулятор'!$D$8),VLOOKUP(U410,$F$23:$N$1023,4),0),0)+IF(U410='депозитный калькулятор'!$D$8,VLOOKUP(U410,$F$23:$N$1023,2)+VLOOKUP(U410,$F$23:$N$1023,4),0))</f>
        <v xml:space="preserve"> </v>
      </c>
      <c r="Y410" s="142" t="str">
        <f ca="1">IF(S410=" "," ",W410/(1+'депозитный калькулятор'!$K$8)^(T410/IF('депозитный калькулятор'!$G$7="30/360",360,365)))</f>
        <v xml:space="preserve"> </v>
      </c>
      <c r="Z410" s="142" t="str">
        <f ca="1">IF(S410=" "," ",X410/(1+'депозитный калькулятор'!$K$8)^(T410/IF('депозитный калькулятор'!$G$7="30/360",360,365)))</f>
        <v xml:space="preserve"> </v>
      </c>
      <c r="AA410" s="151"/>
      <c r="AB410" s="151"/>
      <c r="AC410" s="155"/>
      <c r="AD410" s="155"/>
    </row>
    <row r="411" spans="1:30" s="2" customFormat="1" ht="15.5" x14ac:dyDescent="0.35">
      <c r="A411" s="41" t="str">
        <f>IF(F411=" "," ",IF(OR('депозитный калькулятор'!$G$7="30/365",'депозитный калькулятор'!$G$7="30/360"),IF(AND(MONTH(F411)=2,DAY(F411)=DAY(EOMONTH(F411,0))),30-DAY(EOMONTH(F411,0)),IF(DAY(F411)=31,1," "))," "))</f>
        <v xml:space="preserve"> </v>
      </c>
      <c r="B411" s="130" t="str">
        <f t="shared" si="31"/>
        <v xml:space="preserve"> </v>
      </c>
      <c r="C411" s="130" t="str">
        <f>IF(OR(B411=0,B411=" ")," ",SUM($B$23:B411))</f>
        <v xml:space="preserve"> </v>
      </c>
      <c r="D411" s="62" t="str">
        <f>IF(D410=" "," ",IF(OR(F410='депозитный калькулятор'!$D$8,F410=" ")," ",D410+1))</f>
        <v xml:space="preserve"> </v>
      </c>
      <c r="E411" s="130" t="str">
        <f>IF(OR(F410='депозитный калькулятор'!$D$8,F410=" ")," ",IF(EOMONTH(F410,0)=F410,1,E410+1))</f>
        <v xml:space="preserve"> </v>
      </c>
      <c r="F411" s="64" t="str">
        <f>IF(F410=" "," ",IF(F410='депозитный калькулятор'!$D$8," ",F410+1))</f>
        <v xml:space="preserve"> </v>
      </c>
      <c r="G411" s="145" t="str">
        <f xml:space="preserve"> IF(F411&gt;'депозитный калькулятор'!$D$8," ",IF('депозитный калькулятор'!$G$13="есть",IF('депозитный калькулятор'!$G$14="есть",G410+IF(I410=" ",0,I410)-J411-K411+L411+M411-N411,G410+IF(I410=" ",0,I410)-J411-K411+M411-N411),IF('депозитный калькулятор'!$G$14="есть",G410-J411-K411+L411+M411-N411,G410-J411-K411+M411-N411)))</f>
        <v xml:space="preserve"> </v>
      </c>
      <c r="H411" s="133" t="str">
        <f>IF(F411&gt;'депозитный калькулятор'!$D$8," ",IF(AND(OR('депозитный калькулятор'!$G$7="30/365",'депозитный калькулятор'!$G$7="30/360"),AND(MONTH(F411)=2,EOMONTH(F411,0)=F411)),IF(DAY(F411)=28,3*G411*'депозитный калькулятор'!$G$8,2*G411*'депозитный калькулятор'!$G$8),IF(AND(OR('депозитный калькулятор'!$G$7="30/365",'депозитный калькулятор'!$G$7="30/360"),DAY(F411)=31)," ",IF(AND('депозитный калькулятор'!$G$7="факт/факт",MOD(YEAR(F411),4)=0),G411*'депозитный калькулятор'!$D$11/366,G411*'депозитный калькулятор'!$G$8))))</f>
        <v xml:space="preserve"> </v>
      </c>
      <c r="I411" s="134" t="str">
        <f ca="1">IF(F411=" "," ",IF('депозитный калькулятор'!$G$10="ежедневное",H411,IF(AND('депозитный калькулятор'!$G$10="еженедельное",WEEKDAY(F411,2)=7),SUM(OFFSET(H411,-6,0):H411),IF(AND('депозитный калькулятор'!$G$10="еженедельное",F411='депозитный калькулятор'!$D$8),SUM($H$23:H411)-SUM($I$23:I410),IF(AND('депозитный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недели",WEEKDAY(F411,2)=7),MIN(OFFSET(H411,-6,0):H411)*(COUNTIF(OFFSET(H411,-6,0):H411,"&gt;0")+SUMIF(OFFSET(A411,-WEEKDAY(F411,2),0):A411,"=2",OFFSET(A411,-WEEKDAY(F411,2),0):A411)),IF(AND('депозитный калькулятор'!$G$10="еженедельное, на минимальную сумму зафиксированную в течение недели",F411='депозитный калькулятор'!$D$8,WEEKDAY(F411,2)&lt;&gt;7),MIN(OFFSET(H411,-WEEKDAY(F411,2),0):H411)*(COUNTIF(OFFSET(H411,-WEEKDAY(F411,2)+1,0):H411,"&gt;0")+SUM(OFFSET(A411,-WEEKDAY(F411,2),0):A411)),IF(AND('депозитный калькулятор'!$G$10="ежемесячное (в конце месяца)",F411='депозитный калькулятор'!$D$8,EOMONTH(F411,0)&lt;&gt;F411),IF('депозитный калькулятор'!$F$1=1,$H$24,SUM($H$23:H411)-SUM($I$23:I410)),IF(AND('депозитный калькулятор'!$G$10="ежемесячное (в конце месяца)",EOMONTH(F411,0)=F411),SUM($H$23:H411)-SUM($I$23:I410),IF(AND('депозитный калькулятор'!$G$10="ежемесячное (по дням открытия вклада)",F411='депозитный калькулятор'!$D$8,DAY('депозитный калькулятор'!$D$7)&lt;&gt;DAY(F411)),IF('депозитный калькулятор'!$F$1=1,$H$24,SUM($H$23:H411)-SUM($I$23:I410)),IF(AND('депозитный калькулятор'!$G$10="ежемесячное (по дням открытия вклада)",DAY('депозитный калькулятор'!$D$7)=DAY(F411)),SUM($H$23:H411)-SUM($I$23:I410),IF(AND('депозитный калькулятор'!$G$10="ежемесячное, на минимальную сумму зафиксированную в течение месяца",F411='депозитный калькулятор'!$D$8,EOMONTH(F411,0)&lt;&gt;F411),IF('депозитный калькулятор'!$F$1=1,$H$24,IF(AND(OR('депозитный калькулятор'!$G$7="30/365",'депозитный калькулятор'!$G$7="30/360"),DAY(F411)=31),0,MIN(OFFSET(H411,-E411+1,0):H411)*(E411+SUMIF(OFFSET(A411,-E411+1,0):A411,"=2",OFFSET(A411,-E411+1,0):A411)))),IF(AND('депозитный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калькулятор'!$G$7="30/360"),DAY(EOMONTH(F411,0))=31),EOMONTH(F411,0)-1=F411,EOMONTH(F411,0)=F411)),IF(IF(AND(OR('депозитный калькулятор'!$G$7="30/365",'депозитный калькулятор'!$G$7="30/360"),DAY(EOMONTH($F$23,0))=31),F411=EOMONTH($F$23,0)-1,F411=EOMONTH($F$23,0)),MIN(OFFSET(H411,-(DAY(F411)-DAY($F$23)),0):H411)*E411,MIN(OFFSET(H411,-(DAY(F411)-1),0):H411)*IF(AND(OR('депозитный калькулятор'!$G$7="30/365",'депозитный калькулятор'!$G$7="30/360"),DAY(F411)&lt;30),30,DAY(F411))),IF(AND('депозитный калькулятор'!$G$10="ежемесячное, на средний остаток в течение месяца, при условии что остаток больше чем ограничение",F411='депозитный калькулятор'!$D$8,EOMONTH(F411,0)&lt;&gt;F411),IF('депозитный калькулятор'!$F$1=1,$H$24,SUM(OFFSET(Q411,-E411+1,0):Q411)),IF(AND('депозитный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калькулятор'!$G$7="30/360"),DAY(EOMONTH(F411,0))=31),EOMONTH(F411,0)-1=F411,EOMONTH(F411,0)=F411)),IF(IF(AND(OR('депозитный калькулятор'!$G$7="30/365",'депозитный калькулятор'!$G$7="30/360"),DAY(EOMONTH($F$24,0))=31),F411=EOMONTH($F$24,0)-1,F411=EOMONTH($F$24,0)),SUM(OFFSET(Q411,-E411+1,0):Q411),SUM(OFFSET(Q411,-E411+1,0):Q411)),IF('депозитный калькулятор'!$G$10="ежеквартальное",IF(F411&gt;'депозитный калькулятор'!$D$8," ",IF(AND(EOMONTH(F411,0)=F411,OR(MONTH(F411)=3,MONTH(F411)=6,MONTH(F411)=9,MONTH(F411)=12)),IF(EDATE(F411,-3)&lt;'депозитный калькулятор'!$D$7,SUM($H$23:H411),IF(MOD(YEAR(F411),4)=0,IF(AND(EOMONTH(F411,0)=F411,OR(MONTH(F411)=3,MONTH(F411)=6)),SUM(OFFSET(H411,-90,0):H411),IF(AND(EOMONTH(F411,0)=F411,OR(MONTH(F411)=9,MONTH(F411)=12)),SUM(OFFSET(H411,-91,0):H411))),IF(AND(EOMONTH(F411,0)=F411,MONTH(F411)=3),SUM(OFFSET(H411,-89,0):H411),IF(AND(EOMONTH(F411,0)=F411,MONTH(F411)=6),SUM(OFFSET(H411,-90,0):H411),IF(AND(EOMONTH(F411,0)=F411,OR(MONTH(F411)=9,MONTH(F411)=12)),SUM(OFFSET(H411,-91,0):H411)))))),IF(F411='депозитный калькулятор'!$D$8,SUM($H$23:H411)-SUM($I$23:I410),0))),IF('депозитный калькулятор'!$G$10="ежегодное",IF(F411&gt;'депозитный калькулятор'!$D$8," ",IF(F411='депозитный калькулятор'!$D$8,SUM($H$23:H411)-SUM($I$23:I410),IF(AND(EOMONTH(F411,0)=F411,MONTH(F411)=12),IF(MOD(YEAR(F410),4)=0,IF(F411-'депозитный калькулятор'!$D$7&lt;366,SUM($H$23:H411),SUM(OFFSET(H411,-365,0):H411)),IF(F411-'депозитный калькулятор'!$D$7&lt;365,SUM($H$23:H411),SUM(OFFSET(H411,-364,0):H411))),0))),IF(AND('депозитный калькулятор'!$G$10="в конце срока",'депозитный калькулятор'!$D$8=F411),SUM($H$23:H411),0))))))))))))))))))</f>
        <v xml:space="preserve"> </v>
      </c>
      <c r="J411" s="59" t="str">
        <f>IF(F411&gt;'депозитный калькулятор'!$D$8," ",IF('депозитный калькулятор'!$G$16="нет",0,IF(AND('депозитный калькулятор'!$G$17="разовая (в конце срока)",F411='депозитный калькулятор'!$D$8),'депозитный калькулятор'!$G$18,IF(AND('депозитный калькулятор'!$G$17="ежемесячная",EOMONTH(F410,0)=F410),'депозитный калькулятор'!$G$18,IF(AND('депозитный калькулятор'!$G$17="ежегодная",DAY(F410)=31,MONTH(F410)=12),'депозитный калькулятор'!$G$18,IF(AND('депозитный калькулятор'!$G$17="ежемесячная в зависимости от остатка",EOMONTH(F410,0)=F410,P410&gt;0),'депозитный калькулятор'!$G$18,IF(AND('депозитный калькулятор'!$G$17="ежегодная в зависимости от остатка",DAY(F410)=31,MONTH(F410)=12,P410&gt;0),'депозитный калькулятор'!$G$18,0)))))))</f>
        <v xml:space="preserve"> </v>
      </c>
      <c r="K411" s="135" t="str">
        <f>IF($F411=" "," ",IFERROR(VLOOKUP($F411,'депозитный калькулятор'!$B$26:$F$70,2,0),0))</f>
        <v xml:space="preserve"> </v>
      </c>
      <c r="L411" s="135" t="str">
        <f>IF($F411=" "," ",IFERROR(VLOOKUP($F411,'депозитный калькулятор'!$B$26:$F$70,3,0),0))</f>
        <v xml:space="preserve"> </v>
      </c>
      <c r="M411" s="135" t="str">
        <f>IF($F411=" "," ",IFERROR(VLOOKUP($F411,'депозитный калькулятор'!$B$26:$F$70,4,0),0))</f>
        <v xml:space="preserve"> </v>
      </c>
      <c r="N411" s="135" t="str">
        <f>IF($F411=" "," ",IFERROR(VLOOKUP($F411,'депозитный калькулятор'!$B$26:$F$70,5,0),0))</f>
        <v xml:space="preserve"> </v>
      </c>
      <c r="O411" s="146" t="str">
        <f>IF(F411&gt;'депозитный калькулятор'!$D$8," ",IF(F411='депозитный калькулятор'!$D$8,IF(AND($F$24='депозитный калькулятор'!$D$8,'депозитный калькулятор'!$G$13="нет"),-G411-IF(I411=" ",0,I411)-IF(AND(OR('депозитный калькулятор'!$G$7="30/365",'депозитный калькулятор'!$G$7="30/360"),'депозитный калькулятор'!$G$10="в начале срока"),I410,0)-L411+M411-N411,-G411-IF(I411=" ",0,I411)-L411+M411-N411),IF('депозитный калькулятор'!$G$13="есть",M411-N411+IF('депозитный калькулятор'!$G$14="есть",0,-L411),-IF(I411=" ",0,I411)-IF(AND(OR('депозитный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срока"),I410,0)+M411-N411+IF('депозитный калькулятор'!$G$14="есть",0,-L411))))</f>
        <v xml:space="preserve"> </v>
      </c>
      <c r="P411" s="147" t="str">
        <f>IF(F411&gt;'депозитный калькулятор'!$D$8," ",IF(EOMONTH(F410,0)=F410,0,IF(G411&gt;='депозитный калькулятор'!$G$19,P410,P410+1)))</f>
        <v xml:space="preserve"> </v>
      </c>
      <c r="Q411" s="138" t="str">
        <f>IF(F411=" "," ",IF(AND(OR('депозитный калькулятор'!$G$7="30/365",'депозитный калькулятор'!$G$7="30/360"),AND(MONTH(F411)=2,EOMONTH(F411,0)=F411)),IF(DAY(F411)=28,3,2),1)*IF(G411&gt;='депозитный калькулятор'!$G$11,IF(AND('депозитный калькулятор'!$G$7="факт/факт",MOD(YEAR(F411),4)=0),G411*'депозитный калькулятор'!$D$11/366,G411*'депозитный калькулятор'!$G$8),0))</f>
        <v xml:space="preserve"> </v>
      </c>
      <c r="R411" s="158"/>
      <c r="S411" s="62" t="str">
        <f t="shared" ca="1" si="32"/>
        <v xml:space="preserve"> </v>
      </c>
      <c r="T411" s="149" t="str">
        <f ca="1">IF(S411=" "," ",IF('депозитный калькулятор'!$G$7="30/360",DAYS360(U410,IF(DAY(U411)=31,U411-1,U411))+IF(AND(MONTH(U411)=2,U411=EOMONTH(U411,0)),30-DAY(EOMONTH(U411,0)))+T410,VLOOKUP(S411,$C$22:$F$1023,2,0)))</f>
        <v xml:space="preserve"> </v>
      </c>
      <c r="U411" s="64" t="str">
        <f t="shared" ca="1" si="30"/>
        <v xml:space="preserve"> </v>
      </c>
      <c r="V411" s="150" t="str">
        <f t="shared" ca="1" si="33"/>
        <v xml:space="preserve"> </v>
      </c>
      <c r="W411" s="62" t="str">
        <f t="shared" ca="1" si="34"/>
        <v xml:space="preserve"> </v>
      </c>
      <c r="X411" s="141" t="str">
        <f ca="1">IF(S411=" "," ",IFERROR(VLOOKUP(U411,$F$23:$N$1023,7)+VLOOKUP(U411,$F$23:$N$1023,9)+IF(AND('депозитный калькулятор'!$G$13="нет",U411&lt;&gt;'депозитный калькулятор'!$D$8),VLOOKUP(U411,$F$23:$N$1023,4),0),0)+IF(U411='депозитный калькулятор'!$D$8,VLOOKUP(U411,$F$23:$N$1023,2)+VLOOKUP(U411,$F$23:$N$1023,4),0))</f>
        <v xml:space="preserve"> </v>
      </c>
      <c r="Y411" s="142" t="str">
        <f ca="1">IF(S411=" "," ",W411/(1+'депозитный калькулятор'!$K$8)^(T411/IF('депозитный калькулятор'!$G$7="30/360",360,365)))</f>
        <v xml:space="preserve"> </v>
      </c>
      <c r="Z411" s="142" t="str">
        <f ca="1">IF(S411=" "," ",X411/(1+'депозитный калькулятор'!$K$8)^(T411/IF('депозитный калькулятор'!$G$7="30/360",360,365)))</f>
        <v xml:space="preserve"> </v>
      </c>
      <c r="AA411" s="151"/>
      <c r="AB411" s="151"/>
      <c r="AC411" s="155"/>
      <c r="AD411" s="155"/>
    </row>
    <row r="412" spans="1:30" s="2" customFormat="1" ht="15.5" x14ac:dyDescent="0.35">
      <c r="A412" s="41" t="str">
        <f>IF(F412=" "," ",IF(OR('депозитный калькулятор'!$G$7="30/365",'депозитный калькулятор'!$G$7="30/360"),IF(AND(MONTH(F412)=2,DAY(F412)=DAY(EOMONTH(F412,0))),30-DAY(EOMONTH(F412,0)),IF(DAY(F412)=31,1," "))," "))</f>
        <v xml:space="preserve"> </v>
      </c>
      <c r="B412" s="130" t="str">
        <f t="shared" si="31"/>
        <v xml:space="preserve"> </v>
      </c>
      <c r="C412" s="130" t="str">
        <f>IF(OR(B412=0,B412=" ")," ",SUM($B$23:B412))</f>
        <v xml:space="preserve"> </v>
      </c>
      <c r="D412" s="62" t="str">
        <f>IF(D411=" "," ",IF(OR(F411='депозитный калькулятор'!$D$8,F411=" ")," ",D411+1))</f>
        <v xml:space="preserve"> </v>
      </c>
      <c r="E412" s="130" t="str">
        <f>IF(OR(F411='депозитный калькулятор'!$D$8,F411=" ")," ",IF(EOMONTH(F411,0)=F411,1,E411+1))</f>
        <v xml:space="preserve"> </v>
      </c>
      <c r="F412" s="64" t="str">
        <f>IF(F411=" "," ",IF(F411='депозитный калькулятор'!$D$8," ",F411+1))</f>
        <v xml:space="preserve"> </v>
      </c>
      <c r="G412" s="145" t="str">
        <f xml:space="preserve"> IF(F412&gt;'депозитный калькулятор'!$D$8," ",IF('депозитный калькулятор'!$G$13="есть",IF('депозитный калькулятор'!$G$14="есть",G411+IF(I411=" ",0,I411)-J412-K412+L412+M412-N412,G411+IF(I411=" ",0,I411)-J412-K412+M412-N412),IF('депозитный калькулятор'!$G$14="есть",G411-J412-K412+L412+M412-N412,G411-J412-K412+M412-N412)))</f>
        <v xml:space="preserve"> </v>
      </c>
      <c r="H412" s="133" t="str">
        <f>IF(F412&gt;'депозитный калькулятор'!$D$8," ",IF(AND(OR('депозитный калькулятор'!$G$7="30/365",'депозитный калькулятор'!$G$7="30/360"),AND(MONTH(F412)=2,EOMONTH(F412,0)=F412)),IF(DAY(F412)=28,3*G412*'депозитный калькулятор'!$G$8,2*G412*'депозитный калькулятор'!$G$8),IF(AND(OR('депозитный калькулятор'!$G$7="30/365",'депозитный калькулятор'!$G$7="30/360"),DAY(F412)=31)," ",IF(AND('депозитный калькулятор'!$G$7="факт/факт",MOD(YEAR(F412),4)=0),G412*'депозитный калькулятор'!$D$11/366,G412*'депозитный калькулятор'!$G$8))))</f>
        <v xml:space="preserve"> </v>
      </c>
      <c r="I412" s="134" t="str">
        <f ca="1">IF(F412=" "," ",IF('депозитный калькулятор'!$G$10="ежедневное",H412,IF(AND('депозитный калькулятор'!$G$10="еженедельное",WEEKDAY(F412,2)=7),SUM(OFFSET(H412,-6,0):H412),IF(AND('депозитный калькулятор'!$G$10="еженедельное",F412='депозитный калькулятор'!$D$8),SUM($H$23:H412)-SUM($I$23:I411),IF(AND('депозитный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недели",WEEKDAY(F412,2)=7),MIN(OFFSET(H412,-6,0):H412)*(COUNTIF(OFFSET(H412,-6,0):H412,"&gt;0")+SUMIF(OFFSET(A412,-WEEKDAY(F412,2),0):A412,"=2",OFFSET(A412,-WEEKDAY(F412,2),0):A412)),IF(AND('депозитный калькулятор'!$G$10="еженедельное, на минимальную сумму зафиксированную в течение недели",F412='депозитный калькулятор'!$D$8,WEEKDAY(F412,2)&lt;&gt;7),MIN(OFFSET(H412,-WEEKDAY(F412,2),0):H412)*(COUNTIF(OFFSET(H412,-WEEKDAY(F412,2)+1,0):H412,"&gt;0")+SUM(OFFSET(A412,-WEEKDAY(F412,2),0):A412)),IF(AND('депозитный калькулятор'!$G$10="ежемесячное (в конце месяца)",F412='депозитный калькулятор'!$D$8,EOMONTH(F412,0)&lt;&gt;F412),IF('депозитный калькулятор'!$F$1=1,$H$24,SUM($H$23:H412)-SUM($I$23:I411)),IF(AND('депозитный калькулятор'!$G$10="ежемесячное (в конце месяца)",EOMONTH(F412,0)=F412),SUM($H$23:H412)-SUM($I$23:I411),IF(AND('депозитный калькулятор'!$G$10="ежемесячное (по дням открытия вклада)",F412='депозитный калькулятор'!$D$8,DAY('депозитный калькулятор'!$D$7)&lt;&gt;DAY(F412)),IF('депозитный калькулятор'!$F$1=1,$H$24,SUM($H$23:H412)-SUM($I$23:I411)),IF(AND('депозитный калькулятор'!$G$10="ежемесячное (по дням открытия вклада)",DAY('депозитный калькулятор'!$D$7)=DAY(F412)),SUM($H$23:H412)-SUM($I$23:I411),IF(AND('депозитный калькулятор'!$G$10="ежемесячное, на минимальную сумму зафиксированную в течение месяца",F412='депозитный калькулятор'!$D$8,EOMONTH(F412,0)&lt;&gt;F412),IF('депозитный калькулятор'!$F$1=1,$H$24,IF(AND(OR('депозитный калькулятор'!$G$7="30/365",'депозитный калькулятор'!$G$7="30/360"),DAY(F412)=31),0,MIN(OFFSET(H412,-E412+1,0):H412)*(E412+SUMIF(OFFSET(A412,-E412+1,0):A412,"=2",OFFSET(A412,-E412+1,0):A412)))),IF(AND('депозитный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калькулятор'!$G$7="30/360"),DAY(EOMONTH(F412,0))=31),EOMONTH(F412,0)-1=F412,EOMONTH(F412,0)=F412)),IF(IF(AND(OR('депозитный калькулятор'!$G$7="30/365",'депозитный калькулятор'!$G$7="30/360"),DAY(EOMONTH($F$23,0))=31),F412=EOMONTH($F$23,0)-1,F412=EOMONTH($F$23,0)),MIN(OFFSET(H412,-(DAY(F412)-DAY($F$23)),0):H412)*E412,MIN(OFFSET(H412,-(DAY(F412)-1),0):H412)*IF(AND(OR('депозитный калькулятор'!$G$7="30/365",'депозитный калькулятор'!$G$7="30/360"),DAY(F412)&lt;30),30,DAY(F412))),IF(AND('депозитный калькулятор'!$G$10="ежемесячное, на средний остаток в течение месяца, при условии что остаток больше чем ограничение",F412='депозитный калькулятор'!$D$8,EOMONTH(F412,0)&lt;&gt;F412),IF('депозитный калькулятор'!$F$1=1,$H$24,SUM(OFFSET(Q412,-E412+1,0):Q412)),IF(AND('депозитный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калькулятор'!$G$7="30/360"),DAY(EOMONTH(F412,0))=31),EOMONTH(F412,0)-1=F412,EOMONTH(F412,0)=F412)),IF(IF(AND(OR('депозитный калькулятор'!$G$7="30/365",'депозитный калькулятор'!$G$7="30/360"),DAY(EOMONTH($F$24,0))=31),F412=EOMONTH($F$24,0)-1,F412=EOMONTH($F$24,0)),SUM(OFFSET(Q412,-E412+1,0):Q412),SUM(OFFSET(Q412,-E412+1,0):Q412)),IF('депозитный калькулятор'!$G$10="ежеквартальное",IF(F412&gt;'депозитный калькулятор'!$D$8," ",IF(AND(EOMONTH(F412,0)=F412,OR(MONTH(F412)=3,MONTH(F412)=6,MONTH(F412)=9,MONTH(F412)=12)),IF(EDATE(F412,-3)&lt;'депозитный калькулятор'!$D$7,SUM($H$23:H412),IF(MOD(YEAR(F412),4)=0,IF(AND(EOMONTH(F412,0)=F412,OR(MONTH(F412)=3,MONTH(F412)=6)),SUM(OFFSET(H412,-90,0):H412),IF(AND(EOMONTH(F412,0)=F412,OR(MONTH(F412)=9,MONTH(F412)=12)),SUM(OFFSET(H412,-91,0):H412))),IF(AND(EOMONTH(F412,0)=F412,MONTH(F412)=3),SUM(OFFSET(H412,-89,0):H412),IF(AND(EOMONTH(F412,0)=F412,MONTH(F412)=6),SUM(OFFSET(H412,-90,0):H412),IF(AND(EOMONTH(F412,0)=F412,OR(MONTH(F412)=9,MONTH(F412)=12)),SUM(OFFSET(H412,-91,0):H412)))))),IF(F412='депозитный калькулятор'!$D$8,SUM($H$23:H412)-SUM($I$23:I411),0))),IF('депозитный калькулятор'!$G$10="ежегодное",IF(F412&gt;'депозитный калькулятор'!$D$8," ",IF(F412='депозитный калькулятор'!$D$8,SUM($H$23:H412)-SUM($I$23:I411),IF(AND(EOMONTH(F412,0)=F412,MONTH(F412)=12),IF(MOD(YEAR(F411),4)=0,IF(F412-'депозитный калькулятор'!$D$7&lt;366,SUM($H$23:H412),SUM(OFFSET(H412,-365,0):H412)),IF(F412-'депозитный калькулятор'!$D$7&lt;365,SUM($H$23:H412),SUM(OFFSET(H412,-364,0):H412))),0))),IF(AND('депозитный калькулятор'!$G$10="в конце срока",'депозитный калькулятор'!$D$8=F412),SUM($H$23:H412),0))))))))))))))))))</f>
        <v xml:space="preserve"> </v>
      </c>
      <c r="J412" s="59" t="str">
        <f>IF(F412&gt;'депозитный калькулятор'!$D$8," ",IF('депозитный калькулятор'!$G$16="нет",0,IF(AND('депозитный калькулятор'!$G$17="разовая (в конце срока)",F412='депозитный калькулятор'!$D$8),'депозитный калькулятор'!$G$18,IF(AND('депозитный калькулятор'!$G$17="ежемесячная",EOMONTH(F411,0)=F411),'депозитный калькулятор'!$G$18,IF(AND('депозитный калькулятор'!$G$17="ежегодная",DAY(F411)=31,MONTH(F411)=12),'депозитный калькулятор'!$G$18,IF(AND('депозитный калькулятор'!$G$17="ежемесячная в зависимости от остатка",EOMONTH(F411,0)=F411,P411&gt;0),'депозитный калькулятор'!$G$18,IF(AND('депозитный калькулятор'!$G$17="ежегодная в зависимости от остатка",DAY(F411)=31,MONTH(F411)=12,P411&gt;0),'депозитный калькулятор'!$G$18,0)))))))</f>
        <v xml:space="preserve"> </v>
      </c>
      <c r="K412" s="135" t="str">
        <f>IF($F412=" "," ",IFERROR(VLOOKUP($F412,'депозитный калькулятор'!$B$26:$F$70,2,0),0))</f>
        <v xml:space="preserve"> </v>
      </c>
      <c r="L412" s="135" t="str">
        <f>IF($F412=" "," ",IFERROR(VLOOKUP($F412,'депозитный калькулятор'!$B$26:$F$70,3,0),0))</f>
        <v xml:space="preserve"> </v>
      </c>
      <c r="M412" s="135" t="str">
        <f>IF($F412=" "," ",IFERROR(VLOOKUP($F412,'депозитный калькулятор'!$B$26:$F$70,4,0),0))</f>
        <v xml:space="preserve"> </v>
      </c>
      <c r="N412" s="135" t="str">
        <f>IF($F412=" "," ",IFERROR(VLOOKUP($F412,'депозитный калькулятор'!$B$26:$F$70,5,0),0))</f>
        <v xml:space="preserve"> </v>
      </c>
      <c r="O412" s="146" t="str">
        <f>IF(F412&gt;'депозитный калькулятор'!$D$8," ",IF(F412='депозитный калькулятор'!$D$8,IF(AND($F$24='депозитный калькулятор'!$D$8,'депозитный калькулятор'!$G$13="нет"),-G412-IF(I412=" ",0,I412)-IF(AND(OR('депозитный калькулятор'!$G$7="30/365",'депозитный калькулятор'!$G$7="30/360"),'депозитный калькулятор'!$G$10="в начале срока"),I411,0)-L412+M412-N412,-G412-IF(I412=" ",0,I412)-L412+M412-N412),IF('депозитный калькулятор'!$G$13="есть",M412-N412+IF('депозитный калькулятор'!$G$14="есть",0,-L412),-IF(I412=" ",0,I412)-IF(AND(OR('депозитный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срока"),I411,0)+M412-N412+IF('депозитный калькулятор'!$G$14="есть",0,-L412))))</f>
        <v xml:space="preserve"> </v>
      </c>
      <c r="P412" s="147" t="str">
        <f>IF(F412&gt;'депозитный калькулятор'!$D$8," ",IF(EOMONTH(F411,0)=F411,0,IF(G412&gt;='депозитный калькулятор'!$G$19,P411,P411+1)))</f>
        <v xml:space="preserve"> </v>
      </c>
      <c r="Q412" s="138" t="str">
        <f>IF(F412=" "," ",IF(AND(OR('депозитный калькулятор'!$G$7="30/365",'депозитный калькулятор'!$G$7="30/360"),AND(MONTH(F412)=2,EOMONTH(F412,0)=F412)),IF(DAY(F412)=28,3,2),1)*IF(G412&gt;='депозитный калькулятор'!$G$11,IF(AND('депозитный калькулятор'!$G$7="факт/факт",MOD(YEAR(F412),4)=0),G412*'депозитный калькулятор'!$D$11/366,G412*'депозитный калькулятор'!$G$8),0))</f>
        <v xml:space="preserve"> </v>
      </c>
      <c r="R412" s="158"/>
      <c r="S412" s="62" t="str">
        <f t="shared" ca="1" si="32"/>
        <v xml:space="preserve"> </v>
      </c>
      <c r="T412" s="149" t="str">
        <f ca="1">IF(S412=" "," ",IF('депозитный калькулятор'!$G$7="30/360",DAYS360(U411,IF(DAY(U412)=31,U412-1,U412))+IF(AND(MONTH(U412)=2,U412=EOMONTH(U412,0)),30-DAY(EOMONTH(U412,0)))+T411,VLOOKUP(S412,$C$22:$F$1023,2,0)))</f>
        <v xml:space="preserve"> </v>
      </c>
      <c r="U412" s="64" t="str">
        <f t="shared" ca="1" si="30"/>
        <v xml:space="preserve"> </v>
      </c>
      <c r="V412" s="150" t="str">
        <f t="shared" ca="1" si="33"/>
        <v xml:space="preserve"> </v>
      </c>
      <c r="W412" s="62" t="str">
        <f t="shared" ca="1" si="34"/>
        <v xml:space="preserve"> </v>
      </c>
      <c r="X412" s="141" t="str">
        <f ca="1">IF(S412=" "," ",IFERROR(VLOOKUP(U412,$F$23:$N$1023,7)+VLOOKUP(U412,$F$23:$N$1023,9)+IF(AND('депозитный калькулятор'!$G$13="нет",U412&lt;&gt;'депозитный калькулятор'!$D$8),VLOOKUP(U412,$F$23:$N$1023,4),0),0)+IF(U412='депозитный калькулятор'!$D$8,VLOOKUP(U412,$F$23:$N$1023,2)+VLOOKUP(U412,$F$23:$N$1023,4),0))</f>
        <v xml:space="preserve"> </v>
      </c>
      <c r="Y412" s="142" t="str">
        <f ca="1">IF(S412=" "," ",W412/(1+'депозитный калькулятор'!$K$8)^(T412/IF('депозитный калькулятор'!$G$7="30/360",360,365)))</f>
        <v xml:space="preserve"> </v>
      </c>
      <c r="Z412" s="142" t="str">
        <f ca="1">IF(S412=" "," ",X412/(1+'депозитный калькулятор'!$K$8)^(T412/IF('депозитный калькулятор'!$G$7="30/360",360,365)))</f>
        <v xml:space="preserve"> </v>
      </c>
      <c r="AA412" s="151"/>
      <c r="AB412" s="151"/>
      <c r="AC412" s="155"/>
      <c r="AD412" s="155"/>
    </row>
    <row r="413" spans="1:30" s="2" customFormat="1" ht="15.5" x14ac:dyDescent="0.35">
      <c r="A413" s="41" t="str">
        <f>IF(F413=" "," ",IF(OR('депозитный калькулятор'!$G$7="30/365",'депозитный калькулятор'!$G$7="30/360"),IF(AND(MONTH(F413)=2,DAY(F413)=DAY(EOMONTH(F413,0))),30-DAY(EOMONTH(F413,0)),IF(DAY(F413)=31,1," "))," "))</f>
        <v xml:space="preserve"> </v>
      </c>
      <c r="B413" s="130" t="str">
        <f t="shared" si="31"/>
        <v xml:space="preserve"> </v>
      </c>
      <c r="C413" s="130" t="str">
        <f>IF(OR(B413=0,B413=" ")," ",SUM($B$23:B413))</f>
        <v xml:space="preserve"> </v>
      </c>
      <c r="D413" s="62" t="str">
        <f>IF(D412=" "," ",IF(OR(F412='депозитный калькулятор'!$D$8,F412=" ")," ",D412+1))</f>
        <v xml:space="preserve"> </v>
      </c>
      <c r="E413" s="130" t="str">
        <f>IF(OR(F412='депозитный калькулятор'!$D$8,F412=" ")," ",IF(EOMONTH(F412,0)=F412,1,E412+1))</f>
        <v xml:space="preserve"> </v>
      </c>
      <c r="F413" s="64" t="str">
        <f>IF(F412=" "," ",IF(F412='депозитный калькулятор'!$D$8," ",F412+1))</f>
        <v xml:space="preserve"> </v>
      </c>
      <c r="G413" s="145" t="str">
        <f xml:space="preserve"> IF(F413&gt;'депозитный калькулятор'!$D$8," ",IF('депозитный калькулятор'!$G$13="есть",IF('депозитный калькулятор'!$G$14="есть",G412+IF(I412=" ",0,I412)-J413-K413+L413+M413-N413,G412+IF(I412=" ",0,I412)-J413-K413+M413-N413),IF('депозитный калькулятор'!$G$14="есть",G412-J413-K413+L413+M413-N413,G412-J413-K413+M413-N413)))</f>
        <v xml:space="preserve"> </v>
      </c>
      <c r="H413" s="133" t="str">
        <f>IF(F413&gt;'депозитный калькулятор'!$D$8," ",IF(AND(OR('депозитный калькулятор'!$G$7="30/365",'депозитный калькулятор'!$G$7="30/360"),AND(MONTH(F413)=2,EOMONTH(F413,0)=F413)),IF(DAY(F413)=28,3*G413*'депозитный калькулятор'!$G$8,2*G413*'депозитный калькулятор'!$G$8),IF(AND(OR('депозитный калькулятор'!$G$7="30/365",'депозитный калькулятор'!$G$7="30/360"),DAY(F413)=31)," ",IF(AND('депозитный калькулятор'!$G$7="факт/факт",MOD(YEAR(F413),4)=0),G413*'депозитный калькулятор'!$D$11/366,G413*'депозитный калькулятор'!$G$8))))</f>
        <v xml:space="preserve"> </v>
      </c>
      <c r="I413" s="134" t="str">
        <f ca="1">IF(F413=" "," ",IF('депозитный калькулятор'!$G$10="ежедневное",H413,IF(AND('депозитный калькулятор'!$G$10="еженедельное",WEEKDAY(F413,2)=7),SUM(OFFSET(H413,-6,0):H413),IF(AND('депозитный калькулятор'!$G$10="еженедельное",F413='депозитный калькулятор'!$D$8),SUM($H$23:H413)-SUM($I$23:I412),IF(AND('депозитный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недели",WEEKDAY(F413,2)=7),MIN(OFFSET(H413,-6,0):H413)*(COUNTIF(OFFSET(H413,-6,0):H413,"&gt;0")+SUMIF(OFFSET(A413,-WEEKDAY(F413,2),0):A413,"=2",OFFSET(A413,-WEEKDAY(F413,2),0):A413)),IF(AND('депозитный калькулятор'!$G$10="еженедельное, на минимальную сумму зафиксированную в течение недели",F413='депозитный калькулятор'!$D$8,WEEKDAY(F413,2)&lt;&gt;7),MIN(OFFSET(H413,-WEEKDAY(F413,2),0):H413)*(COUNTIF(OFFSET(H413,-WEEKDAY(F413,2)+1,0):H413,"&gt;0")+SUM(OFFSET(A413,-WEEKDAY(F413,2),0):A413)),IF(AND('депозитный калькулятор'!$G$10="ежемесячное (в конце месяца)",F413='депозитный калькулятор'!$D$8,EOMONTH(F413,0)&lt;&gt;F413),IF('депозитный калькулятор'!$F$1=1,$H$24,SUM($H$23:H413)-SUM($I$23:I412)),IF(AND('депозитный калькулятор'!$G$10="ежемесячное (в конце месяца)",EOMONTH(F413,0)=F413),SUM($H$23:H413)-SUM($I$23:I412),IF(AND('депозитный калькулятор'!$G$10="ежемесячное (по дням открытия вклада)",F413='депозитный калькулятор'!$D$8,DAY('депозитный калькулятор'!$D$7)&lt;&gt;DAY(F413)),IF('депозитный калькулятор'!$F$1=1,$H$24,SUM($H$23:H413)-SUM($I$23:I412)),IF(AND('депозитный калькулятор'!$G$10="ежемесячное (по дням открытия вклада)",DAY('депозитный калькулятор'!$D$7)=DAY(F413)),SUM($H$23:H413)-SUM($I$23:I412),IF(AND('депозитный калькулятор'!$G$10="ежемесячное, на минимальную сумму зафиксированную в течение месяца",F413='депозитный калькулятор'!$D$8,EOMONTH(F413,0)&lt;&gt;F413),IF('депозитный калькулятор'!$F$1=1,$H$24,IF(AND(OR('депозитный калькулятор'!$G$7="30/365",'депозитный калькулятор'!$G$7="30/360"),DAY(F413)=31),0,MIN(OFFSET(H413,-E413+1,0):H413)*(E413+SUMIF(OFFSET(A413,-E413+1,0):A413,"=2",OFFSET(A413,-E413+1,0):A413)))),IF(AND('депозитный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калькулятор'!$G$7="30/360"),DAY(EOMONTH(F413,0))=31),EOMONTH(F413,0)-1=F413,EOMONTH(F413,0)=F413)),IF(IF(AND(OR('депозитный калькулятор'!$G$7="30/365",'депозитный калькулятор'!$G$7="30/360"),DAY(EOMONTH($F$23,0))=31),F413=EOMONTH($F$23,0)-1,F413=EOMONTH($F$23,0)),MIN(OFFSET(H413,-(DAY(F413)-DAY($F$23)),0):H413)*E413,MIN(OFFSET(H413,-(DAY(F413)-1),0):H413)*IF(AND(OR('депозитный калькулятор'!$G$7="30/365",'депозитный калькулятор'!$G$7="30/360"),DAY(F413)&lt;30),30,DAY(F413))),IF(AND('депозитный калькулятор'!$G$10="ежемесячное, на средний остаток в течение месяца, при условии что остаток больше чем ограничение",F413='депозитный калькулятор'!$D$8,EOMONTH(F413,0)&lt;&gt;F413),IF('депозитный калькулятор'!$F$1=1,$H$24,SUM(OFFSET(Q413,-E413+1,0):Q413)),IF(AND('депозитный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калькулятор'!$G$7="30/360"),DAY(EOMONTH(F413,0))=31),EOMONTH(F413,0)-1=F413,EOMONTH(F413,0)=F413)),IF(IF(AND(OR('депозитный калькулятор'!$G$7="30/365",'депозитный калькулятор'!$G$7="30/360"),DAY(EOMONTH($F$24,0))=31),F413=EOMONTH($F$24,0)-1,F413=EOMONTH($F$24,0)),SUM(OFFSET(Q413,-E413+1,0):Q413),SUM(OFFSET(Q413,-E413+1,0):Q413)),IF('депозитный калькулятор'!$G$10="ежеквартальное",IF(F413&gt;'депозитный калькулятор'!$D$8," ",IF(AND(EOMONTH(F413,0)=F413,OR(MONTH(F413)=3,MONTH(F413)=6,MONTH(F413)=9,MONTH(F413)=12)),IF(EDATE(F413,-3)&lt;'депозитный калькулятор'!$D$7,SUM($H$23:H413),IF(MOD(YEAR(F413),4)=0,IF(AND(EOMONTH(F413,0)=F413,OR(MONTH(F413)=3,MONTH(F413)=6)),SUM(OFFSET(H413,-90,0):H413),IF(AND(EOMONTH(F413,0)=F413,OR(MONTH(F413)=9,MONTH(F413)=12)),SUM(OFFSET(H413,-91,0):H413))),IF(AND(EOMONTH(F413,0)=F413,MONTH(F413)=3),SUM(OFFSET(H413,-89,0):H413),IF(AND(EOMONTH(F413,0)=F413,MONTH(F413)=6),SUM(OFFSET(H413,-90,0):H413),IF(AND(EOMONTH(F413,0)=F413,OR(MONTH(F413)=9,MONTH(F413)=12)),SUM(OFFSET(H413,-91,0):H413)))))),IF(F413='депозитный калькулятор'!$D$8,SUM($H$23:H413)-SUM($I$23:I412),0))),IF('депозитный калькулятор'!$G$10="ежегодное",IF(F413&gt;'депозитный калькулятор'!$D$8," ",IF(F413='депозитный калькулятор'!$D$8,SUM($H$23:H413)-SUM($I$23:I412),IF(AND(EOMONTH(F413,0)=F413,MONTH(F413)=12),IF(MOD(YEAR(F412),4)=0,IF(F413-'депозитный калькулятор'!$D$7&lt;366,SUM($H$23:H413),SUM(OFFSET(H413,-365,0):H413)),IF(F413-'депозитный калькулятор'!$D$7&lt;365,SUM($H$23:H413),SUM(OFFSET(H413,-364,0):H413))),0))),IF(AND('депозитный калькулятор'!$G$10="в конце срока",'депозитный калькулятор'!$D$8=F413),SUM($H$23:H413),0))))))))))))))))))</f>
        <v xml:space="preserve"> </v>
      </c>
      <c r="J413" s="59" t="str">
        <f>IF(F413&gt;'депозитный калькулятор'!$D$8," ",IF('депозитный калькулятор'!$G$16="нет",0,IF(AND('депозитный калькулятор'!$G$17="разовая (в конце срока)",F413='депозитный калькулятор'!$D$8),'депозитный калькулятор'!$G$18,IF(AND('депозитный калькулятор'!$G$17="ежемесячная",EOMONTH(F412,0)=F412),'депозитный калькулятор'!$G$18,IF(AND('депозитный калькулятор'!$G$17="ежегодная",DAY(F412)=31,MONTH(F412)=12),'депозитный калькулятор'!$G$18,IF(AND('депозитный калькулятор'!$G$17="ежемесячная в зависимости от остатка",EOMONTH(F412,0)=F412,P412&gt;0),'депозитный калькулятор'!$G$18,IF(AND('депозитный калькулятор'!$G$17="ежегодная в зависимости от остатка",DAY(F412)=31,MONTH(F412)=12,P412&gt;0),'депозитный калькулятор'!$G$18,0)))))))</f>
        <v xml:space="preserve"> </v>
      </c>
      <c r="K413" s="135" t="str">
        <f>IF($F413=" "," ",IFERROR(VLOOKUP($F413,'депозитный калькулятор'!$B$26:$F$70,2,0),0))</f>
        <v xml:space="preserve"> </v>
      </c>
      <c r="L413" s="135" t="str">
        <f>IF($F413=" "," ",IFERROR(VLOOKUP($F413,'депозитный калькулятор'!$B$26:$F$70,3,0),0))</f>
        <v xml:space="preserve"> </v>
      </c>
      <c r="M413" s="135" t="str">
        <f>IF($F413=" "," ",IFERROR(VLOOKUP($F413,'депозитный калькулятор'!$B$26:$F$70,4,0),0))</f>
        <v xml:space="preserve"> </v>
      </c>
      <c r="N413" s="135" t="str">
        <f>IF($F413=" "," ",IFERROR(VLOOKUP($F413,'депозитный калькулятор'!$B$26:$F$70,5,0),0))</f>
        <v xml:space="preserve"> </v>
      </c>
      <c r="O413" s="146" t="str">
        <f>IF(F413&gt;'депозитный калькулятор'!$D$8," ",IF(F413='депозитный калькулятор'!$D$8,IF(AND($F$24='депозитный калькулятор'!$D$8,'депозитный калькулятор'!$G$13="нет"),-G413-IF(I413=" ",0,I413)-IF(AND(OR('депозитный калькулятор'!$G$7="30/365",'депозитный калькулятор'!$G$7="30/360"),'депозитный калькулятор'!$G$10="в начале срока"),I412,0)-L413+M413-N413,-G413-IF(I413=" ",0,I413)-L413+M413-N413),IF('депозитный калькулятор'!$G$13="есть",M413-N413+IF('депозитный калькулятор'!$G$14="есть",0,-L413),-IF(I413=" ",0,I413)-IF(AND(OR('депозитный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срока"),I412,0)+M413-N413+IF('депозитный калькулятор'!$G$14="есть",0,-L413))))</f>
        <v xml:space="preserve"> </v>
      </c>
      <c r="P413" s="147" t="str">
        <f>IF(F413&gt;'депозитный калькулятор'!$D$8," ",IF(EOMONTH(F412,0)=F412,0,IF(G413&gt;='депозитный калькулятор'!$G$19,P412,P412+1)))</f>
        <v xml:space="preserve"> </v>
      </c>
      <c r="Q413" s="138" t="str">
        <f>IF(F413=" "," ",IF(AND(OR('депозитный калькулятор'!$G$7="30/365",'депозитный калькулятор'!$G$7="30/360"),AND(MONTH(F413)=2,EOMONTH(F413,0)=F413)),IF(DAY(F413)=28,3,2),1)*IF(G413&gt;='депозитный калькулятор'!$G$11,IF(AND('депозитный калькулятор'!$G$7="факт/факт",MOD(YEAR(F413),4)=0),G413*'депозитный калькулятор'!$D$11/366,G413*'депозитный калькулятор'!$G$8),0))</f>
        <v xml:space="preserve"> </v>
      </c>
      <c r="R413" s="158"/>
      <c r="S413" s="62" t="str">
        <f t="shared" ca="1" si="32"/>
        <v xml:space="preserve"> </v>
      </c>
      <c r="T413" s="149" t="str">
        <f ca="1">IF(S413=" "," ",IF('депозитный калькулятор'!$G$7="30/360",DAYS360(U412,IF(DAY(U413)=31,U413-1,U413))+IF(AND(MONTH(U413)=2,U413=EOMONTH(U413,0)),30-DAY(EOMONTH(U413,0)))+T412,VLOOKUP(S413,$C$22:$F$1023,2,0)))</f>
        <v xml:space="preserve"> </v>
      </c>
      <c r="U413" s="64" t="str">
        <f t="shared" ca="1" si="30"/>
        <v xml:space="preserve"> </v>
      </c>
      <c r="V413" s="150" t="str">
        <f t="shared" ca="1" si="33"/>
        <v xml:space="preserve"> </v>
      </c>
      <c r="W413" s="62" t="str">
        <f t="shared" ca="1" si="34"/>
        <v xml:space="preserve"> </v>
      </c>
      <c r="X413" s="141" t="str">
        <f ca="1">IF(S413=" "," ",IFERROR(VLOOKUP(U413,$F$23:$N$1023,7)+VLOOKUP(U413,$F$23:$N$1023,9)+IF(AND('депозитный калькулятор'!$G$13="нет",U413&lt;&gt;'депозитный калькулятор'!$D$8),VLOOKUP(U413,$F$23:$N$1023,4),0),0)+IF(U413='депозитный калькулятор'!$D$8,VLOOKUP(U413,$F$23:$N$1023,2)+VLOOKUP(U413,$F$23:$N$1023,4),0))</f>
        <v xml:space="preserve"> </v>
      </c>
      <c r="Y413" s="142" t="str">
        <f ca="1">IF(S413=" "," ",W413/(1+'депозитный калькулятор'!$K$8)^(T413/IF('депозитный калькулятор'!$G$7="30/360",360,365)))</f>
        <v xml:space="preserve"> </v>
      </c>
      <c r="Z413" s="142" t="str">
        <f ca="1">IF(S413=" "," ",X413/(1+'депозитный калькулятор'!$K$8)^(T413/IF('депозитный калькулятор'!$G$7="30/360",360,365)))</f>
        <v xml:space="preserve"> </v>
      </c>
      <c r="AA413" s="151"/>
      <c r="AB413" s="151"/>
      <c r="AC413" s="155"/>
      <c r="AD413" s="155"/>
    </row>
    <row r="414" spans="1:30" s="2" customFormat="1" ht="15.5" x14ac:dyDescent="0.35">
      <c r="A414" s="41" t="str">
        <f>IF(F414=" "," ",IF(OR('депозитный калькулятор'!$G$7="30/365",'депозитный калькулятор'!$G$7="30/360"),IF(AND(MONTH(F414)=2,DAY(F414)=DAY(EOMONTH(F414,0))),30-DAY(EOMONTH(F414,0)),IF(DAY(F414)=31,1," "))," "))</f>
        <v xml:space="preserve"> </v>
      </c>
      <c r="B414" s="130" t="str">
        <f t="shared" si="31"/>
        <v xml:space="preserve"> </v>
      </c>
      <c r="C414" s="130" t="str">
        <f>IF(OR(B414=0,B414=" ")," ",SUM($B$23:B414))</f>
        <v xml:space="preserve"> </v>
      </c>
      <c r="D414" s="62" t="str">
        <f>IF(D413=" "," ",IF(OR(F413='депозитный калькулятор'!$D$8,F413=" ")," ",D413+1))</f>
        <v xml:space="preserve"> </v>
      </c>
      <c r="E414" s="130" t="str">
        <f>IF(OR(F413='депозитный калькулятор'!$D$8,F413=" ")," ",IF(EOMONTH(F413,0)=F413,1,E413+1))</f>
        <v xml:space="preserve"> </v>
      </c>
      <c r="F414" s="64" t="str">
        <f>IF(F413=" "," ",IF(F413='депозитный калькулятор'!$D$8," ",F413+1))</f>
        <v xml:space="preserve"> </v>
      </c>
      <c r="G414" s="145" t="str">
        <f xml:space="preserve"> IF(F414&gt;'депозитный калькулятор'!$D$8," ",IF('депозитный калькулятор'!$G$13="есть",IF('депозитный калькулятор'!$G$14="есть",G413+IF(I413=" ",0,I413)-J414-K414+L414+M414-N414,G413+IF(I413=" ",0,I413)-J414-K414+M414-N414),IF('депозитный калькулятор'!$G$14="есть",G413-J414-K414+L414+M414-N414,G413-J414-K414+M414-N414)))</f>
        <v xml:space="preserve"> </v>
      </c>
      <c r="H414" s="133" t="str">
        <f>IF(F414&gt;'депозитный калькулятор'!$D$8," ",IF(AND(OR('депозитный калькулятор'!$G$7="30/365",'депозитный калькулятор'!$G$7="30/360"),AND(MONTH(F414)=2,EOMONTH(F414,0)=F414)),IF(DAY(F414)=28,3*G414*'депозитный калькулятор'!$G$8,2*G414*'депозитный калькулятор'!$G$8),IF(AND(OR('депозитный калькулятор'!$G$7="30/365",'депозитный калькулятор'!$G$7="30/360"),DAY(F414)=31)," ",IF(AND('депозитный калькулятор'!$G$7="факт/факт",MOD(YEAR(F414),4)=0),G414*'депозитный калькулятор'!$D$11/366,G414*'депозитный калькулятор'!$G$8))))</f>
        <v xml:space="preserve"> </v>
      </c>
      <c r="I414" s="134" t="str">
        <f ca="1">IF(F414=" "," ",IF('депозитный калькулятор'!$G$10="ежедневное",H414,IF(AND('депозитный калькулятор'!$G$10="еженедельное",WEEKDAY(F414,2)=7),SUM(OFFSET(H414,-6,0):H414),IF(AND('депозитный калькулятор'!$G$10="еженедельное",F414='депозитный калькулятор'!$D$8),SUM($H$23:H414)-SUM($I$23:I413),IF(AND('депозитный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недели",WEEKDAY(F414,2)=7),MIN(OFFSET(H414,-6,0):H414)*(COUNTIF(OFFSET(H414,-6,0):H414,"&gt;0")+SUMIF(OFFSET(A414,-WEEKDAY(F414,2),0):A414,"=2",OFFSET(A414,-WEEKDAY(F414,2),0):A414)),IF(AND('депозитный калькулятор'!$G$10="еженедельное, на минимальную сумму зафиксированную в течение недели",F414='депозитный калькулятор'!$D$8,WEEKDAY(F414,2)&lt;&gt;7),MIN(OFFSET(H414,-WEEKDAY(F414,2),0):H414)*(COUNTIF(OFFSET(H414,-WEEKDAY(F414,2)+1,0):H414,"&gt;0")+SUM(OFFSET(A414,-WEEKDAY(F414,2),0):A414)),IF(AND('депозитный калькулятор'!$G$10="ежемесячное (в конце месяца)",F414='депозитный калькулятор'!$D$8,EOMONTH(F414,0)&lt;&gt;F414),IF('депозитный калькулятор'!$F$1=1,$H$24,SUM($H$23:H414)-SUM($I$23:I413)),IF(AND('депозитный калькулятор'!$G$10="ежемесячное (в конце месяца)",EOMONTH(F414,0)=F414),SUM($H$23:H414)-SUM($I$23:I413),IF(AND('депозитный калькулятор'!$G$10="ежемесячное (по дням открытия вклада)",F414='депозитный калькулятор'!$D$8,DAY('депозитный калькулятор'!$D$7)&lt;&gt;DAY(F414)),IF('депозитный калькулятор'!$F$1=1,$H$24,SUM($H$23:H414)-SUM($I$23:I413)),IF(AND('депозитный калькулятор'!$G$10="ежемесячное (по дням открытия вклада)",DAY('депозитный калькулятор'!$D$7)=DAY(F414)),SUM($H$23:H414)-SUM($I$23:I413),IF(AND('депозитный калькулятор'!$G$10="ежемесячное, на минимальную сумму зафиксированную в течение месяца",F414='депозитный калькулятор'!$D$8,EOMONTH(F414,0)&lt;&gt;F414),IF('депозитный калькулятор'!$F$1=1,$H$24,IF(AND(OR('депозитный калькулятор'!$G$7="30/365",'депозитный калькулятор'!$G$7="30/360"),DAY(F414)=31),0,MIN(OFFSET(H414,-E414+1,0):H414)*(E414+SUMIF(OFFSET(A414,-E414+1,0):A414,"=2",OFFSET(A414,-E414+1,0):A414)))),IF(AND('депозитный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калькулятор'!$G$7="30/360"),DAY(EOMONTH(F414,0))=31),EOMONTH(F414,0)-1=F414,EOMONTH(F414,0)=F414)),IF(IF(AND(OR('депозитный калькулятор'!$G$7="30/365",'депозитный калькулятор'!$G$7="30/360"),DAY(EOMONTH($F$23,0))=31),F414=EOMONTH($F$23,0)-1,F414=EOMONTH($F$23,0)),MIN(OFFSET(H414,-(DAY(F414)-DAY($F$23)),0):H414)*E414,MIN(OFFSET(H414,-(DAY(F414)-1),0):H414)*IF(AND(OR('депозитный калькулятор'!$G$7="30/365",'депозитный калькулятор'!$G$7="30/360"),DAY(F414)&lt;30),30,DAY(F414))),IF(AND('депозитный калькулятор'!$G$10="ежемесячное, на средний остаток в течение месяца, при условии что остаток больше чем ограничение",F414='депозитный калькулятор'!$D$8,EOMONTH(F414,0)&lt;&gt;F414),IF('депозитный калькулятор'!$F$1=1,$H$24,SUM(OFFSET(Q414,-E414+1,0):Q414)),IF(AND('депозитный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калькулятор'!$G$7="30/360"),DAY(EOMONTH(F414,0))=31),EOMONTH(F414,0)-1=F414,EOMONTH(F414,0)=F414)),IF(IF(AND(OR('депозитный калькулятор'!$G$7="30/365",'депозитный калькулятор'!$G$7="30/360"),DAY(EOMONTH($F$24,0))=31),F414=EOMONTH($F$24,0)-1,F414=EOMONTH($F$24,0)),SUM(OFFSET(Q414,-E414+1,0):Q414),SUM(OFFSET(Q414,-E414+1,0):Q414)),IF('депозитный калькулятор'!$G$10="ежеквартальное",IF(F414&gt;'депозитный калькулятор'!$D$8," ",IF(AND(EOMONTH(F414,0)=F414,OR(MONTH(F414)=3,MONTH(F414)=6,MONTH(F414)=9,MONTH(F414)=12)),IF(EDATE(F414,-3)&lt;'депозитный калькулятор'!$D$7,SUM($H$23:H414),IF(MOD(YEAR(F414),4)=0,IF(AND(EOMONTH(F414,0)=F414,OR(MONTH(F414)=3,MONTH(F414)=6)),SUM(OFFSET(H414,-90,0):H414),IF(AND(EOMONTH(F414,0)=F414,OR(MONTH(F414)=9,MONTH(F414)=12)),SUM(OFFSET(H414,-91,0):H414))),IF(AND(EOMONTH(F414,0)=F414,MONTH(F414)=3),SUM(OFFSET(H414,-89,0):H414),IF(AND(EOMONTH(F414,0)=F414,MONTH(F414)=6),SUM(OFFSET(H414,-90,0):H414),IF(AND(EOMONTH(F414,0)=F414,OR(MONTH(F414)=9,MONTH(F414)=12)),SUM(OFFSET(H414,-91,0):H414)))))),IF(F414='депозитный калькулятор'!$D$8,SUM($H$23:H414)-SUM($I$23:I413),0))),IF('депозитный калькулятор'!$G$10="ежегодное",IF(F414&gt;'депозитный калькулятор'!$D$8," ",IF(F414='депозитный калькулятор'!$D$8,SUM($H$23:H414)-SUM($I$23:I413),IF(AND(EOMONTH(F414,0)=F414,MONTH(F414)=12),IF(MOD(YEAR(F413),4)=0,IF(F414-'депозитный калькулятор'!$D$7&lt;366,SUM($H$23:H414),SUM(OFFSET(H414,-365,0):H414)),IF(F414-'депозитный калькулятор'!$D$7&lt;365,SUM($H$23:H414),SUM(OFFSET(H414,-364,0):H414))),0))),IF(AND('депозитный калькулятор'!$G$10="в конце срока",'депозитный калькулятор'!$D$8=F414),SUM($H$23:H414),0))))))))))))))))))</f>
        <v xml:space="preserve"> </v>
      </c>
      <c r="J414" s="59" t="str">
        <f>IF(F414&gt;'депозитный калькулятор'!$D$8," ",IF('депозитный калькулятор'!$G$16="нет",0,IF(AND('депозитный калькулятор'!$G$17="разовая (в конце срока)",F414='депозитный калькулятор'!$D$8),'депозитный калькулятор'!$G$18,IF(AND('депозитный калькулятор'!$G$17="ежемесячная",EOMONTH(F413,0)=F413),'депозитный калькулятор'!$G$18,IF(AND('депозитный калькулятор'!$G$17="ежегодная",DAY(F413)=31,MONTH(F413)=12),'депозитный калькулятор'!$G$18,IF(AND('депозитный калькулятор'!$G$17="ежемесячная в зависимости от остатка",EOMONTH(F413,0)=F413,P413&gt;0),'депозитный калькулятор'!$G$18,IF(AND('депозитный калькулятор'!$G$17="ежегодная в зависимости от остатка",DAY(F413)=31,MONTH(F413)=12,P413&gt;0),'депозитный калькулятор'!$G$18,0)))))))</f>
        <v xml:space="preserve"> </v>
      </c>
      <c r="K414" s="135" t="str">
        <f>IF($F414=" "," ",IFERROR(VLOOKUP($F414,'депозитный калькулятор'!$B$26:$F$70,2,0),0))</f>
        <v xml:space="preserve"> </v>
      </c>
      <c r="L414" s="135" t="str">
        <f>IF($F414=" "," ",IFERROR(VLOOKUP($F414,'депозитный калькулятор'!$B$26:$F$70,3,0),0))</f>
        <v xml:space="preserve"> </v>
      </c>
      <c r="M414" s="135" t="str">
        <f>IF($F414=" "," ",IFERROR(VLOOKUP($F414,'депозитный калькулятор'!$B$26:$F$70,4,0),0))</f>
        <v xml:space="preserve"> </v>
      </c>
      <c r="N414" s="135" t="str">
        <f>IF($F414=" "," ",IFERROR(VLOOKUP($F414,'депозитный калькулятор'!$B$26:$F$70,5,0),0))</f>
        <v xml:space="preserve"> </v>
      </c>
      <c r="O414" s="146" t="str">
        <f>IF(F414&gt;'депозитный калькулятор'!$D$8," ",IF(F414='депозитный калькулятор'!$D$8,IF(AND($F$24='депозитный калькулятор'!$D$8,'депозитный калькулятор'!$G$13="нет"),-G414-IF(I414=" ",0,I414)-IF(AND(OR('депозитный калькулятор'!$G$7="30/365",'депозитный калькулятор'!$G$7="30/360"),'депозитный калькулятор'!$G$10="в начале срока"),I413,0)-L414+M414-N414,-G414-IF(I414=" ",0,I414)-L414+M414-N414),IF('депозитный калькулятор'!$G$13="есть",M414-N414+IF('депозитный калькулятор'!$G$14="есть",0,-L414),-IF(I414=" ",0,I414)-IF(AND(OR('депозитный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срока"),I413,0)+M414-N414+IF('депозитный калькулятор'!$G$14="есть",0,-L414))))</f>
        <v xml:space="preserve"> </v>
      </c>
      <c r="P414" s="147" t="str">
        <f>IF(F414&gt;'депозитный калькулятор'!$D$8," ",IF(EOMONTH(F413,0)=F413,0,IF(G414&gt;='депозитный калькулятор'!$G$19,P413,P413+1)))</f>
        <v xml:space="preserve"> </v>
      </c>
      <c r="Q414" s="138" t="str">
        <f>IF(F414=" "," ",IF(AND(OR('депозитный калькулятор'!$G$7="30/365",'депозитный калькулятор'!$G$7="30/360"),AND(MONTH(F414)=2,EOMONTH(F414,0)=F414)),IF(DAY(F414)=28,3,2),1)*IF(G414&gt;='депозитный калькулятор'!$G$11,IF(AND('депозитный калькулятор'!$G$7="факт/факт",MOD(YEAR(F414),4)=0),G414*'депозитный калькулятор'!$D$11/366,G414*'депозитный калькулятор'!$G$8),0))</f>
        <v xml:space="preserve"> </v>
      </c>
      <c r="R414" s="158"/>
      <c r="S414" s="62" t="str">
        <f t="shared" ca="1" si="32"/>
        <v xml:space="preserve"> </v>
      </c>
      <c r="T414" s="149" t="str">
        <f ca="1">IF(S414=" "," ",IF('депозитный калькулятор'!$G$7="30/360",DAYS360(U413,IF(DAY(U414)=31,U414-1,U414))+IF(AND(MONTH(U414)=2,U414=EOMONTH(U414,0)),30-DAY(EOMONTH(U414,0)))+T413,VLOOKUP(S414,$C$22:$F$1023,2,0)))</f>
        <v xml:space="preserve"> </v>
      </c>
      <c r="U414" s="64" t="str">
        <f t="shared" ca="1" si="30"/>
        <v xml:space="preserve"> </v>
      </c>
      <c r="V414" s="150" t="str">
        <f t="shared" ca="1" si="33"/>
        <v xml:space="preserve"> </v>
      </c>
      <c r="W414" s="62" t="str">
        <f t="shared" ca="1" si="34"/>
        <v xml:space="preserve"> </v>
      </c>
      <c r="X414" s="141" t="str">
        <f ca="1">IF(S414=" "," ",IFERROR(VLOOKUP(U414,$F$23:$N$1023,7)+VLOOKUP(U414,$F$23:$N$1023,9)+IF(AND('депозитный калькулятор'!$G$13="нет",U414&lt;&gt;'депозитный калькулятор'!$D$8),VLOOKUP(U414,$F$23:$N$1023,4),0),0)+IF(U414='депозитный калькулятор'!$D$8,VLOOKUP(U414,$F$23:$N$1023,2)+VLOOKUP(U414,$F$23:$N$1023,4),0))</f>
        <v xml:space="preserve"> </v>
      </c>
      <c r="Y414" s="142" t="str">
        <f ca="1">IF(S414=" "," ",W414/(1+'депозитный калькулятор'!$K$8)^(T414/IF('депозитный калькулятор'!$G$7="30/360",360,365)))</f>
        <v xml:space="preserve"> </v>
      </c>
      <c r="Z414" s="142" t="str">
        <f ca="1">IF(S414=" "," ",X414/(1+'депозитный калькулятор'!$K$8)^(T414/IF('депозитный калькулятор'!$G$7="30/360",360,365)))</f>
        <v xml:space="preserve"> </v>
      </c>
      <c r="AA414" s="151"/>
      <c r="AB414" s="151"/>
      <c r="AC414" s="155"/>
      <c r="AD414" s="155"/>
    </row>
    <row r="415" spans="1:30" s="2" customFormat="1" ht="15.5" x14ac:dyDescent="0.35">
      <c r="A415" s="41" t="str">
        <f>IF(F415=" "," ",IF(OR('депозитный калькулятор'!$G$7="30/365",'депозитный калькулятор'!$G$7="30/360"),IF(AND(MONTH(F415)=2,DAY(F415)=DAY(EOMONTH(F415,0))),30-DAY(EOMONTH(F415,0)),IF(DAY(F415)=31,1," "))," "))</f>
        <v xml:space="preserve"> </v>
      </c>
      <c r="B415" s="130" t="str">
        <f t="shared" si="31"/>
        <v xml:space="preserve"> </v>
      </c>
      <c r="C415" s="130" t="str">
        <f>IF(OR(B415=0,B415=" ")," ",SUM($B$23:B415))</f>
        <v xml:space="preserve"> </v>
      </c>
      <c r="D415" s="62" t="str">
        <f>IF(D414=" "," ",IF(OR(F414='депозитный калькулятор'!$D$8,F414=" ")," ",D414+1))</f>
        <v xml:space="preserve"> </v>
      </c>
      <c r="E415" s="130" t="str">
        <f>IF(OR(F414='депозитный калькулятор'!$D$8,F414=" ")," ",IF(EOMONTH(F414,0)=F414,1,E414+1))</f>
        <v xml:space="preserve"> </v>
      </c>
      <c r="F415" s="64" t="str">
        <f>IF(F414=" "," ",IF(F414='депозитный калькулятор'!$D$8," ",F414+1))</f>
        <v xml:space="preserve"> </v>
      </c>
      <c r="G415" s="145" t="str">
        <f xml:space="preserve"> IF(F415&gt;'депозитный калькулятор'!$D$8," ",IF('депозитный калькулятор'!$G$13="есть",IF('депозитный калькулятор'!$G$14="есть",G414+IF(I414=" ",0,I414)-J415-K415+L415+M415-N415,G414+IF(I414=" ",0,I414)-J415-K415+M415-N415),IF('депозитный калькулятор'!$G$14="есть",G414-J415-K415+L415+M415-N415,G414-J415-K415+M415-N415)))</f>
        <v xml:space="preserve"> </v>
      </c>
      <c r="H415" s="133" t="str">
        <f>IF(F415&gt;'депозитный калькулятор'!$D$8," ",IF(AND(OR('депозитный калькулятор'!$G$7="30/365",'депозитный калькулятор'!$G$7="30/360"),AND(MONTH(F415)=2,EOMONTH(F415,0)=F415)),IF(DAY(F415)=28,3*G415*'депозитный калькулятор'!$G$8,2*G415*'депозитный калькулятор'!$G$8),IF(AND(OR('депозитный калькулятор'!$G$7="30/365",'депозитный калькулятор'!$G$7="30/360"),DAY(F415)=31)," ",IF(AND('депозитный калькулятор'!$G$7="факт/факт",MOD(YEAR(F415),4)=0),G415*'депозитный калькулятор'!$D$11/366,G415*'депозитный калькулятор'!$G$8))))</f>
        <v xml:space="preserve"> </v>
      </c>
      <c r="I415" s="134" t="str">
        <f ca="1">IF(F415=" "," ",IF('депозитный калькулятор'!$G$10="ежедневное",H415,IF(AND('депозитный калькулятор'!$G$10="еженедельное",WEEKDAY(F415,2)=7),SUM(OFFSET(H415,-6,0):H415),IF(AND('депозитный калькулятор'!$G$10="еженедельное",F415='депозитный калькулятор'!$D$8),SUM($H$23:H415)-SUM($I$23:I414),IF(AND('депозитный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недели",WEEKDAY(F415,2)=7),MIN(OFFSET(H415,-6,0):H415)*(COUNTIF(OFFSET(H415,-6,0):H415,"&gt;0")+SUMIF(OFFSET(A415,-WEEKDAY(F415,2),0):A415,"=2",OFFSET(A415,-WEEKDAY(F415,2),0):A415)),IF(AND('депозитный калькулятор'!$G$10="еженедельное, на минимальную сумму зафиксированную в течение недели",F415='депозитный калькулятор'!$D$8,WEEKDAY(F415,2)&lt;&gt;7),MIN(OFFSET(H415,-WEEKDAY(F415,2),0):H415)*(COUNTIF(OFFSET(H415,-WEEKDAY(F415,2)+1,0):H415,"&gt;0")+SUM(OFFSET(A415,-WEEKDAY(F415,2),0):A415)),IF(AND('депозитный калькулятор'!$G$10="ежемесячное (в конце месяца)",F415='депозитный калькулятор'!$D$8,EOMONTH(F415,0)&lt;&gt;F415),IF('депозитный калькулятор'!$F$1=1,$H$24,SUM($H$23:H415)-SUM($I$23:I414)),IF(AND('депозитный калькулятор'!$G$10="ежемесячное (в конце месяца)",EOMONTH(F415,0)=F415),SUM($H$23:H415)-SUM($I$23:I414),IF(AND('депозитный калькулятор'!$G$10="ежемесячное (по дням открытия вклада)",F415='депозитный калькулятор'!$D$8,DAY('депозитный калькулятор'!$D$7)&lt;&gt;DAY(F415)),IF('депозитный калькулятор'!$F$1=1,$H$24,SUM($H$23:H415)-SUM($I$23:I414)),IF(AND('депозитный калькулятор'!$G$10="ежемесячное (по дням открытия вклада)",DAY('депозитный калькулятор'!$D$7)=DAY(F415)),SUM($H$23:H415)-SUM($I$23:I414),IF(AND('депозитный калькулятор'!$G$10="ежемесячное, на минимальную сумму зафиксированную в течение месяца",F415='депозитный калькулятор'!$D$8,EOMONTH(F415,0)&lt;&gt;F415),IF('депозитный калькулятор'!$F$1=1,$H$24,IF(AND(OR('депозитный калькулятор'!$G$7="30/365",'депозитный калькулятор'!$G$7="30/360"),DAY(F415)=31),0,MIN(OFFSET(H415,-E415+1,0):H415)*(E415+SUMIF(OFFSET(A415,-E415+1,0):A415,"=2",OFFSET(A415,-E415+1,0):A415)))),IF(AND('депозитный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калькулятор'!$G$7="30/360"),DAY(EOMONTH(F415,0))=31),EOMONTH(F415,0)-1=F415,EOMONTH(F415,0)=F415)),IF(IF(AND(OR('депозитный калькулятор'!$G$7="30/365",'депозитный калькулятор'!$G$7="30/360"),DAY(EOMONTH($F$23,0))=31),F415=EOMONTH($F$23,0)-1,F415=EOMONTH($F$23,0)),MIN(OFFSET(H415,-(DAY(F415)-DAY($F$23)),0):H415)*E415,MIN(OFFSET(H415,-(DAY(F415)-1),0):H415)*IF(AND(OR('депозитный калькулятор'!$G$7="30/365",'депозитный калькулятор'!$G$7="30/360"),DAY(F415)&lt;30),30,DAY(F415))),IF(AND('депозитный калькулятор'!$G$10="ежемесячное, на средний остаток в течение месяца, при условии что остаток больше чем ограничение",F415='депозитный калькулятор'!$D$8,EOMONTH(F415,0)&lt;&gt;F415),IF('депозитный калькулятор'!$F$1=1,$H$24,SUM(OFFSET(Q415,-E415+1,0):Q415)),IF(AND('депозитный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калькулятор'!$G$7="30/360"),DAY(EOMONTH(F415,0))=31),EOMONTH(F415,0)-1=F415,EOMONTH(F415,0)=F415)),IF(IF(AND(OR('депозитный калькулятор'!$G$7="30/365",'депозитный калькулятор'!$G$7="30/360"),DAY(EOMONTH($F$24,0))=31),F415=EOMONTH($F$24,0)-1,F415=EOMONTH($F$24,0)),SUM(OFFSET(Q415,-E415+1,0):Q415),SUM(OFFSET(Q415,-E415+1,0):Q415)),IF('депозитный калькулятор'!$G$10="ежеквартальное",IF(F415&gt;'депозитный калькулятор'!$D$8," ",IF(AND(EOMONTH(F415,0)=F415,OR(MONTH(F415)=3,MONTH(F415)=6,MONTH(F415)=9,MONTH(F415)=12)),IF(EDATE(F415,-3)&lt;'депозитный калькулятор'!$D$7,SUM($H$23:H415),IF(MOD(YEAR(F415),4)=0,IF(AND(EOMONTH(F415,0)=F415,OR(MONTH(F415)=3,MONTH(F415)=6)),SUM(OFFSET(H415,-90,0):H415),IF(AND(EOMONTH(F415,0)=F415,OR(MONTH(F415)=9,MONTH(F415)=12)),SUM(OFFSET(H415,-91,0):H415))),IF(AND(EOMONTH(F415,0)=F415,MONTH(F415)=3),SUM(OFFSET(H415,-89,0):H415),IF(AND(EOMONTH(F415,0)=F415,MONTH(F415)=6),SUM(OFFSET(H415,-90,0):H415),IF(AND(EOMONTH(F415,0)=F415,OR(MONTH(F415)=9,MONTH(F415)=12)),SUM(OFFSET(H415,-91,0):H415)))))),IF(F415='депозитный калькулятор'!$D$8,SUM($H$23:H415)-SUM($I$23:I414),0))),IF('депозитный калькулятор'!$G$10="ежегодное",IF(F415&gt;'депозитный калькулятор'!$D$8," ",IF(F415='депозитный калькулятор'!$D$8,SUM($H$23:H415)-SUM($I$23:I414),IF(AND(EOMONTH(F415,0)=F415,MONTH(F415)=12),IF(MOD(YEAR(F414),4)=0,IF(F415-'депозитный калькулятор'!$D$7&lt;366,SUM($H$23:H415),SUM(OFFSET(H415,-365,0):H415)),IF(F415-'депозитный калькулятор'!$D$7&lt;365,SUM($H$23:H415),SUM(OFFSET(H415,-364,0):H415))),0))),IF(AND('депозитный калькулятор'!$G$10="в конце срока",'депозитный калькулятор'!$D$8=F415),SUM($H$23:H415),0))))))))))))))))))</f>
        <v xml:space="preserve"> </v>
      </c>
      <c r="J415" s="59" t="str">
        <f>IF(F415&gt;'депозитный калькулятор'!$D$8," ",IF('депозитный калькулятор'!$G$16="нет",0,IF(AND('депозитный калькулятор'!$G$17="разовая (в конце срока)",F415='депозитный калькулятор'!$D$8),'депозитный калькулятор'!$G$18,IF(AND('депозитный калькулятор'!$G$17="ежемесячная",EOMONTH(F414,0)=F414),'депозитный калькулятор'!$G$18,IF(AND('депозитный калькулятор'!$G$17="ежегодная",DAY(F414)=31,MONTH(F414)=12),'депозитный калькулятор'!$G$18,IF(AND('депозитный калькулятор'!$G$17="ежемесячная в зависимости от остатка",EOMONTH(F414,0)=F414,P414&gt;0),'депозитный калькулятор'!$G$18,IF(AND('депозитный калькулятор'!$G$17="ежегодная в зависимости от остатка",DAY(F414)=31,MONTH(F414)=12,P414&gt;0),'депозитный калькулятор'!$G$18,0)))))))</f>
        <v xml:space="preserve"> </v>
      </c>
      <c r="K415" s="135" t="str">
        <f>IF($F415=" "," ",IFERROR(VLOOKUP($F415,'депозитный калькулятор'!$B$26:$F$70,2,0),0))</f>
        <v xml:space="preserve"> </v>
      </c>
      <c r="L415" s="135" t="str">
        <f>IF($F415=" "," ",IFERROR(VLOOKUP($F415,'депозитный калькулятор'!$B$26:$F$70,3,0),0))</f>
        <v xml:space="preserve"> </v>
      </c>
      <c r="M415" s="135" t="str">
        <f>IF($F415=" "," ",IFERROR(VLOOKUP($F415,'депозитный калькулятор'!$B$26:$F$70,4,0),0))</f>
        <v xml:space="preserve"> </v>
      </c>
      <c r="N415" s="135" t="str">
        <f>IF($F415=" "," ",IFERROR(VLOOKUP($F415,'депозитный калькулятор'!$B$26:$F$70,5,0),0))</f>
        <v xml:space="preserve"> </v>
      </c>
      <c r="O415" s="146" t="str">
        <f>IF(F415&gt;'депозитный калькулятор'!$D$8," ",IF(F415='депозитный калькулятор'!$D$8,IF(AND($F$24='депозитный калькулятор'!$D$8,'депозитный калькулятор'!$G$13="нет"),-G415-IF(I415=" ",0,I415)-IF(AND(OR('депозитный калькулятор'!$G$7="30/365",'депозитный калькулятор'!$G$7="30/360"),'депозитный калькулятор'!$G$10="в начале срока"),I414,0)-L415+M415-N415,-G415-IF(I415=" ",0,I415)-L415+M415-N415),IF('депозитный калькулятор'!$G$13="есть",M415-N415+IF('депозитный калькулятор'!$G$14="есть",0,-L415),-IF(I415=" ",0,I415)-IF(AND(OR('депозитный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срока"),I414,0)+M415-N415+IF('депозитный калькулятор'!$G$14="есть",0,-L415))))</f>
        <v xml:space="preserve"> </v>
      </c>
      <c r="P415" s="147" t="str">
        <f>IF(F415&gt;'депозитный калькулятор'!$D$8," ",IF(EOMONTH(F414,0)=F414,0,IF(G415&gt;='депозитный калькулятор'!$G$19,P414,P414+1)))</f>
        <v xml:space="preserve"> </v>
      </c>
      <c r="Q415" s="138" t="str">
        <f>IF(F415=" "," ",IF(AND(OR('депозитный калькулятор'!$G$7="30/365",'депозитный калькулятор'!$G$7="30/360"),AND(MONTH(F415)=2,EOMONTH(F415,0)=F415)),IF(DAY(F415)=28,3,2),1)*IF(G415&gt;='депозитный калькулятор'!$G$11,IF(AND('депозитный калькулятор'!$G$7="факт/факт",MOD(YEAR(F415),4)=0),G415*'депозитный калькулятор'!$D$11/366,G415*'депозитный калькулятор'!$G$8),0))</f>
        <v xml:space="preserve"> </v>
      </c>
      <c r="R415" s="158"/>
      <c r="S415" s="62" t="str">
        <f t="shared" ca="1" si="32"/>
        <v xml:space="preserve"> </v>
      </c>
      <c r="T415" s="149" t="str">
        <f ca="1">IF(S415=" "," ",IF('депозитный калькулятор'!$G$7="30/360",DAYS360(U414,IF(DAY(U415)=31,U415-1,U415))+IF(AND(MONTH(U415)=2,U415=EOMONTH(U415,0)),30-DAY(EOMONTH(U415,0)))+T414,VLOOKUP(S415,$C$22:$F$1023,2,0)))</f>
        <v xml:space="preserve"> </v>
      </c>
      <c r="U415" s="64" t="str">
        <f t="shared" ca="1" si="30"/>
        <v xml:space="preserve"> </v>
      </c>
      <c r="V415" s="150" t="str">
        <f t="shared" ca="1" si="33"/>
        <v xml:space="preserve"> </v>
      </c>
      <c r="W415" s="62" t="str">
        <f t="shared" ca="1" si="34"/>
        <v xml:space="preserve"> </v>
      </c>
      <c r="X415" s="141" t="str">
        <f ca="1">IF(S415=" "," ",IFERROR(VLOOKUP(U415,$F$23:$N$1023,7)+VLOOKUP(U415,$F$23:$N$1023,9)+IF(AND('депозитный калькулятор'!$G$13="нет",U415&lt;&gt;'депозитный калькулятор'!$D$8),VLOOKUP(U415,$F$23:$N$1023,4),0),0)+IF(U415='депозитный калькулятор'!$D$8,VLOOKUP(U415,$F$23:$N$1023,2)+VLOOKUP(U415,$F$23:$N$1023,4),0))</f>
        <v xml:space="preserve"> </v>
      </c>
      <c r="Y415" s="142" t="str">
        <f ca="1">IF(S415=" "," ",W415/(1+'депозитный калькулятор'!$K$8)^(T415/IF('депозитный калькулятор'!$G$7="30/360",360,365)))</f>
        <v xml:space="preserve"> </v>
      </c>
      <c r="Z415" s="142" t="str">
        <f ca="1">IF(S415=" "," ",X415/(1+'депозитный калькулятор'!$K$8)^(T415/IF('депозитный калькулятор'!$G$7="30/360",360,365)))</f>
        <v xml:space="preserve"> </v>
      </c>
      <c r="AA415" s="151"/>
      <c r="AB415" s="151"/>
      <c r="AC415" s="155"/>
      <c r="AD415" s="155"/>
    </row>
    <row r="416" spans="1:30" s="2" customFormat="1" ht="15.5" x14ac:dyDescent="0.35">
      <c r="A416" s="41" t="str">
        <f>IF(F416=" "," ",IF(OR('депозитный калькулятор'!$G$7="30/365",'депозитный калькулятор'!$G$7="30/360"),IF(AND(MONTH(F416)=2,DAY(F416)=DAY(EOMONTH(F416,0))),30-DAY(EOMONTH(F416,0)),IF(DAY(F416)=31,1," "))," "))</f>
        <v xml:space="preserve"> </v>
      </c>
      <c r="B416" s="130" t="str">
        <f t="shared" si="31"/>
        <v xml:space="preserve"> </v>
      </c>
      <c r="C416" s="130" t="str">
        <f>IF(OR(B416=0,B416=" ")," ",SUM($B$23:B416))</f>
        <v xml:space="preserve"> </v>
      </c>
      <c r="D416" s="62" t="str">
        <f>IF(D415=" "," ",IF(OR(F415='депозитный калькулятор'!$D$8,F415=" ")," ",D415+1))</f>
        <v xml:space="preserve"> </v>
      </c>
      <c r="E416" s="130" t="str">
        <f>IF(OR(F415='депозитный калькулятор'!$D$8,F415=" ")," ",IF(EOMONTH(F415,0)=F415,1,E415+1))</f>
        <v xml:space="preserve"> </v>
      </c>
      <c r="F416" s="64" t="str">
        <f>IF(F415=" "," ",IF(F415='депозитный калькулятор'!$D$8," ",F415+1))</f>
        <v xml:space="preserve"> </v>
      </c>
      <c r="G416" s="145" t="str">
        <f xml:space="preserve"> IF(F416&gt;'депозитный калькулятор'!$D$8," ",IF('депозитный калькулятор'!$G$13="есть",IF('депозитный калькулятор'!$G$14="есть",G415+IF(I415=" ",0,I415)-J416-K416+L416+M416-N416,G415+IF(I415=" ",0,I415)-J416-K416+M416-N416),IF('депозитный калькулятор'!$G$14="есть",G415-J416-K416+L416+M416-N416,G415-J416-K416+M416-N416)))</f>
        <v xml:space="preserve"> </v>
      </c>
      <c r="H416" s="133" t="str">
        <f>IF(F416&gt;'депозитный калькулятор'!$D$8," ",IF(AND(OR('депозитный калькулятор'!$G$7="30/365",'депозитный калькулятор'!$G$7="30/360"),AND(MONTH(F416)=2,EOMONTH(F416,0)=F416)),IF(DAY(F416)=28,3*G416*'депозитный калькулятор'!$G$8,2*G416*'депозитный калькулятор'!$G$8),IF(AND(OR('депозитный калькулятор'!$G$7="30/365",'депозитный калькулятор'!$G$7="30/360"),DAY(F416)=31)," ",IF(AND('депозитный калькулятор'!$G$7="факт/факт",MOD(YEAR(F416),4)=0),G416*'депозитный калькулятор'!$D$11/366,G416*'депозитный калькулятор'!$G$8))))</f>
        <v xml:space="preserve"> </v>
      </c>
      <c r="I416" s="134" t="str">
        <f ca="1">IF(F416=" "," ",IF('депозитный калькулятор'!$G$10="ежедневное",H416,IF(AND('депозитный калькулятор'!$G$10="еженедельное",WEEKDAY(F416,2)=7),SUM(OFFSET(H416,-6,0):H416),IF(AND('депозитный калькулятор'!$G$10="еженедельное",F416='депозитный калькулятор'!$D$8),SUM($H$23:H416)-SUM($I$23:I415),IF(AND('депозитный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недели",WEEKDAY(F416,2)=7),MIN(OFFSET(H416,-6,0):H416)*(COUNTIF(OFFSET(H416,-6,0):H416,"&gt;0")+SUMIF(OFFSET(A416,-WEEKDAY(F416,2),0):A416,"=2",OFFSET(A416,-WEEKDAY(F416,2),0):A416)),IF(AND('депозитный калькулятор'!$G$10="еженедельное, на минимальную сумму зафиксированную в течение недели",F416='депозитный калькулятор'!$D$8,WEEKDAY(F416,2)&lt;&gt;7),MIN(OFFSET(H416,-WEEKDAY(F416,2),0):H416)*(COUNTIF(OFFSET(H416,-WEEKDAY(F416,2)+1,0):H416,"&gt;0")+SUM(OFFSET(A416,-WEEKDAY(F416,2),0):A416)),IF(AND('депозитный калькулятор'!$G$10="ежемесячное (в конце месяца)",F416='депозитный калькулятор'!$D$8,EOMONTH(F416,0)&lt;&gt;F416),IF('депозитный калькулятор'!$F$1=1,$H$24,SUM($H$23:H416)-SUM($I$23:I415)),IF(AND('депозитный калькулятор'!$G$10="ежемесячное (в конце месяца)",EOMONTH(F416,0)=F416),SUM($H$23:H416)-SUM($I$23:I415),IF(AND('депозитный калькулятор'!$G$10="ежемесячное (по дням открытия вклада)",F416='депозитный калькулятор'!$D$8,DAY('депозитный калькулятор'!$D$7)&lt;&gt;DAY(F416)),IF('депозитный калькулятор'!$F$1=1,$H$24,SUM($H$23:H416)-SUM($I$23:I415)),IF(AND('депозитный калькулятор'!$G$10="ежемесячное (по дням открытия вклада)",DAY('депозитный калькулятор'!$D$7)=DAY(F416)),SUM($H$23:H416)-SUM($I$23:I415),IF(AND('депозитный калькулятор'!$G$10="ежемесячное, на минимальную сумму зафиксированную в течение месяца",F416='депозитный калькулятор'!$D$8,EOMONTH(F416,0)&lt;&gt;F416),IF('депозитный калькулятор'!$F$1=1,$H$24,IF(AND(OR('депозитный калькулятор'!$G$7="30/365",'депозитный калькулятор'!$G$7="30/360"),DAY(F416)=31),0,MIN(OFFSET(H416,-E416+1,0):H416)*(E416+SUMIF(OFFSET(A416,-E416+1,0):A416,"=2",OFFSET(A416,-E416+1,0):A416)))),IF(AND('депозитный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калькулятор'!$G$7="30/360"),DAY(EOMONTH(F416,0))=31),EOMONTH(F416,0)-1=F416,EOMONTH(F416,0)=F416)),IF(IF(AND(OR('депозитный калькулятор'!$G$7="30/365",'депозитный калькулятор'!$G$7="30/360"),DAY(EOMONTH($F$23,0))=31),F416=EOMONTH($F$23,0)-1,F416=EOMONTH($F$23,0)),MIN(OFFSET(H416,-(DAY(F416)-DAY($F$23)),0):H416)*E416,MIN(OFFSET(H416,-(DAY(F416)-1),0):H416)*IF(AND(OR('депозитный калькулятор'!$G$7="30/365",'депозитный калькулятор'!$G$7="30/360"),DAY(F416)&lt;30),30,DAY(F416))),IF(AND('депозитный калькулятор'!$G$10="ежемесячное, на средний остаток в течение месяца, при условии что остаток больше чем ограничение",F416='депозитный калькулятор'!$D$8,EOMONTH(F416,0)&lt;&gt;F416),IF('депозитный калькулятор'!$F$1=1,$H$24,SUM(OFFSET(Q416,-E416+1,0):Q416)),IF(AND('депозитный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калькулятор'!$G$7="30/360"),DAY(EOMONTH(F416,0))=31),EOMONTH(F416,0)-1=F416,EOMONTH(F416,0)=F416)),IF(IF(AND(OR('депозитный калькулятор'!$G$7="30/365",'депозитный калькулятор'!$G$7="30/360"),DAY(EOMONTH($F$24,0))=31),F416=EOMONTH($F$24,0)-1,F416=EOMONTH($F$24,0)),SUM(OFFSET(Q416,-E416+1,0):Q416),SUM(OFFSET(Q416,-E416+1,0):Q416)),IF('депозитный калькулятор'!$G$10="ежеквартальное",IF(F416&gt;'депозитный калькулятор'!$D$8," ",IF(AND(EOMONTH(F416,0)=F416,OR(MONTH(F416)=3,MONTH(F416)=6,MONTH(F416)=9,MONTH(F416)=12)),IF(EDATE(F416,-3)&lt;'депозитный калькулятор'!$D$7,SUM($H$23:H416),IF(MOD(YEAR(F416),4)=0,IF(AND(EOMONTH(F416,0)=F416,OR(MONTH(F416)=3,MONTH(F416)=6)),SUM(OFFSET(H416,-90,0):H416),IF(AND(EOMONTH(F416,0)=F416,OR(MONTH(F416)=9,MONTH(F416)=12)),SUM(OFFSET(H416,-91,0):H416))),IF(AND(EOMONTH(F416,0)=F416,MONTH(F416)=3),SUM(OFFSET(H416,-89,0):H416),IF(AND(EOMONTH(F416,0)=F416,MONTH(F416)=6),SUM(OFFSET(H416,-90,0):H416),IF(AND(EOMONTH(F416,0)=F416,OR(MONTH(F416)=9,MONTH(F416)=12)),SUM(OFFSET(H416,-91,0):H416)))))),IF(F416='депозитный калькулятор'!$D$8,SUM($H$23:H416)-SUM($I$23:I415),0))),IF('депозитный калькулятор'!$G$10="ежегодное",IF(F416&gt;'депозитный калькулятор'!$D$8," ",IF(F416='депозитный калькулятор'!$D$8,SUM($H$23:H416)-SUM($I$23:I415),IF(AND(EOMONTH(F416,0)=F416,MONTH(F416)=12),IF(MOD(YEAR(F415),4)=0,IF(F416-'депозитный калькулятор'!$D$7&lt;366,SUM($H$23:H416),SUM(OFFSET(H416,-365,0):H416)),IF(F416-'депозитный калькулятор'!$D$7&lt;365,SUM($H$23:H416),SUM(OFFSET(H416,-364,0):H416))),0))),IF(AND('депозитный калькулятор'!$G$10="в конце срока",'депозитный калькулятор'!$D$8=F416),SUM($H$23:H416),0))))))))))))))))))</f>
        <v xml:space="preserve"> </v>
      </c>
      <c r="J416" s="59" t="str">
        <f>IF(F416&gt;'депозитный калькулятор'!$D$8," ",IF('депозитный калькулятор'!$G$16="нет",0,IF(AND('депозитный калькулятор'!$G$17="разовая (в конце срока)",F416='депозитный калькулятор'!$D$8),'депозитный калькулятор'!$G$18,IF(AND('депозитный калькулятор'!$G$17="ежемесячная",EOMONTH(F415,0)=F415),'депозитный калькулятор'!$G$18,IF(AND('депозитный калькулятор'!$G$17="ежегодная",DAY(F415)=31,MONTH(F415)=12),'депозитный калькулятор'!$G$18,IF(AND('депозитный калькулятор'!$G$17="ежемесячная в зависимости от остатка",EOMONTH(F415,0)=F415,P415&gt;0),'депозитный калькулятор'!$G$18,IF(AND('депозитный калькулятор'!$G$17="ежегодная в зависимости от остатка",DAY(F415)=31,MONTH(F415)=12,P415&gt;0),'депозитный калькулятор'!$G$18,0)))))))</f>
        <v xml:space="preserve"> </v>
      </c>
      <c r="K416" s="135" t="str">
        <f>IF($F416=" "," ",IFERROR(VLOOKUP($F416,'депозитный калькулятор'!$B$26:$F$70,2,0),0))</f>
        <v xml:space="preserve"> </v>
      </c>
      <c r="L416" s="135" t="str">
        <f>IF($F416=" "," ",IFERROR(VLOOKUP($F416,'депозитный калькулятор'!$B$26:$F$70,3,0),0))</f>
        <v xml:space="preserve"> </v>
      </c>
      <c r="M416" s="135" t="str">
        <f>IF($F416=" "," ",IFERROR(VLOOKUP($F416,'депозитный калькулятор'!$B$26:$F$70,4,0),0))</f>
        <v xml:space="preserve"> </v>
      </c>
      <c r="N416" s="135" t="str">
        <f>IF($F416=" "," ",IFERROR(VLOOKUP($F416,'депозитный калькулятор'!$B$26:$F$70,5,0),0))</f>
        <v xml:space="preserve"> </v>
      </c>
      <c r="O416" s="146" t="str">
        <f>IF(F416&gt;'депозитный калькулятор'!$D$8," ",IF(F416='депозитный калькулятор'!$D$8,IF(AND($F$24='депозитный калькулятор'!$D$8,'депозитный калькулятор'!$G$13="нет"),-G416-IF(I416=" ",0,I416)-IF(AND(OR('депозитный калькулятор'!$G$7="30/365",'депозитный калькулятор'!$G$7="30/360"),'депозитный калькулятор'!$G$10="в начале срока"),I415,0)-L416+M416-N416,-G416-IF(I416=" ",0,I416)-L416+M416-N416),IF('депозитный калькулятор'!$G$13="есть",M416-N416+IF('депозитный калькулятор'!$G$14="есть",0,-L416),-IF(I416=" ",0,I416)-IF(AND(OR('депозитный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срока"),I415,0)+M416-N416+IF('депозитный калькулятор'!$G$14="есть",0,-L416))))</f>
        <v xml:space="preserve"> </v>
      </c>
      <c r="P416" s="147" t="str">
        <f>IF(F416&gt;'депозитный калькулятор'!$D$8," ",IF(EOMONTH(F415,0)=F415,0,IF(G416&gt;='депозитный калькулятор'!$G$19,P415,P415+1)))</f>
        <v xml:space="preserve"> </v>
      </c>
      <c r="Q416" s="138" t="str">
        <f>IF(F416=" "," ",IF(AND(OR('депозитный калькулятор'!$G$7="30/365",'депозитный калькулятор'!$G$7="30/360"),AND(MONTH(F416)=2,EOMONTH(F416,0)=F416)),IF(DAY(F416)=28,3,2),1)*IF(G416&gt;='депозитный калькулятор'!$G$11,IF(AND('депозитный калькулятор'!$G$7="факт/факт",MOD(YEAR(F416),4)=0),G416*'депозитный калькулятор'!$D$11/366,G416*'депозитный калькулятор'!$G$8),0))</f>
        <v xml:space="preserve"> </v>
      </c>
      <c r="R416" s="158"/>
      <c r="S416" s="62" t="str">
        <f t="shared" ca="1" si="32"/>
        <v xml:space="preserve"> </v>
      </c>
      <c r="T416" s="149" t="str">
        <f ca="1">IF(S416=" "," ",IF('депозитный калькулятор'!$G$7="30/360",DAYS360(U415,IF(DAY(U416)=31,U416-1,U416))+IF(AND(MONTH(U416)=2,U416=EOMONTH(U416,0)),30-DAY(EOMONTH(U416,0)))+T415,VLOOKUP(S416,$C$22:$F$1023,2,0)))</f>
        <v xml:space="preserve"> </v>
      </c>
      <c r="U416" s="64" t="str">
        <f t="shared" ca="1" si="30"/>
        <v xml:space="preserve"> </v>
      </c>
      <c r="V416" s="150" t="str">
        <f t="shared" ca="1" si="33"/>
        <v xml:space="preserve"> </v>
      </c>
      <c r="W416" s="62" t="str">
        <f t="shared" ca="1" si="34"/>
        <v xml:space="preserve"> </v>
      </c>
      <c r="X416" s="141" t="str">
        <f ca="1">IF(S416=" "," ",IFERROR(VLOOKUP(U416,$F$23:$N$1023,7)+VLOOKUP(U416,$F$23:$N$1023,9)+IF(AND('депозитный калькулятор'!$G$13="нет",U416&lt;&gt;'депозитный калькулятор'!$D$8),VLOOKUP(U416,$F$23:$N$1023,4),0),0)+IF(U416='депозитный калькулятор'!$D$8,VLOOKUP(U416,$F$23:$N$1023,2)+VLOOKUP(U416,$F$23:$N$1023,4),0))</f>
        <v xml:space="preserve"> </v>
      </c>
      <c r="Y416" s="142" t="str">
        <f ca="1">IF(S416=" "," ",W416/(1+'депозитный калькулятор'!$K$8)^(T416/IF('депозитный калькулятор'!$G$7="30/360",360,365)))</f>
        <v xml:space="preserve"> </v>
      </c>
      <c r="Z416" s="142" t="str">
        <f ca="1">IF(S416=" "," ",X416/(1+'депозитный калькулятор'!$K$8)^(T416/IF('депозитный калькулятор'!$G$7="30/360",360,365)))</f>
        <v xml:space="preserve"> </v>
      </c>
      <c r="AA416" s="151"/>
      <c r="AB416" s="151"/>
      <c r="AC416" s="155"/>
      <c r="AD416" s="155"/>
    </row>
    <row r="417" spans="1:30" s="2" customFormat="1" ht="15.5" x14ac:dyDescent="0.35">
      <c r="A417" s="41" t="str">
        <f>IF(F417=" "," ",IF(OR('депозитный калькулятор'!$G$7="30/365",'депозитный калькулятор'!$G$7="30/360"),IF(AND(MONTH(F417)=2,DAY(F417)=DAY(EOMONTH(F417,0))),30-DAY(EOMONTH(F417,0)),IF(DAY(F417)=31,1," "))," "))</f>
        <v xml:space="preserve"> </v>
      </c>
      <c r="B417" s="130" t="str">
        <f t="shared" si="31"/>
        <v xml:space="preserve"> </v>
      </c>
      <c r="C417" s="130" t="str">
        <f>IF(OR(B417=0,B417=" ")," ",SUM($B$23:B417))</f>
        <v xml:space="preserve"> </v>
      </c>
      <c r="D417" s="62" t="str">
        <f>IF(D416=" "," ",IF(OR(F416='депозитный калькулятор'!$D$8,F416=" ")," ",D416+1))</f>
        <v xml:space="preserve"> </v>
      </c>
      <c r="E417" s="130" t="str">
        <f>IF(OR(F416='депозитный калькулятор'!$D$8,F416=" ")," ",IF(EOMONTH(F416,0)=F416,1,E416+1))</f>
        <v xml:space="preserve"> </v>
      </c>
      <c r="F417" s="64" t="str">
        <f>IF(F416=" "," ",IF(F416='депозитный калькулятор'!$D$8," ",F416+1))</f>
        <v xml:space="preserve"> </v>
      </c>
      <c r="G417" s="145" t="str">
        <f xml:space="preserve"> IF(F417&gt;'депозитный калькулятор'!$D$8," ",IF('депозитный калькулятор'!$G$13="есть",IF('депозитный калькулятор'!$G$14="есть",G416+IF(I416=" ",0,I416)-J417-K417+L417+M417-N417,G416+IF(I416=" ",0,I416)-J417-K417+M417-N417),IF('депозитный калькулятор'!$G$14="есть",G416-J417-K417+L417+M417-N417,G416-J417-K417+M417-N417)))</f>
        <v xml:space="preserve"> </v>
      </c>
      <c r="H417" s="133" t="str">
        <f>IF(F417&gt;'депозитный калькулятор'!$D$8," ",IF(AND(OR('депозитный калькулятор'!$G$7="30/365",'депозитный калькулятор'!$G$7="30/360"),AND(MONTH(F417)=2,EOMONTH(F417,0)=F417)),IF(DAY(F417)=28,3*G417*'депозитный калькулятор'!$G$8,2*G417*'депозитный калькулятор'!$G$8),IF(AND(OR('депозитный калькулятор'!$G$7="30/365",'депозитный калькулятор'!$G$7="30/360"),DAY(F417)=31)," ",IF(AND('депозитный калькулятор'!$G$7="факт/факт",MOD(YEAR(F417),4)=0),G417*'депозитный калькулятор'!$D$11/366,G417*'депозитный калькулятор'!$G$8))))</f>
        <v xml:space="preserve"> </v>
      </c>
      <c r="I417" s="134" t="str">
        <f ca="1">IF(F417=" "," ",IF('депозитный калькулятор'!$G$10="ежедневное",H417,IF(AND('депозитный калькулятор'!$G$10="еженедельное",WEEKDAY(F417,2)=7),SUM(OFFSET(H417,-6,0):H417),IF(AND('депозитный калькулятор'!$G$10="еженедельное",F417='депозитный калькулятор'!$D$8),SUM($H$23:H417)-SUM($I$23:I416),IF(AND('депозитный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недели",WEEKDAY(F417,2)=7),MIN(OFFSET(H417,-6,0):H417)*(COUNTIF(OFFSET(H417,-6,0):H417,"&gt;0")+SUMIF(OFFSET(A417,-WEEKDAY(F417,2),0):A417,"=2",OFFSET(A417,-WEEKDAY(F417,2),0):A417)),IF(AND('депозитный калькулятор'!$G$10="еженедельное, на минимальную сумму зафиксированную в течение недели",F417='депозитный калькулятор'!$D$8,WEEKDAY(F417,2)&lt;&gt;7),MIN(OFFSET(H417,-WEEKDAY(F417,2),0):H417)*(COUNTIF(OFFSET(H417,-WEEKDAY(F417,2)+1,0):H417,"&gt;0")+SUM(OFFSET(A417,-WEEKDAY(F417,2),0):A417)),IF(AND('депозитный калькулятор'!$G$10="ежемесячное (в конце месяца)",F417='депозитный калькулятор'!$D$8,EOMONTH(F417,0)&lt;&gt;F417),IF('депозитный калькулятор'!$F$1=1,$H$24,SUM($H$23:H417)-SUM($I$23:I416)),IF(AND('депозитный калькулятор'!$G$10="ежемесячное (в конце месяца)",EOMONTH(F417,0)=F417),SUM($H$23:H417)-SUM($I$23:I416),IF(AND('депозитный калькулятор'!$G$10="ежемесячное (по дням открытия вклада)",F417='депозитный калькулятор'!$D$8,DAY('депозитный калькулятор'!$D$7)&lt;&gt;DAY(F417)),IF('депозитный калькулятор'!$F$1=1,$H$24,SUM($H$23:H417)-SUM($I$23:I416)),IF(AND('депозитный калькулятор'!$G$10="ежемесячное (по дням открытия вклада)",DAY('депозитный калькулятор'!$D$7)=DAY(F417)),SUM($H$23:H417)-SUM($I$23:I416),IF(AND('депозитный калькулятор'!$G$10="ежемесячное, на минимальную сумму зафиксированную в течение месяца",F417='депозитный калькулятор'!$D$8,EOMONTH(F417,0)&lt;&gt;F417),IF('депозитный калькулятор'!$F$1=1,$H$24,IF(AND(OR('депозитный калькулятор'!$G$7="30/365",'депозитный калькулятор'!$G$7="30/360"),DAY(F417)=31),0,MIN(OFFSET(H417,-E417+1,0):H417)*(E417+SUMIF(OFFSET(A417,-E417+1,0):A417,"=2",OFFSET(A417,-E417+1,0):A417)))),IF(AND('депозитный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калькулятор'!$G$7="30/360"),DAY(EOMONTH(F417,0))=31),EOMONTH(F417,0)-1=F417,EOMONTH(F417,0)=F417)),IF(IF(AND(OR('депозитный калькулятор'!$G$7="30/365",'депозитный калькулятор'!$G$7="30/360"),DAY(EOMONTH($F$23,0))=31),F417=EOMONTH($F$23,0)-1,F417=EOMONTH($F$23,0)),MIN(OFFSET(H417,-(DAY(F417)-DAY($F$23)),0):H417)*E417,MIN(OFFSET(H417,-(DAY(F417)-1),0):H417)*IF(AND(OR('депозитный калькулятор'!$G$7="30/365",'депозитный калькулятор'!$G$7="30/360"),DAY(F417)&lt;30),30,DAY(F417))),IF(AND('депозитный калькулятор'!$G$10="ежемесячное, на средний остаток в течение месяца, при условии что остаток больше чем ограничение",F417='депозитный калькулятор'!$D$8,EOMONTH(F417,0)&lt;&gt;F417),IF('депозитный калькулятор'!$F$1=1,$H$24,SUM(OFFSET(Q417,-E417+1,0):Q417)),IF(AND('депозитный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калькулятор'!$G$7="30/360"),DAY(EOMONTH(F417,0))=31),EOMONTH(F417,0)-1=F417,EOMONTH(F417,0)=F417)),IF(IF(AND(OR('депозитный калькулятор'!$G$7="30/365",'депозитный калькулятор'!$G$7="30/360"),DAY(EOMONTH($F$24,0))=31),F417=EOMONTH($F$24,0)-1,F417=EOMONTH($F$24,0)),SUM(OFFSET(Q417,-E417+1,0):Q417),SUM(OFFSET(Q417,-E417+1,0):Q417)),IF('депозитный калькулятор'!$G$10="ежеквартальное",IF(F417&gt;'депозитный калькулятор'!$D$8," ",IF(AND(EOMONTH(F417,0)=F417,OR(MONTH(F417)=3,MONTH(F417)=6,MONTH(F417)=9,MONTH(F417)=12)),IF(EDATE(F417,-3)&lt;'депозитный калькулятор'!$D$7,SUM($H$23:H417),IF(MOD(YEAR(F417),4)=0,IF(AND(EOMONTH(F417,0)=F417,OR(MONTH(F417)=3,MONTH(F417)=6)),SUM(OFFSET(H417,-90,0):H417),IF(AND(EOMONTH(F417,0)=F417,OR(MONTH(F417)=9,MONTH(F417)=12)),SUM(OFFSET(H417,-91,0):H417))),IF(AND(EOMONTH(F417,0)=F417,MONTH(F417)=3),SUM(OFFSET(H417,-89,0):H417),IF(AND(EOMONTH(F417,0)=F417,MONTH(F417)=6),SUM(OFFSET(H417,-90,0):H417),IF(AND(EOMONTH(F417,0)=F417,OR(MONTH(F417)=9,MONTH(F417)=12)),SUM(OFFSET(H417,-91,0):H417)))))),IF(F417='депозитный калькулятор'!$D$8,SUM($H$23:H417)-SUM($I$23:I416),0))),IF('депозитный калькулятор'!$G$10="ежегодное",IF(F417&gt;'депозитный калькулятор'!$D$8," ",IF(F417='депозитный калькулятор'!$D$8,SUM($H$23:H417)-SUM($I$23:I416),IF(AND(EOMONTH(F417,0)=F417,MONTH(F417)=12),IF(MOD(YEAR(F416),4)=0,IF(F417-'депозитный калькулятор'!$D$7&lt;366,SUM($H$23:H417),SUM(OFFSET(H417,-365,0):H417)),IF(F417-'депозитный калькулятор'!$D$7&lt;365,SUM($H$23:H417),SUM(OFFSET(H417,-364,0):H417))),0))),IF(AND('депозитный калькулятор'!$G$10="в конце срока",'депозитный калькулятор'!$D$8=F417),SUM($H$23:H417),0))))))))))))))))))</f>
        <v xml:space="preserve"> </v>
      </c>
      <c r="J417" s="59" t="str">
        <f>IF(F417&gt;'депозитный калькулятор'!$D$8," ",IF('депозитный калькулятор'!$G$16="нет",0,IF(AND('депозитный калькулятор'!$G$17="разовая (в конце срока)",F417='депозитный калькулятор'!$D$8),'депозитный калькулятор'!$G$18,IF(AND('депозитный калькулятор'!$G$17="ежемесячная",EOMONTH(F416,0)=F416),'депозитный калькулятор'!$G$18,IF(AND('депозитный калькулятор'!$G$17="ежегодная",DAY(F416)=31,MONTH(F416)=12),'депозитный калькулятор'!$G$18,IF(AND('депозитный калькулятор'!$G$17="ежемесячная в зависимости от остатка",EOMONTH(F416,0)=F416,P416&gt;0),'депозитный калькулятор'!$G$18,IF(AND('депозитный калькулятор'!$G$17="ежегодная в зависимости от остатка",DAY(F416)=31,MONTH(F416)=12,P416&gt;0),'депозитный калькулятор'!$G$18,0)))))))</f>
        <v xml:space="preserve"> </v>
      </c>
      <c r="K417" s="135" t="str">
        <f>IF($F417=" "," ",IFERROR(VLOOKUP($F417,'депозитный калькулятор'!$B$26:$F$70,2,0),0))</f>
        <v xml:space="preserve"> </v>
      </c>
      <c r="L417" s="135" t="str">
        <f>IF($F417=" "," ",IFERROR(VLOOKUP($F417,'депозитный калькулятор'!$B$26:$F$70,3,0),0))</f>
        <v xml:space="preserve"> </v>
      </c>
      <c r="M417" s="135" t="str">
        <f>IF($F417=" "," ",IFERROR(VLOOKUP($F417,'депозитный калькулятор'!$B$26:$F$70,4,0),0))</f>
        <v xml:space="preserve"> </v>
      </c>
      <c r="N417" s="135" t="str">
        <f>IF($F417=" "," ",IFERROR(VLOOKUP($F417,'депозитный калькулятор'!$B$26:$F$70,5,0),0))</f>
        <v xml:space="preserve"> </v>
      </c>
      <c r="O417" s="146" t="str">
        <f>IF(F417&gt;'депозитный калькулятор'!$D$8," ",IF(F417='депозитный калькулятор'!$D$8,IF(AND($F$24='депозитный калькулятор'!$D$8,'депозитный калькулятор'!$G$13="нет"),-G417-IF(I417=" ",0,I417)-IF(AND(OR('депозитный калькулятор'!$G$7="30/365",'депозитный калькулятор'!$G$7="30/360"),'депозитный калькулятор'!$G$10="в начале срока"),I416,0)-L417+M417-N417,-G417-IF(I417=" ",0,I417)-L417+M417-N417),IF('депозитный калькулятор'!$G$13="есть",M417-N417+IF('депозитный калькулятор'!$G$14="есть",0,-L417),-IF(I417=" ",0,I417)-IF(AND(OR('депозитный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срока"),I416,0)+M417-N417+IF('депозитный калькулятор'!$G$14="есть",0,-L417))))</f>
        <v xml:space="preserve"> </v>
      </c>
      <c r="P417" s="147" t="str">
        <f>IF(F417&gt;'депозитный калькулятор'!$D$8," ",IF(EOMONTH(F416,0)=F416,0,IF(G417&gt;='депозитный калькулятор'!$G$19,P416,P416+1)))</f>
        <v xml:space="preserve"> </v>
      </c>
      <c r="Q417" s="138" t="str">
        <f>IF(F417=" "," ",IF(AND(OR('депозитный калькулятор'!$G$7="30/365",'депозитный калькулятор'!$G$7="30/360"),AND(MONTH(F417)=2,EOMONTH(F417,0)=F417)),IF(DAY(F417)=28,3,2),1)*IF(G417&gt;='депозитный калькулятор'!$G$11,IF(AND('депозитный калькулятор'!$G$7="факт/факт",MOD(YEAR(F417),4)=0),G417*'депозитный калькулятор'!$D$11/366,G417*'депозитный калькулятор'!$G$8),0))</f>
        <v xml:space="preserve"> </v>
      </c>
      <c r="R417" s="158"/>
      <c r="S417" s="62" t="str">
        <f t="shared" ca="1" si="32"/>
        <v xml:space="preserve"> </v>
      </c>
      <c r="T417" s="149" t="str">
        <f ca="1">IF(S417=" "," ",IF('депозитный калькулятор'!$G$7="30/360",DAYS360(U416,IF(DAY(U417)=31,U417-1,U417))+IF(AND(MONTH(U417)=2,U417=EOMONTH(U417,0)),30-DAY(EOMONTH(U417,0)))+T416,VLOOKUP(S417,$C$22:$F$1023,2,0)))</f>
        <v xml:space="preserve"> </v>
      </c>
      <c r="U417" s="64" t="str">
        <f t="shared" ca="1" si="30"/>
        <v xml:space="preserve"> </v>
      </c>
      <c r="V417" s="150" t="str">
        <f t="shared" ca="1" si="33"/>
        <v xml:space="preserve"> </v>
      </c>
      <c r="W417" s="62" t="str">
        <f t="shared" ca="1" si="34"/>
        <v xml:space="preserve"> </v>
      </c>
      <c r="X417" s="141" t="str">
        <f ca="1">IF(S417=" "," ",IFERROR(VLOOKUP(U417,$F$23:$N$1023,7)+VLOOKUP(U417,$F$23:$N$1023,9)+IF(AND('депозитный калькулятор'!$G$13="нет",U417&lt;&gt;'депозитный калькулятор'!$D$8),VLOOKUP(U417,$F$23:$N$1023,4),0),0)+IF(U417='депозитный калькулятор'!$D$8,VLOOKUP(U417,$F$23:$N$1023,2)+VLOOKUP(U417,$F$23:$N$1023,4),0))</f>
        <v xml:space="preserve"> </v>
      </c>
      <c r="Y417" s="142" t="str">
        <f ca="1">IF(S417=" "," ",W417/(1+'депозитный калькулятор'!$K$8)^(T417/IF('депозитный калькулятор'!$G$7="30/360",360,365)))</f>
        <v xml:space="preserve"> </v>
      </c>
      <c r="Z417" s="142" t="str">
        <f ca="1">IF(S417=" "," ",X417/(1+'депозитный калькулятор'!$K$8)^(T417/IF('депозитный калькулятор'!$G$7="30/360",360,365)))</f>
        <v xml:space="preserve"> </v>
      </c>
      <c r="AA417" s="151"/>
      <c r="AB417" s="151"/>
      <c r="AC417" s="155"/>
      <c r="AD417" s="155"/>
    </row>
    <row r="418" spans="1:30" s="2" customFormat="1" ht="15.5" x14ac:dyDescent="0.35">
      <c r="A418" s="41" t="str">
        <f>IF(F418=" "," ",IF(OR('депозитный калькулятор'!$G$7="30/365",'депозитный калькулятор'!$G$7="30/360"),IF(AND(MONTH(F418)=2,DAY(F418)=DAY(EOMONTH(F418,0))),30-DAY(EOMONTH(F418,0)),IF(DAY(F418)=31,1," "))," "))</f>
        <v xml:space="preserve"> </v>
      </c>
      <c r="B418" s="130" t="str">
        <f t="shared" si="31"/>
        <v xml:space="preserve"> </v>
      </c>
      <c r="C418" s="130" t="str">
        <f>IF(OR(B418=0,B418=" ")," ",SUM($B$23:B418))</f>
        <v xml:space="preserve"> </v>
      </c>
      <c r="D418" s="62" t="str">
        <f>IF(D417=" "," ",IF(OR(F417='депозитный калькулятор'!$D$8,F417=" ")," ",D417+1))</f>
        <v xml:space="preserve"> </v>
      </c>
      <c r="E418" s="130" t="str">
        <f>IF(OR(F417='депозитный калькулятор'!$D$8,F417=" ")," ",IF(EOMONTH(F417,0)=F417,1,E417+1))</f>
        <v xml:space="preserve"> </v>
      </c>
      <c r="F418" s="64" t="str">
        <f>IF(F417=" "," ",IF(F417='депозитный калькулятор'!$D$8," ",F417+1))</f>
        <v xml:space="preserve"> </v>
      </c>
      <c r="G418" s="145" t="str">
        <f xml:space="preserve"> IF(F418&gt;'депозитный калькулятор'!$D$8," ",IF('депозитный калькулятор'!$G$13="есть",IF('депозитный калькулятор'!$G$14="есть",G417+IF(I417=" ",0,I417)-J418-K418+L418+M418-N418,G417+IF(I417=" ",0,I417)-J418-K418+M418-N418),IF('депозитный калькулятор'!$G$14="есть",G417-J418-K418+L418+M418-N418,G417-J418-K418+M418-N418)))</f>
        <v xml:space="preserve"> </v>
      </c>
      <c r="H418" s="133" t="str">
        <f>IF(F418&gt;'депозитный калькулятор'!$D$8," ",IF(AND(OR('депозитный калькулятор'!$G$7="30/365",'депозитный калькулятор'!$G$7="30/360"),AND(MONTH(F418)=2,EOMONTH(F418,0)=F418)),IF(DAY(F418)=28,3*G418*'депозитный калькулятор'!$G$8,2*G418*'депозитный калькулятор'!$G$8),IF(AND(OR('депозитный калькулятор'!$G$7="30/365",'депозитный калькулятор'!$G$7="30/360"),DAY(F418)=31)," ",IF(AND('депозитный калькулятор'!$G$7="факт/факт",MOD(YEAR(F418),4)=0),G418*'депозитный калькулятор'!$D$11/366,G418*'депозитный калькулятор'!$G$8))))</f>
        <v xml:space="preserve"> </v>
      </c>
      <c r="I418" s="134" t="str">
        <f ca="1">IF(F418=" "," ",IF('депозитный калькулятор'!$G$10="ежедневное",H418,IF(AND('депозитный калькулятор'!$G$10="еженедельное",WEEKDAY(F418,2)=7),SUM(OFFSET(H418,-6,0):H418),IF(AND('депозитный калькулятор'!$G$10="еженедельное",F418='депозитный калькулятор'!$D$8),SUM($H$23:H418)-SUM($I$23:I417),IF(AND('депозитный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недели",WEEKDAY(F418,2)=7),MIN(OFFSET(H418,-6,0):H418)*(COUNTIF(OFFSET(H418,-6,0):H418,"&gt;0")+SUMIF(OFFSET(A418,-WEEKDAY(F418,2),0):A418,"=2",OFFSET(A418,-WEEKDAY(F418,2),0):A418)),IF(AND('депозитный калькулятор'!$G$10="еженедельное, на минимальную сумму зафиксированную в течение недели",F418='депозитный калькулятор'!$D$8,WEEKDAY(F418,2)&lt;&gt;7),MIN(OFFSET(H418,-WEEKDAY(F418,2),0):H418)*(COUNTIF(OFFSET(H418,-WEEKDAY(F418,2)+1,0):H418,"&gt;0")+SUM(OFFSET(A418,-WEEKDAY(F418,2),0):A418)),IF(AND('депозитный калькулятор'!$G$10="ежемесячное (в конце месяца)",F418='депозитный калькулятор'!$D$8,EOMONTH(F418,0)&lt;&gt;F418),IF('депозитный калькулятор'!$F$1=1,$H$24,SUM($H$23:H418)-SUM($I$23:I417)),IF(AND('депозитный калькулятор'!$G$10="ежемесячное (в конце месяца)",EOMONTH(F418,0)=F418),SUM($H$23:H418)-SUM($I$23:I417),IF(AND('депозитный калькулятор'!$G$10="ежемесячное (по дням открытия вклада)",F418='депозитный калькулятор'!$D$8,DAY('депозитный калькулятор'!$D$7)&lt;&gt;DAY(F418)),IF('депозитный калькулятор'!$F$1=1,$H$24,SUM($H$23:H418)-SUM($I$23:I417)),IF(AND('депозитный калькулятор'!$G$10="ежемесячное (по дням открытия вклада)",DAY('депозитный калькулятор'!$D$7)=DAY(F418)),SUM($H$23:H418)-SUM($I$23:I417),IF(AND('депозитный калькулятор'!$G$10="ежемесячное, на минимальную сумму зафиксированную в течение месяца",F418='депозитный калькулятор'!$D$8,EOMONTH(F418,0)&lt;&gt;F418),IF('депозитный калькулятор'!$F$1=1,$H$24,IF(AND(OR('депозитный калькулятор'!$G$7="30/365",'депозитный калькулятор'!$G$7="30/360"),DAY(F418)=31),0,MIN(OFFSET(H418,-E418+1,0):H418)*(E418+SUMIF(OFFSET(A418,-E418+1,0):A418,"=2",OFFSET(A418,-E418+1,0):A418)))),IF(AND('депозитный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калькулятор'!$G$7="30/360"),DAY(EOMONTH(F418,0))=31),EOMONTH(F418,0)-1=F418,EOMONTH(F418,0)=F418)),IF(IF(AND(OR('депозитный калькулятор'!$G$7="30/365",'депозитный калькулятор'!$G$7="30/360"),DAY(EOMONTH($F$23,0))=31),F418=EOMONTH($F$23,0)-1,F418=EOMONTH($F$23,0)),MIN(OFFSET(H418,-(DAY(F418)-DAY($F$23)),0):H418)*E418,MIN(OFFSET(H418,-(DAY(F418)-1),0):H418)*IF(AND(OR('депозитный калькулятор'!$G$7="30/365",'депозитный калькулятор'!$G$7="30/360"),DAY(F418)&lt;30),30,DAY(F418))),IF(AND('депозитный калькулятор'!$G$10="ежемесячное, на средний остаток в течение месяца, при условии что остаток больше чем ограничение",F418='депозитный калькулятор'!$D$8,EOMONTH(F418,0)&lt;&gt;F418),IF('депозитный калькулятор'!$F$1=1,$H$24,SUM(OFFSET(Q418,-E418+1,0):Q418)),IF(AND('депозитный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калькулятор'!$G$7="30/360"),DAY(EOMONTH(F418,0))=31),EOMONTH(F418,0)-1=F418,EOMONTH(F418,0)=F418)),IF(IF(AND(OR('депозитный калькулятор'!$G$7="30/365",'депозитный калькулятор'!$G$7="30/360"),DAY(EOMONTH($F$24,0))=31),F418=EOMONTH($F$24,0)-1,F418=EOMONTH($F$24,0)),SUM(OFFSET(Q418,-E418+1,0):Q418),SUM(OFFSET(Q418,-E418+1,0):Q418)),IF('депозитный калькулятор'!$G$10="ежеквартальное",IF(F418&gt;'депозитный калькулятор'!$D$8," ",IF(AND(EOMONTH(F418,0)=F418,OR(MONTH(F418)=3,MONTH(F418)=6,MONTH(F418)=9,MONTH(F418)=12)),IF(EDATE(F418,-3)&lt;'депозитный калькулятор'!$D$7,SUM($H$23:H418),IF(MOD(YEAR(F418),4)=0,IF(AND(EOMONTH(F418,0)=F418,OR(MONTH(F418)=3,MONTH(F418)=6)),SUM(OFFSET(H418,-90,0):H418),IF(AND(EOMONTH(F418,0)=F418,OR(MONTH(F418)=9,MONTH(F418)=12)),SUM(OFFSET(H418,-91,0):H418))),IF(AND(EOMONTH(F418,0)=F418,MONTH(F418)=3),SUM(OFFSET(H418,-89,0):H418),IF(AND(EOMONTH(F418,0)=F418,MONTH(F418)=6),SUM(OFFSET(H418,-90,0):H418),IF(AND(EOMONTH(F418,0)=F418,OR(MONTH(F418)=9,MONTH(F418)=12)),SUM(OFFSET(H418,-91,0):H418)))))),IF(F418='депозитный калькулятор'!$D$8,SUM($H$23:H418)-SUM($I$23:I417),0))),IF('депозитный калькулятор'!$G$10="ежегодное",IF(F418&gt;'депозитный калькулятор'!$D$8," ",IF(F418='депозитный калькулятор'!$D$8,SUM($H$23:H418)-SUM($I$23:I417),IF(AND(EOMONTH(F418,0)=F418,MONTH(F418)=12),IF(MOD(YEAR(F417),4)=0,IF(F418-'депозитный калькулятор'!$D$7&lt;366,SUM($H$23:H418),SUM(OFFSET(H418,-365,0):H418)),IF(F418-'депозитный калькулятор'!$D$7&lt;365,SUM($H$23:H418),SUM(OFFSET(H418,-364,0):H418))),0))),IF(AND('депозитный калькулятор'!$G$10="в конце срока",'депозитный калькулятор'!$D$8=F418),SUM($H$23:H418),0))))))))))))))))))</f>
        <v xml:space="preserve"> </v>
      </c>
      <c r="J418" s="59" t="str">
        <f>IF(F418&gt;'депозитный калькулятор'!$D$8," ",IF('депозитный калькулятор'!$G$16="нет",0,IF(AND('депозитный калькулятор'!$G$17="разовая (в конце срока)",F418='депозитный калькулятор'!$D$8),'депозитный калькулятор'!$G$18,IF(AND('депозитный калькулятор'!$G$17="ежемесячная",EOMONTH(F417,0)=F417),'депозитный калькулятор'!$G$18,IF(AND('депозитный калькулятор'!$G$17="ежегодная",DAY(F417)=31,MONTH(F417)=12),'депозитный калькулятор'!$G$18,IF(AND('депозитный калькулятор'!$G$17="ежемесячная в зависимости от остатка",EOMONTH(F417,0)=F417,P417&gt;0),'депозитный калькулятор'!$G$18,IF(AND('депозитный калькулятор'!$G$17="ежегодная в зависимости от остатка",DAY(F417)=31,MONTH(F417)=12,P417&gt;0),'депозитный калькулятор'!$G$18,0)))))))</f>
        <v xml:space="preserve"> </v>
      </c>
      <c r="K418" s="135" t="str">
        <f>IF($F418=" "," ",IFERROR(VLOOKUP($F418,'депозитный калькулятор'!$B$26:$F$70,2,0),0))</f>
        <v xml:space="preserve"> </v>
      </c>
      <c r="L418" s="135" t="str">
        <f>IF($F418=" "," ",IFERROR(VLOOKUP($F418,'депозитный калькулятор'!$B$26:$F$70,3,0),0))</f>
        <v xml:space="preserve"> </v>
      </c>
      <c r="M418" s="135" t="str">
        <f>IF($F418=" "," ",IFERROR(VLOOKUP($F418,'депозитный калькулятор'!$B$26:$F$70,4,0),0))</f>
        <v xml:space="preserve"> </v>
      </c>
      <c r="N418" s="135" t="str">
        <f>IF($F418=" "," ",IFERROR(VLOOKUP($F418,'депозитный калькулятор'!$B$26:$F$70,5,0),0))</f>
        <v xml:space="preserve"> </v>
      </c>
      <c r="O418" s="146" t="str">
        <f>IF(F418&gt;'депозитный калькулятор'!$D$8," ",IF(F418='депозитный калькулятор'!$D$8,IF(AND($F$24='депозитный калькулятор'!$D$8,'депозитный калькулятор'!$G$13="нет"),-G418-IF(I418=" ",0,I418)-IF(AND(OR('депозитный калькулятор'!$G$7="30/365",'депозитный калькулятор'!$G$7="30/360"),'депозитный калькулятор'!$G$10="в начале срока"),I417,0)-L418+M418-N418,-G418-IF(I418=" ",0,I418)-L418+M418-N418),IF('депозитный калькулятор'!$G$13="есть",M418-N418+IF('депозитный калькулятор'!$G$14="есть",0,-L418),-IF(I418=" ",0,I418)-IF(AND(OR('депозитный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срока"),I417,0)+M418-N418+IF('депозитный калькулятор'!$G$14="есть",0,-L418))))</f>
        <v xml:space="preserve"> </v>
      </c>
      <c r="P418" s="147" t="str">
        <f>IF(F418&gt;'депозитный калькулятор'!$D$8," ",IF(EOMONTH(F417,0)=F417,0,IF(G418&gt;='депозитный калькулятор'!$G$19,P417,P417+1)))</f>
        <v xml:space="preserve"> </v>
      </c>
      <c r="Q418" s="138" t="str">
        <f>IF(F418=" "," ",IF(AND(OR('депозитный калькулятор'!$G$7="30/365",'депозитный калькулятор'!$G$7="30/360"),AND(MONTH(F418)=2,EOMONTH(F418,0)=F418)),IF(DAY(F418)=28,3,2),1)*IF(G418&gt;='депозитный калькулятор'!$G$11,IF(AND('депозитный калькулятор'!$G$7="факт/факт",MOD(YEAR(F418),4)=0),G418*'депозитный калькулятор'!$D$11/366,G418*'депозитный калькулятор'!$G$8),0))</f>
        <v xml:space="preserve"> </v>
      </c>
      <c r="R418" s="158"/>
      <c r="S418" s="62" t="str">
        <f t="shared" ca="1" si="32"/>
        <v xml:space="preserve"> </v>
      </c>
      <c r="T418" s="149" t="str">
        <f ca="1">IF(S418=" "," ",IF('депозитный калькулятор'!$G$7="30/360",DAYS360(U417,IF(DAY(U418)=31,U418-1,U418))+IF(AND(MONTH(U418)=2,U418=EOMONTH(U418,0)),30-DAY(EOMONTH(U418,0)))+T417,VLOOKUP(S418,$C$22:$F$1023,2,0)))</f>
        <v xml:space="preserve"> </v>
      </c>
      <c r="U418" s="64" t="str">
        <f t="shared" ca="1" si="30"/>
        <v xml:space="preserve"> </v>
      </c>
      <c r="V418" s="150" t="str">
        <f t="shared" ca="1" si="33"/>
        <v xml:space="preserve"> </v>
      </c>
      <c r="W418" s="62" t="str">
        <f t="shared" ca="1" si="34"/>
        <v xml:space="preserve"> </v>
      </c>
      <c r="X418" s="141" t="str">
        <f ca="1">IF(S418=" "," ",IFERROR(VLOOKUP(U418,$F$23:$N$1023,7)+VLOOKUP(U418,$F$23:$N$1023,9)+IF(AND('депозитный калькулятор'!$G$13="нет",U418&lt;&gt;'депозитный калькулятор'!$D$8),VLOOKUP(U418,$F$23:$N$1023,4),0),0)+IF(U418='депозитный калькулятор'!$D$8,VLOOKUP(U418,$F$23:$N$1023,2)+VLOOKUP(U418,$F$23:$N$1023,4),0))</f>
        <v xml:space="preserve"> </v>
      </c>
      <c r="Y418" s="142" t="str">
        <f ca="1">IF(S418=" "," ",W418/(1+'депозитный калькулятор'!$K$8)^(T418/IF('депозитный калькулятор'!$G$7="30/360",360,365)))</f>
        <v xml:space="preserve"> </v>
      </c>
      <c r="Z418" s="142" t="str">
        <f ca="1">IF(S418=" "," ",X418/(1+'депозитный калькулятор'!$K$8)^(T418/IF('депозитный калькулятор'!$G$7="30/360",360,365)))</f>
        <v xml:space="preserve"> </v>
      </c>
      <c r="AA418" s="151"/>
      <c r="AB418" s="151"/>
      <c r="AC418" s="155"/>
      <c r="AD418" s="155"/>
    </row>
    <row r="419" spans="1:30" s="2" customFormat="1" ht="15.5" x14ac:dyDescent="0.35">
      <c r="A419" s="41" t="str">
        <f>IF(F419=" "," ",IF(OR('депозитный калькулятор'!$G$7="30/365",'депозитный калькулятор'!$G$7="30/360"),IF(AND(MONTH(F419)=2,DAY(F419)=DAY(EOMONTH(F419,0))),30-DAY(EOMONTH(F419,0)),IF(DAY(F419)=31,1," "))," "))</f>
        <v xml:space="preserve"> </v>
      </c>
      <c r="B419" s="130" t="str">
        <f t="shared" si="31"/>
        <v xml:space="preserve"> </v>
      </c>
      <c r="C419" s="130" t="str">
        <f>IF(OR(B419=0,B419=" ")," ",SUM($B$23:B419))</f>
        <v xml:space="preserve"> </v>
      </c>
      <c r="D419" s="62" t="str">
        <f>IF(D418=" "," ",IF(OR(F418='депозитный калькулятор'!$D$8,F418=" ")," ",D418+1))</f>
        <v xml:space="preserve"> </v>
      </c>
      <c r="E419" s="130" t="str">
        <f>IF(OR(F418='депозитный калькулятор'!$D$8,F418=" ")," ",IF(EOMONTH(F418,0)=F418,1,E418+1))</f>
        <v xml:space="preserve"> </v>
      </c>
      <c r="F419" s="64" t="str">
        <f>IF(F418=" "," ",IF(F418='депозитный калькулятор'!$D$8," ",F418+1))</f>
        <v xml:space="preserve"> </v>
      </c>
      <c r="G419" s="145" t="str">
        <f xml:space="preserve"> IF(F419&gt;'депозитный калькулятор'!$D$8," ",IF('депозитный калькулятор'!$G$13="есть",IF('депозитный калькулятор'!$G$14="есть",G418+IF(I418=" ",0,I418)-J419-K419+L419+M419-N419,G418+IF(I418=" ",0,I418)-J419-K419+M419-N419),IF('депозитный калькулятор'!$G$14="есть",G418-J419-K419+L419+M419-N419,G418-J419-K419+M419-N419)))</f>
        <v xml:space="preserve"> </v>
      </c>
      <c r="H419" s="133" t="str">
        <f>IF(F419&gt;'депозитный калькулятор'!$D$8," ",IF(AND(OR('депозитный калькулятор'!$G$7="30/365",'депозитный калькулятор'!$G$7="30/360"),AND(MONTH(F419)=2,EOMONTH(F419,0)=F419)),IF(DAY(F419)=28,3*G419*'депозитный калькулятор'!$G$8,2*G419*'депозитный калькулятор'!$G$8),IF(AND(OR('депозитный калькулятор'!$G$7="30/365",'депозитный калькулятор'!$G$7="30/360"),DAY(F419)=31)," ",IF(AND('депозитный калькулятор'!$G$7="факт/факт",MOD(YEAR(F419),4)=0),G419*'депозитный калькулятор'!$D$11/366,G419*'депозитный калькулятор'!$G$8))))</f>
        <v xml:space="preserve"> </v>
      </c>
      <c r="I419" s="134" t="str">
        <f ca="1">IF(F419=" "," ",IF('депозитный калькулятор'!$G$10="ежедневное",H419,IF(AND('депозитный калькулятор'!$G$10="еженедельное",WEEKDAY(F419,2)=7),SUM(OFFSET(H419,-6,0):H419),IF(AND('депозитный калькулятор'!$G$10="еженедельное",F419='депозитный калькулятор'!$D$8),SUM($H$23:H419)-SUM($I$23:I418),IF(AND('депозитный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недели",WEEKDAY(F419,2)=7),MIN(OFFSET(H419,-6,0):H419)*(COUNTIF(OFFSET(H419,-6,0):H419,"&gt;0")+SUMIF(OFFSET(A419,-WEEKDAY(F419,2),0):A419,"=2",OFFSET(A419,-WEEKDAY(F419,2),0):A419)),IF(AND('депозитный калькулятор'!$G$10="еженедельное, на минимальную сумму зафиксированную в течение недели",F419='депозитный калькулятор'!$D$8,WEEKDAY(F419,2)&lt;&gt;7),MIN(OFFSET(H419,-WEEKDAY(F419,2),0):H419)*(COUNTIF(OFFSET(H419,-WEEKDAY(F419,2)+1,0):H419,"&gt;0")+SUM(OFFSET(A419,-WEEKDAY(F419,2),0):A419)),IF(AND('депозитный калькулятор'!$G$10="ежемесячное (в конце месяца)",F419='депозитный калькулятор'!$D$8,EOMONTH(F419,0)&lt;&gt;F419),IF('депозитный калькулятор'!$F$1=1,$H$24,SUM($H$23:H419)-SUM($I$23:I418)),IF(AND('депозитный калькулятор'!$G$10="ежемесячное (в конце месяца)",EOMONTH(F419,0)=F419),SUM($H$23:H419)-SUM($I$23:I418),IF(AND('депозитный калькулятор'!$G$10="ежемесячное (по дням открытия вклада)",F419='депозитный калькулятор'!$D$8,DAY('депозитный калькулятор'!$D$7)&lt;&gt;DAY(F419)),IF('депозитный калькулятор'!$F$1=1,$H$24,SUM($H$23:H419)-SUM($I$23:I418)),IF(AND('депозитный калькулятор'!$G$10="ежемесячное (по дням открытия вклада)",DAY('депозитный калькулятор'!$D$7)=DAY(F419)),SUM($H$23:H419)-SUM($I$23:I418),IF(AND('депозитный калькулятор'!$G$10="ежемесячное, на минимальную сумму зафиксированную в течение месяца",F419='депозитный калькулятор'!$D$8,EOMONTH(F419,0)&lt;&gt;F419),IF('депозитный калькулятор'!$F$1=1,$H$24,IF(AND(OR('депозитный калькулятор'!$G$7="30/365",'депозитный калькулятор'!$G$7="30/360"),DAY(F419)=31),0,MIN(OFFSET(H419,-E419+1,0):H419)*(E419+SUMIF(OFFSET(A419,-E419+1,0):A419,"=2",OFFSET(A419,-E419+1,0):A419)))),IF(AND('депозитный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калькулятор'!$G$7="30/360"),DAY(EOMONTH(F419,0))=31),EOMONTH(F419,0)-1=F419,EOMONTH(F419,0)=F419)),IF(IF(AND(OR('депозитный калькулятор'!$G$7="30/365",'депозитный калькулятор'!$G$7="30/360"),DAY(EOMONTH($F$23,0))=31),F419=EOMONTH($F$23,0)-1,F419=EOMONTH($F$23,0)),MIN(OFFSET(H419,-(DAY(F419)-DAY($F$23)),0):H419)*E419,MIN(OFFSET(H419,-(DAY(F419)-1),0):H419)*IF(AND(OR('депозитный калькулятор'!$G$7="30/365",'депозитный калькулятор'!$G$7="30/360"),DAY(F419)&lt;30),30,DAY(F419))),IF(AND('депозитный калькулятор'!$G$10="ежемесячное, на средний остаток в течение месяца, при условии что остаток больше чем ограничение",F419='депозитный калькулятор'!$D$8,EOMONTH(F419,0)&lt;&gt;F419),IF('депозитный калькулятор'!$F$1=1,$H$24,SUM(OFFSET(Q419,-E419+1,0):Q419)),IF(AND('депозитный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калькулятор'!$G$7="30/360"),DAY(EOMONTH(F419,0))=31),EOMONTH(F419,0)-1=F419,EOMONTH(F419,0)=F419)),IF(IF(AND(OR('депозитный калькулятор'!$G$7="30/365",'депозитный калькулятор'!$G$7="30/360"),DAY(EOMONTH($F$24,0))=31),F419=EOMONTH($F$24,0)-1,F419=EOMONTH($F$24,0)),SUM(OFFSET(Q419,-E419+1,0):Q419),SUM(OFFSET(Q419,-E419+1,0):Q419)),IF('депозитный калькулятор'!$G$10="ежеквартальное",IF(F419&gt;'депозитный калькулятор'!$D$8," ",IF(AND(EOMONTH(F419,0)=F419,OR(MONTH(F419)=3,MONTH(F419)=6,MONTH(F419)=9,MONTH(F419)=12)),IF(EDATE(F419,-3)&lt;'депозитный калькулятор'!$D$7,SUM($H$23:H419),IF(MOD(YEAR(F419),4)=0,IF(AND(EOMONTH(F419,0)=F419,OR(MONTH(F419)=3,MONTH(F419)=6)),SUM(OFFSET(H419,-90,0):H419),IF(AND(EOMONTH(F419,0)=F419,OR(MONTH(F419)=9,MONTH(F419)=12)),SUM(OFFSET(H419,-91,0):H419))),IF(AND(EOMONTH(F419,0)=F419,MONTH(F419)=3),SUM(OFFSET(H419,-89,0):H419),IF(AND(EOMONTH(F419,0)=F419,MONTH(F419)=6),SUM(OFFSET(H419,-90,0):H419),IF(AND(EOMONTH(F419,0)=F419,OR(MONTH(F419)=9,MONTH(F419)=12)),SUM(OFFSET(H419,-91,0):H419)))))),IF(F419='депозитный калькулятор'!$D$8,SUM($H$23:H419)-SUM($I$23:I418),0))),IF('депозитный калькулятор'!$G$10="ежегодное",IF(F419&gt;'депозитный калькулятор'!$D$8," ",IF(F419='депозитный калькулятор'!$D$8,SUM($H$23:H419)-SUM($I$23:I418),IF(AND(EOMONTH(F419,0)=F419,MONTH(F419)=12),IF(MOD(YEAR(F418),4)=0,IF(F419-'депозитный калькулятор'!$D$7&lt;366,SUM($H$23:H419),SUM(OFFSET(H419,-365,0):H419)),IF(F419-'депозитный калькулятор'!$D$7&lt;365,SUM($H$23:H419),SUM(OFFSET(H419,-364,0):H419))),0))),IF(AND('депозитный калькулятор'!$G$10="в конце срока",'депозитный калькулятор'!$D$8=F419),SUM($H$23:H419),0))))))))))))))))))</f>
        <v xml:space="preserve"> </v>
      </c>
      <c r="J419" s="59" t="str">
        <f>IF(F419&gt;'депозитный калькулятор'!$D$8," ",IF('депозитный калькулятор'!$G$16="нет",0,IF(AND('депозитный калькулятор'!$G$17="разовая (в конце срока)",F419='депозитный калькулятор'!$D$8),'депозитный калькулятор'!$G$18,IF(AND('депозитный калькулятор'!$G$17="ежемесячная",EOMONTH(F418,0)=F418),'депозитный калькулятор'!$G$18,IF(AND('депозитный калькулятор'!$G$17="ежегодная",DAY(F418)=31,MONTH(F418)=12),'депозитный калькулятор'!$G$18,IF(AND('депозитный калькулятор'!$G$17="ежемесячная в зависимости от остатка",EOMONTH(F418,0)=F418,P418&gt;0),'депозитный калькулятор'!$G$18,IF(AND('депозитный калькулятор'!$G$17="ежегодная в зависимости от остатка",DAY(F418)=31,MONTH(F418)=12,P418&gt;0),'депозитный калькулятор'!$G$18,0)))))))</f>
        <v xml:space="preserve"> </v>
      </c>
      <c r="K419" s="135" t="str">
        <f>IF($F419=" "," ",IFERROR(VLOOKUP($F419,'депозитный калькулятор'!$B$26:$F$70,2,0),0))</f>
        <v xml:space="preserve"> </v>
      </c>
      <c r="L419" s="135" t="str">
        <f>IF($F419=" "," ",IFERROR(VLOOKUP($F419,'депозитный калькулятор'!$B$26:$F$70,3,0),0))</f>
        <v xml:space="preserve"> </v>
      </c>
      <c r="M419" s="135" t="str">
        <f>IF($F419=" "," ",IFERROR(VLOOKUP($F419,'депозитный калькулятор'!$B$26:$F$70,4,0),0))</f>
        <v xml:space="preserve"> </v>
      </c>
      <c r="N419" s="135" t="str">
        <f>IF($F419=" "," ",IFERROR(VLOOKUP($F419,'депозитный калькулятор'!$B$26:$F$70,5,0),0))</f>
        <v xml:space="preserve"> </v>
      </c>
      <c r="O419" s="146" t="str">
        <f>IF(F419&gt;'депозитный калькулятор'!$D$8," ",IF(F419='депозитный калькулятор'!$D$8,IF(AND($F$24='депозитный калькулятор'!$D$8,'депозитный калькулятор'!$G$13="нет"),-G419-IF(I419=" ",0,I419)-IF(AND(OR('депозитный калькулятор'!$G$7="30/365",'депозитный калькулятор'!$G$7="30/360"),'депозитный калькулятор'!$G$10="в начале срока"),I418,0)-L419+M419-N419,-G419-IF(I419=" ",0,I419)-L419+M419-N419),IF('депозитный калькулятор'!$G$13="есть",M419-N419+IF('депозитный калькулятор'!$G$14="есть",0,-L419),-IF(I419=" ",0,I419)-IF(AND(OR('депозитный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срока"),I418,0)+M419-N419+IF('депозитный калькулятор'!$G$14="есть",0,-L419))))</f>
        <v xml:space="preserve"> </v>
      </c>
      <c r="P419" s="147" t="str">
        <f>IF(F419&gt;'депозитный калькулятор'!$D$8," ",IF(EOMONTH(F418,0)=F418,0,IF(G419&gt;='депозитный калькулятор'!$G$19,P418,P418+1)))</f>
        <v xml:space="preserve"> </v>
      </c>
      <c r="Q419" s="138" t="str">
        <f>IF(F419=" "," ",IF(AND(OR('депозитный калькулятор'!$G$7="30/365",'депозитный калькулятор'!$G$7="30/360"),AND(MONTH(F419)=2,EOMONTH(F419,0)=F419)),IF(DAY(F419)=28,3,2),1)*IF(G419&gt;='депозитный калькулятор'!$G$11,IF(AND('депозитный калькулятор'!$G$7="факт/факт",MOD(YEAR(F419),4)=0),G419*'депозитный калькулятор'!$D$11/366,G419*'депозитный калькулятор'!$G$8),0))</f>
        <v xml:space="preserve"> </v>
      </c>
      <c r="R419" s="158"/>
      <c r="S419" s="62" t="str">
        <f t="shared" ca="1" si="32"/>
        <v xml:space="preserve"> </v>
      </c>
      <c r="T419" s="149" t="str">
        <f ca="1">IF(S419=" "," ",IF('депозитный калькулятор'!$G$7="30/360",DAYS360(U418,IF(DAY(U419)=31,U419-1,U419))+IF(AND(MONTH(U419)=2,U419=EOMONTH(U419,0)),30-DAY(EOMONTH(U419,0)))+T418,VLOOKUP(S419,$C$22:$F$1023,2,0)))</f>
        <v xml:space="preserve"> </v>
      </c>
      <c r="U419" s="64" t="str">
        <f t="shared" ca="1" si="30"/>
        <v xml:space="preserve"> </v>
      </c>
      <c r="V419" s="150" t="str">
        <f t="shared" ca="1" si="33"/>
        <v xml:space="preserve"> </v>
      </c>
      <c r="W419" s="62" t="str">
        <f t="shared" ca="1" si="34"/>
        <v xml:space="preserve"> </v>
      </c>
      <c r="X419" s="141" t="str">
        <f ca="1">IF(S419=" "," ",IFERROR(VLOOKUP(U419,$F$23:$N$1023,7)+VLOOKUP(U419,$F$23:$N$1023,9)+IF(AND('депозитный калькулятор'!$G$13="нет",U419&lt;&gt;'депозитный калькулятор'!$D$8),VLOOKUP(U419,$F$23:$N$1023,4),0),0)+IF(U419='депозитный калькулятор'!$D$8,VLOOKUP(U419,$F$23:$N$1023,2)+VLOOKUP(U419,$F$23:$N$1023,4),0))</f>
        <v xml:space="preserve"> </v>
      </c>
      <c r="Y419" s="142" t="str">
        <f ca="1">IF(S419=" "," ",W419/(1+'депозитный калькулятор'!$K$8)^(T419/IF('депозитный калькулятор'!$G$7="30/360",360,365)))</f>
        <v xml:space="preserve"> </v>
      </c>
      <c r="Z419" s="142" t="str">
        <f ca="1">IF(S419=" "," ",X419/(1+'депозитный калькулятор'!$K$8)^(T419/IF('депозитный калькулятор'!$G$7="30/360",360,365)))</f>
        <v xml:space="preserve"> </v>
      </c>
      <c r="AA419" s="151"/>
      <c r="AB419" s="151"/>
      <c r="AC419" s="155"/>
      <c r="AD419" s="155"/>
    </row>
    <row r="420" spans="1:30" s="2" customFormat="1" ht="15.5" x14ac:dyDescent="0.35">
      <c r="A420" s="41" t="str">
        <f>IF(F420=" "," ",IF(OR('депозитный калькулятор'!$G$7="30/365",'депозитный калькулятор'!$G$7="30/360"),IF(AND(MONTH(F420)=2,DAY(F420)=DAY(EOMONTH(F420,0))),30-DAY(EOMONTH(F420,0)),IF(DAY(F420)=31,1," "))," "))</f>
        <v xml:space="preserve"> </v>
      </c>
      <c r="B420" s="130" t="str">
        <f t="shared" si="31"/>
        <v xml:space="preserve"> </v>
      </c>
      <c r="C420" s="130" t="str">
        <f>IF(OR(B420=0,B420=" ")," ",SUM($B$23:B420))</f>
        <v xml:space="preserve"> </v>
      </c>
      <c r="D420" s="62" t="str">
        <f>IF(D419=" "," ",IF(OR(F419='депозитный калькулятор'!$D$8,F419=" ")," ",D419+1))</f>
        <v xml:space="preserve"> </v>
      </c>
      <c r="E420" s="130" t="str">
        <f>IF(OR(F419='депозитный калькулятор'!$D$8,F419=" ")," ",IF(EOMONTH(F419,0)=F419,1,E419+1))</f>
        <v xml:space="preserve"> </v>
      </c>
      <c r="F420" s="64" t="str">
        <f>IF(F419=" "," ",IF(F419='депозитный калькулятор'!$D$8," ",F419+1))</f>
        <v xml:space="preserve"> </v>
      </c>
      <c r="G420" s="145" t="str">
        <f xml:space="preserve"> IF(F420&gt;'депозитный калькулятор'!$D$8," ",IF('депозитный калькулятор'!$G$13="есть",IF('депозитный калькулятор'!$G$14="есть",G419+IF(I419=" ",0,I419)-J420-K420+L420+M420-N420,G419+IF(I419=" ",0,I419)-J420-K420+M420-N420),IF('депозитный калькулятор'!$G$14="есть",G419-J420-K420+L420+M420-N420,G419-J420-K420+M420-N420)))</f>
        <v xml:space="preserve"> </v>
      </c>
      <c r="H420" s="133" t="str">
        <f>IF(F420&gt;'депозитный калькулятор'!$D$8," ",IF(AND(OR('депозитный калькулятор'!$G$7="30/365",'депозитный калькулятор'!$G$7="30/360"),AND(MONTH(F420)=2,EOMONTH(F420,0)=F420)),IF(DAY(F420)=28,3*G420*'депозитный калькулятор'!$G$8,2*G420*'депозитный калькулятор'!$G$8),IF(AND(OR('депозитный калькулятор'!$G$7="30/365",'депозитный калькулятор'!$G$7="30/360"),DAY(F420)=31)," ",IF(AND('депозитный калькулятор'!$G$7="факт/факт",MOD(YEAR(F420),4)=0),G420*'депозитный калькулятор'!$D$11/366,G420*'депозитный калькулятор'!$G$8))))</f>
        <v xml:space="preserve"> </v>
      </c>
      <c r="I420" s="134" t="str">
        <f ca="1">IF(F420=" "," ",IF('депозитный калькулятор'!$G$10="ежедневное",H420,IF(AND('депозитный калькулятор'!$G$10="еженедельное",WEEKDAY(F420,2)=7),SUM(OFFSET(H420,-6,0):H420),IF(AND('депозитный калькулятор'!$G$10="еженедельное",F420='депозитный калькулятор'!$D$8),SUM($H$23:H420)-SUM($I$23:I419),IF(AND('депозитный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недели",WEEKDAY(F420,2)=7),MIN(OFFSET(H420,-6,0):H420)*(COUNTIF(OFFSET(H420,-6,0):H420,"&gt;0")+SUMIF(OFFSET(A420,-WEEKDAY(F420,2),0):A420,"=2",OFFSET(A420,-WEEKDAY(F420,2),0):A420)),IF(AND('депозитный калькулятор'!$G$10="еженедельное, на минимальную сумму зафиксированную в течение недели",F420='депозитный калькулятор'!$D$8,WEEKDAY(F420,2)&lt;&gt;7),MIN(OFFSET(H420,-WEEKDAY(F420,2),0):H420)*(COUNTIF(OFFSET(H420,-WEEKDAY(F420,2)+1,0):H420,"&gt;0")+SUM(OFFSET(A420,-WEEKDAY(F420,2),0):A420)),IF(AND('депозитный калькулятор'!$G$10="ежемесячное (в конце месяца)",F420='депозитный калькулятор'!$D$8,EOMONTH(F420,0)&lt;&gt;F420),IF('депозитный калькулятор'!$F$1=1,$H$24,SUM($H$23:H420)-SUM($I$23:I419)),IF(AND('депозитный калькулятор'!$G$10="ежемесячное (в конце месяца)",EOMONTH(F420,0)=F420),SUM($H$23:H420)-SUM($I$23:I419),IF(AND('депозитный калькулятор'!$G$10="ежемесячное (по дням открытия вклада)",F420='депозитный калькулятор'!$D$8,DAY('депозитный калькулятор'!$D$7)&lt;&gt;DAY(F420)),IF('депозитный калькулятор'!$F$1=1,$H$24,SUM($H$23:H420)-SUM($I$23:I419)),IF(AND('депозитный калькулятор'!$G$10="ежемесячное (по дням открытия вклада)",DAY('депозитный калькулятор'!$D$7)=DAY(F420)),SUM($H$23:H420)-SUM($I$23:I419),IF(AND('депозитный калькулятор'!$G$10="ежемесячное, на минимальную сумму зафиксированную в течение месяца",F420='депозитный калькулятор'!$D$8,EOMONTH(F420,0)&lt;&gt;F420),IF('депозитный калькулятор'!$F$1=1,$H$24,IF(AND(OR('депозитный калькулятор'!$G$7="30/365",'депозитный калькулятор'!$G$7="30/360"),DAY(F420)=31),0,MIN(OFFSET(H420,-E420+1,0):H420)*(E420+SUMIF(OFFSET(A420,-E420+1,0):A420,"=2",OFFSET(A420,-E420+1,0):A420)))),IF(AND('депозитный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калькулятор'!$G$7="30/360"),DAY(EOMONTH(F420,0))=31),EOMONTH(F420,0)-1=F420,EOMONTH(F420,0)=F420)),IF(IF(AND(OR('депозитный калькулятор'!$G$7="30/365",'депозитный калькулятор'!$G$7="30/360"),DAY(EOMONTH($F$23,0))=31),F420=EOMONTH($F$23,0)-1,F420=EOMONTH($F$23,0)),MIN(OFFSET(H420,-(DAY(F420)-DAY($F$23)),0):H420)*E420,MIN(OFFSET(H420,-(DAY(F420)-1),0):H420)*IF(AND(OR('депозитный калькулятор'!$G$7="30/365",'депозитный калькулятор'!$G$7="30/360"),DAY(F420)&lt;30),30,DAY(F420))),IF(AND('депозитный калькулятор'!$G$10="ежемесячное, на средний остаток в течение месяца, при условии что остаток больше чем ограничение",F420='депозитный калькулятор'!$D$8,EOMONTH(F420,0)&lt;&gt;F420),IF('депозитный калькулятор'!$F$1=1,$H$24,SUM(OFFSET(Q420,-E420+1,0):Q420)),IF(AND('депозитный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калькулятор'!$G$7="30/360"),DAY(EOMONTH(F420,0))=31),EOMONTH(F420,0)-1=F420,EOMONTH(F420,0)=F420)),IF(IF(AND(OR('депозитный калькулятор'!$G$7="30/365",'депозитный калькулятор'!$G$7="30/360"),DAY(EOMONTH($F$24,0))=31),F420=EOMONTH($F$24,0)-1,F420=EOMONTH($F$24,0)),SUM(OFFSET(Q420,-E420+1,0):Q420),SUM(OFFSET(Q420,-E420+1,0):Q420)),IF('депозитный калькулятор'!$G$10="ежеквартальное",IF(F420&gt;'депозитный калькулятор'!$D$8," ",IF(AND(EOMONTH(F420,0)=F420,OR(MONTH(F420)=3,MONTH(F420)=6,MONTH(F420)=9,MONTH(F420)=12)),IF(EDATE(F420,-3)&lt;'депозитный калькулятор'!$D$7,SUM($H$23:H420),IF(MOD(YEAR(F420),4)=0,IF(AND(EOMONTH(F420,0)=F420,OR(MONTH(F420)=3,MONTH(F420)=6)),SUM(OFFSET(H420,-90,0):H420),IF(AND(EOMONTH(F420,0)=F420,OR(MONTH(F420)=9,MONTH(F420)=12)),SUM(OFFSET(H420,-91,0):H420))),IF(AND(EOMONTH(F420,0)=F420,MONTH(F420)=3),SUM(OFFSET(H420,-89,0):H420),IF(AND(EOMONTH(F420,0)=F420,MONTH(F420)=6),SUM(OFFSET(H420,-90,0):H420),IF(AND(EOMONTH(F420,0)=F420,OR(MONTH(F420)=9,MONTH(F420)=12)),SUM(OFFSET(H420,-91,0):H420)))))),IF(F420='депозитный калькулятор'!$D$8,SUM($H$23:H420)-SUM($I$23:I419),0))),IF('депозитный калькулятор'!$G$10="ежегодное",IF(F420&gt;'депозитный калькулятор'!$D$8," ",IF(F420='депозитный калькулятор'!$D$8,SUM($H$23:H420)-SUM($I$23:I419),IF(AND(EOMONTH(F420,0)=F420,MONTH(F420)=12),IF(MOD(YEAR(F419),4)=0,IF(F420-'депозитный калькулятор'!$D$7&lt;366,SUM($H$23:H420),SUM(OFFSET(H420,-365,0):H420)),IF(F420-'депозитный калькулятор'!$D$7&lt;365,SUM($H$23:H420),SUM(OFFSET(H420,-364,0):H420))),0))),IF(AND('депозитный калькулятор'!$G$10="в конце срока",'депозитный калькулятор'!$D$8=F420),SUM($H$23:H420),0))))))))))))))))))</f>
        <v xml:space="preserve"> </v>
      </c>
      <c r="J420" s="59" t="str">
        <f>IF(F420&gt;'депозитный калькулятор'!$D$8," ",IF('депозитный калькулятор'!$G$16="нет",0,IF(AND('депозитный калькулятор'!$G$17="разовая (в конце срока)",F420='депозитный калькулятор'!$D$8),'депозитный калькулятор'!$G$18,IF(AND('депозитный калькулятор'!$G$17="ежемесячная",EOMONTH(F419,0)=F419),'депозитный калькулятор'!$G$18,IF(AND('депозитный калькулятор'!$G$17="ежегодная",DAY(F419)=31,MONTH(F419)=12),'депозитный калькулятор'!$G$18,IF(AND('депозитный калькулятор'!$G$17="ежемесячная в зависимости от остатка",EOMONTH(F419,0)=F419,P419&gt;0),'депозитный калькулятор'!$G$18,IF(AND('депозитный калькулятор'!$G$17="ежегодная в зависимости от остатка",DAY(F419)=31,MONTH(F419)=12,P419&gt;0),'депозитный калькулятор'!$G$18,0)))))))</f>
        <v xml:space="preserve"> </v>
      </c>
      <c r="K420" s="135" t="str">
        <f>IF($F420=" "," ",IFERROR(VLOOKUP($F420,'депозитный калькулятор'!$B$26:$F$70,2,0),0))</f>
        <v xml:space="preserve"> </v>
      </c>
      <c r="L420" s="135" t="str">
        <f>IF($F420=" "," ",IFERROR(VLOOKUP($F420,'депозитный калькулятор'!$B$26:$F$70,3,0),0))</f>
        <v xml:space="preserve"> </v>
      </c>
      <c r="M420" s="135" t="str">
        <f>IF($F420=" "," ",IFERROR(VLOOKUP($F420,'депозитный калькулятор'!$B$26:$F$70,4,0),0))</f>
        <v xml:space="preserve"> </v>
      </c>
      <c r="N420" s="135" t="str">
        <f>IF($F420=" "," ",IFERROR(VLOOKUP($F420,'депозитный калькулятор'!$B$26:$F$70,5,0),0))</f>
        <v xml:space="preserve"> </v>
      </c>
      <c r="O420" s="146" t="str">
        <f>IF(F420&gt;'депозитный калькулятор'!$D$8," ",IF(F420='депозитный калькулятор'!$D$8,IF(AND($F$24='депозитный калькулятор'!$D$8,'депозитный калькулятор'!$G$13="нет"),-G420-IF(I420=" ",0,I420)-IF(AND(OR('депозитный калькулятор'!$G$7="30/365",'депозитный калькулятор'!$G$7="30/360"),'депозитный калькулятор'!$G$10="в начале срока"),I419,0)-L420+M420-N420,-G420-IF(I420=" ",0,I420)-L420+M420-N420),IF('депозитный калькулятор'!$G$13="есть",M420-N420+IF('депозитный калькулятор'!$G$14="есть",0,-L420),-IF(I420=" ",0,I420)-IF(AND(OR('депозитный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срока"),I419,0)+M420-N420+IF('депозитный калькулятор'!$G$14="есть",0,-L420))))</f>
        <v xml:space="preserve"> </v>
      </c>
      <c r="P420" s="147" t="str">
        <f>IF(F420&gt;'депозитный калькулятор'!$D$8," ",IF(EOMONTH(F419,0)=F419,0,IF(G420&gt;='депозитный калькулятор'!$G$19,P419,P419+1)))</f>
        <v xml:space="preserve"> </v>
      </c>
      <c r="Q420" s="138" t="str">
        <f>IF(F420=" "," ",IF(AND(OR('депозитный калькулятор'!$G$7="30/365",'депозитный калькулятор'!$G$7="30/360"),AND(MONTH(F420)=2,EOMONTH(F420,0)=F420)),IF(DAY(F420)=28,3,2),1)*IF(G420&gt;='депозитный калькулятор'!$G$11,IF(AND('депозитный калькулятор'!$G$7="факт/факт",MOD(YEAR(F420),4)=0),G420*'депозитный калькулятор'!$D$11/366,G420*'депозитный калькулятор'!$G$8),0))</f>
        <v xml:space="preserve"> </v>
      </c>
      <c r="R420" s="158"/>
      <c r="S420" s="62" t="str">
        <f t="shared" ca="1" si="32"/>
        <v xml:space="preserve"> </v>
      </c>
      <c r="T420" s="149" t="str">
        <f ca="1">IF(S420=" "," ",IF('депозитный калькулятор'!$G$7="30/360",DAYS360(U419,IF(DAY(U420)=31,U420-1,U420))+IF(AND(MONTH(U420)=2,U420=EOMONTH(U420,0)),30-DAY(EOMONTH(U420,0)))+T419,VLOOKUP(S420,$C$22:$F$1023,2,0)))</f>
        <v xml:space="preserve"> </v>
      </c>
      <c r="U420" s="64" t="str">
        <f t="shared" ca="1" si="30"/>
        <v xml:space="preserve"> </v>
      </c>
      <c r="V420" s="150" t="str">
        <f t="shared" ca="1" si="33"/>
        <v xml:space="preserve"> </v>
      </c>
      <c r="W420" s="62" t="str">
        <f t="shared" ca="1" si="34"/>
        <v xml:space="preserve"> </v>
      </c>
      <c r="X420" s="141" t="str">
        <f ca="1">IF(S420=" "," ",IFERROR(VLOOKUP(U420,$F$23:$N$1023,7)+VLOOKUP(U420,$F$23:$N$1023,9)+IF(AND('депозитный калькулятор'!$G$13="нет",U420&lt;&gt;'депозитный калькулятор'!$D$8),VLOOKUP(U420,$F$23:$N$1023,4),0),0)+IF(U420='депозитный калькулятор'!$D$8,VLOOKUP(U420,$F$23:$N$1023,2)+VLOOKUP(U420,$F$23:$N$1023,4),0))</f>
        <v xml:space="preserve"> </v>
      </c>
      <c r="Y420" s="142" t="str">
        <f ca="1">IF(S420=" "," ",W420/(1+'депозитный калькулятор'!$K$8)^(T420/IF('депозитный калькулятор'!$G$7="30/360",360,365)))</f>
        <v xml:space="preserve"> </v>
      </c>
      <c r="Z420" s="142" t="str">
        <f ca="1">IF(S420=" "," ",X420/(1+'депозитный калькулятор'!$K$8)^(T420/IF('депозитный калькулятор'!$G$7="30/360",360,365)))</f>
        <v xml:space="preserve"> </v>
      </c>
      <c r="AA420" s="151"/>
      <c r="AB420" s="151"/>
      <c r="AC420" s="155"/>
      <c r="AD420" s="155"/>
    </row>
    <row r="421" spans="1:30" s="2" customFormat="1" ht="15.5" x14ac:dyDescent="0.35">
      <c r="A421" s="41" t="str">
        <f>IF(F421=" "," ",IF(OR('депозитный калькулятор'!$G$7="30/365",'депозитный калькулятор'!$G$7="30/360"),IF(AND(MONTH(F421)=2,DAY(F421)=DAY(EOMONTH(F421,0))),30-DAY(EOMONTH(F421,0)),IF(DAY(F421)=31,1," "))," "))</f>
        <v xml:space="preserve"> </v>
      </c>
      <c r="B421" s="130" t="str">
        <f t="shared" si="31"/>
        <v xml:space="preserve"> </v>
      </c>
      <c r="C421" s="130" t="str">
        <f>IF(OR(B421=0,B421=" ")," ",SUM($B$23:B421))</f>
        <v xml:space="preserve"> </v>
      </c>
      <c r="D421" s="62" t="str">
        <f>IF(D420=" "," ",IF(OR(F420='депозитный калькулятор'!$D$8,F420=" ")," ",D420+1))</f>
        <v xml:space="preserve"> </v>
      </c>
      <c r="E421" s="130" t="str">
        <f>IF(OR(F420='депозитный калькулятор'!$D$8,F420=" ")," ",IF(EOMONTH(F420,0)=F420,1,E420+1))</f>
        <v xml:space="preserve"> </v>
      </c>
      <c r="F421" s="64" t="str">
        <f>IF(F420=" "," ",IF(F420='депозитный калькулятор'!$D$8," ",F420+1))</f>
        <v xml:space="preserve"> </v>
      </c>
      <c r="G421" s="145" t="str">
        <f xml:space="preserve"> IF(F421&gt;'депозитный калькулятор'!$D$8," ",IF('депозитный калькулятор'!$G$13="есть",IF('депозитный калькулятор'!$G$14="есть",G420+IF(I420=" ",0,I420)-J421-K421+L421+M421-N421,G420+IF(I420=" ",0,I420)-J421-K421+M421-N421),IF('депозитный калькулятор'!$G$14="есть",G420-J421-K421+L421+M421-N421,G420-J421-K421+M421-N421)))</f>
        <v xml:space="preserve"> </v>
      </c>
      <c r="H421" s="133" t="str">
        <f>IF(F421&gt;'депозитный калькулятор'!$D$8," ",IF(AND(OR('депозитный калькулятор'!$G$7="30/365",'депозитный калькулятор'!$G$7="30/360"),AND(MONTH(F421)=2,EOMONTH(F421,0)=F421)),IF(DAY(F421)=28,3*G421*'депозитный калькулятор'!$G$8,2*G421*'депозитный калькулятор'!$G$8),IF(AND(OR('депозитный калькулятор'!$G$7="30/365",'депозитный калькулятор'!$G$7="30/360"),DAY(F421)=31)," ",IF(AND('депозитный калькулятор'!$G$7="факт/факт",MOD(YEAR(F421),4)=0),G421*'депозитный калькулятор'!$D$11/366,G421*'депозитный калькулятор'!$G$8))))</f>
        <v xml:space="preserve"> </v>
      </c>
      <c r="I421" s="134" t="str">
        <f ca="1">IF(F421=" "," ",IF('депозитный калькулятор'!$G$10="ежедневное",H421,IF(AND('депозитный калькулятор'!$G$10="еженедельное",WEEKDAY(F421,2)=7),SUM(OFFSET(H421,-6,0):H421),IF(AND('депозитный калькулятор'!$G$10="еженедельное",F421='депозитный калькулятор'!$D$8),SUM($H$23:H421)-SUM($I$23:I420),IF(AND('депозитный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недели",WEEKDAY(F421,2)=7),MIN(OFFSET(H421,-6,0):H421)*(COUNTIF(OFFSET(H421,-6,0):H421,"&gt;0")+SUMIF(OFFSET(A421,-WEEKDAY(F421,2),0):A421,"=2",OFFSET(A421,-WEEKDAY(F421,2),0):A421)),IF(AND('депозитный калькулятор'!$G$10="еженедельное, на минимальную сумму зафиксированную в течение недели",F421='депозитный калькулятор'!$D$8,WEEKDAY(F421,2)&lt;&gt;7),MIN(OFFSET(H421,-WEEKDAY(F421,2),0):H421)*(COUNTIF(OFFSET(H421,-WEEKDAY(F421,2)+1,0):H421,"&gt;0")+SUM(OFFSET(A421,-WEEKDAY(F421,2),0):A421)),IF(AND('депозитный калькулятор'!$G$10="ежемесячное (в конце месяца)",F421='депозитный калькулятор'!$D$8,EOMONTH(F421,0)&lt;&gt;F421),IF('депозитный калькулятор'!$F$1=1,$H$24,SUM($H$23:H421)-SUM($I$23:I420)),IF(AND('депозитный калькулятор'!$G$10="ежемесячное (в конце месяца)",EOMONTH(F421,0)=F421),SUM($H$23:H421)-SUM($I$23:I420),IF(AND('депозитный калькулятор'!$G$10="ежемесячное (по дням открытия вклада)",F421='депозитный калькулятор'!$D$8,DAY('депозитный калькулятор'!$D$7)&lt;&gt;DAY(F421)),IF('депозитный калькулятор'!$F$1=1,$H$24,SUM($H$23:H421)-SUM($I$23:I420)),IF(AND('депозитный калькулятор'!$G$10="ежемесячное (по дням открытия вклада)",DAY('депозитный калькулятор'!$D$7)=DAY(F421)),SUM($H$23:H421)-SUM($I$23:I420),IF(AND('депозитный калькулятор'!$G$10="ежемесячное, на минимальную сумму зафиксированную в течение месяца",F421='депозитный калькулятор'!$D$8,EOMONTH(F421,0)&lt;&gt;F421),IF('депозитный калькулятор'!$F$1=1,$H$24,IF(AND(OR('депозитный калькулятор'!$G$7="30/365",'депозитный калькулятор'!$G$7="30/360"),DAY(F421)=31),0,MIN(OFFSET(H421,-E421+1,0):H421)*(E421+SUMIF(OFFSET(A421,-E421+1,0):A421,"=2",OFFSET(A421,-E421+1,0):A421)))),IF(AND('депозитный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калькулятор'!$G$7="30/360"),DAY(EOMONTH(F421,0))=31),EOMONTH(F421,0)-1=F421,EOMONTH(F421,0)=F421)),IF(IF(AND(OR('депозитный калькулятор'!$G$7="30/365",'депозитный калькулятор'!$G$7="30/360"),DAY(EOMONTH($F$23,0))=31),F421=EOMONTH($F$23,0)-1,F421=EOMONTH($F$23,0)),MIN(OFFSET(H421,-(DAY(F421)-DAY($F$23)),0):H421)*E421,MIN(OFFSET(H421,-(DAY(F421)-1),0):H421)*IF(AND(OR('депозитный калькулятор'!$G$7="30/365",'депозитный калькулятор'!$G$7="30/360"),DAY(F421)&lt;30),30,DAY(F421))),IF(AND('депозитный калькулятор'!$G$10="ежемесячное, на средний остаток в течение месяца, при условии что остаток больше чем ограничение",F421='депозитный калькулятор'!$D$8,EOMONTH(F421,0)&lt;&gt;F421),IF('депозитный калькулятор'!$F$1=1,$H$24,SUM(OFFSET(Q421,-E421+1,0):Q421)),IF(AND('депозитный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калькулятор'!$G$7="30/360"),DAY(EOMONTH(F421,0))=31),EOMONTH(F421,0)-1=F421,EOMONTH(F421,0)=F421)),IF(IF(AND(OR('депозитный калькулятор'!$G$7="30/365",'депозитный калькулятор'!$G$7="30/360"),DAY(EOMONTH($F$24,0))=31),F421=EOMONTH($F$24,0)-1,F421=EOMONTH($F$24,0)),SUM(OFFSET(Q421,-E421+1,0):Q421),SUM(OFFSET(Q421,-E421+1,0):Q421)),IF('депозитный калькулятор'!$G$10="ежеквартальное",IF(F421&gt;'депозитный калькулятор'!$D$8," ",IF(AND(EOMONTH(F421,0)=F421,OR(MONTH(F421)=3,MONTH(F421)=6,MONTH(F421)=9,MONTH(F421)=12)),IF(EDATE(F421,-3)&lt;'депозитный калькулятор'!$D$7,SUM($H$23:H421),IF(MOD(YEAR(F421),4)=0,IF(AND(EOMONTH(F421,0)=F421,OR(MONTH(F421)=3,MONTH(F421)=6)),SUM(OFFSET(H421,-90,0):H421),IF(AND(EOMONTH(F421,0)=F421,OR(MONTH(F421)=9,MONTH(F421)=12)),SUM(OFFSET(H421,-91,0):H421))),IF(AND(EOMONTH(F421,0)=F421,MONTH(F421)=3),SUM(OFFSET(H421,-89,0):H421),IF(AND(EOMONTH(F421,0)=F421,MONTH(F421)=6),SUM(OFFSET(H421,-90,0):H421),IF(AND(EOMONTH(F421,0)=F421,OR(MONTH(F421)=9,MONTH(F421)=12)),SUM(OFFSET(H421,-91,0):H421)))))),IF(F421='депозитный калькулятор'!$D$8,SUM($H$23:H421)-SUM($I$23:I420),0))),IF('депозитный калькулятор'!$G$10="ежегодное",IF(F421&gt;'депозитный калькулятор'!$D$8," ",IF(F421='депозитный калькулятор'!$D$8,SUM($H$23:H421)-SUM($I$23:I420),IF(AND(EOMONTH(F421,0)=F421,MONTH(F421)=12),IF(MOD(YEAR(F420),4)=0,IF(F421-'депозитный калькулятор'!$D$7&lt;366,SUM($H$23:H421),SUM(OFFSET(H421,-365,0):H421)),IF(F421-'депозитный калькулятор'!$D$7&lt;365,SUM($H$23:H421),SUM(OFFSET(H421,-364,0):H421))),0))),IF(AND('депозитный калькулятор'!$G$10="в конце срока",'депозитный калькулятор'!$D$8=F421),SUM($H$23:H421),0))))))))))))))))))</f>
        <v xml:space="preserve"> </v>
      </c>
      <c r="J421" s="59" t="str">
        <f>IF(F421&gt;'депозитный калькулятор'!$D$8," ",IF('депозитный калькулятор'!$G$16="нет",0,IF(AND('депозитный калькулятор'!$G$17="разовая (в конце срока)",F421='депозитный калькулятор'!$D$8),'депозитный калькулятор'!$G$18,IF(AND('депозитный калькулятор'!$G$17="ежемесячная",EOMONTH(F420,0)=F420),'депозитный калькулятор'!$G$18,IF(AND('депозитный калькулятор'!$G$17="ежегодная",DAY(F420)=31,MONTH(F420)=12),'депозитный калькулятор'!$G$18,IF(AND('депозитный калькулятор'!$G$17="ежемесячная в зависимости от остатка",EOMONTH(F420,0)=F420,P420&gt;0),'депозитный калькулятор'!$G$18,IF(AND('депозитный калькулятор'!$G$17="ежегодная в зависимости от остатка",DAY(F420)=31,MONTH(F420)=12,P420&gt;0),'депозитный калькулятор'!$G$18,0)))))))</f>
        <v xml:space="preserve"> </v>
      </c>
      <c r="K421" s="135" t="str">
        <f>IF($F421=" "," ",IFERROR(VLOOKUP($F421,'депозитный калькулятор'!$B$26:$F$70,2,0),0))</f>
        <v xml:space="preserve"> </v>
      </c>
      <c r="L421" s="135" t="str">
        <f>IF($F421=" "," ",IFERROR(VLOOKUP($F421,'депозитный калькулятор'!$B$26:$F$70,3,0),0))</f>
        <v xml:space="preserve"> </v>
      </c>
      <c r="M421" s="135" t="str">
        <f>IF($F421=" "," ",IFERROR(VLOOKUP($F421,'депозитный калькулятор'!$B$26:$F$70,4,0),0))</f>
        <v xml:space="preserve"> </v>
      </c>
      <c r="N421" s="135" t="str">
        <f>IF($F421=" "," ",IFERROR(VLOOKUP($F421,'депозитный калькулятор'!$B$26:$F$70,5,0),0))</f>
        <v xml:space="preserve"> </v>
      </c>
      <c r="O421" s="146" t="str">
        <f>IF(F421&gt;'депозитный калькулятор'!$D$8," ",IF(F421='депозитный калькулятор'!$D$8,IF(AND($F$24='депозитный калькулятор'!$D$8,'депозитный калькулятор'!$G$13="нет"),-G421-IF(I421=" ",0,I421)-IF(AND(OR('депозитный калькулятор'!$G$7="30/365",'депозитный калькулятор'!$G$7="30/360"),'депозитный калькулятор'!$G$10="в начале срока"),I420,0)-L421+M421-N421,-G421-IF(I421=" ",0,I421)-L421+M421-N421),IF('депозитный калькулятор'!$G$13="есть",M421-N421+IF('депозитный калькулятор'!$G$14="есть",0,-L421),-IF(I421=" ",0,I421)-IF(AND(OR('депозитный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срока"),I420,0)+M421-N421+IF('депозитный калькулятор'!$G$14="есть",0,-L421))))</f>
        <v xml:space="preserve"> </v>
      </c>
      <c r="P421" s="147" t="str">
        <f>IF(F421&gt;'депозитный калькулятор'!$D$8," ",IF(EOMONTH(F420,0)=F420,0,IF(G421&gt;='депозитный калькулятор'!$G$19,P420,P420+1)))</f>
        <v xml:space="preserve"> </v>
      </c>
      <c r="Q421" s="138" t="str">
        <f>IF(F421=" "," ",IF(AND(OR('депозитный калькулятор'!$G$7="30/365",'депозитный калькулятор'!$G$7="30/360"),AND(MONTH(F421)=2,EOMONTH(F421,0)=F421)),IF(DAY(F421)=28,3,2),1)*IF(G421&gt;='депозитный калькулятор'!$G$11,IF(AND('депозитный калькулятор'!$G$7="факт/факт",MOD(YEAR(F421),4)=0),G421*'депозитный калькулятор'!$D$11/366,G421*'депозитный калькулятор'!$G$8),0))</f>
        <v xml:space="preserve"> </v>
      </c>
      <c r="R421" s="158"/>
      <c r="S421" s="62" t="str">
        <f t="shared" ca="1" si="32"/>
        <v xml:space="preserve"> </v>
      </c>
      <c r="T421" s="149" t="str">
        <f ca="1">IF(S421=" "," ",IF('депозитный калькулятор'!$G$7="30/360",DAYS360(U420,IF(DAY(U421)=31,U421-1,U421))+IF(AND(MONTH(U421)=2,U421=EOMONTH(U421,0)),30-DAY(EOMONTH(U421,0)))+T420,VLOOKUP(S421,$C$22:$F$1023,2,0)))</f>
        <v xml:space="preserve"> </v>
      </c>
      <c r="U421" s="64" t="str">
        <f t="shared" ca="1" si="30"/>
        <v xml:space="preserve"> </v>
      </c>
      <c r="V421" s="150" t="str">
        <f t="shared" ca="1" si="33"/>
        <v xml:space="preserve"> </v>
      </c>
      <c r="W421" s="62" t="str">
        <f t="shared" ca="1" si="34"/>
        <v xml:space="preserve"> </v>
      </c>
      <c r="X421" s="141" t="str">
        <f ca="1">IF(S421=" "," ",IFERROR(VLOOKUP(U421,$F$23:$N$1023,7)+VLOOKUP(U421,$F$23:$N$1023,9)+IF(AND('депозитный калькулятор'!$G$13="нет",U421&lt;&gt;'депозитный калькулятор'!$D$8),VLOOKUP(U421,$F$23:$N$1023,4),0),0)+IF(U421='депозитный калькулятор'!$D$8,VLOOKUP(U421,$F$23:$N$1023,2)+VLOOKUP(U421,$F$23:$N$1023,4),0))</f>
        <v xml:space="preserve"> </v>
      </c>
      <c r="Y421" s="142" t="str">
        <f ca="1">IF(S421=" "," ",W421/(1+'депозитный калькулятор'!$K$8)^(T421/IF('депозитный калькулятор'!$G$7="30/360",360,365)))</f>
        <v xml:space="preserve"> </v>
      </c>
      <c r="Z421" s="142" t="str">
        <f ca="1">IF(S421=" "," ",X421/(1+'депозитный калькулятор'!$K$8)^(T421/IF('депозитный калькулятор'!$G$7="30/360",360,365)))</f>
        <v xml:space="preserve"> </v>
      </c>
      <c r="AA421" s="151"/>
      <c r="AB421" s="151"/>
      <c r="AC421" s="155"/>
      <c r="AD421" s="155"/>
    </row>
    <row r="422" spans="1:30" s="2" customFormat="1" ht="15.5" x14ac:dyDescent="0.35">
      <c r="A422" s="41" t="str">
        <f>IF(F422=" "," ",IF(OR('депозитный калькулятор'!$G$7="30/365",'депозитный калькулятор'!$G$7="30/360"),IF(AND(MONTH(F422)=2,DAY(F422)=DAY(EOMONTH(F422,0))),30-DAY(EOMONTH(F422,0)),IF(DAY(F422)=31,1," "))," "))</f>
        <v xml:space="preserve"> </v>
      </c>
      <c r="B422" s="130" t="str">
        <f t="shared" si="31"/>
        <v xml:space="preserve"> </v>
      </c>
      <c r="C422" s="130" t="str">
        <f>IF(OR(B422=0,B422=" ")," ",SUM($B$23:B422))</f>
        <v xml:space="preserve"> </v>
      </c>
      <c r="D422" s="62" t="str">
        <f>IF(D421=" "," ",IF(OR(F421='депозитный калькулятор'!$D$8,F421=" ")," ",D421+1))</f>
        <v xml:space="preserve"> </v>
      </c>
      <c r="E422" s="130" t="str">
        <f>IF(OR(F421='депозитный калькулятор'!$D$8,F421=" ")," ",IF(EOMONTH(F421,0)=F421,1,E421+1))</f>
        <v xml:space="preserve"> </v>
      </c>
      <c r="F422" s="64" t="str">
        <f>IF(F421=" "," ",IF(F421='депозитный калькулятор'!$D$8," ",F421+1))</f>
        <v xml:space="preserve"> </v>
      </c>
      <c r="G422" s="145" t="str">
        <f xml:space="preserve"> IF(F422&gt;'депозитный калькулятор'!$D$8," ",IF('депозитный калькулятор'!$G$13="есть",IF('депозитный калькулятор'!$G$14="есть",G421+IF(I421=" ",0,I421)-J422-K422+L422+M422-N422,G421+IF(I421=" ",0,I421)-J422-K422+M422-N422),IF('депозитный калькулятор'!$G$14="есть",G421-J422-K422+L422+M422-N422,G421-J422-K422+M422-N422)))</f>
        <v xml:space="preserve"> </v>
      </c>
      <c r="H422" s="133" t="str">
        <f>IF(F422&gt;'депозитный калькулятор'!$D$8," ",IF(AND(OR('депозитный калькулятор'!$G$7="30/365",'депозитный калькулятор'!$G$7="30/360"),AND(MONTH(F422)=2,EOMONTH(F422,0)=F422)),IF(DAY(F422)=28,3*G422*'депозитный калькулятор'!$G$8,2*G422*'депозитный калькулятор'!$G$8),IF(AND(OR('депозитный калькулятор'!$G$7="30/365",'депозитный калькулятор'!$G$7="30/360"),DAY(F422)=31)," ",IF(AND('депозитный калькулятор'!$G$7="факт/факт",MOD(YEAR(F422),4)=0),G422*'депозитный калькулятор'!$D$11/366,G422*'депозитный калькулятор'!$G$8))))</f>
        <v xml:space="preserve"> </v>
      </c>
      <c r="I422" s="134" t="str">
        <f ca="1">IF(F422=" "," ",IF('депозитный калькулятор'!$G$10="ежедневное",H422,IF(AND('депозитный калькулятор'!$G$10="еженедельное",WEEKDAY(F422,2)=7),SUM(OFFSET(H422,-6,0):H422),IF(AND('депозитный калькулятор'!$G$10="еженедельное",F422='депозитный калькулятор'!$D$8),SUM($H$23:H422)-SUM($I$23:I421),IF(AND('депозитный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недели",WEEKDAY(F422,2)=7),MIN(OFFSET(H422,-6,0):H422)*(COUNTIF(OFFSET(H422,-6,0):H422,"&gt;0")+SUMIF(OFFSET(A422,-WEEKDAY(F422,2),0):A422,"=2",OFFSET(A422,-WEEKDAY(F422,2),0):A422)),IF(AND('депозитный калькулятор'!$G$10="еженедельное, на минимальную сумму зафиксированную в течение недели",F422='депозитный калькулятор'!$D$8,WEEKDAY(F422,2)&lt;&gt;7),MIN(OFFSET(H422,-WEEKDAY(F422,2),0):H422)*(COUNTIF(OFFSET(H422,-WEEKDAY(F422,2)+1,0):H422,"&gt;0")+SUM(OFFSET(A422,-WEEKDAY(F422,2),0):A422)),IF(AND('депозитный калькулятор'!$G$10="ежемесячное (в конце месяца)",F422='депозитный калькулятор'!$D$8,EOMONTH(F422,0)&lt;&gt;F422),IF('депозитный калькулятор'!$F$1=1,$H$24,SUM($H$23:H422)-SUM($I$23:I421)),IF(AND('депозитный калькулятор'!$G$10="ежемесячное (в конце месяца)",EOMONTH(F422,0)=F422),SUM($H$23:H422)-SUM($I$23:I421),IF(AND('депозитный калькулятор'!$G$10="ежемесячное (по дням открытия вклада)",F422='депозитный калькулятор'!$D$8,DAY('депозитный калькулятор'!$D$7)&lt;&gt;DAY(F422)),IF('депозитный калькулятор'!$F$1=1,$H$24,SUM($H$23:H422)-SUM($I$23:I421)),IF(AND('депозитный калькулятор'!$G$10="ежемесячное (по дням открытия вклада)",DAY('депозитный калькулятор'!$D$7)=DAY(F422)),SUM($H$23:H422)-SUM($I$23:I421),IF(AND('депозитный калькулятор'!$G$10="ежемесячное, на минимальную сумму зафиксированную в течение месяца",F422='депозитный калькулятор'!$D$8,EOMONTH(F422,0)&lt;&gt;F422),IF('депозитный калькулятор'!$F$1=1,$H$24,IF(AND(OR('депозитный калькулятор'!$G$7="30/365",'депозитный калькулятор'!$G$7="30/360"),DAY(F422)=31),0,MIN(OFFSET(H422,-E422+1,0):H422)*(E422+SUMIF(OFFSET(A422,-E422+1,0):A422,"=2",OFFSET(A422,-E422+1,0):A422)))),IF(AND('депозитный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калькулятор'!$G$7="30/360"),DAY(EOMONTH(F422,0))=31),EOMONTH(F422,0)-1=F422,EOMONTH(F422,0)=F422)),IF(IF(AND(OR('депозитный калькулятор'!$G$7="30/365",'депозитный калькулятор'!$G$7="30/360"),DAY(EOMONTH($F$23,0))=31),F422=EOMONTH($F$23,0)-1,F422=EOMONTH($F$23,0)),MIN(OFFSET(H422,-(DAY(F422)-DAY($F$23)),0):H422)*E422,MIN(OFFSET(H422,-(DAY(F422)-1),0):H422)*IF(AND(OR('депозитный калькулятор'!$G$7="30/365",'депозитный калькулятор'!$G$7="30/360"),DAY(F422)&lt;30),30,DAY(F422))),IF(AND('депозитный калькулятор'!$G$10="ежемесячное, на средний остаток в течение месяца, при условии что остаток больше чем ограничение",F422='депозитный калькулятор'!$D$8,EOMONTH(F422,0)&lt;&gt;F422),IF('депозитный калькулятор'!$F$1=1,$H$24,SUM(OFFSET(Q422,-E422+1,0):Q422)),IF(AND('депозитный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калькулятор'!$G$7="30/360"),DAY(EOMONTH(F422,0))=31),EOMONTH(F422,0)-1=F422,EOMONTH(F422,0)=F422)),IF(IF(AND(OR('депозитный калькулятор'!$G$7="30/365",'депозитный калькулятор'!$G$7="30/360"),DAY(EOMONTH($F$24,0))=31),F422=EOMONTH($F$24,0)-1,F422=EOMONTH($F$24,0)),SUM(OFFSET(Q422,-E422+1,0):Q422),SUM(OFFSET(Q422,-E422+1,0):Q422)),IF('депозитный калькулятор'!$G$10="ежеквартальное",IF(F422&gt;'депозитный калькулятор'!$D$8," ",IF(AND(EOMONTH(F422,0)=F422,OR(MONTH(F422)=3,MONTH(F422)=6,MONTH(F422)=9,MONTH(F422)=12)),IF(EDATE(F422,-3)&lt;'депозитный калькулятор'!$D$7,SUM($H$23:H422),IF(MOD(YEAR(F422),4)=0,IF(AND(EOMONTH(F422,0)=F422,OR(MONTH(F422)=3,MONTH(F422)=6)),SUM(OFFSET(H422,-90,0):H422),IF(AND(EOMONTH(F422,0)=F422,OR(MONTH(F422)=9,MONTH(F422)=12)),SUM(OFFSET(H422,-91,0):H422))),IF(AND(EOMONTH(F422,0)=F422,MONTH(F422)=3),SUM(OFFSET(H422,-89,0):H422),IF(AND(EOMONTH(F422,0)=F422,MONTH(F422)=6),SUM(OFFSET(H422,-90,0):H422),IF(AND(EOMONTH(F422,0)=F422,OR(MONTH(F422)=9,MONTH(F422)=12)),SUM(OFFSET(H422,-91,0):H422)))))),IF(F422='депозитный калькулятор'!$D$8,SUM($H$23:H422)-SUM($I$23:I421),0))),IF('депозитный калькулятор'!$G$10="ежегодное",IF(F422&gt;'депозитный калькулятор'!$D$8," ",IF(F422='депозитный калькулятор'!$D$8,SUM($H$23:H422)-SUM($I$23:I421),IF(AND(EOMONTH(F422,0)=F422,MONTH(F422)=12),IF(MOD(YEAR(F421),4)=0,IF(F422-'депозитный калькулятор'!$D$7&lt;366,SUM($H$23:H422),SUM(OFFSET(H422,-365,0):H422)),IF(F422-'депозитный калькулятор'!$D$7&lt;365,SUM($H$23:H422),SUM(OFFSET(H422,-364,0):H422))),0))),IF(AND('депозитный калькулятор'!$G$10="в конце срока",'депозитный калькулятор'!$D$8=F422),SUM($H$23:H422),0))))))))))))))))))</f>
        <v xml:space="preserve"> </v>
      </c>
      <c r="J422" s="59" t="str">
        <f>IF(F422&gt;'депозитный калькулятор'!$D$8," ",IF('депозитный калькулятор'!$G$16="нет",0,IF(AND('депозитный калькулятор'!$G$17="разовая (в конце срока)",F422='депозитный калькулятор'!$D$8),'депозитный калькулятор'!$G$18,IF(AND('депозитный калькулятор'!$G$17="ежемесячная",EOMONTH(F421,0)=F421),'депозитный калькулятор'!$G$18,IF(AND('депозитный калькулятор'!$G$17="ежегодная",DAY(F421)=31,MONTH(F421)=12),'депозитный калькулятор'!$G$18,IF(AND('депозитный калькулятор'!$G$17="ежемесячная в зависимости от остатка",EOMONTH(F421,0)=F421,P421&gt;0),'депозитный калькулятор'!$G$18,IF(AND('депозитный калькулятор'!$G$17="ежегодная в зависимости от остатка",DAY(F421)=31,MONTH(F421)=12,P421&gt;0),'депозитный калькулятор'!$G$18,0)))))))</f>
        <v xml:space="preserve"> </v>
      </c>
      <c r="K422" s="135" t="str">
        <f>IF($F422=" "," ",IFERROR(VLOOKUP($F422,'депозитный калькулятор'!$B$26:$F$70,2,0),0))</f>
        <v xml:space="preserve"> </v>
      </c>
      <c r="L422" s="135" t="str">
        <f>IF($F422=" "," ",IFERROR(VLOOKUP($F422,'депозитный калькулятор'!$B$26:$F$70,3,0),0))</f>
        <v xml:space="preserve"> </v>
      </c>
      <c r="M422" s="135" t="str">
        <f>IF($F422=" "," ",IFERROR(VLOOKUP($F422,'депозитный калькулятор'!$B$26:$F$70,4,0),0))</f>
        <v xml:space="preserve"> </v>
      </c>
      <c r="N422" s="135" t="str">
        <f>IF($F422=" "," ",IFERROR(VLOOKUP($F422,'депозитный калькулятор'!$B$26:$F$70,5,0),0))</f>
        <v xml:space="preserve"> </v>
      </c>
      <c r="O422" s="146" t="str">
        <f>IF(F422&gt;'депозитный калькулятор'!$D$8," ",IF(F422='депозитный калькулятор'!$D$8,IF(AND($F$24='депозитный калькулятор'!$D$8,'депозитный калькулятор'!$G$13="нет"),-G422-IF(I422=" ",0,I422)-IF(AND(OR('депозитный калькулятор'!$G$7="30/365",'депозитный калькулятор'!$G$7="30/360"),'депозитный калькулятор'!$G$10="в начале срока"),I421,0)-L422+M422-N422,-G422-IF(I422=" ",0,I422)-L422+M422-N422),IF('депозитный калькулятор'!$G$13="есть",M422-N422+IF('депозитный калькулятор'!$G$14="есть",0,-L422),-IF(I422=" ",0,I422)-IF(AND(OR('депозитный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срока"),I421,0)+M422-N422+IF('депозитный калькулятор'!$G$14="есть",0,-L422))))</f>
        <v xml:space="preserve"> </v>
      </c>
      <c r="P422" s="147" t="str">
        <f>IF(F422&gt;'депозитный калькулятор'!$D$8," ",IF(EOMONTH(F421,0)=F421,0,IF(G422&gt;='депозитный калькулятор'!$G$19,P421,P421+1)))</f>
        <v xml:space="preserve"> </v>
      </c>
      <c r="Q422" s="138" t="str">
        <f>IF(F422=" "," ",IF(AND(OR('депозитный калькулятор'!$G$7="30/365",'депозитный калькулятор'!$G$7="30/360"),AND(MONTH(F422)=2,EOMONTH(F422,0)=F422)),IF(DAY(F422)=28,3,2),1)*IF(G422&gt;='депозитный калькулятор'!$G$11,IF(AND('депозитный калькулятор'!$G$7="факт/факт",MOD(YEAR(F422),4)=0),G422*'депозитный калькулятор'!$D$11/366,G422*'депозитный калькулятор'!$G$8),0))</f>
        <v xml:space="preserve"> </v>
      </c>
      <c r="R422" s="158"/>
      <c r="S422" s="62" t="str">
        <f t="shared" ca="1" si="32"/>
        <v xml:space="preserve"> </v>
      </c>
      <c r="T422" s="149" t="str">
        <f ca="1">IF(S422=" "," ",IF('депозитный калькулятор'!$G$7="30/360",DAYS360(U421,IF(DAY(U422)=31,U422-1,U422))+IF(AND(MONTH(U422)=2,U422=EOMONTH(U422,0)),30-DAY(EOMONTH(U422,0)))+T421,VLOOKUP(S422,$C$22:$F$1023,2,0)))</f>
        <v xml:space="preserve"> </v>
      </c>
      <c r="U422" s="64" t="str">
        <f t="shared" ca="1" si="30"/>
        <v xml:space="preserve"> </v>
      </c>
      <c r="V422" s="150" t="str">
        <f t="shared" ca="1" si="33"/>
        <v xml:space="preserve"> </v>
      </c>
      <c r="W422" s="62" t="str">
        <f t="shared" ca="1" si="34"/>
        <v xml:space="preserve"> </v>
      </c>
      <c r="X422" s="141" t="str">
        <f ca="1">IF(S422=" "," ",IFERROR(VLOOKUP(U422,$F$23:$N$1023,7)+VLOOKUP(U422,$F$23:$N$1023,9)+IF(AND('депозитный калькулятор'!$G$13="нет",U422&lt;&gt;'депозитный калькулятор'!$D$8),VLOOKUP(U422,$F$23:$N$1023,4),0),0)+IF(U422='депозитный калькулятор'!$D$8,VLOOKUP(U422,$F$23:$N$1023,2)+VLOOKUP(U422,$F$23:$N$1023,4),0))</f>
        <v xml:space="preserve"> </v>
      </c>
      <c r="Y422" s="142" t="str">
        <f ca="1">IF(S422=" "," ",W422/(1+'депозитный калькулятор'!$K$8)^(T422/IF('депозитный калькулятор'!$G$7="30/360",360,365)))</f>
        <v xml:space="preserve"> </v>
      </c>
      <c r="Z422" s="142" t="str">
        <f ca="1">IF(S422=" "," ",X422/(1+'депозитный калькулятор'!$K$8)^(T422/IF('депозитный калькулятор'!$G$7="30/360",360,365)))</f>
        <v xml:space="preserve"> </v>
      </c>
      <c r="AA422" s="151"/>
      <c r="AB422" s="151"/>
      <c r="AC422" s="155"/>
      <c r="AD422" s="155"/>
    </row>
    <row r="423" spans="1:30" s="2" customFormat="1" ht="15.5" x14ac:dyDescent="0.35">
      <c r="A423" s="41" t="str">
        <f>IF(F423=" "," ",IF(OR('депозитный калькулятор'!$G$7="30/365",'депозитный калькулятор'!$G$7="30/360"),IF(AND(MONTH(F423)=2,DAY(F423)=DAY(EOMONTH(F423,0))),30-DAY(EOMONTH(F423,0)),IF(DAY(F423)=31,1," "))," "))</f>
        <v xml:space="preserve"> </v>
      </c>
      <c r="B423" s="130" t="str">
        <f t="shared" si="31"/>
        <v xml:space="preserve"> </v>
      </c>
      <c r="C423" s="130" t="str">
        <f>IF(OR(B423=0,B423=" ")," ",SUM($B$23:B423))</f>
        <v xml:space="preserve"> </v>
      </c>
      <c r="D423" s="62" t="str">
        <f>IF(D422=" "," ",IF(OR(F422='депозитный калькулятор'!$D$8,F422=" ")," ",D422+1))</f>
        <v xml:space="preserve"> </v>
      </c>
      <c r="E423" s="130" t="str">
        <f>IF(OR(F422='депозитный калькулятор'!$D$8,F422=" ")," ",IF(EOMONTH(F422,0)=F422,1,E422+1))</f>
        <v xml:space="preserve"> </v>
      </c>
      <c r="F423" s="64" t="str">
        <f>IF(F422=" "," ",IF(F422='депозитный калькулятор'!$D$8," ",F422+1))</f>
        <v xml:space="preserve"> </v>
      </c>
      <c r="G423" s="145" t="str">
        <f xml:space="preserve"> IF(F423&gt;'депозитный калькулятор'!$D$8," ",IF('депозитный калькулятор'!$G$13="есть",IF('депозитный калькулятор'!$G$14="есть",G422+IF(I422=" ",0,I422)-J423-K423+L423+M423-N423,G422+IF(I422=" ",0,I422)-J423-K423+M423-N423),IF('депозитный калькулятор'!$G$14="есть",G422-J423-K423+L423+M423-N423,G422-J423-K423+M423-N423)))</f>
        <v xml:space="preserve"> </v>
      </c>
      <c r="H423" s="133" t="str">
        <f>IF(F423&gt;'депозитный калькулятор'!$D$8," ",IF(AND(OR('депозитный калькулятор'!$G$7="30/365",'депозитный калькулятор'!$G$7="30/360"),AND(MONTH(F423)=2,EOMONTH(F423,0)=F423)),IF(DAY(F423)=28,3*G423*'депозитный калькулятор'!$G$8,2*G423*'депозитный калькулятор'!$G$8),IF(AND(OR('депозитный калькулятор'!$G$7="30/365",'депозитный калькулятор'!$G$7="30/360"),DAY(F423)=31)," ",IF(AND('депозитный калькулятор'!$G$7="факт/факт",MOD(YEAR(F423),4)=0),G423*'депозитный калькулятор'!$D$11/366,G423*'депозитный калькулятор'!$G$8))))</f>
        <v xml:space="preserve"> </v>
      </c>
      <c r="I423" s="134" t="str">
        <f ca="1">IF(F423=" "," ",IF('депозитный калькулятор'!$G$10="ежедневное",H423,IF(AND('депозитный калькулятор'!$G$10="еженедельное",WEEKDAY(F423,2)=7),SUM(OFFSET(H423,-6,0):H423),IF(AND('депозитный калькулятор'!$G$10="еженедельное",F423='депозитный калькулятор'!$D$8),SUM($H$23:H423)-SUM($I$23:I422),IF(AND('депозитный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недели",WEEKDAY(F423,2)=7),MIN(OFFSET(H423,-6,0):H423)*(COUNTIF(OFFSET(H423,-6,0):H423,"&gt;0")+SUMIF(OFFSET(A423,-WEEKDAY(F423,2),0):A423,"=2",OFFSET(A423,-WEEKDAY(F423,2),0):A423)),IF(AND('депозитный калькулятор'!$G$10="еженедельное, на минимальную сумму зафиксированную в течение недели",F423='депозитный калькулятор'!$D$8,WEEKDAY(F423,2)&lt;&gt;7),MIN(OFFSET(H423,-WEEKDAY(F423,2),0):H423)*(COUNTIF(OFFSET(H423,-WEEKDAY(F423,2)+1,0):H423,"&gt;0")+SUM(OFFSET(A423,-WEEKDAY(F423,2),0):A423)),IF(AND('депозитный калькулятор'!$G$10="ежемесячное (в конце месяца)",F423='депозитный калькулятор'!$D$8,EOMONTH(F423,0)&lt;&gt;F423),IF('депозитный калькулятор'!$F$1=1,$H$24,SUM($H$23:H423)-SUM($I$23:I422)),IF(AND('депозитный калькулятор'!$G$10="ежемесячное (в конце месяца)",EOMONTH(F423,0)=F423),SUM($H$23:H423)-SUM($I$23:I422),IF(AND('депозитный калькулятор'!$G$10="ежемесячное (по дням открытия вклада)",F423='депозитный калькулятор'!$D$8,DAY('депозитный калькулятор'!$D$7)&lt;&gt;DAY(F423)),IF('депозитный калькулятор'!$F$1=1,$H$24,SUM($H$23:H423)-SUM($I$23:I422)),IF(AND('депозитный калькулятор'!$G$10="ежемесячное (по дням открытия вклада)",DAY('депозитный калькулятор'!$D$7)=DAY(F423)),SUM($H$23:H423)-SUM($I$23:I422),IF(AND('депозитный калькулятор'!$G$10="ежемесячное, на минимальную сумму зафиксированную в течение месяца",F423='депозитный калькулятор'!$D$8,EOMONTH(F423,0)&lt;&gt;F423),IF('депозитный калькулятор'!$F$1=1,$H$24,IF(AND(OR('депозитный калькулятор'!$G$7="30/365",'депозитный калькулятор'!$G$7="30/360"),DAY(F423)=31),0,MIN(OFFSET(H423,-E423+1,0):H423)*(E423+SUMIF(OFFSET(A423,-E423+1,0):A423,"=2",OFFSET(A423,-E423+1,0):A423)))),IF(AND('депозитный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калькулятор'!$G$7="30/360"),DAY(EOMONTH(F423,0))=31),EOMONTH(F423,0)-1=F423,EOMONTH(F423,0)=F423)),IF(IF(AND(OR('депозитный калькулятор'!$G$7="30/365",'депозитный калькулятор'!$G$7="30/360"),DAY(EOMONTH($F$23,0))=31),F423=EOMONTH($F$23,0)-1,F423=EOMONTH($F$23,0)),MIN(OFFSET(H423,-(DAY(F423)-DAY($F$23)),0):H423)*E423,MIN(OFFSET(H423,-(DAY(F423)-1),0):H423)*IF(AND(OR('депозитный калькулятор'!$G$7="30/365",'депозитный калькулятор'!$G$7="30/360"),DAY(F423)&lt;30),30,DAY(F423))),IF(AND('депозитный калькулятор'!$G$10="ежемесячное, на средний остаток в течение месяца, при условии что остаток больше чем ограничение",F423='депозитный калькулятор'!$D$8,EOMONTH(F423,0)&lt;&gt;F423),IF('депозитный калькулятор'!$F$1=1,$H$24,SUM(OFFSET(Q423,-E423+1,0):Q423)),IF(AND('депозитный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калькулятор'!$G$7="30/360"),DAY(EOMONTH(F423,0))=31),EOMONTH(F423,0)-1=F423,EOMONTH(F423,0)=F423)),IF(IF(AND(OR('депозитный калькулятор'!$G$7="30/365",'депозитный калькулятор'!$G$7="30/360"),DAY(EOMONTH($F$24,0))=31),F423=EOMONTH($F$24,0)-1,F423=EOMONTH($F$24,0)),SUM(OFFSET(Q423,-E423+1,0):Q423),SUM(OFFSET(Q423,-E423+1,0):Q423)),IF('депозитный калькулятор'!$G$10="ежеквартальное",IF(F423&gt;'депозитный калькулятор'!$D$8," ",IF(AND(EOMONTH(F423,0)=F423,OR(MONTH(F423)=3,MONTH(F423)=6,MONTH(F423)=9,MONTH(F423)=12)),IF(EDATE(F423,-3)&lt;'депозитный калькулятор'!$D$7,SUM($H$23:H423),IF(MOD(YEAR(F423),4)=0,IF(AND(EOMONTH(F423,0)=F423,OR(MONTH(F423)=3,MONTH(F423)=6)),SUM(OFFSET(H423,-90,0):H423),IF(AND(EOMONTH(F423,0)=F423,OR(MONTH(F423)=9,MONTH(F423)=12)),SUM(OFFSET(H423,-91,0):H423))),IF(AND(EOMONTH(F423,0)=F423,MONTH(F423)=3),SUM(OFFSET(H423,-89,0):H423),IF(AND(EOMONTH(F423,0)=F423,MONTH(F423)=6),SUM(OFFSET(H423,-90,0):H423),IF(AND(EOMONTH(F423,0)=F423,OR(MONTH(F423)=9,MONTH(F423)=12)),SUM(OFFSET(H423,-91,0):H423)))))),IF(F423='депозитный калькулятор'!$D$8,SUM($H$23:H423)-SUM($I$23:I422),0))),IF('депозитный калькулятор'!$G$10="ежегодное",IF(F423&gt;'депозитный калькулятор'!$D$8," ",IF(F423='депозитный калькулятор'!$D$8,SUM($H$23:H423)-SUM($I$23:I422),IF(AND(EOMONTH(F423,0)=F423,MONTH(F423)=12),IF(MOD(YEAR(F422),4)=0,IF(F423-'депозитный калькулятор'!$D$7&lt;366,SUM($H$23:H423),SUM(OFFSET(H423,-365,0):H423)),IF(F423-'депозитный калькулятор'!$D$7&lt;365,SUM($H$23:H423),SUM(OFFSET(H423,-364,0):H423))),0))),IF(AND('депозитный калькулятор'!$G$10="в конце срока",'депозитный калькулятор'!$D$8=F423),SUM($H$23:H423),0))))))))))))))))))</f>
        <v xml:space="preserve"> </v>
      </c>
      <c r="J423" s="59" t="str">
        <f>IF(F423&gt;'депозитный калькулятор'!$D$8," ",IF('депозитный калькулятор'!$G$16="нет",0,IF(AND('депозитный калькулятор'!$G$17="разовая (в конце срока)",F423='депозитный калькулятор'!$D$8),'депозитный калькулятор'!$G$18,IF(AND('депозитный калькулятор'!$G$17="ежемесячная",EOMONTH(F422,0)=F422),'депозитный калькулятор'!$G$18,IF(AND('депозитный калькулятор'!$G$17="ежегодная",DAY(F422)=31,MONTH(F422)=12),'депозитный калькулятор'!$G$18,IF(AND('депозитный калькулятор'!$G$17="ежемесячная в зависимости от остатка",EOMONTH(F422,0)=F422,P422&gt;0),'депозитный калькулятор'!$G$18,IF(AND('депозитный калькулятор'!$G$17="ежегодная в зависимости от остатка",DAY(F422)=31,MONTH(F422)=12,P422&gt;0),'депозитный калькулятор'!$G$18,0)))))))</f>
        <v xml:space="preserve"> </v>
      </c>
      <c r="K423" s="135" t="str">
        <f>IF($F423=" "," ",IFERROR(VLOOKUP($F423,'депозитный калькулятор'!$B$26:$F$70,2,0),0))</f>
        <v xml:space="preserve"> </v>
      </c>
      <c r="L423" s="135" t="str">
        <f>IF($F423=" "," ",IFERROR(VLOOKUP($F423,'депозитный калькулятор'!$B$26:$F$70,3,0),0))</f>
        <v xml:space="preserve"> </v>
      </c>
      <c r="M423" s="135" t="str">
        <f>IF($F423=" "," ",IFERROR(VLOOKUP($F423,'депозитный калькулятор'!$B$26:$F$70,4,0),0))</f>
        <v xml:space="preserve"> </v>
      </c>
      <c r="N423" s="135" t="str">
        <f>IF($F423=" "," ",IFERROR(VLOOKUP($F423,'депозитный калькулятор'!$B$26:$F$70,5,0),0))</f>
        <v xml:space="preserve"> </v>
      </c>
      <c r="O423" s="146" t="str">
        <f>IF(F423&gt;'депозитный калькулятор'!$D$8," ",IF(F423='депозитный калькулятор'!$D$8,IF(AND($F$24='депозитный калькулятор'!$D$8,'депозитный калькулятор'!$G$13="нет"),-G423-IF(I423=" ",0,I423)-IF(AND(OR('депозитный калькулятор'!$G$7="30/365",'депозитный калькулятор'!$G$7="30/360"),'депозитный калькулятор'!$G$10="в начале срока"),I422,0)-L423+M423-N423,-G423-IF(I423=" ",0,I423)-L423+M423-N423),IF('депозитный калькулятор'!$G$13="есть",M423-N423+IF('депозитный калькулятор'!$G$14="есть",0,-L423),-IF(I423=" ",0,I423)-IF(AND(OR('депозитный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срока"),I422,0)+M423-N423+IF('депозитный калькулятор'!$G$14="есть",0,-L423))))</f>
        <v xml:space="preserve"> </v>
      </c>
      <c r="P423" s="147" t="str">
        <f>IF(F423&gt;'депозитный калькулятор'!$D$8," ",IF(EOMONTH(F422,0)=F422,0,IF(G423&gt;='депозитный калькулятор'!$G$19,P422,P422+1)))</f>
        <v xml:space="preserve"> </v>
      </c>
      <c r="Q423" s="138" t="str">
        <f>IF(F423=" "," ",IF(AND(OR('депозитный калькулятор'!$G$7="30/365",'депозитный калькулятор'!$G$7="30/360"),AND(MONTH(F423)=2,EOMONTH(F423,0)=F423)),IF(DAY(F423)=28,3,2),1)*IF(G423&gt;='депозитный калькулятор'!$G$11,IF(AND('депозитный калькулятор'!$G$7="факт/факт",MOD(YEAR(F423),4)=0),G423*'депозитный калькулятор'!$D$11/366,G423*'депозитный калькулятор'!$G$8),0))</f>
        <v xml:space="preserve"> </v>
      </c>
      <c r="R423" s="158"/>
      <c r="S423" s="62" t="str">
        <f t="shared" ca="1" si="32"/>
        <v xml:space="preserve"> </v>
      </c>
      <c r="T423" s="149" t="str">
        <f ca="1">IF(S423=" "," ",IF('депозитный калькулятор'!$G$7="30/360",DAYS360(U422,IF(DAY(U423)=31,U423-1,U423))+IF(AND(MONTH(U423)=2,U423=EOMONTH(U423,0)),30-DAY(EOMONTH(U423,0)))+T422,VLOOKUP(S423,$C$22:$F$1023,2,0)))</f>
        <v xml:space="preserve"> </v>
      </c>
      <c r="U423" s="64" t="str">
        <f t="shared" ca="1" si="30"/>
        <v xml:space="preserve"> </v>
      </c>
      <c r="V423" s="150" t="str">
        <f t="shared" ca="1" si="33"/>
        <v xml:space="preserve"> </v>
      </c>
      <c r="W423" s="62" t="str">
        <f t="shared" ca="1" si="34"/>
        <v xml:space="preserve"> </v>
      </c>
      <c r="X423" s="141" t="str">
        <f ca="1">IF(S423=" "," ",IFERROR(VLOOKUP(U423,$F$23:$N$1023,7)+VLOOKUP(U423,$F$23:$N$1023,9)+IF(AND('депозитный калькулятор'!$G$13="нет",U423&lt;&gt;'депозитный калькулятор'!$D$8),VLOOKUP(U423,$F$23:$N$1023,4),0),0)+IF(U423='депозитный калькулятор'!$D$8,VLOOKUP(U423,$F$23:$N$1023,2)+VLOOKUP(U423,$F$23:$N$1023,4),0))</f>
        <v xml:space="preserve"> </v>
      </c>
      <c r="Y423" s="142" t="str">
        <f ca="1">IF(S423=" "," ",W423/(1+'депозитный калькулятор'!$K$8)^(T423/IF('депозитный калькулятор'!$G$7="30/360",360,365)))</f>
        <v xml:space="preserve"> </v>
      </c>
      <c r="Z423" s="142" t="str">
        <f ca="1">IF(S423=" "," ",X423/(1+'депозитный калькулятор'!$K$8)^(T423/IF('депозитный калькулятор'!$G$7="30/360",360,365)))</f>
        <v xml:space="preserve"> </v>
      </c>
      <c r="AA423" s="151"/>
      <c r="AB423" s="151"/>
      <c r="AC423" s="155"/>
      <c r="AD423" s="155"/>
    </row>
    <row r="424" spans="1:30" s="2" customFormat="1" ht="15.5" x14ac:dyDescent="0.35">
      <c r="A424" s="41" t="str">
        <f>IF(F424=" "," ",IF(OR('депозитный калькулятор'!$G$7="30/365",'депозитный калькулятор'!$G$7="30/360"),IF(AND(MONTH(F424)=2,DAY(F424)=DAY(EOMONTH(F424,0))),30-DAY(EOMONTH(F424,0)),IF(DAY(F424)=31,1," "))," "))</f>
        <v xml:space="preserve"> </v>
      </c>
      <c r="B424" s="130" t="str">
        <f t="shared" si="31"/>
        <v xml:space="preserve"> </v>
      </c>
      <c r="C424" s="130" t="str">
        <f>IF(OR(B424=0,B424=" ")," ",SUM($B$23:B424))</f>
        <v xml:space="preserve"> </v>
      </c>
      <c r="D424" s="62" t="str">
        <f>IF(D423=" "," ",IF(OR(F423='депозитный калькулятор'!$D$8,F423=" ")," ",D423+1))</f>
        <v xml:space="preserve"> </v>
      </c>
      <c r="E424" s="130" t="str">
        <f>IF(OR(F423='депозитный калькулятор'!$D$8,F423=" ")," ",IF(EOMONTH(F423,0)=F423,1,E423+1))</f>
        <v xml:space="preserve"> </v>
      </c>
      <c r="F424" s="64" t="str">
        <f>IF(F423=" "," ",IF(F423='депозитный калькулятор'!$D$8," ",F423+1))</f>
        <v xml:space="preserve"> </v>
      </c>
      <c r="G424" s="145" t="str">
        <f xml:space="preserve"> IF(F424&gt;'депозитный калькулятор'!$D$8," ",IF('депозитный калькулятор'!$G$13="есть",IF('депозитный калькулятор'!$G$14="есть",G423+IF(I423=" ",0,I423)-J424-K424+L424+M424-N424,G423+IF(I423=" ",0,I423)-J424-K424+M424-N424),IF('депозитный калькулятор'!$G$14="есть",G423-J424-K424+L424+M424-N424,G423-J424-K424+M424-N424)))</f>
        <v xml:space="preserve"> </v>
      </c>
      <c r="H424" s="133" t="str">
        <f>IF(F424&gt;'депозитный калькулятор'!$D$8," ",IF(AND(OR('депозитный калькулятор'!$G$7="30/365",'депозитный калькулятор'!$G$7="30/360"),AND(MONTH(F424)=2,EOMONTH(F424,0)=F424)),IF(DAY(F424)=28,3*G424*'депозитный калькулятор'!$G$8,2*G424*'депозитный калькулятор'!$G$8),IF(AND(OR('депозитный калькулятор'!$G$7="30/365",'депозитный калькулятор'!$G$7="30/360"),DAY(F424)=31)," ",IF(AND('депозитный калькулятор'!$G$7="факт/факт",MOD(YEAR(F424),4)=0),G424*'депозитный калькулятор'!$D$11/366,G424*'депозитный калькулятор'!$G$8))))</f>
        <v xml:space="preserve"> </v>
      </c>
      <c r="I424" s="134" t="str">
        <f ca="1">IF(F424=" "," ",IF('депозитный калькулятор'!$G$10="ежедневное",H424,IF(AND('депозитный калькулятор'!$G$10="еженедельное",WEEKDAY(F424,2)=7),SUM(OFFSET(H424,-6,0):H424),IF(AND('депозитный калькулятор'!$G$10="еженедельное",F424='депозитный калькулятор'!$D$8),SUM($H$23:H424)-SUM($I$23:I423),IF(AND('депозитный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недели",WEEKDAY(F424,2)=7),MIN(OFFSET(H424,-6,0):H424)*(COUNTIF(OFFSET(H424,-6,0):H424,"&gt;0")+SUMIF(OFFSET(A424,-WEEKDAY(F424,2),0):A424,"=2",OFFSET(A424,-WEEKDAY(F424,2),0):A424)),IF(AND('депозитный калькулятор'!$G$10="еженедельное, на минимальную сумму зафиксированную в течение недели",F424='депозитный калькулятор'!$D$8,WEEKDAY(F424,2)&lt;&gt;7),MIN(OFFSET(H424,-WEEKDAY(F424,2),0):H424)*(COUNTIF(OFFSET(H424,-WEEKDAY(F424,2)+1,0):H424,"&gt;0")+SUM(OFFSET(A424,-WEEKDAY(F424,2),0):A424)),IF(AND('депозитный калькулятор'!$G$10="ежемесячное (в конце месяца)",F424='депозитный калькулятор'!$D$8,EOMONTH(F424,0)&lt;&gt;F424),IF('депозитный калькулятор'!$F$1=1,$H$24,SUM($H$23:H424)-SUM($I$23:I423)),IF(AND('депозитный калькулятор'!$G$10="ежемесячное (в конце месяца)",EOMONTH(F424,0)=F424),SUM($H$23:H424)-SUM($I$23:I423),IF(AND('депозитный калькулятор'!$G$10="ежемесячное (по дням открытия вклада)",F424='депозитный калькулятор'!$D$8,DAY('депозитный калькулятор'!$D$7)&lt;&gt;DAY(F424)),IF('депозитный калькулятор'!$F$1=1,$H$24,SUM($H$23:H424)-SUM($I$23:I423)),IF(AND('депозитный калькулятор'!$G$10="ежемесячное (по дням открытия вклада)",DAY('депозитный калькулятор'!$D$7)=DAY(F424)),SUM($H$23:H424)-SUM($I$23:I423),IF(AND('депозитный калькулятор'!$G$10="ежемесячное, на минимальную сумму зафиксированную в течение месяца",F424='депозитный калькулятор'!$D$8,EOMONTH(F424,0)&lt;&gt;F424),IF('депозитный калькулятор'!$F$1=1,$H$24,IF(AND(OR('депозитный калькулятор'!$G$7="30/365",'депозитный калькулятор'!$G$7="30/360"),DAY(F424)=31),0,MIN(OFFSET(H424,-E424+1,0):H424)*(E424+SUMIF(OFFSET(A424,-E424+1,0):A424,"=2",OFFSET(A424,-E424+1,0):A424)))),IF(AND('депозитный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калькулятор'!$G$7="30/360"),DAY(EOMONTH(F424,0))=31),EOMONTH(F424,0)-1=F424,EOMONTH(F424,0)=F424)),IF(IF(AND(OR('депозитный калькулятор'!$G$7="30/365",'депозитный калькулятор'!$G$7="30/360"),DAY(EOMONTH($F$23,0))=31),F424=EOMONTH($F$23,0)-1,F424=EOMONTH($F$23,0)),MIN(OFFSET(H424,-(DAY(F424)-DAY($F$23)),0):H424)*E424,MIN(OFFSET(H424,-(DAY(F424)-1),0):H424)*IF(AND(OR('депозитный калькулятор'!$G$7="30/365",'депозитный калькулятор'!$G$7="30/360"),DAY(F424)&lt;30),30,DAY(F424))),IF(AND('депозитный калькулятор'!$G$10="ежемесячное, на средний остаток в течение месяца, при условии что остаток больше чем ограничение",F424='депозитный калькулятор'!$D$8,EOMONTH(F424,0)&lt;&gt;F424),IF('депозитный калькулятор'!$F$1=1,$H$24,SUM(OFFSET(Q424,-E424+1,0):Q424)),IF(AND('депозитный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калькулятор'!$G$7="30/360"),DAY(EOMONTH(F424,0))=31),EOMONTH(F424,0)-1=F424,EOMONTH(F424,0)=F424)),IF(IF(AND(OR('депозитный калькулятор'!$G$7="30/365",'депозитный калькулятор'!$G$7="30/360"),DAY(EOMONTH($F$24,0))=31),F424=EOMONTH($F$24,0)-1,F424=EOMONTH($F$24,0)),SUM(OFFSET(Q424,-E424+1,0):Q424),SUM(OFFSET(Q424,-E424+1,0):Q424)),IF('депозитный калькулятор'!$G$10="ежеквартальное",IF(F424&gt;'депозитный калькулятор'!$D$8," ",IF(AND(EOMONTH(F424,0)=F424,OR(MONTH(F424)=3,MONTH(F424)=6,MONTH(F424)=9,MONTH(F424)=12)),IF(EDATE(F424,-3)&lt;'депозитный калькулятор'!$D$7,SUM($H$23:H424),IF(MOD(YEAR(F424),4)=0,IF(AND(EOMONTH(F424,0)=F424,OR(MONTH(F424)=3,MONTH(F424)=6)),SUM(OFFSET(H424,-90,0):H424),IF(AND(EOMONTH(F424,0)=F424,OR(MONTH(F424)=9,MONTH(F424)=12)),SUM(OFFSET(H424,-91,0):H424))),IF(AND(EOMONTH(F424,0)=F424,MONTH(F424)=3),SUM(OFFSET(H424,-89,0):H424),IF(AND(EOMONTH(F424,0)=F424,MONTH(F424)=6),SUM(OFFSET(H424,-90,0):H424),IF(AND(EOMONTH(F424,0)=F424,OR(MONTH(F424)=9,MONTH(F424)=12)),SUM(OFFSET(H424,-91,0):H424)))))),IF(F424='депозитный калькулятор'!$D$8,SUM($H$23:H424)-SUM($I$23:I423),0))),IF('депозитный калькулятор'!$G$10="ежегодное",IF(F424&gt;'депозитный калькулятор'!$D$8," ",IF(F424='депозитный калькулятор'!$D$8,SUM($H$23:H424)-SUM($I$23:I423),IF(AND(EOMONTH(F424,0)=F424,MONTH(F424)=12),IF(MOD(YEAR(F423),4)=0,IF(F424-'депозитный калькулятор'!$D$7&lt;366,SUM($H$23:H424),SUM(OFFSET(H424,-365,0):H424)),IF(F424-'депозитный калькулятор'!$D$7&lt;365,SUM($H$23:H424),SUM(OFFSET(H424,-364,0):H424))),0))),IF(AND('депозитный калькулятор'!$G$10="в конце срока",'депозитный калькулятор'!$D$8=F424),SUM($H$23:H424),0))))))))))))))))))</f>
        <v xml:space="preserve"> </v>
      </c>
      <c r="J424" s="59" t="str">
        <f>IF(F424&gt;'депозитный калькулятор'!$D$8," ",IF('депозитный калькулятор'!$G$16="нет",0,IF(AND('депозитный калькулятор'!$G$17="разовая (в конце срока)",F424='депозитный калькулятор'!$D$8),'депозитный калькулятор'!$G$18,IF(AND('депозитный калькулятор'!$G$17="ежемесячная",EOMONTH(F423,0)=F423),'депозитный калькулятор'!$G$18,IF(AND('депозитный калькулятор'!$G$17="ежегодная",DAY(F423)=31,MONTH(F423)=12),'депозитный калькулятор'!$G$18,IF(AND('депозитный калькулятор'!$G$17="ежемесячная в зависимости от остатка",EOMONTH(F423,0)=F423,P423&gt;0),'депозитный калькулятор'!$G$18,IF(AND('депозитный калькулятор'!$G$17="ежегодная в зависимости от остатка",DAY(F423)=31,MONTH(F423)=12,P423&gt;0),'депозитный калькулятор'!$G$18,0)))))))</f>
        <v xml:space="preserve"> </v>
      </c>
      <c r="K424" s="135" t="str">
        <f>IF($F424=" "," ",IFERROR(VLOOKUP($F424,'депозитный калькулятор'!$B$26:$F$70,2,0),0))</f>
        <v xml:space="preserve"> </v>
      </c>
      <c r="L424" s="135" t="str">
        <f>IF($F424=" "," ",IFERROR(VLOOKUP($F424,'депозитный калькулятор'!$B$26:$F$70,3,0),0))</f>
        <v xml:space="preserve"> </v>
      </c>
      <c r="M424" s="135" t="str">
        <f>IF($F424=" "," ",IFERROR(VLOOKUP($F424,'депозитный калькулятор'!$B$26:$F$70,4,0),0))</f>
        <v xml:space="preserve"> </v>
      </c>
      <c r="N424" s="135" t="str">
        <f>IF($F424=" "," ",IFERROR(VLOOKUP($F424,'депозитный калькулятор'!$B$26:$F$70,5,0),0))</f>
        <v xml:space="preserve"> </v>
      </c>
      <c r="O424" s="146" t="str">
        <f>IF(F424&gt;'депозитный калькулятор'!$D$8," ",IF(F424='депозитный калькулятор'!$D$8,IF(AND($F$24='депозитный калькулятор'!$D$8,'депозитный калькулятор'!$G$13="нет"),-G424-IF(I424=" ",0,I424)-IF(AND(OR('депозитный калькулятор'!$G$7="30/365",'депозитный калькулятор'!$G$7="30/360"),'депозитный калькулятор'!$G$10="в начале срока"),I423,0)-L424+M424-N424,-G424-IF(I424=" ",0,I424)-L424+M424-N424),IF('депозитный калькулятор'!$G$13="есть",M424-N424+IF('депозитный калькулятор'!$G$14="есть",0,-L424),-IF(I424=" ",0,I424)-IF(AND(OR('депозитный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срока"),I423,0)+M424-N424+IF('депозитный калькулятор'!$G$14="есть",0,-L424))))</f>
        <v xml:space="preserve"> </v>
      </c>
      <c r="P424" s="147" t="str">
        <f>IF(F424&gt;'депозитный калькулятор'!$D$8," ",IF(EOMONTH(F423,0)=F423,0,IF(G424&gt;='депозитный калькулятор'!$G$19,P423,P423+1)))</f>
        <v xml:space="preserve"> </v>
      </c>
      <c r="Q424" s="138" t="str">
        <f>IF(F424=" "," ",IF(AND(OR('депозитный калькулятор'!$G$7="30/365",'депозитный калькулятор'!$G$7="30/360"),AND(MONTH(F424)=2,EOMONTH(F424,0)=F424)),IF(DAY(F424)=28,3,2),1)*IF(G424&gt;='депозитный калькулятор'!$G$11,IF(AND('депозитный калькулятор'!$G$7="факт/факт",MOD(YEAR(F424),4)=0),G424*'депозитный калькулятор'!$D$11/366,G424*'депозитный калькулятор'!$G$8),0))</f>
        <v xml:space="preserve"> </v>
      </c>
      <c r="R424" s="158"/>
      <c r="S424" s="62" t="str">
        <f t="shared" ca="1" si="32"/>
        <v xml:space="preserve"> </v>
      </c>
      <c r="T424" s="149" t="str">
        <f ca="1">IF(S424=" "," ",IF('депозитный калькулятор'!$G$7="30/360",DAYS360(U423,IF(DAY(U424)=31,U424-1,U424))+IF(AND(MONTH(U424)=2,U424=EOMONTH(U424,0)),30-DAY(EOMONTH(U424,0)))+T423,VLOOKUP(S424,$C$22:$F$1023,2,0)))</f>
        <v xml:space="preserve"> </v>
      </c>
      <c r="U424" s="64" t="str">
        <f t="shared" ca="1" si="30"/>
        <v xml:space="preserve"> </v>
      </c>
      <c r="V424" s="150" t="str">
        <f t="shared" ca="1" si="33"/>
        <v xml:space="preserve"> </v>
      </c>
      <c r="W424" s="62" t="str">
        <f t="shared" ca="1" si="34"/>
        <v xml:space="preserve"> </v>
      </c>
      <c r="X424" s="141" t="str">
        <f ca="1">IF(S424=" "," ",IFERROR(VLOOKUP(U424,$F$23:$N$1023,7)+VLOOKUP(U424,$F$23:$N$1023,9)+IF(AND('депозитный калькулятор'!$G$13="нет",U424&lt;&gt;'депозитный калькулятор'!$D$8),VLOOKUP(U424,$F$23:$N$1023,4),0),0)+IF(U424='депозитный калькулятор'!$D$8,VLOOKUP(U424,$F$23:$N$1023,2)+VLOOKUP(U424,$F$23:$N$1023,4),0))</f>
        <v xml:space="preserve"> </v>
      </c>
      <c r="Y424" s="142" t="str">
        <f ca="1">IF(S424=" "," ",W424/(1+'депозитный калькулятор'!$K$8)^(T424/IF('депозитный калькулятор'!$G$7="30/360",360,365)))</f>
        <v xml:space="preserve"> </v>
      </c>
      <c r="Z424" s="142" t="str">
        <f ca="1">IF(S424=" "," ",X424/(1+'депозитный калькулятор'!$K$8)^(T424/IF('депозитный калькулятор'!$G$7="30/360",360,365)))</f>
        <v xml:space="preserve"> </v>
      </c>
      <c r="AA424" s="151"/>
      <c r="AB424" s="151"/>
      <c r="AC424" s="155"/>
      <c r="AD424" s="155"/>
    </row>
    <row r="425" spans="1:30" s="2" customFormat="1" ht="15.5" x14ac:dyDescent="0.35">
      <c r="A425" s="41" t="str">
        <f>IF(F425=" "," ",IF(OR('депозитный калькулятор'!$G$7="30/365",'депозитный калькулятор'!$G$7="30/360"),IF(AND(MONTH(F425)=2,DAY(F425)=DAY(EOMONTH(F425,0))),30-DAY(EOMONTH(F425,0)),IF(DAY(F425)=31,1," "))," "))</f>
        <v xml:space="preserve"> </v>
      </c>
      <c r="B425" s="130" t="str">
        <f t="shared" si="31"/>
        <v xml:space="preserve"> </v>
      </c>
      <c r="C425" s="130" t="str">
        <f>IF(OR(B425=0,B425=" ")," ",SUM($B$23:B425))</f>
        <v xml:space="preserve"> </v>
      </c>
      <c r="D425" s="62" t="str">
        <f>IF(D424=" "," ",IF(OR(F424='депозитный калькулятор'!$D$8,F424=" ")," ",D424+1))</f>
        <v xml:space="preserve"> </v>
      </c>
      <c r="E425" s="130" t="str">
        <f>IF(OR(F424='депозитный калькулятор'!$D$8,F424=" ")," ",IF(EOMONTH(F424,0)=F424,1,E424+1))</f>
        <v xml:space="preserve"> </v>
      </c>
      <c r="F425" s="64" t="str">
        <f>IF(F424=" "," ",IF(F424='депозитный калькулятор'!$D$8," ",F424+1))</f>
        <v xml:space="preserve"> </v>
      </c>
      <c r="G425" s="145" t="str">
        <f xml:space="preserve"> IF(F425&gt;'депозитный калькулятор'!$D$8," ",IF('депозитный калькулятор'!$G$13="есть",IF('депозитный калькулятор'!$G$14="есть",G424+IF(I424=" ",0,I424)-J425-K425+L425+M425-N425,G424+IF(I424=" ",0,I424)-J425-K425+M425-N425),IF('депозитный калькулятор'!$G$14="есть",G424-J425-K425+L425+M425-N425,G424-J425-K425+M425-N425)))</f>
        <v xml:space="preserve"> </v>
      </c>
      <c r="H425" s="133" t="str">
        <f>IF(F425&gt;'депозитный калькулятор'!$D$8," ",IF(AND(OR('депозитный калькулятор'!$G$7="30/365",'депозитный калькулятор'!$G$7="30/360"),AND(MONTH(F425)=2,EOMONTH(F425,0)=F425)),IF(DAY(F425)=28,3*G425*'депозитный калькулятор'!$G$8,2*G425*'депозитный калькулятор'!$G$8),IF(AND(OR('депозитный калькулятор'!$G$7="30/365",'депозитный калькулятор'!$G$7="30/360"),DAY(F425)=31)," ",IF(AND('депозитный калькулятор'!$G$7="факт/факт",MOD(YEAR(F425),4)=0),G425*'депозитный калькулятор'!$D$11/366,G425*'депозитный калькулятор'!$G$8))))</f>
        <v xml:space="preserve"> </v>
      </c>
      <c r="I425" s="134" t="str">
        <f ca="1">IF(F425=" "," ",IF('депозитный калькулятор'!$G$10="ежедневное",H425,IF(AND('депозитный калькулятор'!$G$10="еженедельное",WEEKDAY(F425,2)=7),SUM(OFFSET(H425,-6,0):H425),IF(AND('депозитный калькулятор'!$G$10="еженедельное",F425='депозитный калькулятор'!$D$8),SUM($H$23:H425)-SUM($I$23:I424),IF(AND('депозитный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недели",WEEKDAY(F425,2)=7),MIN(OFFSET(H425,-6,0):H425)*(COUNTIF(OFFSET(H425,-6,0):H425,"&gt;0")+SUMIF(OFFSET(A425,-WEEKDAY(F425,2),0):A425,"=2",OFFSET(A425,-WEEKDAY(F425,2),0):A425)),IF(AND('депозитный калькулятор'!$G$10="еженедельное, на минимальную сумму зафиксированную в течение недели",F425='депозитный калькулятор'!$D$8,WEEKDAY(F425,2)&lt;&gt;7),MIN(OFFSET(H425,-WEEKDAY(F425,2),0):H425)*(COUNTIF(OFFSET(H425,-WEEKDAY(F425,2)+1,0):H425,"&gt;0")+SUM(OFFSET(A425,-WEEKDAY(F425,2),0):A425)),IF(AND('депозитный калькулятор'!$G$10="ежемесячное (в конце месяца)",F425='депозитный калькулятор'!$D$8,EOMONTH(F425,0)&lt;&gt;F425),IF('депозитный калькулятор'!$F$1=1,$H$24,SUM($H$23:H425)-SUM($I$23:I424)),IF(AND('депозитный калькулятор'!$G$10="ежемесячное (в конце месяца)",EOMONTH(F425,0)=F425),SUM($H$23:H425)-SUM($I$23:I424),IF(AND('депозитный калькулятор'!$G$10="ежемесячное (по дням открытия вклада)",F425='депозитный калькулятор'!$D$8,DAY('депозитный калькулятор'!$D$7)&lt;&gt;DAY(F425)),IF('депозитный калькулятор'!$F$1=1,$H$24,SUM($H$23:H425)-SUM($I$23:I424)),IF(AND('депозитный калькулятор'!$G$10="ежемесячное (по дням открытия вклада)",DAY('депозитный калькулятор'!$D$7)=DAY(F425)),SUM($H$23:H425)-SUM($I$23:I424),IF(AND('депозитный калькулятор'!$G$10="ежемесячное, на минимальную сумму зафиксированную в течение месяца",F425='депозитный калькулятор'!$D$8,EOMONTH(F425,0)&lt;&gt;F425),IF('депозитный калькулятор'!$F$1=1,$H$24,IF(AND(OR('депозитный калькулятор'!$G$7="30/365",'депозитный калькулятор'!$G$7="30/360"),DAY(F425)=31),0,MIN(OFFSET(H425,-E425+1,0):H425)*(E425+SUMIF(OFFSET(A425,-E425+1,0):A425,"=2",OFFSET(A425,-E425+1,0):A425)))),IF(AND('депозитный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калькулятор'!$G$7="30/360"),DAY(EOMONTH(F425,0))=31),EOMONTH(F425,0)-1=F425,EOMONTH(F425,0)=F425)),IF(IF(AND(OR('депозитный калькулятор'!$G$7="30/365",'депозитный калькулятор'!$G$7="30/360"),DAY(EOMONTH($F$23,0))=31),F425=EOMONTH($F$23,0)-1,F425=EOMONTH($F$23,0)),MIN(OFFSET(H425,-(DAY(F425)-DAY($F$23)),0):H425)*E425,MIN(OFFSET(H425,-(DAY(F425)-1),0):H425)*IF(AND(OR('депозитный калькулятор'!$G$7="30/365",'депозитный калькулятор'!$G$7="30/360"),DAY(F425)&lt;30),30,DAY(F425))),IF(AND('депозитный калькулятор'!$G$10="ежемесячное, на средний остаток в течение месяца, при условии что остаток больше чем ограничение",F425='депозитный калькулятор'!$D$8,EOMONTH(F425,0)&lt;&gt;F425),IF('депозитный калькулятор'!$F$1=1,$H$24,SUM(OFFSET(Q425,-E425+1,0):Q425)),IF(AND('депозитный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калькулятор'!$G$7="30/360"),DAY(EOMONTH(F425,0))=31),EOMONTH(F425,0)-1=F425,EOMONTH(F425,0)=F425)),IF(IF(AND(OR('депозитный калькулятор'!$G$7="30/365",'депозитный калькулятор'!$G$7="30/360"),DAY(EOMONTH($F$24,0))=31),F425=EOMONTH($F$24,0)-1,F425=EOMONTH($F$24,0)),SUM(OFFSET(Q425,-E425+1,0):Q425),SUM(OFFSET(Q425,-E425+1,0):Q425)),IF('депозитный калькулятор'!$G$10="ежеквартальное",IF(F425&gt;'депозитный калькулятор'!$D$8," ",IF(AND(EOMONTH(F425,0)=F425,OR(MONTH(F425)=3,MONTH(F425)=6,MONTH(F425)=9,MONTH(F425)=12)),IF(EDATE(F425,-3)&lt;'депозитный калькулятор'!$D$7,SUM($H$23:H425),IF(MOD(YEAR(F425),4)=0,IF(AND(EOMONTH(F425,0)=F425,OR(MONTH(F425)=3,MONTH(F425)=6)),SUM(OFFSET(H425,-90,0):H425),IF(AND(EOMONTH(F425,0)=F425,OR(MONTH(F425)=9,MONTH(F425)=12)),SUM(OFFSET(H425,-91,0):H425))),IF(AND(EOMONTH(F425,0)=F425,MONTH(F425)=3),SUM(OFFSET(H425,-89,0):H425),IF(AND(EOMONTH(F425,0)=F425,MONTH(F425)=6),SUM(OFFSET(H425,-90,0):H425),IF(AND(EOMONTH(F425,0)=F425,OR(MONTH(F425)=9,MONTH(F425)=12)),SUM(OFFSET(H425,-91,0):H425)))))),IF(F425='депозитный калькулятор'!$D$8,SUM($H$23:H425)-SUM($I$23:I424),0))),IF('депозитный калькулятор'!$G$10="ежегодное",IF(F425&gt;'депозитный калькулятор'!$D$8," ",IF(F425='депозитный калькулятор'!$D$8,SUM($H$23:H425)-SUM($I$23:I424),IF(AND(EOMONTH(F425,0)=F425,MONTH(F425)=12),IF(MOD(YEAR(F424),4)=0,IF(F425-'депозитный калькулятор'!$D$7&lt;366,SUM($H$23:H425),SUM(OFFSET(H425,-365,0):H425)),IF(F425-'депозитный калькулятор'!$D$7&lt;365,SUM($H$23:H425),SUM(OFFSET(H425,-364,0):H425))),0))),IF(AND('депозитный калькулятор'!$G$10="в конце срока",'депозитный калькулятор'!$D$8=F425),SUM($H$23:H425),0))))))))))))))))))</f>
        <v xml:space="preserve"> </v>
      </c>
      <c r="J425" s="59" t="str">
        <f>IF(F425&gt;'депозитный калькулятор'!$D$8," ",IF('депозитный калькулятор'!$G$16="нет",0,IF(AND('депозитный калькулятор'!$G$17="разовая (в конце срока)",F425='депозитный калькулятор'!$D$8),'депозитный калькулятор'!$G$18,IF(AND('депозитный калькулятор'!$G$17="ежемесячная",EOMONTH(F424,0)=F424),'депозитный калькулятор'!$G$18,IF(AND('депозитный калькулятор'!$G$17="ежегодная",DAY(F424)=31,MONTH(F424)=12),'депозитный калькулятор'!$G$18,IF(AND('депозитный калькулятор'!$G$17="ежемесячная в зависимости от остатка",EOMONTH(F424,0)=F424,P424&gt;0),'депозитный калькулятор'!$G$18,IF(AND('депозитный калькулятор'!$G$17="ежегодная в зависимости от остатка",DAY(F424)=31,MONTH(F424)=12,P424&gt;0),'депозитный калькулятор'!$G$18,0)))))))</f>
        <v xml:space="preserve"> </v>
      </c>
      <c r="K425" s="135" t="str">
        <f>IF($F425=" "," ",IFERROR(VLOOKUP($F425,'депозитный калькулятор'!$B$26:$F$70,2,0),0))</f>
        <v xml:space="preserve"> </v>
      </c>
      <c r="L425" s="135" t="str">
        <f>IF($F425=" "," ",IFERROR(VLOOKUP($F425,'депозитный калькулятор'!$B$26:$F$70,3,0),0))</f>
        <v xml:space="preserve"> </v>
      </c>
      <c r="M425" s="135" t="str">
        <f>IF($F425=" "," ",IFERROR(VLOOKUP($F425,'депозитный калькулятор'!$B$26:$F$70,4,0),0))</f>
        <v xml:space="preserve"> </v>
      </c>
      <c r="N425" s="135" t="str">
        <f>IF($F425=" "," ",IFERROR(VLOOKUP($F425,'депозитный калькулятор'!$B$26:$F$70,5,0),0))</f>
        <v xml:space="preserve"> </v>
      </c>
      <c r="O425" s="146" t="str">
        <f>IF(F425&gt;'депозитный калькулятор'!$D$8," ",IF(F425='депозитный калькулятор'!$D$8,IF(AND($F$24='депозитный калькулятор'!$D$8,'депозитный калькулятор'!$G$13="нет"),-G425-IF(I425=" ",0,I425)-IF(AND(OR('депозитный калькулятор'!$G$7="30/365",'депозитный калькулятор'!$G$7="30/360"),'депозитный калькулятор'!$G$10="в начале срока"),I424,0)-L425+M425-N425,-G425-IF(I425=" ",0,I425)-L425+M425-N425),IF('депозитный калькулятор'!$G$13="есть",M425-N425+IF('депозитный калькулятор'!$G$14="есть",0,-L425),-IF(I425=" ",0,I425)-IF(AND(OR('депозитный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срока"),I424,0)+M425-N425+IF('депозитный калькулятор'!$G$14="есть",0,-L425))))</f>
        <v xml:space="preserve"> </v>
      </c>
      <c r="P425" s="147" t="str">
        <f>IF(F425&gt;'депозитный калькулятор'!$D$8," ",IF(EOMONTH(F424,0)=F424,0,IF(G425&gt;='депозитный калькулятор'!$G$19,P424,P424+1)))</f>
        <v xml:space="preserve"> </v>
      </c>
      <c r="Q425" s="138" t="str">
        <f>IF(F425=" "," ",IF(AND(OR('депозитный калькулятор'!$G$7="30/365",'депозитный калькулятор'!$G$7="30/360"),AND(MONTH(F425)=2,EOMONTH(F425,0)=F425)),IF(DAY(F425)=28,3,2),1)*IF(G425&gt;='депозитный калькулятор'!$G$11,IF(AND('депозитный калькулятор'!$G$7="факт/факт",MOD(YEAR(F425),4)=0),G425*'депозитный калькулятор'!$D$11/366,G425*'депозитный калькулятор'!$G$8),0))</f>
        <v xml:space="preserve"> </v>
      </c>
      <c r="R425" s="158"/>
      <c r="S425" s="62" t="str">
        <f t="shared" ca="1" si="32"/>
        <v xml:space="preserve"> </v>
      </c>
      <c r="T425" s="149" t="str">
        <f ca="1">IF(S425=" "," ",IF('депозитный калькулятор'!$G$7="30/360",DAYS360(U424,IF(DAY(U425)=31,U425-1,U425))+IF(AND(MONTH(U425)=2,U425=EOMONTH(U425,0)),30-DAY(EOMONTH(U425,0)))+T424,VLOOKUP(S425,$C$22:$F$1023,2,0)))</f>
        <v xml:space="preserve"> </v>
      </c>
      <c r="U425" s="64" t="str">
        <f t="shared" ca="1" si="30"/>
        <v xml:space="preserve"> </v>
      </c>
      <c r="V425" s="150" t="str">
        <f t="shared" ca="1" si="33"/>
        <v xml:space="preserve"> </v>
      </c>
      <c r="W425" s="62" t="str">
        <f t="shared" ca="1" si="34"/>
        <v xml:space="preserve"> </v>
      </c>
      <c r="X425" s="141" t="str">
        <f ca="1">IF(S425=" "," ",IFERROR(VLOOKUP(U425,$F$23:$N$1023,7)+VLOOKUP(U425,$F$23:$N$1023,9)+IF(AND('депозитный калькулятор'!$G$13="нет",U425&lt;&gt;'депозитный калькулятор'!$D$8),VLOOKUP(U425,$F$23:$N$1023,4),0),0)+IF(U425='депозитный калькулятор'!$D$8,VLOOKUP(U425,$F$23:$N$1023,2)+VLOOKUP(U425,$F$23:$N$1023,4),0))</f>
        <v xml:space="preserve"> </v>
      </c>
      <c r="Y425" s="142" t="str">
        <f ca="1">IF(S425=" "," ",W425/(1+'депозитный калькулятор'!$K$8)^(T425/IF('депозитный калькулятор'!$G$7="30/360",360,365)))</f>
        <v xml:space="preserve"> </v>
      </c>
      <c r="Z425" s="142" t="str">
        <f ca="1">IF(S425=" "," ",X425/(1+'депозитный калькулятор'!$K$8)^(T425/IF('депозитный калькулятор'!$G$7="30/360",360,365)))</f>
        <v xml:space="preserve"> </v>
      </c>
      <c r="AA425" s="151"/>
      <c r="AB425" s="151"/>
      <c r="AC425" s="155"/>
      <c r="AD425" s="155"/>
    </row>
    <row r="426" spans="1:30" s="2" customFormat="1" ht="15.5" x14ac:dyDescent="0.35">
      <c r="A426" s="41" t="str">
        <f>IF(F426=" "," ",IF(OR('депозитный калькулятор'!$G$7="30/365",'депозитный калькулятор'!$G$7="30/360"),IF(AND(MONTH(F426)=2,DAY(F426)=DAY(EOMONTH(F426,0))),30-DAY(EOMONTH(F426,0)),IF(DAY(F426)=31,1," "))," "))</f>
        <v xml:space="preserve"> </v>
      </c>
      <c r="B426" s="130" t="str">
        <f t="shared" si="31"/>
        <v xml:space="preserve"> </v>
      </c>
      <c r="C426" s="130" t="str">
        <f>IF(OR(B426=0,B426=" ")," ",SUM($B$23:B426))</f>
        <v xml:space="preserve"> </v>
      </c>
      <c r="D426" s="62" t="str">
        <f>IF(D425=" "," ",IF(OR(F425='депозитный калькулятор'!$D$8,F425=" ")," ",D425+1))</f>
        <v xml:space="preserve"> </v>
      </c>
      <c r="E426" s="130" t="str">
        <f>IF(OR(F425='депозитный калькулятор'!$D$8,F425=" ")," ",IF(EOMONTH(F425,0)=F425,1,E425+1))</f>
        <v xml:space="preserve"> </v>
      </c>
      <c r="F426" s="64" t="str">
        <f>IF(F425=" "," ",IF(F425='депозитный калькулятор'!$D$8," ",F425+1))</f>
        <v xml:space="preserve"> </v>
      </c>
      <c r="G426" s="145" t="str">
        <f xml:space="preserve"> IF(F426&gt;'депозитный калькулятор'!$D$8," ",IF('депозитный калькулятор'!$G$13="есть",IF('депозитный калькулятор'!$G$14="есть",G425+IF(I425=" ",0,I425)-J426-K426+L426+M426-N426,G425+IF(I425=" ",0,I425)-J426-K426+M426-N426),IF('депозитный калькулятор'!$G$14="есть",G425-J426-K426+L426+M426-N426,G425-J426-K426+M426-N426)))</f>
        <v xml:space="preserve"> </v>
      </c>
      <c r="H426" s="133" t="str">
        <f>IF(F426&gt;'депозитный калькулятор'!$D$8," ",IF(AND(OR('депозитный калькулятор'!$G$7="30/365",'депозитный калькулятор'!$G$7="30/360"),AND(MONTH(F426)=2,EOMONTH(F426,0)=F426)),IF(DAY(F426)=28,3*G426*'депозитный калькулятор'!$G$8,2*G426*'депозитный калькулятор'!$G$8),IF(AND(OR('депозитный калькулятор'!$G$7="30/365",'депозитный калькулятор'!$G$7="30/360"),DAY(F426)=31)," ",IF(AND('депозитный калькулятор'!$G$7="факт/факт",MOD(YEAR(F426),4)=0),G426*'депозитный калькулятор'!$D$11/366,G426*'депозитный калькулятор'!$G$8))))</f>
        <v xml:space="preserve"> </v>
      </c>
      <c r="I426" s="134" t="str">
        <f ca="1">IF(F426=" "," ",IF('депозитный калькулятор'!$G$10="ежедневное",H426,IF(AND('депозитный калькулятор'!$G$10="еженедельное",WEEKDAY(F426,2)=7),SUM(OFFSET(H426,-6,0):H426),IF(AND('депозитный калькулятор'!$G$10="еженедельное",F426='депозитный калькулятор'!$D$8),SUM($H$23:H426)-SUM($I$23:I425),IF(AND('депозитный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недели",WEEKDAY(F426,2)=7),MIN(OFFSET(H426,-6,0):H426)*(COUNTIF(OFFSET(H426,-6,0):H426,"&gt;0")+SUMIF(OFFSET(A426,-WEEKDAY(F426,2),0):A426,"=2",OFFSET(A426,-WEEKDAY(F426,2),0):A426)),IF(AND('депозитный калькулятор'!$G$10="еженедельное, на минимальную сумму зафиксированную в течение недели",F426='депозитный калькулятор'!$D$8,WEEKDAY(F426,2)&lt;&gt;7),MIN(OFFSET(H426,-WEEKDAY(F426,2),0):H426)*(COUNTIF(OFFSET(H426,-WEEKDAY(F426,2)+1,0):H426,"&gt;0")+SUM(OFFSET(A426,-WEEKDAY(F426,2),0):A426)),IF(AND('депозитный калькулятор'!$G$10="ежемесячное (в конце месяца)",F426='депозитный калькулятор'!$D$8,EOMONTH(F426,0)&lt;&gt;F426),IF('депозитный калькулятор'!$F$1=1,$H$24,SUM($H$23:H426)-SUM($I$23:I425)),IF(AND('депозитный калькулятор'!$G$10="ежемесячное (в конце месяца)",EOMONTH(F426,0)=F426),SUM($H$23:H426)-SUM($I$23:I425),IF(AND('депозитный калькулятор'!$G$10="ежемесячное (по дням открытия вклада)",F426='депозитный калькулятор'!$D$8,DAY('депозитный калькулятор'!$D$7)&lt;&gt;DAY(F426)),IF('депозитный калькулятор'!$F$1=1,$H$24,SUM($H$23:H426)-SUM($I$23:I425)),IF(AND('депозитный калькулятор'!$G$10="ежемесячное (по дням открытия вклада)",DAY('депозитный калькулятор'!$D$7)=DAY(F426)),SUM($H$23:H426)-SUM($I$23:I425),IF(AND('депозитный калькулятор'!$G$10="ежемесячное, на минимальную сумму зафиксированную в течение месяца",F426='депозитный калькулятор'!$D$8,EOMONTH(F426,0)&lt;&gt;F426),IF('депозитный калькулятор'!$F$1=1,$H$24,IF(AND(OR('депозитный калькулятор'!$G$7="30/365",'депозитный калькулятор'!$G$7="30/360"),DAY(F426)=31),0,MIN(OFFSET(H426,-E426+1,0):H426)*(E426+SUMIF(OFFSET(A426,-E426+1,0):A426,"=2",OFFSET(A426,-E426+1,0):A426)))),IF(AND('депозитный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калькулятор'!$G$7="30/360"),DAY(EOMONTH(F426,0))=31),EOMONTH(F426,0)-1=F426,EOMONTH(F426,0)=F426)),IF(IF(AND(OR('депозитный калькулятор'!$G$7="30/365",'депозитный калькулятор'!$G$7="30/360"),DAY(EOMONTH($F$23,0))=31),F426=EOMONTH($F$23,0)-1,F426=EOMONTH($F$23,0)),MIN(OFFSET(H426,-(DAY(F426)-DAY($F$23)),0):H426)*E426,MIN(OFFSET(H426,-(DAY(F426)-1),0):H426)*IF(AND(OR('депозитный калькулятор'!$G$7="30/365",'депозитный калькулятор'!$G$7="30/360"),DAY(F426)&lt;30),30,DAY(F426))),IF(AND('депозитный калькулятор'!$G$10="ежемесячное, на средний остаток в течение месяца, при условии что остаток больше чем ограничение",F426='депозитный калькулятор'!$D$8,EOMONTH(F426,0)&lt;&gt;F426),IF('депозитный калькулятор'!$F$1=1,$H$24,SUM(OFFSET(Q426,-E426+1,0):Q426)),IF(AND('депозитный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калькулятор'!$G$7="30/360"),DAY(EOMONTH(F426,0))=31),EOMONTH(F426,0)-1=F426,EOMONTH(F426,0)=F426)),IF(IF(AND(OR('депозитный калькулятор'!$G$7="30/365",'депозитный калькулятор'!$G$7="30/360"),DAY(EOMONTH($F$24,0))=31),F426=EOMONTH($F$24,0)-1,F426=EOMONTH($F$24,0)),SUM(OFFSET(Q426,-E426+1,0):Q426),SUM(OFFSET(Q426,-E426+1,0):Q426)),IF('депозитный калькулятор'!$G$10="ежеквартальное",IF(F426&gt;'депозитный калькулятор'!$D$8," ",IF(AND(EOMONTH(F426,0)=F426,OR(MONTH(F426)=3,MONTH(F426)=6,MONTH(F426)=9,MONTH(F426)=12)),IF(EDATE(F426,-3)&lt;'депозитный калькулятор'!$D$7,SUM($H$23:H426),IF(MOD(YEAR(F426),4)=0,IF(AND(EOMONTH(F426,0)=F426,OR(MONTH(F426)=3,MONTH(F426)=6)),SUM(OFFSET(H426,-90,0):H426),IF(AND(EOMONTH(F426,0)=F426,OR(MONTH(F426)=9,MONTH(F426)=12)),SUM(OFFSET(H426,-91,0):H426))),IF(AND(EOMONTH(F426,0)=F426,MONTH(F426)=3),SUM(OFFSET(H426,-89,0):H426),IF(AND(EOMONTH(F426,0)=F426,MONTH(F426)=6),SUM(OFFSET(H426,-90,0):H426),IF(AND(EOMONTH(F426,0)=F426,OR(MONTH(F426)=9,MONTH(F426)=12)),SUM(OFFSET(H426,-91,0):H426)))))),IF(F426='депозитный калькулятор'!$D$8,SUM($H$23:H426)-SUM($I$23:I425),0))),IF('депозитный калькулятор'!$G$10="ежегодное",IF(F426&gt;'депозитный калькулятор'!$D$8," ",IF(F426='депозитный калькулятор'!$D$8,SUM($H$23:H426)-SUM($I$23:I425),IF(AND(EOMONTH(F426,0)=F426,MONTH(F426)=12),IF(MOD(YEAR(F425),4)=0,IF(F426-'депозитный калькулятор'!$D$7&lt;366,SUM($H$23:H426),SUM(OFFSET(H426,-365,0):H426)),IF(F426-'депозитный калькулятор'!$D$7&lt;365,SUM($H$23:H426),SUM(OFFSET(H426,-364,0):H426))),0))),IF(AND('депозитный калькулятор'!$G$10="в конце срока",'депозитный калькулятор'!$D$8=F426),SUM($H$23:H426),0))))))))))))))))))</f>
        <v xml:space="preserve"> </v>
      </c>
      <c r="J426" s="59" t="str">
        <f>IF(F426&gt;'депозитный калькулятор'!$D$8," ",IF('депозитный калькулятор'!$G$16="нет",0,IF(AND('депозитный калькулятор'!$G$17="разовая (в конце срока)",F426='депозитный калькулятор'!$D$8),'депозитный калькулятор'!$G$18,IF(AND('депозитный калькулятор'!$G$17="ежемесячная",EOMONTH(F425,0)=F425),'депозитный калькулятор'!$G$18,IF(AND('депозитный калькулятор'!$G$17="ежегодная",DAY(F425)=31,MONTH(F425)=12),'депозитный калькулятор'!$G$18,IF(AND('депозитный калькулятор'!$G$17="ежемесячная в зависимости от остатка",EOMONTH(F425,0)=F425,P425&gt;0),'депозитный калькулятор'!$G$18,IF(AND('депозитный калькулятор'!$G$17="ежегодная в зависимости от остатка",DAY(F425)=31,MONTH(F425)=12,P425&gt;0),'депозитный калькулятор'!$G$18,0)))))))</f>
        <v xml:space="preserve"> </v>
      </c>
      <c r="K426" s="135" t="str">
        <f>IF($F426=" "," ",IFERROR(VLOOKUP($F426,'депозитный калькулятор'!$B$26:$F$70,2,0),0))</f>
        <v xml:space="preserve"> </v>
      </c>
      <c r="L426" s="135" t="str">
        <f>IF($F426=" "," ",IFERROR(VLOOKUP($F426,'депозитный калькулятор'!$B$26:$F$70,3,0),0))</f>
        <v xml:space="preserve"> </v>
      </c>
      <c r="M426" s="135" t="str">
        <f>IF($F426=" "," ",IFERROR(VLOOKUP($F426,'депозитный калькулятор'!$B$26:$F$70,4,0),0))</f>
        <v xml:space="preserve"> </v>
      </c>
      <c r="N426" s="135" t="str">
        <f>IF($F426=" "," ",IFERROR(VLOOKUP($F426,'депозитный калькулятор'!$B$26:$F$70,5,0),0))</f>
        <v xml:space="preserve"> </v>
      </c>
      <c r="O426" s="146" t="str">
        <f>IF(F426&gt;'депозитный калькулятор'!$D$8," ",IF(F426='депозитный калькулятор'!$D$8,IF(AND($F$24='депозитный калькулятор'!$D$8,'депозитный калькулятор'!$G$13="нет"),-G426-IF(I426=" ",0,I426)-IF(AND(OR('депозитный калькулятор'!$G$7="30/365",'депозитный калькулятор'!$G$7="30/360"),'депозитный калькулятор'!$G$10="в начале срока"),I425,0)-L426+M426-N426,-G426-IF(I426=" ",0,I426)-L426+M426-N426),IF('депозитный калькулятор'!$G$13="есть",M426-N426+IF('депозитный калькулятор'!$G$14="есть",0,-L426),-IF(I426=" ",0,I426)-IF(AND(OR('депозитный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срока"),I425,0)+M426-N426+IF('депозитный калькулятор'!$G$14="есть",0,-L426))))</f>
        <v xml:space="preserve"> </v>
      </c>
      <c r="P426" s="147" t="str">
        <f>IF(F426&gt;'депозитный калькулятор'!$D$8," ",IF(EOMONTH(F425,0)=F425,0,IF(G426&gt;='депозитный калькулятор'!$G$19,P425,P425+1)))</f>
        <v xml:space="preserve"> </v>
      </c>
      <c r="Q426" s="138" t="str">
        <f>IF(F426=" "," ",IF(AND(OR('депозитный калькулятор'!$G$7="30/365",'депозитный калькулятор'!$G$7="30/360"),AND(MONTH(F426)=2,EOMONTH(F426,0)=F426)),IF(DAY(F426)=28,3,2),1)*IF(G426&gt;='депозитный калькулятор'!$G$11,IF(AND('депозитный калькулятор'!$G$7="факт/факт",MOD(YEAR(F426),4)=0),G426*'депозитный калькулятор'!$D$11/366,G426*'депозитный калькулятор'!$G$8),0))</f>
        <v xml:space="preserve"> </v>
      </c>
      <c r="R426" s="158"/>
      <c r="S426" s="62" t="str">
        <f t="shared" ca="1" si="32"/>
        <v xml:space="preserve"> </v>
      </c>
      <c r="T426" s="149" t="str">
        <f ca="1">IF(S426=" "," ",IF('депозитный калькулятор'!$G$7="30/360",DAYS360(U425,IF(DAY(U426)=31,U426-1,U426))+IF(AND(MONTH(U426)=2,U426=EOMONTH(U426,0)),30-DAY(EOMONTH(U426,0)))+T425,VLOOKUP(S426,$C$22:$F$1023,2,0)))</f>
        <v xml:space="preserve"> </v>
      </c>
      <c r="U426" s="64" t="str">
        <f t="shared" ca="1" si="30"/>
        <v xml:space="preserve"> </v>
      </c>
      <c r="V426" s="150" t="str">
        <f t="shared" ca="1" si="33"/>
        <v xml:space="preserve"> </v>
      </c>
      <c r="W426" s="62" t="str">
        <f t="shared" ca="1" si="34"/>
        <v xml:space="preserve"> </v>
      </c>
      <c r="X426" s="141" t="str">
        <f ca="1">IF(S426=" "," ",IFERROR(VLOOKUP(U426,$F$23:$N$1023,7)+VLOOKUP(U426,$F$23:$N$1023,9)+IF(AND('депозитный калькулятор'!$G$13="нет",U426&lt;&gt;'депозитный калькулятор'!$D$8),VLOOKUP(U426,$F$23:$N$1023,4),0),0)+IF(U426='депозитный калькулятор'!$D$8,VLOOKUP(U426,$F$23:$N$1023,2)+VLOOKUP(U426,$F$23:$N$1023,4),0))</f>
        <v xml:space="preserve"> </v>
      </c>
      <c r="Y426" s="142" t="str">
        <f ca="1">IF(S426=" "," ",W426/(1+'депозитный калькулятор'!$K$8)^(T426/IF('депозитный калькулятор'!$G$7="30/360",360,365)))</f>
        <v xml:space="preserve"> </v>
      </c>
      <c r="Z426" s="142" t="str">
        <f ca="1">IF(S426=" "," ",X426/(1+'депозитный калькулятор'!$K$8)^(T426/IF('депозитный калькулятор'!$G$7="30/360",360,365)))</f>
        <v xml:space="preserve"> </v>
      </c>
      <c r="AA426" s="151"/>
      <c r="AB426" s="151"/>
      <c r="AC426" s="155"/>
      <c r="AD426" s="155"/>
    </row>
    <row r="427" spans="1:30" s="2" customFormat="1" ht="15.5" x14ac:dyDescent="0.35">
      <c r="A427" s="41" t="str">
        <f>IF(F427=" "," ",IF(OR('депозитный калькулятор'!$G$7="30/365",'депозитный калькулятор'!$G$7="30/360"),IF(AND(MONTH(F427)=2,DAY(F427)=DAY(EOMONTH(F427,0))),30-DAY(EOMONTH(F427,0)),IF(DAY(F427)=31,1," "))," "))</f>
        <v xml:space="preserve"> </v>
      </c>
      <c r="B427" s="130" t="str">
        <f t="shared" si="31"/>
        <v xml:space="preserve"> </v>
      </c>
      <c r="C427" s="130" t="str">
        <f>IF(OR(B427=0,B427=" ")," ",SUM($B$23:B427))</f>
        <v xml:space="preserve"> </v>
      </c>
      <c r="D427" s="62" t="str">
        <f>IF(D426=" "," ",IF(OR(F426='депозитный калькулятор'!$D$8,F426=" ")," ",D426+1))</f>
        <v xml:space="preserve"> </v>
      </c>
      <c r="E427" s="130" t="str">
        <f>IF(OR(F426='депозитный калькулятор'!$D$8,F426=" ")," ",IF(EOMONTH(F426,0)=F426,1,E426+1))</f>
        <v xml:space="preserve"> </v>
      </c>
      <c r="F427" s="64" t="str">
        <f>IF(F426=" "," ",IF(F426='депозитный калькулятор'!$D$8," ",F426+1))</f>
        <v xml:space="preserve"> </v>
      </c>
      <c r="G427" s="145" t="str">
        <f xml:space="preserve"> IF(F427&gt;'депозитный калькулятор'!$D$8," ",IF('депозитный калькулятор'!$G$13="есть",IF('депозитный калькулятор'!$G$14="есть",G426+IF(I426=" ",0,I426)-J427-K427+L427+M427-N427,G426+IF(I426=" ",0,I426)-J427-K427+M427-N427),IF('депозитный калькулятор'!$G$14="есть",G426-J427-K427+L427+M427-N427,G426-J427-K427+M427-N427)))</f>
        <v xml:space="preserve"> </v>
      </c>
      <c r="H427" s="133" t="str">
        <f>IF(F427&gt;'депозитный калькулятор'!$D$8," ",IF(AND(OR('депозитный калькулятор'!$G$7="30/365",'депозитный калькулятор'!$G$7="30/360"),AND(MONTH(F427)=2,EOMONTH(F427,0)=F427)),IF(DAY(F427)=28,3*G427*'депозитный калькулятор'!$G$8,2*G427*'депозитный калькулятор'!$G$8),IF(AND(OR('депозитный калькулятор'!$G$7="30/365",'депозитный калькулятор'!$G$7="30/360"),DAY(F427)=31)," ",IF(AND('депозитный калькулятор'!$G$7="факт/факт",MOD(YEAR(F427),4)=0),G427*'депозитный калькулятор'!$D$11/366,G427*'депозитный калькулятор'!$G$8))))</f>
        <v xml:space="preserve"> </v>
      </c>
      <c r="I427" s="134" t="str">
        <f ca="1">IF(F427=" "," ",IF('депозитный калькулятор'!$G$10="ежедневное",H427,IF(AND('депозитный калькулятор'!$G$10="еженедельное",WEEKDAY(F427,2)=7),SUM(OFFSET(H427,-6,0):H427),IF(AND('депозитный калькулятор'!$G$10="еженедельное",F427='депозитный калькулятор'!$D$8),SUM($H$23:H427)-SUM($I$23:I426),IF(AND('депозитный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недели",WEEKDAY(F427,2)=7),MIN(OFFSET(H427,-6,0):H427)*(COUNTIF(OFFSET(H427,-6,0):H427,"&gt;0")+SUMIF(OFFSET(A427,-WEEKDAY(F427,2),0):A427,"=2",OFFSET(A427,-WEEKDAY(F427,2),0):A427)),IF(AND('депозитный калькулятор'!$G$10="еженедельное, на минимальную сумму зафиксированную в течение недели",F427='депозитный калькулятор'!$D$8,WEEKDAY(F427,2)&lt;&gt;7),MIN(OFFSET(H427,-WEEKDAY(F427,2),0):H427)*(COUNTIF(OFFSET(H427,-WEEKDAY(F427,2)+1,0):H427,"&gt;0")+SUM(OFFSET(A427,-WEEKDAY(F427,2),0):A427)),IF(AND('депозитный калькулятор'!$G$10="ежемесячное (в конце месяца)",F427='депозитный калькулятор'!$D$8,EOMONTH(F427,0)&lt;&gt;F427),IF('депозитный калькулятор'!$F$1=1,$H$24,SUM($H$23:H427)-SUM($I$23:I426)),IF(AND('депозитный калькулятор'!$G$10="ежемесячное (в конце месяца)",EOMONTH(F427,0)=F427),SUM($H$23:H427)-SUM($I$23:I426),IF(AND('депозитный калькулятор'!$G$10="ежемесячное (по дням открытия вклада)",F427='депозитный калькулятор'!$D$8,DAY('депозитный калькулятор'!$D$7)&lt;&gt;DAY(F427)),IF('депозитный калькулятор'!$F$1=1,$H$24,SUM($H$23:H427)-SUM($I$23:I426)),IF(AND('депозитный калькулятор'!$G$10="ежемесячное (по дням открытия вклада)",DAY('депозитный калькулятор'!$D$7)=DAY(F427)),SUM($H$23:H427)-SUM($I$23:I426),IF(AND('депозитный калькулятор'!$G$10="ежемесячное, на минимальную сумму зафиксированную в течение месяца",F427='депозитный калькулятор'!$D$8,EOMONTH(F427,0)&lt;&gt;F427),IF('депозитный калькулятор'!$F$1=1,$H$24,IF(AND(OR('депозитный калькулятор'!$G$7="30/365",'депозитный калькулятор'!$G$7="30/360"),DAY(F427)=31),0,MIN(OFFSET(H427,-E427+1,0):H427)*(E427+SUMIF(OFFSET(A427,-E427+1,0):A427,"=2",OFFSET(A427,-E427+1,0):A427)))),IF(AND('депозитный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калькулятор'!$G$7="30/360"),DAY(EOMONTH(F427,0))=31),EOMONTH(F427,0)-1=F427,EOMONTH(F427,0)=F427)),IF(IF(AND(OR('депозитный калькулятор'!$G$7="30/365",'депозитный калькулятор'!$G$7="30/360"),DAY(EOMONTH($F$23,0))=31),F427=EOMONTH($F$23,0)-1,F427=EOMONTH($F$23,0)),MIN(OFFSET(H427,-(DAY(F427)-DAY($F$23)),0):H427)*E427,MIN(OFFSET(H427,-(DAY(F427)-1),0):H427)*IF(AND(OR('депозитный калькулятор'!$G$7="30/365",'депозитный калькулятор'!$G$7="30/360"),DAY(F427)&lt;30),30,DAY(F427))),IF(AND('депозитный калькулятор'!$G$10="ежемесячное, на средний остаток в течение месяца, при условии что остаток больше чем ограничение",F427='депозитный калькулятор'!$D$8,EOMONTH(F427,0)&lt;&gt;F427),IF('депозитный калькулятор'!$F$1=1,$H$24,SUM(OFFSET(Q427,-E427+1,0):Q427)),IF(AND('депозитный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калькулятор'!$G$7="30/360"),DAY(EOMONTH(F427,0))=31),EOMONTH(F427,0)-1=F427,EOMONTH(F427,0)=F427)),IF(IF(AND(OR('депозитный калькулятор'!$G$7="30/365",'депозитный калькулятор'!$G$7="30/360"),DAY(EOMONTH($F$24,0))=31),F427=EOMONTH($F$24,0)-1,F427=EOMONTH($F$24,0)),SUM(OFFSET(Q427,-E427+1,0):Q427),SUM(OFFSET(Q427,-E427+1,0):Q427)),IF('депозитный калькулятор'!$G$10="ежеквартальное",IF(F427&gt;'депозитный калькулятор'!$D$8," ",IF(AND(EOMONTH(F427,0)=F427,OR(MONTH(F427)=3,MONTH(F427)=6,MONTH(F427)=9,MONTH(F427)=12)),IF(EDATE(F427,-3)&lt;'депозитный калькулятор'!$D$7,SUM($H$23:H427),IF(MOD(YEAR(F427),4)=0,IF(AND(EOMONTH(F427,0)=F427,OR(MONTH(F427)=3,MONTH(F427)=6)),SUM(OFFSET(H427,-90,0):H427),IF(AND(EOMONTH(F427,0)=F427,OR(MONTH(F427)=9,MONTH(F427)=12)),SUM(OFFSET(H427,-91,0):H427))),IF(AND(EOMONTH(F427,0)=F427,MONTH(F427)=3),SUM(OFFSET(H427,-89,0):H427),IF(AND(EOMONTH(F427,0)=F427,MONTH(F427)=6),SUM(OFFSET(H427,-90,0):H427),IF(AND(EOMONTH(F427,0)=F427,OR(MONTH(F427)=9,MONTH(F427)=12)),SUM(OFFSET(H427,-91,0):H427)))))),IF(F427='депозитный калькулятор'!$D$8,SUM($H$23:H427)-SUM($I$23:I426),0))),IF('депозитный калькулятор'!$G$10="ежегодное",IF(F427&gt;'депозитный калькулятор'!$D$8," ",IF(F427='депозитный калькулятор'!$D$8,SUM($H$23:H427)-SUM($I$23:I426),IF(AND(EOMONTH(F427,0)=F427,MONTH(F427)=12),IF(MOD(YEAR(F426),4)=0,IF(F427-'депозитный калькулятор'!$D$7&lt;366,SUM($H$23:H427),SUM(OFFSET(H427,-365,0):H427)),IF(F427-'депозитный калькулятор'!$D$7&lt;365,SUM($H$23:H427),SUM(OFFSET(H427,-364,0):H427))),0))),IF(AND('депозитный калькулятор'!$G$10="в конце срока",'депозитный калькулятор'!$D$8=F427),SUM($H$23:H427),0))))))))))))))))))</f>
        <v xml:space="preserve"> </v>
      </c>
      <c r="J427" s="59" t="str">
        <f>IF(F427&gt;'депозитный калькулятор'!$D$8," ",IF('депозитный калькулятор'!$G$16="нет",0,IF(AND('депозитный калькулятор'!$G$17="разовая (в конце срока)",F427='депозитный калькулятор'!$D$8),'депозитный калькулятор'!$G$18,IF(AND('депозитный калькулятор'!$G$17="ежемесячная",EOMONTH(F426,0)=F426),'депозитный калькулятор'!$G$18,IF(AND('депозитный калькулятор'!$G$17="ежегодная",DAY(F426)=31,MONTH(F426)=12),'депозитный калькулятор'!$G$18,IF(AND('депозитный калькулятор'!$G$17="ежемесячная в зависимости от остатка",EOMONTH(F426,0)=F426,P426&gt;0),'депозитный калькулятор'!$G$18,IF(AND('депозитный калькулятор'!$G$17="ежегодная в зависимости от остатка",DAY(F426)=31,MONTH(F426)=12,P426&gt;0),'депозитный калькулятор'!$G$18,0)))))))</f>
        <v xml:space="preserve"> </v>
      </c>
      <c r="K427" s="135" t="str">
        <f>IF($F427=" "," ",IFERROR(VLOOKUP($F427,'депозитный калькулятор'!$B$26:$F$70,2,0),0))</f>
        <v xml:space="preserve"> </v>
      </c>
      <c r="L427" s="135" t="str">
        <f>IF($F427=" "," ",IFERROR(VLOOKUP($F427,'депозитный калькулятор'!$B$26:$F$70,3,0),0))</f>
        <v xml:space="preserve"> </v>
      </c>
      <c r="M427" s="135" t="str">
        <f>IF($F427=" "," ",IFERROR(VLOOKUP($F427,'депозитный калькулятор'!$B$26:$F$70,4,0),0))</f>
        <v xml:space="preserve"> </v>
      </c>
      <c r="N427" s="135" t="str">
        <f>IF($F427=" "," ",IFERROR(VLOOKUP($F427,'депозитный калькулятор'!$B$26:$F$70,5,0),0))</f>
        <v xml:space="preserve"> </v>
      </c>
      <c r="O427" s="146" t="str">
        <f>IF(F427&gt;'депозитный калькулятор'!$D$8," ",IF(F427='депозитный калькулятор'!$D$8,IF(AND($F$24='депозитный калькулятор'!$D$8,'депозитный калькулятор'!$G$13="нет"),-G427-IF(I427=" ",0,I427)-IF(AND(OR('депозитный калькулятор'!$G$7="30/365",'депозитный калькулятор'!$G$7="30/360"),'депозитный калькулятор'!$G$10="в начале срока"),I426,0)-L427+M427-N427,-G427-IF(I427=" ",0,I427)-L427+M427-N427),IF('депозитный калькулятор'!$G$13="есть",M427-N427+IF('депозитный калькулятор'!$G$14="есть",0,-L427),-IF(I427=" ",0,I427)-IF(AND(OR('депозитный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срока"),I426,0)+M427-N427+IF('депозитный калькулятор'!$G$14="есть",0,-L427))))</f>
        <v xml:space="preserve"> </v>
      </c>
      <c r="P427" s="147" t="str">
        <f>IF(F427&gt;'депозитный калькулятор'!$D$8," ",IF(EOMONTH(F426,0)=F426,0,IF(G427&gt;='депозитный калькулятор'!$G$19,P426,P426+1)))</f>
        <v xml:space="preserve"> </v>
      </c>
      <c r="Q427" s="138" t="str">
        <f>IF(F427=" "," ",IF(AND(OR('депозитный калькулятор'!$G$7="30/365",'депозитный калькулятор'!$G$7="30/360"),AND(MONTH(F427)=2,EOMONTH(F427,0)=F427)),IF(DAY(F427)=28,3,2),1)*IF(G427&gt;='депозитный калькулятор'!$G$11,IF(AND('депозитный калькулятор'!$G$7="факт/факт",MOD(YEAR(F427),4)=0),G427*'депозитный калькулятор'!$D$11/366,G427*'депозитный калькулятор'!$G$8),0))</f>
        <v xml:space="preserve"> </v>
      </c>
      <c r="R427" s="158"/>
      <c r="S427" s="62" t="str">
        <f t="shared" ca="1" si="32"/>
        <v xml:space="preserve"> </v>
      </c>
      <c r="T427" s="149" t="str">
        <f ca="1">IF(S427=" "," ",IF('депозитный калькулятор'!$G$7="30/360",DAYS360(U426,IF(DAY(U427)=31,U427-1,U427))+IF(AND(MONTH(U427)=2,U427=EOMONTH(U427,0)),30-DAY(EOMONTH(U427,0)))+T426,VLOOKUP(S427,$C$22:$F$1023,2,0)))</f>
        <v xml:space="preserve"> </v>
      </c>
      <c r="U427" s="64" t="str">
        <f t="shared" ca="1" si="30"/>
        <v xml:space="preserve"> </v>
      </c>
      <c r="V427" s="150" t="str">
        <f t="shared" ca="1" si="33"/>
        <v xml:space="preserve"> </v>
      </c>
      <c r="W427" s="62" t="str">
        <f t="shared" ca="1" si="34"/>
        <v xml:space="preserve"> </v>
      </c>
      <c r="X427" s="141" t="str">
        <f ca="1">IF(S427=" "," ",IFERROR(VLOOKUP(U427,$F$23:$N$1023,7)+VLOOKUP(U427,$F$23:$N$1023,9)+IF(AND('депозитный калькулятор'!$G$13="нет",U427&lt;&gt;'депозитный калькулятор'!$D$8),VLOOKUP(U427,$F$23:$N$1023,4),0),0)+IF(U427='депозитный калькулятор'!$D$8,VLOOKUP(U427,$F$23:$N$1023,2)+VLOOKUP(U427,$F$23:$N$1023,4),0))</f>
        <v xml:space="preserve"> </v>
      </c>
      <c r="Y427" s="142" t="str">
        <f ca="1">IF(S427=" "," ",W427/(1+'депозитный калькулятор'!$K$8)^(T427/IF('депозитный калькулятор'!$G$7="30/360",360,365)))</f>
        <v xml:space="preserve"> </v>
      </c>
      <c r="Z427" s="142" t="str">
        <f ca="1">IF(S427=" "," ",X427/(1+'депозитный калькулятор'!$K$8)^(T427/IF('депозитный калькулятор'!$G$7="30/360",360,365)))</f>
        <v xml:space="preserve"> </v>
      </c>
      <c r="AA427" s="151"/>
      <c r="AB427" s="151"/>
      <c r="AC427" s="155"/>
      <c r="AD427" s="155"/>
    </row>
    <row r="428" spans="1:30" s="2" customFormat="1" ht="15.5" x14ac:dyDescent="0.35">
      <c r="A428" s="41" t="str">
        <f>IF(F428=" "," ",IF(OR('депозитный калькулятор'!$G$7="30/365",'депозитный калькулятор'!$G$7="30/360"),IF(AND(MONTH(F428)=2,DAY(F428)=DAY(EOMONTH(F428,0))),30-DAY(EOMONTH(F428,0)),IF(DAY(F428)=31,1," "))," "))</f>
        <v xml:space="preserve"> </v>
      </c>
      <c r="B428" s="130" t="str">
        <f t="shared" si="31"/>
        <v xml:space="preserve"> </v>
      </c>
      <c r="C428" s="130" t="str">
        <f>IF(OR(B428=0,B428=" ")," ",SUM($B$23:B428))</f>
        <v xml:space="preserve"> </v>
      </c>
      <c r="D428" s="62" t="str">
        <f>IF(D427=" "," ",IF(OR(F427='депозитный калькулятор'!$D$8,F427=" ")," ",D427+1))</f>
        <v xml:space="preserve"> </v>
      </c>
      <c r="E428" s="130" t="str">
        <f>IF(OR(F427='депозитный калькулятор'!$D$8,F427=" ")," ",IF(EOMONTH(F427,0)=F427,1,E427+1))</f>
        <v xml:space="preserve"> </v>
      </c>
      <c r="F428" s="64" t="str">
        <f>IF(F427=" "," ",IF(F427='депозитный калькулятор'!$D$8," ",F427+1))</f>
        <v xml:space="preserve"> </v>
      </c>
      <c r="G428" s="145" t="str">
        <f xml:space="preserve"> IF(F428&gt;'депозитный калькулятор'!$D$8," ",IF('депозитный калькулятор'!$G$13="есть",IF('депозитный калькулятор'!$G$14="есть",G427+IF(I427=" ",0,I427)-J428-K428+L428+M428-N428,G427+IF(I427=" ",0,I427)-J428-K428+M428-N428),IF('депозитный калькулятор'!$G$14="есть",G427-J428-K428+L428+M428-N428,G427-J428-K428+M428-N428)))</f>
        <v xml:space="preserve"> </v>
      </c>
      <c r="H428" s="133" t="str">
        <f>IF(F428&gt;'депозитный калькулятор'!$D$8," ",IF(AND(OR('депозитный калькулятор'!$G$7="30/365",'депозитный калькулятор'!$G$7="30/360"),AND(MONTH(F428)=2,EOMONTH(F428,0)=F428)),IF(DAY(F428)=28,3*G428*'депозитный калькулятор'!$G$8,2*G428*'депозитный калькулятор'!$G$8),IF(AND(OR('депозитный калькулятор'!$G$7="30/365",'депозитный калькулятор'!$G$7="30/360"),DAY(F428)=31)," ",IF(AND('депозитный калькулятор'!$G$7="факт/факт",MOD(YEAR(F428),4)=0),G428*'депозитный калькулятор'!$D$11/366,G428*'депозитный калькулятор'!$G$8))))</f>
        <v xml:space="preserve"> </v>
      </c>
      <c r="I428" s="134" t="str">
        <f ca="1">IF(F428=" "," ",IF('депозитный калькулятор'!$G$10="ежедневное",H428,IF(AND('депозитный калькулятор'!$G$10="еженедельное",WEEKDAY(F428,2)=7),SUM(OFFSET(H428,-6,0):H428),IF(AND('депозитный калькулятор'!$G$10="еженедельное",F428='депозитный калькулятор'!$D$8),SUM($H$23:H428)-SUM($I$23:I427),IF(AND('депозитный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недели",WEEKDAY(F428,2)=7),MIN(OFFSET(H428,-6,0):H428)*(COUNTIF(OFFSET(H428,-6,0):H428,"&gt;0")+SUMIF(OFFSET(A428,-WEEKDAY(F428,2),0):A428,"=2",OFFSET(A428,-WEEKDAY(F428,2),0):A428)),IF(AND('депозитный калькулятор'!$G$10="еженедельное, на минимальную сумму зафиксированную в течение недели",F428='депозитный калькулятор'!$D$8,WEEKDAY(F428,2)&lt;&gt;7),MIN(OFFSET(H428,-WEEKDAY(F428,2),0):H428)*(COUNTIF(OFFSET(H428,-WEEKDAY(F428,2)+1,0):H428,"&gt;0")+SUM(OFFSET(A428,-WEEKDAY(F428,2),0):A428)),IF(AND('депозитный калькулятор'!$G$10="ежемесячное (в конце месяца)",F428='депозитный калькулятор'!$D$8,EOMONTH(F428,0)&lt;&gt;F428),IF('депозитный калькулятор'!$F$1=1,$H$24,SUM($H$23:H428)-SUM($I$23:I427)),IF(AND('депозитный калькулятор'!$G$10="ежемесячное (в конце месяца)",EOMONTH(F428,0)=F428),SUM($H$23:H428)-SUM($I$23:I427),IF(AND('депозитный калькулятор'!$G$10="ежемесячное (по дням открытия вклада)",F428='депозитный калькулятор'!$D$8,DAY('депозитный калькулятор'!$D$7)&lt;&gt;DAY(F428)),IF('депозитный калькулятор'!$F$1=1,$H$24,SUM($H$23:H428)-SUM($I$23:I427)),IF(AND('депозитный калькулятор'!$G$10="ежемесячное (по дням открытия вклада)",DAY('депозитный калькулятор'!$D$7)=DAY(F428)),SUM($H$23:H428)-SUM($I$23:I427),IF(AND('депозитный калькулятор'!$G$10="ежемесячное, на минимальную сумму зафиксированную в течение месяца",F428='депозитный калькулятор'!$D$8,EOMONTH(F428,0)&lt;&gt;F428),IF('депозитный калькулятор'!$F$1=1,$H$24,IF(AND(OR('депозитный калькулятор'!$G$7="30/365",'депозитный калькулятор'!$G$7="30/360"),DAY(F428)=31),0,MIN(OFFSET(H428,-E428+1,0):H428)*(E428+SUMIF(OFFSET(A428,-E428+1,0):A428,"=2",OFFSET(A428,-E428+1,0):A428)))),IF(AND('депозитный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калькулятор'!$G$7="30/360"),DAY(EOMONTH(F428,0))=31),EOMONTH(F428,0)-1=F428,EOMONTH(F428,0)=F428)),IF(IF(AND(OR('депозитный калькулятор'!$G$7="30/365",'депозитный калькулятор'!$G$7="30/360"),DAY(EOMONTH($F$23,0))=31),F428=EOMONTH($F$23,0)-1,F428=EOMONTH($F$23,0)),MIN(OFFSET(H428,-(DAY(F428)-DAY($F$23)),0):H428)*E428,MIN(OFFSET(H428,-(DAY(F428)-1),0):H428)*IF(AND(OR('депозитный калькулятор'!$G$7="30/365",'депозитный калькулятор'!$G$7="30/360"),DAY(F428)&lt;30),30,DAY(F428))),IF(AND('депозитный калькулятор'!$G$10="ежемесячное, на средний остаток в течение месяца, при условии что остаток больше чем ограничение",F428='депозитный калькулятор'!$D$8,EOMONTH(F428,0)&lt;&gt;F428),IF('депозитный калькулятор'!$F$1=1,$H$24,SUM(OFFSET(Q428,-E428+1,0):Q428)),IF(AND('депозитный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калькулятор'!$G$7="30/360"),DAY(EOMONTH(F428,0))=31),EOMONTH(F428,0)-1=F428,EOMONTH(F428,0)=F428)),IF(IF(AND(OR('депозитный калькулятор'!$G$7="30/365",'депозитный калькулятор'!$G$7="30/360"),DAY(EOMONTH($F$24,0))=31),F428=EOMONTH($F$24,0)-1,F428=EOMONTH($F$24,0)),SUM(OFFSET(Q428,-E428+1,0):Q428),SUM(OFFSET(Q428,-E428+1,0):Q428)),IF('депозитный калькулятор'!$G$10="ежеквартальное",IF(F428&gt;'депозитный калькулятор'!$D$8," ",IF(AND(EOMONTH(F428,0)=F428,OR(MONTH(F428)=3,MONTH(F428)=6,MONTH(F428)=9,MONTH(F428)=12)),IF(EDATE(F428,-3)&lt;'депозитный калькулятор'!$D$7,SUM($H$23:H428),IF(MOD(YEAR(F428),4)=0,IF(AND(EOMONTH(F428,0)=F428,OR(MONTH(F428)=3,MONTH(F428)=6)),SUM(OFFSET(H428,-90,0):H428),IF(AND(EOMONTH(F428,0)=F428,OR(MONTH(F428)=9,MONTH(F428)=12)),SUM(OFFSET(H428,-91,0):H428))),IF(AND(EOMONTH(F428,0)=F428,MONTH(F428)=3),SUM(OFFSET(H428,-89,0):H428),IF(AND(EOMONTH(F428,0)=F428,MONTH(F428)=6),SUM(OFFSET(H428,-90,0):H428),IF(AND(EOMONTH(F428,0)=F428,OR(MONTH(F428)=9,MONTH(F428)=12)),SUM(OFFSET(H428,-91,0):H428)))))),IF(F428='депозитный калькулятор'!$D$8,SUM($H$23:H428)-SUM($I$23:I427),0))),IF('депозитный калькулятор'!$G$10="ежегодное",IF(F428&gt;'депозитный калькулятор'!$D$8," ",IF(F428='депозитный калькулятор'!$D$8,SUM($H$23:H428)-SUM($I$23:I427),IF(AND(EOMONTH(F428,0)=F428,MONTH(F428)=12),IF(MOD(YEAR(F427),4)=0,IF(F428-'депозитный калькулятор'!$D$7&lt;366,SUM($H$23:H428),SUM(OFFSET(H428,-365,0):H428)),IF(F428-'депозитный калькулятор'!$D$7&lt;365,SUM($H$23:H428),SUM(OFFSET(H428,-364,0):H428))),0))),IF(AND('депозитный калькулятор'!$G$10="в конце срока",'депозитный калькулятор'!$D$8=F428),SUM($H$23:H428),0))))))))))))))))))</f>
        <v xml:space="preserve"> </v>
      </c>
      <c r="J428" s="59" t="str">
        <f>IF(F428&gt;'депозитный калькулятор'!$D$8," ",IF('депозитный калькулятор'!$G$16="нет",0,IF(AND('депозитный калькулятор'!$G$17="разовая (в конце срока)",F428='депозитный калькулятор'!$D$8),'депозитный калькулятор'!$G$18,IF(AND('депозитный калькулятор'!$G$17="ежемесячная",EOMONTH(F427,0)=F427),'депозитный калькулятор'!$G$18,IF(AND('депозитный калькулятор'!$G$17="ежегодная",DAY(F427)=31,MONTH(F427)=12),'депозитный калькулятор'!$G$18,IF(AND('депозитный калькулятор'!$G$17="ежемесячная в зависимости от остатка",EOMONTH(F427,0)=F427,P427&gt;0),'депозитный калькулятор'!$G$18,IF(AND('депозитный калькулятор'!$G$17="ежегодная в зависимости от остатка",DAY(F427)=31,MONTH(F427)=12,P427&gt;0),'депозитный калькулятор'!$G$18,0)))))))</f>
        <v xml:space="preserve"> </v>
      </c>
      <c r="K428" s="135" t="str">
        <f>IF($F428=" "," ",IFERROR(VLOOKUP($F428,'депозитный калькулятор'!$B$26:$F$70,2,0),0))</f>
        <v xml:space="preserve"> </v>
      </c>
      <c r="L428" s="135" t="str">
        <f>IF($F428=" "," ",IFERROR(VLOOKUP($F428,'депозитный калькулятор'!$B$26:$F$70,3,0),0))</f>
        <v xml:space="preserve"> </v>
      </c>
      <c r="M428" s="135" t="str">
        <f>IF($F428=" "," ",IFERROR(VLOOKUP($F428,'депозитный калькулятор'!$B$26:$F$70,4,0),0))</f>
        <v xml:space="preserve"> </v>
      </c>
      <c r="N428" s="135" t="str">
        <f>IF($F428=" "," ",IFERROR(VLOOKUP($F428,'депозитный калькулятор'!$B$26:$F$70,5,0),0))</f>
        <v xml:space="preserve"> </v>
      </c>
      <c r="O428" s="146" t="str">
        <f>IF(F428&gt;'депозитный калькулятор'!$D$8," ",IF(F428='депозитный калькулятор'!$D$8,IF(AND($F$24='депозитный калькулятор'!$D$8,'депозитный калькулятор'!$G$13="нет"),-G428-IF(I428=" ",0,I428)-IF(AND(OR('депозитный калькулятор'!$G$7="30/365",'депозитный калькулятор'!$G$7="30/360"),'депозитный калькулятор'!$G$10="в начале срока"),I427,0)-L428+M428-N428,-G428-IF(I428=" ",0,I428)-L428+M428-N428),IF('депозитный калькулятор'!$G$13="есть",M428-N428+IF('депозитный калькулятор'!$G$14="есть",0,-L428),-IF(I428=" ",0,I428)-IF(AND(OR('депозитный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срока"),I427,0)+M428-N428+IF('депозитный калькулятор'!$G$14="есть",0,-L428))))</f>
        <v xml:space="preserve"> </v>
      </c>
      <c r="P428" s="147" t="str">
        <f>IF(F428&gt;'депозитный калькулятор'!$D$8," ",IF(EOMONTH(F427,0)=F427,0,IF(G428&gt;='депозитный калькулятор'!$G$19,P427,P427+1)))</f>
        <v xml:space="preserve"> </v>
      </c>
      <c r="Q428" s="138" t="str">
        <f>IF(F428=" "," ",IF(AND(OR('депозитный калькулятор'!$G$7="30/365",'депозитный калькулятор'!$G$7="30/360"),AND(MONTH(F428)=2,EOMONTH(F428,0)=F428)),IF(DAY(F428)=28,3,2),1)*IF(G428&gt;='депозитный калькулятор'!$G$11,IF(AND('депозитный калькулятор'!$G$7="факт/факт",MOD(YEAR(F428),4)=0),G428*'депозитный калькулятор'!$D$11/366,G428*'депозитный калькулятор'!$G$8),0))</f>
        <v xml:space="preserve"> </v>
      </c>
      <c r="R428" s="158"/>
      <c r="S428" s="62" t="str">
        <f t="shared" ca="1" si="32"/>
        <v xml:space="preserve"> </v>
      </c>
      <c r="T428" s="149" t="str">
        <f ca="1">IF(S428=" "," ",IF('депозитный калькулятор'!$G$7="30/360",DAYS360(U427,IF(DAY(U428)=31,U428-1,U428))+IF(AND(MONTH(U428)=2,U428=EOMONTH(U428,0)),30-DAY(EOMONTH(U428,0)))+T427,VLOOKUP(S428,$C$22:$F$1023,2,0)))</f>
        <v xml:space="preserve"> </v>
      </c>
      <c r="U428" s="64" t="str">
        <f t="shared" ca="1" si="30"/>
        <v xml:space="preserve"> </v>
      </c>
      <c r="V428" s="150" t="str">
        <f t="shared" ca="1" si="33"/>
        <v xml:space="preserve"> </v>
      </c>
      <c r="W428" s="62" t="str">
        <f t="shared" ca="1" si="34"/>
        <v xml:space="preserve"> </v>
      </c>
      <c r="X428" s="141" t="str">
        <f ca="1">IF(S428=" "," ",IFERROR(VLOOKUP(U428,$F$23:$N$1023,7)+VLOOKUP(U428,$F$23:$N$1023,9)+IF(AND('депозитный калькулятор'!$G$13="нет",U428&lt;&gt;'депозитный калькулятор'!$D$8),VLOOKUP(U428,$F$23:$N$1023,4),0),0)+IF(U428='депозитный калькулятор'!$D$8,VLOOKUP(U428,$F$23:$N$1023,2)+VLOOKUP(U428,$F$23:$N$1023,4),0))</f>
        <v xml:space="preserve"> </v>
      </c>
      <c r="Y428" s="142" t="str">
        <f ca="1">IF(S428=" "," ",W428/(1+'депозитный калькулятор'!$K$8)^(T428/IF('депозитный калькулятор'!$G$7="30/360",360,365)))</f>
        <v xml:space="preserve"> </v>
      </c>
      <c r="Z428" s="142" t="str">
        <f ca="1">IF(S428=" "," ",X428/(1+'депозитный калькулятор'!$K$8)^(T428/IF('депозитный калькулятор'!$G$7="30/360",360,365)))</f>
        <v xml:space="preserve"> </v>
      </c>
      <c r="AA428" s="151"/>
      <c r="AB428" s="151"/>
      <c r="AC428" s="155"/>
      <c r="AD428" s="155"/>
    </row>
    <row r="429" spans="1:30" s="2" customFormat="1" ht="15.5" x14ac:dyDescent="0.35">
      <c r="A429" s="41" t="str">
        <f>IF(F429=" "," ",IF(OR('депозитный калькулятор'!$G$7="30/365",'депозитный калькулятор'!$G$7="30/360"),IF(AND(MONTH(F429)=2,DAY(F429)=DAY(EOMONTH(F429,0))),30-DAY(EOMONTH(F429,0)),IF(DAY(F429)=31,1," "))," "))</f>
        <v xml:space="preserve"> </v>
      </c>
      <c r="B429" s="130" t="str">
        <f t="shared" si="31"/>
        <v xml:space="preserve"> </v>
      </c>
      <c r="C429" s="130" t="str">
        <f>IF(OR(B429=0,B429=" ")," ",SUM($B$23:B429))</f>
        <v xml:space="preserve"> </v>
      </c>
      <c r="D429" s="62" t="str">
        <f>IF(D428=" "," ",IF(OR(F428='депозитный калькулятор'!$D$8,F428=" ")," ",D428+1))</f>
        <v xml:space="preserve"> </v>
      </c>
      <c r="E429" s="130" t="str">
        <f>IF(OR(F428='депозитный калькулятор'!$D$8,F428=" ")," ",IF(EOMONTH(F428,0)=F428,1,E428+1))</f>
        <v xml:space="preserve"> </v>
      </c>
      <c r="F429" s="64" t="str">
        <f>IF(F428=" "," ",IF(F428='депозитный калькулятор'!$D$8," ",F428+1))</f>
        <v xml:space="preserve"> </v>
      </c>
      <c r="G429" s="145" t="str">
        <f xml:space="preserve"> IF(F429&gt;'депозитный калькулятор'!$D$8," ",IF('депозитный калькулятор'!$G$13="есть",IF('депозитный калькулятор'!$G$14="есть",G428+IF(I428=" ",0,I428)-J429-K429+L429+M429-N429,G428+IF(I428=" ",0,I428)-J429-K429+M429-N429),IF('депозитный калькулятор'!$G$14="есть",G428-J429-K429+L429+M429-N429,G428-J429-K429+M429-N429)))</f>
        <v xml:space="preserve"> </v>
      </c>
      <c r="H429" s="133" t="str">
        <f>IF(F429&gt;'депозитный калькулятор'!$D$8," ",IF(AND(OR('депозитный калькулятор'!$G$7="30/365",'депозитный калькулятор'!$G$7="30/360"),AND(MONTH(F429)=2,EOMONTH(F429,0)=F429)),IF(DAY(F429)=28,3*G429*'депозитный калькулятор'!$G$8,2*G429*'депозитный калькулятор'!$G$8),IF(AND(OR('депозитный калькулятор'!$G$7="30/365",'депозитный калькулятор'!$G$7="30/360"),DAY(F429)=31)," ",IF(AND('депозитный калькулятор'!$G$7="факт/факт",MOD(YEAR(F429),4)=0),G429*'депозитный калькулятор'!$D$11/366,G429*'депозитный калькулятор'!$G$8))))</f>
        <v xml:space="preserve"> </v>
      </c>
      <c r="I429" s="134" t="str">
        <f ca="1">IF(F429=" "," ",IF('депозитный калькулятор'!$G$10="ежедневное",H429,IF(AND('депозитный калькулятор'!$G$10="еженедельное",WEEKDAY(F429,2)=7),SUM(OFFSET(H429,-6,0):H429),IF(AND('депозитный калькулятор'!$G$10="еженедельное",F429='депозитный калькулятор'!$D$8),SUM($H$23:H429)-SUM($I$23:I428),IF(AND('депозитный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недели",WEEKDAY(F429,2)=7),MIN(OFFSET(H429,-6,0):H429)*(COUNTIF(OFFSET(H429,-6,0):H429,"&gt;0")+SUMIF(OFFSET(A429,-WEEKDAY(F429,2),0):A429,"=2",OFFSET(A429,-WEEKDAY(F429,2),0):A429)),IF(AND('депозитный калькулятор'!$G$10="еженедельное, на минимальную сумму зафиксированную в течение недели",F429='депозитный калькулятор'!$D$8,WEEKDAY(F429,2)&lt;&gt;7),MIN(OFFSET(H429,-WEEKDAY(F429,2),0):H429)*(COUNTIF(OFFSET(H429,-WEEKDAY(F429,2)+1,0):H429,"&gt;0")+SUM(OFFSET(A429,-WEEKDAY(F429,2),0):A429)),IF(AND('депозитный калькулятор'!$G$10="ежемесячное (в конце месяца)",F429='депозитный калькулятор'!$D$8,EOMONTH(F429,0)&lt;&gt;F429),IF('депозитный калькулятор'!$F$1=1,$H$24,SUM($H$23:H429)-SUM($I$23:I428)),IF(AND('депозитный калькулятор'!$G$10="ежемесячное (в конце месяца)",EOMONTH(F429,0)=F429),SUM($H$23:H429)-SUM($I$23:I428),IF(AND('депозитный калькулятор'!$G$10="ежемесячное (по дням открытия вклада)",F429='депозитный калькулятор'!$D$8,DAY('депозитный калькулятор'!$D$7)&lt;&gt;DAY(F429)),IF('депозитный калькулятор'!$F$1=1,$H$24,SUM($H$23:H429)-SUM($I$23:I428)),IF(AND('депозитный калькулятор'!$G$10="ежемесячное (по дням открытия вклада)",DAY('депозитный калькулятор'!$D$7)=DAY(F429)),SUM($H$23:H429)-SUM($I$23:I428),IF(AND('депозитный калькулятор'!$G$10="ежемесячное, на минимальную сумму зафиксированную в течение месяца",F429='депозитный калькулятор'!$D$8,EOMONTH(F429,0)&lt;&gt;F429),IF('депозитный калькулятор'!$F$1=1,$H$24,IF(AND(OR('депозитный калькулятор'!$G$7="30/365",'депозитный калькулятор'!$G$7="30/360"),DAY(F429)=31),0,MIN(OFFSET(H429,-E429+1,0):H429)*(E429+SUMIF(OFFSET(A429,-E429+1,0):A429,"=2",OFFSET(A429,-E429+1,0):A429)))),IF(AND('депозитный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калькулятор'!$G$7="30/360"),DAY(EOMONTH(F429,0))=31),EOMONTH(F429,0)-1=F429,EOMONTH(F429,0)=F429)),IF(IF(AND(OR('депозитный калькулятор'!$G$7="30/365",'депозитный калькулятор'!$G$7="30/360"),DAY(EOMONTH($F$23,0))=31),F429=EOMONTH($F$23,0)-1,F429=EOMONTH($F$23,0)),MIN(OFFSET(H429,-(DAY(F429)-DAY($F$23)),0):H429)*E429,MIN(OFFSET(H429,-(DAY(F429)-1),0):H429)*IF(AND(OR('депозитный калькулятор'!$G$7="30/365",'депозитный калькулятор'!$G$7="30/360"),DAY(F429)&lt;30),30,DAY(F429))),IF(AND('депозитный калькулятор'!$G$10="ежемесячное, на средний остаток в течение месяца, при условии что остаток больше чем ограничение",F429='депозитный калькулятор'!$D$8,EOMONTH(F429,0)&lt;&gt;F429),IF('депозитный калькулятор'!$F$1=1,$H$24,SUM(OFFSET(Q429,-E429+1,0):Q429)),IF(AND('депозитный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калькулятор'!$G$7="30/360"),DAY(EOMONTH(F429,0))=31),EOMONTH(F429,0)-1=F429,EOMONTH(F429,0)=F429)),IF(IF(AND(OR('депозитный калькулятор'!$G$7="30/365",'депозитный калькулятор'!$G$7="30/360"),DAY(EOMONTH($F$24,0))=31),F429=EOMONTH($F$24,0)-1,F429=EOMONTH($F$24,0)),SUM(OFFSET(Q429,-E429+1,0):Q429),SUM(OFFSET(Q429,-E429+1,0):Q429)),IF('депозитный калькулятор'!$G$10="ежеквартальное",IF(F429&gt;'депозитный калькулятор'!$D$8," ",IF(AND(EOMONTH(F429,0)=F429,OR(MONTH(F429)=3,MONTH(F429)=6,MONTH(F429)=9,MONTH(F429)=12)),IF(EDATE(F429,-3)&lt;'депозитный калькулятор'!$D$7,SUM($H$23:H429),IF(MOD(YEAR(F429),4)=0,IF(AND(EOMONTH(F429,0)=F429,OR(MONTH(F429)=3,MONTH(F429)=6)),SUM(OFFSET(H429,-90,0):H429),IF(AND(EOMONTH(F429,0)=F429,OR(MONTH(F429)=9,MONTH(F429)=12)),SUM(OFFSET(H429,-91,0):H429))),IF(AND(EOMONTH(F429,0)=F429,MONTH(F429)=3),SUM(OFFSET(H429,-89,0):H429),IF(AND(EOMONTH(F429,0)=F429,MONTH(F429)=6),SUM(OFFSET(H429,-90,0):H429),IF(AND(EOMONTH(F429,0)=F429,OR(MONTH(F429)=9,MONTH(F429)=12)),SUM(OFFSET(H429,-91,0):H429)))))),IF(F429='депозитный калькулятор'!$D$8,SUM($H$23:H429)-SUM($I$23:I428),0))),IF('депозитный калькулятор'!$G$10="ежегодное",IF(F429&gt;'депозитный калькулятор'!$D$8," ",IF(F429='депозитный калькулятор'!$D$8,SUM($H$23:H429)-SUM($I$23:I428),IF(AND(EOMONTH(F429,0)=F429,MONTH(F429)=12),IF(MOD(YEAR(F428),4)=0,IF(F429-'депозитный калькулятор'!$D$7&lt;366,SUM($H$23:H429),SUM(OFFSET(H429,-365,0):H429)),IF(F429-'депозитный калькулятор'!$D$7&lt;365,SUM($H$23:H429),SUM(OFFSET(H429,-364,0):H429))),0))),IF(AND('депозитный калькулятор'!$G$10="в конце срока",'депозитный калькулятор'!$D$8=F429),SUM($H$23:H429),0))))))))))))))))))</f>
        <v xml:space="preserve"> </v>
      </c>
      <c r="J429" s="59" t="str">
        <f>IF(F429&gt;'депозитный калькулятор'!$D$8," ",IF('депозитный калькулятор'!$G$16="нет",0,IF(AND('депозитный калькулятор'!$G$17="разовая (в конце срока)",F429='депозитный калькулятор'!$D$8),'депозитный калькулятор'!$G$18,IF(AND('депозитный калькулятор'!$G$17="ежемесячная",EOMONTH(F428,0)=F428),'депозитный калькулятор'!$G$18,IF(AND('депозитный калькулятор'!$G$17="ежегодная",DAY(F428)=31,MONTH(F428)=12),'депозитный калькулятор'!$G$18,IF(AND('депозитный калькулятор'!$G$17="ежемесячная в зависимости от остатка",EOMONTH(F428,0)=F428,P428&gt;0),'депозитный калькулятор'!$G$18,IF(AND('депозитный калькулятор'!$G$17="ежегодная в зависимости от остатка",DAY(F428)=31,MONTH(F428)=12,P428&gt;0),'депозитный калькулятор'!$G$18,0)))))))</f>
        <v xml:space="preserve"> </v>
      </c>
      <c r="K429" s="135" t="str">
        <f>IF($F429=" "," ",IFERROR(VLOOKUP($F429,'депозитный калькулятор'!$B$26:$F$70,2,0),0))</f>
        <v xml:space="preserve"> </v>
      </c>
      <c r="L429" s="135" t="str">
        <f>IF($F429=" "," ",IFERROR(VLOOKUP($F429,'депозитный калькулятор'!$B$26:$F$70,3,0),0))</f>
        <v xml:space="preserve"> </v>
      </c>
      <c r="M429" s="135" t="str">
        <f>IF($F429=" "," ",IFERROR(VLOOKUP($F429,'депозитный калькулятор'!$B$26:$F$70,4,0),0))</f>
        <v xml:space="preserve"> </v>
      </c>
      <c r="N429" s="135" t="str">
        <f>IF($F429=" "," ",IFERROR(VLOOKUP($F429,'депозитный калькулятор'!$B$26:$F$70,5,0),0))</f>
        <v xml:space="preserve"> </v>
      </c>
      <c r="O429" s="146" t="str">
        <f>IF(F429&gt;'депозитный калькулятор'!$D$8," ",IF(F429='депозитный калькулятор'!$D$8,IF(AND($F$24='депозитный калькулятор'!$D$8,'депозитный калькулятор'!$G$13="нет"),-G429-IF(I429=" ",0,I429)-IF(AND(OR('депозитный калькулятор'!$G$7="30/365",'депозитный калькулятор'!$G$7="30/360"),'депозитный калькулятор'!$G$10="в начале срока"),I428,0)-L429+M429-N429,-G429-IF(I429=" ",0,I429)-L429+M429-N429),IF('депозитный калькулятор'!$G$13="есть",M429-N429+IF('депозитный калькулятор'!$G$14="есть",0,-L429),-IF(I429=" ",0,I429)-IF(AND(OR('депозитный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срока"),I428,0)+M429-N429+IF('депозитный калькулятор'!$G$14="есть",0,-L429))))</f>
        <v xml:space="preserve"> </v>
      </c>
      <c r="P429" s="147" t="str">
        <f>IF(F429&gt;'депозитный калькулятор'!$D$8," ",IF(EOMONTH(F428,0)=F428,0,IF(G429&gt;='депозитный калькулятор'!$G$19,P428,P428+1)))</f>
        <v xml:space="preserve"> </v>
      </c>
      <c r="Q429" s="138" t="str">
        <f>IF(F429=" "," ",IF(AND(OR('депозитный калькулятор'!$G$7="30/365",'депозитный калькулятор'!$G$7="30/360"),AND(MONTH(F429)=2,EOMONTH(F429,0)=F429)),IF(DAY(F429)=28,3,2),1)*IF(G429&gt;='депозитный калькулятор'!$G$11,IF(AND('депозитный калькулятор'!$G$7="факт/факт",MOD(YEAR(F429),4)=0),G429*'депозитный калькулятор'!$D$11/366,G429*'депозитный калькулятор'!$G$8),0))</f>
        <v xml:space="preserve"> </v>
      </c>
      <c r="R429" s="158"/>
      <c r="S429" s="62" t="str">
        <f t="shared" ca="1" si="32"/>
        <v xml:space="preserve"> </v>
      </c>
      <c r="T429" s="149" t="str">
        <f ca="1">IF(S429=" "," ",IF('депозитный калькулятор'!$G$7="30/360",DAYS360(U428,IF(DAY(U429)=31,U429-1,U429))+IF(AND(MONTH(U429)=2,U429=EOMONTH(U429,0)),30-DAY(EOMONTH(U429,0)))+T428,VLOOKUP(S429,$C$22:$F$1023,2,0)))</f>
        <v xml:space="preserve"> </v>
      </c>
      <c r="U429" s="64" t="str">
        <f t="shared" ca="1" si="30"/>
        <v xml:space="preserve"> </v>
      </c>
      <c r="V429" s="150" t="str">
        <f t="shared" ca="1" si="33"/>
        <v xml:space="preserve"> </v>
      </c>
      <c r="W429" s="62" t="str">
        <f t="shared" ca="1" si="34"/>
        <v xml:space="preserve"> </v>
      </c>
      <c r="X429" s="141" t="str">
        <f ca="1">IF(S429=" "," ",IFERROR(VLOOKUP(U429,$F$23:$N$1023,7)+VLOOKUP(U429,$F$23:$N$1023,9)+IF(AND('депозитный калькулятор'!$G$13="нет",U429&lt;&gt;'депозитный калькулятор'!$D$8),VLOOKUP(U429,$F$23:$N$1023,4),0),0)+IF(U429='депозитный калькулятор'!$D$8,VLOOKUP(U429,$F$23:$N$1023,2)+VLOOKUP(U429,$F$23:$N$1023,4),0))</f>
        <v xml:space="preserve"> </v>
      </c>
      <c r="Y429" s="142" t="str">
        <f ca="1">IF(S429=" "," ",W429/(1+'депозитный калькулятор'!$K$8)^(T429/IF('депозитный калькулятор'!$G$7="30/360",360,365)))</f>
        <v xml:space="preserve"> </v>
      </c>
      <c r="Z429" s="142" t="str">
        <f ca="1">IF(S429=" "," ",X429/(1+'депозитный калькулятор'!$K$8)^(T429/IF('депозитный калькулятор'!$G$7="30/360",360,365)))</f>
        <v xml:space="preserve"> </v>
      </c>
      <c r="AA429" s="151"/>
      <c r="AB429" s="151"/>
      <c r="AC429" s="155"/>
      <c r="AD429" s="155"/>
    </row>
    <row r="430" spans="1:30" s="2" customFormat="1" ht="15.5" x14ac:dyDescent="0.35">
      <c r="A430" s="41" t="str">
        <f>IF(F430=" "," ",IF(OR('депозитный калькулятор'!$G$7="30/365",'депозитный калькулятор'!$G$7="30/360"),IF(AND(MONTH(F430)=2,DAY(F430)=DAY(EOMONTH(F430,0))),30-DAY(EOMONTH(F430,0)),IF(DAY(F430)=31,1," "))," "))</f>
        <v xml:space="preserve"> </v>
      </c>
      <c r="B430" s="130" t="str">
        <f t="shared" si="31"/>
        <v xml:space="preserve"> </v>
      </c>
      <c r="C430" s="130" t="str">
        <f>IF(OR(B430=0,B430=" ")," ",SUM($B$23:B430))</f>
        <v xml:space="preserve"> </v>
      </c>
      <c r="D430" s="62" t="str">
        <f>IF(D429=" "," ",IF(OR(F429='депозитный калькулятор'!$D$8,F429=" ")," ",D429+1))</f>
        <v xml:space="preserve"> </v>
      </c>
      <c r="E430" s="130" t="str">
        <f>IF(OR(F429='депозитный калькулятор'!$D$8,F429=" ")," ",IF(EOMONTH(F429,0)=F429,1,E429+1))</f>
        <v xml:space="preserve"> </v>
      </c>
      <c r="F430" s="64" t="str">
        <f>IF(F429=" "," ",IF(F429='депозитный калькулятор'!$D$8," ",F429+1))</f>
        <v xml:space="preserve"> </v>
      </c>
      <c r="G430" s="145" t="str">
        <f xml:space="preserve"> IF(F430&gt;'депозитный калькулятор'!$D$8," ",IF('депозитный калькулятор'!$G$13="есть",IF('депозитный калькулятор'!$G$14="есть",G429+IF(I429=" ",0,I429)-J430-K430+L430+M430-N430,G429+IF(I429=" ",0,I429)-J430-K430+M430-N430),IF('депозитный калькулятор'!$G$14="есть",G429-J430-K430+L430+M430-N430,G429-J430-K430+M430-N430)))</f>
        <v xml:space="preserve"> </v>
      </c>
      <c r="H430" s="133" t="str">
        <f>IF(F430&gt;'депозитный калькулятор'!$D$8," ",IF(AND(OR('депозитный калькулятор'!$G$7="30/365",'депозитный калькулятор'!$G$7="30/360"),AND(MONTH(F430)=2,EOMONTH(F430,0)=F430)),IF(DAY(F430)=28,3*G430*'депозитный калькулятор'!$G$8,2*G430*'депозитный калькулятор'!$G$8),IF(AND(OR('депозитный калькулятор'!$G$7="30/365",'депозитный калькулятор'!$G$7="30/360"),DAY(F430)=31)," ",IF(AND('депозитный калькулятор'!$G$7="факт/факт",MOD(YEAR(F430),4)=0),G430*'депозитный калькулятор'!$D$11/366,G430*'депозитный калькулятор'!$G$8))))</f>
        <v xml:space="preserve"> </v>
      </c>
      <c r="I430" s="134" t="str">
        <f ca="1">IF(F430=" "," ",IF('депозитный калькулятор'!$G$10="ежедневное",H430,IF(AND('депозитный калькулятор'!$G$10="еженедельное",WEEKDAY(F430,2)=7),SUM(OFFSET(H430,-6,0):H430),IF(AND('депозитный калькулятор'!$G$10="еженедельное",F430='депозитный калькулятор'!$D$8),SUM($H$23:H430)-SUM($I$23:I429),IF(AND('депозитный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недели",WEEKDAY(F430,2)=7),MIN(OFFSET(H430,-6,0):H430)*(COUNTIF(OFFSET(H430,-6,0):H430,"&gt;0")+SUMIF(OFFSET(A430,-WEEKDAY(F430,2),0):A430,"=2",OFFSET(A430,-WEEKDAY(F430,2),0):A430)),IF(AND('депозитный калькулятор'!$G$10="еженедельное, на минимальную сумму зафиксированную в течение недели",F430='депозитный калькулятор'!$D$8,WEEKDAY(F430,2)&lt;&gt;7),MIN(OFFSET(H430,-WEEKDAY(F430,2),0):H430)*(COUNTIF(OFFSET(H430,-WEEKDAY(F430,2)+1,0):H430,"&gt;0")+SUM(OFFSET(A430,-WEEKDAY(F430,2),0):A430)),IF(AND('депозитный калькулятор'!$G$10="ежемесячное (в конце месяца)",F430='депозитный калькулятор'!$D$8,EOMONTH(F430,0)&lt;&gt;F430),IF('депозитный калькулятор'!$F$1=1,$H$24,SUM($H$23:H430)-SUM($I$23:I429)),IF(AND('депозитный калькулятор'!$G$10="ежемесячное (в конце месяца)",EOMONTH(F430,0)=F430),SUM($H$23:H430)-SUM($I$23:I429),IF(AND('депозитный калькулятор'!$G$10="ежемесячное (по дням открытия вклада)",F430='депозитный калькулятор'!$D$8,DAY('депозитный калькулятор'!$D$7)&lt;&gt;DAY(F430)),IF('депозитный калькулятор'!$F$1=1,$H$24,SUM($H$23:H430)-SUM($I$23:I429)),IF(AND('депозитный калькулятор'!$G$10="ежемесячное (по дням открытия вклада)",DAY('депозитный калькулятор'!$D$7)=DAY(F430)),SUM($H$23:H430)-SUM($I$23:I429),IF(AND('депозитный калькулятор'!$G$10="ежемесячное, на минимальную сумму зафиксированную в течение месяца",F430='депозитный калькулятор'!$D$8,EOMONTH(F430,0)&lt;&gt;F430),IF('депозитный калькулятор'!$F$1=1,$H$24,IF(AND(OR('депозитный калькулятор'!$G$7="30/365",'депозитный калькулятор'!$G$7="30/360"),DAY(F430)=31),0,MIN(OFFSET(H430,-E430+1,0):H430)*(E430+SUMIF(OFFSET(A430,-E430+1,0):A430,"=2",OFFSET(A430,-E430+1,0):A430)))),IF(AND('депозитный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калькулятор'!$G$7="30/360"),DAY(EOMONTH(F430,0))=31),EOMONTH(F430,0)-1=F430,EOMONTH(F430,0)=F430)),IF(IF(AND(OR('депозитный калькулятор'!$G$7="30/365",'депозитный калькулятор'!$G$7="30/360"),DAY(EOMONTH($F$23,0))=31),F430=EOMONTH($F$23,0)-1,F430=EOMONTH($F$23,0)),MIN(OFFSET(H430,-(DAY(F430)-DAY($F$23)),0):H430)*E430,MIN(OFFSET(H430,-(DAY(F430)-1),0):H430)*IF(AND(OR('депозитный калькулятор'!$G$7="30/365",'депозитный калькулятор'!$G$7="30/360"),DAY(F430)&lt;30),30,DAY(F430))),IF(AND('депозитный калькулятор'!$G$10="ежемесячное, на средний остаток в течение месяца, при условии что остаток больше чем ограничение",F430='депозитный калькулятор'!$D$8,EOMONTH(F430,0)&lt;&gt;F430),IF('депозитный калькулятор'!$F$1=1,$H$24,SUM(OFFSET(Q430,-E430+1,0):Q430)),IF(AND('депозитный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калькулятор'!$G$7="30/360"),DAY(EOMONTH(F430,0))=31),EOMONTH(F430,0)-1=F430,EOMONTH(F430,0)=F430)),IF(IF(AND(OR('депозитный калькулятор'!$G$7="30/365",'депозитный калькулятор'!$G$7="30/360"),DAY(EOMONTH($F$24,0))=31),F430=EOMONTH($F$24,0)-1,F430=EOMONTH($F$24,0)),SUM(OFFSET(Q430,-E430+1,0):Q430),SUM(OFFSET(Q430,-E430+1,0):Q430)),IF('депозитный калькулятор'!$G$10="ежеквартальное",IF(F430&gt;'депозитный калькулятор'!$D$8," ",IF(AND(EOMONTH(F430,0)=F430,OR(MONTH(F430)=3,MONTH(F430)=6,MONTH(F430)=9,MONTH(F430)=12)),IF(EDATE(F430,-3)&lt;'депозитный калькулятор'!$D$7,SUM($H$23:H430),IF(MOD(YEAR(F430),4)=0,IF(AND(EOMONTH(F430,0)=F430,OR(MONTH(F430)=3,MONTH(F430)=6)),SUM(OFFSET(H430,-90,0):H430),IF(AND(EOMONTH(F430,0)=F430,OR(MONTH(F430)=9,MONTH(F430)=12)),SUM(OFFSET(H430,-91,0):H430))),IF(AND(EOMONTH(F430,0)=F430,MONTH(F430)=3),SUM(OFFSET(H430,-89,0):H430),IF(AND(EOMONTH(F430,0)=F430,MONTH(F430)=6),SUM(OFFSET(H430,-90,0):H430),IF(AND(EOMONTH(F430,0)=F430,OR(MONTH(F430)=9,MONTH(F430)=12)),SUM(OFFSET(H430,-91,0):H430)))))),IF(F430='депозитный калькулятор'!$D$8,SUM($H$23:H430)-SUM($I$23:I429),0))),IF('депозитный калькулятор'!$G$10="ежегодное",IF(F430&gt;'депозитный калькулятор'!$D$8," ",IF(F430='депозитный калькулятор'!$D$8,SUM($H$23:H430)-SUM($I$23:I429),IF(AND(EOMONTH(F430,0)=F430,MONTH(F430)=12),IF(MOD(YEAR(F429),4)=0,IF(F430-'депозитный калькулятор'!$D$7&lt;366,SUM($H$23:H430),SUM(OFFSET(H430,-365,0):H430)),IF(F430-'депозитный калькулятор'!$D$7&lt;365,SUM($H$23:H430),SUM(OFFSET(H430,-364,0):H430))),0))),IF(AND('депозитный калькулятор'!$G$10="в конце срока",'депозитный калькулятор'!$D$8=F430),SUM($H$23:H430),0))))))))))))))))))</f>
        <v xml:space="preserve"> </v>
      </c>
      <c r="J430" s="59" t="str">
        <f>IF(F430&gt;'депозитный калькулятор'!$D$8," ",IF('депозитный калькулятор'!$G$16="нет",0,IF(AND('депозитный калькулятор'!$G$17="разовая (в конце срока)",F430='депозитный калькулятор'!$D$8),'депозитный калькулятор'!$G$18,IF(AND('депозитный калькулятор'!$G$17="ежемесячная",EOMONTH(F429,0)=F429),'депозитный калькулятор'!$G$18,IF(AND('депозитный калькулятор'!$G$17="ежегодная",DAY(F429)=31,MONTH(F429)=12),'депозитный калькулятор'!$G$18,IF(AND('депозитный калькулятор'!$G$17="ежемесячная в зависимости от остатка",EOMONTH(F429,0)=F429,P429&gt;0),'депозитный калькулятор'!$G$18,IF(AND('депозитный калькулятор'!$G$17="ежегодная в зависимости от остатка",DAY(F429)=31,MONTH(F429)=12,P429&gt;0),'депозитный калькулятор'!$G$18,0)))))))</f>
        <v xml:space="preserve"> </v>
      </c>
      <c r="K430" s="135" t="str">
        <f>IF($F430=" "," ",IFERROR(VLOOKUP($F430,'депозитный калькулятор'!$B$26:$F$70,2,0),0))</f>
        <v xml:space="preserve"> </v>
      </c>
      <c r="L430" s="135" t="str">
        <f>IF($F430=" "," ",IFERROR(VLOOKUP($F430,'депозитный калькулятор'!$B$26:$F$70,3,0),0))</f>
        <v xml:space="preserve"> </v>
      </c>
      <c r="M430" s="135" t="str">
        <f>IF($F430=" "," ",IFERROR(VLOOKUP($F430,'депозитный калькулятор'!$B$26:$F$70,4,0),0))</f>
        <v xml:space="preserve"> </v>
      </c>
      <c r="N430" s="135" t="str">
        <f>IF($F430=" "," ",IFERROR(VLOOKUP($F430,'депозитный калькулятор'!$B$26:$F$70,5,0),0))</f>
        <v xml:space="preserve"> </v>
      </c>
      <c r="O430" s="146" t="str">
        <f>IF(F430&gt;'депозитный калькулятор'!$D$8," ",IF(F430='депозитный калькулятор'!$D$8,IF(AND($F$24='депозитный калькулятор'!$D$8,'депозитный калькулятор'!$G$13="нет"),-G430-IF(I430=" ",0,I430)-IF(AND(OR('депозитный калькулятор'!$G$7="30/365",'депозитный калькулятор'!$G$7="30/360"),'депозитный калькулятор'!$G$10="в начале срока"),I429,0)-L430+M430-N430,-G430-IF(I430=" ",0,I430)-L430+M430-N430),IF('депозитный калькулятор'!$G$13="есть",M430-N430+IF('депозитный калькулятор'!$G$14="есть",0,-L430),-IF(I430=" ",0,I430)-IF(AND(OR('депозитный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срока"),I429,0)+M430-N430+IF('депозитный калькулятор'!$G$14="есть",0,-L430))))</f>
        <v xml:space="preserve"> </v>
      </c>
      <c r="P430" s="147" t="str">
        <f>IF(F430&gt;'депозитный калькулятор'!$D$8," ",IF(EOMONTH(F429,0)=F429,0,IF(G430&gt;='депозитный калькулятор'!$G$19,P429,P429+1)))</f>
        <v xml:space="preserve"> </v>
      </c>
      <c r="Q430" s="138" t="str">
        <f>IF(F430=" "," ",IF(AND(OR('депозитный калькулятор'!$G$7="30/365",'депозитный калькулятор'!$G$7="30/360"),AND(MONTH(F430)=2,EOMONTH(F430,0)=F430)),IF(DAY(F430)=28,3,2),1)*IF(G430&gt;='депозитный калькулятор'!$G$11,IF(AND('депозитный калькулятор'!$G$7="факт/факт",MOD(YEAR(F430),4)=0),G430*'депозитный калькулятор'!$D$11/366,G430*'депозитный калькулятор'!$G$8),0))</f>
        <v xml:space="preserve"> </v>
      </c>
      <c r="R430" s="158"/>
      <c r="S430" s="62" t="str">
        <f t="shared" ca="1" si="32"/>
        <v xml:space="preserve"> </v>
      </c>
      <c r="T430" s="149" t="str">
        <f ca="1">IF(S430=" "," ",IF('депозитный калькулятор'!$G$7="30/360",DAYS360(U429,IF(DAY(U430)=31,U430-1,U430))+IF(AND(MONTH(U430)=2,U430=EOMONTH(U430,0)),30-DAY(EOMONTH(U430,0)))+T429,VLOOKUP(S430,$C$22:$F$1023,2,0)))</f>
        <v xml:space="preserve"> </v>
      </c>
      <c r="U430" s="64" t="str">
        <f t="shared" ca="1" si="30"/>
        <v xml:space="preserve"> </v>
      </c>
      <c r="V430" s="150" t="str">
        <f t="shared" ca="1" si="33"/>
        <v xml:space="preserve"> </v>
      </c>
      <c r="W430" s="62" t="str">
        <f t="shared" ca="1" si="34"/>
        <v xml:space="preserve"> </v>
      </c>
      <c r="X430" s="141" t="str">
        <f ca="1">IF(S430=" "," ",IFERROR(VLOOKUP(U430,$F$23:$N$1023,7)+VLOOKUP(U430,$F$23:$N$1023,9)+IF(AND('депозитный калькулятор'!$G$13="нет",U430&lt;&gt;'депозитный калькулятор'!$D$8),VLOOKUP(U430,$F$23:$N$1023,4),0),0)+IF(U430='депозитный калькулятор'!$D$8,VLOOKUP(U430,$F$23:$N$1023,2)+VLOOKUP(U430,$F$23:$N$1023,4),0))</f>
        <v xml:space="preserve"> </v>
      </c>
      <c r="Y430" s="142" t="str">
        <f ca="1">IF(S430=" "," ",W430/(1+'депозитный калькулятор'!$K$8)^(T430/IF('депозитный калькулятор'!$G$7="30/360",360,365)))</f>
        <v xml:space="preserve"> </v>
      </c>
      <c r="Z430" s="142" t="str">
        <f ca="1">IF(S430=" "," ",X430/(1+'депозитный калькулятор'!$K$8)^(T430/IF('депозитный калькулятор'!$G$7="30/360",360,365)))</f>
        <v xml:space="preserve"> </v>
      </c>
      <c r="AA430" s="151"/>
      <c r="AB430" s="151"/>
      <c r="AC430" s="155"/>
      <c r="AD430" s="155"/>
    </row>
    <row r="431" spans="1:30" s="2" customFormat="1" ht="15.5" x14ac:dyDescent="0.35">
      <c r="A431" s="41" t="str">
        <f>IF(F431=" "," ",IF(OR('депозитный калькулятор'!$G$7="30/365",'депозитный калькулятор'!$G$7="30/360"),IF(AND(MONTH(F431)=2,DAY(F431)=DAY(EOMONTH(F431,0))),30-DAY(EOMONTH(F431,0)),IF(DAY(F431)=31,1," "))," "))</f>
        <v xml:space="preserve"> </v>
      </c>
      <c r="B431" s="130" t="str">
        <f t="shared" si="31"/>
        <v xml:space="preserve"> </v>
      </c>
      <c r="C431" s="130" t="str">
        <f>IF(OR(B431=0,B431=" ")," ",SUM($B$23:B431))</f>
        <v xml:space="preserve"> </v>
      </c>
      <c r="D431" s="62" t="str">
        <f>IF(D430=" "," ",IF(OR(F430='депозитный калькулятор'!$D$8,F430=" ")," ",D430+1))</f>
        <v xml:space="preserve"> </v>
      </c>
      <c r="E431" s="130" t="str">
        <f>IF(OR(F430='депозитный калькулятор'!$D$8,F430=" ")," ",IF(EOMONTH(F430,0)=F430,1,E430+1))</f>
        <v xml:space="preserve"> </v>
      </c>
      <c r="F431" s="64" t="str">
        <f>IF(F430=" "," ",IF(F430='депозитный калькулятор'!$D$8," ",F430+1))</f>
        <v xml:space="preserve"> </v>
      </c>
      <c r="G431" s="145" t="str">
        <f xml:space="preserve"> IF(F431&gt;'депозитный калькулятор'!$D$8," ",IF('депозитный калькулятор'!$G$13="есть",IF('депозитный калькулятор'!$G$14="есть",G430+IF(I430=" ",0,I430)-J431-K431+L431+M431-N431,G430+IF(I430=" ",0,I430)-J431-K431+M431-N431),IF('депозитный калькулятор'!$G$14="есть",G430-J431-K431+L431+M431-N431,G430-J431-K431+M431-N431)))</f>
        <v xml:space="preserve"> </v>
      </c>
      <c r="H431" s="133" t="str">
        <f>IF(F431&gt;'депозитный калькулятор'!$D$8," ",IF(AND(OR('депозитный калькулятор'!$G$7="30/365",'депозитный калькулятор'!$G$7="30/360"),AND(MONTH(F431)=2,EOMONTH(F431,0)=F431)),IF(DAY(F431)=28,3*G431*'депозитный калькулятор'!$G$8,2*G431*'депозитный калькулятор'!$G$8),IF(AND(OR('депозитный калькулятор'!$G$7="30/365",'депозитный калькулятор'!$G$7="30/360"),DAY(F431)=31)," ",IF(AND('депозитный калькулятор'!$G$7="факт/факт",MOD(YEAR(F431),4)=0),G431*'депозитный калькулятор'!$D$11/366,G431*'депозитный калькулятор'!$G$8))))</f>
        <v xml:space="preserve"> </v>
      </c>
      <c r="I431" s="134" t="str">
        <f ca="1">IF(F431=" "," ",IF('депозитный калькулятор'!$G$10="ежедневное",H431,IF(AND('депозитный калькулятор'!$G$10="еженедельное",WEEKDAY(F431,2)=7),SUM(OFFSET(H431,-6,0):H431),IF(AND('депозитный калькулятор'!$G$10="еженедельное",F431='депозитный калькулятор'!$D$8),SUM($H$23:H431)-SUM($I$23:I430),IF(AND('депозитный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недели",WEEKDAY(F431,2)=7),MIN(OFFSET(H431,-6,0):H431)*(COUNTIF(OFFSET(H431,-6,0):H431,"&gt;0")+SUMIF(OFFSET(A431,-WEEKDAY(F431,2),0):A431,"=2",OFFSET(A431,-WEEKDAY(F431,2),0):A431)),IF(AND('депозитный калькулятор'!$G$10="еженедельное, на минимальную сумму зафиксированную в течение недели",F431='депозитный калькулятор'!$D$8,WEEKDAY(F431,2)&lt;&gt;7),MIN(OFFSET(H431,-WEEKDAY(F431,2),0):H431)*(COUNTIF(OFFSET(H431,-WEEKDAY(F431,2)+1,0):H431,"&gt;0")+SUM(OFFSET(A431,-WEEKDAY(F431,2),0):A431)),IF(AND('депозитный калькулятор'!$G$10="ежемесячное (в конце месяца)",F431='депозитный калькулятор'!$D$8,EOMONTH(F431,0)&lt;&gt;F431),IF('депозитный калькулятор'!$F$1=1,$H$24,SUM($H$23:H431)-SUM($I$23:I430)),IF(AND('депозитный калькулятор'!$G$10="ежемесячное (в конце месяца)",EOMONTH(F431,0)=F431),SUM($H$23:H431)-SUM($I$23:I430),IF(AND('депозитный калькулятор'!$G$10="ежемесячное (по дням открытия вклада)",F431='депозитный калькулятор'!$D$8,DAY('депозитный калькулятор'!$D$7)&lt;&gt;DAY(F431)),IF('депозитный калькулятор'!$F$1=1,$H$24,SUM($H$23:H431)-SUM($I$23:I430)),IF(AND('депозитный калькулятор'!$G$10="ежемесячное (по дням открытия вклада)",DAY('депозитный калькулятор'!$D$7)=DAY(F431)),SUM($H$23:H431)-SUM($I$23:I430),IF(AND('депозитный калькулятор'!$G$10="ежемесячное, на минимальную сумму зафиксированную в течение месяца",F431='депозитный калькулятор'!$D$8,EOMONTH(F431,0)&lt;&gt;F431),IF('депозитный калькулятор'!$F$1=1,$H$24,IF(AND(OR('депозитный калькулятор'!$G$7="30/365",'депозитный калькулятор'!$G$7="30/360"),DAY(F431)=31),0,MIN(OFFSET(H431,-E431+1,0):H431)*(E431+SUMIF(OFFSET(A431,-E431+1,0):A431,"=2",OFFSET(A431,-E431+1,0):A431)))),IF(AND('депозитный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калькулятор'!$G$7="30/360"),DAY(EOMONTH(F431,0))=31),EOMONTH(F431,0)-1=F431,EOMONTH(F431,0)=F431)),IF(IF(AND(OR('депозитный калькулятор'!$G$7="30/365",'депозитный калькулятор'!$G$7="30/360"),DAY(EOMONTH($F$23,0))=31),F431=EOMONTH($F$23,0)-1,F431=EOMONTH($F$23,0)),MIN(OFFSET(H431,-(DAY(F431)-DAY($F$23)),0):H431)*E431,MIN(OFFSET(H431,-(DAY(F431)-1),0):H431)*IF(AND(OR('депозитный калькулятор'!$G$7="30/365",'депозитный калькулятор'!$G$7="30/360"),DAY(F431)&lt;30),30,DAY(F431))),IF(AND('депозитный калькулятор'!$G$10="ежемесячное, на средний остаток в течение месяца, при условии что остаток больше чем ограничение",F431='депозитный калькулятор'!$D$8,EOMONTH(F431,0)&lt;&gt;F431),IF('депозитный калькулятор'!$F$1=1,$H$24,SUM(OFFSET(Q431,-E431+1,0):Q431)),IF(AND('депозитный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калькулятор'!$G$7="30/360"),DAY(EOMONTH(F431,0))=31),EOMONTH(F431,0)-1=F431,EOMONTH(F431,0)=F431)),IF(IF(AND(OR('депозитный калькулятор'!$G$7="30/365",'депозитный калькулятор'!$G$7="30/360"),DAY(EOMONTH($F$24,0))=31),F431=EOMONTH($F$24,0)-1,F431=EOMONTH($F$24,0)),SUM(OFFSET(Q431,-E431+1,0):Q431),SUM(OFFSET(Q431,-E431+1,0):Q431)),IF('депозитный калькулятор'!$G$10="ежеквартальное",IF(F431&gt;'депозитный калькулятор'!$D$8," ",IF(AND(EOMONTH(F431,0)=F431,OR(MONTH(F431)=3,MONTH(F431)=6,MONTH(F431)=9,MONTH(F431)=12)),IF(EDATE(F431,-3)&lt;'депозитный калькулятор'!$D$7,SUM($H$23:H431),IF(MOD(YEAR(F431),4)=0,IF(AND(EOMONTH(F431,0)=F431,OR(MONTH(F431)=3,MONTH(F431)=6)),SUM(OFFSET(H431,-90,0):H431),IF(AND(EOMONTH(F431,0)=F431,OR(MONTH(F431)=9,MONTH(F431)=12)),SUM(OFFSET(H431,-91,0):H431))),IF(AND(EOMONTH(F431,0)=F431,MONTH(F431)=3),SUM(OFFSET(H431,-89,0):H431),IF(AND(EOMONTH(F431,0)=F431,MONTH(F431)=6),SUM(OFFSET(H431,-90,0):H431),IF(AND(EOMONTH(F431,0)=F431,OR(MONTH(F431)=9,MONTH(F431)=12)),SUM(OFFSET(H431,-91,0):H431)))))),IF(F431='депозитный калькулятор'!$D$8,SUM($H$23:H431)-SUM($I$23:I430),0))),IF('депозитный калькулятор'!$G$10="ежегодное",IF(F431&gt;'депозитный калькулятор'!$D$8," ",IF(F431='депозитный калькулятор'!$D$8,SUM($H$23:H431)-SUM($I$23:I430),IF(AND(EOMONTH(F431,0)=F431,MONTH(F431)=12),IF(MOD(YEAR(F430),4)=0,IF(F431-'депозитный калькулятор'!$D$7&lt;366,SUM($H$23:H431),SUM(OFFSET(H431,-365,0):H431)),IF(F431-'депозитный калькулятор'!$D$7&lt;365,SUM($H$23:H431),SUM(OFFSET(H431,-364,0):H431))),0))),IF(AND('депозитный калькулятор'!$G$10="в конце срока",'депозитный калькулятор'!$D$8=F431),SUM($H$23:H431),0))))))))))))))))))</f>
        <v xml:space="preserve"> </v>
      </c>
      <c r="J431" s="59" t="str">
        <f>IF(F431&gt;'депозитный калькулятор'!$D$8," ",IF('депозитный калькулятор'!$G$16="нет",0,IF(AND('депозитный калькулятор'!$G$17="разовая (в конце срока)",F431='депозитный калькулятор'!$D$8),'депозитный калькулятор'!$G$18,IF(AND('депозитный калькулятор'!$G$17="ежемесячная",EOMONTH(F430,0)=F430),'депозитный калькулятор'!$G$18,IF(AND('депозитный калькулятор'!$G$17="ежегодная",DAY(F430)=31,MONTH(F430)=12),'депозитный калькулятор'!$G$18,IF(AND('депозитный калькулятор'!$G$17="ежемесячная в зависимости от остатка",EOMONTH(F430,0)=F430,P430&gt;0),'депозитный калькулятор'!$G$18,IF(AND('депозитный калькулятор'!$G$17="ежегодная в зависимости от остатка",DAY(F430)=31,MONTH(F430)=12,P430&gt;0),'депозитный калькулятор'!$G$18,0)))))))</f>
        <v xml:space="preserve"> </v>
      </c>
      <c r="K431" s="135" t="str">
        <f>IF($F431=" "," ",IFERROR(VLOOKUP($F431,'депозитный калькулятор'!$B$26:$F$70,2,0),0))</f>
        <v xml:space="preserve"> </v>
      </c>
      <c r="L431" s="135" t="str">
        <f>IF($F431=" "," ",IFERROR(VLOOKUP($F431,'депозитный калькулятор'!$B$26:$F$70,3,0),0))</f>
        <v xml:space="preserve"> </v>
      </c>
      <c r="M431" s="135" t="str">
        <f>IF($F431=" "," ",IFERROR(VLOOKUP($F431,'депозитный калькулятор'!$B$26:$F$70,4,0),0))</f>
        <v xml:space="preserve"> </v>
      </c>
      <c r="N431" s="135" t="str">
        <f>IF($F431=" "," ",IFERROR(VLOOKUP($F431,'депозитный калькулятор'!$B$26:$F$70,5,0),0))</f>
        <v xml:space="preserve"> </v>
      </c>
      <c r="O431" s="146" t="str">
        <f>IF(F431&gt;'депозитный калькулятор'!$D$8," ",IF(F431='депозитный калькулятор'!$D$8,IF(AND($F$24='депозитный калькулятор'!$D$8,'депозитный калькулятор'!$G$13="нет"),-G431-IF(I431=" ",0,I431)-IF(AND(OR('депозитный калькулятор'!$G$7="30/365",'депозитный калькулятор'!$G$7="30/360"),'депозитный калькулятор'!$G$10="в начале срока"),I430,0)-L431+M431-N431,-G431-IF(I431=" ",0,I431)-L431+M431-N431),IF('депозитный калькулятор'!$G$13="есть",M431-N431+IF('депозитный калькулятор'!$G$14="есть",0,-L431),-IF(I431=" ",0,I431)-IF(AND(OR('депозитный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срока"),I430,0)+M431-N431+IF('депозитный калькулятор'!$G$14="есть",0,-L431))))</f>
        <v xml:space="preserve"> </v>
      </c>
      <c r="P431" s="147" t="str">
        <f>IF(F431&gt;'депозитный калькулятор'!$D$8," ",IF(EOMONTH(F430,0)=F430,0,IF(G431&gt;='депозитный калькулятор'!$G$19,P430,P430+1)))</f>
        <v xml:space="preserve"> </v>
      </c>
      <c r="Q431" s="138" t="str">
        <f>IF(F431=" "," ",IF(AND(OR('депозитный калькулятор'!$G$7="30/365",'депозитный калькулятор'!$G$7="30/360"),AND(MONTH(F431)=2,EOMONTH(F431,0)=F431)),IF(DAY(F431)=28,3,2),1)*IF(G431&gt;='депозитный калькулятор'!$G$11,IF(AND('депозитный калькулятор'!$G$7="факт/факт",MOD(YEAR(F431),4)=0),G431*'депозитный калькулятор'!$D$11/366,G431*'депозитный калькулятор'!$G$8),0))</f>
        <v xml:space="preserve"> </v>
      </c>
      <c r="R431" s="158"/>
      <c r="S431" s="62" t="str">
        <f t="shared" ca="1" si="32"/>
        <v xml:space="preserve"> </v>
      </c>
      <c r="T431" s="149" t="str">
        <f ca="1">IF(S431=" "," ",IF('депозитный калькулятор'!$G$7="30/360",DAYS360(U430,IF(DAY(U431)=31,U431-1,U431))+IF(AND(MONTH(U431)=2,U431=EOMONTH(U431,0)),30-DAY(EOMONTH(U431,0)))+T430,VLOOKUP(S431,$C$22:$F$1023,2,0)))</f>
        <v xml:space="preserve"> </v>
      </c>
      <c r="U431" s="64" t="str">
        <f t="shared" ca="1" si="30"/>
        <v xml:space="preserve"> </v>
      </c>
      <c r="V431" s="150" t="str">
        <f t="shared" ca="1" si="33"/>
        <v xml:space="preserve"> </v>
      </c>
      <c r="W431" s="62" t="str">
        <f t="shared" ca="1" si="34"/>
        <v xml:space="preserve"> </v>
      </c>
      <c r="X431" s="141" t="str">
        <f ca="1">IF(S431=" "," ",IFERROR(VLOOKUP(U431,$F$23:$N$1023,7)+VLOOKUP(U431,$F$23:$N$1023,9)+IF(AND('депозитный калькулятор'!$G$13="нет",U431&lt;&gt;'депозитный калькулятор'!$D$8),VLOOKUP(U431,$F$23:$N$1023,4),0),0)+IF(U431='депозитный калькулятор'!$D$8,VLOOKUP(U431,$F$23:$N$1023,2)+VLOOKUP(U431,$F$23:$N$1023,4),0))</f>
        <v xml:space="preserve"> </v>
      </c>
      <c r="Y431" s="142" t="str">
        <f ca="1">IF(S431=" "," ",W431/(1+'депозитный калькулятор'!$K$8)^(T431/IF('депозитный калькулятор'!$G$7="30/360",360,365)))</f>
        <v xml:space="preserve"> </v>
      </c>
      <c r="Z431" s="142" t="str">
        <f ca="1">IF(S431=" "," ",X431/(1+'депозитный калькулятор'!$K$8)^(T431/IF('депозитный калькулятор'!$G$7="30/360",360,365)))</f>
        <v xml:space="preserve"> </v>
      </c>
      <c r="AA431" s="151"/>
      <c r="AB431" s="151"/>
      <c r="AC431" s="155"/>
      <c r="AD431" s="155"/>
    </row>
    <row r="432" spans="1:30" s="2" customFormat="1" ht="15.5" x14ac:dyDescent="0.35">
      <c r="A432" s="41" t="str">
        <f>IF(F432=" "," ",IF(OR('депозитный калькулятор'!$G$7="30/365",'депозитный калькулятор'!$G$7="30/360"),IF(AND(MONTH(F432)=2,DAY(F432)=DAY(EOMONTH(F432,0))),30-DAY(EOMONTH(F432,0)),IF(DAY(F432)=31,1," "))," "))</f>
        <v xml:space="preserve"> </v>
      </c>
      <c r="B432" s="130" t="str">
        <f t="shared" si="31"/>
        <v xml:space="preserve"> </v>
      </c>
      <c r="C432" s="130" t="str">
        <f>IF(OR(B432=0,B432=" ")," ",SUM($B$23:B432))</f>
        <v xml:space="preserve"> </v>
      </c>
      <c r="D432" s="62" t="str">
        <f>IF(D431=" "," ",IF(OR(F431='депозитный калькулятор'!$D$8,F431=" ")," ",D431+1))</f>
        <v xml:space="preserve"> </v>
      </c>
      <c r="E432" s="130" t="str">
        <f>IF(OR(F431='депозитный калькулятор'!$D$8,F431=" ")," ",IF(EOMONTH(F431,0)=F431,1,E431+1))</f>
        <v xml:space="preserve"> </v>
      </c>
      <c r="F432" s="64" t="str">
        <f>IF(F431=" "," ",IF(F431='депозитный калькулятор'!$D$8," ",F431+1))</f>
        <v xml:space="preserve"> </v>
      </c>
      <c r="G432" s="145" t="str">
        <f xml:space="preserve"> IF(F432&gt;'депозитный калькулятор'!$D$8," ",IF('депозитный калькулятор'!$G$13="есть",IF('депозитный калькулятор'!$G$14="есть",G431+IF(I431=" ",0,I431)-J432-K432+L432+M432-N432,G431+IF(I431=" ",0,I431)-J432-K432+M432-N432),IF('депозитный калькулятор'!$G$14="есть",G431-J432-K432+L432+M432-N432,G431-J432-K432+M432-N432)))</f>
        <v xml:space="preserve"> </v>
      </c>
      <c r="H432" s="133" t="str">
        <f>IF(F432&gt;'депозитный калькулятор'!$D$8," ",IF(AND(OR('депозитный калькулятор'!$G$7="30/365",'депозитный калькулятор'!$G$7="30/360"),AND(MONTH(F432)=2,EOMONTH(F432,0)=F432)),IF(DAY(F432)=28,3*G432*'депозитный калькулятор'!$G$8,2*G432*'депозитный калькулятор'!$G$8),IF(AND(OR('депозитный калькулятор'!$G$7="30/365",'депозитный калькулятор'!$G$7="30/360"),DAY(F432)=31)," ",IF(AND('депозитный калькулятор'!$G$7="факт/факт",MOD(YEAR(F432),4)=0),G432*'депозитный калькулятор'!$D$11/366,G432*'депозитный калькулятор'!$G$8))))</f>
        <v xml:space="preserve"> </v>
      </c>
      <c r="I432" s="134" t="str">
        <f ca="1">IF(F432=" "," ",IF('депозитный калькулятор'!$G$10="ежедневное",H432,IF(AND('депозитный калькулятор'!$G$10="еженедельное",WEEKDAY(F432,2)=7),SUM(OFFSET(H432,-6,0):H432),IF(AND('депозитный калькулятор'!$G$10="еженедельное",F432='депозитный калькулятор'!$D$8),SUM($H$23:H432)-SUM($I$23:I431),IF(AND('депозитный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недели",WEEKDAY(F432,2)=7),MIN(OFFSET(H432,-6,0):H432)*(COUNTIF(OFFSET(H432,-6,0):H432,"&gt;0")+SUMIF(OFFSET(A432,-WEEKDAY(F432,2),0):A432,"=2",OFFSET(A432,-WEEKDAY(F432,2),0):A432)),IF(AND('депозитный калькулятор'!$G$10="еженедельное, на минимальную сумму зафиксированную в течение недели",F432='депозитный калькулятор'!$D$8,WEEKDAY(F432,2)&lt;&gt;7),MIN(OFFSET(H432,-WEEKDAY(F432,2),0):H432)*(COUNTIF(OFFSET(H432,-WEEKDAY(F432,2)+1,0):H432,"&gt;0")+SUM(OFFSET(A432,-WEEKDAY(F432,2),0):A432)),IF(AND('депозитный калькулятор'!$G$10="ежемесячное (в конце месяца)",F432='депозитный калькулятор'!$D$8,EOMONTH(F432,0)&lt;&gt;F432),IF('депозитный калькулятор'!$F$1=1,$H$24,SUM($H$23:H432)-SUM($I$23:I431)),IF(AND('депозитный калькулятор'!$G$10="ежемесячное (в конце месяца)",EOMONTH(F432,0)=F432),SUM($H$23:H432)-SUM($I$23:I431),IF(AND('депозитный калькулятор'!$G$10="ежемесячное (по дням открытия вклада)",F432='депозитный калькулятор'!$D$8,DAY('депозитный калькулятор'!$D$7)&lt;&gt;DAY(F432)),IF('депозитный калькулятор'!$F$1=1,$H$24,SUM($H$23:H432)-SUM($I$23:I431)),IF(AND('депозитный калькулятор'!$G$10="ежемесячное (по дням открытия вклада)",DAY('депозитный калькулятор'!$D$7)=DAY(F432)),SUM($H$23:H432)-SUM($I$23:I431),IF(AND('депозитный калькулятор'!$G$10="ежемесячное, на минимальную сумму зафиксированную в течение месяца",F432='депозитный калькулятор'!$D$8,EOMONTH(F432,0)&lt;&gt;F432),IF('депозитный калькулятор'!$F$1=1,$H$24,IF(AND(OR('депозитный калькулятор'!$G$7="30/365",'депозитный калькулятор'!$G$7="30/360"),DAY(F432)=31),0,MIN(OFFSET(H432,-E432+1,0):H432)*(E432+SUMIF(OFFSET(A432,-E432+1,0):A432,"=2",OFFSET(A432,-E432+1,0):A432)))),IF(AND('депозитный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калькулятор'!$G$7="30/360"),DAY(EOMONTH(F432,0))=31),EOMONTH(F432,0)-1=F432,EOMONTH(F432,0)=F432)),IF(IF(AND(OR('депозитный калькулятор'!$G$7="30/365",'депозитный калькулятор'!$G$7="30/360"),DAY(EOMONTH($F$23,0))=31),F432=EOMONTH($F$23,0)-1,F432=EOMONTH($F$23,0)),MIN(OFFSET(H432,-(DAY(F432)-DAY($F$23)),0):H432)*E432,MIN(OFFSET(H432,-(DAY(F432)-1),0):H432)*IF(AND(OR('депозитный калькулятор'!$G$7="30/365",'депозитный калькулятор'!$G$7="30/360"),DAY(F432)&lt;30),30,DAY(F432))),IF(AND('депозитный калькулятор'!$G$10="ежемесячное, на средний остаток в течение месяца, при условии что остаток больше чем ограничение",F432='депозитный калькулятор'!$D$8,EOMONTH(F432,0)&lt;&gt;F432),IF('депозитный калькулятор'!$F$1=1,$H$24,SUM(OFFSET(Q432,-E432+1,0):Q432)),IF(AND('депозитный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калькулятор'!$G$7="30/360"),DAY(EOMONTH(F432,0))=31),EOMONTH(F432,0)-1=F432,EOMONTH(F432,0)=F432)),IF(IF(AND(OR('депозитный калькулятор'!$G$7="30/365",'депозитный калькулятор'!$G$7="30/360"),DAY(EOMONTH($F$24,0))=31),F432=EOMONTH($F$24,0)-1,F432=EOMONTH($F$24,0)),SUM(OFFSET(Q432,-E432+1,0):Q432),SUM(OFFSET(Q432,-E432+1,0):Q432)),IF('депозитный калькулятор'!$G$10="ежеквартальное",IF(F432&gt;'депозитный калькулятор'!$D$8," ",IF(AND(EOMONTH(F432,0)=F432,OR(MONTH(F432)=3,MONTH(F432)=6,MONTH(F432)=9,MONTH(F432)=12)),IF(EDATE(F432,-3)&lt;'депозитный калькулятор'!$D$7,SUM($H$23:H432),IF(MOD(YEAR(F432),4)=0,IF(AND(EOMONTH(F432,0)=F432,OR(MONTH(F432)=3,MONTH(F432)=6)),SUM(OFFSET(H432,-90,0):H432),IF(AND(EOMONTH(F432,0)=F432,OR(MONTH(F432)=9,MONTH(F432)=12)),SUM(OFFSET(H432,-91,0):H432))),IF(AND(EOMONTH(F432,0)=F432,MONTH(F432)=3),SUM(OFFSET(H432,-89,0):H432),IF(AND(EOMONTH(F432,0)=F432,MONTH(F432)=6),SUM(OFFSET(H432,-90,0):H432),IF(AND(EOMONTH(F432,0)=F432,OR(MONTH(F432)=9,MONTH(F432)=12)),SUM(OFFSET(H432,-91,0):H432)))))),IF(F432='депозитный калькулятор'!$D$8,SUM($H$23:H432)-SUM($I$23:I431),0))),IF('депозитный калькулятор'!$G$10="ежегодное",IF(F432&gt;'депозитный калькулятор'!$D$8," ",IF(F432='депозитный калькулятор'!$D$8,SUM($H$23:H432)-SUM($I$23:I431),IF(AND(EOMONTH(F432,0)=F432,MONTH(F432)=12),IF(MOD(YEAR(F431),4)=0,IF(F432-'депозитный калькулятор'!$D$7&lt;366,SUM($H$23:H432),SUM(OFFSET(H432,-365,0):H432)),IF(F432-'депозитный калькулятор'!$D$7&lt;365,SUM($H$23:H432),SUM(OFFSET(H432,-364,0):H432))),0))),IF(AND('депозитный калькулятор'!$G$10="в конце срока",'депозитный калькулятор'!$D$8=F432),SUM($H$23:H432),0))))))))))))))))))</f>
        <v xml:space="preserve"> </v>
      </c>
      <c r="J432" s="59" t="str">
        <f>IF(F432&gt;'депозитный калькулятор'!$D$8," ",IF('депозитный калькулятор'!$G$16="нет",0,IF(AND('депозитный калькулятор'!$G$17="разовая (в конце срока)",F432='депозитный калькулятор'!$D$8),'депозитный калькулятор'!$G$18,IF(AND('депозитный калькулятор'!$G$17="ежемесячная",EOMONTH(F431,0)=F431),'депозитный калькулятор'!$G$18,IF(AND('депозитный калькулятор'!$G$17="ежегодная",DAY(F431)=31,MONTH(F431)=12),'депозитный калькулятор'!$G$18,IF(AND('депозитный калькулятор'!$G$17="ежемесячная в зависимости от остатка",EOMONTH(F431,0)=F431,P431&gt;0),'депозитный калькулятор'!$G$18,IF(AND('депозитный калькулятор'!$G$17="ежегодная в зависимости от остатка",DAY(F431)=31,MONTH(F431)=12,P431&gt;0),'депозитный калькулятор'!$G$18,0)))))))</f>
        <v xml:space="preserve"> </v>
      </c>
      <c r="K432" s="135" t="str">
        <f>IF($F432=" "," ",IFERROR(VLOOKUP($F432,'депозитный калькулятор'!$B$26:$F$70,2,0),0))</f>
        <v xml:space="preserve"> </v>
      </c>
      <c r="L432" s="135" t="str">
        <f>IF($F432=" "," ",IFERROR(VLOOKUP($F432,'депозитный калькулятор'!$B$26:$F$70,3,0),0))</f>
        <v xml:space="preserve"> </v>
      </c>
      <c r="M432" s="135" t="str">
        <f>IF($F432=" "," ",IFERROR(VLOOKUP($F432,'депозитный калькулятор'!$B$26:$F$70,4,0),0))</f>
        <v xml:space="preserve"> </v>
      </c>
      <c r="N432" s="135" t="str">
        <f>IF($F432=" "," ",IFERROR(VLOOKUP($F432,'депозитный калькулятор'!$B$26:$F$70,5,0),0))</f>
        <v xml:space="preserve"> </v>
      </c>
      <c r="O432" s="146" t="str">
        <f>IF(F432&gt;'депозитный калькулятор'!$D$8," ",IF(F432='депозитный калькулятор'!$D$8,IF(AND($F$24='депозитный калькулятор'!$D$8,'депозитный калькулятор'!$G$13="нет"),-G432-IF(I432=" ",0,I432)-IF(AND(OR('депозитный калькулятор'!$G$7="30/365",'депозитный калькулятор'!$G$7="30/360"),'депозитный калькулятор'!$G$10="в начале срока"),I431,0)-L432+M432-N432,-G432-IF(I432=" ",0,I432)-L432+M432-N432),IF('депозитный калькулятор'!$G$13="есть",M432-N432+IF('депозитный калькулятор'!$G$14="есть",0,-L432),-IF(I432=" ",0,I432)-IF(AND(OR('депозитный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срока"),I431,0)+M432-N432+IF('депозитный калькулятор'!$G$14="есть",0,-L432))))</f>
        <v xml:space="preserve"> </v>
      </c>
      <c r="P432" s="147" t="str">
        <f>IF(F432&gt;'депозитный калькулятор'!$D$8," ",IF(EOMONTH(F431,0)=F431,0,IF(G432&gt;='депозитный калькулятор'!$G$19,P431,P431+1)))</f>
        <v xml:space="preserve"> </v>
      </c>
      <c r="Q432" s="138" t="str">
        <f>IF(F432=" "," ",IF(AND(OR('депозитный калькулятор'!$G$7="30/365",'депозитный калькулятор'!$G$7="30/360"),AND(MONTH(F432)=2,EOMONTH(F432,0)=F432)),IF(DAY(F432)=28,3,2),1)*IF(G432&gt;='депозитный калькулятор'!$G$11,IF(AND('депозитный калькулятор'!$G$7="факт/факт",MOD(YEAR(F432),4)=0),G432*'депозитный калькулятор'!$D$11/366,G432*'депозитный калькулятор'!$G$8),0))</f>
        <v xml:space="preserve"> </v>
      </c>
      <c r="R432" s="158"/>
      <c r="S432" s="62" t="str">
        <f t="shared" ca="1" si="32"/>
        <v xml:space="preserve"> </v>
      </c>
      <c r="T432" s="149" t="str">
        <f ca="1">IF(S432=" "," ",IF('депозитный калькулятор'!$G$7="30/360",DAYS360(U431,IF(DAY(U432)=31,U432-1,U432))+IF(AND(MONTH(U432)=2,U432=EOMONTH(U432,0)),30-DAY(EOMONTH(U432,0)))+T431,VLOOKUP(S432,$C$22:$F$1023,2,0)))</f>
        <v xml:space="preserve"> </v>
      </c>
      <c r="U432" s="64" t="str">
        <f t="shared" ca="1" si="30"/>
        <v xml:space="preserve"> </v>
      </c>
      <c r="V432" s="150" t="str">
        <f t="shared" ca="1" si="33"/>
        <v xml:space="preserve"> </v>
      </c>
      <c r="W432" s="62" t="str">
        <f t="shared" ca="1" si="34"/>
        <v xml:space="preserve"> </v>
      </c>
      <c r="X432" s="141" t="str">
        <f ca="1">IF(S432=" "," ",IFERROR(VLOOKUP(U432,$F$23:$N$1023,7)+VLOOKUP(U432,$F$23:$N$1023,9)+IF(AND('депозитный калькулятор'!$G$13="нет",U432&lt;&gt;'депозитный калькулятор'!$D$8),VLOOKUP(U432,$F$23:$N$1023,4),0),0)+IF(U432='депозитный калькулятор'!$D$8,VLOOKUP(U432,$F$23:$N$1023,2)+VLOOKUP(U432,$F$23:$N$1023,4),0))</f>
        <v xml:space="preserve"> </v>
      </c>
      <c r="Y432" s="142" t="str">
        <f ca="1">IF(S432=" "," ",W432/(1+'депозитный калькулятор'!$K$8)^(T432/IF('депозитный калькулятор'!$G$7="30/360",360,365)))</f>
        <v xml:space="preserve"> </v>
      </c>
      <c r="Z432" s="142" t="str">
        <f ca="1">IF(S432=" "," ",X432/(1+'депозитный калькулятор'!$K$8)^(T432/IF('депозитный калькулятор'!$G$7="30/360",360,365)))</f>
        <v xml:space="preserve"> </v>
      </c>
      <c r="AA432" s="151"/>
      <c r="AB432" s="151"/>
      <c r="AC432" s="155"/>
      <c r="AD432" s="155"/>
    </row>
    <row r="433" spans="1:30" s="2" customFormat="1" ht="15.5" x14ac:dyDescent="0.35">
      <c r="A433" s="41" t="str">
        <f>IF(F433=" "," ",IF(OR('депозитный калькулятор'!$G$7="30/365",'депозитный калькулятор'!$G$7="30/360"),IF(AND(MONTH(F433)=2,DAY(F433)=DAY(EOMONTH(F433,0))),30-DAY(EOMONTH(F433,0)),IF(DAY(F433)=31,1," "))," "))</f>
        <v xml:space="preserve"> </v>
      </c>
      <c r="B433" s="130" t="str">
        <f t="shared" si="31"/>
        <v xml:space="preserve"> </v>
      </c>
      <c r="C433" s="130" t="str">
        <f>IF(OR(B433=0,B433=" ")," ",SUM($B$23:B433))</f>
        <v xml:space="preserve"> </v>
      </c>
      <c r="D433" s="62" t="str">
        <f>IF(D432=" "," ",IF(OR(F432='депозитный калькулятор'!$D$8,F432=" ")," ",D432+1))</f>
        <v xml:space="preserve"> </v>
      </c>
      <c r="E433" s="130" t="str">
        <f>IF(OR(F432='депозитный калькулятор'!$D$8,F432=" ")," ",IF(EOMONTH(F432,0)=F432,1,E432+1))</f>
        <v xml:space="preserve"> </v>
      </c>
      <c r="F433" s="64" t="str">
        <f>IF(F432=" "," ",IF(F432='депозитный калькулятор'!$D$8," ",F432+1))</f>
        <v xml:space="preserve"> </v>
      </c>
      <c r="G433" s="145" t="str">
        <f xml:space="preserve"> IF(F433&gt;'депозитный калькулятор'!$D$8," ",IF('депозитный калькулятор'!$G$13="есть",IF('депозитный калькулятор'!$G$14="есть",G432+IF(I432=" ",0,I432)-J433-K433+L433+M433-N433,G432+IF(I432=" ",0,I432)-J433-K433+M433-N433),IF('депозитный калькулятор'!$G$14="есть",G432-J433-K433+L433+M433-N433,G432-J433-K433+M433-N433)))</f>
        <v xml:space="preserve"> </v>
      </c>
      <c r="H433" s="133" t="str">
        <f>IF(F433&gt;'депозитный калькулятор'!$D$8," ",IF(AND(OR('депозитный калькулятор'!$G$7="30/365",'депозитный калькулятор'!$G$7="30/360"),AND(MONTH(F433)=2,EOMONTH(F433,0)=F433)),IF(DAY(F433)=28,3*G433*'депозитный калькулятор'!$G$8,2*G433*'депозитный калькулятор'!$G$8),IF(AND(OR('депозитный калькулятор'!$G$7="30/365",'депозитный калькулятор'!$G$7="30/360"),DAY(F433)=31)," ",IF(AND('депозитный калькулятор'!$G$7="факт/факт",MOD(YEAR(F433),4)=0),G433*'депозитный калькулятор'!$D$11/366,G433*'депозитный калькулятор'!$G$8))))</f>
        <v xml:space="preserve"> </v>
      </c>
      <c r="I433" s="134" t="str">
        <f ca="1">IF(F433=" "," ",IF('депозитный калькулятор'!$G$10="ежедневное",H433,IF(AND('депозитный калькулятор'!$G$10="еженедельное",WEEKDAY(F433,2)=7),SUM(OFFSET(H433,-6,0):H433),IF(AND('депозитный калькулятор'!$G$10="еженедельное",F433='депозитный калькулятор'!$D$8),SUM($H$23:H433)-SUM($I$23:I432),IF(AND('депозитный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недели",WEEKDAY(F433,2)=7),MIN(OFFSET(H433,-6,0):H433)*(COUNTIF(OFFSET(H433,-6,0):H433,"&gt;0")+SUMIF(OFFSET(A433,-WEEKDAY(F433,2),0):A433,"=2",OFFSET(A433,-WEEKDAY(F433,2),0):A433)),IF(AND('депозитный калькулятор'!$G$10="еженедельное, на минимальную сумму зафиксированную в течение недели",F433='депозитный калькулятор'!$D$8,WEEKDAY(F433,2)&lt;&gt;7),MIN(OFFSET(H433,-WEEKDAY(F433,2),0):H433)*(COUNTIF(OFFSET(H433,-WEEKDAY(F433,2)+1,0):H433,"&gt;0")+SUM(OFFSET(A433,-WEEKDAY(F433,2),0):A433)),IF(AND('депозитный калькулятор'!$G$10="ежемесячное (в конце месяца)",F433='депозитный калькулятор'!$D$8,EOMONTH(F433,0)&lt;&gt;F433),IF('депозитный калькулятор'!$F$1=1,$H$24,SUM($H$23:H433)-SUM($I$23:I432)),IF(AND('депозитный калькулятор'!$G$10="ежемесячное (в конце месяца)",EOMONTH(F433,0)=F433),SUM($H$23:H433)-SUM($I$23:I432),IF(AND('депозитный калькулятор'!$G$10="ежемесячное (по дням открытия вклада)",F433='депозитный калькулятор'!$D$8,DAY('депозитный калькулятор'!$D$7)&lt;&gt;DAY(F433)),IF('депозитный калькулятор'!$F$1=1,$H$24,SUM($H$23:H433)-SUM($I$23:I432)),IF(AND('депозитный калькулятор'!$G$10="ежемесячное (по дням открытия вклада)",DAY('депозитный калькулятор'!$D$7)=DAY(F433)),SUM($H$23:H433)-SUM($I$23:I432),IF(AND('депозитный калькулятор'!$G$10="ежемесячное, на минимальную сумму зафиксированную в течение месяца",F433='депозитный калькулятор'!$D$8,EOMONTH(F433,0)&lt;&gt;F433),IF('депозитный калькулятор'!$F$1=1,$H$24,IF(AND(OR('депозитный калькулятор'!$G$7="30/365",'депозитный калькулятор'!$G$7="30/360"),DAY(F433)=31),0,MIN(OFFSET(H433,-E433+1,0):H433)*(E433+SUMIF(OFFSET(A433,-E433+1,0):A433,"=2",OFFSET(A433,-E433+1,0):A433)))),IF(AND('депозитный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калькулятор'!$G$7="30/360"),DAY(EOMONTH(F433,0))=31),EOMONTH(F433,0)-1=F433,EOMONTH(F433,0)=F433)),IF(IF(AND(OR('депозитный калькулятор'!$G$7="30/365",'депозитный калькулятор'!$G$7="30/360"),DAY(EOMONTH($F$23,0))=31),F433=EOMONTH($F$23,0)-1,F433=EOMONTH($F$23,0)),MIN(OFFSET(H433,-(DAY(F433)-DAY($F$23)),0):H433)*E433,MIN(OFFSET(H433,-(DAY(F433)-1),0):H433)*IF(AND(OR('депозитный калькулятор'!$G$7="30/365",'депозитный калькулятор'!$G$7="30/360"),DAY(F433)&lt;30),30,DAY(F433))),IF(AND('депозитный калькулятор'!$G$10="ежемесячное, на средний остаток в течение месяца, при условии что остаток больше чем ограничение",F433='депозитный калькулятор'!$D$8,EOMONTH(F433,0)&lt;&gt;F433),IF('депозитный калькулятор'!$F$1=1,$H$24,SUM(OFFSET(Q433,-E433+1,0):Q433)),IF(AND('депозитный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калькулятор'!$G$7="30/360"),DAY(EOMONTH(F433,0))=31),EOMONTH(F433,0)-1=F433,EOMONTH(F433,0)=F433)),IF(IF(AND(OR('депозитный калькулятор'!$G$7="30/365",'депозитный калькулятор'!$G$7="30/360"),DAY(EOMONTH($F$24,0))=31),F433=EOMONTH($F$24,0)-1,F433=EOMONTH($F$24,0)),SUM(OFFSET(Q433,-E433+1,0):Q433),SUM(OFFSET(Q433,-E433+1,0):Q433)),IF('депозитный калькулятор'!$G$10="ежеквартальное",IF(F433&gt;'депозитный калькулятор'!$D$8," ",IF(AND(EOMONTH(F433,0)=F433,OR(MONTH(F433)=3,MONTH(F433)=6,MONTH(F433)=9,MONTH(F433)=12)),IF(EDATE(F433,-3)&lt;'депозитный калькулятор'!$D$7,SUM($H$23:H433),IF(MOD(YEAR(F433),4)=0,IF(AND(EOMONTH(F433,0)=F433,OR(MONTH(F433)=3,MONTH(F433)=6)),SUM(OFFSET(H433,-90,0):H433),IF(AND(EOMONTH(F433,0)=F433,OR(MONTH(F433)=9,MONTH(F433)=12)),SUM(OFFSET(H433,-91,0):H433))),IF(AND(EOMONTH(F433,0)=F433,MONTH(F433)=3),SUM(OFFSET(H433,-89,0):H433),IF(AND(EOMONTH(F433,0)=F433,MONTH(F433)=6),SUM(OFFSET(H433,-90,0):H433),IF(AND(EOMONTH(F433,0)=F433,OR(MONTH(F433)=9,MONTH(F433)=12)),SUM(OFFSET(H433,-91,0):H433)))))),IF(F433='депозитный калькулятор'!$D$8,SUM($H$23:H433)-SUM($I$23:I432),0))),IF('депозитный калькулятор'!$G$10="ежегодное",IF(F433&gt;'депозитный калькулятор'!$D$8," ",IF(F433='депозитный калькулятор'!$D$8,SUM($H$23:H433)-SUM($I$23:I432),IF(AND(EOMONTH(F433,0)=F433,MONTH(F433)=12),IF(MOD(YEAR(F432),4)=0,IF(F433-'депозитный калькулятор'!$D$7&lt;366,SUM($H$23:H433),SUM(OFFSET(H433,-365,0):H433)),IF(F433-'депозитный калькулятор'!$D$7&lt;365,SUM($H$23:H433),SUM(OFFSET(H433,-364,0):H433))),0))),IF(AND('депозитный калькулятор'!$G$10="в конце срока",'депозитный калькулятор'!$D$8=F433),SUM($H$23:H433),0))))))))))))))))))</f>
        <v xml:space="preserve"> </v>
      </c>
      <c r="J433" s="59" t="str">
        <f>IF(F433&gt;'депозитный калькулятор'!$D$8," ",IF('депозитный калькулятор'!$G$16="нет",0,IF(AND('депозитный калькулятор'!$G$17="разовая (в конце срока)",F433='депозитный калькулятор'!$D$8),'депозитный калькулятор'!$G$18,IF(AND('депозитный калькулятор'!$G$17="ежемесячная",EOMONTH(F432,0)=F432),'депозитный калькулятор'!$G$18,IF(AND('депозитный калькулятор'!$G$17="ежегодная",DAY(F432)=31,MONTH(F432)=12),'депозитный калькулятор'!$G$18,IF(AND('депозитный калькулятор'!$G$17="ежемесячная в зависимости от остатка",EOMONTH(F432,0)=F432,P432&gt;0),'депозитный калькулятор'!$G$18,IF(AND('депозитный калькулятор'!$G$17="ежегодная в зависимости от остатка",DAY(F432)=31,MONTH(F432)=12,P432&gt;0),'депозитный калькулятор'!$G$18,0)))))))</f>
        <v xml:space="preserve"> </v>
      </c>
      <c r="K433" s="135" t="str">
        <f>IF($F433=" "," ",IFERROR(VLOOKUP($F433,'депозитный калькулятор'!$B$26:$F$70,2,0),0))</f>
        <v xml:space="preserve"> </v>
      </c>
      <c r="L433" s="135" t="str">
        <f>IF($F433=" "," ",IFERROR(VLOOKUP($F433,'депозитный калькулятор'!$B$26:$F$70,3,0),0))</f>
        <v xml:space="preserve"> </v>
      </c>
      <c r="M433" s="135" t="str">
        <f>IF($F433=" "," ",IFERROR(VLOOKUP($F433,'депозитный калькулятор'!$B$26:$F$70,4,0),0))</f>
        <v xml:space="preserve"> </v>
      </c>
      <c r="N433" s="135" t="str">
        <f>IF($F433=" "," ",IFERROR(VLOOKUP($F433,'депозитный калькулятор'!$B$26:$F$70,5,0),0))</f>
        <v xml:space="preserve"> </v>
      </c>
      <c r="O433" s="146" t="str">
        <f>IF(F433&gt;'депозитный калькулятор'!$D$8," ",IF(F433='депозитный калькулятор'!$D$8,IF(AND($F$24='депозитный калькулятор'!$D$8,'депозитный калькулятор'!$G$13="нет"),-G433-IF(I433=" ",0,I433)-IF(AND(OR('депозитный калькулятор'!$G$7="30/365",'депозитный калькулятор'!$G$7="30/360"),'депозитный калькулятор'!$G$10="в начале срока"),I432,0)-L433+M433-N433,-G433-IF(I433=" ",0,I433)-L433+M433-N433),IF('депозитный калькулятор'!$G$13="есть",M433-N433+IF('депозитный калькулятор'!$G$14="есть",0,-L433),-IF(I433=" ",0,I433)-IF(AND(OR('депозитный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срока"),I432,0)+M433-N433+IF('депозитный калькулятор'!$G$14="есть",0,-L433))))</f>
        <v xml:space="preserve"> </v>
      </c>
      <c r="P433" s="147" t="str">
        <f>IF(F433&gt;'депозитный калькулятор'!$D$8," ",IF(EOMONTH(F432,0)=F432,0,IF(G433&gt;='депозитный калькулятор'!$G$19,P432,P432+1)))</f>
        <v xml:space="preserve"> </v>
      </c>
      <c r="Q433" s="138" t="str">
        <f>IF(F433=" "," ",IF(AND(OR('депозитный калькулятор'!$G$7="30/365",'депозитный калькулятор'!$G$7="30/360"),AND(MONTH(F433)=2,EOMONTH(F433,0)=F433)),IF(DAY(F433)=28,3,2),1)*IF(G433&gt;='депозитный калькулятор'!$G$11,IF(AND('депозитный калькулятор'!$G$7="факт/факт",MOD(YEAR(F433),4)=0),G433*'депозитный калькулятор'!$D$11/366,G433*'депозитный калькулятор'!$G$8),0))</f>
        <v xml:space="preserve"> </v>
      </c>
      <c r="R433" s="158"/>
      <c r="S433" s="62" t="str">
        <f t="shared" ca="1" si="32"/>
        <v xml:space="preserve"> </v>
      </c>
      <c r="T433" s="149" t="str">
        <f ca="1">IF(S433=" "," ",IF('депозитный калькулятор'!$G$7="30/360",DAYS360(U432,IF(DAY(U433)=31,U433-1,U433))+IF(AND(MONTH(U433)=2,U433=EOMONTH(U433,0)),30-DAY(EOMONTH(U433,0)))+T432,VLOOKUP(S433,$C$22:$F$1023,2,0)))</f>
        <v xml:space="preserve"> </v>
      </c>
      <c r="U433" s="64" t="str">
        <f t="shared" ca="1" si="30"/>
        <v xml:space="preserve"> </v>
      </c>
      <c r="V433" s="150" t="str">
        <f t="shared" ca="1" si="33"/>
        <v xml:space="preserve"> </v>
      </c>
      <c r="W433" s="62" t="str">
        <f t="shared" ca="1" si="34"/>
        <v xml:space="preserve"> </v>
      </c>
      <c r="X433" s="141" t="str">
        <f ca="1">IF(S433=" "," ",IFERROR(VLOOKUP(U433,$F$23:$N$1023,7)+VLOOKUP(U433,$F$23:$N$1023,9)+IF(AND('депозитный калькулятор'!$G$13="нет",U433&lt;&gt;'депозитный калькулятор'!$D$8),VLOOKUP(U433,$F$23:$N$1023,4),0),0)+IF(U433='депозитный калькулятор'!$D$8,VLOOKUP(U433,$F$23:$N$1023,2)+VLOOKUP(U433,$F$23:$N$1023,4),0))</f>
        <v xml:space="preserve"> </v>
      </c>
      <c r="Y433" s="142" t="str">
        <f ca="1">IF(S433=" "," ",W433/(1+'депозитный калькулятор'!$K$8)^(T433/IF('депозитный калькулятор'!$G$7="30/360",360,365)))</f>
        <v xml:space="preserve"> </v>
      </c>
      <c r="Z433" s="142" t="str">
        <f ca="1">IF(S433=" "," ",X433/(1+'депозитный калькулятор'!$K$8)^(T433/IF('депозитный калькулятор'!$G$7="30/360",360,365)))</f>
        <v xml:space="preserve"> </v>
      </c>
      <c r="AA433" s="151"/>
      <c r="AB433" s="151"/>
      <c r="AC433" s="155"/>
      <c r="AD433" s="155"/>
    </row>
    <row r="434" spans="1:30" s="2" customFormat="1" ht="15.5" x14ac:dyDescent="0.35">
      <c r="A434" s="41" t="str">
        <f>IF(F434=" "," ",IF(OR('депозитный калькулятор'!$G$7="30/365",'депозитный калькулятор'!$G$7="30/360"),IF(AND(MONTH(F434)=2,DAY(F434)=DAY(EOMONTH(F434,0))),30-DAY(EOMONTH(F434,0)),IF(DAY(F434)=31,1," "))," "))</f>
        <v xml:space="preserve"> </v>
      </c>
      <c r="B434" s="130" t="str">
        <f t="shared" si="31"/>
        <v xml:space="preserve"> </v>
      </c>
      <c r="C434" s="130" t="str">
        <f>IF(OR(B434=0,B434=" ")," ",SUM($B$23:B434))</f>
        <v xml:space="preserve"> </v>
      </c>
      <c r="D434" s="62" t="str">
        <f>IF(D433=" "," ",IF(OR(F433='депозитный калькулятор'!$D$8,F433=" ")," ",D433+1))</f>
        <v xml:space="preserve"> </v>
      </c>
      <c r="E434" s="130" t="str">
        <f>IF(OR(F433='депозитный калькулятор'!$D$8,F433=" ")," ",IF(EOMONTH(F433,0)=F433,1,E433+1))</f>
        <v xml:space="preserve"> </v>
      </c>
      <c r="F434" s="64" t="str">
        <f>IF(F433=" "," ",IF(F433='депозитный калькулятор'!$D$8," ",F433+1))</f>
        <v xml:space="preserve"> </v>
      </c>
      <c r="G434" s="145" t="str">
        <f xml:space="preserve"> IF(F434&gt;'депозитный калькулятор'!$D$8," ",IF('депозитный калькулятор'!$G$13="есть",IF('депозитный калькулятор'!$G$14="есть",G433+IF(I433=" ",0,I433)-J434-K434+L434+M434-N434,G433+IF(I433=" ",0,I433)-J434-K434+M434-N434),IF('депозитный калькулятор'!$G$14="есть",G433-J434-K434+L434+M434-N434,G433-J434-K434+M434-N434)))</f>
        <v xml:space="preserve"> </v>
      </c>
      <c r="H434" s="133" t="str">
        <f>IF(F434&gt;'депозитный калькулятор'!$D$8," ",IF(AND(OR('депозитный калькулятор'!$G$7="30/365",'депозитный калькулятор'!$G$7="30/360"),AND(MONTH(F434)=2,EOMONTH(F434,0)=F434)),IF(DAY(F434)=28,3*G434*'депозитный калькулятор'!$G$8,2*G434*'депозитный калькулятор'!$G$8),IF(AND(OR('депозитный калькулятор'!$G$7="30/365",'депозитный калькулятор'!$G$7="30/360"),DAY(F434)=31)," ",IF(AND('депозитный калькулятор'!$G$7="факт/факт",MOD(YEAR(F434),4)=0),G434*'депозитный калькулятор'!$D$11/366,G434*'депозитный калькулятор'!$G$8))))</f>
        <v xml:space="preserve"> </v>
      </c>
      <c r="I434" s="134" t="str">
        <f ca="1">IF(F434=" "," ",IF('депозитный калькулятор'!$G$10="ежедневное",H434,IF(AND('депозитный калькулятор'!$G$10="еженедельное",WEEKDAY(F434,2)=7),SUM(OFFSET(H434,-6,0):H434),IF(AND('депозитный калькулятор'!$G$10="еженедельное",F434='депозитный калькулятор'!$D$8),SUM($H$23:H434)-SUM($I$23:I433),IF(AND('депозитный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недели",WEEKDAY(F434,2)=7),MIN(OFFSET(H434,-6,0):H434)*(COUNTIF(OFFSET(H434,-6,0):H434,"&gt;0")+SUMIF(OFFSET(A434,-WEEKDAY(F434,2),0):A434,"=2",OFFSET(A434,-WEEKDAY(F434,2),0):A434)),IF(AND('депозитный калькулятор'!$G$10="еженедельное, на минимальную сумму зафиксированную в течение недели",F434='депозитный калькулятор'!$D$8,WEEKDAY(F434,2)&lt;&gt;7),MIN(OFFSET(H434,-WEEKDAY(F434,2),0):H434)*(COUNTIF(OFFSET(H434,-WEEKDAY(F434,2)+1,0):H434,"&gt;0")+SUM(OFFSET(A434,-WEEKDAY(F434,2),0):A434)),IF(AND('депозитный калькулятор'!$G$10="ежемесячное (в конце месяца)",F434='депозитный калькулятор'!$D$8,EOMONTH(F434,0)&lt;&gt;F434),IF('депозитный калькулятор'!$F$1=1,$H$24,SUM($H$23:H434)-SUM($I$23:I433)),IF(AND('депозитный калькулятор'!$G$10="ежемесячное (в конце месяца)",EOMONTH(F434,0)=F434),SUM($H$23:H434)-SUM($I$23:I433),IF(AND('депозитный калькулятор'!$G$10="ежемесячное (по дням открытия вклада)",F434='депозитный калькулятор'!$D$8,DAY('депозитный калькулятор'!$D$7)&lt;&gt;DAY(F434)),IF('депозитный калькулятор'!$F$1=1,$H$24,SUM($H$23:H434)-SUM($I$23:I433)),IF(AND('депозитный калькулятор'!$G$10="ежемесячное (по дням открытия вклада)",DAY('депозитный калькулятор'!$D$7)=DAY(F434)),SUM($H$23:H434)-SUM($I$23:I433),IF(AND('депозитный калькулятор'!$G$10="ежемесячное, на минимальную сумму зафиксированную в течение месяца",F434='депозитный калькулятор'!$D$8,EOMONTH(F434,0)&lt;&gt;F434),IF('депозитный калькулятор'!$F$1=1,$H$24,IF(AND(OR('депозитный калькулятор'!$G$7="30/365",'депозитный калькулятор'!$G$7="30/360"),DAY(F434)=31),0,MIN(OFFSET(H434,-E434+1,0):H434)*(E434+SUMIF(OFFSET(A434,-E434+1,0):A434,"=2",OFFSET(A434,-E434+1,0):A434)))),IF(AND('депозитный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калькулятор'!$G$7="30/360"),DAY(EOMONTH(F434,0))=31),EOMONTH(F434,0)-1=F434,EOMONTH(F434,0)=F434)),IF(IF(AND(OR('депозитный калькулятор'!$G$7="30/365",'депозитный калькулятор'!$G$7="30/360"),DAY(EOMONTH($F$23,0))=31),F434=EOMONTH($F$23,0)-1,F434=EOMONTH($F$23,0)),MIN(OFFSET(H434,-(DAY(F434)-DAY($F$23)),0):H434)*E434,MIN(OFFSET(H434,-(DAY(F434)-1),0):H434)*IF(AND(OR('депозитный калькулятор'!$G$7="30/365",'депозитный калькулятор'!$G$7="30/360"),DAY(F434)&lt;30),30,DAY(F434))),IF(AND('депозитный калькулятор'!$G$10="ежемесячное, на средний остаток в течение месяца, при условии что остаток больше чем ограничение",F434='депозитный калькулятор'!$D$8,EOMONTH(F434,0)&lt;&gt;F434),IF('депозитный калькулятор'!$F$1=1,$H$24,SUM(OFFSET(Q434,-E434+1,0):Q434)),IF(AND('депозитный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калькулятор'!$G$7="30/360"),DAY(EOMONTH(F434,0))=31),EOMONTH(F434,0)-1=F434,EOMONTH(F434,0)=F434)),IF(IF(AND(OR('депозитный калькулятор'!$G$7="30/365",'депозитный калькулятор'!$G$7="30/360"),DAY(EOMONTH($F$24,0))=31),F434=EOMONTH($F$24,0)-1,F434=EOMONTH($F$24,0)),SUM(OFFSET(Q434,-E434+1,0):Q434),SUM(OFFSET(Q434,-E434+1,0):Q434)),IF('депозитный калькулятор'!$G$10="ежеквартальное",IF(F434&gt;'депозитный калькулятор'!$D$8," ",IF(AND(EOMONTH(F434,0)=F434,OR(MONTH(F434)=3,MONTH(F434)=6,MONTH(F434)=9,MONTH(F434)=12)),IF(EDATE(F434,-3)&lt;'депозитный калькулятор'!$D$7,SUM($H$23:H434),IF(MOD(YEAR(F434),4)=0,IF(AND(EOMONTH(F434,0)=F434,OR(MONTH(F434)=3,MONTH(F434)=6)),SUM(OFFSET(H434,-90,0):H434),IF(AND(EOMONTH(F434,0)=F434,OR(MONTH(F434)=9,MONTH(F434)=12)),SUM(OFFSET(H434,-91,0):H434))),IF(AND(EOMONTH(F434,0)=F434,MONTH(F434)=3),SUM(OFFSET(H434,-89,0):H434),IF(AND(EOMONTH(F434,0)=F434,MONTH(F434)=6),SUM(OFFSET(H434,-90,0):H434),IF(AND(EOMONTH(F434,0)=F434,OR(MONTH(F434)=9,MONTH(F434)=12)),SUM(OFFSET(H434,-91,0):H434)))))),IF(F434='депозитный калькулятор'!$D$8,SUM($H$23:H434)-SUM($I$23:I433),0))),IF('депозитный калькулятор'!$G$10="ежегодное",IF(F434&gt;'депозитный калькулятор'!$D$8," ",IF(F434='депозитный калькулятор'!$D$8,SUM($H$23:H434)-SUM($I$23:I433),IF(AND(EOMONTH(F434,0)=F434,MONTH(F434)=12),IF(MOD(YEAR(F433),4)=0,IF(F434-'депозитный калькулятор'!$D$7&lt;366,SUM($H$23:H434),SUM(OFFSET(H434,-365,0):H434)),IF(F434-'депозитный калькулятор'!$D$7&lt;365,SUM($H$23:H434),SUM(OFFSET(H434,-364,0):H434))),0))),IF(AND('депозитный калькулятор'!$G$10="в конце срока",'депозитный калькулятор'!$D$8=F434),SUM($H$23:H434),0))))))))))))))))))</f>
        <v xml:space="preserve"> </v>
      </c>
      <c r="J434" s="59" t="str">
        <f>IF(F434&gt;'депозитный калькулятор'!$D$8," ",IF('депозитный калькулятор'!$G$16="нет",0,IF(AND('депозитный калькулятор'!$G$17="разовая (в конце срока)",F434='депозитный калькулятор'!$D$8),'депозитный калькулятор'!$G$18,IF(AND('депозитный калькулятор'!$G$17="ежемесячная",EOMONTH(F433,0)=F433),'депозитный калькулятор'!$G$18,IF(AND('депозитный калькулятор'!$G$17="ежегодная",DAY(F433)=31,MONTH(F433)=12),'депозитный калькулятор'!$G$18,IF(AND('депозитный калькулятор'!$G$17="ежемесячная в зависимости от остатка",EOMONTH(F433,0)=F433,P433&gt;0),'депозитный калькулятор'!$G$18,IF(AND('депозитный калькулятор'!$G$17="ежегодная в зависимости от остатка",DAY(F433)=31,MONTH(F433)=12,P433&gt;0),'депозитный калькулятор'!$G$18,0)))))))</f>
        <v xml:space="preserve"> </v>
      </c>
      <c r="K434" s="135" t="str">
        <f>IF($F434=" "," ",IFERROR(VLOOKUP($F434,'депозитный калькулятор'!$B$26:$F$70,2,0),0))</f>
        <v xml:space="preserve"> </v>
      </c>
      <c r="L434" s="135" t="str">
        <f>IF($F434=" "," ",IFERROR(VLOOKUP($F434,'депозитный калькулятор'!$B$26:$F$70,3,0),0))</f>
        <v xml:space="preserve"> </v>
      </c>
      <c r="M434" s="135" t="str">
        <f>IF($F434=" "," ",IFERROR(VLOOKUP($F434,'депозитный калькулятор'!$B$26:$F$70,4,0),0))</f>
        <v xml:space="preserve"> </v>
      </c>
      <c r="N434" s="135" t="str">
        <f>IF($F434=" "," ",IFERROR(VLOOKUP($F434,'депозитный калькулятор'!$B$26:$F$70,5,0),0))</f>
        <v xml:space="preserve"> </v>
      </c>
      <c r="O434" s="146" t="str">
        <f>IF(F434&gt;'депозитный калькулятор'!$D$8," ",IF(F434='депозитный калькулятор'!$D$8,IF(AND($F$24='депозитный калькулятор'!$D$8,'депозитный калькулятор'!$G$13="нет"),-G434-IF(I434=" ",0,I434)-IF(AND(OR('депозитный калькулятор'!$G$7="30/365",'депозитный калькулятор'!$G$7="30/360"),'депозитный калькулятор'!$G$10="в начале срока"),I433,0)-L434+M434-N434,-G434-IF(I434=" ",0,I434)-L434+M434-N434),IF('депозитный калькулятор'!$G$13="есть",M434-N434+IF('депозитный калькулятор'!$G$14="есть",0,-L434),-IF(I434=" ",0,I434)-IF(AND(OR('депозитный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срока"),I433,0)+M434-N434+IF('депозитный калькулятор'!$G$14="есть",0,-L434))))</f>
        <v xml:space="preserve"> </v>
      </c>
      <c r="P434" s="147" t="str">
        <f>IF(F434&gt;'депозитный калькулятор'!$D$8," ",IF(EOMONTH(F433,0)=F433,0,IF(G434&gt;='депозитный калькулятор'!$G$19,P433,P433+1)))</f>
        <v xml:space="preserve"> </v>
      </c>
      <c r="Q434" s="138" t="str">
        <f>IF(F434=" "," ",IF(AND(OR('депозитный калькулятор'!$G$7="30/365",'депозитный калькулятор'!$G$7="30/360"),AND(MONTH(F434)=2,EOMONTH(F434,0)=F434)),IF(DAY(F434)=28,3,2),1)*IF(G434&gt;='депозитный калькулятор'!$G$11,IF(AND('депозитный калькулятор'!$G$7="факт/факт",MOD(YEAR(F434),4)=0),G434*'депозитный калькулятор'!$D$11/366,G434*'депозитный калькулятор'!$G$8),0))</f>
        <v xml:space="preserve"> </v>
      </c>
      <c r="R434" s="158"/>
      <c r="S434" s="62" t="str">
        <f t="shared" ca="1" si="32"/>
        <v xml:space="preserve"> </v>
      </c>
      <c r="T434" s="149" t="str">
        <f ca="1">IF(S434=" "," ",IF('депозитный калькулятор'!$G$7="30/360",DAYS360(U433,IF(DAY(U434)=31,U434-1,U434))+IF(AND(MONTH(U434)=2,U434=EOMONTH(U434,0)),30-DAY(EOMONTH(U434,0)))+T433,VLOOKUP(S434,$C$22:$F$1023,2,0)))</f>
        <v xml:space="preserve"> </v>
      </c>
      <c r="U434" s="64" t="str">
        <f t="shared" ca="1" si="30"/>
        <v xml:space="preserve"> </v>
      </c>
      <c r="V434" s="150" t="str">
        <f t="shared" ca="1" si="33"/>
        <v xml:space="preserve"> </v>
      </c>
      <c r="W434" s="62" t="str">
        <f t="shared" ca="1" si="34"/>
        <v xml:space="preserve"> </v>
      </c>
      <c r="X434" s="141" t="str">
        <f ca="1">IF(S434=" "," ",IFERROR(VLOOKUP(U434,$F$23:$N$1023,7)+VLOOKUP(U434,$F$23:$N$1023,9)+IF(AND('депозитный калькулятор'!$G$13="нет",U434&lt;&gt;'депозитный калькулятор'!$D$8),VLOOKUP(U434,$F$23:$N$1023,4),0),0)+IF(U434='депозитный калькулятор'!$D$8,VLOOKUP(U434,$F$23:$N$1023,2)+VLOOKUP(U434,$F$23:$N$1023,4),0))</f>
        <v xml:space="preserve"> </v>
      </c>
      <c r="Y434" s="142" t="str">
        <f ca="1">IF(S434=" "," ",W434/(1+'депозитный калькулятор'!$K$8)^(T434/IF('депозитный калькулятор'!$G$7="30/360",360,365)))</f>
        <v xml:space="preserve"> </v>
      </c>
      <c r="Z434" s="142" t="str">
        <f ca="1">IF(S434=" "," ",X434/(1+'депозитный калькулятор'!$K$8)^(T434/IF('депозитный калькулятор'!$G$7="30/360",360,365)))</f>
        <v xml:space="preserve"> </v>
      </c>
      <c r="AA434" s="151"/>
      <c r="AB434" s="151"/>
      <c r="AC434" s="155"/>
      <c r="AD434" s="155"/>
    </row>
    <row r="435" spans="1:30" s="2" customFormat="1" ht="15.5" x14ac:dyDescent="0.35">
      <c r="A435" s="41" t="str">
        <f>IF(F435=" "," ",IF(OR('депозитный калькулятор'!$G$7="30/365",'депозитный калькулятор'!$G$7="30/360"),IF(AND(MONTH(F435)=2,DAY(F435)=DAY(EOMONTH(F435,0))),30-DAY(EOMONTH(F435,0)),IF(DAY(F435)=31,1," "))," "))</f>
        <v xml:space="preserve"> </v>
      </c>
      <c r="B435" s="130" t="str">
        <f t="shared" si="31"/>
        <v xml:space="preserve"> </v>
      </c>
      <c r="C435" s="130" t="str">
        <f>IF(OR(B435=0,B435=" ")," ",SUM($B$23:B435))</f>
        <v xml:space="preserve"> </v>
      </c>
      <c r="D435" s="62" t="str">
        <f>IF(D434=" "," ",IF(OR(F434='депозитный калькулятор'!$D$8,F434=" ")," ",D434+1))</f>
        <v xml:space="preserve"> </v>
      </c>
      <c r="E435" s="130" t="str">
        <f>IF(OR(F434='депозитный калькулятор'!$D$8,F434=" ")," ",IF(EOMONTH(F434,0)=F434,1,E434+1))</f>
        <v xml:space="preserve"> </v>
      </c>
      <c r="F435" s="64" t="str">
        <f>IF(F434=" "," ",IF(F434='депозитный калькулятор'!$D$8," ",F434+1))</f>
        <v xml:space="preserve"> </v>
      </c>
      <c r="G435" s="145" t="str">
        <f xml:space="preserve"> IF(F435&gt;'депозитный калькулятор'!$D$8," ",IF('депозитный калькулятор'!$G$13="есть",IF('депозитный калькулятор'!$G$14="есть",G434+IF(I434=" ",0,I434)-J435-K435+L435+M435-N435,G434+IF(I434=" ",0,I434)-J435-K435+M435-N435),IF('депозитный калькулятор'!$G$14="есть",G434-J435-K435+L435+M435-N435,G434-J435-K435+M435-N435)))</f>
        <v xml:space="preserve"> </v>
      </c>
      <c r="H435" s="133" t="str">
        <f>IF(F435&gt;'депозитный калькулятор'!$D$8," ",IF(AND(OR('депозитный калькулятор'!$G$7="30/365",'депозитный калькулятор'!$G$7="30/360"),AND(MONTH(F435)=2,EOMONTH(F435,0)=F435)),IF(DAY(F435)=28,3*G435*'депозитный калькулятор'!$G$8,2*G435*'депозитный калькулятор'!$G$8),IF(AND(OR('депозитный калькулятор'!$G$7="30/365",'депозитный калькулятор'!$G$7="30/360"),DAY(F435)=31)," ",IF(AND('депозитный калькулятор'!$G$7="факт/факт",MOD(YEAR(F435),4)=0),G435*'депозитный калькулятор'!$D$11/366,G435*'депозитный калькулятор'!$G$8))))</f>
        <v xml:space="preserve"> </v>
      </c>
      <c r="I435" s="134" t="str">
        <f ca="1">IF(F435=" "," ",IF('депозитный калькулятор'!$G$10="ежедневное",H435,IF(AND('депозитный калькулятор'!$G$10="еженедельное",WEEKDAY(F435,2)=7),SUM(OFFSET(H435,-6,0):H435),IF(AND('депозитный калькулятор'!$G$10="еженедельное",F435='депозитный калькулятор'!$D$8),SUM($H$23:H435)-SUM($I$23:I434),IF(AND('депозитный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недели",WEEKDAY(F435,2)=7),MIN(OFFSET(H435,-6,0):H435)*(COUNTIF(OFFSET(H435,-6,0):H435,"&gt;0")+SUMIF(OFFSET(A435,-WEEKDAY(F435,2),0):A435,"=2",OFFSET(A435,-WEEKDAY(F435,2),0):A435)),IF(AND('депозитный калькулятор'!$G$10="еженедельное, на минимальную сумму зафиксированную в течение недели",F435='депозитный калькулятор'!$D$8,WEEKDAY(F435,2)&lt;&gt;7),MIN(OFFSET(H435,-WEEKDAY(F435,2),0):H435)*(COUNTIF(OFFSET(H435,-WEEKDAY(F435,2)+1,0):H435,"&gt;0")+SUM(OFFSET(A435,-WEEKDAY(F435,2),0):A435)),IF(AND('депозитный калькулятор'!$G$10="ежемесячное (в конце месяца)",F435='депозитный калькулятор'!$D$8,EOMONTH(F435,0)&lt;&gt;F435),IF('депозитный калькулятор'!$F$1=1,$H$24,SUM($H$23:H435)-SUM($I$23:I434)),IF(AND('депозитный калькулятор'!$G$10="ежемесячное (в конце месяца)",EOMONTH(F435,0)=F435),SUM($H$23:H435)-SUM($I$23:I434),IF(AND('депозитный калькулятор'!$G$10="ежемесячное (по дням открытия вклада)",F435='депозитный калькулятор'!$D$8,DAY('депозитный калькулятор'!$D$7)&lt;&gt;DAY(F435)),IF('депозитный калькулятор'!$F$1=1,$H$24,SUM($H$23:H435)-SUM($I$23:I434)),IF(AND('депозитный калькулятор'!$G$10="ежемесячное (по дням открытия вклада)",DAY('депозитный калькулятор'!$D$7)=DAY(F435)),SUM($H$23:H435)-SUM($I$23:I434),IF(AND('депозитный калькулятор'!$G$10="ежемесячное, на минимальную сумму зафиксированную в течение месяца",F435='депозитный калькулятор'!$D$8,EOMONTH(F435,0)&lt;&gt;F435),IF('депозитный калькулятор'!$F$1=1,$H$24,IF(AND(OR('депозитный калькулятор'!$G$7="30/365",'депозитный калькулятор'!$G$7="30/360"),DAY(F435)=31),0,MIN(OFFSET(H435,-E435+1,0):H435)*(E435+SUMIF(OFFSET(A435,-E435+1,0):A435,"=2",OFFSET(A435,-E435+1,0):A435)))),IF(AND('депозитный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калькулятор'!$G$7="30/360"),DAY(EOMONTH(F435,0))=31),EOMONTH(F435,0)-1=F435,EOMONTH(F435,0)=F435)),IF(IF(AND(OR('депозитный калькулятор'!$G$7="30/365",'депозитный калькулятор'!$G$7="30/360"),DAY(EOMONTH($F$23,0))=31),F435=EOMONTH($F$23,0)-1,F435=EOMONTH($F$23,0)),MIN(OFFSET(H435,-(DAY(F435)-DAY($F$23)),0):H435)*E435,MIN(OFFSET(H435,-(DAY(F435)-1),0):H435)*IF(AND(OR('депозитный калькулятор'!$G$7="30/365",'депозитный калькулятор'!$G$7="30/360"),DAY(F435)&lt;30),30,DAY(F435))),IF(AND('депозитный калькулятор'!$G$10="ежемесячное, на средний остаток в течение месяца, при условии что остаток больше чем ограничение",F435='депозитный калькулятор'!$D$8,EOMONTH(F435,0)&lt;&gt;F435),IF('депозитный калькулятор'!$F$1=1,$H$24,SUM(OFFSET(Q435,-E435+1,0):Q435)),IF(AND('депозитный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калькулятор'!$G$7="30/360"),DAY(EOMONTH(F435,0))=31),EOMONTH(F435,0)-1=F435,EOMONTH(F435,0)=F435)),IF(IF(AND(OR('депозитный калькулятор'!$G$7="30/365",'депозитный калькулятор'!$G$7="30/360"),DAY(EOMONTH($F$24,0))=31),F435=EOMONTH($F$24,0)-1,F435=EOMONTH($F$24,0)),SUM(OFFSET(Q435,-E435+1,0):Q435),SUM(OFFSET(Q435,-E435+1,0):Q435)),IF('депозитный калькулятор'!$G$10="ежеквартальное",IF(F435&gt;'депозитный калькулятор'!$D$8," ",IF(AND(EOMONTH(F435,0)=F435,OR(MONTH(F435)=3,MONTH(F435)=6,MONTH(F435)=9,MONTH(F435)=12)),IF(EDATE(F435,-3)&lt;'депозитный калькулятор'!$D$7,SUM($H$23:H435),IF(MOD(YEAR(F435),4)=0,IF(AND(EOMONTH(F435,0)=F435,OR(MONTH(F435)=3,MONTH(F435)=6)),SUM(OFFSET(H435,-90,0):H435),IF(AND(EOMONTH(F435,0)=F435,OR(MONTH(F435)=9,MONTH(F435)=12)),SUM(OFFSET(H435,-91,0):H435))),IF(AND(EOMONTH(F435,0)=F435,MONTH(F435)=3),SUM(OFFSET(H435,-89,0):H435),IF(AND(EOMONTH(F435,0)=F435,MONTH(F435)=6),SUM(OFFSET(H435,-90,0):H435),IF(AND(EOMONTH(F435,0)=F435,OR(MONTH(F435)=9,MONTH(F435)=12)),SUM(OFFSET(H435,-91,0):H435)))))),IF(F435='депозитный калькулятор'!$D$8,SUM($H$23:H435)-SUM($I$23:I434),0))),IF('депозитный калькулятор'!$G$10="ежегодное",IF(F435&gt;'депозитный калькулятор'!$D$8," ",IF(F435='депозитный калькулятор'!$D$8,SUM($H$23:H435)-SUM($I$23:I434),IF(AND(EOMONTH(F435,0)=F435,MONTH(F435)=12),IF(MOD(YEAR(F434),4)=0,IF(F435-'депозитный калькулятор'!$D$7&lt;366,SUM($H$23:H435),SUM(OFFSET(H435,-365,0):H435)),IF(F435-'депозитный калькулятор'!$D$7&lt;365,SUM($H$23:H435),SUM(OFFSET(H435,-364,0):H435))),0))),IF(AND('депозитный калькулятор'!$G$10="в конце срока",'депозитный калькулятор'!$D$8=F435),SUM($H$23:H435),0))))))))))))))))))</f>
        <v xml:space="preserve"> </v>
      </c>
      <c r="J435" s="59" t="str">
        <f>IF(F435&gt;'депозитный калькулятор'!$D$8," ",IF('депозитный калькулятор'!$G$16="нет",0,IF(AND('депозитный калькулятор'!$G$17="разовая (в конце срока)",F435='депозитный калькулятор'!$D$8),'депозитный калькулятор'!$G$18,IF(AND('депозитный калькулятор'!$G$17="ежемесячная",EOMONTH(F434,0)=F434),'депозитный калькулятор'!$G$18,IF(AND('депозитный калькулятор'!$G$17="ежегодная",DAY(F434)=31,MONTH(F434)=12),'депозитный калькулятор'!$G$18,IF(AND('депозитный калькулятор'!$G$17="ежемесячная в зависимости от остатка",EOMONTH(F434,0)=F434,P434&gt;0),'депозитный калькулятор'!$G$18,IF(AND('депозитный калькулятор'!$G$17="ежегодная в зависимости от остатка",DAY(F434)=31,MONTH(F434)=12,P434&gt;0),'депозитный калькулятор'!$G$18,0)))))))</f>
        <v xml:space="preserve"> </v>
      </c>
      <c r="K435" s="135" t="str">
        <f>IF($F435=" "," ",IFERROR(VLOOKUP($F435,'депозитный калькулятор'!$B$26:$F$70,2,0),0))</f>
        <v xml:space="preserve"> </v>
      </c>
      <c r="L435" s="135" t="str">
        <f>IF($F435=" "," ",IFERROR(VLOOKUP($F435,'депозитный калькулятор'!$B$26:$F$70,3,0),0))</f>
        <v xml:space="preserve"> </v>
      </c>
      <c r="M435" s="135" t="str">
        <f>IF($F435=" "," ",IFERROR(VLOOKUP($F435,'депозитный калькулятор'!$B$26:$F$70,4,0),0))</f>
        <v xml:space="preserve"> </v>
      </c>
      <c r="N435" s="135" t="str">
        <f>IF($F435=" "," ",IFERROR(VLOOKUP($F435,'депозитный калькулятор'!$B$26:$F$70,5,0),0))</f>
        <v xml:space="preserve"> </v>
      </c>
      <c r="O435" s="146" t="str">
        <f>IF(F435&gt;'депозитный калькулятор'!$D$8," ",IF(F435='депозитный калькулятор'!$D$8,IF(AND($F$24='депозитный калькулятор'!$D$8,'депозитный калькулятор'!$G$13="нет"),-G435-IF(I435=" ",0,I435)-IF(AND(OR('депозитный калькулятор'!$G$7="30/365",'депозитный калькулятор'!$G$7="30/360"),'депозитный калькулятор'!$G$10="в начале срока"),I434,0)-L435+M435-N435,-G435-IF(I435=" ",0,I435)-L435+M435-N435),IF('депозитный калькулятор'!$G$13="есть",M435-N435+IF('депозитный калькулятор'!$G$14="есть",0,-L435),-IF(I435=" ",0,I435)-IF(AND(OR('депозитный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срока"),I434,0)+M435-N435+IF('депозитный калькулятор'!$G$14="есть",0,-L435))))</f>
        <v xml:space="preserve"> </v>
      </c>
      <c r="P435" s="147" t="str">
        <f>IF(F435&gt;'депозитный калькулятор'!$D$8," ",IF(EOMONTH(F434,0)=F434,0,IF(G435&gt;='депозитный калькулятор'!$G$19,P434,P434+1)))</f>
        <v xml:space="preserve"> </v>
      </c>
      <c r="Q435" s="138" t="str">
        <f>IF(F435=" "," ",IF(AND(OR('депозитный калькулятор'!$G$7="30/365",'депозитный калькулятор'!$G$7="30/360"),AND(MONTH(F435)=2,EOMONTH(F435,0)=F435)),IF(DAY(F435)=28,3,2),1)*IF(G435&gt;='депозитный калькулятор'!$G$11,IF(AND('депозитный калькулятор'!$G$7="факт/факт",MOD(YEAR(F435),4)=0),G435*'депозитный калькулятор'!$D$11/366,G435*'депозитный калькулятор'!$G$8),0))</f>
        <v xml:space="preserve"> </v>
      </c>
      <c r="R435" s="158"/>
      <c r="S435" s="62" t="str">
        <f t="shared" ca="1" si="32"/>
        <v xml:space="preserve"> </v>
      </c>
      <c r="T435" s="149" t="str">
        <f ca="1">IF(S435=" "," ",IF('депозитный калькулятор'!$G$7="30/360",DAYS360(U434,IF(DAY(U435)=31,U435-1,U435))+IF(AND(MONTH(U435)=2,U435=EOMONTH(U435,0)),30-DAY(EOMONTH(U435,0)))+T434,VLOOKUP(S435,$C$22:$F$1023,2,0)))</f>
        <v xml:space="preserve"> </v>
      </c>
      <c r="U435" s="64" t="str">
        <f t="shared" ca="1" si="30"/>
        <v xml:space="preserve"> </v>
      </c>
      <c r="V435" s="150" t="str">
        <f t="shared" ca="1" si="33"/>
        <v xml:space="preserve"> </v>
      </c>
      <c r="W435" s="62" t="str">
        <f t="shared" ca="1" si="34"/>
        <v xml:space="preserve"> </v>
      </c>
      <c r="X435" s="141" t="str">
        <f ca="1">IF(S435=" "," ",IFERROR(VLOOKUP(U435,$F$23:$N$1023,7)+VLOOKUP(U435,$F$23:$N$1023,9)+IF(AND('депозитный калькулятор'!$G$13="нет",U435&lt;&gt;'депозитный калькулятор'!$D$8),VLOOKUP(U435,$F$23:$N$1023,4),0),0)+IF(U435='депозитный калькулятор'!$D$8,VLOOKUP(U435,$F$23:$N$1023,2)+VLOOKUP(U435,$F$23:$N$1023,4),0))</f>
        <v xml:space="preserve"> </v>
      </c>
      <c r="Y435" s="142" t="str">
        <f ca="1">IF(S435=" "," ",W435/(1+'депозитный калькулятор'!$K$8)^(T435/IF('депозитный калькулятор'!$G$7="30/360",360,365)))</f>
        <v xml:space="preserve"> </v>
      </c>
      <c r="Z435" s="142" t="str">
        <f ca="1">IF(S435=" "," ",X435/(1+'депозитный калькулятор'!$K$8)^(T435/IF('депозитный калькулятор'!$G$7="30/360",360,365)))</f>
        <v xml:space="preserve"> </v>
      </c>
      <c r="AA435" s="151"/>
      <c r="AB435" s="151"/>
      <c r="AC435" s="155"/>
      <c r="AD435" s="155"/>
    </row>
    <row r="436" spans="1:30" s="2" customFormat="1" ht="15.5" x14ac:dyDescent="0.35">
      <c r="A436" s="41" t="str">
        <f>IF(F436=" "," ",IF(OR('депозитный калькулятор'!$G$7="30/365",'депозитный калькулятор'!$G$7="30/360"),IF(AND(MONTH(F436)=2,DAY(F436)=DAY(EOMONTH(F436,0))),30-DAY(EOMONTH(F436,0)),IF(DAY(F436)=31,1," "))," "))</f>
        <v xml:space="preserve"> </v>
      </c>
      <c r="B436" s="130" t="str">
        <f t="shared" si="31"/>
        <v xml:space="preserve"> </v>
      </c>
      <c r="C436" s="130" t="str">
        <f>IF(OR(B436=0,B436=" ")," ",SUM($B$23:B436))</f>
        <v xml:space="preserve"> </v>
      </c>
      <c r="D436" s="62" t="str">
        <f>IF(D435=" "," ",IF(OR(F435='депозитный калькулятор'!$D$8,F435=" ")," ",D435+1))</f>
        <v xml:space="preserve"> </v>
      </c>
      <c r="E436" s="130" t="str">
        <f>IF(OR(F435='депозитный калькулятор'!$D$8,F435=" ")," ",IF(EOMONTH(F435,0)=F435,1,E435+1))</f>
        <v xml:space="preserve"> </v>
      </c>
      <c r="F436" s="64" t="str">
        <f>IF(F435=" "," ",IF(F435='депозитный калькулятор'!$D$8," ",F435+1))</f>
        <v xml:space="preserve"> </v>
      </c>
      <c r="G436" s="145" t="str">
        <f xml:space="preserve"> IF(F436&gt;'депозитный калькулятор'!$D$8," ",IF('депозитный калькулятор'!$G$13="есть",IF('депозитный калькулятор'!$G$14="есть",G435+IF(I435=" ",0,I435)-J436-K436+L436+M436-N436,G435+IF(I435=" ",0,I435)-J436-K436+M436-N436),IF('депозитный калькулятор'!$G$14="есть",G435-J436-K436+L436+M436-N436,G435-J436-K436+M436-N436)))</f>
        <v xml:space="preserve"> </v>
      </c>
      <c r="H436" s="133" t="str">
        <f>IF(F436&gt;'депозитный калькулятор'!$D$8," ",IF(AND(OR('депозитный калькулятор'!$G$7="30/365",'депозитный калькулятор'!$G$7="30/360"),AND(MONTH(F436)=2,EOMONTH(F436,0)=F436)),IF(DAY(F436)=28,3*G436*'депозитный калькулятор'!$G$8,2*G436*'депозитный калькулятор'!$G$8),IF(AND(OR('депозитный калькулятор'!$G$7="30/365",'депозитный калькулятор'!$G$7="30/360"),DAY(F436)=31)," ",IF(AND('депозитный калькулятор'!$G$7="факт/факт",MOD(YEAR(F436),4)=0),G436*'депозитный калькулятор'!$D$11/366,G436*'депозитный калькулятор'!$G$8))))</f>
        <v xml:space="preserve"> </v>
      </c>
      <c r="I436" s="134" t="str">
        <f ca="1">IF(F436=" "," ",IF('депозитный калькулятор'!$G$10="ежедневное",H436,IF(AND('депозитный калькулятор'!$G$10="еженедельное",WEEKDAY(F436,2)=7),SUM(OFFSET(H436,-6,0):H436),IF(AND('депозитный калькулятор'!$G$10="еженедельное",F436='депозитный калькулятор'!$D$8),SUM($H$23:H436)-SUM($I$23:I435),IF(AND('депозитный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недели",WEEKDAY(F436,2)=7),MIN(OFFSET(H436,-6,0):H436)*(COUNTIF(OFFSET(H436,-6,0):H436,"&gt;0")+SUMIF(OFFSET(A436,-WEEKDAY(F436,2),0):A436,"=2",OFFSET(A436,-WEEKDAY(F436,2),0):A436)),IF(AND('депозитный калькулятор'!$G$10="еженедельное, на минимальную сумму зафиксированную в течение недели",F436='депозитный калькулятор'!$D$8,WEEKDAY(F436,2)&lt;&gt;7),MIN(OFFSET(H436,-WEEKDAY(F436,2),0):H436)*(COUNTIF(OFFSET(H436,-WEEKDAY(F436,2)+1,0):H436,"&gt;0")+SUM(OFFSET(A436,-WEEKDAY(F436,2),0):A436)),IF(AND('депозитный калькулятор'!$G$10="ежемесячное (в конце месяца)",F436='депозитный калькулятор'!$D$8,EOMONTH(F436,0)&lt;&gt;F436),IF('депозитный калькулятор'!$F$1=1,$H$24,SUM($H$23:H436)-SUM($I$23:I435)),IF(AND('депозитный калькулятор'!$G$10="ежемесячное (в конце месяца)",EOMONTH(F436,0)=F436),SUM($H$23:H436)-SUM($I$23:I435),IF(AND('депозитный калькулятор'!$G$10="ежемесячное (по дням открытия вклада)",F436='депозитный калькулятор'!$D$8,DAY('депозитный калькулятор'!$D$7)&lt;&gt;DAY(F436)),IF('депозитный калькулятор'!$F$1=1,$H$24,SUM($H$23:H436)-SUM($I$23:I435)),IF(AND('депозитный калькулятор'!$G$10="ежемесячное (по дням открытия вклада)",DAY('депозитный калькулятор'!$D$7)=DAY(F436)),SUM($H$23:H436)-SUM($I$23:I435),IF(AND('депозитный калькулятор'!$G$10="ежемесячное, на минимальную сумму зафиксированную в течение месяца",F436='депозитный калькулятор'!$D$8,EOMONTH(F436,0)&lt;&gt;F436),IF('депозитный калькулятор'!$F$1=1,$H$24,IF(AND(OR('депозитный калькулятор'!$G$7="30/365",'депозитный калькулятор'!$G$7="30/360"),DAY(F436)=31),0,MIN(OFFSET(H436,-E436+1,0):H436)*(E436+SUMIF(OFFSET(A436,-E436+1,0):A436,"=2",OFFSET(A436,-E436+1,0):A436)))),IF(AND('депозитный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калькулятор'!$G$7="30/360"),DAY(EOMONTH(F436,0))=31),EOMONTH(F436,0)-1=F436,EOMONTH(F436,0)=F436)),IF(IF(AND(OR('депозитный калькулятор'!$G$7="30/365",'депозитный калькулятор'!$G$7="30/360"),DAY(EOMONTH($F$23,0))=31),F436=EOMONTH($F$23,0)-1,F436=EOMONTH($F$23,0)),MIN(OFFSET(H436,-(DAY(F436)-DAY($F$23)),0):H436)*E436,MIN(OFFSET(H436,-(DAY(F436)-1),0):H436)*IF(AND(OR('депозитный калькулятор'!$G$7="30/365",'депозитный калькулятор'!$G$7="30/360"),DAY(F436)&lt;30),30,DAY(F436))),IF(AND('депозитный калькулятор'!$G$10="ежемесячное, на средний остаток в течение месяца, при условии что остаток больше чем ограничение",F436='депозитный калькулятор'!$D$8,EOMONTH(F436,0)&lt;&gt;F436),IF('депозитный калькулятор'!$F$1=1,$H$24,SUM(OFFSET(Q436,-E436+1,0):Q436)),IF(AND('депозитный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калькулятор'!$G$7="30/360"),DAY(EOMONTH(F436,0))=31),EOMONTH(F436,0)-1=F436,EOMONTH(F436,0)=F436)),IF(IF(AND(OR('депозитный калькулятор'!$G$7="30/365",'депозитный калькулятор'!$G$7="30/360"),DAY(EOMONTH($F$24,0))=31),F436=EOMONTH($F$24,0)-1,F436=EOMONTH($F$24,0)),SUM(OFFSET(Q436,-E436+1,0):Q436),SUM(OFFSET(Q436,-E436+1,0):Q436)),IF('депозитный калькулятор'!$G$10="ежеквартальное",IF(F436&gt;'депозитный калькулятор'!$D$8," ",IF(AND(EOMONTH(F436,0)=F436,OR(MONTH(F436)=3,MONTH(F436)=6,MONTH(F436)=9,MONTH(F436)=12)),IF(EDATE(F436,-3)&lt;'депозитный калькулятор'!$D$7,SUM($H$23:H436),IF(MOD(YEAR(F436),4)=0,IF(AND(EOMONTH(F436,0)=F436,OR(MONTH(F436)=3,MONTH(F436)=6)),SUM(OFFSET(H436,-90,0):H436),IF(AND(EOMONTH(F436,0)=F436,OR(MONTH(F436)=9,MONTH(F436)=12)),SUM(OFFSET(H436,-91,0):H436))),IF(AND(EOMONTH(F436,0)=F436,MONTH(F436)=3),SUM(OFFSET(H436,-89,0):H436),IF(AND(EOMONTH(F436,0)=F436,MONTH(F436)=6),SUM(OFFSET(H436,-90,0):H436),IF(AND(EOMONTH(F436,0)=F436,OR(MONTH(F436)=9,MONTH(F436)=12)),SUM(OFFSET(H436,-91,0):H436)))))),IF(F436='депозитный калькулятор'!$D$8,SUM($H$23:H436)-SUM($I$23:I435),0))),IF('депозитный калькулятор'!$G$10="ежегодное",IF(F436&gt;'депозитный калькулятор'!$D$8," ",IF(F436='депозитный калькулятор'!$D$8,SUM($H$23:H436)-SUM($I$23:I435),IF(AND(EOMONTH(F436,0)=F436,MONTH(F436)=12),IF(MOD(YEAR(F435),4)=0,IF(F436-'депозитный калькулятор'!$D$7&lt;366,SUM($H$23:H436),SUM(OFFSET(H436,-365,0):H436)),IF(F436-'депозитный калькулятор'!$D$7&lt;365,SUM($H$23:H436),SUM(OFFSET(H436,-364,0):H436))),0))),IF(AND('депозитный калькулятор'!$G$10="в конце срока",'депозитный калькулятор'!$D$8=F436),SUM($H$23:H436),0))))))))))))))))))</f>
        <v xml:space="preserve"> </v>
      </c>
      <c r="J436" s="59" t="str">
        <f>IF(F436&gt;'депозитный калькулятор'!$D$8," ",IF('депозитный калькулятор'!$G$16="нет",0,IF(AND('депозитный калькулятор'!$G$17="разовая (в конце срока)",F436='депозитный калькулятор'!$D$8),'депозитный калькулятор'!$G$18,IF(AND('депозитный калькулятор'!$G$17="ежемесячная",EOMONTH(F435,0)=F435),'депозитный калькулятор'!$G$18,IF(AND('депозитный калькулятор'!$G$17="ежегодная",DAY(F435)=31,MONTH(F435)=12),'депозитный калькулятор'!$G$18,IF(AND('депозитный калькулятор'!$G$17="ежемесячная в зависимости от остатка",EOMONTH(F435,0)=F435,P435&gt;0),'депозитный калькулятор'!$G$18,IF(AND('депозитный калькулятор'!$G$17="ежегодная в зависимости от остатка",DAY(F435)=31,MONTH(F435)=12,P435&gt;0),'депозитный калькулятор'!$G$18,0)))))))</f>
        <v xml:space="preserve"> </v>
      </c>
      <c r="K436" s="135" t="str">
        <f>IF($F436=" "," ",IFERROR(VLOOKUP($F436,'депозитный калькулятор'!$B$26:$F$70,2,0),0))</f>
        <v xml:space="preserve"> </v>
      </c>
      <c r="L436" s="135" t="str">
        <f>IF($F436=" "," ",IFERROR(VLOOKUP($F436,'депозитный калькулятор'!$B$26:$F$70,3,0),0))</f>
        <v xml:space="preserve"> </v>
      </c>
      <c r="M436" s="135" t="str">
        <f>IF($F436=" "," ",IFERROR(VLOOKUP($F436,'депозитный калькулятор'!$B$26:$F$70,4,0),0))</f>
        <v xml:space="preserve"> </v>
      </c>
      <c r="N436" s="135" t="str">
        <f>IF($F436=" "," ",IFERROR(VLOOKUP($F436,'депозитный калькулятор'!$B$26:$F$70,5,0),0))</f>
        <v xml:space="preserve"> </v>
      </c>
      <c r="O436" s="146" t="str">
        <f>IF(F436&gt;'депозитный калькулятор'!$D$8," ",IF(F436='депозитный калькулятор'!$D$8,IF(AND($F$24='депозитный калькулятор'!$D$8,'депозитный калькулятор'!$G$13="нет"),-G436-IF(I436=" ",0,I436)-IF(AND(OR('депозитный калькулятор'!$G$7="30/365",'депозитный калькулятор'!$G$7="30/360"),'депозитный калькулятор'!$G$10="в начале срока"),I435,0)-L436+M436-N436,-G436-IF(I436=" ",0,I436)-L436+M436-N436),IF('депозитный калькулятор'!$G$13="есть",M436-N436+IF('депозитный калькулятор'!$G$14="есть",0,-L436),-IF(I436=" ",0,I436)-IF(AND(OR('депозитный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срока"),I435,0)+M436-N436+IF('депозитный калькулятор'!$G$14="есть",0,-L436))))</f>
        <v xml:space="preserve"> </v>
      </c>
      <c r="P436" s="147" t="str">
        <f>IF(F436&gt;'депозитный калькулятор'!$D$8," ",IF(EOMONTH(F435,0)=F435,0,IF(G436&gt;='депозитный калькулятор'!$G$19,P435,P435+1)))</f>
        <v xml:space="preserve"> </v>
      </c>
      <c r="Q436" s="138" t="str">
        <f>IF(F436=" "," ",IF(AND(OR('депозитный калькулятор'!$G$7="30/365",'депозитный калькулятор'!$G$7="30/360"),AND(MONTH(F436)=2,EOMONTH(F436,0)=F436)),IF(DAY(F436)=28,3,2),1)*IF(G436&gt;='депозитный калькулятор'!$G$11,IF(AND('депозитный калькулятор'!$G$7="факт/факт",MOD(YEAR(F436),4)=0),G436*'депозитный калькулятор'!$D$11/366,G436*'депозитный калькулятор'!$G$8),0))</f>
        <v xml:space="preserve"> </v>
      </c>
      <c r="R436" s="158"/>
      <c r="S436" s="62" t="str">
        <f t="shared" ca="1" si="32"/>
        <v xml:space="preserve"> </v>
      </c>
      <c r="T436" s="149" t="str">
        <f ca="1">IF(S436=" "," ",IF('депозитный калькулятор'!$G$7="30/360",DAYS360(U435,IF(DAY(U436)=31,U436-1,U436))+IF(AND(MONTH(U436)=2,U436=EOMONTH(U436,0)),30-DAY(EOMONTH(U436,0)))+T435,VLOOKUP(S436,$C$22:$F$1023,2,0)))</f>
        <v xml:space="preserve"> </v>
      </c>
      <c r="U436" s="64" t="str">
        <f t="shared" ca="1" si="30"/>
        <v xml:space="preserve"> </v>
      </c>
      <c r="V436" s="150" t="str">
        <f t="shared" ca="1" si="33"/>
        <v xml:space="preserve"> </v>
      </c>
      <c r="W436" s="62" t="str">
        <f t="shared" ca="1" si="34"/>
        <v xml:space="preserve"> </v>
      </c>
      <c r="X436" s="141" t="str">
        <f ca="1">IF(S436=" "," ",IFERROR(VLOOKUP(U436,$F$23:$N$1023,7)+VLOOKUP(U436,$F$23:$N$1023,9)+IF(AND('депозитный калькулятор'!$G$13="нет",U436&lt;&gt;'депозитный калькулятор'!$D$8),VLOOKUP(U436,$F$23:$N$1023,4),0),0)+IF(U436='депозитный калькулятор'!$D$8,VLOOKUP(U436,$F$23:$N$1023,2)+VLOOKUP(U436,$F$23:$N$1023,4),0))</f>
        <v xml:space="preserve"> </v>
      </c>
      <c r="Y436" s="142" t="str">
        <f ca="1">IF(S436=" "," ",W436/(1+'депозитный калькулятор'!$K$8)^(T436/IF('депозитный калькулятор'!$G$7="30/360",360,365)))</f>
        <v xml:space="preserve"> </v>
      </c>
      <c r="Z436" s="142" t="str">
        <f ca="1">IF(S436=" "," ",X436/(1+'депозитный калькулятор'!$K$8)^(T436/IF('депозитный калькулятор'!$G$7="30/360",360,365)))</f>
        <v xml:space="preserve"> </v>
      </c>
      <c r="AA436" s="151"/>
      <c r="AB436" s="151"/>
      <c r="AC436" s="155"/>
      <c r="AD436" s="155"/>
    </row>
    <row r="437" spans="1:30" s="2" customFormat="1" ht="15.5" x14ac:dyDescent="0.35">
      <c r="A437" s="41" t="str">
        <f>IF(F437=" "," ",IF(OR('депозитный калькулятор'!$G$7="30/365",'депозитный калькулятор'!$G$7="30/360"),IF(AND(MONTH(F437)=2,DAY(F437)=DAY(EOMONTH(F437,0))),30-DAY(EOMONTH(F437,0)),IF(DAY(F437)=31,1," "))," "))</f>
        <v xml:space="preserve"> </v>
      </c>
      <c r="B437" s="130" t="str">
        <f t="shared" si="31"/>
        <v xml:space="preserve"> </v>
      </c>
      <c r="C437" s="130" t="str">
        <f>IF(OR(B437=0,B437=" ")," ",SUM($B$23:B437))</f>
        <v xml:space="preserve"> </v>
      </c>
      <c r="D437" s="62" t="str">
        <f>IF(D436=" "," ",IF(OR(F436='депозитный калькулятор'!$D$8,F436=" ")," ",D436+1))</f>
        <v xml:space="preserve"> </v>
      </c>
      <c r="E437" s="130" t="str">
        <f>IF(OR(F436='депозитный калькулятор'!$D$8,F436=" ")," ",IF(EOMONTH(F436,0)=F436,1,E436+1))</f>
        <v xml:space="preserve"> </v>
      </c>
      <c r="F437" s="64" t="str">
        <f>IF(F436=" "," ",IF(F436='депозитный калькулятор'!$D$8," ",F436+1))</f>
        <v xml:space="preserve"> </v>
      </c>
      <c r="G437" s="145" t="str">
        <f xml:space="preserve"> IF(F437&gt;'депозитный калькулятор'!$D$8," ",IF('депозитный калькулятор'!$G$13="есть",IF('депозитный калькулятор'!$G$14="есть",G436+IF(I436=" ",0,I436)-J437-K437+L437+M437-N437,G436+IF(I436=" ",0,I436)-J437-K437+M437-N437),IF('депозитный калькулятор'!$G$14="есть",G436-J437-K437+L437+M437-N437,G436-J437-K437+M437-N437)))</f>
        <v xml:space="preserve"> </v>
      </c>
      <c r="H437" s="133" t="str">
        <f>IF(F437&gt;'депозитный калькулятор'!$D$8," ",IF(AND(OR('депозитный калькулятор'!$G$7="30/365",'депозитный калькулятор'!$G$7="30/360"),AND(MONTH(F437)=2,EOMONTH(F437,0)=F437)),IF(DAY(F437)=28,3*G437*'депозитный калькулятор'!$G$8,2*G437*'депозитный калькулятор'!$G$8),IF(AND(OR('депозитный калькулятор'!$G$7="30/365",'депозитный калькулятор'!$G$7="30/360"),DAY(F437)=31)," ",IF(AND('депозитный калькулятор'!$G$7="факт/факт",MOD(YEAR(F437),4)=0),G437*'депозитный калькулятор'!$D$11/366,G437*'депозитный калькулятор'!$G$8))))</f>
        <v xml:space="preserve"> </v>
      </c>
      <c r="I437" s="134" t="str">
        <f ca="1">IF(F437=" "," ",IF('депозитный калькулятор'!$G$10="ежедневное",H437,IF(AND('депозитный калькулятор'!$G$10="еженедельное",WEEKDAY(F437,2)=7),SUM(OFFSET(H437,-6,0):H437),IF(AND('депозитный калькулятор'!$G$10="еженедельное",F437='депозитный калькулятор'!$D$8),SUM($H$23:H437)-SUM($I$23:I436),IF(AND('депозитный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недели",WEEKDAY(F437,2)=7),MIN(OFFSET(H437,-6,0):H437)*(COUNTIF(OFFSET(H437,-6,0):H437,"&gt;0")+SUMIF(OFFSET(A437,-WEEKDAY(F437,2),0):A437,"=2",OFFSET(A437,-WEEKDAY(F437,2),0):A437)),IF(AND('депозитный калькулятор'!$G$10="еженедельное, на минимальную сумму зафиксированную в течение недели",F437='депозитный калькулятор'!$D$8,WEEKDAY(F437,2)&lt;&gt;7),MIN(OFFSET(H437,-WEEKDAY(F437,2),0):H437)*(COUNTIF(OFFSET(H437,-WEEKDAY(F437,2)+1,0):H437,"&gt;0")+SUM(OFFSET(A437,-WEEKDAY(F437,2),0):A437)),IF(AND('депозитный калькулятор'!$G$10="ежемесячное (в конце месяца)",F437='депозитный калькулятор'!$D$8,EOMONTH(F437,0)&lt;&gt;F437),IF('депозитный калькулятор'!$F$1=1,$H$24,SUM($H$23:H437)-SUM($I$23:I436)),IF(AND('депозитный калькулятор'!$G$10="ежемесячное (в конце месяца)",EOMONTH(F437,0)=F437),SUM($H$23:H437)-SUM($I$23:I436),IF(AND('депозитный калькулятор'!$G$10="ежемесячное (по дням открытия вклада)",F437='депозитный калькулятор'!$D$8,DAY('депозитный калькулятор'!$D$7)&lt;&gt;DAY(F437)),IF('депозитный калькулятор'!$F$1=1,$H$24,SUM($H$23:H437)-SUM($I$23:I436)),IF(AND('депозитный калькулятор'!$G$10="ежемесячное (по дням открытия вклада)",DAY('депозитный калькулятор'!$D$7)=DAY(F437)),SUM($H$23:H437)-SUM($I$23:I436),IF(AND('депозитный калькулятор'!$G$10="ежемесячное, на минимальную сумму зафиксированную в течение месяца",F437='депозитный калькулятор'!$D$8,EOMONTH(F437,0)&lt;&gt;F437),IF('депозитный калькулятор'!$F$1=1,$H$24,IF(AND(OR('депозитный калькулятор'!$G$7="30/365",'депозитный калькулятор'!$G$7="30/360"),DAY(F437)=31),0,MIN(OFFSET(H437,-E437+1,0):H437)*(E437+SUMIF(OFFSET(A437,-E437+1,0):A437,"=2",OFFSET(A437,-E437+1,0):A437)))),IF(AND('депозитный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калькулятор'!$G$7="30/360"),DAY(EOMONTH(F437,0))=31),EOMONTH(F437,0)-1=F437,EOMONTH(F437,0)=F437)),IF(IF(AND(OR('депозитный калькулятор'!$G$7="30/365",'депозитный калькулятор'!$G$7="30/360"),DAY(EOMONTH($F$23,0))=31),F437=EOMONTH($F$23,0)-1,F437=EOMONTH($F$23,0)),MIN(OFFSET(H437,-(DAY(F437)-DAY($F$23)),0):H437)*E437,MIN(OFFSET(H437,-(DAY(F437)-1),0):H437)*IF(AND(OR('депозитный калькулятор'!$G$7="30/365",'депозитный калькулятор'!$G$7="30/360"),DAY(F437)&lt;30),30,DAY(F437))),IF(AND('депозитный калькулятор'!$G$10="ежемесячное, на средний остаток в течение месяца, при условии что остаток больше чем ограничение",F437='депозитный калькулятор'!$D$8,EOMONTH(F437,0)&lt;&gt;F437),IF('депозитный калькулятор'!$F$1=1,$H$24,SUM(OFFSET(Q437,-E437+1,0):Q437)),IF(AND('депозитный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калькулятор'!$G$7="30/360"),DAY(EOMONTH(F437,0))=31),EOMONTH(F437,0)-1=F437,EOMONTH(F437,0)=F437)),IF(IF(AND(OR('депозитный калькулятор'!$G$7="30/365",'депозитный калькулятор'!$G$7="30/360"),DAY(EOMONTH($F$24,0))=31),F437=EOMONTH($F$24,0)-1,F437=EOMONTH($F$24,0)),SUM(OFFSET(Q437,-E437+1,0):Q437),SUM(OFFSET(Q437,-E437+1,0):Q437)),IF('депозитный калькулятор'!$G$10="ежеквартальное",IF(F437&gt;'депозитный калькулятор'!$D$8," ",IF(AND(EOMONTH(F437,0)=F437,OR(MONTH(F437)=3,MONTH(F437)=6,MONTH(F437)=9,MONTH(F437)=12)),IF(EDATE(F437,-3)&lt;'депозитный калькулятор'!$D$7,SUM($H$23:H437),IF(MOD(YEAR(F437),4)=0,IF(AND(EOMONTH(F437,0)=F437,OR(MONTH(F437)=3,MONTH(F437)=6)),SUM(OFFSET(H437,-90,0):H437),IF(AND(EOMONTH(F437,0)=F437,OR(MONTH(F437)=9,MONTH(F437)=12)),SUM(OFFSET(H437,-91,0):H437))),IF(AND(EOMONTH(F437,0)=F437,MONTH(F437)=3),SUM(OFFSET(H437,-89,0):H437),IF(AND(EOMONTH(F437,0)=F437,MONTH(F437)=6),SUM(OFFSET(H437,-90,0):H437),IF(AND(EOMONTH(F437,0)=F437,OR(MONTH(F437)=9,MONTH(F437)=12)),SUM(OFFSET(H437,-91,0):H437)))))),IF(F437='депозитный калькулятор'!$D$8,SUM($H$23:H437)-SUM($I$23:I436),0))),IF('депозитный калькулятор'!$G$10="ежегодное",IF(F437&gt;'депозитный калькулятор'!$D$8," ",IF(F437='депозитный калькулятор'!$D$8,SUM($H$23:H437)-SUM($I$23:I436),IF(AND(EOMONTH(F437,0)=F437,MONTH(F437)=12),IF(MOD(YEAR(F436),4)=0,IF(F437-'депозитный калькулятор'!$D$7&lt;366,SUM($H$23:H437),SUM(OFFSET(H437,-365,0):H437)),IF(F437-'депозитный калькулятор'!$D$7&lt;365,SUM($H$23:H437),SUM(OFFSET(H437,-364,0):H437))),0))),IF(AND('депозитный калькулятор'!$G$10="в конце срока",'депозитный калькулятор'!$D$8=F437),SUM($H$23:H437),0))))))))))))))))))</f>
        <v xml:space="preserve"> </v>
      </c>
      <c r="J437" s="59" t="str">
        <f>IF(F437&gt;'депозитный калькулятор'!$D$8," ",IF('депозитный калькулятор'!$G$16="нет",0,IF(AND('депозитный калькулятор'!$G$17="разовая (в конце срока)",F437='депозитный калькулятор'!$D$8),'депозитный калькулятор'!$G$18,IF(AND('депозитный калькулятор'!$G$17="ежемесячная",EOMONTH(F436,0)=F436),'депозитный калькулятор'!$G$18,IF(AND('депозитный калькулятор'!$G$17="ежегодная",DAY(F436)=31,MONTH(F436)=12),'депозитный калькулятор'!$G$18,IF(AND('депозитный калькулятор'!$G$17="ежемесячная в зависимости от остатка",EOMONTH(F436,0)=F436,P436&gt;0),'депозитный калькулятор'!$G$18,IF(AND('депозитный калькулятор'!$G$17="ежегодная в зависимости от остатка",DAY(F436)=31,MONTH(F436)=12,P436&gt;0),'депозитный калькулятор'!$G$18,0)))))))</f>
        <v xml:space="preserve"> </v>
      </c>
      <c r="K437" s="135" t="str">
        <f>IF($F437=" "," ",IFERROR(VLOOKUP($F437,'депозитный калькулятор'!$B$26:$F$70,2,0),0))</f>
        <v xml:space="preserve"> </v>
      </c>
      <c r="L437" s="135" t="str">
        <f>IF($F437=" "," ",IFERROR(VLOOKUP($F437,'депозитный калькулятор'!$B$26:$F$70,3,0),0))</f>
        <v xml:space="preserve"> </v>
      </c>
      <c r="M437" s="135" t="str">
        <f>IF($F437=" "," ",IFERROR(VLOOKUP($F437,'депозитный калькулятор'!$B$26:$F$70,4,0),0))</f>
        <v xml:space="preserve"> </v>
      </c>
      <c r="N437" s="135" t="str">
        <f>IF($F437=" "," ",IFERROR(VLOOKUP($F437,'депозитный калькулятор'!$B$26:$F$70,5,0),0))</f>
        <v xml:space="preserve"> </v>
      </c>
      <c r="O437" s="146" t="str">
        <f>IF(F437&gt;'депозитный калькулятор'!$D$8," ",IF(F437='депозитный калькулятор'!$D$8,IF(AND($F$24='депозитный калькулятор'!$D$8,'депозитный калькулятор'!$G$13="нет"),-G437-IF(I437=" ",0,I437)-IF(AND(OR('депозитный калькулятор'!$G$7="30/365",'депозитный калькулятор'!$G$7="30/360"),'депозитный калькулятор'!$G$10="в начале срока"),I436,0)-L437+M437-N437,-G437-IF(I437=" ",0,I437)-L437+M437-N437),IF('депозитный калькулятор'!$G$13="есть",M437-N437+IF('депозитный калькулятор'!$G$14="есть",0,-L437),-IF(I437=" ",0,I437)-IF(AND(OR('депозитный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срока"),I436,0)+M437-N437+IF('депозитный калькулятор'!$G$14="есть",0,-L437))))</f>
        <v xml:space="preserve"> </v>
      </c>
      <c r="P437" s="147" t="str">
        <f>IF(F437&gt;'депозитный калькулятор'!$D$8," ",IF(EOMONTH(F436,0)=F436,0,IF(G437&gt;='депозитный калькулятор'!$G$19,P436,P436+1)))</f>
        <v xml:space="preserve"> </v>
      </c>
      <c r="Q437" s="138" t="str">
        <f>IF(F437=" "," ",IF(AND(OR('депозитный калькулятор'!$G$7="30/365",'депозитный калькулятор'!$G$7="30/360"),AND(MONTH(F437)=2,EOMONTH(F437,0)=F437)),IF(DAY(F437)=28,3,2),1)*IF(G437&gt;='депозитный калькулятор'!$G$11,IF(AND('депозитный калькулятор'!$G$7="факт/факт",MOD(YEAR(F437),4)=0),G437*'депозитный калькулятор'!$D$11/366,G437*'депозитный калькулятор'!$G$8),0))</f>
        <v xml:space="preserve"> </v>
      </c>
      <c r="R437" s="158"/>
      <c r="S437" s="62" t="str">
        <f t="shared" ca="1" si="32"/>
        <v xml:space="preserve"> </v>
      </c>
      <c r="T437" s="149" t="str">
        <f ca="1">IF(S437=" "," ",IF('депозитный калькулятор'!$G$7="30/360",DAYS360(U436,IF(DAY(U437)=31,U437-1,U437))+IF(AND(MONTH(U437)=2,U437=EOMONTH(U437,0)),30-DAY(EOMONTH(U437,0)))+T436,VLOOKUP(S437,$C$22:$F$1023,2,0)))</f>
        <v xml:space="preserve"> </v>
      </c>
      <c r="U437" s="64" t="str">
        <f t="shared" ca="1" si="30"/>
        <v xml:space="preserve"> </v>
      </c>
      <c r="V437" s="150" t="str">
        <f t="shared" ca="1" si="33"/>
        <v xml:space="preserve"> </v>
      </c>
      <c r="W437" s="62" t="str">
        <f t="shared" ca="1" si="34"/>
        <v xml:space="preserve"> </v>
      </c>
      <c r="X437" s="141" t="str">
        <f ca="1">IF(S437=" "," ",IFERROR(VLOOKUP(U437,$F$23:$N$1023,7)+VLOOKUP(U437,$F$23:$N$1023,9)+IF(AND('депозитный калькулятор'!$G$13="нет",U437&lt;&gt;'депозитный калькулятор'!$D$8),VLOOKUP(U437,$F$23:$N$1023,4),0),0)+IF(U437='депозитный калькулятор'!$D$8,VLOOKUP(U437,$F$23:$N$1023,2)+VLOOKUP(U437,$F$23:$N$1023,4),0))</f>
        <v xml:space="preserve"> </v>
      </c>
      <c r="Y437" s="142" t="str">
        <f ca="1">IF(S437=" "," ",W437/(1+'депозитный калькулятор'!$K$8)^(T437/IF('депозитный калькулятор'!$G$7="30/360",360,365)))</f>
        <v xml:space="preserve"> </v>
      </c>
      <c r="Z437" s="142" t="str">
        <f ca="1">IF(S437=" "," ",X437/(1+'депозитный калькулятор'!$K$8)^(T437/IF('депозитный калькулятор'!$G$7="30/360",360,365)))</f>
        <v xml:space="preserve"> </v>
      </c>
      <c r="AA437" s="151"/>
      <c r="AB437" s="151"/>
      <c r="AC437" s="155"/>
      <c r="AD437" s="155"/>
    </row>
    <row r="438" spans="1:30" s="2" customFormat="1" ht="15.5" x14ac:dyDescent="0.35">
      <c r="A438" s="41" t="str">
        <f>IF(F438=" "," ",IF(OR('депозитный калькулятор'!$G$7="30/365",'депозитный калькулятор'!$G$7="30/360"),IF(AND(MONTH(F438)=2,DAY(F438)=DAY(EOMONTH(F438,0))),30-DAY(EOMONTH(F438,0)),IF(DAY(F438)=31,1," "))," "))</f>
        <v xml:space="preserve"> </v>
      </c>
      <c r="B438" s="130" t="str">
        <f t="shared" si="31"/>
        <v xml:space="preserve"> </v>
      </c>
      <c r="C438" s="130" t="str">
        <f>IF(OR(B438=0,B438=" ")," ",SUM($B$23:B438))</f>
        <v xml:space="preserve"> </v>
      </c>
      <c r="D438" s="62" t="str">
        <f>IF(D437=" "," ",IF(OR(F437='депозитный калькулятор'!$D$8,F437=" ")," ",D437+1))</f>
        <v xml:space="preserve"> </v>
      </c>
      <c r="E438" s="130" t="str">
        <f>IF(OR(F437='депозитный калькулятор'!$D$8,F437=" ")," ",IF(EOMONTH(F437,0)=F437,1,E437+1))</f>
        <v xml:space="preserve"> </v>
      </c>
      <c r="F438" s="64" t="str">
        <f>IF(F437=" "," ",IF(F437='депозитный калькулятор'!$D$8," ",F437+1))</f>
        <v xml:space="preserve"> </v>
      </c>
      <c r="G438" s="145" t="str">
        <f xml:space="preserve"> IF(F438&gt;'депозитный калькулятор'!$D$8," ",IF('депозитный калькулятор'!$G$13="есть",IF('депозитный калькулятор'!$G$14="есть",G437+IF(I437=" ",0,I437)-J438-K438+L438+M438-N438,G437+IF(I437=" ",0,I437)-J438-K438+M438-N438),IF('депозитный калькулятор'!$G$14="есть",G437-J438-K438+L438+M438-N438,G437-J438-K438+M438-N438)))</f>
        <v xml:space="preserve"> </v>
      </c>
      <c r="H438" s="133" t="str">
        <f>IF(F438&gt;'депозитный калькулятор'!$D$8," ",IF(AND(OR('депозитный калькулятор'!$G$7="30/365",'депозитный калькулятор'!$G$7="30/360"),AND(MONTH(F438)=2,EOMONTH(F438,0)=F438)),IF(DAY(F438)=28,3*G438*'депозитный калькулятор'!$G$8,2*G438*'депозитный калькулятор'!$G$8),IF(AND(OR('депозитный калькулятор'!$G$7="30/365",'депозитный калькулятор'!$G$7="30/360"),DAY(F438)=31)," ",IF(AND('депозитный калькулятор'!$G$7="факт/факт",MOD(YEAR(F438),4)=0),G438*'депозитный калькулятор'!$D$11/366,G438*'депозитный калькулятор'!$G$8))))</f>
        <v xml:space="preserve"> </v>
      </c>
      <c r="I438" s="134" t="str">
        <f ca="1">IF(F438=" "," ",IF('депозитный калькулятор'!$G$10="ежедневное",H438,IF(AND('депозитный калькулятор'!$G$10="еженедельное",WEEKDAY(F438,2)=7),SUM(OFFSET(H438,-6,0):H438),IF(AND('депозитный калькулятор'!$G$10="еженедельное",F438='депозитный калькулятор'!$D$8),SUM($H$23:H438)-SUM($I$23:I437),IF(AND('депозитный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недели",WEEKDAY(F438,2)=7),MIN(OFFSET(H438,-6,0):H438)*(COUNTIF(OFFSET(H438,-6,0):H438,"&gt;0")+SUMIF(OFFSET(A438,-WEEKDAY(F438,2),0):A438,"=2",OFFSET(A438,-WEEKDAY(F438,2),0):A438)),IF(AND('депозитный калькулятор'!$G$10="еженедельное, на минимальную сумму зафиксированную в течение недели",F438='депозитный калькулятор'!$D$8,WEEKDAY(F438,2)&lt;&gt;7),MIN(OFFSET(H438,-WEEKDAY(F438,2),0):H438)*(COUNTIF(OFFSET(H438,-WEEKDAY(F438,2)+1,0):H438,"&gt;0")+SUM(OFFSET(A438,-WEEKDAY(F438,2),0):A438)),IF(AND('депозитный калькулятор'!$G$10="ежемесячное (в конце месяца)",F438='депозитный калькулятор'!$D$8,EOMONTH(F438,0)&lt;&gt;F438),IF('депозитный калькулятор'!$F$1=1,$H$24,SUM($H$23:H438)-SUM($I$23:I437)),IF(AND('депозитный калькулятор'!$G$10="ежемесячное (в конце месяца)",EOMONTH(F438,0)=F438),SUM($H$23:H438)-SUM($I$23:I437),IF(AND('депозитный калькулятор'!$G$10="ежемесячное (по дням открытия вклада)",F438='депозитный калькулятор'!$D$8,DAY('депозитный калькулятор'!$D$7)&lt;&gt;DAY(F438)),IF('депозитный калькулятор'!$F$1=1,$H$24,SUM($H$23:H438)-SUM($I$23:I437)),IF(AND('депозитный калькулятор'!$G$10="ежемесячное (по дням открытия вклада)",DAY('депозитный калькулятор'!$D$7)=DAY(F438)),SUM($H$23:H438)-SUM($I$23:I437),IF(AND('депозитный калькулятор'!$G$10="ежемесячное, на минимальную сумму зафиксированную в течение месяца",F438='депозитный калькулятор'!$D$8,EOMONTH(F438,0)&lt;&gt;F438),IF('депозитный калькулятор'!$F$1=1,$H$24,IF(AND(OR('депозитный калькулятор'!$G$7="30/365",'депозитный калькулятор'!$G$7="30/360"),DAY(F438)=31),0,MIN(OFFSET(H438,-E438+1,0):H438)*(E438+SUMIF(OFFSET(A438,-E438+1,0):A438,"=2",OFFSET(A438,-E438+1,0):A438)))),IF(AND('депозитный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калькулятор'!$G$7="30/360"),DAY(EOMONTH(F438,0))=31),EOMONTH(F438,0)-1=F438,EOMONTH(F438,0)=F438)),IF(IF(AND(OR('депозитный калькулятор'!$G$7="30/365",'депозитный калькулятор'!$G$7="30/360"),DAY(EOMONTH($F$23,0))=31),F438=EOMONTH($F$23,0)-1,F438=EOMONTH($F$23,0)),MIN(OFFSET(H438,-(DAY(F438)-DAY($F$23)),0):H438)*E438,MIN(OFFSET(H438,-(DAY(F438)-1),0):H438)*IF(AND(OR('депозитный калькулятор'!$G$7="30/365",'депозитный калькулятор'!$G$7="30/360"),DAY(F438)&lt;30),30,DAY(F438))),IF(AND('депозитный калькулятор'!$G$10="ежемесячное, на средний остаток в течение месяца, при условии что остаток больше чем ограничение",F438='депозитный калькулятор'!$D$8,EOMONTH(F438,0)&lt;&gt;F438),IF('депозитный калькулятор'!$F$1=1,$H$24,SUM(OFFSET(Q438,-E438+1,0):Q438)),IF(AND('депозитный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калькулятор'!$G$7="30/360"),DAY(EOMONTH(F438,0))=31),EOMONTH(F438,0)-1=F438,EOMONTH(F438,0)=F438)),IF(IF(AND(OR('депозитный калькулятор'!$G$7="30/365",'депозитный калькулятор'!$G$7="30/360"),DAY(EOMONTH($F$24,0))=31),F438=EOMONTH($F$24,0)-1,F438=EOMONTH($F$24,0)),SUM(OFFSET(Q438,-E438+1,0):Q438),SUM(OFFSET(Q438,-E438+1,0):Q438)),IF('депозитный калькулятор'!$G$10="ежеквартальное",IF(F438&gt;'депозитный калькулятор'!$D$8," ",IF(AND(EOMONTH(F438,0)=F438,OR(MONTH(F438)=3,MONTH(F438)=6,MONTH(F438)=9,MONTH(F438)=12)),IF(EDATE(F438,-3)&lt;'депозитный калькулятор'!$D$7,SUM($H$23:H438),IF(MOD(YEAR(F438),4)=0,IF(AND(EOMONTH(F438,0)=F438,OR(MONTH(F438)=3,MONTH(F438)=6)),SUM(OFFSET(H438,-90,0):H438),IF(AND(EOMONTH(F438,0)=F438,OR(MONTH(F438)=9,MONTH(F438)=12)),SUM(OFFSET(H438,-91,0):H438))),IF(AND(EOMONTH(F438,0)=F438,MONTH(F438)=3),SUM(OFFSET(H438,-89,0):H438),IF(AND(EOMONTH(F438,0)=F438,MONTH(F438)=6),SUM(OFFSET(H438,-90,0):H438),IF(AND(EOMONTH(F438,0)=F438,OR(MONTH(F438)=9,MONTH(F438)=12)),SUM(OFFSET(H438,-91,0):H438)))))),IF(F438='депозитный калькулятор'!$D$8,SUM($H$23:H438)-SUM($I$23:I437),0))),IF('депозитный калькулятор'!$G$10="ежегодное",IF(F438&gt;'депозитный калькулятор'!$D$8," ",IF(F438='депозитный калькулятор'!$D$8,SUM($H$23:H438)-SUM($I$23:I437),IF(AND(EOMONTH(F438,0)=F438,MONTH(F438)=12),IF(MOD(YEAR(F437),4)=0,IF(F438-'депозитный калькулятор'!$D$7&lt;366,SUM($H$23:H438),SUM(OFFSET(H438,-365,0):H438)),IF(F438-'депозитный калькулятор'!$D$7&lt;365,SUM($H$23:H438),SUM(OFFSET(H438,-364,0):H438))),0))),IF(AND('депозитный калькулятор'!$G$10="в конце срока",'депозитный калькулятор'!$D$8=F438),SUM($H$23:H438),0))))))))))))))))))</f>
        <v xml:space="preserve"> </v>
      </c>
      <c r="J438" s="59" t="str">
        <f>IF(F438&gt;'депозитный калькулятор'!$D$8," ",IF('депозитный калькулятор'!$G$16="нет",0,IF(AND('депозитный калькулятор'!$G$17="разовая (в конце срока)",F438='депозитный калькулятор'!$D$8),'депозитный калькулятор'!$G$18,IF(AND('депозитный калькулятор'!$G$17="ежемесячная",EOMONTH(F437,0)=F437),'депозитный калькулятор'!$G$18,IF(AND('депозитный калькулятор'!$G$17="ежегодная",DAY(F437)=31,MONTH(F437)=12),'депозитный калькулятор'!$G$18,IF(AND('депозитный калькулятор'!$G$17="ежемесячная в зависимости от остатка",EOMONTH(F437,0)=F437,P437&gt;0),'депозитный калькулятор'!$G$18,IF(AND('депозитный калькулятор'!$G$17="ежегодная в зависимости от остатка",DAY(F437)=31,MONTH(F437)=12,P437&gt;0),'депозитный калькулятор'!$G$18,0)))))))</f>
        <v xml:space="preserve"> </v>
      </c>
      <c r="K438" s="135" t="str">
        <f>IF($F438=" "," ",IFERROR(VLOOKUP($F438,'депозитный калькулятор'!$B$26:$F$70,2,0),0))</f>
        <v xml:space="preserve"> </v>
      </c>
      <c r="L438" s="135" t="str">
        <f>IF($F438=" "," ",IFERROR(VLOOKUP($F438,'депозитный калькулятор'!$B$26:$F$70,3,0),0))</f>
        <v xml:space="preserve"> </v>
      </c>
      <c r="M438" s="135" t="str">
        <f>IF($F438=" "," ",IFERROR(VLOOKUP($F438,'депозитный калькулятор'!$B$26:$F$70,4,0),0))</f>
        <v xml:space="preserve"> </v>
      </c>
      <c r="N438" s="135" t="str">
        <f>IF($F438=" "," ",IFERROR(VLOOKUP($F438,'депозитный калькулятор'!$B$26:$F$70,5,0),0))</f>
        <v xml:space="preserve"> </v>
      </c>
      <c r="O438" s="146" t="str">
        <f>IF(F438&gt;'депозитный калькулятор'!$D$8," ",IF(F438='депозитный калькулятор'!$D$8,IF(AND($F$24='депозитный калькулятор'!$D$8,'депозитный калькулятор'!$G$13="нет"),-G438-IF(I438=" ",0,I438)-IF(AND(OR('депозитный калькулятор'!$G$7="30/365",'депозитный калькулятор'!$G$7="30/360"),'депозитный калькулятор'!$G$10="в начале срока"),I437,0)-L438+M438-N438,-G438-IF(I438=" ",0,I438)-L438+M438-N438),IF('депозитный калькулятор'!$G$13="есть",M438-N438+IF('депозитный калькулятор'!$G$14="есть",0,-L438),-IF(I438=" ",0,I438)-IF(AND(OR('депозитный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срока"),I437,0)+M438-N438+IF('депозитный калькулятор'!$G$14="есть",0,-L438))))</f>
        <v xml:space="preserve"> </v>
      </c>
      <c r="P438" s="147" t="str">
        <f>IF(F438&gt;'депозитный калькулятор'!$D$8," ",IF(EOMONTH(F437,0)=F437,0,IF(G438&gt;='депозитный калькулятор'!$G$19,P437,P437+1)))</f>
        <v xml:space="preserve"> </v>
      </c>
      <c r="Q438" s="138" t="str">
        <f>IF(F438=" "," ",IF(AND(OR('депозитный калькулятор'!$G$7="30/365",'депозитный калькулятор'!$G$7="30/360"),AND(MONTH(F438)=2,EOMONTH(F438,0)=F438)),IF(DAY(F438)=28,3,2),1)*IF(G438&gt;='депозитный калькулятор'!$G$11,IF(AND('депозитный калькулятор'!$G$7="факт/факт",MOD(YEAR(F438),4)=0),G438*'депозитный калькулятор'!$D$11/366,G438*'депозитный калькулятор'!$G$8),0))</f>
        <v xml:space="preserve"> </v>
      </c>
      <c r="R438" s="158"/>
      <c r="S438" s="62" t="str">
        <f t="shared" ca="1" si="32"/>
        <v xml:space="preserve"> </v>
      </c>
      <c r="T438" s="149" t="str">
        <f ca="1">IF(S438=" "," ",IF('депозитный калькулятор'!$G$7="30/360",DAYS360(U437,IF(DAY(U438)=31,U438-1,U438))+IF(AND(MONTH(U438)=2,U438=EOMONTH(U438,0)),30-DAY(EOMONTH(U438,0)))+T437,VLOOKUP(S438,$C$22:$F$1023,2,0)))</f>
        <v xml:space="preserve"> </v>
      </c>
      <c r="U438" s="64" t="str">
        <f t="shared" ca="1" si="30"/>
        <v xml:space="preserve"> </v>
      </c>
      <c r="V438" s="150" t="str">
        <f t="shared" ca="1" si="33"/>
        <v xml:space="preserve"> </v>
      </c>
      <c r="W438" s="62" t="str">
        <f t="shared" ca="1" si="34"/>
        <v xml:space="preserve"> </v>
      </c>
      <c r="X438" s="141" t="str">
        <f ca="1">IF(S438=" "," ",IFERROR(VLOOKUP(U438,$F$23:$N$1023,7)+VLOOKUP(U438,$F$23:$N$1023,9)+IF(AND('депозитный калькулятор'!$G$13="нет",U438&lt;&gt;'депозитный калькулятор'!$D$8),VLOOKUP(U438,$F$23:$N$1023,4),0),0)+IF(U438='депозитный калькулятор'!$D$8,VLOOKUP(U438,$F$23:$N$1023,2)+VLOOKUP(U438,$F$23:$N$1023,4),0))</f>
        <v xml:space="preserve"> </v>
      </c>
      <c r="Y438" s="142" t="str">
        <f ca="1">IF(S438=" "," ",W438/(1+'депозитный калькулятор'!$K$8)^(T438/IF('депозитный калькулятор'!$G$7="30/360",360,365)))</f>
        <v xml:space="preserve"> </v>
      </c>
      <c r="Z438" s="142" t="str">
        <f ca="1">IF(S438=" "," ",X438/(1+'депозитный калькулятор'!$K$8)^(T438/IF('депозитный калькулятор'!$G$7="30/360",360,365)))</f>
        <v xml:space="preserve"> </v>
      </c>
      <c r="AA438" s="151"/>
      <c r="AB438" s="151"/>
      <c r="AC438" s="155"/>
      <c r="AD438" s="155"/>
    </row>
    <row r="439" spans="1:30" s="2" customFormat="1" ht="15.5" x14ac:dyDescent="0.35">
      <c r="A439" s="41" t="str">
        <f>IF(F439=" "," ",IF(OR('депозитный калькулятор'!$G$7="30/365",'депозитный калькулятор'!$G$7="30/360"),IF(AND(MONTH(F439)=2,DAY(F439)=DAY(EOMONTH(F439,0))),30-DAY(EOMONTH(F439,0)),IF(DAY(F439)=31,1," "))," "))</f>
        <v xml:space="preserve"> </v>
      </c>
      <c r="B439" s="130" t="str">
        <f t="shared" si="31"/>
        <v xml:space="preserve"> </v>
      </c>
      <c r="C439" s="130" t="str">
        <f>IF(OR(B439=0,B439=" ")," ",SUM($B$23:B439))</f>
        <v xml:space="preserve"> </v>
      </c>
      <c r="D439" s="62" t="str">
        <f>IF(D438=" "," ",IF(OR(F438='депозитный калькулятор'!$D$8,F438=" ")," ",D438+1))</f>
        <v xml:space="preserve"> </v>
      </c>
      <c r="E439" s="130" t="str">
        <f>IF(OR(F438='депозитный калькулятор'!$D$8,F438=" ")," ",IF(EOMONTH(F438,0)=F438,1,E438+1))</f>
        <v xml:space="preserve"> </v>
      </c>
      <c r="F439" s="64" t="str">
        <f>IF(F438=" "," ",IF(F438='депозитный калькулятор'!$D$8," ",F438+1))</f>
        <v xml:space="preserve"> </v>
      </c>
      <c r="G439" s="145" t="str">
        <f xml:space="preserve"> IF(F439&gt;'депозитный калькулятор'!$D$8," ",IF('депозитный калькулятор'!$G$13="есть",IF('депозитный калькулятор'!$G$14="есть",G438+IF(I438=" ",0,I438)-J439-K439+L439+M439-N439,G438+IF(I438=" ",0,I438)-J439-K439+M439-N439),IF('депозитный калькулятор'!$G$14="есть",G438-J439-K439+L439+M439-N439,G438-J439-K439+M439-N439)))</f>
        <v xml:space="preserve"> </v>
      </c>
      <c r="H439" s="133" t="str">
        <f>IF(F439&gt;'депозитный калькулятор'!$D$8," ",IF(AND(OR('депозитный калькулятор'!$G$7="30/365",'депозитный калькулятор'!$G$7="30/360"),AND(MONTH(F439)=2,EOMONTH(F439,0)=F439)),IF(DAY(F439)=28,3*G439*'депозитный калькулятор'!$G$8,2*G439*'депозитный калькулятор'!$G$8),IF(AND(OR('депозитный калькулятор'!$G$7="30/365",'депозитный калькулятор'!$G$7="30/360"),DAY(F439)=31)," ",IF(AND('депозитный калькулятор'!$G$7="факт/факт",MOD(YEAR(F439),4)=0),G439*'депозитный калькулятор'!$D$11/366,G439*'депозитный калькулятор'!$G$8))))</f>
        <v xml:space="preserve"> </v>
      </c>
      <c r="I439" s="134" t="str">
        <f ca="1">IF(F439=" "," ",IF('депозитный калькулятор'!$G$10="ежедневное",H439,IF(AND('депозитный калькулятор'!$G$10="еженедельное",WEEKDAY(F439,2)=7),SUM(OFFSET(H439,-6,0):H439),IF(AND('депозитный калькулятор'!$G$10="еженедельное",F439='депозитный калькулятор'!$D$8),SUM($H$23:H439)-SUM($I$23:I438),IF(AND('депозитный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недели",WEEKDAY(F439,2)=7),MIN(OFFSET(H439,-6,0):H439)*(COUNTIF(OFFSET(H439,-6,0):H439,"&gt;0")+SUMIF(OFFSET(A439,-WEEKDAY(F439,2),0):A439,"=2",OFFSET(A439,-WEEKDAY(F439,2),0):A439)),IF(AND('депозитный калькулятор'!$G$10="еженедельное, на минимальную сумму зафиксированную в течение недели",F439='депозитный калькулятор'!$D$8,WEEKDAY(F439,2)&lt;&gt;7),MIN(OFFSET(H439,-WEEKDAY(F439,2),0):H439)*(COUNTIF(OFFSET(H439,-WEEKDAY(F439,2)+1,0):H439,"&gt;0")+SUM(OFFSET(A439,-WEEKDAY(F439,2),0):A439)),IF(AND('депозитный калькулятор'!$G$10="ежемесячное (в конце месяца)",F439='депозитный калькулятор'!$D$8,EOMONTH(F439,0)&lt;&gt;F439),IF('депозитный калькулятор'!$F$1=1,$H$24,SUM($H$23:H439)-SUM($I$23:I438)),IF(AND('депозитный калькулятор'!$G$10="ежемесячное (в конце месяца)",EOMONTH(F439,0)=F439),SUM($H$23:H439)-SUM($I$23:I438),IF(AND('депозитный калькулятор'!$G$10="ежемесячное (по дням открытия вклада)",F439='депозитный калькулятор'!$D$8,DAY('депозитный калькулятор'!$D$7)&lt;&gt;DAY(F439)),IF('депозитный калькулятор'!$F$1=1,$H$24,SUM($H$23:H439)-SUM($I$23:I438)),IF(AND('депозитный калькулятор'!$G$10="ежемесячное (по дням открытия вклада)",DAY('депозитный калькулятор'!$D$7)=DAY(F439)),SUM($H$23:H439)-SUM($I$23:I438),IF(AND('депозитный калькулятор'!$G$10="ежемесячное, на минимальную сумму зафиксированную в течение месяца",F439='депозитный калькулятор'!$D$8,EOMONTH(F439,0)&lt;&gt;F439),IF('депозитный калькулятор'!$F$1=1,$H$24,IF(AND(OR('депозитный калькулятор'!$G$7="30/365",'депозитный калькулятор'!$G$7="30/360"),DAY(F439)=31),0,MIN(OFFSET(H439,-E439+1,0):H439)*(E439+SUMIF(OFFSET(A439,-E439+1,0):A439,"=2",OFFSET(A439,-E439+1,0):A439)))),IF(AND('депозитный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калькулятор'!$G$7="30/360"),DAY(EOMONTH(F439,0))=31),EOMONTH(F439,0)-1=F439,EOMONTH(F439,0)=F439)),IF(IF(AND(OR('депозитный калькулятор'!$G$7="30/365",'депозитный калькулятор'!$G$7="30/360"),DAY(EOMONTH($F$23,0))=31),F439=EOMONTH($F$23,0)-1,F439=EOMONTH($F$23,0)),MIN(OFFSET(H439,-(DAY(F439)-DAY($F$23)),0):H439)*E439,MIN(OFFSET(H439,-(DAY(F439)-1),0):H439)*IF(AND(OR('депозитный калькулятор'!$G$7="30/365",'депозитный калькулятор'!$G$7="30/360"),DAY(F439)&lt;30),30,DAY(F439))),IF(AND('депозитный калькулятор'!$G$10="ежемесячное, на средний остаток в течение месяца, при условии что остаток больше чем ограничение",F439='депозитный калькулятор'!$D$8,EOMONTH(F439,0)&lt;&gt;F439),IF('депозитный калькулятор'!$F$1=1,$H$24,SUM(OFFSET(Q439,-E439+1,0):Q439)),IF(AND('депозитный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калькулятор'!$G$7="30/360"),DAY(EOMONTH(F439,0))=31),EOMONTH(F439,0)-1=F439,EOMONTH(F439,0)=F439)),IF(IF(AND(OR('депозитный калькулятор'!$G$7="30/365",'депозитный калькулятор'!$G$7="30/360"),DAY(EOMONTH($F$24,0))=31),F439=EOMONTH($F$24,0)-1,F439=EOMONTH($F$24,0)),SUM(OFFSET(Q439,-E439+1,0):Q439),SUM(OFFSET(Q439,-E439+1,0):Q439)),IF('депозитный калькулятор'!$G$10="ежеквартальное",IF(F439&gt;'депозитный калькулятор'!$D$8," ",IF(AND(EOMONTH(F439,0)=F439,OR(MONTH(F439)=3,MONTH(F439)=6,MONTH(F439)=9,MONTH(F439)=12)),IF(EDATE(F439,-3)&lt;'депозитный калькулятор'!$D$7,SUM($H$23:H439),IF(MOD(YEAR(F439),4)=0,IF(AND(EOMONTH(F439,0)=F439,OR(MONTH(F439)=3,MONTH(F439)=6)),SUM(OFFSET(H439,-90,0):H439),IF(AND(EOMONTH(F439,0)=F439,OR(MONTH(F439)=9,MONTH(F439)=12)),SUM(OFFSET(H439,-91,0):H439))),IF(AND(EOMONTH(F439,0)=F439,MONTH(F439)=3),SUM(OFFSET(H439,-89,0):H439),IF(AND(EOMONTH(F439,0)=F439,MONTH(F439)=6),SUM(OFFSET(H439,-90,0):H439),IF(AND(EOMONTH(F439,0)=F439,OR(MONTH(F439)=9,MONTH(F439)=12)),SUM(OFFSET(H439,-91,0):H439)))))),IF(F439='депозитный калькулятор'!$D$8,SUM($H$23:H439)-SUM($I$23:I438),0))),IF('депозитный калькулятор'!$G$10="ежегодное",IF(F439&gt;'депозитный калькулятор'!$D$8," ",IF(F439='депозитный калькулятор'!$D$8,SUM($H$23:H439)-SUM($I$23:I438),IF(AND(EOMONTH(F439,0)=F439,MONTH(F439)=12),IF(MOD(YEAR(F438),4)=0,IF(F439-'депозитный калькулятор'!$D$7&lt;366,SUM($H$23:H439),SUM(OFFSET(H439,-365,0):H439)),IF(F439-'депозитный калькулятор'!$D$7&lt;365,SUM($H$23:H439),SUM(OFFSET(H439,-364,0):H439))),0))),IF(AND('депозитный калькулятор'!$G$10="в конце срока",'депозитный калькулятор'!$D$8=F439),SUM($H$23:H439),0))))))))))))))))))</f>
        <v xml:space="preserve"> </v>
      </c>
      <c r="J439" s="59" t="str">
        <f>IF(F439&gt;'депозитный калькулятор'!$D$8," ",IF('депозитный калькулятор'!$G$16="нет",0,IF(AND('депозитный калькулятор'!$G$17="разовая (в конце срока)",F439='депозитный калькулятор'!$D$8),'депозитный калькулятор'!$G$18,IF(AND('депозитный калькулятор'!$G$17="ежемесячная",EOMONTH(F438,0)=F438),'депозитный калькулятор'!$G$18,IF(AND('депозитный калькулятор'!$G$17="ежегодная",DAY(F438)=31,MONTH(F438)=12),'депозитный калькулятор'!$G$18,IF(AND('депозитный калькулятор'!$G$17="ежемесячная в зависимости от остатка",EOMONTH(F438,0)=F438,P438&gt;0),'депозитный калькулятор'!$G$18,IF(AND('депозитный калькулятор'!$G$17="ежегодная в зависимости от остатка",DAY(F438)=31,MONTH(F438)=12,P438&gt;0),'депозитный калькулятор'!$G$18,0)))))))</f>
        <v xml:space="preserve"> </v>
      </c>
      <c r="K439" s="135" t="str">
        <f>IF($F439=" "," ",IFERROR(VLOOKUP($F439,'депозитный калькулятор'!$B$26:$F$70,2,0),0))</f>
        <v xml:space="preserve"> </v>
      </c>
      <c r="L439" s="135" t="str">
        <f>IF($F439=" "," ",IFERROR(VLOOKUP($F439,'депозитный калькулятор'!$B$26:$F$70,3,0),0))</f>
        <v xml:space="preserve"> </v>
      </c>
      <c r="M439" s="135" t="str">
        <f>IF($F439=" "," ",IFERROR(VLOOKUP($F439,'депозитный калькулятор'!$B$26:$F$70,4,0),0))</f>
        <v xml:space="preserve"> </v>
      </c>
      <c r="N439" s="135" t="str">
        <f>IF($F439=" "," ",IFERROR(VLOOKUP($F439,'депозитный калькулятор'!$B$26:$F$70,5,0),0))</f>
        <v xml:space="preserve"> </v>
      </c>
      <c r="O439" s="146" t="str">
        <f>IF(F439&gt;'депозитный калькулятор'!$D$8," ",IF(F439='депозитный калькулятор'!$D$8,IF(AND($F$24='депозитный калькулятор'!$D$8,'депозитный калькулятор'!$G$13="нет"),-G439-IF(I439=" ",0,I439)-IF(AND(OR('депозитный калькулятор'!$G$7="30/365",'депозитный калькулятор'!$G$7="30/360"),'депозитный калькулятор'!$G$10="в начале срока"),I438,0)-L439+M439-N439,-G439-IF(I439=" ",0,I439)-L439+M439-N439),IF('депозитный калькулятор'!$G$13="есть",M439-N439+IF('депозитный калькулятор'!$G$14="есть",0,-L439),-IF(I439=" ",0,I439)-IF(AND(OR('депозитный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срока"),I438,0)+M439-N439+IF('депозитный калькулятор'!$G$14="есть",0,-L439))))</f>
        <v xml:space="preserve"> </v>
      </c>
      <c r="P439" s="147" t="str">
        <f>IF(F439&gt;'депозитный калькулятор'!$D$8," ",IF(EOMONTH(F438,0)=F438,0,IF(G439&gt;='депозитный калькулятор'!$G$19,P438,P438+1)))</f>
        <v xml:space="preserve"> </v>
      </c>
      <c r="Q439" s="138" t="str">
        <f>IF(F439=" "," ",IF(AND(OR('депозитный калькулятор'!$G$7="30/365",'депозитный калькулятор'!$G$7="30/360"),AND(MONTH(F439)=2,EOMONTH(F439,0)=F439)),IF(DAY(F439)=28,3,2),1)*IF(G439&gt;='депозитный калькулятор'!$G$11,IF(AND('депозитный калькулятор'!$G$7="факт/факт",MOD(YEAR(F439),4)=0),G439*'депозитный калькулятор'!$D$11/366,G439*'депозитный калькулятор'!$G$8),0))</f>
        <v xml:space="preserve"> </v>
      </c>
      <c r="R439" s="158"/>
      <c r="S439" s="62" t="str">
        <f t="shared" ca="1" si="32"/>
        <v xml:space="preserve"> </v>
      </c>
      <c r="T439" s="149" t="str">
        <f ca="1">IF(S439=" "," ",IF('депозитный калькулятор'!$G$7="30/360",DAYS360(U438,IF(DAY(U439)=31,U439-1,U439))+IF(AND(MONTH(U439)=2,U439=EOMONTH(U439,0)),30-DAY(EOMONTH(U439,0)))+T438,VLOOKUP(S439,$C$22:$F$1023,2,0)))</f>
        <v xml:space="preserve"> </v>
      </c>
      <c r="U439" s="64" t="str">
        <f t="shared" ca="1" si="30"/>
        <v xml:space="preserve"> </v>
      </c>
      <c r="V439" s="150" t="str">
        <f t="shared" ca="1" si="33"/>
        <v xml:space="preserve"> </v>
      </c>
      <c r="W439" s="62" t="str">
        <f t="shared" ca="1" si="34"/>
        <v xml:space="preserve"> </v>
      </c>
      <c r="X439" s="141" t="str">
        <f ca="1">IF(S439=" "," ",IFERROR(VLOOKUP(U439,$F$23:$N$1023,7)+VLOOKUP(U439,$F$23:$N$1023,9)+IF(AND('депозитный калькулятор'!$G$13="нет",U439&lt;&gt;'депозитный калькулятор'!$D$8),VLOOKUP(U439,$F$23:$N$1023,4),0),0)+IF(U439='депозитный калькулятор'!$D$8,VLOOKUP(U439,$F$23:$N$1023,2)+VLOOKUP(U439,$F$23:$N$1023,4),0))</f>
        <v xml:space="preserve"> </v>
      </c>
      <c r="Y439" s="142" t="str">
        <f ca="1">IF(S439=" "," ",W439/(1+'депозитный калькулятор'!$K$8)^(T439/IF('депозитный калькулятор'!$G$7="30/360",360,365)))</f>
        <v xml:space="preserve"> </v>
      </c>
      <c r="Z439" s="142" t="str">
        <f ca="1">IF(S439=" "," ",X439/(1+'депозитный калькулятор'!$K$8)^(T439/IF('депозитный калькулятор'!$G$7="30/360",360,365)))</f>
        <v xml:space="preserve"> </v>
      </c>
      <c r="AA439" s="151"/>
      <c r="AB439" s="151"/>
      <c r="AC439" s="155"/>
      <c r="AD439" s="155"/>
    </row>
    <row r="440" spans="1:30" s="2" customFormat="1" ht="15.5" x14ac:dyDescent="0.35">
      <c r="A440" s="41" t="str">
        <f>IF(F440=" "," ",IF(OR('депозитный калькулятор'!$G$7="30/365",'депозитный калькулятор'!$G$7="30/360"),IF(AND(MONTH(F440)=2,DAY(F440)=DAY(EOMONTH(F440,0))),30-DAY(EOMONTH(F440,0)),IF(DAY(F440)=31,1," "))," "))</f>
        <v xml:space="preserve"> </v>
      </c>
      <c r="B440" s="130" t="str">
        <f t="shared" si="31"/>
        <v xml:space="preserve"> </v>
      </c>
      <c r="C440" s="130" t="str">
        <f>IF(OR(B440=0,B440=" ")," ",SUM($B$23:B440))</f>
        <v xml:space="preserve"> </v>
      </c>
      <c r="D440" s="62" t="str">
        <f>IF(D439=" "," ",IF(OR(F439='депозитный калькулятор'!$D$8,F439=" ")," ",D439+1))</f>
        <v xml:space="preserve"> </v>
      </c>
      <c r="E440" s="130" t="str">
        <f>IF(OR(F439='депозитный калькулятор'!$D$8,F439=" ")," ",IF(EOMONTH(F439,0)=F439,1,E439+1))</f>
        <v xml:space="preserve"> </v>
      </c>
      <c r="F440" s="64" t="str">
        <f>IF(F439=" "," ",IF(F439='депозитный калькулятор'!$D$8," ",F439+1))</f>
        <v xml:space="preserve"> </v>
      </c>
      <c r="G440" s="145" t="str">
        <f xml:space="preserve"> IF(F440&gt;'депозитный калькулятор'!$D$8," ",IF('депозитный калькулятор'!$G$13="есть",IF('депозитный калькулятор'!$G$14="есть",G439+IF(I439=" ",0,I439)-J440-K440+L440+M440-N440,G439+IF(I439=" ",0,I439)-J440-K440+M440-N440),IF('депозитный калькулятор'!$G$14="есть",G439-J440-K440+L440+M440-N440,G439-J440-K440+M440-N440)))</f>
        <v xml:space="preserve"> </v>
      </c>
      <c r="H440" s="133" t="str">
        <f>IF(F440&gt;'депозитный калькулятор'!$D$8," ",IF(AND(OR('депозитный калькулятор'!$G$7="30/365",'депозитный калькулятор'!$G$7="30/360"),AND(MONTH(F440)=2,EOMONTH(F440,0)=F440)),IF(DAY(F440)=28,3*G440*'депозитный калькулятор'!$G$8,2*G440*'депозитный калькулятор'!$G$8),IF(AND(OR('депозитный калькулятор'!$G$7="30/365",'депозитный калькулятор'!$G$7="30/360"),DAY(F440)=31)," ",IF(AND('депозитный калькулятор'!$G$7="факт/факт",MOD(YEAR(F440),4)=0),G440*'депозитный калькулятор'!$D$11/366,G440*'депозитный калькулятор'!$G$8))))</f>
        <v xml:space="preserve"> </v>
      </c>
      <c r="I440" s="134" t="str">
        <f ca="1">IF(F440=" "," ",IF('депозитный калькулятор'!$G$10="ежедневное",H440,IF(AND('депозитный калькулятор'!$G$10="еженедельное",WEEKDAY(F440,2)=7),SUM(OFFSET(H440,-6,0):H440),IF(AND('депозитный калькулятор'!$G$10="еженедельное",F440='депозитный калькулятор'!$D$8),SUM($H$23:H440)-SUM($I$23:I439),IF(AND('депозитный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недели",WEEKDAY(F440,2)=7),MIN(OFFSET(H440,-6,0):H440)*(COUNTIF(OFFSET(H440,-6,0):H440,"&gt;0")+SUMIF(OFFSET(A440,-WEEKDAY(F440,2),0):A440,"=2",OFFSET(A440,-WEEKDAY(F440,2),0):A440)),IF(AND('депозитный калькулятор'!$G$10="еженедельное, на минимальную сумму зафиксированную в течение недели",F440='депозитный калькулятор'!$D$8,WEEKDAY(F440,2)&lt;&gt;7),MIN(OFFSET(H440,-WEEKDAY(F440,2),0):H440)*(COUNTIF(OFFSET(H440,-WEEKDAY(F440,2)+1,0):H440,"&gt;0")+SUM(OFFSET(A440,-WEEKDAY(F440,2),0):A440)),IF(AND('депозитный калькулятор'!$G$10="ежемесячное (в конце месяца)",F440='депозитный калькулятор'!$D$8,EOMONTH(F440,0)&lt;&gt;F440),IF('депозитный калькулятор'!$F$1=1,$H$24,SUM($H$23:H440)-SUM($I$23:I439)),IF(AND('депозитный калькулятор'!$G$10="ежемесячное (в конце месяца)",EOMONTH(F440,0)=F440),SUM($H$23:H440)-SUM($I$23:I439),IF(AND('депозитный калькулятор'!$G$10="ежемесячное (по дням открытия вклада)",F440='депозитный калькулятор'!$D$8,DAY('депозитный калькулятор'!$D$7)&lt;&gt;DAY(F440)),IF('депозитный калькулятор'!$F$1=1,$H$24,SUM($H$23:H440)-SUM($I$23:I439)),IF(AND('депозитный калькулятор'!$G$10="ежемесячное (по дням открытия вклада)",DAY('депозитный калькулятор'!$D$7)=DAY(F440)),SUM($H$23:H440)-SUM($I$23:I439),IF(AND('депозитный калькулятор'!$G$10="ежемесячное, на минимальную сумму зафиксированную в течение месяца",F440='депозитный калькулятор'!$D$8,EOMONTH(F440,0)&lt;&gt;F440),IF('депозитный калькулятор'!$F$1=1,$H$24,IF(AND(OR('депозитный калькулятор'!$G$7="30/365",'депозитный калькулятор'!$G$7="30/360"),DAY(F440)=31),0,MIN(OFFSET(H440,-E440+1,0):H440)*(E440+SUMIF(OFFSET(A440,-E440+1,0):A440,"=2",OFFSET(A440,-E440+1,0):A440)))),IF(AND('депозитный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калькулятор'!$G$7="30/360"),DAY(EOMONTH(F440,0))=31),EOMONTH(F440,0)-1=F440,EOMONTH(F440,0)=F440)),IF(IF(AND(OR('депозитный калькулятор'!$G$7="30/365",'депозитный калькулятор'!$G$7="30/360"),DAY(EOMONTH($F$23,0))=31),F440=EOMONTH($F$23,0)-1,F440=EOMONTH($F$23,0)),MIN(OFFSET(H440,-(DAY(F440)-DAY($F$23)),0):H440)*E440,MIN(OFFSET(H440,-(DAY(F440)-1),0):H440)*IF(AND(OR('депозитный калькулятор'!$G$7="30/365",'депозитный калькулятор'!$G$7="30/360"),DAY(F440)&lt;30),30,DAY(F440))),IF(AND('депозитный калькулятор'!$G$10="ежемесячное, на средний остаток в течение месяца, при условии что остаток больше чем ограничение",F440='депозитный калькулятор'!$D$8,EOMONTH(F440,0)&lt;&gt;F440),IF('депозитный калькулятор'!$F$1=1,$H$24,SUM(OFFSET(Q440,-E440+1,0):Q440)),IF(AND('депозитный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калькулятор'!$G$7="30/360"),DAY(EOMONTH(F440,0))=31),EOMONTH(F440,0)-1=F440,EOMONTH(F440,0)=F440)),IF(IF(AND(OR('депозитный калькулятор'!$G$7="30/365",'депозитный калькулятор'!$G$7="30/360"),DAY(EOMONTH($F$24,0))=31),F440=EOMONTH($F$24,0)-1,F440=EOMONTH($F$24,0)),SUM(OFFSET(Q440,-E440+1,0):Q440),SUM(OFFSET(Q440,-E440+1,0):Q440)),IF('депозитный калькулятор'!$G$10="ежеквартальное",IF(F440&gt;'депозитный калькулятор'!$D$8," ",IF(AND(EOMONTH(F440,0)=F440,OR(MONTH(F440)=3,MONTH(F440)=6,MONTH(F440)=9,MONTH(F440)=12)),IF(EDATE(F440,-3)&lt;'депозитный калькулятор'!$D$7,SUM($H$23:H440),IF(MOD(YEAR(F440),4)=0,IF(AND(EOMONTH(F440,0)=F440,OR(MONTH(F440)=3,MONTH(F440)=6)),SUM(OFFSET(H440,-90,0):H440),IF(AND(EOMONTH(F440,0)=F440,OR(MONTH(F440)=9,MONTH(F440)=12)),SUM(OFFSET(H440,-91,0):H440))),IF(AND(EOMONTH(F440,0)=F440,MONTH(F440)=3),SUM(OFFSET(H440,-89,0):H440),IF(AND(EOMONTH(F440,0)=F440,MONTH(F440)=6),SUM(OFFSET(H440,-90,0):H440),IF(AND(EOMONTH(F440,0)=F440,OR(MONTH(F440)=9,MONTH(F440)=12)),SUM(OFFSET(H440,-91,0):H440)))))),IF(F440='депозитный калькулятор'!$D$8,SUM($H$23:H440)-SUM($I$23:I439),0))),IF('депозитный калькулятор'!$G$10="ежегодное",IF(F440&gt;'депозитный калькулятор'!$D$8," ",IF(F440='депозитный калькулятор'!$D$8,SUM($H$23:H440)-SUM($I$23:I439),IF(AND(EOMONTH(F440,0)=F440,MONTH(F440)=12),IF(MOD(YEAR(F439),4)=0,IF(F440-'депозитный калькулятор'!$D$7&lt;366,SUM($H$23:H440),SUM(OFFSET(H440,-365,0):H440)),IF(F440-'депозитный калькулятор'!$D$7&lt;365,SUM($H$23:H440),SUM(OFFSET(H440,-364,0):H440))),0))),IF(AND('депозитный калькулятор'!$G$10="в конце срока",'депозитный калькулятор'!$D$8=F440),SUM($H$23:H440),0))))))))))))))))))</f>
        <v xml:space="preserve"> </v>
      </c>
      <c r="J440" s="59" t="str">
        <f>IF(F440&gt;'депозитный калькулятор'!$D$8," ",IF('депозитный калькулятор'!$G$16="нет",0,IF(AND('депозитный калькулятор'!$G$17="разовая (в конце срока)",F440='депозитный калькулятор'!$D$8),'депозитный калькулятор'!$G$18,IF(AND('депозитный калькулятор'!$G$17="ежемесячная",EOMONTH(F439,0)=F439),'депозитный калькулятор'!$G$18,IF(AND('депозитный калькулятор'!$G$17="ежегодная",DAY(F439)=31,MONTH(F439)=12),'депозитный калькулятор'!$G$18,IF(AND('депозитный калькулятор'!$G$17="ежемесячная в зависимости от остатка",EOMONTH(F439,0)=F439,P439&gt;0),'депозитный калькулятор'!$G$18,IF(AND('депозитный калькулятор'!$G$17="ежегодная в зависимости от остатка",DAY(F439)=31,MONTH(F439)=12,P439&gt;0),'депозитный калькулятор'!$G$18,0)))))))</f>
        <v xml:space="preserve"> </v>
      </c>
      <c r="K440" s="135" t="str">
        <f>IF($F440=" "," ",IFERROR(VLOOKUP($F440,'депозитный калькулятор'!$B$26:$F$70,2,0),0))</f>
        <v xml:space="preserve"> </v>
      </c>
      <c r="L440" s="135" t="str">
        <f>IF($F440=" "," ",IFERROR(VLOOKUP($F440,'депозитный калькулятор'!$B$26:$F$70,3,0),0))</f>
        <v xml:space="preserve"> </v>
      </c>
      <c r="M440" s="135" t="str">
        <f>IF($F440=" "," ",IFERROR(VLOOKUP($F440,'депозитный калькулятор'!$B$26:$F$70,4,0),0))</f>
        <v xml:space="preserve"> </v>
      </c>
      <c r="N440" s="135" t="str">
        <f>IF($F440=" "," ",IFERROR(VLOOKUP($F440,'депозитный калькулятор'!$B$26:$F$70,5,0),0))</f>
        <v xml:space="preserve"> </v>
      </c>
      <c r="O440" s="146" t="str">
        <f>IF(F440&gt;'депозитный калькулятор'!$D$8," ",IF(F440='депозитный калькулятор'!$D$8,IF(AND($F$24='депозитный калькулятор'!$D$8,'депозитный калькулятор'!$G$13="нет"),-G440-IF(I440=" ",0,I440)-IF(AND(OR('депозитный калькулятор'!$G$7="30/365",'депозитный калькулятор'!$G$7="30/360"),'депозитный калькулятор'!$G$10="в начале срока"),I439,0)-L440+M440-N440,-G440-IF(I440=" ",0,I440)-L440+M440-N440),IF('депозитный калькулятор'!$G$13="есть",M440-N440+IF('депозитный калькулятор'!$G$14="есть",0,-L440),-IF(I440=" ",0,I440)-IF(AND(OR('депозитный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срока"),I439,0)+M440-N440+IF('депозитный калькулятор'!$G$14="есть",0,-L440))))</f>
        <v xml:space="preserve"> </v>
      </c>
      <c r="P440" s="147" t="str">
        <f>IF(F440&gt;'депозитный калькулятор'!$D$8," ",IF(EOMONTH(F439,0)=F439,0,IF(G440&gt;='депозитный калькулятор'!$G$19,P439,P439+1)))</f>
        <v xml:space="preserve"> </v>
      </c>
      <c r="Q440" s="138" t="str">
        <f>IF(F440=" "," ",IF(AND(OR('депозитный калькулятор'!$G$7="30/365",'депозитный калькулятор'!$G$7="30/360"),AND(MONTH(F440)=2,EOMONTH(F440,0)=F440)),IF(DAY(F440)=28,3,2),1)*IF(G440&gt;='депозитный калькулятор'!$G$11,IF(AND('депозитный калькулятор'!$G$7="факт/факт",MOD(YEAR(F440),4)=0),G440*'депозитный калькулятор'!$D$11/366,G440*'депозитный калькулятор'!$G$8),0))</f>
        <v xml:space="preserve"> </v>
      </c>
      <c r="R440" s="158"/>
      <c r="S440" s="62" t="str">
        <f t="shared" ca="1" si="32"/>
        <v xml:space="preserve"> </v>
      </c>
      <c r="T440" s="149" t="str">
        <f ca="1">IF(S440=" "," ",IF('депозитный калькулятор'!$G$7="30/360",DAYS360(U439,IF(DAY(U440)=31,U440-1,U440))+IF(AND(MONTH(U440)=2,U440=EOMONTH(U440,0)),30-DAY(EOMONTH(U440,0)))+T439,VLOOKUP(S440,$C$22:$F$1023,2,0)))</f>
        <v xml:space="preserve"> </v>
      </c>
      <c r="U440" s="64" t="str">
        <f t="shared" ca="1" si="30"/>
        <v xml:space="preserve"> </v>
      </c>
      <c r="V440" s="150" t="str">
        <f t="shared" ca="1" si="33"/>
        <v xml:space="preserve"> </v>
      </c>
      <c r="W440" s="62" t="str">
        <f t="shared" ca="1" si="34"/>
        <v xml:space="preserve"> </v>
      </c>
      <c r="X440" s="141" t="str">
        <f ca="1">IF(S440=" "," ",IFERROR(VLOOKUP(U440,$F$23:$N$1023,7)+VLOOKUP(U440,$F$23:$N$1023,9)+IF(AND('депозитный калькулятор'!$G$13="нет",U440&lt;&gt;'депозитный калькулятор'!$D$8),VLOOKUP(U440,$F$23:$N$1023,4),0),0)+IF(U440='депозитный калькулятор'!$D$8,VLOOKUP(U440,$F$23:$N$1023,2)+VLOOKUP(U440,$F$23:$N$1023,4),0))</f>
        <v xml:space="preserve"> </v>
      </c>
      <c r="Y440" s="142" t="str">
        <f ca="1">IF(S440=" "," ",W440/(1+'депозитный калькулятор'!$K$8)^(T440/IF('депозитный калькулятор'!$G$7="30/360",360,365)))</f>
        <v xml:space="preserve"> </v>
      </c>
      <c r="Z440" s="142" t="str">
        <f ca="1">IF(S440=" "," ",X440/(1+'депозитный калькулятор'!$K$8)^(T440/IF('депозитный калькулятор'!$G$7="30/360",360,365)))</f>
        <v xml:space="preserve"> </v>
      </c>
      <c r="AA440" s="151"/>
      <c r="AB440" s="151"/>
      <c r="AC440" s="155"/>
      <c r="AD440" s="155"/>
    </row>
    <row r="441" spans="1:30" s="2" customFormat="1" ht="15.5" x14ac:dyDescent="0.35">
      <c r="A441" s="41" t="str">
        <f>IF(F441=" "," ",IF(OR('депозитный калькулятор'!$G$7="30/365",'депозитный калькулятор'!$G$7="30/360"),IF(AND(MONTH(F441)=2,DAY(F441)=DAY(EOMONTH(F441,0))),30-DAY(EOMONTH(F441,0)),IF(DAY(F441)=31,1," "))," "))</f>
        <v xml:space="preserve"> </v>
      </c>
      <c r="B441" s="130" t="str">
        <f t="shared" si="31"/>
        <v xml:space="preserve"> </v>
      </c>
      <c r="C441" s="130" t="str">
        <f>IF(OR(B441=0,B441=" ")," ",SUM($B$23:B441))</f>
        <v xml:space="preserve"> </v>
      </c>
      <c r="D441" s="62" t="str">
        <f>IF(D440=" "," ",IF(OR(F440='депозитный калькулятор'!$D$8,F440=" ")," ",D440+1))</f>
        <v xml:space="preserve"> </v>
      </c>
      <c r="E441" s="130" t="str">
        <f>IF(OR(F440='депозитный калькулятор'!$D$8,F440=" ")," ",IF(EOMONTH(F440,0)=F440,1,E440+1))</f>
        <v xml:space="preserve"> </v>
      </c>
      <c r="F441" s="64" t="str">
        <f>IF(F440=" "," ",IF(F440='депозитный калькулятор'!$D$8," ",F440+1))</f>
        <v xml:space="preserve"> </v>
      </c>
      <c r="G441" s="145" t="str">
        <f xml:space="preserve"> IF(F441&gt;'депозитный калькулятор'!$D$8," ",IF('депозитный калькулятор'!$G$13="есть",IF('депозитный калькулятор'!$G$14="есть",G440+IF(I440=" ",0,I440)-J441-K441+L441+M441-N441,G440+IF(I440=" ",0,I440)-J441-K441+M441-N441),IF('депозитный калькулятор'!$G$14="есть",G440-J441-K441+L441+M441-N441,G440-J441-K441+M441-N441)))</f>
        <v xml:space="preserve"> </v>
      </c>
      <c r="H441" s="133" t="str">
        <f>IF(F441&gt;'депозитный калькулятор'!$D$8," ",IF(AND(OR('депозитный калькулятор'!$G$7="30/365",'депозитный калькулятор'!$G$7="30/360"),AND(MONTH(F441)=2,EOMONTH(F441,0)=F441)),IF(DAY(F441)=28,3*G441*'депозитный калькулятор'!$G$8,2*G441*'депозитный калькулятор'!$G$8),IF(AND(OR('депозитный калькулятор'!$G$7="30/365",'депозитный калькулятор'!$G$7="30/360"),DAY(F441)=31)," ",IF(AND('депозитный калькулятор'!$G$7="факт/факт",MOD(YEAR(F441),4)=0),G441*'депозитный калькулятор'!$D$11/366,G441*'депозитный калькулятор'!$G$8))))</f>
        <v xml:space="preserve"> </v>
      </c>
      <c r="I441" s="134" t="str">
        <f ca="1">IF(F441=" "," ",IF('депозитный калькулятор'!$G$10="ежедневное",H441,IF(AND('депозитный калькулятор'!$G$10="еженедельное",WEEKDAY(F441,2)=7),SUM(OFFSET(H441,-6,0):H441),IF(AND('депозитный калькулятор'!$G$10="еженедельное",F441='депозитный калькулятор'!$D$8),SUM($H$23:H441)-SUM($I$23:I440),IF(AND('депозитный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недели",WEEKDAY(F441,2)=7),MIN(OFFSET(H441,-6,0):H441)*(COUNTIF(OFFSET(H441,-6,0):H441,"&gt;0")+SUMIF(OFFSET(A441,-WEEKDAY(F441,2),0):A441,"=2",OFFSET(A441,-WEEKDAY(F441,2),0):A441)),IF(AND('депозитный калькулятор'!$G$10="еженедельное, на минимальную сумму зафиксированную в течение недели",F441='депозитный калькулятор'!$D$8,WEEKDAY(F441,2)&lt;&gt;7),MIN(OFFSET(H441,-WEEKDAY(F441,2),0):H441)*(COUNTIF(OFFSET(H441,-WEEKDAY(F441,2)+1,0):H441,"&gt;0")+SUM(OFFSET(A441,-WEEKDAY(F441,2),0):A441)),IF(AND('депозитный калькулятор'!$G$10="ежемесячное (в конце месяца)",F441='депозитный калькулятор'!$D$8,EOMONTH(F441,0)&lt;&gt;F441),IF('депозитный калькулятор'!$F$1=1,$H$24,SUM($H$23:H441)-SUM($I$23:I440)),IF(AND('депозитный калькулятор'!$G$10="ежемесячное (в конце месяца)",EOMONTH(F441,0)=F441),SUM($H$23:H441)-SUM($I$23:I440),IF(AND('депозитный калькулятор'!$G$10="ежемесячное (по дням открытия вклада)",F441='депозитный калькулятор'!$D$8,DAY('депозитный калькулятор'!$D$7)&lt;&gt;DAY(F441)),IF('депозитный калькулятор'!$F$1=1,$H$24,SUM($H$23:H441)-SUM($I$23:I440)),IF(AND('депозитный калькулятор'!$G$10="ежемесячное (по дням открытия вклада)",DAY('депозитный калькулятор'!$D$7)=DAY(F441)),SUM($H$23:H441)-SUM($I$23:I440),IF(AND('депозитный калькулятор'!$G$10="ежемесячное, на минимальную сумму зафиксированную в течение месяца",F441='депозитный калькулятор'!$D$8,EOMONTH(F441,0)&lt;&gt;F441),IF('депозитный калькулятор'!$F$1=1,$H$24,IF(AND(OR('депозитный калькулятор'!$G$7="30/365",'депозитный калькулятор'!$G$7="30/360"),DAY(F441)=31),0,MIN(OFFSET(H441,-E441+1,0):H441)*(E441+SUMIF(OFFSET(A441,-E441+1,0):A441,"=2",OFFSET(A441,-E441+1,0):A441)))),IF(AND('депозитный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калькулятор'!$G$7="30/360"),DAY(EOMONTH(F441,0))=31),EOMONTH(F441,0)-1=F441,EOMONTH(F441,0)=F441)),IF(IF(AND(OR('депозитный калькулятор'!$G$7="30/365",'депозитный калькулятор'!$G$7="30/360"),DAY(EOMONTH($F$23,0))=31),F441=EOMONTH($F$23,0)-1,F441=EOMONTH($F$23,0)),MIN(OFFSET(H441,-(DAY(F441)-DAY($F$23)),0):H441)*E441,MIN(OFFSET(H441,-(DAY(F441)-1),0):H441)*IF(AND(OR('депозитный калькулятор'!$G$7="30/365",'депозитный калькулятор'!$G$7="30/360"),DAY(F441)&lt;30),30,DAY(F441))),IF(AND('депозитный калькулятор'!$G$10="ежемесячное, на средний остаток в течение месяца, при условии что остаток больше чем ограничение",F441='депозитный калькулятор'!$D$8,EOMONTH(F441,0)&lt;&gt;F441),IF('депозитный калькулятор'!$F$1=1,$H$24,SUM(OFFSET(Q441,-E441+1,0):Q441)),IF(AND('депозитный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калькулятор'!$G$7="30/360"),DAY(EOMONTH(F441,0))=31),EOMONTH(F441,0)-1=F441,EOMONTH(F441,0)=F441)),IF(IF(AND(OR('депозитный калькулятор'!$G$7="30/365",'депозитный калькулятор'!$G$7="30/360"),DAY(EOMONTH($F$24,0))=31),F441=EOMONTH($F$24,0)-1,F441=EOMONTH($F$24,0)),SUM(OFFSET(Q441,-E441+1,0):Q441),SUM(OFFSET(Q441,-E441+1,0):Q441)),IF('депозитный калькулятор'!$G$10="ежеквартальное",IF(F441&gt;'депозитный калькулятор'!$D$8," ",IF(AND(EOMONTH(F441,0)=F441,OR(MONTH(F441)=3,MONTH(F441)=6,MONTH(F441)=9,MONTH(F441)=12)),IF(EDATE(F441,-3)&lt;'депозитный калькулятор'!$D$7,SUM($H$23:H441),IF(MOD(YEAR(F441),4)=0,IF(AND(EOMONTH(F441,0)=F441,OR(MONTH(F441)=3,MONTH(F441)=6)),SUM(OFFSET(H441,-90,0):H441),IF(AND(EOMONTH(F441,0)=F441,OR(MONTH(F441)=9,MONTH(F441)=12)),SUM(OFFSET(H441,-91,0):H441))),IF(AND(EOMONTH(F441,0)=F441,MONTH(F441)=3),SUM(OFFSET(H441,-89,0):H441),IF(AND(EOMONTH(F441,0)=F441,MONTH(F441)=6),SUM(OFFSET(H441,-90,0):H441),IF(AND(EOMONTH(F441,0)=F441,OR(MONTH(F441)=9,MONTH(F441)=12)),SUM(OFFSET(H441,-91,0):H441)))))),IF(F441='депозитный калькулятор'!$D$8,SUM($H$23:H441)-SUM($I$23:I440),0))),IF('депозитный калькулятор'!$G$10="ежегодное",IF(F441&gt;'депозитный калькулятор'!$D$8," ",IF(F441='депозитный калькулятор'!$D$8,SUM($H$23:H441)-SUM($I$23:I440),IF(AND(EOMONTH(F441,0)=F441,MONTH(F441)=12),IF(MOD(YEAR(F440),4)=0,IF(F441-'депозитный калькулятор'!$D$7&lt;366,SUM($H$23:H441),SUM(OFFSET(H441,-365,0):H441)),IF(F441-'депозитный калькулятор'!$D$7&lt;365,SUM($H$23:H441),SUM(OFFSET(H441,-364,0):H441))),0))),IF(AND('депозитный калькулятор'!$G$10="в конце срока",'депозитный калькулятор'!$D$8=F441),SUM($H$23:H441),0))))))))))))))))))</f>
        <v xml:space="preserve"> </v>
      </c>
      <c r="J441" s="59" t="str">
        <f>IF(F441&gt;'депозитный калькулятор'!$D$8," ",IF('депозитный калькулятор'!$G$16="нет",0,IF(AND('депозитный калькулятор'!$G$17="разовая (в конце срока)",F441='депозитный калькулятор'!$D$8),'депозитный калькулятор'!$G$18,IF(AND('депозитный калькулятор'!$G$17="ежемесячная",EOMONTH(F440,0)=F440),'депозитный калькулятор'!$G$18,IF(AND('депозитный калькулятор'!$G$17="ежегодная",DAY(F440)=31,MONTH(F440)=12),'депозитный калькулятор'!$G$18,IF(AND('депозитный калькулятор'!$G$17="ежемесячная в зависимости от остатка",EOMONTH(F440,0)=F440,P440&gt;0),'депозитный калькулятор'!$G$18,IF(AND('депозитный калькулятор'!$G$17="ежегодная в зависимости от остатка",DAY(F440)=31,MONTH(F440)=12,P440&gt;0),'депозитный калькулятор'!$G$18,0)))))))</f>
        <v xml:space="preserve"> </v>
      </c>
      <c r="K441" s="135" t="str">
        <f>IF($F441=" "," ",IFERROR(VLOOKUP($F441,'депозитный калькулятор'!$B$26:$F$70,2,0),0))</f>
        <v xml:space="preserve"> </v>
      </c>
      <c r="L441" s="135" t="str">
        <f>IF($F441=" "," ",IFERROR(VLOOKUP($F441,'депозитный калькулятор'!$B$26:$F$70,3,0),0))</f>
        <v xml:space="preserve"> </v>
      </c>
      <c r="M441" s="135" t="str">
        <f>IF($F441=" "," ",IFERROR(VLOOKUP($F441,'депозитный калькулятор'!$B$26:$F$70,4,0),0))</f>
        <v xml:space="preserve"> </v>
      </c>
      <c r="N441" s="135" t="str">
        <f>IF($F441=" "," ",IFERROR(VLOOKUP($F441,'депозитный калькулятор'!$B$26:$F$70,5,0),0))</f>
        <v xml:space="preserve"> </v>
      </c>
      <c r="O441" s="146" t="str">
        <f>IF(F441&gt;'депозитный калькулятор'!$D$8," ",IF(F441='депозитный калькулятор'!$D$8,IF(AND($F$24='депозитный калькулятор'!$D$8,'депозитный калькулятор'!$G$13="нет"),-G441-IF(I441=" ",0,I441)-IF(AND(OR('депозитный калькулятор'!$G$7="30/365",'депозитный калькулятор'!$G$7="30/360"),'депозитный калькулятор'!$G$10="в начале срока"),I440,0)-L441+M441-N441,-G441-IF(I441=" ",0,I441)-L441+M441-N441),IF('депозитный калькулятор'!$G$13="есть",M441-N441+IF('депозитный калькулятор'!$G$14="есть",0,-L441),-IF(I441=" ",0,I441)-IF(AND(OR('депозитный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срока"),I440,0)+M441-N441+IF('депозитный калькулятор'!$G$14="есть",0,-L441))))</f>
        <v xml:space="preserve"> </v>
      </c>
      <c r="P441" s="147" t="str">
        <f>IF(F441&gt;'депозитный калькулятор'!$D$8," ",IF(EOMONTH(F440,0)=F440,0,IF(G441&gt;='депозитный калькулятор'!$G$19,P440,P440+1)))</f>
        <v xml:space="preserve"> </v>
      </c>
      <c r="Q441" s="138" t="str">
        <f>IF(F441=" "," ",IF(AND(OR('депозитный калькулятор'!$G$7="30/365",'депозитный калькулятор'!$G$7="30/360"),AND(MONTH(F441)=2,EOMONTH(F441,0)=F441)),IF(DAY(F441)=28,3,2),1)*IF(G441&gt;='депозитный калькулятор'!$G$11,IF(AND('депозитный калькулятор'!$G$7="факт/факт",MOD(YEAR(F441),4)=0),G441*'депозитный калькулятор'!$D$11/366,G441*'депозитный калькулятор'!$G$8),0))</f>
        <v xml:space="preserve"> </v>
      </c>
      <c r="R441" s="158"/>
      <c r="S441" s="62" t="str">
        <f t="shared" ca="1" si="32"/>
        <v xml:space="preserve"> </v>
      </c>
      <c r="T441" s="149" t="str">
        <f ca="1">IF(S441=" "," ",IF('депозитный калькулятор'!$G$7="30/360",DAYS360(U440,IF(DAY(U441)=31,U441-1,U441))+IF(AND(MONTH(U441)=2,U441=EOMONTH(U441,0)),30-DAY(EOMONTH(U441,0)))+T440,VLOOKUP(S441,$C$22:$F$1023,2,0)))</f>
        <v xml:space="preserve"> </v>
      </c>
      <c r="U441" s="64" t="str">
        <f t="shared" ca="1" si="30"/>
        <v xml:space="preserve"> </v>
      </c>
      <c r="V441" s="150" t="str">
        <f t="shared" ca="1" si="33"/>
        <v xml:space="preserve"> </v>
      </c>
      <c r="W441" s="62" t="str">
        <f t="shared" ca="1" si="34"/>
        <v xml:space="preserve"> </v>
      </c>
      <c r="X441" s="141" t="str">
        <f ca="1">IF(S441=" "," ",IFERROR(VLOOKUP(U441,$F$23:$N$1023,7)+VLOOKUP(U441,$F$23:$N$1023,9)+IF(AND('депозитный калькулятор'!$G$13="нет",U441&lt;&gt;'депозитный калькулятор'!$D$8),VLOOKUP(U441,$F$23:$N$1023,4),0),0)+IF(U441='депозитный калькулятор'!$D$8,VLOOKUP(U441,$F$23:$N$1023,2)+VLOOKUP(U441,$F$23:$N$1023,4),0))</f>
        <v xml:space="preserve"> </v>
      </c>
      <c r="Y441" s="142" t="str">
        <f ca="1">IF(S441=" "," ",W441/(1+'депозитный калькулятор'!$K$8)^(T441/IF('депозитный калькулятор'!$G$7="30/360",360,365)))</f>
        <v xml:space="preserve"> </v>
      </c>
      <c r="Z441" s="142" t="str">
        <f ca="1">IF(S441=" "," ",X441/(1+'депозитный калькулятор'!$K$8)^(T441/IF('депозитный калькулятор'!$G$7="30/360",360,365)))</f>
        <v xml:space="preserve"> </v>
      </c>
      <c r="AA441" s="151"/>
      <c r="AB441" s="151"/>
      <c r="AC441" s="155"/>
      <c r="AD441" s="155"/>
    </row>
    <row r="442" spans="1:30" s="2" customFormat="1" ht="15.5" x14ac:dyDescent="0.35">
      <c r="A442" s="41" t="str">
        <f>IF(F442=" "," ",IF(OR('депозитный калькулятор'!$G$7="30/365",'депозитный калькулятор'!$G$7="30/360"),IF(AND(MONTH(F442)=2,DAY(F442)=DAY(EOMONTH(F442,0))),30-DAY(EOMONTH(F442,0)),IF(DAY(F442)=31,1," "))," "))</f>
        <v xml:space="preserve"> </v>
      </c>
      <c r="B442" s="130" t="str">
        <f t="shared" si="31"/>
        <v xml:space="preserve"> </v>
      </c>
      <c r="C442" s="130" t="str">
        <f>IF(OR(B442=0,B442=" ")," ",SUM($B$23:B442))</f>
        <v xml:space="preserve"> </v>
      </c>
      <c r="D442" s="62" t="str">
        <f>IF(D441=" "," ",IF(OR(F441='депозитный калькулятор'!$D$8,F441=" ")," ",D441+1))</f>
        <v xml:space="preserve"> </v>
      </c>
      <c r="E442" s="130" t="str">
        <f>IF(OR(F441='депозитный калькулятор'!$D$8,F441=" ")," ",IF(EOMONTH(F441,0)=F441,1,E441+1))</f>
        <v xml:space="preserve"> </v>
      </c>
      <c r="F442" s="64" t="str">
        <f>IF(F441=" "," ",IF(F441='депозитный калькулятор'!$D$8," ",F441+1))</f>
        <v xml:space="preserve"> </v>
      </c>
      <c r="G442" s="145" t="str">
        <f xml:space="preserve"> IF(F442&gt;'депозитный калькулятор'!$D$8," ",IF('депозитный калькулятор'!$G$13="есть",IF('депозитный калькулятор'!$G$14="есть",G441+IF(I441=" ",0,I441)-J442-K442+L442+M442-N442,G441+IF(I441=" ",0,I441)-J442-K442+M442-N442),IF('депозитный калькулятор'!$G$14="есть",G441-J442-K442+L442+M442-N442,G441-J442-K442+M442-N442)))</f>
        <v xml:space="preserve"> </v>
      </c>
      <c r="H442" s="133" t="str">
        <f>IF(F442&gt;'депозитный калькулятор'!$D$8," ",IF(AND(OR('депозитный калькулятор'!$G$7="30/365",'депозитный калькулятор'!$G$7="30/360"),AND(MONTH(F442)=2,EOMONTH(F442,0)=F442)),IF(DAY(F442)=28,3*G442*'депозитный калькулятор'!$G$8,2*G442*'депозитный калькулятор'!$G$8),IF(AND(OR('депозитный калькулятор'!$G$7="30/365",'депозитный калькулятор'!$G$7="30/360"),DAY(F442)=31)," ",IF(AND('депозитный калькулятор'!$G$7="факт/факт",MOD(YEAR(F442),4)=0),G442*'депозитный калькулятор'!$D$11/366,G442*'депозитный калькулятор'!$G$8))))</f>
        <v xml:space="preserve"> </v>
      </c>
      <c r="I442" s="134" t="str">
        <f ca="1">IF(F442=" "," ",IF('депозитный калькулятор'!$G$10="ежедневное",H442,IF(AND('депозитный калькулятор'!$G$10="еженедельное",WEEKDAY(F442,2)=7),SUM(OFFSET(H442,-6,0):H442),IF(AND('депозитный калькулятор'!$G$10="еженедельное",F442='депозитный калькулятор'!$D$8),SUM($H$23:H442)-SUM($I$23:I441),IF(AND('депозитный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недели",WEEKDAY(F442,2)=7),MIN(OFFSET(H442,-6,0):H442)*(COUNTIF(OFFSET(H442,-6,0):H442,"&gt;0")+SUMIF(OFFSET(A442,-WEEKDAY(F442,2),0):A442,"=2",OFFSET(A442,-WEEKDAY(F442,2),0):A442)),IF(AND('депозитный калькулятор'!$G$10="еженедельное, на минимальную сумму зафиксированную в течение недели",F442='депозитный калькулятор'!$D$8,WEEKDAY(F442,2)&lt;&gt;7),MIN(OFFSET(H442,-WEEKDAY(F442,2),0):H442)*(COUNTIF(OFFSET(H442,-WEEKDAY(F442,2)+1,0):H442,"&gt;0")+SUM(OFFSET(A442,-WEEKDAY(F442,2),0):A442)),IF(AND('депозитный калькулятор'!$G$10="ежемесячное (в конце месяца)",F442='депозитный калькулятор'!$D$8,EOMONTH(F442,0)&lt;&gt;F442),IF('депозитный калькулятор'!$F$1=1,$H$24,SUM($H$23:H442)-SUM($I$23:I441)),IF(AND('депозитный калькулятор'!$G$10="ежемесячное (в конце месяца)",EOMONTH(F442,0)=F442),SUM($H$23:H442)-SUM($I$23:I441),IF(AND('депозитный калькулятор'!$G$10="ежемесячное (по дням открытия вклада)",F442='депозитный калькулятор'!$D$8,DAY('депозитный калькулятор'!$D$7)&lt;&gt;DAY(F442)),IF('депозитный калькулятор'!$F$1=1,$H$24,SUM($H$23:H442)-SUM($I$23:I441)),IF(AND('депозитный калькулятор'!$G$10="ежемесячное (по дням открытия вклада)",DAY('депозитный калькулятор'!$D$7)=DAY(F442)),SUM($H$23:H442)-SUM($I$23:I441),IF(AND('депозитный калькулятор'!$G$10="ежемесячное, на минимальную сумму зафиксированную в течение месяца",F442='депозитный калькулятор'!$D$8,EOMONTH(F442,0)&lt;&gt;F442),IF('депозитный калькулятор'!$F$1=1,$H$24,IF(AND(OR('депозитный калькулятор'!$G$7="30/365",'депозитный калькулятор'!$G$7="30/360"),DAY(F442)=31),0,MIN(OFFSET(H442,-E442+1,0):H442)*(E442+SUMIF(OFFSET(A442,-E442+1,0):A442,"=2",OFFSET(A442,-E442+1,0):A442)))),IF(AND('депозитный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калькулятор'!$G$7="30/360"),DAY(EOMONTH(F442,0))=31),EOMONTH(F442,0)-1=F442,EOMONTH(F442,0)=F442)),IF(IF(AND(OR('депозитный калькулятор'!$G$7="30/365",'депозитный калькулятор'!$G$7="30/360"),DAY(EOMONTH($F$23,0))=31),F442=EOMONTH($F$23,0)-1,F442=EOMONTH($F$23,0)),MIN(OFFSET(H442,-(DAY(F442)-DAY($F$23)),0):H442)*E442,MIN(OFFSET(H442,-(DAY(F442)-1),0):H442)*IF(AND(OR('депозитный калькулятор'!$G$7="30/365",'депозитный калькулятор'!$G$7="30/360"),DAY(F442)&lt;30),30,DAY(F442))),IF(AND('депозитный калькулятор'!$G$10="ежемесячное, на средний остаток в течение месяца, при условии что остаток больше чем ограничение",F442='депозитный калькулятор'!$D$8,EOMONTH(F442,0)&lt;&gt;F442),IF('депозитный калькулятор'!$F$1=1,$H$24,SUM(OFFSET(Q442,-E442+1,0):Q442)),IF(AND('депозитный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калькулятор'!$G$7="30/360"),DAY(EOMONTH(F442,0))=31),EOMONTH(F442,0)-1=F442,EOMONTH(F442,0)=F442)),IF(IF(AND(OR('депозитный калькулятор'!$G$7="30/365",'депозитный калькулятор'!$G$7="30/360"),DAY(EOMONTH($F$24,0))=31),F442=EOMONTH($F$24,0)-1,F442=EOMONTH($F$24,0)),SUM(OFFSET(Q442,-E442+1,0):Q442),SUM(OFFSET(Q442,-E442+1,0):Q442)),IF('депозитный калькулятор'!$G$10="ежеквартальное",IF(F442&gt;'депозитный калькулятор'!$D$8," ",IF(AND(EOMONTH(F442,0)=F442,OR(MONTH(F442)=3,MONTH(F442)=6,MONTH(F442)=9,MONTH(F442)=12)),IF(EDATE(F442,-3)&lt;'депозитный калькулятор'!$D$7,SUM($H$23:H442),IF(MOD(YEAR(F442),4)=0,IF(AND(EOMONTH(F442,0)=F442,OR(MONTH(F442)=3,MONTH(F442)=6)),SUM(OFFSET(H442,-90,0):H442),IF(AND(EOMONTH(F442,0)=F442,OR(MONTH(F442)=9,MONTH(F442)=12)),SUM(OFFSET(H442,-91,0):H442))),IF(AND(EOMONTH(F442,0)=F442,MONTH(F442)=3),SUM(OFFSET(H442,-89,0):H442),IF(AND(EOMONTH(F442,0)=F442,MONTH(F442)=6),SUM(OFFSET(H442,-90,0):H442),IF(AND(EOMONTH(F442,0)=F442,OR(MONTH(F442)=9,MONTH(F442)=12)),SUM(OFFSET(H442,-91,0):H442)))))),IF(F442='депозитный калькулятор'!$D$8,SUM($H$23:H442)-SUM($I$23:I441),0))),IF('депозитный калькулятор'!$G$10="ежегодное",IF(F442&gt;'депозитный калькулятор'!$D$8," ",IF(F442='депозитный калькулятор'!$D$8,SUM($H$23:H442)-SUM($I$23:I441),IF(AND(EOMONTH(F442,0)=F442,MONTH(F442)=12),IF(MOD(YEAR(F441),4)=0,IF(F442-'депозитный калькулятор'!$D$7&lt;366,SUM($H$23:H442),SUM(OFFSET(H442,-365,0):H442)),IF(F442-'депозитный калькулятор'!$D$7&lt;365,SUM($H$23:H442),SUM(OFFSET(H442,-364,0):H442))),0))),IF(AND('депозитный калькулятор'!$G$10="в конце срока",'депозитный калькулятор'!$D$8=F442),SUM($H$23:H442),0))))))))))))))))))</f>
        <v xml:space="preserve"> </v>
      </c>
      <c r="J442" s="59" t="str">
        <f>IF(F442&gt;'депозитный калькулятор'!$D$8," ",IF('депозитный калькулятор'!$G$16="нет",0,IF(AND('депозитный калькулятор'!$G$17="разовая (в конце срока)",F442='депозитный калькулятор'!$D$8),'депозитный калькулятор'!$G$18,IF(AND('депозитный калькулятор'!$G$17="ежемесячная",EOMONTH(F441,0)=F441),'депозитный калькулятор'!$G$18,IF(AND('депозитный калькулятор'!$G$17="ежегодная",DAY(F441)=31,MONTH(F441)=12),'депозитный калькулятор'!$G$18,IF(AND('депозитный калькулятор'!$G$17="ежемесячная в зависимости от остатка",EOMONTH(F441,0)=F441,P441&gt;0),'депозитный калькулятор'!$G$18,IF(AND('депозитный калькулятор'!$G$17="ежегодная в зависимости от остатка",DAY(F441)=31,MONTH(F441)=12,P441&gt;0),'депозитный калькулятор'!$G$18,0)))))))</f>
        <v xml:space="preserve"> </v>
      </c>
      <c r="K442" s="135" t="str">
        <f>IF($F442=" "," ",IFERROR(VLOOKUP($F442,'депозитный калькулятор'!$B$26:$F$70,2,0),0))</f>
        <v xml:space="preserve"> </v>
      </c>
      <c r="L442" s="135" t="str">
        <f>IF($F442=" "," ",IFERROR(VLOOKUP($F442,'депозитный калькулятор'!$B$26:$F$70,3,0),0))</f>
        <v xml:space="preserve"> </v>
      </c>
      <c r="M442" s="135" t="str">
        <f>IF($F442=" "," ",IFERROR(VLOOKUP($F442,'депозитный калькулятор'!$B$26:$F$70,4,0),0))</f>
        <v xml:space="preserve"> </v>
      </c>
      <c r="N442" s="135" t="str">
        <f>IF($F442=" "," ",IFERROR(VLOOKUP($F442,'депозитный калькулятор'!$B$26:$F$70,5,0),0))</f>
        <v xml:space="preserve"> </v>
      </c>
      <c r="O442" s="146" t="str">
        <f>IF(F442&gt;'депозитный калькулятор'!$D$8," ",IF(F442='депозитный калькулятор'!$D$8,IF(AND($F$24='депозитный калькулятор'!$D$8,'депозитный калькулятор'!$G$13="нет"),-G442-IF(I442=" ",0,I442)-IF(AND(OR('депозитный калькулятор'!$G$7="30/365",'депозитный калькулятор'!$G$7="30/360"),'депозитный калькулятор'!$G$10="в начале срока"),I441,0)-L442+M442-N442,-G442-IF(I442=" ",0,I442)-L442+M442-N442),IF('депозитный калькулятор'!$G$13="есть",M442-N442+IF('депозитный калькулятор'!$G$14="есть",0,-L442),-IF(I442=" ",0,I442)-IF(AND(OR('депозитный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срока"),I441,0)+M442-N442+IF('депозитный калькулятор'!$G$14="есть",0,-L442))))</f>
        <v xml:space="preserve"> </v>
      </c>
      <c r="P442" s="147" t="str">
        <f>IF(F442&gt;'депозитный калькулятор'!$D$8," ",IF(EOMONTH(F441,0)=F441,0,IF(G442&gt;='депозитный калькулятор'!$G$19,P441,P441+1)))</f>
        <v xml:space="preserve"> </v>
      </c>
      <c r="Q442" s="138" t="str">
        <f>IF(F442=" "," ",IF(AND(OR('депозитный калькулятор'!$G$7="30/365",'депозитный калькулятор'!$G$7="30/360"),AND(MONTH(F442)=2,EOMONTH(F442,0)=F442)),IF(DAY(F442)=28,3,2),1)*IF(G442&gt;='депозитный калькулятор'!$G$11,IF(AND('депозитный калькулятор'!$G$7="факт/факт",MOD(YEAR(F442),4)=0),G442*'депозитный калькулятор'!$D$11/366,G442*'депозитный калькулятор'!$G$8),0))</f>
        <v xml:space="preserve"> </v>
      </c>
      <c r="R442" s="158"/>
      <c r="S442" s="62" t="str">
        <f t="shared" ca="1" si="32"/>
        <v xml:space="preserve"> </v>
      </c>
      <c r="T442" s="149" t="str">
        <f ca="1">IF(S442=" "," ",IF('депозитный калькулятор'!$G$7="30/360",DAYS360(U441,IF(DAY(U442)=31,U442-1,U442))+IF(AND(MONTH(U442)=2,U442=EOMONTH(U442,0)),30-DAY(EOMONTH(U442,0)))+T441,VLOOKUP(S442,$C$22:$F$1023,2,0)))</f>
        <v xml:space="preserve"> </v>
      </c>
      <c r="U442" s="64" t="str">
        <f t="shared" ca="1" si="30"/>
        <v xml:space="preserve"> </v>
      </c>
      <c r="V442" s="150" t="str">
        <f t="shared" ca="1" si="33"/>
        <v xml:space="preserve"> </v>
      </c>
      <c r="W442" s="62" t="str">
        <f t="shared" ca="1" si="34"/>
        <v xml:space="preserve"> </v>
      </c>
      <c r="X442" s="141" t="str">
        <f ca="1">IF(S442=" "," ",IFERROR(VLOOKUP(U442,$F$23:$N$1023,7)+VLOOKUP(U442,$F$23:$N$1023,9)+IF(AND('депозитный калькулятор'!$G$13="нет",U442&lt;&gt;'депозитный калькулятор'!$D$8),VLOOKUP(U442,$F$23:$N$1023,4),0),0)+IF(U442='депозитный калькулятор'!$D$8,VLOOKUP(U442,$F$23:$N$1023,2)+VLOOKUP(U442,$F$23:$N$1023,4),0))</f>
        <v xml:space="preserve"> </v>
      </c>
      <c r="Y442" s="142" t="str">
        <f ca="1">IF(S442=" "," ",W442/(1+'депозитный калькулятор'!$K$8)^(T442/IF('депозитный калькулятор'!$G$7="30/360",360,365)))</f>
        <v xml:space="preserve"> </v>
      </c>
      <c r="Z442" s="142" t="str">
        <f ca="1">IF(S442=" "," ",X442/(1+'депозитный калькулятор'!$K$8)^(T442/IF('депозитный калькулятор'!$G$7="30/360",360,365)))</f>
        <v xml:space="preserve"> </v>
      </c>
      <c r="AA442" s="151"/>
      <c r="AB442" s="151"/>
      <c r="AC442" s="155"/>
      <c r="AD442" s="155"/>
    </row>
    <row r="443" spans="1:30" s="2" customFormat="1" ht="15.5" x14ac:dyDescent="0.35">
      <c r="A443" s="41" t="str">
        <f>IF(F443=" "," ",IF(OR('депозитный калькулятор'!$G$7="30/365",'депозитный калькулятор'!$G$7="30/360"),IF(AND(MONTH(F443)=2,DAY(F443)=DAY(EOMONTH(F443,0))),30-DAY(EOMONTH(F443,0)),IF(DAY(F443)=31,1," "))," "))</f>
        <v xml:space="preserve"> </v>
      </c>
      <c r="B443" s="130" t="str">
        <f t="shared" si="31"/>
        <v xml:space="preserve"> </v>
      </c>
      <c r="C443" s="130" t="str">
        <f>IF(OR(B443=0,B443=" ")," ",SUM($B$23:B443))</f>
        <v xml:space="preserve"> </v>
      </c>
      <c r="D443" s="62" t="str">
        <f>IF(D442=" "," ",IF(OR(F442='депозитный калькулятор'!$D$8,F442=" ")," ",D442+1))</f>
        <v xml:space="preserve"> </v>
      </c>
      <c r="E443" s="130" t="str">
        <f>IF(OR(F442='депозитный калькулятор'!$D$8,F442=" ")," ",IF(EOMONTH(F442,0)=F442,1,E442+1))</f>
        <v xml:space="preserve"> </v>
      </c>
      <c r="F443" s="64" t="str">
        <f>IF(F442=" "," ",IF(F442='депозитный калькулятор'!$D$8," ",F442+1))</f>
        <v xml:space="preserve"> </v>
      </c>
      <c r="G443" s="145" t="str">
        <f xml:space="preserve"> IF(F443&gt;'депозитный калькулятор'!$D$8," ",IF('депозитный калькулятор'!$G$13="есть",IF('депозитный калькулятор'!$G$14="есть",G442+IF(I442=" ",0,I442)-J443-K443+L443+M443-N443,G442+IF(I442=" ",0,I442)-J443-K443+M443-N443),IF('депозитный калькулятор'!$G$14="есть",G442-J443-K443+L443+M443-N443,G442-J443-K443+M443-N443)))</f>
        <v xml:space="preserve"> </v>
      </c>
      <c r="H443" s="133" t="str">
        <f>IF(F443&gt;'депозитный калькулятор'!$D$8," ",IF(AND(OR('депозитный калькулятор'!$G$7="30/365",'депозитный калькулятор'!$G$7="30/360"),AND(MONTH(F443)=2,EOMONTH(F443,0)=F443)),IF(DAY(F443)=28,3*G443*'депозитный калькулятор'!$G$8,2*G443*'депозитный калькулятор'!$G$8),IF(AND(OR('депозитный калькулятор'!$G$7="30/365",'депозитный калькулятор'!$G$7="30/360"),DAY(F443)=31)," ",IF(AND('депозитный калькулятор'!$G$7="факт/факт",MOD(YEAR(F443),4)=0),G443*'депозитный калькулятор'!$D$11/366,G443*'депозитный калькулятор'!$G$8))))</f>
        <v xml:space="preserve"> </v>
      </c>
      <c r="I443" s="134" t="str">
        <f ca="1">IF(F443=" "," ",IF('депозитный калькулятор'!$G$10="ежедневное",H443,IF(AND('депозитный калькулятор'!$G$10="еженедельное",WEEKDAY(F443,2)=7),SUM(OFFSET(H443,-6,0):H443),IF(AND('депозитный калькулятор'!$G$10="еженедельное",F443='депозитный калькулятор'!$D$8),SUM($H$23:H443)-SUM($I$23:I442),IF(AND('депозитный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недели",WEEKDAY(F443,2)=7),MIN(OFFSET(H443,-6,0):H443)*(COUNTIF(OFFSET(H443,-6,0):H443,"&gt;0")+SUMIF(OFFSET(A443,-WEEKDAY(F443,2),0):A443,"=2",OFFSET(A443,-WEEKDAY(F443,2),0):A443)),IF(AND('депозитный калькулятор'!$G$10="еженедельное, на минимальную сумму зафиксированную в течение недели",F443='депозитный калькулятор'!$D$8,WEEKDAY(F443,2)&lt;&gt;7),MIN(OFFSET(H443,-WEEKDAY(F443,2),0):H443)*(COUNTIF(OFFSET(H443,-WEEKDAY(F443,2)+1,0):H443,"&gt;0")+SUM(OFFSET(A443,-WEEKDAY(F443,2),0):A443)),IF(AND('депозитный калькулятор'!$G$10="ежемесячное (в конце месяца)",F443='депозитный калькулятор'!$D$8,EOMONTH(F443,0)&lt;&gt;F443),IF('депозитный калькулятор'!$F$1=1,$H$24,SUM($H$23:H443)-SUM($I$23:I442)),IF(AND('депозитный калькулятор'!$G$10="ежемесячное (в конце месяца)",EOMONTH(F443,0)=F443),SUM($H$23:H443)-SUM($I$23:I442),IF(AND('депозитный калькулятор'!$G$10="ежемесячное (по дням открытия вклада)",F443='депозитный калькулятор'!$D$8,DAY('депозитный калькулятор'!$D$7)&lt;&gt;DAY(F443)),IF('депозитный калькулятор'!$F$1=1,$H$24,SUM($H$23:H443)-SUM($I$23:I442)),IF(AND('депозитный калькулятор'!$G$10="ежемесячное (по дням открытия вклада)",DAY('депозитный калькулятор'!$D$7)=DAY(F443)),SUM($H$23:H443)-SUM($I$23:I442),IF(AND('депозитный калькулятор'!$G$10="ежемесячное, на минимальную сумму зафиксированную в течение месяца",F443='депозитный калькулятор'!$D$8,EOMONTH(F443,0)&lt;&gt;F443),IF('депозитный калькулятор'!$F$1=1,$H$24,IF(AND(OR('депозитный калькулятор'!$G$7="30/365",'депозитный калькулятор'!$G$7="30/360"),DAY(F443)=31),0,MIN(OFFSET(H443,-E443+1,0):H443)*(E443+SUMIF(OFFSET(A443,-E443+1,0):A443,"=2",OFFSET(A443,-E443+1,0):A443)))),IF(AND('депозитный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калькулятор'!$G$7="30/360"),DAY(EOMONTH(F443,0))=31),EOMONTH(F443,0)-1=F443,EOMONTH(F443,0)=F443)),IF(IF(AND(OR('депозитный калькулятор'!$G$7="30/365",'депозитный калькулятор'!$G$7="30/360"),DAY(EOMONTH($F$23,0))=31),F443=EOMONTH($F$23,0)-1,F443=EOMONTH($F$23,0)),MIN(OFFSET(H443,-(DAY(F443)-DAY($F$23)),0):H443)*E443,MIN(OFFSET(H443,-(DAY(F443)-1),0):H443)*IF(AND(OR('депозитный калькулятор'!$G$7="30/365",'депозитный калькулятор'!$G$7="30/360"),DAY(F443)&lt;30),30,DAY(F443))),IF(AND('депозитный калькулятор'!$G$10="ежемесячное, на средний остаток в течение месяца, при условии что остаток больше чем ограничение",F443='депозитный калькулятор'!$D$8,EOMONTH(F443,0)&lt;&gt;F443),IF('депозитный калькулятор'!$F$1=1,$H$24,SUM(OFFSET(Q443,-E443+1,0):Q443)),IF(AND('депозитный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калькулятор'!$G$7="30/360"),DAY(EOMONTH(F443,0))=31),EOMONTH(F443,0)-1=F443,EOMONTH(F443,0)=F443)),IF(IF(AND(OR('депозитный калькулятор'!$G$7="30/365",'депозитный калькулятор'!$G$7="30/360"),DAY(EOMONTH($F$24,0))=31),F443=EOMONTH($F$24,0)-1,F443=EOMONTH($F$24,0)),SUM(OFFSET(Q443,-E443+1,0):Q443),SUM(OFFSET(Q443,-E443+1,0):Q443)),IF('депозитный калькулятор'!$G$10="ежеквартальное",IF(F443&gt;'депозитный калькулятор'!$D$8," ",IF(AND(EOMONTH(F443,0)=F443,OR(MONTH(F443)=3,MONTH(F443)=6,MONTH(F443)=9,MONTH(F443)=12)),IF(EDATE(F443,-3)&lt;'депозитный калькулятор'!$D$7,SUM($H$23:H443),IF(MOD(YEAR(F443),4)=0,IF(AND(EOMONTH(F443,0)=F443,OR(MONTH(F443)=3,MONTH(F443)=6)),SUM(OFFSET(H443,-90,0):H443),IF(AND(EOMONTH(F443,0)=F443,OR(MONTH(F443)=9,MONTH(F443)=12)),SUM(OFFSET(H443,-91,0):H443))),IF(AND(EOMONTH(F443,0)=F443,MONTH(F443)=3),SUM(OFFSET(H443,-89,0):H443),IF(AND(EOMONTH(F443,0)=F443,MONTH(F443)=6),SUM(OFFSET(H443,-90,0):H443),IF(AND(EOMONTH(F443,0)=F443,OR(MONTH(F443)=9,MONTH(F443)=12)),SUM(OFFSET(H443,-91,0):H443)))))),IF(F443='депозитный калькулятор'!$D$8,SUM($H$23:H443)-SUM($I$23:I442),0))),IF('депозитный калькулятор'!$G$10="ежегодное",IF(F443&gt;'депозитный калькулятор'!$D$8," ",IF(F443='депозитный калькулятор'!$D$8,SUM($H$23:H443)-SUM($I$23:I442),IF(AND(EOMONTH(F443,0)=F443,MONTH(F443)=12),IF(MOD(YEAR(F442),4)=0,IF(F443-'депозитный калькулятор'!$D$7&lt;366,SUM($H$23:H443),SUM(OFFSET(H443,-365,0):H443)),IF(F443-'депозитный калькулятор'!$D$7&lt;365,SUM($H$23:H443),SUM(OFFSET(H443,-364,0):H443))),0))),IF(AND('депозитный калькулятор'!$G$10="в конце срока",'депозитный калькулятор'!$D$8=F443),SUM($H$23:H443),0))))))))))))))))))</f>
        <v xml:space="preserve"> </v>
      </c>
      <c r="J443" s="59" t="str">
        <f>IF(F443&gt;'депозитный калькулятор'!$D$8," ",IF('депозитный калькулятор'!$G$16="нет",0,IF(AND('депозитный калькулятор'!$G$17="разовая (в конце срока)",F443='депозитный калькулятор'!$D$8),'депозитный калькулятор'!$G$18,IF(AND('депозитный калькулятор'!$G$17="ежемесячная",EOMONTH(F442,0)=F442),'депозитный калькулятор'!$G$18,IF(AND('депозитный калькулятор'!$G$17="ежегодная",DAY(F442)=31,MONTH(F442)=12),'депозитный калькулятор'!$G$18,IF(AND('депозитный калькулятор'!$G$17="ежемесячная в зависимости от остатка",EOMONTH(F442,0)=F442,P442&gt;0),'депозитный калькулятор'!$G$18,IF(AND('депозитный калькулятор'!$G$17="ежегодная в зависимости от остатка",DAY(F442)=31,MONTH(F442)=12,P442&gt;0),'депозитный калькулятор'!$G$18,0)))))))</f>
        <v xml:space="preserve"> </v>
      </c>
      <c r="K443" s="135" t="str">
        <f>IF($F443=" "," ",IFERROR(VLOOKUP($F443,'депозитный калькулятор'!$B$26:$F$70,2,0),0))</f>
        <v xml:space="preserve"> </v>
      </c>
      <c r="L443" s="135" t="str">
        <f>IF($F443=" "," ",IFERROR(VLOOKUP($F443,'депозитный калькулятор'!$B$26:$F$70,3,0),0))</f>
        <v xml:space="preserve"> </v>
      </c>
      <c r="M443" s="135" t="str">
        <f>IF($F443=" "," ",IFERROR(VLOOKUP($F443,'депозитный калькулятор'!$B$26:$F$70,4,0),0))</f>
        <v xml:space="preserve"> </v>
      </c>
      <c r="N443" s="135" t="str">
        <f>IF($F443=" "," ",IFERROR(VLOOKUP($F443,'депозитный калькулятор'!$B$26:$F$70,5,0),0))</f>
        <v xml:space="preserve"> </v>
      </c>
      <c r="O443" s="146" t="str">
        <f>IF(F443&gt;'депозитный калькулятор'!$D$8," ",IF(F443='депозитный калькулятор'!$D$8,IF(AND($F$24='депозитный калькулятор'!$D$8,'депозитный калькулятор'!$G$13="нет"),-G443-IF(I443=" ",0,I443)-IF(AND(OR('депозитный калькулятор'!$G$7="30/365",'депозитный калькулятор'!$G$7="30/360"),'депозитный калькулятор'!$G$10="в начале срока"),I442,0)-L443+M443-N443,-G443-IF(I443=" ",0,I443)-L443+M443-N443),IF('депозитный калькулятор'!$G$13="есть",M443-N443+IF('депозитный калькулятор'!$G$14="есть",0,-L443),-IF(I443=" ",0,I443)-IF(AND(OR('депозитный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срока"),I442,0)+M443-N443+IF('депозитный калькулятор'!$G$14="есть",0,-L443))))</f>
        <v xml:space="preserve"> </v>
      </c>
      <c r="P443" s="147" t="str">
        <f>IF(F443&gt;'депозитный калькулятор'!$D$8," ",IF(EOMONTH(F442,0)=F442,0,IF(G443&gt;='депозитный калькулятор'!$G$19,P442,P442+1)))</f>
        <v xml:space="preserve"> </v>
      </c>
      <c r="Q443" s="138" t="str">
        <f>IF(F443=" "," ",IF(AND(OR('депозитный калькулятор'!$G$7="30/365",'депозитный калькулятор'!$G$7="30/360"),AND(MONTH(F443)=2,EOMONTH(F443,0)=F443)),IF(DAY(F443)=28,3,2),1)*IF(G443&gt;='депозитный калькулятор'!$G$11,IF(AND('депозитный калькулятор'!$G$7="факт/факт",MOD(YEAR(F443),4)=0),G443*'депозитный калькулятор'!$D$11/366,G443*'депозитный калькулятор'!$G$8),0))</f>
        <v xml:space="preserve"> </v>
      </c>
      <c r="R443" s="158"/>
      <c r="S443" s="62" t="str">
        <f t="shared" ca="1" si="32"/>
        <v xml:space="preserve"> </v>
      </c>
      <c r="T443" s="149" t="str">
        <f ca="1">IF(S443=" "," ",IF('депозитный калькулятор'!$G$7="30/360",DAYS360(U442,IF(DAY(U443)=31,U443-1,U443))+IF(AND(MONTH(U443)=2,U443=EOMONTH(U443,0)),30-DAY(EOMONTH(U443,0)))+T442,VLOOKUP(S443,$C$22:$F$1023,2,0)))</f>
        <v xml:space="preserve"> </v>
      </c>
      <c r="U443" s="64" t="str">
        <f t="shared" ca="1" si="30"/>
        <v xml:space="preserve"> </v>
      </c>
      <c r="V443" s="150" t="str">
        <f t="shared" ca="1" si="33"/>
        <v xml:space="preserve"> </v>
      </c>
      <c r="W443" s="62" t="str">
        <f t="shared" ca="1" si="34"/>
        <v xml:space="preserve"> </v>
      </c>
      <c r="X443" s="141" t="str">
        <f ca="1">IF(S443=" "," ",IFERROR(VLOOKUP(U443,$F$23:$N$1023,7)+VLOOKUP(U443,$F$23:$N$1023,9)+IF(AND('депозитный калькулятор'!$G$13="нет",U443&lt;&gt;'депозитный калькулятор'!$D$8),VLOOKUP(U443,$F$23:$N$1023,4),0),0)+IF(U443='депозитный калькулятор'!$D$8,VLOOKUP(U443,$F$23:$N$1023,2)+VLOOKUP(U443,$F$23:$N$1023,4),0))</f>
        <v xml:space="preserve"> </v>
      </c>
      <c r="Y443" s="142" t="str">
        <f ca="1">IF(S443=" "," ",W443/(1+'депозитный калькулятор'!$K$8)^(T443/IF('депозитный калькулятор'!$G$7="30/360",360,365)))</f>
        <v xml:space="preserve"> </v>
      </c>
      <c r="Z443" s="142" t="str">
        <f ca="1">IF(S443=" "," ",X443/(1+'депозитный калькулятор'!$K$8)^(T443/IF('депозитный калькулятор'!$G$7="30/360",360,365)))</f>
        <v xml:space="preserve"> </v>
      </c>
      <c r="AA443" s="151"/>
      <c r="AB443" s="151"/>
      <c r="AC443" s="155"/>
      <c r="AD443" s="155"/>
    </row>
    <row r="444" spans="1:30" s="2" customFormat="1" ht="15.5" x14ac:dyDescent="0.35">
      <c r="A444" s="41" t="str">
        <f>IF(F444=" "," ",IF(OR('депозитный калькулятор'!$G$7="30/365",'депозитный калькулятор'!$G$7="30/360"),IF(AND(MONTH(F444)=2,DAY(F444)=DAY(EOMONTH(F444,0))),30-DAY(EOMONTH(F444,0)),IF(DAY(F444)=31,1," "))," "))</f>
        <v xml:space="preserve"> </v>
      </c>
      <c r="B444" s="130" t="str">
        <f t="shared" si="31"/>
        <v xml:space="preserve"> </v>
      </c>
      <c r="C444" s="130" t="str">
        <f>IF(OR(B444=0,B444=" ")," ",SUM($B$23:B444))</f>
        <v xml:space="preserve"> </v>
      </c>
      <c r="D444" s="62" t="str">
        <f>IF(D443=" "," ",IF(OR(F443='депозитный калькулятор'!$D$8,F443=" ")," ",D443+1))</f>
        <v xml:space="preserve"> </v>
      </c>
      <c r="E444" s="130" t="str">
        <f>IF(OR(F443='депозитный калькулятор'!$D$8,F443=" ")," ",IF(EOMONTH(F443,0)=F443,1,E443+1))</f>
        <v xml:space="preserve"> </v>
      </c>
      <c r="F444" s="64" t="str">
        <f>IF(F443=" "," ",IF(F443='депозитный калькулятор'!$D$8," ",F443+1))</f>
        <v xml:space="preserve"> </v>
      </c>
      <c r="G444" s="145" t="str">
        <f xml:space="preserve"> IF(F444&gt;'депозитный калькулятор'!$D$8," ",IF('депозитный калькулятор'!$G$13="есть",IF('депозитный калькулятор'!$G$14="есть",G443+IF(I443=" ",0,I443)-J444-K444+L444+M444-N444,G443+IF(I443=" ",0,I443)-J444-K444+M444-N444),IF('депозитный калькулятор'!$G$14="есть",G443-J444-K444+L444+M444-N444,G443-J444-K444+M444-N444)))</f>
        <v xml:space="preserve"> </v>
      </c>
      <c r="H444" s="133" t="str">
        <f>IF(F444&gt;'депозитный калькулятор'!$D$8," ",IF(AND(OR('депозитный калькулятор'!$G$7="30/365",'депозитный калькулятор'!$G$7="30/360"),AND(MONTH(F444)=2,EOMONTH(F444,0)=F444)),IF(DAY(F444)=28,3*G444*'депозитный калькулятор'!$G$8,2*G444*'депозитный калькулятор'!$G$8),IF(AND(OR('депозитный калькулятор'!$G$7="30/365",'депозитный калькулятор'!$G$7="30/360"),DAY(F444)=31)," ",IF(AND('депозитный калькулятор'!$G$7="факт/факт",MOD(YEAR(F444),4)=0),G444*'депозитный калькулятор'!$D$11/366,G444*'депозитный калькулятор'!$G$8))))</f>
        <v xml:space="preserve"> </v>
      </c>
      <c r="I444" s="134" t="str">
        <f ca="1">IF(F444=" "," ",IF('депозитный калькулятор'!$G$10="ежедневное",H444,IF(AND('депозитный калькулятор'!$G$10="еженедельное",WEEKDAY(F444,2)=7),SUM(OFFSET(H444,-6,0):H444),IF(AND('депозитный калькулятор'!$G$10="еженедельное",F444='депозитный калькулятор'!$D$8),SUM($H$23:H444)-SUM($I$23:I443),IF(AND('депозитный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недели",WEEKDAY(F444,2)=7),MIN(OFFSET(H444,-6,0):H444)*(COUNTIF(OFFSET(H444,-6,0):H444,"&gt;0")+SUMIF(OFFSET(A444,-WEEKDAY(F444,2),0):A444,"=2",OFFSET(A444,-WEEKDAY(F444,2),0):A444)),IF(AND('депозитный калькулятор'!$G$10="еженедельное, на минимальную сумму зафиксированную в течение недели",F444='депозитный калькулятор'!$D$8,WEEKDAY(F444,2)&lt;&gt;7),MIN(OFFSET(H444,-WEEKDAY(F444,2),0):H444)*(COUNTIF(OFFSET(H444,-WEEKDAY(F444,2)+1,0):H444,"&gt;0")+SUM(OFFSET(A444,-WEEKDAY(F444,2),0):A444)),IF(AND('депозитный калькулятор'!$G$10="ежемесячное (в конце месяца)",F444='депозитный калькулятор'!$D$8,EOMONTH(F444,0)&lt;&gt;F444),IF('депозитный калькулятор'!$F$1=1,$H$24,SUM($H$23:H444)-SUM($I$23:I443)),IF(AND('депозитный калькулятор'!$G$10="ежемесячное (в конце месяца)",EOMONTH(F444,0)=F444),SUM($H$23:H444)-SUM($I$23:I443),IF(AND('депозитный калькулятор'!$G$10="ежемесячное (по дням открытия вклада)",F444='депозитный калькулятор'!$D$8,DAY('депозитный калькулятор'!$D$7)&lt;&gt;DAY(F444)),IF('депозитный калькулятор'!$F$1=1,$H$24,SUM($H$23:H444)-SUM($I$23:I443)),IF(AND('депозитный калькулятор'!$G$10="ежемесячное (по дням открытия вклада)",DAY('депозитный калькулятор'!$D$7)=DAY(F444)),SUM($H$23:H444)-SUM($I$23:I443),IF(AND('депозитный калькулятор'!$G$10="ежемесячное, на минимальную сумму зафиксированную в течение месяца",F444='депозитный калькулятор'!$D$8,EOMONTH(F444,0)&lt;&gt;F444),IF('депозитный калькулятор'!$F$1=1,$H$24,IF(AND(OR('депозитный калькулятор'!$G$7="30/365",'депозитный калькулятор'!$G$7="30/360"),DAY(F444)=31),0,MIN(OFFSET(H444,-E444+1,0):H444)*(E444+SUMIF(OFFSET(A444,-E444+1,0):A444,"=2",OFFSET(A444,-E444+1,0):A444)))),IF(AND('депозитный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калькулятор'!$G$7="30/360"),DAY(EOMONTH(F444,0))=31),EOMONTH(F444,0)-1=F444,EOMONTH(F444,0)=F444)),IF(IF(AND(OR('депозитный калькулятор'!$G$7="30/365",'депозитный калькулятор'!$G$7="30/360"),DAY(EOMONTH($F$23,0))=31),F444=EOMONTH($F$23,0)-1,F444=EOMONTH($F$23,0)),MIN(OFFSET(H444,-(DAY(F444)-DAY($F$23)),0):H444)*E444,MIN(OFFSET(H444,-(DAY(F444)-1),0):H444)*IF(AND(OR('депозитный калькулятор'!$G$7="30/365",'депозитный калькулятор'!$G$7="30/360"),DAY(F444)&lt;30),30,DAY(F444))),IF(AND('депозитный калькулятор'!$G$10="ежемесячное, на средний остаток в течение месяца, при условии что остаток больше чем ограничение",F444='депозитный калькулятор'!$D$8,EOMONTH(F444,0)&lt;&gt;F444),IF('депозитный калькулятор'!$F$1=1,$H$24,SUM(OFFSET(Q444,-E444+1,0):Q444)),IF(AND('депозитный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калькулятор'!$G$7="30/360"),DAY(EOMONTH(F444,0))=31),EOMONTH(F444,0)-1=F444,EOMONTH(F444,0)=F444)),IF(IF(AND(OR('депозитный калькулятор'!$G$7="30/365",'депозитный калькулятор'!$G$7="30/360"),DAY(EOMONTH($F$24,0))=31),F444=EOMONTH($F$24,0)-1,F444=EOMONTH($F$24,0)),SUM(OFFSET(Q444,-E444+1,0):Q444),SUM(OFFSET(Q444,-E444+1,0):Q444)),IF('депозитный калькулятор'!$G$10="ежеквартальное",IF(F444&gt;'депозитный калькулятор'!$D$8," ",IF(AND(EOMONTH(F444,0)=F444,OR(MONTH(F444)=3,MONTH(F444)=6,MONTH(F444)=9,MONTH(F444)=12)),IF(EDATE(F444,-3)&lt;'депозитный калькулятор'!$D$7,SUM($H$23:H444),IF(MOD(YEAR(F444),4)=0,IF(AND(EOMONTH(F444,0)=F444,OR(MONTH(F444)=3,MONTH(F444)=6)),SUM(OFFSET(H444,-90,0):H444),IF(AND(EOMONTH(F444,0)=F444,OR(MONTH(F444)=9,MONTH(F444)=12)),SUM(OFFSET(H444,-91,0):H444))),IF(AND(EOMONTH(F444,0)=F444,MONTH(F444)=3),SUM(OFFSET(H444,-89,0):H444),IF(AND(EOMONTH(F444,0)=F444,MONTH(F444)=6),SUM(OFFSET(H444,-90,0):H444),IF(AND(EOMONTH(F444,0)=F444,OR(MONTH(F444)=9,MONTH(F444)=12)),SUM(OFFSET(H444,-91,0):H444)))))),IF(F444='депозитный калькулятор'!$D$8,SUM($H$23:H444)-SUM($I$23:I443),0))),IF('депозитный калькулятор'!$G$10="ежегодное",IF(F444&gt;'депозитный калькулятор'!$D$8," ",IF(F444='депозитный калькулятор'!$D$8,SUM($H$23:H444)-SUM($I$23:I443),IF(AND(EOMONTH(F444,0)=F444,MONTH(F444)=12),IF(MOD(YEAR(F443),4)=0,IF(F444-'депозитный калькулятор'!$D$7&lt;366,SUM($H$23:H444),SUM(OFFSET(H444,-365,0):H444)),IF(F444-'депозитный калькулятор'!$D$7&lt;365,SUM($H$23:H444),SUM(OFFSET(H444,-364,0):H444))),0))),IF(AND('депозитный калькулятор'!$G$10="в конце срока",'депозитный калькулятор'!$D$8=F444),SUM($H$23:H444),0))))))))))))))))))</f>
        <v xml:space="preserve"> </v>
      </c>
      <c r="J444" s="59" t="str">
        <f>IF(F444&gt;'депозитный калькулятор'!$D$8," ",IF('депозитный калькулятор'!$G$16="нет",0,IF(AND('депозитный калькулятор'!$G$17="разовая (в конце срока)",F444='депозитный калькулятор'!$D$8),'депозитный калькулятор'!$G$18,IF(AND('депозитный калькулятор'!$G$17="ежемесячная",EOMONTH(F443,0)=F443),'депозитный калькулятор'!$G$18,IF(AND('депозитный калькулятор'!$G$17="ежегодная",DAY(F443)=31,MONTH(F443)=12),'депозитный калькулятор'!$G$18,IF(AND('депозитный калькулятор'!$G$17="ежемесячная в зависимости от остатка",EOMONTH(F443,0)=F443,P443&gt;0),'депозитный калькулятор'!$G$18,IF(AND('депозитный калькулятор'!$G$17="ежегодная в зависимости от остатка",DAY(F443)=31,MONTH(F443)=12,P443&gt;0),'депозитный калькулятор'!$G$18,0)))))))</f>
        <v xml:space="preserve"> </v>
      </c>
      <c r="K444" s="135" t="str">
        <f>IF($F444=" "," ",IFERROR(VLOOKUP($F444,'депозитный калькулятор'!$B$26:$F$70,2,0),0))</f>
        <v xml:space="preserve"> </v>
      </c>
      <c r="L444" s="135" t="str">
        <f>IF($F444=" "," ",IFERROR(VLOOKUP($F444,'депозитный калькулятор'!$B$26:$F$70,3,0),0))</f>
        <v xml:space="preserve"> </v>
      </c>
      <c r="M444" s="135" t="str">
        <f>IF($F444=" "," ",IFERROR(VLOOKUP($F444,'депозитный калькулятор'!$B$26:$F$70,4,0),0))</f>
        <v xml:space="preserve"> </v>
      </c>
      <c r="N444" s="135" t="str">
        <f>IF($F444=" "," ",IFERROR(VLOOKUP($F444,'депозитный калькулятор'!$B$26:$F$70,5,0),0))</f>
        <v xml:space="preserve"> </v>
      </c>
      <c r="O444" s="146" t="str">
        <f>IF(F444&gt;'депозитный калькулятор'!$D$8," ",IF(F444='депозитный калькулятор'!$D$8,IF(AND($F$24='депозитный калькулятор'!$D$8,'депозитный калькулятор'!$G$13="нет"),-G444-IF(I444=" ",0,I444)-IF(AND(OR('депозитный калькулятор'!$G$7="30/365",'депозитный калькулятор'!$G$7="30/360"),'депозитный калькулятор'!$G$10="в начале срока"),I443,0)-L444+M444-N444,-G444-IF(I444=" ",0,I444)-L444+M444-N444),IF('депозитный калькулятор'!$G$13="есть",M444-N444+IF('депозитный калькулятор'!$G$14="есть",0,-L444),-IF(I444=" ",0,I444)-IF(AND(OR('депозитный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срока"),I443,0)+M444-N444+IF('депозитный калькулятор'!$G$14="есть",0,-L444))))</f>
        <v xml:space="preserve"> </v>
      </c>
      <c r="P444" s="147" t="str">
        <f>IF(F444&gt;'депозитный калькулятор'!$D$8," ",IF(EOMONTH(F443,0)=F443,0,IF(G444&gt;='депозитный калькулятор'!$G$19,P443,P443+1)))</f>
        <v xml:space="preserve"> </v>
      </c>
      <c r="Q444" s="138" t="str">
        <f>IF(F444=" "," ",IF(AND(OR('депозитный калькулятор'!$G$7="30/365",'депозитный калькулятор'!$G$7="30/360"),AND(MONTH(F444)=2,EOMONTH(F444,0)=F444)),IF(DAY(F444)=28,3,2),1)*IF(G444&gt;='депозитный калькулятор'!$G$11,IF(AND('депозитный калькулятор'!$G$7="факт/факт",MOD(YEAR(F444),4)=0),G444*'депозитный калькулятор'!$D$11/366,G444*'депозитный калькулятор'!$G$8),0))</f>
        <v xml:space="preserve"> </v>
      </c>
      <c r="R444" s="158"/>
      <c r="S444" s="62" t="str">
        <f t="shared" ca="1" si="32"/>
        <v xml:space="preserve"> </v>
      </c>
      <c r="T444" s="149" t="str">
        <f ca="1">IF(S444=" "," ",IF('депозитный калькулятор'!$G$7="30/360",DAYS360(U443,IF(DAY(U444)=31,U444-1,U444))+IF(AND(MONTH(U444)=2,U444=EOMONTH(U444,0)),30-DAY(EOMONTH(U444,0)))+T443,VLOOKUP(S444,$C$22:$F$1023,2,0)))</f>
        <v xml:space="preserve"> </v>
      </c>
      <c r="U444" s="64" t="str">
        <f t="shared" ca="1" si="30"/>
        <v xml:space="preserve"> </v>
      </c>
      <c r="V444" s="150" t="str">
        <f t="shared" ca="1" si="33"/>
        <v xml:space="preserve"> </v>
      </c>
      <c r="W444" s="62" t="str">
        <f t="shared" ca="1" si="34"/>
        <v xml:space="preserve"> </v>
      </c>
      <c r="X444" s="141" t="str">
        <f ca="1">IF(S444=" "," ",IFERROR(VLOOKUP(U444,$F$23:$N$1023,7)+VLOOKUP(U444,$F$23:$N$1023,9)+IF(AND('депозитный калькулятор'!$G$13="нет",U444&lt;&gt;'депозитный калькулятор'!$D$8),VLOOKUP(U444,$F$23:$N$1023,4),0),0)+IF(U444='депозитный калькулятор'!$D$8,VLOOKUP(U444,$F$23:$N$1023,2)+VLOOKUP(U444,$F$23:$N$1023,4),0))</f>
        <v xml:space="preserve"> </v>
      </c>
      <c r="Y444" s="142" t="str">
        <f ca="1">IF(S444=" "," ",W444/(1+'депозитный калькулятор'!$K$8)^(T444/IF('депозитный калькулятор'!$G$7="30/360",360,365)))</f>
        <v xml:space="preserve"> </v>
      </c>
      <c r="Z444" s="142" t="str">
        <f ca="1">IF(S444=" "," ",X444/(1+'депозитный калькулятор'!$K$8)^(T444/IF('депозитный калькулятор'!$G$7="30/360",360,365)))</f>
        <v xml:space="preserve"> </v>
      </c>
      <c r="AA444" s="151"/>
      <c r="AB444" s="151"/>
      <c r="AC444" s="155"/>
      <c r="AD444" s="155"/>
    </row>
    <row r="445" spans="1:30" s="2" customFormat="1" ht="15.5" x14ac:dyDescent="0.35">
      <c r="A445" s="41" t="str">
        <f>IF(F445=" "," ",IF(OR('депозитный калькулятор'!$G$7="30/365",'депозитный калькулятор'!$G$7="30/360"),IF(AND(MONTH(F445)=2,DAY(F445)=DAY(EOMONTH(F445,0))),30-DAY(EOMONTH(F445,0)),IF(DAY(F445)=31,1," "))," "))</f>
        <v xml:space="preserve"> </v>
      </c>
      <c r="B445" s="130" t="str">
        <f t="shared" si="31"/>
        <v xml:space="preserve"> </v>
      </c>
      <c r="C445" s="130" t="str">
        <f>IF(OR(B445=0,B445=" ")," ",SUM($B$23:B445))</f>
        <v xml:space="preserve"> </v>
      </c>
      <c r="D445" s="62" t="str">
        <f>IF(D444=" "," ",IF(OR(F444='депозитный калькулятор'!$D$8,F444=" ")," ",D444+1))</f>
        <v xml:space="preserve"> </v>
      </c>
      <c r="E445" s="130" t="str">
        <f>IF(OR(F444='депозитный калькулятор'!$D$8,F444=" ")," ",IF(EOMONTH(F444,0)=F444,1,E444+1))</f>
        <v xml:space="preserve"> </v>
      </c>
      <c r="F445" s="64" t="str">
        <f>IF(F444=" "," ",IF(F444='депозитный калькулятор'!$D$8," ",F444+1))</f>
        <v xml:space="preserve"> </v>
      </c>
      <c r="G445" s="145" t="str">
        <f xml:space="preserve"> IF(F445&gt;'депозитный калькулятор'!$D$8," ",IF('депозитный калькулятор'!$G$13="есть",IF('депозитный калькулятор'!$G$14="есть",G444+IF(I444=" ",0,I444)-J445-K445+L445+M445-N445,G444+IF(I444=" ",0,I444)-J445-K445+M445-N445),IF('депозитный калькулятор'!$G$14="есть",G444-J445-K445+L445+M445-N445,G444-J445-K445+M445-N445)))</f>
        <v xml:space="preserve"> </v>
      </c>
      <c r="H445" s="133" t="str">
        <f>IF(F445&gt;'депозитный калькулятор'!$D$8," ",IF(AND(OR('депозитный калькулятор'!$G$7="30/365",'депозитный калькулятор'!$G$7="30/360"),AND(MONTH(F445)=2,EOMONTH(F445,0)=F445)),IF(DAY(F445)=28,3*G445*'депозитный калькулятор'!$G$8,2*G445*'депозитный калькулятор'!$G$8),IF(AND(OR('депозитный калькулятор'!$G$7="30/365",'депозитный калькулятор'!$G$7="30/360"),DAY(F445)=31)," ",IF(AND('депозитный калькулятор'!$G$7="факт/факт",MOD(YEAR(F445),4)=0),G445*'депозитный калькулятор'!$D$11/366,G445*'депозитный калькулятор'!$G$8))))</f>
        <v xml:space="preserve"> </v>
      </c>
      <c r="I445" s="134" t="str">
        <f ca="1">IF(F445=" "," ",IF('депозитный калькулятор'!$G$10="ежедневное",H445,IF(AND('депозитный калькулятор'!$G$10="еженедельное",WEEKDAY(F445,2)=7),SUM(OFFSET(H445,-6,0):H445),IF(AND('депозитный калькулятор'!$G$10="еженедельное",F445='депозитный калькулятор'!$D$8),SUM($H$23:H445)-SUM($I$23:I444),IF(AND('депозитный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недели",WEEKDAY(F445,2)=7),MIN(OFFSET(H445,-6,0):H445)*(COUNTIF(OFFSET(H445,-6,0):H445,"&gt;0")+SUMIF(OFFSET(A445,-WEEKDAY(F445,2),0):A445,"=2",OFFSET(A445,-WEEKDAY(F445,2),0):A445)),IF(AND('депозитный калькулятор'!$G$10="еженедельное, на минимальную сумму зафиксированную в течение недели",F445='депозитный калькулятор'!$D$8,WEEKDAY(F445,2)&lt;&gt;7),MIN(OFFSET(H445,-WEEKDAY(F445,2),0):H445)*(COUNTIF(OFFSET(H445,-WEEKDAY(F445,2)+1,0):H445,"&gt;0")+SUM(OFFSET(A445,-WEEKDAY(F445,2),0):A445)),IF(AND('депозитный калькулятор'!$G$10="ежемесячное (в конце месяца)",F445='депозитный калькулятор'!$D$8,EOMONTH(F445,0)&lt;&gt;F445),IF('депозитный калькулятор'!$F$1=1,$H$24,SUM($H$23:H445)-SUM($I$23:I444)),IF(AND('депозитный калькулятор'!$G$10="ежемесячное (в конце месяца)",EOMONTH(F445,0)=F445),SUM($H$23:H445)-SUM($I$23:I444),IF(AND('депозитный калькулятор'!$G$10="ежемесячное (по дням открытия вклада)",F445='депозитный калькулятор'!$D$8,DAY('депозитный калькулятор'!$D$7)&lt;&gt;DAY(F445)),IF('депозитный калькулятор'!$F$1=1,$H$24,SUM($H$23:H445)-SUM($I$23:I444)),IF(AND('депозитный калькулятор'!$G$10="ежемесячное (по дням открытия вклада)",DAY('депозитный калькулятор'!$D$7)=DAY(F445)),SUM($H$23:H445)-SUM($I$23:I444),IF(AND('депозитный калькулятор'!$G$10="ежемесячное, на минимальную сумму зафиксированную в течение месяца",F445='депозитный калькулятор'!$D$8,EOMONTH(F445,0)&lt;&gt;F445),IF('депозитный калькулятор'!$F$1=1,$H$24,IF(AND(OR('депозитный калькулятор'!$G$7="30/365",'депозитный калькулятор'!$G$7="30/360"),DAY(F445)=31),0,MIN(OFFSET(H445,-E445+1,0):H445)*(E445+SUMIF(OFFSET(A445,-E445+1,0):A445,"=2",OFFSET(A445,-E445+1,0):A445)))),IF(AND('депозитный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калькулятор'!$G$7="30/360"),DAY(EOMONTH(F445,0))=31),EOMONTH(F445,0)-1=F445,EOMONTH(F445,0)=F445)),IF(IF(AND(OR('депозитный калькулятор'!$G$7="30/365",'депозитный калькулятор'!$G$7="30/360"),DAY(EOMONTH($F$23,0))=31),F445=EOMONTH($F$23,0)-1,F445=EOMONTH($F$23,0)),MIN(OFFSET(H445,-(DAY(F445)-DAY($F$23)),0):H445)*E445,MIN(OFFSET(H445,-(DAY(F445)-1),0):H445)*IF(AND(OR('депозитный калькулятор'!$G$7="30/365",'депозитный калькулятор'!$G$7="30/360"),DAY(F445)&lt;30),30,DAY(F445))),IF(AND('депозитный калькулятор'!$G$10="ежемесячное, на средний остаток в течение месяца, при условии что остаток больше чем ограничение",F445='депозитный калькулятор'!$D$8,EOMONTH(F445,0)&lt;&gt;F445),IF('депозитный калькулятор'!$F$1=1,$H$24,SUM(OFFSET(Q445,-E445+1,0):Q445)),IF(AND('депозитный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калькулятор'!$G$7="30/360"),DAY(EOMONTH(F445,0))=31),EOMONTH(F445,0)-1=F445,EOMONTH(F445,0)=F445)),IF(IF(AND(OR('депозитный калькулятор'!$G$7="30/365",'депозитный калькулятор'!$G$7="30/360"),DAY(EOMONTH($F$24,0))=31),F445=EOMONTH($F$24,0)-1,F445=EOMONTH($F$24,0)),SUM(OFFSET(Q445,-E445+1,0):Q445),SUM(OFFSET(Q445,-E445+1,0):Q445)),IF('депозитный калькулятор'!$G$10="ежеквартальное",IF(F445&gt;'депозитный калькулятор'!$D$8," ",IF(AND(EOMONTH(F445,0)=F445,OR(MONTH(F445)=3,MONTH(F445)=6,MONTH(F445)=9,MONTH(F445)=12)),IF(EDATE(F445,-3)&lt;'депозитный калькулятор'!$D$7,SUM($H$23:H445),IF(MOD(YEAR(F445),4)=0,IF(AND(EOMONTH(F445,0)=F445,OR(MONTH(F445)=3,MONTH(F445)=6)),SUM(OFFSET(H445,-90,0):H445),IF(AND(EOMONTH(F445,0)=F445,OR(MONTH(F445)=9,MONTH(F445)=12)),SUM(OFFSET(H445,-91,0):H445))),IF(AND(EOMONTH(F445,0)=F445,MONTH(F445)=3),SUM(OFFSET(H445,-89,0):H445),IF(AND(EOMONTH(F445,0)=F445,MONTH(F445)=6),SUM(OFFSET(H445,-90,0):H445),IF(AND(EOMONTH(F445,0)=F445,OR(MONTH(F445)=9,MONTH(F445)=12)),SUM(OFFSET(H445,-91,0):H445)))))),IF(F445='депозитный калькулятор'!$D$8,SUM($H$23:H445)-SUM($I$23:I444),0))),IF('депозитный калькулятор'!$G$10="ежегодное",IF(F445&gt;'депозитный калькулятор'!$D$8," ",IF(F445='депозитный калькулятор'!$D$8,SUM($H$23:H445)-SUM($I$23:I444),IF(AND(EOMONTH(F445,0)=F445,MONTH(F445)=12),IF(MOD(YEAR(F444),4)=0,IF(F445-'депозитный калькулятор'!$D$7&lt;366,SUM($H$23:H445),SUM(OFFSET(H445,-365,0):H445)),IF(F445-'депозитный калькулятор'!$D$7&lt;365,SUM($H$23:H445),SUM(OFFSET(H445,-364,0):H445))),0))),IF(AND('депозитный калькулятор'!$G$10="в конце срока",'депозитный калькулятор'!$D$8=F445),SUM($H$23:H445),0))))))))))))))))))</f>
        <v xml:space="preserve"> </v>
      </c>
      <c r="J445" s="59" t="str">
        <f>IF(F445&gt;'депозитный калькулятор'!$D$8," ",IF('депозитный калькулятор'!$G$16="нет",0,IF(AND('депозитный калькулятор'!$G$17="разовая (в конце срока)",F445='депозитный калькулятор'!$D$8),'депозитный калькулятор'!$G$18,IF(AND('депозитный калькулятор'!$G$17="ежемесячная",EOMONTH(F444,0)=F444),'депозитный калькулятор'!$G$18,IF(AND('депозитный калькулятор'!$G$17="ежегодная",DAY(F444)=31,MONTH(F444)=12),'депозитный калькулятор'!$G$18,IF(AND('депозитный калькулятор'!$G$17="ежемесячная в зависимости от остатка",EOMONTH(F444,0)=F444,P444&gt;0),'депозитный калькулятор'!$G$18,IF(AND('депозитный калькулятор'!$G$17="ежегодная в зависимости от остатка",DAY(F444)=31,MONTH(F444)=12,P444&gt;0),'депозитный калькулятор'!$G$18,0)))))))</f>
        <v xml:space="preserve"> </v>
      </c>
      <c r="K445" s="135" t="str">
        <f>IF($F445=" "," ",IFERROR(VLOOKUP($F445,'депозитный калькулятор'!$B$26:$F$70,2,0),0))</f>
        <v xml:space="preserve"> </v>
      </c>
      <c r="L445" s="135" t="str">
        <f>IF($F445=" "," ",IFERROR(VLOOKUP($F445,'депозитный калькулятор'!$B$26:$F$70,3,0),0))</f>
        <v xml:space="preserve"> </v>
      </c>
      <c r="M445" s="135" t="str">
        <f>IF($F445=" "," ",IFERROR(VLOOKUP($F445,'депозитный калькулятор'!$B$26:$F$70,4,0),0))</f>
        <v xml:space="preserve"> </v>
      </c>
      <c r="N445" s="135" t="str">
        <f>IF($F445=" "," ",IFERROR(VLOOKUP($F445,'депозитный калькулятор'!$B$26:$F$70,5,0),0))</f>
        <v xml:space="preserve"> </v>
      </c>
      <c r="O445" s="146" t="str">
        <f>IF(F445&gt;'депозитный калькулятор'!$D$8," ",IF(F445='депозитный калькулятор'!$D$8,IF(AND($F$24='депозитный калькулятор'!$D$8,'депозитный калькулятор'!$G$13="нет"),-G445-IF(I445=" ",0,I445)-IF(AND(OR('депозитный калькулятор'!$G$7="30/365",'депозитный калькулятор'!$G$7="30/360"),'депозитный калькулятор'!$G$10="в начале срока"),I444,0)-L445+M445-N445,-G445-IF(I445=" ",0,I445)-L445+M445-N445),IF('депозитный калькулятор'!$G$13="есть",M445-N445+IF('депозитный калькулятор'!$G$14="есть",0,-L445),-IF(I445=" ",0,I445)-IF(AND(OR('депозитный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срока"),I444,0)+M445-N445+IF('депозитный калькулятор'!$G$14="есть",0,-L445))))</f>
        <v xml:space="preserve"> </v>
      </c>
      <c r="P445" s="147" t="str">
        <f>IF(F445&gt;'депозитный калькулятор'!$D$8," ",IF(EOMONTH(F444,0)=F444,0,IF(G445&gt;='депозитный калькулятор'!$G$19,P444,P444+1)))</f>
        <v xml:space="preserve"> </v>
      </c>
      <c r="Q445" s="138" t="str">
        <f>IF(F445=" "," ",IF(AND(OR('депозитный калькулятор'!$G$7="30/365",'депозитный калькулятор'!$G$7="30/360"),AND(MONTH(F445)=2,EOMONTH(F445,0)=F445)),IF(DAY(F445)=28,3,2),1)*IF(G445&gt;='депозитный калькулятор'!$G$11,IF(AND('депозитный калькулятор'!$G$7="факт/факт",MOD(YEAR(F445),4)=0),G445*'депозитный калькулятор'!$D$11/366,G445*'депозитный калькулятор'!$G$8),0))</f>
        <v xml:space="preserve"> </v>
      </c>
      <c r="R445" s="158"/>
      <c r="S445" s="62" t="str">
        <f t="shared" ca="1" si="32"/>
        <v xml:space="preserve"> </v>
      </c>
      <c r="T445" s="149" t="str">
        <f ca="1">IF(S445=" "," ",IF('депозитный калькулятор'!$G$7="30/360",DAYS360(U444,IF(DAY(U445)=31,U445-1,U445))+IF(AND(MONTH(U445)=2,U445=EOMONTH(U445,0)),30-DAY(EOMONTH(U445,0)))+T444,VLOOKUP(S445,$C$22:$F$1023,2,0)))</f>
        <v xml:space="preserve"> </v>
      </c>
      <c r="U445" s="64" t="str">
        <f t="shared" ca="1" si="30"/>
        <v xml:space="preserve"> </v>
      </c>
      <c r="V445" s="150" t="str">
        <f t="shared" ca="1" si="33"/>
        <v xml:space="preserve"> </v>
      </c>
      <c r="W445" s="62" t="str">
        <f t="shared" ca="1" si="34"/>
        <v xml:space="preserve"> </v>
      </c>
      <c r="X445" s="141" t="str">
        <f ca="1">IF(S445=" "," ",IFERROR(VLOOKUP(U445,$F$23:$N$1023,7)+VLOOKUP(U445,$F$23:$N$1023,9)+IF(AND('депозитный калькулятор'!$G$13="нет",U445&lt;&gt;'депозитный калькулятор'!$D$8),VLOOKUP(U445,$F$23:$N$1023,4),0),0)+IF(U445='депозитный калькулятор'!$D$8,VLOOKUP(U445,$F$23:$N$1023,2)+VLOOKUP(U445,$F$23:$N$1023,4),0))</f>
        <v xml:space="preserve"> </v>
      </c>
      <c r="Y445" s="142" t="str">
        <f ca="1">IF(S445=" "," ",W445/(1+'депозитный калькулятор'!$K$8)^(T445/IF('депозитный калькулятор'!$G$7="30/360",360,365)))</f>
        <v xml:space="preserve"> </v>
      </c>
      <c r="Z445" s="142" t="str">
        <f ca="1">IF(S445=" "," ",X445/(1+'депозитный калькулятор'!$K$8)^(T445/IF('депозитный калькулятор'!$G$7="30/360",360,365)))</f>
        <v xml:space="preserve"> </v>
      </c>
      <c r="AA445" s="151"/>
      <c r="AB445" s="151"/>
      <c r="AC445" s="155"/>
      <c r="AD445" s="155"/>
    </row>
    <row r="446" spans="1:30" s="2" customFormat="1" ht="15.5" x14ac:dyDescent="0.35">
      <c r="A446" s="41" t="str">
        <f>IF(F446=" "," ",IF(OR('депозитный калькулятор'!$G$7="30/365",'депозитный калькулятор'!$G$7="30/360"),IF(AND(MONTH(F446)=2,DAY(F446)=DAY(EOMONTH(F446,0))),30-DAY(EOMONTH(F446,0)),IF(DAY(F446)=31,1," "))," "))</f>
        <v xml:space="preserve"> </v>
      </c>
      <c r="B446" s="130" t="str">
        <f t="shared" si="31"/>
        <v xml:space="preserve"> </v>
      </c>
      <c r="C446" s="130" t="str">
        <f>IF(OR(B446=0,B446=" ")," ",SUM($B$23:B446))</f>
        <v xml:space="preserve"> </v>
      </c>
      <c r="D446" s="62" t="str">
        <f>IF(D445=" "," ",IF(OR(F445='депозитный калькулятор'!$D$8,F445=" ")," ",D445+1))</f>
        <v xml:space="preserve"> </v>
      </c>
      <c r="E446" s="130" t="str">
        <f>IF(OR(F445='депозитный калькулятор'!$D$8,F445=" ")," ",IF(EOMONTH(F445,0)=F445,1,E445+1))</f>
        <v xml:space="preserve"> </v>
      </c>
      <c r="F446" s="64" t="str">
        <f>IF(F445=" "," ",IF(F445='депозитный калькулятор'!$D$8," ",F445+1))</f>
        <v xml:space="preserve"> </v>
      </c>
      <c r="G446" s="145" t="str">
        <f xml:space="preserve"> IF(F446&gt;'депозитный калькулятор'!$D$8," ",IF('депозитный калькулятор'!$G$13="есть",IF('депозитный калькулятор'!$G$14="есть",G445+IF(I445=" ",0,I445)-J446-K446+L446+M446-N446,G445+IF(I445=" ",0,I445)-J446-K446+M446-N446),IF('депозитный калькулятор'!$G$14="есть",G445-J446-K446+L446+M446-N446,G445-J446-K446+M446-N446)))</f>
        <v xml:space="preserve"> </v>
      </c>
      <c r="H446" s="133" t="str">
        <f>IF(F446&gt;'депозитный калькулятор'!$D$8," ",IF(AND(OR('депозитный калькулятор'!$G$7="30/365",'депозитный калькулятор'!$G$7="30/360"),AND(MONTH(F446)=2,EOMONTH(F446,0)=F446)),IF(DAY(F446)=28,3*G446*'депозитный калькулятор'!$G$8,2*G446*'депозитный калькулятор'!$G$8),IF(AND(OR('депозитный калькулятор'!$G$7="30/365",'депозитный калькулятор'!$G$7="30/360"),DAY(F446)=31)," ",IF(AND('депозитный калькулятор'!$G$7="факт/факт",MOD(YEAR(F446),4)=0),G446*'депозитный калькулятор'!$D$11/366,G446*'депозитный калькулятор'!$G$8))))</f>
        <v xml:space="preserve"> </v>
      </c>
      <c r="I446" s="134" t="str">
        <f ca="1">IF(F446=" "," ",IF('депозитный калькулятор'!$G$10="ежедневное",H446,IF(AND('депозитный калькулятор'!$G$10="еженедельное",WEEKDAY(F446,2)=7),SUM(OFFSET(H446,-6,0):H446),IF(AND('депозитный калькулятор'!$G$10="еженедельное",F446='депозитный калькулятор'!$D$8),SUM($H$23:H446)-SUM($I$23:I445),IF(AND('депозитный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недели",WEEKDAY(F446,2)=7),MIN(OFFSET(H446,-6,0):H446)*(COUNTIF(OFFSET(H446,-6,0):H446,"&gt;0")+SUMIF(OFFSET(A446,-WEEKDAY(F446,2),0):A446,"=2",OFFSET(A446,-WEEKDAY(F446,2),0):A446)),IF(AND('депозитный калькулятор'!$G$10="еженедельное, на минимальную сумму зафиксированную в течение недели",F446='депозитный калькулятор'!$D$8,WEEKDAY(F446,2)&lt;&gt;7),MIN(OFFSET(H446,-WEEKDAY(F446,2),0):H446)*(COUNTIF(OFFSET(H446,-WEEKDAY(F446,2)+1,0):H446,"&gt;0")+SUM(OFFSET(A446,-WEEKDAY(F446,2),0):A446)),IF(AND('депозитный калькулятор'!$G$10="ежемесячное (в конце месяца)",F446='депозитный калькулятор'!$D$8,EOMONTH(F446,0)&lt;&gt;F446),IF('депозитный калькулятор'!$F$1=1,$H$24,SUM($H$23:H446)-SUM($I$23:I445)),IF(AND('депозитный калькулятор'!$G$10="ежемесячное (в конце месяца)",EOMONTH(F446,0)=F446),SUM($H$23:H446)-SUM($I$23:I445),IF(AND('депозитный калькулятор'!$G$10="ежемесячное (по дням открытия вклада)",F446='депозитный калькулятор'!$D$8,DAY('депозитный калькулятор'!$D$7)&lt;&gt;DAY(F446)),IF('депозитный калькулятор'!$F$1=1,$H$24,SUM($H$23:H446)-SUM($I$23:I445)),IF(AND('депозитный калькулятор'!$G$10="ежемесячное (по дням открытия вклада)",DAY('депозитный калькулятор'!$D$7)=DAY(F446)),SUM($H$23:H446)-SUM($I$23:I445),IF(AND('депозитный калькулятор'!$G$10="ежемесячное, на минимальную сумму зафиксированную в течение месяца",F446='депозитный калькулятор'!$D$8,EOMONTH(F446,0)&lt;&gt;F446),IF('депозитный калькулятор'!$F$1=1,$H$24,IF(AND(OR('депозитный калькулятор'!$G$7="30/365",'депозитный калькулятор'!$G$7="30/360"),DAY(F446)=31),0,MIN(OFFSET(H446,-E446+1,0):H446)*(E446+SUMIF(OFFSET(A446,-E446+1,0):A446,"=2",OFFSET(A446,-E446+1,0):A446)))),IF(AND('депозитный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калькулятор'!$G$7="30/360"),DAY(EOMONTH(F446,0))=31),EOMONTH(F446,0)-1=F446,EOMONTH(F446,0)=F446)),IF(IF(AND(OR('депозитный калькулятор'!$G$7="30/365",'депозитный калькулятор'!$G$7="30/360"),DAY(EOMONTH($F$23,0))=31),F446=EOMONTH($F$23,0)-1,F446=EOMONTH($F$23,0)),MIN(OFFSET(H446,-(DAY(F446)-DAY($F$23)),0):H446)*E446,MIN(OFFSET(H446,-(DAY(F446)-1),0):H446)*IF(AND(OR('депозитный калькулятор'!$G$7="30/365",'депозитный калькулятор'!$G$7="30/360"),DAY(F446)&lt;30),30,DAY(F446))),IF(AND('депозитный калькулятор'!$G$10="ежемесячное, на средний остаток в течение месяца, при условии что остаток больше чем ограничение",F446='депозитный калькулятор'!$D$8,EOMONTH(F446,0)&lt;&gt;F446),IF('депозитный калькулятор'!$F$1=1,$H$24,SUM(OFFSET(Q446,-E446+1,0):Q446)),IF(AND('депозитный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калькулятор'!$G$7="30/360"),DAY(EOMONTH(F446,0))=31),EOMONTH(F446,0)-1=F446,EOMONTH(F446,0)=F446)),IF(IF(AND(OR('депозитный калькулятор'!$G$7="30/365",'депозитный калькулятор'!$G$7="30/360"),DAY(EOMONTH($F$24,0))=31),F446=EOMONTH($F$24,0)-1,F446=EOMONTH($F$24,0)),SUM(OFFSET(Q446,-E446+1,0):Q446),SUM(OFFSET(Q446,-E446+1,0):Q446)),IF('депозитный калькулятор'!$G$10="ежеквартальное",IF(F446&gt;'депозитный калькулятор'!$D$8," ",IF(AND(EOMONTH(F446,0)=F446,OR(MONTH(F446)=3,MONTH(F446)=6,MONTH(F446)=9,MONTH(F446)=12)),IF(EDATE(F446,-3)&lt;'депозитный калькулятор'!$D$7,SUM($H$23:H446),IF(MOD(YEAR(F446),4)=0,IF(AND(EOMONTH(F446,0)=F446,OR(MONTH(F446)=3,MONTH(F446)=6)),SUM(OFFSET(H446,-90,0):H446),IF(AND(EOMONTH(F446,0)=F446,OR(MONTH(F446)=9,MONTH(F446)=12)),SUM(OFFSET(H446,-91,0):H446))),IF(AND(EOMONTH(F446,0)=F446,MONTH(F446)=3),SUM(OFFSET(H446,-89,0):H446),IF(AND(EOMONTH(F446,0)=F446,MONTH(F446)=6),SUM(OFFSET(H446,-90,0):H446),IF(AND(EOMONTH(F446,0)=F446,OR(MONTH(F446)=9,MONTH(F446)=12)),SUM(OFFSET(H446,-91,0):H446)))))),IF(F446='депозитный калькулятор'!$D$8,SUM($H$23:H446)-SUM($I$23:I445),0))),IF('депозитный калькулятор'!$G$10="ежегодное",IF(F446&gt;'депозитный калькулятор'!$D$8," ",IF(F446='депозитный калькулятор'!$D$8,SUM($H$23:H446)-SUM($I$23:I445),IF(AND(EOMONTH(F446,0)=F446,MONTH(F446)=12),IF(MOD(YEAR(F445),4)=0,IF(F446-'депозитный калькулятор'!$D$7&lt;366,SUM($H$23:H446),SUM(OFFSET(H446,-365,0):H446)),IF(F446-'депозитный калькулятор'!$D$7&lt;365,SUM($H$23:H446),SUM(OFFSET(H446,-364,0):H446))),0))),IF(AND('депозитный калькулятор'!$G$10="в конце срока",'депозитный калькулятор'!$D$8=F446),SUM($H$23:H446),0))))))))))))))))))</f>
        <v xml:space="preserve"> </v>
      </c>
      <c r="J446" s="59" t="str">
        <f>IF(F446&gt;'депозитный калькулятор'!$D$8," ",IF('депозитный калькулятор'!$G$16="нет",0,IF(AND('депозитный калькулятор'!$G$17="разовая (в конце срока)",F446='депозитный калькулятор'!$D$8),'депозитный калькулятор'!$G$18,IF(AND('депозитный калькулятор'!$G$17="ежемесячная",EOMONTH(F445,0)=F445),'депозитный калькулятор'!$G$18,IF(AND('депозитный калькулятор'!$G$17="ежегодная",DAY(F445)=31,MONTH(F445)=12),'депозитный калькулятор'!$G$18,IF(AND('депозитный калькулятор'!$G$17="ежемесячная в зависимости от остатка",EOMONTH(F445,0)=F445,P445&gt;0),'депозитный калькулятор'!$G$18,IF(AND('депозитный калькулятор'!$G$17="ежегодная в зависимости от остатка",DAY(F445)=31,MONTH(F445)=12,P445&gt;0),'депозитный калькулятор'!$G$18,0)))))))</f>
        <v xml:space="preserve"> </v>
      </c>
      <c r="K446" s="135" t="str">
        <f>IF($F446=" "," ",IFERROR(VLOOKUP($F446,'депозитный калькулятор'!$B$26:$F$70,2,0),0))</f>
        <v xml:space="preserve"> </v>
      </c>
      <c r="L446" s="135" t="str">
        <f>IF($F446=" "," ",IFERROR(VLOOKUP($F446,'депозитный калькулятор'!$B$26:$F$70,3,0),0))</f>
        <v xml:space="preserve"> </v>
      </c>
      <c r="M446" s="135" t="str">
        <f>IF($F446=" "," ",IFERROR(VLOOKUP($F446,'депозитный калькулятор'!$B$26:$F$70,4,0),0))</f>
        <v xml:space="preserve"> </v>
      </c>
      <c r="N446" s="135" t="str">
        <f>IF($F446=" "," ",IFERROR(VLOOKUP($F446,'депозитный калькулятор'!$B$26:$F$70,5,0),0))</f>
        <v xml:space="preserve"> </v>
      </c>
      <c r="O446" s="146" t="str">
        <f>IF(F446&gt;'депозитный калькулятор'!$D$8," ",IF(F446='депозитный калькулятор'!$D$8,IF(AND($F$24='депозитный калькулятор'!$D$8,'депозитный калькулятор'!$G$13="нет"),-G446-IF(I446=" ",0,I446)-IF(AND(OR('депозитный калькулятор'!$G$7="30/365",'депозитный калькулятор'!$G$7="30/360"),'депозитный калькулятор'!$G$10="в начале срока"),I445,0)-L446+M446-N446,-G446-IF(I446=" ",0,I446)-L446+M446-N446),IF('депозитный калькулятор'!$G$13="есть",M446-N446+IF('депозитный калькулятор'!$G$14="есть",0,-L446),-IF(I446=" ",0,I446)-IF(AND(OR('депозитный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срока"),I445,0)+M446-N446+IF('депозитный калькулятор'!$G$14="есть",0,-L446))))</f>
        <v xml:space="preserve"> </v>
      </c>
      <c r="P446" s="147" t="str">
        <f>IF(F446&gt;'депозитный калькулятор'!$D$8," ",IF(EOMONTH(F445,0)=F445,0,IF(G446&gt;='депозитный калькулятор'!$G$19,P445,P445+1)))</f>
        <v xml:space="preserve"> </v>
      </c>
      <c r="Q446" s="138" t="str">
        <f>IF(F446=" "," ",IF(AND(OR('депозитный калькулятор'!$G$7="30/365",'депозитный калькулятор'!$G$7="30/360"),AND(MONTH(F446)=2,EOMONTH(F446,0)=F446)),IF(DAY(F446)=28,3,2),1)*IF(G446&gt;='депозитный калькулятор'!$G$11,IF(AND('депозитный калькулятор'!$G$7="факт/факт",MOD(YEAR(F446),4)=0),G446*'депозитный калькулятор'!$D$11/366,G446*'депозитный калькулятор'!$G$8),0))</f>
        <v xml:space="preserve"> </v>
      </c>
      <c r="R446" s="158"/>
      <c r="S446" s="62" t="str">
        <f t="shared" ca="1" si="32"/>
        <v xml:space="preserve"> </v>
      </c>
      <c r="T446" s="149" t="str">
        <f ca="1">IF(S446=" "," ",IF('депозитный калькулятор'!$G$7="30/360",DAYS360(U445,IF(DAY(U446)=31,U446-1,U446))+IF(AND(MONTH(U446)=2,U446=EOMONTH(U446,0)),30-DAY(EOMONTH(U446,0)))+T445,VLOOKUP(S446,$C$22:$F$1023,2,0)))</f>
        <v xml:space="preserve"> </v>
      </c>
      <c r="U446" s="64" t="str">
        <f t="shared" ca="1" si="30"/>
        <v xml:space="preserve"> </v>
      </c>
      <c r="V446" s="150" t="str">
        <f t="shared" ca="1" si="33"/>
        <v xml:space="preserve"> </v>
      </c>
      <c r="W446" s="62" t="str">
        <f t="shared" ca="1" si="34"/>
        <v xml:space="preserve"> </v>
      </c>
      <c r="X446" s="141" t="str">
        <f ca="1">IF(S446=" "," ",IFERROR(VLOOKUP(U446,$F$23:$N$1023,7)+VLOOKUP(U446,$F$23:$N$1023,9)+IF(AND('депозитный калькулятор'!$G$13="нет",U446&lt;&gt;'депозитный калькулятор'!$D$8),VLOOKUP(U446,$F$23:$N$1023,4),0),0)+IF(U446='депозитный калькулятор'!$D$8,VLOOKUP(U446,$F$23:$N$1023,2)+VLOOKUP(U446,$F$23:$N$1023,4),0))</f>
        <v xml:space="preserve"> </v>
      </c>
      <c r="Y446" s="142" t="str">
        <f ca="1">IF(S446=" "," ",W446/(1+'депозитный калькулятор'!$K$8)^(T446/IF('депозитный калькулятор'!$G$7="30/360",360,365)))</f>
        <v xml:space="preserve"> </v>
      </c>
      <c r="Z446" s="142" t="str">
        <f ca="1">IF(S446=" "," ",X446/(1+'депозитный калькулятор'!$K$8)^(T446/IF('депозитный калькулятор'!$G$7="30/360",360,365)))</f>
        <v xml:space="preserve"> </v>
      </c>
      <c r="AA446" s="151"/>
      <c r="AB446" s="151"/>
      <c r="AC446" s="155"/>
      <c r="AD446" s="155"/>
    </row>
    <row r="447" spans="1:30" s="2" customFormat="1" ht="15.5" x14ac:dyDescent="0.35">
      <c r="A447" s="41" t="str">
        <f>IF(F447=" "," ",IF(OR('депозитный калькулятор'!$G$7="30/365",'депозитный калькулятор'!$G$7="30/360"),IF(AND(MONTH(F447)=2,DAY(F447)=DAY(EOMONTH(F447,0))),30-DAY(EOMONTH(F447,0)),IF(DAY(F447)=31,1," "))," "))</f>
        <v xml:space="preserve"> </v>
      </c>
      <c r="B447" s="130" t="str">
        <f t="shared" si="31"/>
        <v xml:space="preserve"> </v>
      </c>
      <c r="C447" s="130" t="str">
        <f>IF(OR(B447=0,B447=" ")," ",SUM($B$23:B447))</f>
        <v xml:space="preserve"> </v>
      </c>
      <c r="D447" s="62" t="str">
        <f>IF(D446=" "," ",IF(OR(F446='депозитный калькулятор'!$D$8,F446=" ")," ",D446+1))</f>
        <v xml:space="preserve"> </v>
      </c>
      <c r="E447" s="130" t="str">
        <f>IF(OR(F446='депозитный калькулятор'!$D$8,F446=" ")," ",IF(EOMONTH(F446,0)=F446,1,E446+1))</f>
        <v xml:space="preserve"> </v>
      </c>
      <c r="F447" s="64" t="str">
        <f>IF(F446=" "," ",IF(F446='депозитный калькулятор'!$D$8," ",F446+1))</f>
        <v xml:space="preserve"> </v>
      </c>
      <c r="G447" s="145" t="str">
        <f xml:space="preserve"> IF(F447&gt;'депозитный калькулятор'!$D$8," ",IF('депозитный калькулятор'!$G$13="есть",IF('депозитный калькулятор'!$G$14="есть",G446+IF(I446=" ",0,I446)-J447-K447+L447+M447-N447,G446+IF(I446=" ",0,I446)-J447-K447+M447-N447),IF('депозитный калькулятор'!$G$14="есть",G446-J447-K447+L447+M447-N447,G446-J447-K447+M447-N447)))</f>
        <v xml:space="preserve"> </v>
      </c>
      <c r="H447" s="133" t="str">
        <f>IF(F447&gt;'депозитный калькулятор'!$D$8," ",IF(AND(OR('депозитный калькулятор'!$G$7="30/365",'депозитный калькулятор'!$G$7="30/360"),AND(MONTH(F447)=2,EOMONTH(F447,0)=F447)),IF(DAY(F447)=28,3*G447*'депозитный калькулятор'!$G$8,2*G447*'депозитный калькулятор'!$G$8),IF(AND(OR('депозитный калькулятор'!$G$7="30/365",'депозитный калькулятор'!$G$7="30/360"),DAY(F447)=31)," ",IF(AND('депозитный калькулятор'!$G$7="факт/факт",MOD(YEAR(F447),4)=0),G447*'депозитный калькулятор'!$D$11/366,G447*'депозитный калькулятор'!$G$8))))</f>
        <v xml:space="preserve"> </v>
      </c>
      <c r="I447" s="134" t="str">
        <f ca="1">IF(F447=" "," ",IF('депозитный калькулятор'!$G$10="ежедневное",H447,IF(AND('депозитный калькулятор'!$G$10="еженедельное",WEEKDAY(F447,2)=7),SUM(OFFSET(H447,-6,0):H447),IF(AND('депозитный калькулятор'!$G$10="еженедельное",F447='депозитный калькулятор'!$D$8),SUM($H$23:H447)-SUM($I$23:I446),IF(AND('депозитный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недели",WEEKDAY(F447,2)=7),MIN(OFFSET(H447,-6,0):H447)*(COUNTIF(OFFSET(H447,-6,0):H447,"&gt;0")+SUMIF(OFFSET(A447,-WEEKDAY(F447,2),0):A447,"=2",OFFSET(A447,-WEEKDAY(F447,2),0):A447)),IF(AND('депозитный калькулятор'!$G$10="еженедельное, на минимальную сумму зафиксированную в течение недели",F447='депозитный калькулятор'!$D$8,WEEKDAY(F447,2)&lt;&gt;7),MIN(OFFSET(H447,-WEEKDAY(F447,2),0):H447)*(COUNTIF(OFFSET(H447,-WEEKDAY(F447,2)+1,0):H447,"&gt;0")+SUM(OFFSET(A447,-WEEKDAY(F447,2),0):A447)),IF(AND('депозитный калькулятор'!$G$10="ежемесячное (в конце месяца)",F447='депозитный калькулятор'!$D$8,EOMONTH(F447,0)&lt;&gt;F447),IF('депозитный калькулятор'!$F$1=1,$H$24,SUM($H$23:H447)-SUM($I$23:I446)),IF(AND('депозитный калькулятор'!$G$10="ежемесячное (в конце месяца)",EOMONTH(F447,0)=F447),SUM($H$23:H447)-SUM($I$23:I446),IF(AND('депозитный калькулятор'!$G$10="ежемесячное (по дням открытия вклада)",F447='депозитный калькулятор'!$D$8,DAY('депозитный калькулятор'!$D$7)&lt;&gt;DAY(F447)),IF('депозитный калькулятор'!$F$1=1,$H$24,SUM($H$23:H447)-SUM($I$23:I446)),IF(AND('депозитный калькулятор'!$G$10="ежемесячное (по дням открытия вклада)",DAY('депозитный калькулятор'!$D$7)=DAY(F447)),SUM($H$23:H447)-SUM($I$23:I446),IF(AND('депозитный калькулятор'!$G$10="ежемесячное, на минимальную сумму зафиксированную в течение месяца",F447='депозитный калькулятор'!$D$8,EOMONTH(F447,0)&lt;&gt;F447),IF('депозитный калькулятор'!$F$1=1,$H$24,IF(AND(OR('депозитный калькулятор'!$G$7="30/365",'депозитный калькулятор'!$G$7="30/360"),DAY(F447)=31),0,MIN(OFFSET(H447,-E447+1,0):H447)*(E447+SUMIF(OFFSET(A447,-E447+1,0):A447,"=2",OFFSET(A447,-E447+1,0):A447)))),IF(AND('депозитный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калькулятор'!$G$7="30/360"),DAY(EOMONTH(F447,0))=31),EOMONTH(F447,0)-1=F447,EOMONTH(F447,0)=F447)),IF(IF(AND(OR('депозитный калькулятор'!$G$7="30/365",'депозитный калькулятор'!$G$7="30/360"),DAY(EOMONTH($F$23,0))=31),F447=EOMONTH($F$23,0)-1,F447=EOMONTH($F$23,0)),MIN(OFFSET(H447,-(DAY(F447)-DAY($F$23)),0):H447)*E447,MIN(OFFSET(H447,-(DAY(F447)-1),0):H447)*IF(AND(OR('депозитный калькулятор'!$G$7="30/365",'депозитный калькулятор'!$G$7="30/360"),DAY(F447)&lt;30),30,DAY(F447))),IF(AND('депозитный калькулятор'!$G$10="ежемесячное, на средний остаток в течение месяца, при условии что остаток больше чем ограничение",F447='депозитный калькулятор'!$D$8,EOMONTH(F447,0)&lt;&gt;F447),IF('депозитный калькулятор'!$F$1=1,$H$24,SUM(OFFSET(Q447,-E447+1,0):Q447)),IF(AND('депозитный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калькулятор'!$G$7="30/360"),DAY(EOMONTH(F447,0))=31),EOMONTH(F447,0)-1=F447,EOMONTH(F447,0)=F447)),IF(IF(AND(OR('депозитный калькулятор'!$G$7="30/365",'депозитный калькулятор'!$G$7="30/360"),DAY(EOMONTH($F$24,0))=31),F447=EOMONTH($F$24,0)-1,F447=EOMONTH($F$24,0)),SUM(OFFSET(Q447,-E447+1,0):Q447),SUM(OFFSET(Q447,-E447+1,0):Q447)),IF('депозитный калькулятор'!$G$10="ежеквартальное",IF(F447&gt;'депозитный калькулятор'!$D$8," ",IF(AND(EOMONTH(F447,0)=F447,OR(MONTH(F447)=3,MONTH(F447)=6,MONTH(F447)=9,MONTH(F447)=12)),IF(EDATE(F447,-3)&lt;'депозитный калькулятор'!$D$7,SUM($H$23:H447),IF(MOD(YEAR(F447),4)=0,IF(AND(EOMONTH(F447,0)=F447,OR(MONTH(F447)=3,MONTH(F447)=6)),SUM(OFFSET(H447,-90,0):H447),IF(AND(EOMONTH(F447,0)=F447,OR(MONTH(F447)=9,MONTH(F447)=12)),SUM(OFFSET(H447,-91,0):H447))),IF(AND(EOMONTH(F447,0)=F447,MONTH(F447)=3),SUM(OFFSET(H447,-89,0):H447),IF(AND(EOMONTH(F447,0)=F447,MONTH(F447)=6),SUM(OFFSET(H447,-90,0):H447),IF(AND(EOMONTH(F447,0)=F447,OR(MONTH(F447)=9,MONTH(F447)=12)),SUM(OFFSET(H447,-91,0):H447)))))),IF(F447='депозитный калькулятор'!$D$8,SUM($H$23:H447)-SUM($I$23:I446),0))),IF('депозитный калькулятор'!$G$10="ежегодное",IF(F447&gt;'депозитный калькулятор'!$D$8," ",IF(F447='депозитный калькулятор'!$D$8,SUM($H$23:H447)-SUM($I$23:I446),IF(AND(EOMONTH(F447,0)=F447,MONTH(F447)=12),IF(MOD(YEAR(F446),4)=0,IF(F447-'депозитный калькулятор'!$D$7&lt;366,SUM($H$23:H447),SUM(OFFSET(H447,-365,0):H447)),IF(F447-'депозитный калькулятор'!$D$7&lt;365,SUM($H$23:H447),SUM(OFFSET(H447,-364,0):H447))),0))),IF(AND('депозитный калькулятор'!$G$10="в конце срока",'депозитный калькулятор'!$D$8=F447),SUM($H$23:H447),0))))))))))))))))))</f>
        <v xml:space="preserve"> </v>
      </c>
      <c r="J447" s="59" t="str">
        <f>IF(F447&gt;'депозитный калькулятор'!$D$8," ",IF('депозитный калькулятор'!$G$16="нет",0,IF(AND('депозитный калькулятор'!$G$17="разовая (в конце срока)",F447='депозитный калькулятор'!$D$8),'депозитный калькулятор'!$G$18,IF(AND('депозитный калькулятор'!$G$17="ежемесячная",EOMONTH(F446,0)=F446),'депозитный калькулятор'!$G$18,IF(AND('депозитный калькулятор'!$G$17="ежегодная",DAY(F446)=31,MONTH(F446)=12),'депозитный калькулятор'!$G$18,IF(AND('депозитный калькулятор'!$G$17="ежемесячная в зависимости от остатка",EOMONTH(F446,0)=F446,P446&gt;0),'депозитный калькулятор'!$G$18,IF(AND('депозитный калькулятор'!$G$17="ежегодная в зависимости от остатка",DAY(F446)=31,MONTH(F446)=12,P446&gt;0),'депозитный калькулятор'!$G$18,0)))))))</f>
        <v xml:space="preserve"> </v>
      </c>
      <c r="K447" s="135" t="str">
        <f>IF($F447=" "," ",IFERROR(VLOOKUP($F447,'депозитный калькулятор'!$B$26:$F$70,2,0),0))</f>
        <v xml:space="preserve"> </v>
      </c>
      <c r="L447" s="135" t="str">
        <f>IF($F447=" "," ",IFERROR(VLOOKUP($F447,'депозитный калькулятор'!$B$26:$F$70,3,0),0))</f>
        <v xml:space="preserve"> </v>
      </c>
      <c r="M447" s="135" t="str">
        <f>IF($F447=" "," ",IFERROR(VLOOKUP($F447,'депозитный калькулятор'!$B$26:$F$70,4,0),0))</f>
        <v xml:space="preserve"> </v>
      </c>
      <c r="N447" s="135" t="str">
        <f>IF($F447=" "," ",IFERROR(VLOOKUP($F447,'депозитный калькулятор'!$B$26:$F$70,5,0),0))</f>
        <v xml:space="preserve"> </v>
      </c>
      <c r="O447" s="146" t="str">
        <f>IF(F447&gt;'депозитный калькулятор'!$D$8," ",IF(F447='депозитный калькулятор'!$D$8,IF(AND($F$24='депозитный калькулятор'!$D$8,'депозитный калькулятор'!$G$13="нет"),-G447-IF(I447=" ",0,I447)-IF(AND(OR('депозитный калькулятор'!$G$7="30/365",'депозитный калькулятор'!$G$7="30/360"),'депозитный калькулятор'!$G$10="в начале срока"),I446,0)-L447+M447-N447,-G447-IF(I447=" ",0,I447)-L447+M447-N447),IF('депозитный калькулятор'!$G$13="есть",M447-N447+IF('депозитный калькулятор'!$G$14="есть",0,-L447),-IF(I447=" ",0,I447)-IF(AND(OR('депозитный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срока"),I446,0)+M447-N447+IF('депозитный калькулятор'!$G$14="есть",0,-L447))))</f>
        <v xml:space="preserve"> </v>
      </c>
      <c r="P447" s="147" t="str">
        <f>IF(F447&gt;'депозитный калькулятор'!$D$8," ",IF(EOMONTH(F446,0)=F446,0,IF(G447&gt;='депозитный калькулятор'!$G$19,P446,P446+1)))</f>
        <v xml:space="preserve"> </v>
      </c>
      <c r="Q447" s="138" t="str">
        <f>IF(F447=" "," ",IF(AND(OR('депозитный калькулятор'!$G$7="30/365",'депозитный калькулятор'!$G$7="30/360"),AND(MONTH(F447)=2,EOMONTH(F447,0)=F447)),IF(DAY(F447)=28,3,2),1)*IF(G447&gt;='депозитный калькулятор'!$G$11,IF(AND('депозитный калькулятор'!$G$7="факт/факт",MOD(YEAR(F447),4)=0),G447*'депозитный калькулятор'!$D$11/366,G447*'депозитный калькулятор'!$G$8),0))</f>
        <v xml:space="preserve"> </v>
      </c>
      <c r="R447" s="158"/>
      <c r="S447" s="62" t="str">
        <f t="shared" ca="1" si="32"/>
        <v xml:space="preserve"> </v>
      </c>
      <c r="T447" s="149" t="str">
        <f ca="1">IF(S447=" "," ",IF('депозитный калькулятор'!$G$7="30/360",DAYS360(U446,IF(DAY(U447)=31,U447-1,U447))+IF(AND(MONTH(U447)=2,U447=EOMONTH(U447,0)),30-DAY(EOMONTH(U447,0)))+T446,VLOOKUP(S447,$C$22:$F$1023,2,0)))</f>
        <v xml:space="preserve"> </v>
      </c>
      <c r="U447" s="64" t="str">
        <f t="shared" ca="1" si="30"/>
        <v xml:space="preserve"> </v>
      </c>
      <c r="V447" s="150" t="str">
        <f t="shared" ca="1" si="33"/>
        <v xml:space="preserve"> </v>
      </c>
      <c r="W447" s="62" t="str">
        <f t="shared" ca="1" si="34"/>
        <v xml:space="preserve"> </v>
      </c>
      <c r="X447" s="141" t="str">
        <f ca="1">IF(S447=" "," ",IFERROR(VLOOKUP(U447,$F$23:$N$1023,7)+VLOOKUP(U447,$F$23:$N$1023,9)+IF(AND('депозитный калькулятор'!$G$13="нет",U447&lt;&gt;'депозитный калькулятор'!$D$8),VLOOKUP(U447,$F$23:$N$1023,4),0),0)+IF(U447='депозитный калькулятор'!$D$8,VLOOKUP(U447,$F$23:$N$1023,2)+VLOOKUP(U447,$F$23:$N$1023,4),0))</f>
        <v xml:space="preserve"> </v>
      </c>
      <c r="Y447" s="142" t="str">
        <f ca="1">IF(S447=" "," ",W447/(1+'депозитный калькулятор'!$K$8)^(T447/IF('депозитный калькулятор'!$G$7="30/360",360,365)))</f>
        <v xml:space="preserve"> </v>
      </c>
      <c r="Z447" s="142" t="str">
        <f ca="1">IF(S447=" "," ",X447/(1+'депозитный калькулятор'!$K$8)^(T447/IF('депозитный калькулятор'!$G$7="30/360",360,365)))</f>
        <v xml:space="preserve"> </v>
      </c>
      <c r="AA447" s="151"/>
      <c r="AB447" s="151"/>
      <c r="AC447" s="155"/>
      <c r="AD447" s="155"/>
    </row>
    <row r="448" spans="1:30" s="2" customFormat="1" ht="15.5" x14ac:dyDescent="0.35">
      <c r="A448" s="41" t="str">
        <f>IF(F448=" "," ",IF(OR('депозитный калькулятор'!$G$7="30/365",'депозитный калькулятор'!$G$7="30/360"),IF(AND(MONTH(F448)=2,DAY(F448)=DAY(EOMONTH(F448,0))),30-DAY(EOMONTH(F448,0)),IF(DAY(F448)=31,1," "))," "))</f>
        <v xml:space="preserve"> </v>
      </c>
      <c r="B448" s="130" t="str">
        <f t="shared" si="31"/>
        <v xml:space="preserve"> </v>
      </c>
      <c r="C448" s="130" t="str">
        <f>IF(OR(B448=0,B448=" ")," ",SUM($B$23:B448))</f>
        <v xml:space="preserve"> </v>
      </c>
      <c r="D448" s="62" t="str">
        <f>IF(D447=" "," ",IF(OR(F447='депозитный калькулятор'!$D$8,F447=" ")," ",D447+1))</f>
        <v xml:space="preserve"> </v>
      </c>
      <c r="E448" s="130" t="str">
        <f>IF(OR(F447='депозитный калькулятор'!$D$8,F447=" ")," ",IF(EOMONTH(F447,0)=F447,1,E447+1))</f>
        <v xml:space="preserve"> </v>
      </c>
      <c r="F448" s="64" t="str">
        <f>IF(F447=" "," ",IF(F447='депозитный калькулятор'!$D$8," ",F447+1))</f>
        <v xml:space="preserve"> </v>
      </c>
      <c r="G448" s="145" t="str">
        <f xml:space="preserve"> IF(F448&gt;'депозитный калькулятор'!$D$8," ",IF('депозитный калькулятор'!$G$13="есть",IF('депозитный калькулятор'!$G$14="есть",G447+IF(I447=" ",0,I447)-J448-K448+L448+M448-N448,G447+IF(I447=" ",0,I447)-J448-K448+M448-N448),IF('депозитный калькулятор'!$G$14="есть",G447-J448-K448+L448+M448-N448,G447-J448-K448+M448-N448)))</f>
        <v xml:space="preserve"> </v>
      </c>
      <c r="H448" s="133" t="str">
        <f>IF(F448&gt;'депозитный калькулятор'!$D$8," ",IF(AND(OR('депозитный калькулятор'!$G$7="30/365",'депозитный калькулятор'!$G$7="30/360"),AND(MONTH(F448)=2,EOMONTH(F448,0)=F448)),IF(DAY(F448)=28,3*G448*'депозитный калькулятор'!$G$8,2*G448*'депозитный калькулятор'!$G$8),IF(AND(OR('депозитный калькулятор'!$G$7="30/365",'депозитный калькулятор'!$G$7="30/360"),DAY(F448)=31)," ",IF(AND('депозитный калькулятор'!$G$7="факт/факт",MOD(YEAR(F448),4)=0),G448*'депозитный калькулятор'!$D$11/366,G448*'депозитный калькулятор'!$G$8))))</f>
        <v xml:space="preserve"> </v>
      </c>
      <c r="I448" s="134" t="str">
        <f ca="1">IF(F448=" "," ",IF('депозитный калькулятор'!$G$10="ежедневное",H448,IF(AND('депозитный калькулятор'!$G$10="еженедельное",WEEKDAY(F448,2)=7),SUM(OFFSET(H448,-6,0):H448),IF(AND('депозитный калькулятор'!$G$10="еженедельное",F448='депозитный калькулятор'!$D$8),SUM($H$23:H448)-SUM($I$23:I447),IF(AND('депозитный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недели",WEEKDAY(F448,2)=7),MIN(OFFSET(H448,-6,0):H448)*(COUNTIF(OFFSET(H448,-6,0):H448,"&gt;0")+SUMIF(OFFSET(A448,-WEEKDAY(F448,2),0):A448,"=2",OFFSET(A448,-WEEKDAY(F448,2),0):A448)),IF(AND('депозитный калькулятор'!$G$10="еженедельное, на минимальную сумму зафиксированную в течение недели",F448='депозитный калькулятор'!$D$8,WEEKDAY(F448,2)&lt;&gt;7),MIN(OFFSET(H448,-WEEKDAY(F448,2),0):H448)*(COUNTIF(OFFSET(H448,-WEEKDAY(F448,2)+1,0):H448,"&gt;0")+SUM(OFFSET(A448,-WEEKDAY(F448,2),0):A448)),IF(AND('депозитный калькулятор'!$G$10="ежемесячное (в конце месяца)",F448='депозитный калькулятор'!$D$8,EOMONTH(F448,0)&lt;&gt;F448),IF('депозитный калькулятор'!$F$1=1,$H$24,SUM($H$23:H448)-SUM($I$23:I447)),IF(AND('депозитный калькулятор'!$G$10="ежемесячное (в конце месяца)",EOMONTH(F448,0)=F448),SUM($H$23:H448)-SUM($I$23:I447),IF(AND('депозитный калькулятор'!$G$10="ежемесячное (по дням открытия вклада)",F448='депозитный калькулятор'!$D$8,DAY('депозитный калькулятор'!$D$7)&lt;&gt;DAY(F448)),IF('депозитный калькулятор'!$F$1=1,$H$24,SUM($H$23:H448)-SUM($I$23:I447)),IF(AND('депозитный калькулятор'!$G$10="ежемесячное (по дням открытия вклада)",DAY('депозитный калькулятор'!$D$7)=DAY(F448)),SUM($H$23:H448)-SUM($I$23:I447),IF(AND('депозитный калькулятор'!$G$10="ежемесячное, на минимальную сумму зафиксированную в течение месяца",F448='депозитный калькулятор'!$D$8,EOMONTH(F448,0)&lt;&gt;F448),IF('депозитный калькулятор'!$F$1=1,$H$24,IF(AND(OR('депозитный калькулятор'!$G$7="30/365",'депозитный калькулятор'!$G$7="30/360"),DAY(F448)=31),0,MIN(OFFSET(H448,-E448+1,0):H448)*(E448+SUMIF(OFFSET(A448,-E448+1,0):A448,"=2",OFFSET(A448,-E448+1,0):A448)))),IF(AND('депозитный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калькулятор'!$G$7="30/360"),DAY(EOMONTH(F448,0))=31),EOMONTH(F448,0)-1=F448,EOMONTH(F448,0)=F448)),IF(IF(AND(OR('депозитный калькулятор'!$G$7="30/365",'депозитный калькулятор'!$G$7="30/360"),DAY(EOMONTH($F$23,0))=31),F448=EOMONTH($F$23,0)-1,F448=EOMONTH($F$23,0)),MIN(OFFSET(H448,-(DAY(F448)-DAY($F$23)),0):H448)*E448,MIN(OFFSET(H448,-(DAY(F448)-1),0):H448)*IF(AND(OR('депозитный калькулятор'!$G$7="30/365",'депозитный калькулятор'!$G$7="30/360"),DAY(F448)&lt;30),30,DAY(F448))),IF(AND('депозитный калькулятор'!$G$10="ежемесячное, на средний остаток в течение месяца, при условии что остаток больше чем ограничение",F448='депозитный калькулятор'!$D$8,EOMONTH(F448,0)&lt;&gt;F448),IF('депозитный калькулятор'!$F$1=1,$H$24,SUM(OFFSET(Q448,-E448+1,0):Q448)),IF(AND('депозитный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калькулятор'!$G$7="30/360"),DAY(EOMONTH(F448,0))=31),EOMONTH(F448,0)-1=F448,EOMONTH(F448,0)=F448)),IF(IF(AND(OR('депозитный калькулятор'!$G$7="30/365",'депозитный калькулятор'!$G$7="30/360"),DAY(EOMONTH($F$24,0))=31),F448=EOMONTH($F$24,0)-1,F448=EOMONTH($F$24,0)),SUM(OFFSET(Q448,-E448+1,0):Q448),SUM(OFFSET(Q448,-E448+1,0):Q448)),IF('депозитный калькулятор'!$G$10="ежеквартальное",IF(F448&gt;'депозитный калькулятор'!$D$8," ",IF(AND(EOMONTH(F448,0)=F448,OR(MONTH(F448)=3,MONTH(F448)=6,MONTH(F448)=9,MONTH(F448)=12)),IF(EDATE(F448,-3)&lt;'депозитный калькулятор'!$D$7,SUM($H$23:H448),IF(MOD(YEAR(F448),4)=0,IF(AND(EOMONTH(F448,0)=F448,OR(MONTH(F448)=3,MONTH(F448)=6)),SUM(OFFSET(H448,-90,0):H448),IF(AND(EOMONTH(F448,0)=F448,OR(MONTH(F448)=9,MONTH(F448)=12)),SUM(OFFSET(H448,-91,0):H448))),IF(AND(EOMONTH(F448,0)=F448,MONTH(F448)=3),SUM(OFFSET(H448,-89,0):H448),IF(AND(EOMONTH(F448,0)=F448,MONTH(F448)=6),SUM(OFFSET(H448,-90,0):H448),IF(AND(EOMONTH(F448,0)=F448,OR(MONTH(F448)=9,MONTH(F448)=12)),SUM(OFFSET(H448,-91,0):H448)))))),IF(F448='депозитный калькулятор'!$D$8,SUM($H$23:H448)-SUM($I$23:I447),0))),IF('депозитный калькулятор'!$G$10="ежегодное",IF(F448&gt;'депозитный калькулятор'!$D$8," ",IF(F448='депозитный калькулятор'!$D$8,SUM($H$23:H448)-SUM($I$23:I447),IF(AND(EOMONTH(F448,0)=F448,MONTH(F448)=12),IF(MOD(YEAR(F447),4)=0,IF(F448-'депозитный калькулятор'!$D$7&lt;366,SUM($H$23:H448),SUM(OFFSET(H448,-365,0):H448)),IF(F448-'депозитный калькулятор'!$D$7&lt;365,SUM($H$23:H448),SUM(OFFSET(H448,-364,0):H448))),0))),IF(AND('депозитный калькулятор'!$G$10="в конце срока",'депозитный калькулятор'!$D$8=F448),SUM($H$23:H448),0))))))))))))))))))</f>
        <v xml:space="preserve"> </v>
      </c>
      <c r="J448" s="59" t="str">
        <f>IF(F448&gt;'депозитный калькулятор'!$D$8," ",IF('депозитный калькулятор'!$G$16="нет",0,IF(AND('депозитный калькулятор'!$G$17="разовая (в конце срока)",F448='депозитный калькулятор'!$D$8),'депозитный калькулятор'!$G$18,IF(AND('депозитный калькулятор'!$G$17="ежемесячная",EOMONTH(F447,0)=F447),'депозитный калькулятор'!$G$18,IF(AND('депозитный калькулятор'!$G$17="ежегодная",DAY(F447)=31,MONTH(F447)=12),'депозитный калькулятор'!$G$18,IF(AND('депозитный калькулятор'!$G$17="ежемесячная в зависимости от остатка",EOMONTH(F447,0)=F447,P447&gt;0),'депозитный калькулятор'!$G$18,IF(AND('депозитный калькулятор'!$G$17="ежегодная в зависимости от остатка",DAY(F447)=31,MONTH(F447)=12,P447&gt;0),'депозитный калькулятор'!$G$18,0)))))))</f>
        <v xml:space="preserve"> </v>
      </c>
      <c r="K448" s="135" t="str">
        <f>IF($F448=" "," ",IFERROR(VLOOKUP($F448,'депозитный калькулятор'!$B$26:$F$70,2,0),0))</f>
        <v xml:space="preserve"> </v>
      </c>
      <c r="L448" s="135" t="str">
        <f>IF($F448=" "," ",IFERROR(VLOOKUP($F448,'депозитный калькулятор'!$B$26:$F$70,3,0),0))</f>
        <v xml:space="preserve"> </v>
      </c>
      <c r="M448" s="135" t="str">
        <f>IF($F448=" "," ",IFERROR(VLOOKUP($F448,'депозитный калькулятор'!$B$26:$F$70,4,0),0))</f>
        <v xml:space="preserve"> </v>
      </c>
      <c r="N448" s="135" t="str">
        <f>IF($F448=" "," ",IFERROR(VLOOKUP($F448,'депозитный калькулятор'!$B$26:$F$70,5,0),0))</f>
        <v xml:space="preserve"> </v>
      </c>
      <c r="O448" s="146" t="str">
        <f>IF(F448&gt;'депозитный калькулятор'!$D$8," ",IF(F448='депозитный калькулятор'!$D$8,IF(AND($F$24='депозитный калькулятор'!$D$8,'депозитный калькулятор'!$G$13="нет"),-G448-IF(I448=" ",0,I448)-IF(AND(OR('депозитный калькулятор'!$G$7="30/365",'депозитный калькулятор'!$G$7="30/360"),'депозитный калькулятор'!$G$10="в начале срока"),I447,0)-L448+M448-N448,-G448-IF(I448=" ",0,I448)-L448+M448-N448),IF('депозитный калькулятор'!$G$13="есть",M448-N448+IF('депозитный калькулятор'!$G$14="есть",0,-L448),-IF(I448=" ",0,I448)-IF(AND(OR('депозитный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срока"),I447,0)+M448-N448+IF('депозитный калькулятор'!$G$14="есть",0,-L448))))</f>
        <v xml:space="preserve"> </v>
      </c>
      <c r="P448" s="147" t="str">
        <f>IF(F448&gt;'депозитный калькулятор'!$D$8," ",IF(EOMONTH(F447,0)=F447,0,IF(G448&gt;='депозитный калькулятор'!$G$19,P447,P447+1)))</f>
        <v xml:space="preserve"> </v>
      </c>
      <c r="Q448" s="138" t="str">
        <f>IF(F448=" "," ",IF(AND(OR('депозитный калькулятор'!$G$7="30/365",'депозитный калькулятор'!$G$7="30/360"),AND(MONTH(F448)=2,EOMONTH(F448,0)=F448)),IF(DAY(F448)=28,3,2),1)*IF(G448&gt;='депозитный калькулятор'!$G$11,IF(AND('депозитный калькулятор'!$G$7="факт/факт",MOD(YEAR(F448),4)=0),G448*'депозитный калькулятор'!$D$11/366,G448*'депозитный калькулятор'!$G$8),0))</f>
        <v xml:space="preserve"> </v>
      </c>
      <c r="R448" s="158"/>
      <c r="S448" s="62" t="str">
        <f t="shared" ca="1" si="32"/>
        <v xml:space="preserve"> </v>
      </c>
      <c r="T448" s="149" t="str">
        <f ca="1">IF(S448=" "," ",IF('депозитный калькулятор'!$G$7="30/360",DAYS360(U447,IF(DAY(U448)=31,U448-1,U448))+IF(AND(MONTH(U448)=2,U448=EOMONTH(U448,0)),30-DAY(EOMONTH(U448,0)))+T447,VLOOKUP(S448,$C$22:$F$1023,2,0)))</f>
        <v xml:space="preserve"> </v>
      </c>
      <c r="U448" s="64" t="str">
        <f t="shared" ca="1" si="30"/>
        <v xml:space="preserve"> </v>
      </c>
      <c r="V448" s="150" t="str">
        <f t="shared" ca="1" si="33"/>
        <v xml:space="preserve"> </v>
      </c>
      <c r="W448" s="62" t="str">
        <f t="shared" ca="1" si="34"/>
        <v xml:space="preserve"> </v>
      </c>
      <c r="X448" s="141" t="str">
        <f ca="1">IF(S448=" "," ",IFERROR(VLOOKUP(U448,$F$23:$N$1023,7)+VLOOKUP(U448,$F$23:$N$1023,9)+IF(AND('депозитный калькулятор'!$G$13="нет",U448&lt;&gt;'депозитный калькулятор'!$D$8),VLOOKUP(U448,$F$23:$N$1023,4),0),0)+IF(U448='депозитный калькулятор'!$D$8,VLOOKUP(U448,$F$23:$N$1023,2)+VLOOKUP(U448,$F$23:$N$1023,4),0))</f>
        <v xml:space="preserve"> </v>
      </c>
      <c r="Y448" s="142" t="str">
        <f ca="1">IF(S448=" "," ",W448/(1+'депозитный калькулятор'!$K$8)^(T448/IF('депозитный калькулятор'!$G$7="30/360",360,365)))</f>
        <v xml:space="preserve"> </v>
      </c>
      <c r="Z448" s="142" t="str">
        <f ca="1">IF(S448=" "," ",X448/(1+'депозитный калькулятор'!$K$8)^(T448/IF('депозитный калькулятор'!$G$7="30/360",360,365)))</f>
        <v xml:space="preserve"> </v>
      </c>
      <c r="AA448" s="151"/>
      <c r="AB448" s="151"/>
      <c r="AC448" s="155"/>
      <c r="AD448" s="155"/>
    </row>
    <row r="449" spans="1:30" s="2" customFormat="1" ht="15.5" x14ac:dyDescent="0.35">
      <c r="A449" s="41" t="str">
        <f>IF(F449=" "," ",IF(OR('депозитный калькулятор'!$G$7="30/365",'депозитный калькулятор'!$G$7="30/360"),IF(AND(MONTH(F449)=2,DAY(F449)=DAY(EOMONTH(F449,0))),30-DAY(EOMONTH(F449,0)),IF(DAY(F449)=31,1," "))," "))</f>
        <v xml:space="preserve"> </v>
      </c>
      <c r="B449" s="130" t="str">
        <f t="shared" si="31"/>
        <v xml:space="preserve"> </v>
      </c>
      <c r="C449" s="130" t="str">
        <f>IF(OR(B449=0,B449=" ")," ",SUM($B$23:B449))</f>
        <v xml:space="preserve"> </v>
      </c>
      <c r="D449" s="62" t="str">
        <f>IF(D448=" "," ",IF(OR(F448='депозитный калькулятор'!$D$8,F448=" ")," ",D448+1))</f>
        <v xml:space="preserve"> </v>
      </c>
      <c r="E449" s="130" t="str">
        <f>IF(OR(F448='депозитный калькулятор'!$D$8,F448=" ")," ",IF(EOMONTH(F448,0)=F448,1,E448+1))</f>
        <v xml:space="preserve"> </v>
      </c>
      <c r="F449" s="64" t="str">
        <f>IF(F448=" "," ",IF(F448='депозитный калькулятор'!$D$8," ",F448+1))</f>
        <v xml:space="preserve"> </v>
      </c>
      <c r="G449" s="145" t="str">
        <f xml:space="preserve"> IF(F449&gt;'депозитный калькулятор'!$D$8," ",IF('депозитный калькулятор'!$G$13="есть",IF('депозитный калькулятор'!$G$14="есть",G448+IF(I448=" ",0,I448)-J449-K449+L449+M449-N449,G448+IF(I448=" ",0,I448)-J449-K449+M449-N449),IF('депозитный калькулятор'!$G$14="есть",G448-J449-K449+L449+M449-N449,G448-J449-K449+M449-N449)))</f>
        <v xml:space="preserve"> </v>
      </c>
      <c r="H449" s="133" t="str">
        <f>IF(F449&gt;'депозитный калькулятор'!$D$8," ",IF(AND(OR('депозитный калькулятор'!$G$7="30/365",'депозитный калькулятор'!$G$7="30/360"),AND(MONTH(F449)=2,EOMONTH(F449,0)=F449)),IF(DAY(F449)=28,3*G449*'депозитный калькулятор'!$G$8,2*G449*'депозитный калькулятор'!$G$8),IF(AND(OR('депозитный калькулятор'!$G$7="30/365",'депозитный калькулятор'!$G$7="30/360"),DAY(F449)=31)," ",IF(AND('депозитный калькулятор'!$G$7="факт/факт",MOD(YEAR(F449),4)=0),G449*'депозитный калькулятор'!$D$11/366,G449*'депозитный калькулятор'!$G$8))))</f>
        <v xml:space="preserve"> </v>
      </c>
      <c r="I449" s="134" t="str">
        <f ca="1">IF(F449=" "," ",IF('депозитный калькулятор'!$G$10="ежедневное",H449,IF(AND('депозитный калькулятор'!$G$10="еженедельное",WEEKDAY(F449,2)=7),SUM(OFFSET(H449,-6,0):H449),IF(AND('депозитный калькулятор'!$G$10="еженедельное",F449='депозитный калькулятор'!$D$8),SUM($H$23:H449)-SUM($I$23:I448),IF(AND('депозитный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недели",WEEKDAY(F449,2)=7),MIN(OFFSET(H449,-6,0):H449)*(COUNTIF(OFFSET(H449,-6,0):H449,"&gt;0")+SUMIF(OFFSET(A449,-WEEKDAY(F449,2),0):A449,"=2",OFFSET(A449,-WEEKDAY(F449,2),0):A449)),IF(AND('депозитный калькулятор'!$G$10="еженедельное, на минимальную сумму зафиксированную в течение недели",F449='депозитный калькулятор'!$D$8,WEEKDAY(F449,2)&lt;&gt;7),MIN(OFFSET(H449,-WEEKDAY(F449,2),0):H449)*(COUNTIF(OFFSET(H449,-WEEKDAY(F449,2)+1,0):H449,"&gt;0")+SUM(OFFSET(A449,-WEEKDAY(F449,2),0):A449)),IF(AND('депозитный калькулятор'!$G$10="ежемесячное (в конце месяца)",F449='депозитный калькулятор'!$D$8,EOMONTH(F449,0)&lt;&gt;F449),IF('депозитный калькулятор'!$F$1=1,$H$24,SUM($H$23:H449)-SUM($I$23:I448)),IF(AND('депозитный калькулятор'!$G$10="ежемесячное (в конце месяца)",EOMONTH(F449,0)=F449),SUM($H$23:H449)-SUM($I$23:I448),IF(AND('депозитный калькулятор'!$G$10="ежемесячное (по дням открытия вклада)",F449='депозитный калькулятор'!$D$8,DAY('депозитный калькулятор'!$D$7)&lt;&gt;DAY(F449)),IF('депозитный калькулятор'!$F$1=1,$H$24,SUM($H$23:H449)-SUM($I$23:I448)),IF(AND('депозитный калькулятор'!$G$10="ежемесячное (по дням открытия вклада)",DAY('депозитный калькулятор'!$D$7)=DAY(F449)),SUM($H$23:H449)-SUM($I$23:I448),IF(AND('депозитный калькулятор'!$G$10="ежемесячное, на минимальную сумму зафиксированную в течение месяца",F449='депозитный калькулятор'!$D$8,EOMONTH(F449,0)&lt;&gt;F449),IF('депозитный калькулятор'!$F$1=1,$H$24,IF(AND(OR('депозитный калькулятор'!$G$7="30/365",'депозитный калькулятор'!$G$7="30/360"),DAY(F449)=31),0,MIN(OFFSET(H449,-E449+1,0):H449)*(E449+SUMIF(OFFSET(A449,-E449+1,0):A449,"=2",OFFSET(A449,-E449+1,0):A449)))),IF(AND('депозитный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калькулятор'!$G$7="30/360"),DAY(EOMONTH(F449,0))=31),EOMONTH(F449,0)-1=F449,EOMONTH(F449,0)=F449)),IF(IF(AND(OR('депозитный калькулятор'!$G$7="30/365",'депозитный калькулятор'!$G$7="30/360"),DAY(EOMONTH($F$23,0))=31),F449=EOMONTH($F$23,0)-1,F449=EOMONTH($F$23,0)),MIN(OFFSET(H449,-(DAY(F449)-DAY($F$23)),0):H449)*E449,MIN(OFFSET(H449,-(DAY(F449)-1),0):H449)*IF(AND(OR('депозитный калькулятор'!$G$7="30/365",'депозитный калькулятор'!$G$7="30/360"),DAY(F449)&lt;30),30,DAY(F449))),IF(AND('депозитный калькулятор'!$G$10="ежемесячное, на средний остаток в течение месяца, при условии что остаток больше чем ограничение",F449='депозитный калькулятор'!$D$8,EOMONTH(F449,0)&lt;&gt;F449),IF('депозитный калькулятор'!$F$1=1,$H$24,SUM(OFFSET(Q449,-E449+1,0):Q449)),IF(AND('депозитный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калькулятор'!$G$7="30/360"),DAY(EOMONTH(F449,0))=31),EOMONTH(F449,0)-1=F449,EOMONTH(F449,0)=F449)),IF(IF(AND(OR('депозитный калькулятор'!$G$7="30/365",'депозитный калькулятор'!$G$7="30/360"),DAY(EOMONTH($F$24,0))=31),F449=EOMONTH($F$24,0)-1,F449=EOMONTH($F$24,0)),SUM(OFFSET(Q449,-E449+1,0):Q449),SUM(OFFSET(Q449,-E449+1,0):Q449)),IF('депозитный калькулятор'!$G$10="ежеквартальное",IF(F449&gt;'депозитный калькулятор'!$D$8," ",IF(AND(EOMONTH(F449,0)=F449,OR(MONTH(F449)=3,MONTH(F449)=6,MONTH(F449)=9,MONTH(F449)=12)),IF(EDATE(F449,-3)&lt;'депозитный калькулятор'!$D$7,SUM($H$23:H449),IF(MOD(YEAR(F449),4)=0,IF(AND(EOMONTH(F449,0)=F449,OR(MONTH(F449)=3,MONTH(F449)=6)),SUM(OFFSET(H449,-90,0):H449),IF(AND(EOMONTH(F449,0)=F449,OR(MONTH(F449)=9,MONTH(F449)=12)),SUM(OFFSET(H449,-91,0):H449))),IF(AND(EOMONTH(F449,0)=F449,MONTH(F449)=3),SUM(OFFSET(H449,-89,0):H449),IF(AND(EOMONTH(F449,0)=F449,MONTH(F449)=6),SUM(OFFSET(H449,-90,0):H449),IF(AND(EOMONTH(F449,0)=F449,OR(MONTH(F449)=9,MONTH(F449)=12)),SUM(OFFSET(H449,-91,0):H449)))))),IF(F449='депозитный калькулятор'!$D$8,SUM($H$23:H449)-SUM($I$23:I448),0))),IF('депозитный калькулятор'!$G$10="ежегодное",IF(F449&gt;'депозитный калькулятор'!$D$8," ",IF(F449='депозитный калькулятор'!$D$8,SUM($H$23:H449)-SUM($I$23:I448),IF(AND(EOMONTH(F449,0)=F449,MONTH(F449)=12),IF(MOD(YEAR(F448),4)=0,IF(F449-'депозитный калькулятор'!$D$7&lt;366,SUM($H$23:H449),SUM(OFFSET(H449,-365,0):H449)),IF(F449-'депозитный калькулятор'!$D$7&lt;365,SUM($H$23:H449),SUM(OFFSET(H449,-364,0):H449))),0))),IF(AND('депозитный калькулятор'!$G$10="в конце срока",'депозитный калькулятор'!$D$8=F449),SUM($H$23:H449),0))))))))))))))))))</f>
        <v xml:space="preserve"> </v>
      </c>
      <c r="J449" s="59" t="str">
        <f>IF(F449&gt;'депозитный калькулятор'!$D$8," ",IF('депозитный калькулятор'!$G$16="нет",0,IF(AND('депозитный калькулятор'!$G$17="разовая (в конце срока)",F449='депозитный калькулятор'!$D$8),'депозитный калькулятор'!$G$18,IF(AND('депозитный калькулятор'!$G$17="ежемесячная",EOMONTH(F448,0)=F448),'депозитный калькулятор'!$G$18,IF(AND('депозитный калькулятор'!$G$17="ежегодная",DAY(F448)=31,MONTH(F448)=12),'депозитный калькулятор'!$G$18,IF(AND('депозитный калькулятор'!$G$17="ежемесячная в зависимости от остатка",EOMONTH(F448,0)=F448,P448&gt;0),'депозитный калькулятор'!$G$18,IF(AND('депозитный калькулятор'!$G$17="ежегодная в зависимости от остатка",DAY(F448)=31,MONTH(F448)=12,P448&gt;0),'депозитный калькулятор'!$G$18,0)))))))</f>
        <v xml:space="preserve"> </v>
      </c>
      <c r="K449" s="135" t="str">
        <f>IF($F449=" "," ",IFERROR(VLOOKUP($F449,'депозитный калькулятор'!$B$26:$F$70,2,0),0))</f>
        <v xml:space="preserve"> </v>
      </c>
      <c r="L449" s="135" t="str">
        <f>IF($F449=" "," ",IFERROR(VLOOKUP($F449,'депозитный калькулятор'!$B$26:$F$70,3,0),0))</f>
        <v xml:space="preserve"> </v>
      </c>
      <c r="M449" s="135" t="str">
        <f>IF($F449=" "," ",IFERROR(VLOOKUP($F449,'депозитный калькулятор'!$B$26:$F$70,4,0),0))</f>
        <v xml:space="preserve"> </v>
      </c>
      <c r="N449" s="135" t="str">
        <f>IF($F449=" "," ",IFERROR(VLOOKUP($F449,'депозитный калькулятор'!$B$26:$F$70,5,0),0))</f>
        <v xml:space="preserve"> </v>
      </c>
      <c r="O449" s="146" t="str">
        <f>IF(F449&gt;'депозитный калькулятор'!$D$8," ",IF(F449='депозитный калькулятор'!$D$8,IF(AND($F$24='депозитный калькулятор'!$D$8,'депозитный калькулятор'!$G$13="нет"),-G449-IF(I449=" ",0,I449)-IF(AND(OR('депозитный калькулятор'!$G$7="30/365",'депозитный калькулятор'!$G$7="30/360"),'депозитный калькулятор'!$G$10="в начале срока"),I448,0)-L449+M449-N449,-G449-IF(I449=" ",0,I449)-L449+M449-N449),IF('депозитный калькулятор'!$G$13="есть",M449-N449+IF('депозитный калькулятор'!$G$14="есть",0,-L449),-IF(I449=" ",0,I449)-IF(AND(OR('депозитный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срока"),I448,0)+M449-N449+IF('депозитный калькулятор'!$G$14="есть",0,-L449))))</f>
        <v xml:space="preserve"> </v>
      </c>
      <c r="P449" s="147" t="str">
        <f>IF(F449&gt;'депозитный калькулятор'!$D$8," ",IF(EOMONTH(F448,0)=F448,0,IF(G449&gt;='депозитный калькулятор'!$G$19,P448,P448+1)))</f>
        <v xml:space="preserve"> </v>
      </c>
      <c r="Q449" s="138" t="str">
        <f>IF(F449=" "," ",IF(AND(OR('депозитный калькулятор'!$G$7="30/365",'депозитный калькулятор'!$G$7="30/360"),AND(MONTH(F449)=2,EOMONTH(F449,0)=F449)),IF(DAY(F449)=28,3,2),1)*IF(G449&gt;='депозитный калькулятор'!$G$11,IF(AND('депозитный калькулятор'!$G$7="факт/факт",MOD(YEAR(F449),4)=0),G449*'депозитный калькулятор'!$D$11/366,G449*'депозитный калькулятор'!$G$8),0))</f>
        <v xml:space="preserve"> </v>
      </c>
      <c r="R449" s="158"/>
      <c r="S449" s="62" t="str">
        <f t="shared" ca="1" si="32"/>
        <v xml:space="preserve"> </v>
      </c>
      <c r="T449" s="149" t="str">
        <f ca="1">IF(S449=" "," ",IF('депозитный калькулятор'!$G$7="30/360",DAYS360(U448,IF(DAY(U449)=31,U449-1,U449))+IF(AND(MONTH(U449)=2,U449=EOMONTH(U449,0)),30-DAY(EOMONTH(U449,0)))+T448,VLOOKUP(S449,$C$22:$F$1023,2,0)))</f>
        <v xml:space="preserve"> </v>
      </c>
      <c r="U449" s="64" t="str">
        <f t="shared" ca="1" si="30"/>
        <v xml:space="preserve"> </v>
      </c>
      <c r="V449" s="150" t="str">
        <f t="shared" ca="1" si="33"/>
        <v xml:space="preserve"> </v>
      </c>
      <c r="W449" s="62" t="str">
        <f t="shared" ca="1" si="34"/>
        <v xml:space="preserve"> </v>
      </c>
      <c r="X449" s="141" t="str">
        <f ca="1">IF(S449=" "," ",IFERROR(VLOOKUP(U449,$F$23:$N$1023,7)+VLOOKUP(U449,$F$23:$N$1023,9)+IF(AND('депозитный калькулятор'!$G$13="нет",U449&lt;&gt;'депозитный калькулятор'!$D$8),VLOOKUP(U449,$F$23:$N$1023,4),0),0)+IF(U449='депозитный калькулятор'!$D$8,VLOOKUP(U449,$F$23:$N$1023,2)+VLOOKUP(U449,$F$23:$N$1023,4),0))</f>
        <v xml:space="preserve"> </v>
      </c>
      <c r="Y449" s="142" t="str">
        <f ca="1">IF(S449=" "," ",W449/(1+'депозитный калькулятор'!$K$8)^(T449/IF('депозитный калькулятор'!$G$7="30/360",360,365)))</f>
        <v xml:space="preserve"> </v>
      </c>
      <c r="Z449" s="142" t="str">
        <f ca="1">IF(S449=" "," ",X449/(1+'депозитный калькулятор'!$K$8)^(T449/IF('депозитный калькулятор'!$G$7="30/360",360,365)))</f>
        <v xml:space="preserve"> </v>
      </c>
      <c r="AA449" s="151"/>
      <c r="AB449" s="151"/>
      <c r="AC449" s="155"/>
      <c r="AD449" s="155"/>
    </row>
    <row r="450" spans="1:30" s="2" customFormat="1" ht="15.5" x14ac:dyDescent="0.35">
      <c r="A450" s="41" t="str">
        <f>IF(F450=" "," ",IF(OR('депозитный калькулятор'!$G$7="30/365",'депозитный калькулятор'!$G$7="30/360"),IF(AND(MONTH(F450)=2,DAY(F450)=DAY(EOMONTH(F450,0))),30-DAY(EOMONTH(F450,0)),IF(DAY(F450)=31,1," "))," "))</f>
        <v xml:space="preserve"> </v>
      </c>
      <c r="B450" s="130" t="str">
        <f t="shared" si="31"/>
        <v xml:space="preserve"> </v>
      </c>
      <c r="C450" s="130" t="str">
        <f>IF(OR(B450=0,B450=" ")," ",SUM($B$23:B450))</f>
        <v xml:space="preserve"> </v>
      </c>
      <c r="D450" s="62" t="str">
        <f>IF(D449=" "," ",IF(OR(F449='депозитный калькулятор'!$D$8,F449=" ")," ",D449+1))</f>
        <v xml:space="preserve"> </v>
      </c>
      <c r="E450" s="130" t="str">
        <f>IF(OR(F449='депозитный калькулятор'!$D$8,F449=" ")," ",IF(EOMONTH(F449,0)=F449,1,E449+1))</f>
        <v xml:space="preserve"> </v>
      </c>
      <c r="F450" s="64" t="str">
        <f>IF(F449=" "," ",IF(F449='депозитный калькулятор'!$D$8," ",F449+1))</f>
        <v xml:space="preserve"> </v>
      </c>
      <c r="G450" s="145" t="str">
        <f xml:space="preserve"> IF(F450&gt;'депозитный калькулятор'!$D$8," ",IF('депозитный калькулятор'!$G$13="есть",IF('депозитный калькулятор'!$G$14="есть",G449+IF(I449=" ",0,I449)-J450-K450+L450+M450-N450,G449+IF(I449=" ",0,I449)-J450-K450+M450-N450),IF('депозитный калькулятор'!$G$14="есть",G449-J450-K450+L450+M450-N450,G449-J450-K450+M450-N450)))</f>
        <v xml:space="preserve"> </v>
      </c>
      <c r="H450" s="133" t="str">
        <f>IF(F450&gt;'депозитный калькулятор'!$D$8," ",IF(AND(OR('депозитный калькулятор'!$G$7="30/365",'депозитный калькулятор'!$G$7="30/360"),AND(MONTH(F450)=2,EOMONTH(F450,0)=F450)),IF(DAY(F450)=28,3*G450*'депозитный калькулятор'!$G$8,2*G450*'депозитный калькулятор'!$G$8),IF(AND(OR('депозитный калькулятор'!$G$7="30/365",'депозитный калькулятор'!$G$7="30/360"),DAY(F450)=31)," ",IF(AND('депозитный калькулятор'!$G$7="факт/факт",MOD(YEAR(F450),4)=0),G450*'депозитный калькулятор'!$D$11/366,G450*'депозитный калькулятор'!$G$8))))</f>
        <v xml:space="preserve"> </v>
      </c>
      <c r="I450" s="134" t="str">
        <f ca="1">IF(F450=" "," ",IF('депозитный калькулятор'!$G$10="ежедневное",H450,IF(AND('депозитный калькулятор'!$G$10="еженедельное",WEEKDAY(F450,2)=7),SUM(OFFSET(H450,-6,0):H450),IF(AND('депозитный калькулятор'!$G$10="еженедельное",F450='депозитный калькулятор'!$D$8),SUM($H$23:H450)-SUM($I$23:I449),IF(AND('депозитный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недели",WEEKDAY(F450,2)=7),MIN(OFFSET(H450,-6,0):H450)*(COUNTIF(OFFSET(H450,-6,0):H450,"&gt;0")+SUMIF(OFFSET(A450,-WEEKDAY(F450,2),0):A450,"=2",OFFSET(A450,-WEEKDAY(F450,2),0):A450)),IF(AND('депозитный калькулятор'!$G$10="еженедельное, на минимальную сумму зафиксированную в течение недели",F450='депозитный калькулятор'!$D$8,WEEKDAY(F450,2)&lt;&gt;7),MIN(OFFSET(H450,-WEEKDAY(F450,2),0):H450)*(COUNTIF(OFFSET(H450,-WEEKDAY(F450,2)+1,0):H450,"&gt;0")+SUM(OFFSET(A450,-WEEKDAY(F450,2),0):A450)),IF(AND('депозитный калькулятор'!$G$10="ежемесячное (в конце месяца)",F450='депозитный калькулятор'!$D$8,EOMONTH(F450,0)&lt;&gt;F450),IF('депозитный калькулятор'!$F$1=1,$H$24,SUM($H$23:H450)-SUM($I$23:I449)),IF(AND('депозитный калькулятор'!$G$10="ежемесячное (в конце месяца)",EOMONTH(F450,0)=F450),SUM($H$23:H450)-SUM($I$23:I449),IF(AND('депозитный калькулятор'!$G$10="ежемесячное (по дням открытия вклада)",F450='депозитный калькулятор'!$D$8,DAY('депозитный калькулятор'!$D$7)&lt;&gt;DAY(F450)),IF('депозитный калькулятор'!$F$1=1,$H$24,SUM($H$23:H450)-SUM($I$23:I449)),IF(AND('депозитный калькулятор'!$G$10="ежемесячное (по дням открытия вклада)",DAY('депозитный калькулятор'!$D$7)=DAY(F450)),SUM($H$23:H450)-SUM($I$23:I449),IF(AND('депозитный калькулятор'!$G$10="ежемесячное, на минимальную сумму зафиксированную в течение месяца",F450='депозитный калькулятор'!$D$8,EOMONTH(F450,0)&lt;&gt;F450),IF('депозитный калькулятор'!$F$1=1,$H$24,IF(AND(OR('депозитный калькулятор'!$G$7="30/365",'депозитный калькулятор'!$G$7="30/360"),DAY(F450)=31),0,MIN(OFFSET(H450,-E450+1,0):H450)*(E450+SUMIF(OFFSET(A450,-E450+1,0):A450,"=2",OFFSET(A450,-E450+1,0):A450)))),IF(AND('депозитный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калькулятор'!$G$7="30/360"),DAY(EOMONTH(F450,0))=31),EOMONTH(F450,0)-1=F450,EOMONTH(F450,0)=F450)),IF(IF(AND(OR('депозитный калькулятор'!$G$7="30/365",'депозитный калькулятор'!$G$7="30/360"),DAY(EOMONTH($F$23,0))=31),F450=EOMONTH($F$23,0)-1,F450=EOMONTH($F$23,0)),MIN(OFFSET(H450,-(DAY(F450)-DAY($F$23)),0):H450)*E450,MIN(OFFSET(H450,-(DAY(F450)-1),0):H450)*IF(AND(OR('депозитный калькулятор'!$G$7="30/365",'депозитный калькулятор'!$G$7="30/360"),DAY(F450)&lt;30),30,DAY(F450))),IF(AND('депозитный калькулятор'!$G$10="ежемесячное, на средний остаток в течение месяца, при условии что остаток больше чем ограничение",F450='депозитный калькулятор'!$D$8,EOMONTH(F450,0)&lt;&gt;F450),IF('депозитный калькулятор'!$F$1=1,$H$24,SUM(OFFSET(Q450,-E450+1,0):Q450)),IF(AND('депозитный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калькулятор'!$G$7="30/360"),DAY(EOMONTH(F450,0))=31),EOMONTH(F450,0)-1=F450,EOMONTH(F450,0)=F450)),IF(IF(AND(OR('депозитный калькулятор'!$G$7="30/365",'депозитный калькулятор'!$G$7="30/360"),DAY(EOMONTH($F$24,0))=31),F450=EOMONTH($F$24,0)-1,F450=EOMONTH($F$24,0)),SUM(OFFSET(Q450,-E450+1,0):Q450),SUM(OFFSET(Q450,-E450+1,0):Q450)),IF('депозитный калькулятор'!$G$10="ежеквартальное",IF(F450&gt;'депозитный калькулятор'!$D$8," ",IF(AND(EOMONTH(F450,0)=F450,OR(MONTH(F450)=3,MONTH(F450)=6,MONTH(F450)=9,MONTH(F450)=12)),IF(EDATE(F450,-3)&lt;'депозитный калькулятор'!$D$7,SUM($H$23:H450),IF(MOD(YEAR(F450),4)=0,IF(AND(EOMONTH(F450,0)=F450,OR(MONTH(F450)=3,MONTH(F450)=6)),SUM(OFFSET(H450,-90,0):H450),IF(AND(EOMONTH(F450,0)=F450,OR(MONTH(F450)=9,MONTH(F450)=12)),SUM(OFFSET(H450,-91,0):H450))),IF(AND(EOMONTH(F450,0)=F450,MONTH(F450)=3),SUM(OFFSET(H450,-89,0):H450),IF(AND(EOMONTH(F450,0)=F450,MONTH(F450)=6),SUM(OFFSET(H450,-90,0):H450),IF(AND(EOMONTH(F450,0)=F450,OR(MONTH(F450)=9,MONTH(F450)=12)),SUM(OFFSET(H450,-91,0):H450)))))),IF(F450='депозитный калькулятор'!$D$8,SUM($H$23:H450)-SUM($I$23:I449),0))),IF('депозитный калькулятор'!$G$10="ежегодное",IF(F450&gt;'депозитный калькулятор'!$D$8," ",IF(F450='депозитный калькулятор'!$D$8,SUM($H$23:H450)-SUM($I$23:I449),IF(AND(EOMONTH(F450,0)=F450,MONTH(F450)=12),IF(MOD(YEAR(F449),4)=0,IF(F450-'депозитный калькулятор'!$D$7&lt;366,SUM($H$23:H450),SUM(OFFSET(H450,-365,0):H450)),IF(F450-'депозитный калькулятор'!$D$7&lt;365,SUM($H$23:H450),SUM(OFFSET(H450,-364,0):H450))),0))),IF(AND('депозитный калькулятор'!$G$10="в конце срока",'депозитный калькулятор'!$D$8=F450),SUM($H$23:H450),0))))))))))))))))))</f>
        <v xml:space="preserve"> </v>
      </c>
      <c r="J450" s="59" t="str">
        <f>IF(F450&gt;'депозитный калькулятор'!$D$8," ",IF('депозитный калькулятор'!$G$16="нет",0,IF(AND('депозитный калькулятор'!$G$17="разовая (в конце срока)",F450='депозитный калькулятор'!$D$8),'депозитный калькулятор'!$G$18,IF(AND('депозитный калькулятор'!$G$17="ежемесячная",EOMONTH(F449,0)=F449),'депозитный калькулятор'!$G$18,IF(AND('депозитный калькулятор'!$G$17="ежегодная",DAY(F449)=31,MONTH(F449)=12),'депозитный калькулятор'!$G$18,IF(AND('депозитный калькулятор'!$G$17="ежемесячная в зависимости от остатка",EOMONTH(F449,0)=F449,P449&gt;0),'депозитный калькулятор'!$G$18,IF(AND('депозитный калькулятор'!$G$17="ежегодная в зависимости от остатка",DAY(F449)=31,MONTH(F449)=12,P449&gt;0),'депозитный калькулятор'!$G$18,0)))))))</f>
        <v xml:space="preserve"> </v>
      </c>
      <c r="K450" s="135" t="str">
        <f>IF($F450=" "," ",IFERROR(VLOOKUP($F450,'депозитный калькулятор'!$B$26:$F$70,2,0),0))</f>
        <v xml:space="preserve"> </v>
      </c>
      <c r="L450" s="135" t="str">
        <f>IF($F450=" "," ",IFERROR(VLOOKUP($F450,'депозитный калькулятор'!$B$26:$F$70,3,0),0))</f>
        <v xml:space="preserve"> </v>
      </c>
      <c r="M450" s="135" t="str">
        <f>IF($F450=" "," ",IFERROR(VLOOKUP($F450,'депозитный калькулятор'!$B$26:$F$70,4,0),0))</f>
        <v xml:space="preserve"> </v>
      </c>
      <c r="N450" s="135" t="str">
        <f>IF($F450=" "," ",IFERROR(VLOOKUP($F450,'депозитный калькулятор'!$B$26:$F$70,5,0),0))</f>
        <v xml:space="preserve"> </v>
      </c>
      <c r="O450" s="146" t="str">
        <f>IF(F450&gt;'депозитный калькулятор'!$D$8," ",IF(F450='депозитный калькулятор'!$D$8,IF(AND($F$24='депозитный калькулятор'!$D$8,'депозитный калькулятор'!$G$13="нет"),-G450-IF(I450=" ",0,I450)-IF(AND(OR('депозитный калькулятор'!$G$7="30/365",'депозитный калькулятор'!$G$7="30/360"),'депозитный калькулятор'!$G$10="в начале срока"),I449,0)-L450+M450-N450,-G450-IF(I450=" ",0,I450)-L450+M450-N450),IF('депозитный калькулятор'!$G$13="есть",M450-N450+IF('депозитный калькулятор'!$G$14="есть",0,-L450),-IF(I450=" ",0,I450)-IF(AND(OR('депозитный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срока"),I449,0)+M450-N450+IF('депозитный калькулятор'!$G$14="есть",0,-L450))))</f>
        <v xml:space="preserve"> </v>
      </c>
      <c r="P450" s="147" t="str">
        <f>IF(F450&gt;'депозитный калькулятор'!$D$8," ",IF(EOMONTH(F449,0)=F449,0,IF(G450&gt;='депозитный калькулятор'!$G$19,P449,P449+1)))</f>
        <v xml:space="preserve"> </v>
      </c>
      <c r="Q450" s="138" t="str">
        <f>IF(F450=" "," ",IF(AND(OR('депозитный калькулятор'!$G$7="30/365",'депозитный калькулятор'!$G$7="30/360"),AND(MONTH(F450)=2,EOMONTH(F450,0)=F450)),IF(DAY(F450)=28,3,2),1)*IF(G450&gt;='депозитный калькулятор'!$G$11,IF(AND('депозитный калькулятор'!$G$7="факт/факт",MOD(YEAR(F450),4)=0),G450*'депозитный калькулятор'!$D$11/366,G450*'депозитный калькулятор'!$G$8),0))</f>
        <v xml:space="preserve"> </v>
      </c>
      <c r="R450" s="158"/>
      <c r="S450" s="62" t="str">
        <f t="shared" ca="1" si="32"/>
        <v xml:space="preserve"> </v>
      </c>
      <c r="T450" s="149" t="str">
        <f ca="1">IF(S450=" "," ",IF('депозитный калькулятор'!$G$7="30/360",DAYS360(U449,IF(DAY(U450)=31,U450-1,U450))+IF(AND(MONTH(U450)=2,U450=EOMONTH(U450,0)),30-DAY(EOMONTH(U450,0)))+T449,VLOOKUP(S450,$C$22:$F$1023,2,0)))</f>
        <v xml:space="preserve"> </v>
      </c>
      <c r="U450" s="64" t="str">
        <f t="shared" ca="1" si="30"/>
        <v xml:space="preserve"> </v>
      </c>
      <c r="V450" s="150" t="str">
        <f t="shared" ca="1" si="33"/>
        <v xml:space="preserve"> </v>
      </c>
      <c r="W450" s="62" t="str">
        <f t="shared" ca="1" si="34"/>
        <v xml:space="preserve"> </v>
      </c>
      <c r="X450" s="141" t="str">
        <f ca="1">IF(S450=" "," ",IFERROR(VLOOKUP(U450,$F$23:$N$1023,7)+VLOOKUP(U450,$F$23:$N$1023,9)+IF(AND('депозитный калькулятор'!$G$13="нет",U450&lt;&gt;'депозитный калькулятор'!$D$8),VLOOKUP(U450,$F$23:$N$1023,4),0),0)+IF(U450='депозитный калькулятор'!$D$8,VLOOKUP(U450,$F$23:$N$1023,2)+VLOOKUP(U450,$F$23:$N$1023,4),0))</f>
        <v xml:space="preserve"> </v>
      </c>
      <c r="Y450" s="142" t="str">
        <f ca="1">IF(S450=" "," ",W450/(1+'депозитный калькулятор'!$K$8)^(T450/IF('депозитный калькулятор'!$G$7="30/360",360,365)))</f>
        <v xml:space="preserve"> </v>
      </c>
      <c r="Z450" s="142" t="str">
        <f ca="1">IF(S450=" "," ",X450/(1+'депозитный калькулятор'!$K$8)^(T450/IF('депозитный калькулятор'!$G$7="30/360",360,365)))</f>
        <v xml:space="preserve"> </v>
      </c>
      <c r="AA450" s="151"/>
      <c r="AB450" s="151"/>
      <c r="AC450" s="155"/>
      <c r="AD450" s="155"/>
    </row>
    <row r="451" spans="1:30" s="2" customFormat="1" ht="15.5" x14ac:dyDescent="0.35">
      <c r="A451" s="41" t="str">
        <f>IF(F451=" "," ",IF(OR('депозитный калькулятор'!$G$7="30/365",'депозитный калькулятор'!$G$7="30/360"),IF(AND(MONTH(F451)=2,DAY(F451)=DAY(EOMONTH(F451,0))),30-DAY(EOMONTH(F451,0)),IF(DAY(F451)=31,1," "))," "))</f>
        <v xml:space="preserve"> </v>
      </c>
      <c r="B451" s="130" t="str">
        <f t="shared" si="31"/>
        <v xml:space="preserve"> </v>
      </c>
      <c r="C451" s="130" t="str">
        <f>IF(OR(B451=0,B451=" ")," ",SUM($B$23:B451))</f>
        <v xml:space="preserve"> </v>
      </c>
      <c r="D451" s="62" t="str">
        <f>IF(D450=" "," ",IF(OR(F450='депозитный калькулятор'!$D$8,F450=" ")," ",D450+1))</f>
        <v xml:space="preserve"> </v>
      </c>
      <c r="E451" s="130" t="str">
        <f>IF(OR(F450='депозитный калькулятор'!$D$8,F450=" ")," ",IF(EOMONTH(F450,0)=F450,1,E450+1))</f>
        <v xml:space="preserve"> </v>
      </c>
      <c r="F451" s="64" t="str">
        <f>IF(F450=" "," ",IF(F450='депозитный калькулятор'!$D$8," ",F450+1))</f>
        <v xml:space="preserve"> </v>
      </c>
      <c r="G451" s="145" t="str">
        <f xml:space="preserve"> IF(F451&gt;'депозитный калькулятор'!$D$8," ",IF('депозитный калькулятор'!$G$13="есть",IF('депозитный калькулятор'!$G$14="есть",G450+IF(I450=" ",0,I450)-J451-K451+L451+M451-N451,G450+IF(I450=" ",0,I450)-J451-K451+M451-N451),IF('депозитный калькулятор'!$G$14="есть",G450-J451-K451+L451+M451-N451,G450-J451-K451+M451-N451)))</f>
        <v xml:space="preserve"> </v>
      </c>
      <c r="H451" s="133" t="str">
        <f>IF(F451&gt;'депозитный калькулятор'!$D$8," ",IF(AND(OR('депозитный калькулятор'!$G$7="30/365",'депозитный калькулятор'!$G$7="30/360"),AND(MONTH(F451)=2,EOMONTH(F451,0)=F451)),IF(DAY(F451)=28,3*G451*'депозитный калькулятор'!$G$8,2*G451*'депозитный калькулятор'!$G$8),IF(AND(OR('депозитный калькулятор'!$G$7="30/365",'депозитный калькулятор'!$G$7="30/360"),DAY(F451)=31)," ",IF(AND('депозитный калькулятор'!$G$7="факт/факт",MOD(YEAR(F451),4)=0),G451*'депозитный калькулятор'!$D$11/366,G451*'депозитный калькулятор'!$G$8))))</f>
        <v xml:space="preserve"> </v>
      </c>
      <c r="I451" s="134" t="str">
        <f ca="1">IF(F451=" "," ",IF('депозитный калькулятор'!$G$10="ежедневное",H451,IF(AND('депозитный калькулятор'!$G$10="еженедельное",WEEKDAY(F451,2)=7),SUM(OFFSET(H451,-6,0):H451),IF(AND('депозитный калькулятор'!$G$10="еженедельное",F451='депозитный калькулятор'!$D$8),SUM($H$23:H451)-SUM($I$23:I450),IF(AND('депозитный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недели",WEEKDAY(F451,2)=7),MIN(OFFSET(H451,-6,0):H451)*(COUNTIF(OFFSET(H451,-6,0):H451,"&gt;0")+SUMIF(OFFSET(A451,-WEEKDAY(F451,2),0):A451,"=2",OFFSET(A451,-WEEKDAY(F451,2),0):A451)),IF(AND('депозитный калькулятор'!$G$10="еженедельное, на минимальную сумму зафиксированную в течение недели",F451='депозитный калькулятор'!$D$8,WEEKDAY(F451,2)&lt;&gt;7),MIN(OFFSET(H451,-WEEKDAY(F451,2),0):H451)*(COUNTIF(OFFSET(H451,-WEEKDAY(F451,2)+1,0):H451,"&gt;0")+SUM(OFFSET(A451,-WEEKDAY(F451,2),0):A451)),IF(AND('депозитный калькулятор'!$G$10="ежемесячное (в конце месяца)",F451='депозитный калькулятор'!$D$8,EOMONTH(F451,0)&lt;&gt;F451),IF('депозитный калькулятор'!$F$1=1,$H$24,SUM($H$23:H451)-SUM($I$23:I450)),IF(AND('депозитный калькулятор'!$G$10="ежемесячное (в конце месяца)",EOMONTH(F451,0)=F451),SUM($H$23:H451)-SUM($I$23:I450),IF(AND('депозитный калькулятор'!$G$10="ежемесячное (по дням открытия вклада)",F451='депозитный калькулятор'!$D$8,DAY('депозитный калькулятор'!$D$7)&lt;&gt;DAY(F451)),IF('депозитный калькулятор'!$F$1=1,$H$24,SUM($H$23:H451)-SUM($I$23:I450)),IF(AND('депозитный калькулятор'!$G$10="ежемесячное (по дням открытия вклада)",DAY('депозитный калькулятор'!$D$7)=DAY(F451)),SUM($H$23:H451)-SUM($I$23:I450),IF(AND('депозитный калькулятор'!$G$10="ежемесячное, на минимальную сумму зафиксированную в течение месяца",F451='депозитный калькулятор'!$D$8,EOMONTH(F451,0)&lt;&gt;F451),IF('депозитный калькулятор'!$F$1=1,$H$24,IF(AND(OR('депозитный калькулятор'!$G$7="30/365",'депозитный калькулятор'!$G$7="30/360"),DAY(F451)=31),0,MIN(OFFSET(H451,-E451+1,0):H451)*(E451+SUMIF(OFFSET(A451,-E451+1,0):A451,"=2",OFFSET(A451,-E451+1,0):A451)))),IF(AND('депозитный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калькулятор'!$G$7="30/360"),DAY(EOMONTH(F451,0))=31),EOMONTH(F451,0)-1=F451,EOMONTH(F451,0)=F451)),IF(IF(AND(OR('депозитный калькулятор'!$G$7="30/365",'депозитный калькулятор'!$G$7="30/360"),DAY(EOMONTH($F$23,0))=31),F451=EOMONTH($F$23,0)-1,F451=EOMONTH($F$23,0)),MIN(OFFSET(H451,-(DAY(F451)-DAY($F$23)),0):H451)*E451,MIN(OFFSET(H451,-(DAY(F451)-1),0):H451)*IF(AND(OR('депозитный калькулятор'!$G$7="30/365",'депозитный калькулятор'!$G$7="30/360"),DAY(F451)&lt;30),30,DAY(F451))),IF(AND('депозитный калькулятор'!$G$10="ежемесячное, на средний остаток в течение месяца, при условии что остаток больше чем ограничение",F451='депозитный калькулятор'!$D$8,EOMONTH(F451,0)&lt;&gt;F451),IF('депозитный калькулятор'!$F$1=1,$H$24,SUM(OFFSET(Q451,-E451+1,0):Q451)),IF(AND('депозитный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калькулятор'!$G$7="30/360"),DAY(EOMONTH(F451,0))=31),EOMONTH(F451,0)-1=F451,EOMONTH(F451,0)=F451)),IF(IF(AND(OR('депозитный калькулятор'!$G$7="30/365",'депозитный калькулятор'!$G$7="30/360"),DAY(EOMONTH($F$24,0))=31),F451=EOMONTH($F$24,0)-1,F451=EOMONTH($F$24,0)),SUM(OFFSET(Q451,-E451+1,0):Q451),SUM(OFFSET(Q451,-E451+1,0):Q451)),IF('депозитный калькулятор'!$G$10="ежеквартальное",IF(F451&gt;'депозитный калькулятор'!$D$8," ",IF(AND(EOMONTH(F451,0)=F451,OR(MONTH(F451)=3,MONTH(F451)=6,MONTH(F451)=9,MONTH(F451)=12)),IF(EDATE(F451,-3)&lt;'депозитный калькулятор'!$D$7,SUM($H$23:H451),IF(MOD(YEAR(F451),4)=0,IF(AND(EOMONTH(F451,0)=F451,OR(MONTH(F451)=3,MONTH(F451)=6)),SUM(OFFSET(H451,-90,0):H451),IF(AND(EOMONTH(F451,0)=F451,OR(MONTH(F451)=9,MONTH(F451)=12)),SUM(OFFSET(H451,-91,0):H451))),IF(AND(EOMONTH(F451,0)=F451,MONTH(F451)=3),SUM(OFFSET(H451,-89,0):H451),IF(AND(EOMONTH(F451,0)=F451,MONTH(F451)=6),SUM(OFFSET(H451,-90,0):H451),IF(AND(EOMONTH(F451,0)=F451,OR(MONTH(F451)=9,MONTH(F451)=12)),SUM(OFFSET(H451,-91,0):H451)))))),IF(F451='депозитный калькулятор'!$D$8,SUM($H$23:H451)-SUM($I$23:I450),0))),IF('депозитный калькулятор'!$G$10="ежегодное",IF(F451&gt;'депозитный калькулятор'!$D$8," ",IF(F451='депозитный калькулятор'!$D$8,SUM($H$23:H451)-SUM($I$23:I450),IF(AND(EOMONTH(F451,0)=F451,MONTH(F451)=12),IF(MOD(YEAR(F450),4)=0,IF(F451-'депозитный калькулятор'!$D$7&lt;366,SUM($H$23:H451),SUM(OFFSET(H451,-365,0):H451)),IF(F451-'депозитный калькулятор'!$D$7&lt;365,SUM($H$23:H451),SUM(OFFSET(H451,-364,0):H451))),0))),IF(AND('депозитный калькулятор'!$G$10="в конце срока",'депозитный калькулятор'!$D$8=F451),SUM($H$23:H451),0))))))))))))))))))</f>
        <v xml:space="preserve"> </v>
      </c>
      <c r="J451" s="59" t="str">
        <f>IF(F451&gt;'депозитный калькулятор'!$D$8," ",IF('депозитный калькулятор'!$G$16="нет",0,IF(AND('депозитный калькулятор'!$G$17="разовая (в конце срока)",F451='депозитный калькулятор'!$D$8),'депозитный калькулятор'!$G$18,IF(AND('депозитный калькулятор'!$G$17="ежемесячная",EOMONTH(F450,0)=F450),'депозитный калькулятор'!$G$18,IF(AND('депозитный калькулятор'!$G$17="ежегодная",DAY(F450)=31,MONTH(F450)=12),'депозитный калькулятор'!$G$18,IF(AND('депозитный калькулятор'!$G$17="ежемесячная в зависимости от остатка",EOMONTH(F450,0)=F450,P450&gt;0),'депозитный калькулятор'!$G$18,IF(AND('депозитный калькулятор'!$G$17="ежегодная в зависимости от остатка",DAY(F450)=31,MONTH(F450)=12,P450&gt;0),'депозитный калькулятор'!$G$18,0)))))))</f>
        <v xml:space="preserve"> </v>
      </c>
      <c r="K451" s="135" t="str">
        <f>IF($F451=" "," ",IFERROR(VLOOKUP($F451,'депозитный калькулятор'!$B$26:$F$70,2,0),0))</f>
        <v xml:space="preserve"> </v>
      </c>
      <c r="L451" s="135" t="str">
        <f>IF($F451=" "," ",IFERROR(VLOOKUP($F451,'депозитный калькулятор'!$B$26:$F$70,3,0),0))</f>
        <v xml:space="preserve"> </v>
      </c>
      <c r="M451" s="135" t="str">
        <f>IF($F451=" "," ",IFERROR(VLOOKUP($F451,'депозитный калькулятор'!$B$26:$F$70,4,0),0))</f>
        <v xml:space="preserve"> </v>
      </c>
      <c r="N451" s="135" t="str">
        <f>IF($F451=" "," ",IFERROR(VLOOKUP($F451,'депозитный калькулятор'!$B$26:$F$70,5,0),0))</f>
        <v xml:space="preserve"> </v>
      </c>
      <c r="O451" s="146" t="str">
        <f>IF(F451&gt;'депозитный калькулятор'!$D$8," ",IF(F451='депозитный калькулятор'!$D$8,IF(AND($F$24='депозитный калькулятор'!$D$8,'депозитный калькулятор'!$G$13="нет"),-G451-IF(I451=" ",0,I451)-IF(AND(OR('депозитный калькулятор'!$G$7="30/365",'депозитный калькулятор'!$G$7="30/360"),'депозитный калькулятор'!$G$10="в начале срока"),I450,0)-L451+M451-N451,-G451-IF(I451=" ",0,I451)-L451+M451-N451),IF('депозитный калькулятор'!$G$13="есть",M451-N451+IF('депозитный калькулятор'!$G$14="есть",0,-L451),-IF(I451=" ",0,I451)-IF(AND(OR('депозитный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срока"),I450,0)+M451-N451+IF('депозитный калькулятор'!$G$14="есть",0,-L451))))</f>
        <v xml:space="preserve"> </v>
      </c>
      <c r="P451" s="147" t="str">
        <f>IF(F451&gt;'депозитный калькулятор'!$D$8," ",IF(EOMONTH(F450,0)=F450,0,IF(G451&gt;='депозитный калькулятор'!$G$19,P450,P450+1)))</f>
        <v xml:space="preserve"> </v>
      </c>
      <c r="Q451" s="138" t="str">
        <f>IF(F451=" "," ",IF(AND(OR('депозитный калькулятор'!$G$7="30/365",'депозитный калькулятор'!$G$7="30/360"),AND(MONTH(F451)=2,EOMONTH(F451,0)=F451)),IF(DAY(F451)=28,3,2),1)*IF(G451&gt;='депозитный калькулятор'!$G$11,IF(AND('депозитный калькулятор'!$G$7="факт/факт",MOD(YEAR(F451),4)=0),G451*'депозитный калькулятор'!$D$11/366,G451*'депозитный калькулятор'!$G$8),0))</f>
        <v xml:space="preserve"> </v>
      </c>
      <c r="R451" s="158"/>
      <c r="S451" s="62" t="str">
        <f t="shared" ca="1" si="32"/>
        <v xml:space="preserve"> </v>
      </c>
      <c r="T451" s="149" t="str">
        <f ca="1">IF(S451=" "," ",IF('депозитный калькулятор'!$G$7="30/360",DAYS360(U450,IF(DAY(U451)=31,U451-1,U451))+IF(AND(MONTH(U451)=2,U451=EOMONTH(U451,0)),30-DAY(EOMONTH(U451,0)))+T450,VLOOKUP(S451,$C$22:$F$1023,2,0)))</f>
        <v xml:space="preserve"> </v>
      </c>
      <c r="U451" s="64" t="str">
        <f t="shared" ca="1" si="30"/>
        <v xml:space="preserve"> </v>
      </c>
      <c r="V451" s="150" t="str">
        <f t="shared" ca="1" si="33"/>
        <v xml:space="preserve"> </v>
      </c>
      <c r="W451" s="62" t="str">
        <f t="shared" ca="1" si="34"/>
        <v xml:space="preserve"> </v>
      </c>
      <c r="X451" s="141" t="str">
        <f ca="1">IF(S451=" "," ",IFERROR(VLOOKUP(U451,$F$23:$N$1023,7)+VLOOKUP(U451,$F$23:$N$1023,9)+IF(AND('депозитный калькулятор'!$G$13="нет",U451&lt;&gt;'депозитный калькулятор'!$D$8),VLOOKUP(U451,$F$23:$N$1023,4),0),0)+IF(U451='депозитный калькулятор'!$D$8,VLOOKUP(U451,$F$23:$N$1023,2)+VLOOKUP(U451,$F$23:$N$1023,4),0))</f>
        <v xml:space="preserve"> </v>
      </c>
      <c r="Y451" s="142" t="str">
        <f ca="1">IF(S451=" "," ",W451/(1+'депозитный калькулятор'!$K$8)^(T451/IF('депозитный калькулятор'!$G$7="30/360",360,365)))</f>
        <v xml:space="preserve"> </v>
      </c>
      <c r="Z451" s="142" t="str">
        <f ca="1">IF(S451=" "," ",X451/(1+'депозитный калькулятор'!$K$8)^(T451/IF('депозитный калькулятор'!$G$7="30/360",360,365)))</f>
        <v xml:space="preserve"> </v>
      </c>
      <c r="AA451" s="151"/>
      <c r="AB451" s="151"/>
      <c r="AC451" s="155"/>
      <c r="AD451" s="155"/>
    </row>
    <row r="452" spans="1:30" s="2" customFormat="1" ht="15.5" x14ac:dyDescent="0.35">
      <c r="A452" s="41" t="str">
        <f>IF(F452=" "," ",IF(OR('депозитный калькулятор'!$G$7="30/365",'депозитный калькулятор'!$G$7="30/360"),IF(AND(MONTH(F452)=2,DAY(F452)=DAY(EOMONTH(F452,0))),30-DAY(EOMONTH(F452,0)),IF(DAY(F452)=31,1," "))," "))</f>
        <v xml:space="preserve"> </v>
      </c>
      <c r="B452" s="130" t="str">
        <f t="shared" si="31"/>
        <v xml:space="preserve"> </v>
      </c>
      <c r="C452" s="130" t="str">
        <f>IF(OR(B452=0,B452=" ")," ",SUM($B$23:B452))</f>
        <v xml:space="preserve"> </v>
      </c>
      <c r="D452" s="62" t="str">
        <f>IF(D451=" "," ",IF(OR(F451='депозитный калькулятор'!$D$8,F451=" ")," ",D451+1))</f>
        <v xml:space="preserve"> </v>
      </c>
      <c r="E452" s="130" t="str">
        <f>IF(OR(F451='депозитный калькулятор'!$D$8,F451=" ")," ",IF(EOMONTH(F451,0)=F451,1,E451+1))</f>
        <v xml:space="preserve"> </v>
      </c>
      <c r="F452" s="64" t="str">
        <f>IF(F451=" "," ",IF(F451='депозитный калькулятор'!$D$8," ",F451+1))</f>
        <v xml:space="preserve"> </v>
      </c>
      <c r="G452" s="145" t="str">
        <f xml:space="preserve"> IF(F452&gt;'депозитный калькулятор'!$D$8," ",IF('депозитный калькулятор'!$G$13="есть",IF('депозитный калькулятор'!$G$14="есть",G451+IF(I451=" ",0,I451)-J452-K452+L452+M452-N452,G451+IF(I451=" ",0,I451)-J452-K452+M452-N452),IF('депозитный калькулятор'!$G$14="есть",G451-J452-K452+L452+M452-N452,G451-J452-K452+M452-N452)))</f>
        <v xml:space="preserve"> </v>
      </c>
      <c r="H452" s="133" t="str">
        <f>IF(F452&gt;'депозитный калькулятор'!$D$8," ",IF(AND(OR('депозитный калькулятор'!$G$7="30/365",'депозитный калькулятор'!$G$7="30/360"),AND(MONTH(F452)=2,EOMONTH(F452,0)=F452)),IF(DAY(F452)=28,3*G452*'депозитный калькулятор'!$G$8,2*G452*'депозитный калькулятор'!$G$8),IF(AND(OR('депозитный калькулятор'!$G$7="30/365",'депозитный калькулятор'!$G$7="30/360"),DAY(F452)=31)," ",IF(AND('депозитный калькулятор'!$G$7="факт/факт",MOD(YEAR(F452),4)=0),G452*'депозитный калькулятор'!$D$11/366,G452*'депозитный калькулятор'!$G$8))))</f>
        <v xml:space="preserve"> </v>
      </c>
      <c r="I452" s="134" t="str">
        <f ca="1">IF(F452=" "," ",IF('депозитный калькулятор'!$G$10="ежедневное",H452,IF(AND('депозитный калькулятор'!$G$10="еженедельное",WEEKDAY(F452,2)=7),SUM(OFFSET(H452,-6,0):H452),IF(AND('депозитный калькулятор'!$G$10="еженедельное",F452='депозитный калькулятор'!$D$8),SUM($H$23:H452)-SUM($I$23:I451),IF(AND('депозитный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недели",WEEKDAY(F452,2)=7),MIN(OFFSET(H452,-6,0):H452)*(COUNTIF(OFFSET(H452,-6,0):H452,"&gt;0")+SUMIF(OFFSET(A452,-WEEKDAY(F452,2),0):A452,"=2",OFFSET(A452,-WEEKDAY(F452,2),0):A452)),IF(AND('депозитный калькулятор'!$G$10="еженедельное, на минимальную сумму зафиксированную в течение недели",F452='депозитный калькулятор'!$D$8,WEEKDAY(F452,2)&lt;&gt;7),MIN(OFFSET(H452,-WEEKDAY(F452,2),0):H452)*(COUNTIF(OFFSET(H452,-WEEKDAY(F452,2)+1,0):H452,"&gt;0")+SUM(OFFSET(A452,-WEEKDAY(F452,2),0):A452)),IF(AND('депозитный калькулятор'!$G$10="ежемесячное (в конце месяца)",F452='депозитный калькулятор'!$D$8,EOMONTH(F452,0)&lt;&gt;F452),IF('депозитный калькулятор'!$F$1=1,$H$24,SUM($H$23:H452)-SUM($I$23:I451)),IF(AND('депозитный калькулятор'!$G$10="ежемесячное (в конце месяца)",EOMONTH(F452,0)=F452),SUM($H$23:H452)-SUM($I$23:I451),IF(AND('депозитный калькулятор'!$G$10="ежемесячное (по дням открытия вклада)",F452='депозитный калькулятор'!$D$8,DAY('депозитный калькулятор'!$D$7)&lt;&gt;DAY(F452)),IF('депозитный калькулятор'!$F$1=1,$H$24,SUM($H$23:H452)-SUM($I$23:I451)),IF(AND('депозитный калькулятор'!$G$10="ежемесячное (по дням открытия вклада)",DAY('депозитный калькулятор'!$D$7)=DAY(F452)),SUM($H$23:H452)-SUM($I$23:I451),IF(AND('депозитный калькулятор'!$G$10="ежемесячное, на минимальную сумму зафиксированную в течение месяца",F452='депозитный калькулятор'!$D$8,EOMONTH(F452,0)&lt;&gt;F452),IF('депозитный калькулятор'!$F$1=1,$H$24,IF(AND(OR('депозитный калькулятор'!$G$7="30/365",'депозитный калькулятор'!$G$7="30/360"),DAY(F452)=31),0,MIN(OFFSET(H452,-E452+1,0):H452)*(E452+SUMIF(OFFSET(A452,-E452+1,0):A452,"=2",OFFSET(A452,-E452+1,0):A452)))),IF(AND('депозитный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калькулятор'!$G$7="30/360"),DAY(EOMONTH(F452,0))=31),EOMONTH(F452,0)-1=F452,EOMONTH(F452,0)=F452)),IF(IF(AND(OR('депозитный калькулятор'!$G$7="30/365",'депозитный калькулятор'!$G$7="30/360"),DAY(EOMONTH($F$23,0))=31),F452=EOMONTH($F$23,0)-1,F452=EOMONTH($F$23,0)),MIN(OFFSET(H452,-(DAY(F452)-DAY($F$23)),0):H452)*E452,MIN(OFFSET(H452,-(DAY(F452)-1),0):H452)*IF(AND(OR('депозитный калькулятор'!$G$7="30/365",'депозитный калькулятор'!$G$7="30/360"),DAY(F452)&lt;30),30,DAY(F452))),IF(AND('депозитный калькулятор'!$G$10="ежемесячное, на средний остаток в течение месяца, при условии что остаток больше чем ограничение",F452='депозитный калькулятор'!$D$8,EOMONTH(F452,0)&lt;&gt;F452),IF('депозитный калькулятор'!$F$1=1,$H$24,SUM(OFFSET(Q452,-E452+1,0):Q452)),IF(AND('депозитный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калькулятор'!$G$7="30/360"),DAY(EOMONTH(F452,0))=31),EOMONTH(F452,0)-1=F452,EOMONTH(F452,0)=F452)),IF(IF(AND(OR('депозитный калькулятор'!$G$7="30/365",'депозитный калькулятор'!$G$7="30/360"),DAY(EOMONTH($F$24,0))=31),F452=EOMONTH($F$24,0)-1,F452=EOMONTH($F$24,0)),SUM(OFFSET(Q452,-E452+1,0):Q452),SUM(OFFSET(Q452,-E452+1,0):Q452)),IF('депозитный калькулятор'!$G$10="ежеквартальное",IF(F452&gt;'депозитный калькулятор'!$D$8," ",IF(AND(EOMONTH(F452,0)=F452,OR(MONTH(F452)=3,MONTH(F452)=6,MONTH(F452)=9,MONTH(F452)=12)),IF(EDATE(F452,-3)&lt;'депозитный калькулятор'!$D$7,SUM($H$23:H452),IF(MOD(YEAR(F452),4)=0,IF(AND(EOMONTH(F452,0)=F452,OR(MONTH(F452)=3,MONTH(F452)=6)),SUM(OFFSET(H452,-90,0):H452),IF(AND(EOMONTH(F452,0)=F452,OR(MONTH(F452)=9,MONTH(F452)=12)),SUM(OFFSET(H452,-91,0):H452))),IF(AND(EOMONTH(F452,0)=F452,MONTH(F452)=3),SUM(OFFSET(H452,-89,0):H452),IF(AND(EOMONTH(F452,0)=F452,MONTH(F452)=6),SUM(OFFSET(H452,-90,0):H452),IF(AND(EOMONTH(F452,0)=F452,OR(MONTH(F452)=9,MONTH(F452)=12)),SUM(OFFSET(H452,-91,0):H452)))))),IF(F452='депозитный калькулятор'!$D$8,SUM($H$23:H452)-SUM($I$23:I451),0))),IF('депозитный калькулятор'!$G$10="ежегодное",IF(F452&gt;'депозитный калькулятор'!$D$8," ",IF(F452='депозитный калькулятор'!$D$8,SUM($H$23:H452)-SUM($I$23:I451),IF(AND(EOMONTH(F452,0)=F452,MONTH(F452)=12),IF(MOD(YEAR(F451),4)=0,IF(F452-'депозитный калькулятор'!$D$7&lt;366,SUM($H$23:H452),SUM(OFFSET(H452,-365,0):H452)),IF(F452-'депозитный калькулятор'!$D$7&lt;365,SUM($H$23:H452),SUM(OFFSET(H452,-364,0):H452))),0))),IF(AND('депозитный калькулятор'!$G$10="в конце срока",'депозитный калькулятор'!$D$8=F452),SUM($H$23:H452),0))))))))))))))))))</f>
        <v xml:space="preserve"> </v>
      </c>
      <c r="J452" s="59" t="str">
        <f>IF(F452&gt;'депозитный калькулятор'!$D$8," ",IF('депозитный калькулятор'!$G$16="нет",0,IF(AND('депозитный калькулятор'!$G$17="разовая (в конце срока)",F452='депозитный калькулятор'!$D$8),'депозитный калькулятор'!$G$18,IF(AND('депозитный калькулятор'!$G$17="ежемесячная",EOMONTH(F451,0)=F451),'депозитный калькулятор'!$G$18,IF(AND('депозитный калькулятор'!$G$17="ежегодная",DAY(F451)=31,MONTH(F451)=12),'депозитный калькулятор'!$G$18,IF(AND('депозитный калькулятор'!$G$17="ежемесячная в зависимости от остатка",EOMONTH(F451,0)=F451,P451&gt;0),'депозитный калькулятор'!$G$18,IF(AND('депозитный калькулятор'!$G$17="ежегодная в зависимости от остатка",DAY(F451)=31,MONTH(F451)=12,P451&gt;0),'депозитный калькулятор'!$G$18,0)))))))</f>
        <v xml:space="preserve"> </v>
      </c>
      <c r="K452" s="135" t="str">
        <f>IF($F452=" "," ",IFERROR(VLOOKUP($F452,'депозитный калькулятор'!$B$26:$F$70,2,0),0))</f>
        <v xml:space="preserve"> </v>
      </c>
      <c r="L452" s="135" t="str">
        <f>IF($F452=" "," ",IFERROR(VLOOKUP($F452,'депозитный калькулятор'!$B$26:$F$70,3,0),0))</f>
        <v xml:space="preserve"> </v>
      </c>
      <c r="M452" s="135" t="str">
        <f>IF($F452=" "," ",IFERROR(VLOOKUP($F452,'депозитный калькулятор'!$B$26:$F$70,4,0),0))</f>
        <v xml:space="preserve"> </v>
      </c>
      <c r="N452" s="135" t="str">
        <f>IF($F452=" "," ",IFERROR(VLOOKUP($F452,'депозитный калькулятор'!$B$26:$F$70,5,0),0))</f>
        <v xml:space="preserve"> </v>
      </c>
      <c r="O452" s="146" t="str">
        <f>IF(F452&gt;'депозитный калькулятор'!$D$8," ",IF(F452='депозитный калькулятор'!$D$8,IF(AND($F$24='депозитный калькулятор'!$D$8,'депозитный калькулятор'!$G$13="нет"),-G452-IF(I452=" ",0,I452)-IF(AND(OR('депозитный калькулятор'!$G$7="30/365",'депозитный калькулятор'!$G$7="30/360"),'депозитный калькулятор'!$G$10="в начале срока"),I451,0)-L452+M452-N452,-G452-IF(I452=" ",0,I452)-L452+M452-N452),IF('депозитный калькулятор'!$G$13="есть",M452-N452+IF('депозитный калькулятор'!$G$14="есть",0,-L452),-IF(I452=" ",0,I452)-IF(AND(OR('депозитный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срока"),I451,0)+M452-N452+IF('депозитный калькулятор'!$G$14="есть",0,-L452))))</f>
        <v xml:space="preserve"> </v>
      </c>
      <c r="P452" s="147" t="str">
        <f>IF(F452&gt;'депозитный калькулятор'!$D$8," ",IF(EOMONTH(F451,0)=F451,0,IF(G452&gt;='депозитный калькулятор'!$G$19,P451,P451+1)))</f>
        <v xml:space="preserve"> </v>
      </c>
      <c r="Q452" s="138" t="str">
        <f>IF(F452=" "," ",IF(AND(OR('депозитный калькулятор'!$G$7="30/365",'депозитный калькулятор'!$G$7="30/360"),AND(MONTH(F452)=2,EOMONTH(F452,0)=F452)),IF(DAY(F452)=28,3,2),1)*IF(G452&gt;='депозитный калькулятор'!$G$11,IF(AND('депозитный калькулятор'!$G$7="факт/факт",MOD(YEAR(F452),4)=0),G452*'депозитный калькулятор'!$D$11/366,G452*'депозитный калькулятор'!$G$8),0))</f>
        <v xml:space="preserve"> </v>
      </c>
      <c r="R452" s="158"/>
      <c r="S452" s="62" t="str">
        <f t="shared" ca="1" si="32"/>
        <v xml:space="preserve"> </v>
      </c>
      <c r="T452" s="149" t="str">
        <f ca="1">IF(S452=" "," ",IF('депозитный калькулятор'!$G$7="30/360",DAYS360(U451,IF(DAY(U452)=31,U452-1,U452))+IF(AND(MONTH(U452)=2,U452=EOMONTH(U452,0)),30-DAY(EOMONTH(U452,0)))+T451,VLOOKUP(S452,$C$22:$F$1023,2,0)))</f>
        <v xml:space="preserve"> </v>
      </c>
      <c r="U452" s="64" t="str">
        <f t="shared" ca="1" si="30"/>
        <v xml:space="preserve"> </v>
      </c>
      <c r="V452" s="150" t="str">
        <f t="shared" ca="1" si="33"/>
        <v xml:space="preserve"> </v>
      </c>
      <c r="W452" s="62" t="str">
        <f t="shared" ca="1" si="34"/>
        <v xml:space="preserve"> </v>
      </c>
      <c r="X452" s="141" t="str">
        <f ca="1">IF(S452=" "," ",IFERROR(VLOOKUP(U452,$F$23:$N$1023,7)+VLOOKUP(U452,$F$23:$N$1023,9)+IF(AND('депозитный калькулятор'!$G$13="нет",U452&lt;&gt;'депозитный калькулятор'!$D$8),VLOOKUP(U452,$F$23:$N$1023,4),0),0)+IF(U452='депозитный калькулятор'!$D$8,VLOOKUP(U452,$F$23:$N$1023,2)+VLOOKUP(U452,$F$23:$N$1023,4),0))</f>
        <v xml:space="preserve"> </v>
      </c>
      <c r="Y452" s="142" t="str">
        <f ca="1">IF(S452=" "," ",W452/(1+'депозитный калькулятор'!$K$8)^(T452/IF('депозитный калькулятор'!$G$7="30/360",360,365)))</f>
        <v xml:space="preserve"> </v>
      </c>
      <c r="Z452" s="142" t="str">
        <f ca="1">IF(S452=" "," ",X452/(1+'депозитный калькулятор'!$K$8)^(T452/IF('депозитный калькулятор'!$G$7="30/360",360,365)))</f>
        <v xml:space="preserve"> </v>
      </c>
      <c r="AA452" s="151"/>
      <c r="AB452" s="151"/>
      <c r="AC452" s="155"/>
      <c r="AD452" s="155"/>
    </row>
    <row r="453" spans="1:30" s="2" customFormat="1" ht="15.5" x14ac:dyDescent="0.35">
      <c r="A453" s="41" t="str">
        <f>IF(F453=" "," ",IF(OR('депозитный калькулятор'!$G$7="30/365",'депозитный калькулятор'!$G$7="30/360"),IF(AND(MONTH(F453)=2,DAY(F453)=DAY(EOMONTH(F453,0))),30-DAY(EOMONTH(F453,0)),IF(DAY(F453)=31,1," "))," "))</f>
        <v xml:space="preserve"> </v>
      </c>
      <c r="B453" s="130" t="str">
        <f t="shared" si="31"/>
        <v xml:space="preserve"> </v>
      </c>
      <c r="C453" s="130" t="str">
        <f>IF(OR(B453=0,B453=" ")," ",SUM($B$23:B453))</f>
        <v xml:space="preserve"> </v>
      </c>
      <c r="D453" s="62" t="str">
        <f>IF(D452=" "," ",IF(OR(F452='депозитный калькулятор'!$D$8,F452=" ")," ",D452+1))</f>
        <v xml:space="preserve"> </v>
      </c>
      <c r="E453" s="130" t="str">
        <f>IF(OR(F452='депозитный калькулятор'!$D$8,F452=" ")," ",IF(EOMONTH(F452,0)=F452,1,E452+1))</f>
        <v xml:space="preserve"> </v>
      </c>
      <c r="F453" s="64" t="str">
        <f>IF(F452=" "," ",IF(F452='депозитный калькулятор'!$D$8," ",F452+1))</f>
        <v xml:space="preserve"> </v>
      </c>
      <c r="G453" s="145" t="str">
        <f xml:space="preserve"> IF(F453&gt;'депозитный калькулятор'!$D$8," ",IF('депозитный калькулятор'!$G$13="есть",IF('депозитный калькулятор'!$G$14="есть",G452+IF(I452=" ",0,I452)-J453-K453+L453+M453-N453,G452+IF(I452=" ",0,I452)-J453-K453+M453-N453),IF('депозитный калькулятор'!$G$14="есть",G452-J453-K453+L453+M453-N453,G452-J453-K453+M453-N453)))</f>
        <v xml:space="preserve"> </v>
      </c>
      <c r="H453" s="133" t="str">
        <f>IF(F453&gt;'депозитный калькулятор'!$D$8," ",IF(AND(OR('депозитный калькулятор'!$G$7="30/365",'депозитный калькулятор'!$G$7="30/360"),AND(MONTH(F453)=2,EOMONTH(F453,0)=F453)),IF(DAY(F453)=28,3*G453*'депозитный калькулятор'!$G$8,2*G453*'депозитный калькулятор'!$G$8),IF(AND(OR('депозитный калькулятор'!$G$7="30/365",'депозитный калькулятор'!$G$7="30/360"),DAY(F453)=31)," ",IF(AND('депозитный калькулятор'!$G$7="факт/факт",MOD(YEAR(F453),4)=0),G453*'депозитный калькулятор'!$D$11/366,G453*'депозитный калькулятор'!$G$8))))</f>
        <v xml:space="preserve"> </v>
      </c>
      <c r="I453" s="134" t="str">
        <f ca="1">IF(F453=" "," ",IF('депозитный калькулятор'!$G$10="ежедневное",H453,IF(AND('депозитный калькулятор'!$G$10="еженедельное",WEEKDAY(F453,2)=7),SUM(OFFSET(H453,-6,0):H453),IF(AND('депозитный калькулятор'!$G$10="еженедельное",F453='депозитный калькулятор'!$D$8),SUM($H$23:H453)-SUM($I$23:I452),IF(AND('депозитный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недели",WEEKDAY(F453,2)=7),MIN(OFFSET(H453,-6,0):H453)*(COUNTIF(OFFSET(H453,-6,0):H453,"&gt;0")+SUMIF(OFFSET(A453,-WEEKDAY(F453,2),0):A453,"=2",OFFSET(A453,-WEEKDAY(F453,2),0):A453)),IF(AND('депозитный калькулятор'!$G$10="еженедельное, на минимальную сумму зафиксированную в течение недели",F453='депозитный калькулятор'!$D$8,WEEKDAY(F453,2)&lt;&gt;7),MIN(OFFSET(H453,-WEEKDAY(F453,2),0):H453)*(COUNTIF(OFFSET(H453,-WEEKDAY(F453,2)+1,0):H453,"&gt;0")+SUM(OFFSET(A453,-WEEKDAY(F453,2),0):A453)),IF(AND('депозитный калькулятор'!$G$10="ежемесячное (в конце месяца)",F453='депозитный калькулятор'!$D$8,EOMONTH(F453,0)&lt;&gt;F453),IF('депозитный калькулятор'!$F$1=1,$H$24,SUM($H$23:H453)-SUM($I$23:I452)),IF(AND('депозитный калькулятор'!$G$10="ежемесячное (в конце месяца)",EOMONTH(F453,0)=F453),SUM($H$23:H453)-SUM($I$23:I452),IF(AND('депозитный калькулятор'!$G$10="ежемесячное (по дням открытия вклада)",F453='депозитный калькулятор'!$D$8,DAY('депозитный калькулятор'!$D$7)&lt;&gt;DAY(F453)),IF('депозитный калькулятор'!$F$1=1,$H$24,SUM($H$23:H453)-SUM($I$23:I452)),IF(AND('депозитный калькулятор'!$G$10="ежемесячное (по дням открытия вклада)",DAY('депозитный калькулятор'!$D$7)=DAY(F453)),SUM($H$23:H453)-SUM($I$23:I452),IF(AND('депозитный калькулятор'!$G$10="ежемесячное, на минимальную сумму зафиксированную в течение месяца",F453='депозитный калькулятор'!$D$8,EOMONTH(F453,0)&lt;&gt;F453),IF('депозитный калькулятор'!$F$1=1,$H$24,IF(AND(OR('депозитный калькулятор'!$G$7="30/365",'депозитный калькулятор'!$G$7="30/360"),DAY(F453)=31),0,MIN(OFFSET(H453,-E453+1,0):H453)*(E453+SUMIF(OFFSET(A453,-E453+1,0):A453,"=2",OFFSET(A453,-E453+1,0):A453)))),IF(AND('депозитный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калькулятор'!$G$7="30/360"),DAY(EOMONTH(F453,0))=31),EOMONTH(F453,0)-1=F453,EOMONTH(F453,0)=F453)),IF(IF(AND(OR('депозитный калькулятор'!$G$7="30/365",'депозитный калькулятор'!$G$7="30/360"),DAY(EOMONTH($F$23,0))=31),F453=EOMONTH($F$23,0)-1,F453=EOMONTH($F$23,0)),MIN(OFFSET(H453,-(DAY(F453)-DAY($F$23)),0):H453)*E453,MIN(OFFSET(H453,-(DAY(F453)-1),0):H453)*IF(AND(OR('депозитный калькулятор'!$G$7="30/365",'депозитный калькулятор'!$G$7="30/360"),DAY(F453)&lt;30),30,DAY(F453))),IF(AND('депозитный калькулятор'!$G$10="ежемесячное, на средний остаток в течение месяца, при условии что остаток больше чем ограничение",F453='депозитный калькулятор'!$D$8,EOMONTH(F453,0)&lt;&gt;F453),IF('депозитный калькулятор'!$F$1=1,$H$24,SUM(OFFSET(Q453,-E453+1,0):Q453)),IF(AND('депозитный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калькулятор'!$G$7="30/360"),DAY(EOMONTH(F453,0))=31),EOMONTH(F453,0)-1=F453,EOMONTH(F453,0)=F453)),IF(IF(AND(OR('депозитный калькулятор'!$G$7="30/365",'депозитный калькулятор'!$G$7="30/360"),DAY(EOMONTH($F$24,0))=31),F453=EOMONTH($F$24,0)-1,F453=EOMONTH($F$24,0)),SUM(OFFSET(Q453,-E453+1,0):Q453),SUM(OFFSET(Q453,-E453+1,0):Q453)),IF('депозитный калькулятор'!$G$10="ежеквартальное",IF(F453&gt;'депозитный калькулятор'!$D$8," ",IF(AND(EOMONTH(F453,0)=F453,OR(MONTH(F453)=3,MONTH(F453)=6,MONTH(F453)=9,MONTH(F453)=12)),IF(EDATE(F453,-3)&lt;'депозитный калькулятор'!$D$7,SUM($H$23:H453),IF(MOD(YEAR(F453),4)=0,IF(AND(EOMONTH(F453,0)=F453,OR(MONTH(F453)=3,MONTH(F453)=6)),SUM(OFFSET(H453,-90,0):H453),IF(AND(EOMONTH(F453,0)=F453,OR(MONTH(F453)=9,MONTH(F453)=12)),SUM(OFFSET(H453,-91,0):H453))),IF(AND(EOMONTH(F453,0)=F453,MONTH(F453)=3),SUM(OFFSET(H453,-89,0):H453),IF(AND(EOMONTH(F453,0)=F453,MONTH(F453)=6),SUM(OFFSET(H453,-90,0):H453),IF(AND(EOMONTH(F453,0)=F453,OR(MONTH(F453)=9,MONTH(F453)=12)),SUM(OFFSET(H453,-91,0):H453)))))),IF(F453='депозитный калькулятор'!$D$8,SUM($H$23:H453)-SUM($I$23:I452),0))),IF('депозитный калькулятор'!$G$10="ежегодное",IF(F453&gt;'депозитный калькулятор'!$D$8," ",IF(F453='депозитный калькулятор'!$D$8,SUM($H$23:H453)-SUM($I$23:I452),IF(AND(EOMONTH(F453,0)=F453,MONTH(F453)=12),IF(MOD(YEAR(F452),4)=0,IF(F453-'депозитный калькулятор'!$D$7&lt;366,SUM($H$23:H453),SUM(OFFSET(H453,-365,0):H453)),IF(F453-'депозитный калькулятор'!$D$7&lt;365,SUM($H$23:H453),SUM(OFFSET(H453,-364,0):H453))),0))),IF(AND('депозитный калькулятор'!$G$10="в конце срока",'депозитный калькулятор'!$D$8=F453),SUM($H$23:H453),0))))))))))))))))))</f>
        <v xml:space="preserve"> </v>
      </c>
      <c r="J453" s="59" t="str">
        <f>IF(F453&gt;'депозитный калькулятор'!$D$8," ",IF('депозитный калькулятор'!$G$16="нет",0,IF(AND('депозитный калькулятор'!$G$17="разовая (в конце срока)",F453='депозитный калькулятор'!$D$8),'депозитный калькулятор'!$G$18,IF(AND('депозитный калькулятор'!$G$17="ежемесячная",EOMONTH(F452,0)=F452),'депозитный калькулятор'!$G$18,IF(AND('депозитный калькулятор'!$G$17="ежегодная",DAY(F452)=31,MONTH(F452)=12),'депозитный калькулятор'!$G$18,IF(AND('депозитный калькулятор'!$G$17="ежемесячная в зависимости от остатка",EOMONTH(F452,0)=F452,P452&gt;0),'депозитный калькулятор'!$G$18,IF(AND('депозитный калькулятор'!$G$17="ежегодная в зависимости от остатка",DAY(F452)=31,MONTH(F452)=12,P452&gt;0),'депозитный калькулятор'!$G$18,0)))))))</f>
        <v xml:space="preserve"> </v>
      </c>
      <c r="K453" s="135" t="str">
        <f>IF($F453=" "," ",IFERROR(VLOOKUP($F453,'депозитный калькулятор'!$B$26:$F$70,2,0),0))</f>
        <v xml:space="preserve"> </v>
      </c>
      <c r="L453" s="135" t="str">
        <f>IF($F453=" "," ",IFERROR(VLOOKUP($F453,'депозитный калькулятор'!$B$26:$F$70,3,0),0))</f>
        <v xml:space="preserve"> </v>
      </c>
      <c r="M453" s="135" t="str">
        <f>IF($F453=" "," ",IFERROR(VLOOKUP($F453,'депозитный калькулятор'!$B$26:$F$70,4,0),0))</f>
        <v xml:space="preserve"> </v>
      </c>
      <c r="N453" s="135" t="str">
        <f>IF($F453=" "," ",IFERROR(VLOOKUP($F453,'депозитный калькулятор'!$B$26:$F$70,5,0),0))</f>
        <v xml:space="preserve"> </v>
      </c>
      <c r="O453" s="146" t="str">
        <f>IF(F453&gt;'депозитный калькулятор'!$D$8," ",IF(F453='депозитный калькулятор'!$D$8,IF(AND($F$24='депозитный калькулятор'!$D$8,'депозитный калькулятор'!$G$13="нет"),-G453-IF(I453=" ",0,I453)-IF(AND(OR('депозитный калькулятор'!$G$7="30/365",'депозитный калькулятор'!$G$7="30/360"),'депозитный калькулятор'!$G$10="в начале срока"),I452,0)-L453+M453-N453,-G453-IF(I453=" ",0,I453)-L453+M453-N453),IF('депозитный калькулятор'!$G$13="есть",M453-N453+IF('депозитный калькулятор'!$G$14="есть",0,-L453),-IF(I453=" ",0,I453)-IF(AND(OR('депозитный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срока"),I452,0)+M453-N453+IF('депозитный калькулятор'!$G$14="есть",0,-L453))))</f>
        <v xml:space="preserve"> </v>
      </c>
      <c r="P453" s="147" t="str">
        <f>IF(F453&gt;'депозитный калькулятор'!$D$8," ",IF(EOMONTH(F452,0)=F452,0,IF(G453&gt;='депозитный калькулятор'!$G$19,P452,P452+1)))</f>
        <v xml:space="preserve"> </v>
      </c>
      <c r="Q453" s="138" t="str">
        <f>IF(F453=" "," ",IF(AND(OR('депозитный калькулятор'!$G$7="30/365",'депозитный калькулятор'!$G$7="30/360"),AND(MONTH(F453)=2,EOMONTH(F453,0)=F453)),IF(DAY(F453)=28,3,2),1)*IF(G453&gt;='депозитный калькулятор'!$G$11,IF(AND('депозитный калькулятор'!$G$7="факт/факт",MOD(YEAR(F453),4)=0),G453*'депозитный калькулятор'!$D$11/366,G453*'депозитный калькулятор'!$G$8),0))</f>
        <v xml:space="preserve"> </v>
      </c>
      <c r="R453" s="158"/>
      <c r="S453" s="62" t="str">
        <f t="shared" ca="1" si="32"/>
        <v xml:space="preserve"> </v>
      </c>
      <c r="T453" s="149" t="str">
        <f ca="1">IF(S453=" "," ",IF('депозитный калькулятор'!$G$7="30/360",DAYS360(U452,IF(DAY(U453)=31,U453-1,U453))+IF(AND(MONTH(U453)=2,U453=EOMONTH(U453,0)),30-DAY(EOMONTH(U453,0)))+T452,VLOOKUP(S453,$C$22:$F$1023,2,0)))</f>
        <v xml:space="preserve"> </v>
      </c>
      <c r="U453" s="64" t="str">
        <f t="shared" ca="1" si="30"/>
        <v xml:space="preserve"> </v>
      </c>
      <c r="V453" s="150" t="str">
        <f t="shared" ca="1" si="33"/>
        <v xml:space="preserve"> </v>
      </c>
      <c r="W453" s="62" t="str">
        <f t="shared" ca="1" si="34"/>
        <v xml:space="preserve"> </v>
      </c>
      <c r="X453" s="141" t="str">
        <f ca="1">IF(S453=" "," ",IFERROR(VLOOKUP(U453,$F$23:$N$1023,7)+VLOOKUP(U453,$F$23:$N$1023,9)+IF(AND('депозитный калькулятор'!$G$13="нет",U453&lt;&gt;'депозитный калькулятор'!$D$8),VLOOKUP(U453,$F$23:$N$1023,4),0),0)+IF(U453='депозитный калькулятор'!$D$8,VLOOKUP(U453,$F$23:$N$1023,2)+VLOOKUP(U453,$F$23:$N$1023,4),0))</f>
        <v xml:space="preserve"> </v>
      </c>
      <c r="Y453" s="142" t="str">
        <f ca="1">IF(S453=" "," ",W453/(1+'депозитный калькулятор'!$K$8)^(T453/IF('депозитный калькулятор'!$G$7="30/360",360,365)))</f>
        <v xml:space="preserve"> </v>
      </c>
      <c r="Z453" s="142" t="str">
        <f ca="1">IF(S453=" "," ",X453/(1+'депозитный калькулятор'!$K$8)^(T453/IF('депозитный калькулятор'!$G$7="30/360",360,365)))</f>
        <v xml:space="preserve"> </v>
      </c>
      <c r="AA453" s="151"/>
      <c r="AB453" s="151"/>
      <c r="AC453" s="155"/>
      <c r="AD453" s="155"/>
    </row>
    <row r="454" spans="1:30" s="2" customFormat="1" ht="15.5" x14ac:dyDescent="0.35">
      <c r="A454" s="41" t="str">
        <f>IF(F454=" "," ",IF(OR('депозитный калькулятор'!$G$7="30/365",'депозитный калькулятор'!$G$7="30/360"),IF(AND(MONTH(F454)=2,DAY(F454)=DAY(EOMONTH(F454,0))),30-DAY(EOMONTH(F454,0)),IF(DAY(F454)=31,1," "))," "))</f>
        <v xml:space="preserve"> </v>
      </c>
      <c r="B454" s="130" t="str">
        <f t="shared" si="31"/>
        <v xml:space="preserve"> </v>
      </c>
      <c r="C454" s="130" t="str">
        <f>IF(OR(B454=0,B454=" ")," ",SUM($B$23:B454))</f>
        <v xml:space="preserve"> </v>
      </c>
      <c r="D454" s="62" t="str">
        <f>IF(D453=" "," ",IF(OR(F453='депозитный калькулятор'!$D$8,F453=" ")," ",D453+1))</f>
        <v xml:space="preserve"> </v>
      </c>
      <c r="E454" s="130" t="str">
        <f>IF(OR(F453='депозитный калькулятор'!$D$8,F453=" ")," ",IF(EOMONTH(F453,0)=F453,1,E453+1))</f>
        <v xml:space="preserve"> </v>
      </c>
      <c r="F454" s="64" t="str">
        <f>IF(F453=" "," ",IF(F453='депозитный калькулятор'!$D$8," ",F453+1))</f>
        <v xml:space="preserve"> </v>
      </c>
      <c r="G454" s="145" t="str">
        <f xml:space="preserve"> IF(F454&gt;'депозитный калькулятор'!$D$8," ",IF('депозитный калькулятор'!$G$13="есть",IF('депозитный калькулятор'!$G$14="есть",G453+IF(I453=" ",0,I453)-J454-K454+L454+M454-N454,G453+IF(I453=" ",0,I453)-J454-K454+M454-N454),IF('депозитный калькулятор'!$G$14="есть",G453-J454-K454+L454+M454-N454,G453-J454-K454+M454-N454)))</f>
        <v xml:space="preserve"> </v>
      </c>
      <c r="H454" s="133" t="str">
        <f>IF(F454&gt;'депозитный калькулятор'!$D$8," ",IF(AND(OR('депозитный калькулятор'!$G$7="30/365",'депозитный калькулятор'!$G$7="30/360"),AND(MONTH(F454)=2,EOMONTH(F454,0)=F454)),IF(DAY(F454)=28,3*G454*'депозитный калькулятор'!$G$8,2*G454*'депозитный калькулятор'!$G$8),IF(AND(OR('депозитный калькулятор'!$G$7="30/365",'депозитный калькулятор'!$G$7="30/360"),DAY(F454)=31)," ",IF(AND('депозитный калькулятор'!$G$7="факт/факт",MOD(YEAR(F454),4)=0),G454*'депозитный калькулятор'!$D$11/366,G454*'депозитный калькулятор'!$G$8))))</f>
        <v xml:space="preserve"> </v>
      </c>
      <c r="I454" s="134" t="str">
        <f ca="1">IF(F454=" "," ",IF('депозитный калькулятор'!$G$10="ежедневное",H454,IF(AND('депозитный калькулятор'!$G$10="еженедельное",WEEKDAY(F454,2)=7),SUM(OFFSET(H454,-6,0):H454),IF(AND('депозитный калькулятор'!$G$10="еженедельное",F454='депозитный калькулятор'!$D$8),SUM($H$23:H454)-SUM($I$23:I453),IF(AND('депозитный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недели",WEEKDAY(F454,2)=7),MIN(OFFSET(H454,-6,0):H454)*(COUNTIF(OFFSET(H454,-6,0):H454,"&gt;0")+SUMIF(OFFSET(A454,-WEEKDAY(F454,2),0):A454,"=2",OFFSET(A454,-WEEKDAY(F454,2),0):A454)),IF(AND('депозитный калькулятор'!$G$10="еженедельное, на минимальную сумму зафиксированную в течение недели",F454='депозитный калькулятор'!$D$8,WEEKDAY(F454,2)&lt;&gt;7),MIN(OFFSET(H454,-WEEKDAY(F454,2),0):H454)*(COUNTIF(OFFSET(H454,-WEEKDAY(F454,2)+1,0):H454,"&gt;0")+SUM(OFFSET(A454,-WEEKDAY(F454,2),0):A454)),IF(AND('депозитный калькулятор'!$G$10="ежемесячное (в конце месяца)",F454='депозитный калькулятор'!$D$8,EOMONTH(F454,0)&lt;&gt;F454),IF('депозитный калькулятор'!$F$1=1,$H$24,SUM($H$23:H454)-SUM($I$23:I453)),IF(AND('депозитный калькулятор'!$G$10="ежемесячное (в конце месяца)",EOMONTH(F454,0)=F454),SUM($H$23:H454)-SUM($I$23:I453),IF(AND('депозитный калькулятор'!$G$10="ежемесячное (по дням открытия вклада)",F454='депозитный калькулятор'!$D$8,DAY('депозитный калькулятор'!$D$7)&lt;&gt;DAY(F454)),IF('депозитный калькулятор'!$F$1=1,$H$24,SUM($H$23:H454)-SUM($I$23:I453)),IF(AND('депозитный калькулятор'!$G$10="ежемесячное (по дням открытия вклада)",DAY('депозитный калькулятор'!$D$7)=DAY(F454)),SUM($H$23:H454)-SUM($I$23:I453),IF(AND('депозитный калькулятор'!$G$10="ежемесячное, на минимальную сумму зафиксированную в течение месяца",F454='депозитный калькулятор'!$D$8,EOMONTH(F454,0)&lt;&gt;F454),IF('депозитный калькулятор'!$F$1=1,$H$24,IF(AND(OR('депозитный калькулятор'!$G$7="30/365",'депозитный калькулятор'!$G$7="30/360"),DAY(F454)=31),0,MIN(OFFSET(H454,-E454+1,0):H454)*(E454+SUMIF(OFFSET(A454,-E454+1,0):A454,"=2",OFFSET(A454,-E454+1,0):A454)))),IF(AND('депозитный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калькулятор'!$G$7="30/360"),DAY(EOMONTH(F454,0))=31),EOMONTH(F454,0)-1=F454,EOMONTH(F454,0)=F454)),IF(IF(AND(OR('депозитный калькулятор'!$G$7="30/365",'депозитный калькулятор'!$G$7="30/360"),DAY(EOMONTH($F$23,0))=31),F454=EOMONTH($F$23,0)-1,F454=EOMONTH($F$23,0)),MIN(OFFSET(H454,-(DAY(F454)-DAY($F$23)),0):H454)*E454,MIN(OFFSET(H454,-(DAY(F454)-1),0):H454)*IF(AND(OR('депозитный калькулятор'!$G$7="30/365",'депозитный калькулятор'!$G$7="30/360"),DAY(F454)&lt;30),30,DAY(F454))),IF(AND('депозитный калькулятор'!$G$10="ежемесячное, на средний остаток в течение месяца, при условии что остаток больше чем ограничение",F454='депозитный калькулятор'!$D$8,EOMONTH(F454,0)&lt;&gt;F454),IF('депозитный калькулятор'!$F$1=1,$H$24,SUM(OFFSET(Q454,-E454+1,0):Q454)),IF(AND('депозитный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калькулятор'!$G$7="30/360"),DAY(EOMONTH(F454,0))=31),EOMONTH(F454,0)-1=F454,EOMONTH(F454,0)=F454)),IF(IF(AND(OR('депозитный калькулятор'!$G$7="30/365",'депозитный калькулятор'!$G$7="30/360"),DAY(EOMONTH($F$24,0))=31),F454=EOMONTH($F$24,0)-1,F454=EOMONTH($F$24,0)),SUM(OFFSET(Q454,-E454+1,0):Q454),SUM(OFFSET(Q454,-E454+1,0):Q454)),IF('депозитный калькулятор'!$G$10="ежеквартальное",IF(F454&gt;'депозитный калькулятор'!$D$8," ",IF(AND(EOMONTH(F454,0)=F454,OR(MONTH(F454)=3,MONTH(F454)=6,MONTH(F454)=9,MONTH(F454)=12)),IF(EDATE(F454,-3)&lt;'депозитный калькулятор'!$D$7,SUM($H$23:H454),IF(MOD(YEAR(F454),4)=0,IF(AND(EOMONTH(F454,0)=F454,OR(MONTH(F454)=3,MONTH(F454)=6)),SUM(OFFSET(H454,-90,0):H454),IF(AND(EOMONTH(F454,0)=F454,OR(MONTH(F454)=9,MONTH(F454)=12)),SUM(OFFSET(H454,-91,0):H454))),IF(AND(EOMONTH(F454,0)=F454,MONTH(F454)=3),SUM(OFFSET(H454,-89,0):H454),IF(AND(EOMONTH(F454,0)=F454,MONTH(F454)=6),SUM(OFFSET(H454,-90,0):H454),IF(AND(EOMONTH(F454,0)=F454,OR(MONTH(F454)=9,MONTH(F454)=12)),SUM(OFFSET(H454,-91,0):H454)))))),IF(F454='депозитный калькулятор'!$D$8,SUM($H$23:H454)-SUM($I$23:I453),0))),IF('депозитный калькулятор'!$G$10="ежегодное",IF(F454&gt;'депозитный калькулятор'!$D$8," ",IF(F454='депозитный калькулятор'!$D$8,SUM($H$23:H454)-SUM($I$23:I453),IF(AND(EOMONTH(F454,0)=F454,MONTH(F454)=12),IF(MOD(YEAR(F453),4)=0,IF(F454-'депозитный калькулятор'!$D$7&lt;366,SUM($H$23:H454),SUM(OFFSET(H454,-365,0):H454)),IF(F454-'депозитный калькулятор'!$D$7&lt;365,SUM($H$23:H454),SUM(OFFSET(H454,-364,0):H454))),0))),IF(AND('депозитный калькулятор'!$G$10="в конце срока",'депозитный калькулятор'!$D$8=F454),SUM($H$23:H454),0))))))))))))))))))</f>
        <v xml:space="preserve"> </v>
      </c>
      <c r="J454" s="59" t="str">
        <f>IF(F454&gt;'депозитный калькулятор'!$D$8," ",IF('депозитный калькулятор'!$G$16="нет",0,IF(AND('депозитный калькулятор'!$G$17="разовая (в конце срока)",F454='депозитный калькулятор'!$D$8),'депозитный калькулятор'!$G$18,IF(AND('депозитный калькулятор'!$G$17="ежемесячная",EOMONTH(F453,0)=F453),'депозитный калькулятор'!$G$18,IF(AND('депозитный калькулятор'!$G$17="ежегодная",DAY(F453)=31,MONTH(F453)=12),'депозитный калькулятор'!$G$18,IF(AND('депозитный калькулятор'!$G$17="ежемесячная в зависимости от остатка",EOMONTH(F453,0)=F453,P453&gt;0),'депозитный калькулятор'!$G$18,IF(AND('депозитный калькулятор'!$G$17="ежегодная в зависимости от остатка",DAY(F453)=31,MONTH(F453)=12,P453&gt;0),'депозитный калькулятор'!$G$18,0)))))))</f>
        <v xml:space="preserve"> </v>
      </c>
      <c r="K454" s="135" t="str">
        <f>IF($F454=" "," ",IFERROR(VLOOKUP($F454,'депозитный калькулятор'!$B$26:$F$70,2,0),0))</f>
        <v xml:space="preserve"> </v>
      </c>
      <c r="L454" s="135" t="str">
        <f>IF($F454=" "," ",IFERROR(VLOOKUP($F454,'депозитный калькулятор'!$B$26:$F$70,3,0),0))</f>
        <v xml:space="preserve"> </v>
      </c>
      <c r="M454" s="135" t="str">
        <f>IF($F454=" "," ",IFERROR(VLOOKUP($F454,'депозитный калькулятор'!$B$26:$F$70,4,0),0))</f>
        <v xml:space="preserve"> </v>
      </c>
      <c r="N454" s="135" t="str">
        <f>IF($F454=" "," ",IFERROR(VLOOKUP($F454,'депозитный калькулятор'!$B$26:$F$70,5,0),0))</f>
        <v xml:space="preserve"> </v>
      </c>
      <c r="O454" s="146" t="str">
        <f>IF(F454&gt;'депозитный калькулятор'!$D$8," ",IF(F454='депозитный калькулятор'!$D$8,IF(AND($F$24='депозитный калькулятор'!$D$8,'депозитный калькулятор'!$G$13="нет"),-G454-IF(I454=" ",0,I454)-IF(AND(OR('депозитный калькулятор'!$G$7="30/365",'депозитный калькулятор'!$G$7="30/360"),'депозитный калькулятор'!$G$10="в начале срока"),I453,0)-L454+M454-N454,-G454-IF(I454=" ",0,I454)-L454+M454-N454),IF('депозитный калькулятор'!$G$13="есть",M454-N454+IF('депозитный калькулятор'!$G$14="есть",0,-L454),-IF(I454=" ",0,I454)-IF(AND(OR('депозитный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срока"),I453,0)+M454-N454+IF('депозитный калькулятор'!$G$14="есть",0,-L454))))</f>
        <v xml:space="preserve"> </v>
      </c>
      <c r="P454" s="147" t="str">
        <f>IF(F454&gt;'депозитный калькулятор'!$D$8," ",IF(EOMONTH(F453,0)=F453,0,IF(G454&gt;='депозитный калькулятор'!$G$19,P453,P453+1)))</f>
        <v xml:space="preserve"> </v>
      </c>
      <c r="Q454" s="138" t="str">
        <f>IF(F454=" "," ",IF(AND(OR('депозитный калькулятор'!$G$7="30/365",'депозитный калькулятор'!$G$7="30/360"),AND(MONTH(F454)=2,EOMONTH(F454,0)=F454)),IF(DAY(F454)=28,3,2),1)*IF(G454&gt;='депозитный калькулятор'!$G$11,IF(AND('депозитный калькулятор'!$G$7="факт/факт",MOD(YEAR(F454),4)=0),G454*'депозитный калькулятор'!$D$11/366,G454*'депозитный калькулятор'!$G$8),0))</f>
        <v xml:space="preserve"> </v>
      </c>
      <c r="R454" s="158"/>
      <c r="S454" s="62" t="str">
        <f t="shared" ca="1" si="32"/>
        <v xml:space="preserve"> </v>
      </c>
      <c r="T454" s="149" t="str">
        <f ca="1">IF(S454=" "," ",IF('депозитный калькулятор'!$G$7="30/360",DAYS360(U453,IF(DAY(U454)=31,U454-1,U454))+IF(AND(MONTH(U454)=2,U454=EOMONTH(U454,0)),30-DAY(EOMONTH(U454,0)))+T453,VLOOKUP(S454,$C$22:$F$1023,2,0)))</f>
        <v xml:space="preserve"> </v>
      </c>
      <c r="U454" s="64" t="str">
        <f t="shared" ca="1" si="30"/>
        <v xml:space="preserve"> </v>
      </c>
      <c r="V454" s="150" t="str">
        <f t="shared" ca="1" si="33"/>
        <v xml:space="preserve"> </v>
      </c>
      <c r="W454" s="62" t="str">
        <f t="shared" ca="1" si="34"/>
        <v xml:space="preserve"> </v>
      </c>
      <c r="X454" s="141" t="str">
        <f ca="1">IF(S454=" "," ",IFERROR(VLOOKUP(U454,$F$23:$N$1023,7)+VLOOKUP(U454,$F$23:$N$1023,9)+IF(AND('депозитный калькулятор'!$G$13="нет",U454&lt;&gt;'депозитный калькулятор'!$D$8),VLOOKUP(U454,$F$23:$N$1023,4),0),0)+IF(U454='депозитный калькулятор'!$D$8,VLOOKUP(U454,$F$23:$N$1023,2)+VLOOKUP(U454,$F$23:$N$1023,4),0))</f>
        <v xml:space="preserve"> </v>
      </c>
      <c r="Y454" s="142" t="str">
        <f ca="1">IF(S454=" "," ",W454/(1+'депозитный калькулятор'!$K$8)^(T454/IF('депозитный калькулятор'!$G$7="30/360",360,365)))</f>
        <v xml:space="preserve"> </v>
      </c>
      <c r="Z454" s="142" t="str">
        <f ca="1">IF(S454=" "," ",X454/(1+'депозитный калькулятор'!$K$8)^(T454/IF('депозитный калькулятор'!$G$7="30/360",360,365)))</f>
        <v xml:space="preserve"> </v>
      </c>
      <c r="AA454" s="151"/>
      <c r="AB454" s="151"/>
      <c r="AC454" s="155"/>
      <c r="AD454" s="155"/>
    </row>
    <row r="455" spans="1:30" s="2" customFormat="1" ht="15.5" x14ac:dyDescent="0.35">
      <c r="A455" s="41" t="str">
        <f>IF(F455=" "," ",IF(OR('депозитный калькулятор'!$G$7="30/365",'депозитный калькулятор'!$G$7="30/360"),IF(AND(MONTH(F455)=2,DAY(F455)=DAY(EOMONTH(F455,0))),30-DAY(EOMONTH(F455,0)),IF(DAY(F455)=31,1," "))," "))</f>
        <v xml:space="preserve"> </v>
      </c>
      <c r="B455" s="130" t="str">
        <f t="shared" si="31"/>
        <v xml:space="preserve"> </v>
      </c>
      <c r="C455" s="130" t="str">
        <f>IF(OR(B455=0,B455=" ")," ",SUM($B$23:B455))</f>
        <v xml:space="preserve"> </v>
      </c>
      <c r="D455" s="62" t="str">
        <f>IF(D454=" "," ",IF(OR(F454='депозитный калькулятор'!$D$8,F454=" ")," ",D454+1))</f>
        <v xml:space="preserve"> </v>
      </c>
      <c r="E455" s="130" t="str">
        <f>IF(OR(F454='депозитный калькулятор'!$D$8,F454=" ")," ",IF(EOMONTH(F454,0)=F454,1,E454+1))</f>
        <v xml:space="preserve"> </v>
      </c>
      <c r="F455" s="64" t="str">
        <f>IF(F454=" "," ",IF(F454='депозитный калькулятор'!$D$8," ",F454+1))</f>
        <v xml:space="preserve"> </v>
      </c>
      <c r="G455" s="145" t="str">
        <f xml:space="preserve"> IF(F455&gt;'депозитный калькулятор'!$D$8," ",IF('депозитный калькулятор'!$G$13="есть",IF('депозитный калькулятор'!$G$14="есть",G454+IF(I454=" ",0,I454)-J455-K455+L455+M455-N455,G454+IF(I454=" ",0,I454)-J455-K455+M455-N455),IF('депозитный калькулятор'!$G$14="есть",G454-J455-K455+L455+M455-N455,G454-J455-K455+M455-N455)))</f>
        <v xml:space="preserve"> </v>
      </c>
      <c r="H455" s="133" t="str">
        <f>IF(F455&gt;'депозитный калькулятор'!$D$8," ",IF(AND(OR('депозитный калькулятор'!$G$7="30/365",'депозитный калькулятор'!$G$7="30/360"),AND(MONTH(F455)=2,EOMONTH(F455,0)=F455)),IF(DAY(F455)=28,3*G455*'депозитный калькулятор'!$G$8,2*G455*'депозитный калькулятор'!$G$8),IF(AND(OR('депозитный калькулятор'!$G$7="30/365",'депозитный калькулятор'!$G$7="30/360"),DAY(F455)=31)," ",IF(AND('депозитный калькулятор'!$G$7="факт/факт",MOD(YEAR(F455),4)=0),G455*'депозитный калькулятор'!$D$11/366,G455*'депозитный калькулятор'!$G$8))))</f>
        <v xml:space="preserve"> </v>
      </c>
      <c r="I455" s="134" t="str">
        <f ca="1">IF(F455=" "," ",IF('депозитный калькулятор'!$G$10="ежедневное",H455,IF(AND('депозитный калькулятор'!$G$10="еженедельное",WEEKDAY(F455,2)=7),SUM(OFFSET(H455,-6,0):H455),IF(AND('депозитный калькулятор'!$G$10="еженедельное",F455='депозитный калькулятор'!$D$8),SUM($H$23:H455)-SUM($I$23:I454),IF(AND('депозитный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недели",WEEKDAY(F455,2)=7),MIN(OFFSET(H455,-6,0):H455)*(COUNTIF(OFFSET(H455,-6,0):H455,"&gt;0")+SUMIF(OFFSET(A455,-WEEKDAY(F455,2),0):A455,"=2",OFFSET(A455,-WEEKDAY(F455,2),0):A455)),IF(AND('депозитный калькулятор'!$G$10="еженедельное, на минимальную сумму зафиксированную в течение недели",F455='депозитный калькулятор'!$D$8,WEEKDAY(F455,2)&lt;&gt;7),MIN(OFFSET(H455,-WEEKDAY(F455,2),0):H455)*(COUNTIF(OFFSET(H455,-WEEKDAY(F455,2)+1,0):H455,"&gt;0")+SUM(OFFSET(A455,-WEEKDAY(F455,2),0):A455)),IF(AND('депозитный калькулятор'!$G$10="ежемесячное (в конце месяца)",F455='депозитный калькулятор'!$D$8,EOMONTH(F455,0)&lt;&gt;F455),IF('депозитный калькулятор'!$F$1=1,$H$24,SUM($H$23:H455)-SUM($I$23:I454)),IF(AND('депозитный калькулятор'!$G$10="ежемесячное (в конце месяца)",EOMONTH(F455,0)=F455),SUM($H$23:H455)-SUM($I$23:I454),IF(AND('депозитный калькулятор'!$G$10="ежемесячное (по дням открытия вклада)",F455='депозитный калькулятор'!$D$8,DAY('депозитный калькулятор'!$D$7)&lt;&gt;DAY(F455)),IF('депозитный калькулятор'!$F$1=1,$H$24,SUM($H$23:H455)-SUM($I$23:I454)),IF(AND('депозитный калькулятор'!$G$10="ежемесячное (по дням открытия вклада)",DAY('депозитный калькулятор'!$D$7)=DAY(F455)),SUM($H$23:H455)-SUM($I$23:I454),IF(AND('депозитный калькулятор'!$G$10="ежемесячное, на минимальную сумму зафиксированную в течение месяца",F455='депозитный калькулятор'!$D$8,EOMONTH(F455,0)&lt;&gt;F455),IF('депозитный калькулятор'!$F$1=1,$H$24,IF(AND(OR('депозитный калькулятор'!$G$7="30/365",'депозитный калькулятор'!$G$7="30/360"),DAY(F455)=31),0,MIN(OFFSET(H455,-E455+1,0):H455)*(E455+SUMIF(OFFSET(A455,-E455+1,0):A455,"=2",OFFSET(A455,-E455+1,0):A455)))),IF(AND('депозитный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калькулятор'!$G$7="30/360"),DAY(EOMONTH(F455,0))=31),EOMONTH(F455,0)-1=F455,EOMONTH(F455,0)=F455)),IF(IF(AND(OR('депозитный калькулятор'!$G$7="30/365",'депозитный калькулятор'!$G$7="30/360"),DAY(EOMONTH($F$23,0))=31),F455=EOMONTH($F$23,0)-1,F455=EOMONTH($F$23,0)),MIN(OFFSET(H455,-(DAY(F455)-DAY($F$23)),0):H455)*E455,MIN(OFFSET(H455,-(DAY(F455)-1),0):H455)*IF(AND(OR('депозитный калькулятор'!$G$7="30/365",'депозитный калькулятор'!$G$7="30/360"),DAY(F455)&lt;30),30,DAY(F455))),IF(AND('депозитный калькулятор'!$G$10="ежемесячное, на средний остаток в течение месяца, при условии что остаток больше чем ограничение",F455='депозитный калькулятор'!$D$8,EOMONTH(F455,0)&lt;&gt;F455),IF('депозитный калькулятор'!$F$1=1,$H$24,SUM(OFFSET(Q455,-E455+1,0):Q455)),IF(AND('депозитный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калькулятор'!$G$7="30/360"),DAY(EOMONTH(F455,0))=31),EOMONTH(F455,0)-1=F455,EOMONTH(F455,0)=F455)),IF(IF(AND(OR('депозитный калькулятор'!$G$7="30/365",'депозитный калькулятор'!$G$7="30/360"),DAY(EOMONTH($F$24,0))=31),F455=EOMONTH($F$24,0)-1,F455=EOMONTH($F$24,0)),SUM(OFFSET(Q455,-E455+1,0):Q455),SUM(OFFSET(Q455,-E455+1,0):Q455)),IF('депозитный калькулятор'!$G$10="ежеквартальное",IF(F455&gt;'депозитный калькулятор'!$D$8," ",IF(AND(EOMONTH(F455,0)=F455,OR(MONTH(F455)=3,MONTH(F455)=6,MONTH(F455)=9,MONTH(F455)=12)),IF(EDATE(F455,-3)&lt;'депозитный калькулятор'!$D$7,SUM($H$23:H455),IF(MOD(YEAR(F455),4)=0,IF(AND(EOMONTH(F455,0)=F455,OR(MONTH(F455)=3,MONTH(F455)=6)),SUM(OFFSET(H455,-90,0):H455),IF(AND(EOMONTH(F455,0)=F455,OR(MONTH(F455)=9,MONTH(F455)=12)),SUM(OFFSET(H455,-91,0):H455))),IF(AND(EOMONTH(F455,0)=F455,MONTH(F455)=3),SUM(OFFSET(H455,-89,0):H455),IF(AND(EOMONTH(F455,0)=F455,MONTH(F455)=6),SUM(OFFSET(H455,-90,0):H455),IF(AND(EOMONTH(F455,0)=F455,OR(MONTH(F455)=9,MONTH(F455)=12)),SUM(OFFSET(H455,-91,0):H455)))))),IF(F455='депозитный калькулятор'!$D$8,SUM($H$23:H455)-SUM($I$23:I454),0))),IF('депозитный калькулятор'!$G$10="ежегодное",IF(F455&gt;'депозитный калькулятор'!$D$8," ",IF(F455='депозитный калькулятор'!$D$8,SUM($H$23:H455)-SUM($I$23:I454),IF(AND(EOMONTH(F455,0)=F455,MONTH(F455)=12),IF(MOD(YEAR(F454),4)=0,IF(F455-'депозитный калькулятор'!$D$7&lt;366,SUM($H$23:H455),SUM(OFFSET(H455,-365,0):H455)),IF(F455-'депозитный калькулятор'!$D$7&lt;365,SUM($H$23:H455),SUM(OFFSET(H455,-364,0):H455))),0))),IF(AND('депозитный калькулятор'!$G$10="в конце срока",'депозитный калькулятор'!$D$8=F455),SUM($H$23:H455),0))))))))))))))))))</f>
        <v xml:space="preserve"> </v>
      </c>
      <c r="J455" s="59" t="str">
        <f>IF(F455&gt;'депозитный калькулятор'!$D$8," ",IF('депозитный калькулятор'!$G$16="нет",0,IF(AND('депозитный калькулятор'!$G$17="разовая (в конце срока)",F455='депозитный калькулятор'!$D$8),'депозитный калькулятор'!$G$18,IF(AND('депозитный калькулятор'!$G$17="ежемесячная",EOMONTH(F454,0)=F454),'депозитный калькулятор'!$G$18,IF(AND('депозитный калькулятор'!$G$17="ежегодная",DAY(F454)=31,MONTH(F454)=12),'депозитный калькулятор'!$G$18,IF(AND('депозитный калькулятор'!$G$17="ежемесячная в зависимости от остатка",EOMONTH(F454,0)=F454,P454&gt;0),'депозитный калькулятор'!$G$18,IF(AND('депозитный калькулятор'!$G$17="ежегодная в зависимости от остатка",DAY(F454)=31,MONTH(F454)=12,P454&gt;0),'депозитный калькулятор'!$G$18,0)))))))</f>
        <v xml:space="preserve"> </v>
      </c>
      <c r="K455" s="135" t="str">
        <f>IF($F455=" "," ",IFERROR(VLOOKUP($F455,'депозитный калькулятор'!$B$26:$F$70,2,0),0))</f>
        <v xml:space="preserve"> </v>
      </c>
      <c r="L455" s="135" t="str">
        <f>IF($F455=" "," ",IFERROR(VLOOKUP($F455,'депозитный калькулятор'!$B$26:$F$70,3,0),0))</f>
        <v xml:space="preserve"> </v>
      </c>
      <c r="M455" s="135" t="str">
        <f>IF($F455=" "," ",IFERROR(VLOOKUP($F455,'депозитный калькулятор'!$B$26:$F$70,4,0),0))</f>
        <v xml:space="preserve"> </v>
      </c>
      <c r="N455" s="135" t="str">
        <f>IF($F455=" "," ",IFERROR(VLOOKUP($F455,'депозитный калькулятор'!$B$26:$F$70,5,0),0))</f>
        <v xml:space="preserve"> </v>
      </c>
      <c r="O455" s="146" t="str">
        <f>IF(F455&gt;'депозитный калькулятор'!$D$8," ",IF(F455='депозитный калькулятор'!$D$8,IF(AND($F$24='депозитный калькулятор'!$D$8,'депозитный калькулятор'!$G$13="нет"),-G455-IF(I455=" ",0,I455)-IF(AND(OR('депозитный калькулятор'!$G$7="30/365",'депозитный калькулятор'!$G$7="30/360"),'депозитный калькулятор'!$G$10="в начале срока"),I454,0)-L455+M455-N455,-G455-IF(I455=" ",0,I455)-L455+M455-N455),IF('депозитный калькулятор'!$G$13="есть",M455-N455+IF('депозитный калькулятор'!$G$14="есть",0,-L455),-IF(I455=" ",0,I455)-IF(AND(OR('депозитный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срока"),I454,0)+M455-N455+IF('депозитный калькулятор'!$G$14="есть",0,-L455))))</f>
        <v xml:space="preserve"> </v>
      </c>
      <c r="P455" s="147" t="str">
        <f>IF(F455&gt;'депозитный калькулятор'!$D$8," ",IF(EOMONTH(F454,0)=F454,0,IF(G455&gt;='депозитный калькулятор'!$G$19,P454,P454+1)))</f>
        <v xml:space="preserve"> </v>
      </c>
      <c r="Q455" s="138" t="str">
        <f>IF(F455=" "," ",IF(AND(OR('депозитный калькулятор'!$G$7="30/365",'депозитный калькулятор'!$G$7="30/360"),AND(MONTH(F455)=2,EOMONTH(F455,0)=F455)),IF(DAY(F455)=28,3,2),1)*IF(G455&gt;='депозитный калькулятор'!$G$11,IF(AND('депозитный калькулятор'!$G$7="факт/факт",MOD(YEAR(F455),4)=0),G455*'депозитный калькулятор'!$D$11/366,G455*'депозитный калькулятор'!$G$8),0))</f>
        <v xml:space="preserve"> </v>
      </c>
      <c r="R455" s="158"/>
      <c r="S455" s="62" t="str">
        <f t="shared" ca="1" si="32"/>
        <v xml:space="preserve"> </v>
      </c>
      <c r="T455" s="149" t="str">
        <f ca="1">IF(S455=" "," ",IF('депозитный калькулятор'!$G$7="30/360",DAYS360(U454,IF(DAY(U455)=31,U455-1,U455))+IF(AND(MONTH(U455)=2,U455=EOMONTH(U455,0)),30-DAY(EOMONTH(U455,0)))+T454,VLOOKUP(S455,$C$22:$F$1023,2,0)))</f>
        <v xml:space="preserve"> </v>
      </c>
      <c r="U455" s="64" t="str">
        <f t="shared" ca="1" si="30"/>
        <v xml:space="preserve"> </v>
      </c>
      <c r="V455" s="150" t="str">
        <f t="shared" ca="1" si="33"/>
        <v xml:space="preserve"> </v>
      </c>
      <c r="W455" s="62" t="str">
        <f t="shared" ca="1" si="34"/>
        <v xml:space="preserve"> </v>
      </c>
      <c r="X455" s="141" t="str">
        <f ca="1">IF(S455=" "," ",IFERROR(VLOOKUP(U455,$F$23:$N$1023,7)+VLOOKUP(U455,$F$23:$N$1023,9)+IF(AND('депозитный калькулятор'!$G$13="нет",U455&lt;&gt;'депозитный калькулятор'!$D$8),VLOOKUP(U455,$F$23:$N$1023,4),0),0)+IF(U455='депозитный калькулятор'!$D$8,VLOOKUP(U455,$F$23:$N$1023,2)+VLOOKUP(U455,$F$23:$N$1023,4),0))</f>
        <v xml:space="preserve"> </v>
      </c>
      <c r="Y455" s="142" t="str">
        <f ca="1">IF(S455=" "," ",W455/(1+'депозитный калькулятор'!$K$8)^(T455/IF('депозитный калькулятор'!$G$7="30/360",360,365)))</f>
        <v xml:space="preserve"> </v>
      </c>
      <c r="Z455" s="142" t="str">
        <f ca="1">IF(S455=" "," ",X455/(1+'депозитный калькулятор'!$K$8)^(T455/IF('депозитный калькулятор'!$G$7="30/360",360,365)))</f>
        <v xml:space="preserve"> </v>
      </c>
      <c r="AA455" s="151"/>
      <c r="AB455" s="151"/>
      <c r="AC455" s="155"/>
      <c r="AD455" s="155"/>
    </row>
    <row r="456" spans="1:30" s="2" customFormat="1" ht="15.5" x14ac:dyDescent="0.35">
      <c r="A456" s="41" t="str">
        <f>IF(F456=" "," ",IF(OR('депозитный калькулятор'!$G$7="30/365",'депозитный калькулятор'!$G$7="30/360"),IF(AND(MONTH(F456)=2,DAY(F456)=DAY(EOMONTH(F456,0))),30-DAY(EOMONTH(F456,0)),IF(DAY(F456)=31,1," "))," "))</f>
        <v xml:space="preserve"> </v>
      </c>
      <c r="B456" s="130" t="str">
        <f t="shared" si="31"/>
        <v xml:space="preserve"> </v>
      </c>
      <c r="C456" s="130" t="str">
        <f>IF(OR(B456=0,B456=" ")," ",SUM($B$23:B456))</f>
        <v xml:space="preserve"> </v>
      </c>
      <c r="D456" s="62" t="str">
        <f>IF(D455=" "," ",IF(OR(F455='депозитный калькулятор'!$D$8,F455=" ")," ",D455+1))</f>
        <v xml:space="preserve"> </v>
      </c>
      <c r="E456" s="130" t="str">
        <f>IF(OR(F455='депозитный калькулятор'!$D$8,F455=" ")," ",IF(EOMONTH(F455,0)=F455,1,E455+1))</f>
        <v xml:space="preserve"> </v>
      </c>
      <c r="F456" s="64" t="str">
        <f>IF(F455=" "," ",IF(F455='депозитный калькулятор'!$D$8," ",F455+1))</f>
        <v xml:space="preserve"> </v>
      </c>
      <c r="G456" s="145" t="str">
        <f xml:space="preserve"> IF(F456&gt;'депозитный калькулятор'!$D$8," ",IF('депозитный калькулятор'!$G$13="есть",IF('депозитный калькулятор'!$G$14="есть",G455+IF(I455=" ",0,I455)-J456-K456+L456+M456-N456,G455+IF(I455=" ",0,I455)-J456-K456+M456-N456),IF('депозитный калькулятор'!$G$14="есть",G455-J456-K456+L456+M456-N456,G455-J456-K456+M456-N456)))</f>
        <v xml:space="preserve"> </v>
      </c>
      <c r="H456" s="133" t="str">
        <f>IF(F456&gt;'депозитный калькулятор'!$D$8," ",IF(AND(OR('депозитный калькулятор'!$G$7="30/365",'депозитный калькулятор'!$G$7="30/360"),AND(MONTH(F456)=2,EOMONTH(F456,0)=F456)),IF(DAY(F456)=28,3*G456*'депозитный калькулятор'!$G$8,2*G456*'депозитный калькулятор'!$G$8),IF(AND(OR('депозитный калькулятор'!$G$7="30/365",'депозитный калькулятор'!$G$7="30/360"),DAY(F456)=31)," ",IF(AND('депозитный калькулятор'!$G$7="факт/факт",MOD(YEAR(F456),4)=0),G456*'депозитный калькулятор'!$D$11/366,G456*'депозитный калькулятор'!$G$8))))</f>
        <v xml:space="preserve"> </v>
      </c>
      <c r="I456" s="134" t="str">
        <f ca="1">IF(F456=" "," ",IF('депозитный калькулятор'!$G$10="ежедневное",H456,IF(AND('депозитный калькулятор'!$G$10="еженедельное",WEEKDAY(F456,2)=7),SUM(OFFSET(H456,-6,0):H456),IF(AND('депозитный калькулятор'!$G$10="еженедельное",F456='депозитный калькулятор'!$D$8),SUM($H$23:H456)-SUM($I$23:I455),IF(AND('депозитный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недели",WEEKDAY(F456,2)=7),MIN(OFFSET(H456,-6,0):H456)*(COUNTIF(OFFSET(H456,-6,0):H456,"&gt;0")+SUMIF(OFFSET(A456,-WEEKDAY(F456,2),0):A456,"=2",OFFSET(A456,-WEEKDAY(F456,2),0):A456)),IF(AND('депозитный калькулятор'!$G$10="еженедельное, на минимальную сумму зафиксированную в течение недели",F456='депозитный калькулятор'!$D$8,WEEKDAY(F456,2)&lt;&gt;7),MIN(OFFSET(H456,-WEEKDAY(F456,2),0):H456)*(COUNTIF(OFFSET(H456,-WEEKDAY(F456,2)+1,0):H456,"&gt;0")+SUM(OFFSET(A456,-WEEKDAY(F456,2),0):A456)),IF(AND('депозитный калькулятор'!$G$10="ежемесячное (в конце месяца)",F456='депозитный калькулятор'!$D$8,EOMONTH(F456,0)&lt;&gt;F456),IF('депозитный калькулятор'!$F$1=1,$H$24,SUM($H$23:H456)-SUM($I$23:I455)),IF(AND('депозитный калькулятор'!$G$10="ежемесячное (в конце месяца)",EOMONTH(F456,0)=F456),SUM($H$23:H456)-SUM($I$23:I455),IF(AND('депозитный калькулятор'!$G$10="ежемесячное (по дням открытия вклада)",F456='депозитный калькулятор'!$D$8,DAY('депозитный калькулятор'!$D$7)&lt;&gt;DAY(F456)),IF('депозитный калькулятор'!$F$1=1,$H$24,SUM($H$23:H456)-SUM($I$23:I455)),IF(AND('депозитный калькулятор'!$G$10="ежемесячное (по дням открытия вклада)",DAY('депозитный калькулятор'!$D$7)=DAY(F456)),SUM($H$23:H456)-SUM($I$23:I455),IF(AND('депозитный калькулятор'!$G$10="ежемесячное, на минимальную сумму зафиксированную в течение месяца",F456='депозитный калькулятор'!$D$8,EOMONTH(F456,0)&lt;&gt;F456),IF('депозитный калькулятор'!$F$1=1,$H$24,IF(AND(OR('депозитный калькулятор'!$G$7="30/365",'депозитный калькулятор'!$G$7="30/360"),DAY(F456)=31),0,MIN(OFFSET(H456,-E456+1,0):H456)*(E456+SUMIF(OFFSET(A456,-E456+1,0):A456,"=2",OFFSET(A456,-E456+1,0):A456)))),IF(AND('депозитный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калькулятор'!$G$7="30/360"),DAY(EOMONTH(F456,0))=31),EOMONTH(F456,0)-1=F456,EOMONTH(F456,0)=F456)),IF(IF(AND(OR('депозитный калькулятор'!$G$7="30/365",'депозитный калькулятор'!$G$7="30/360"),DAY(EOMONTH($F$23,0))=31),F456=EOMONTH($F$23,0)-1,F456=EOMONTH($F$23,0)),MIN(OFFSET(H456,-(DAY(F456)-DAY($F$23)),0):H456)*E456,MIN(OFFSET(H456,-(DAY(F456)-1),0):H456)*IF(AND(OR('депозитный калькулятор'!$G$7="30/365",'депозитный калькулятор'!$G$7="30/360"),DAY(F456)&lt;30),30,DAY(F456))),IF(AND('депозитный калькулятор'!$G$10="ежемесячное, на средний остаток в течение месяца, при условии что остаток больше чем ограничение",F456='депозитный калькулятор'!$D$8,EOMONTH(F456,0)&lt;&gt;F456),IF('депозитный калькулятор'!$F$1=1,$H$24,SUM(OFFSET(Q456,-E456+1,0):Q456)),IF(AND('депозитный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калькулятор'!$G$7="30/360"),DAY(EOMONTH(F456,0))=31),EOMONTH(F456,0)-1=F456,EOMONTH(F456,0)=F456)),IF(IF(AND(OR('депозитный калькулятор'!$G$7="30/365",'депозитный калькулятор'!$G$7="30/360"),DAY(EOMONTH($F$24,0))=31),F456=EOMONTH($F$24,0)-1,F456=EOMONTH($F$24,0)),SUM(OFFSET(Q456,-E456+1,0):Q456),SUM(OFFSET(Q456,-E456+1,0):Q456)),IF('депозитный калькулятор'!$G$10="ежеквартальное",IF(F456&gt;'депозитный калькулятор'!$D$8," ",IF(AND(EOMONTH(F456,0)=F456,OR(MONTH(F456)=3,MONTH(F456)=6,MONTH(F456)=9,MONTH(F456)=12)),IF(EDATE(F456,-3)&lt;'депозитный калькулятор'!$D$7,SUM($H$23:H456),IF(MOD(YEAR(F456),4)=0,IF(AND(EOMONTH(F456,0)=F456,OR(MONTH(F456)=3,MONTH(F456)=6)),SUM(OFFSET(H456,-90,0):H456),IF(AND(EOMONTH(F456,0)=F456,OR(MONTH(F456)=9,MONTH(F456)=12)),SUM(OFFSET(H456,-91,0):H456))),IF(AND(EOMONTH(F456,0)=F456,MONTH(F456)=3),SUM(OFFSET(H456,-89,0):H456),IF(AND(EOMONTH(F456,0)=F456,MONTH(F456)=6),SUM(OFFSET(H456,-90,0):H456),IF(AND(EOMONTH(F456,0)=F456,OR(MONTH(F456)=9,MONTH(F456)=12)),SUM(OFFSET(H456,-91,0):H456)))))),IF(F456='депозитный калькулятор'!$D$8,SUM($H$23:H456)-SUM($I$23:I455),0))),IF('депозитный калькулятор'!$G$10="ежегодное",IF(F456&gt;'депозитный калькулятор'!$D$8," ",IF(F456='депозитный калькулятор'!$D$8,SUM($H$23:H456)-SUM($I$23:I455),IF(AND(EOMONTH(F456,0)=F456,MONTH(F456)=12),IF(MOD(YEAR(F455),4)=0,IF(F456-'депозитный калькулятор'!$D$7&lt;366,SUM($H$23:H456),SUM(OFFSET(H456,-365,0):H456)),IF(F456-'депозитный калькулятор'!$D$7&lt;365,SUM($H$23:H456),SUM(OFFSET(H456,-364,0):H456))),0))),IF(AND('депозитный калькулятор'!$G$10="в конце срока",'депозитный калькулятор'!$D$8=F456),SUM($H$23:H456),0))))))))))))))))))</f>
        <v xml:space="preserve"> </v>
      </c>
      <c r="J456" s="59" t="str">
        <f>IF(F456&gt;'депозитный калькулятор'!$D$8," ",IF('депозитный калькулятор'!$G$16="нет",0,IF(AND('депозитный калькулятор'!$G$17="разовая (в конце срока)",F456='депозитный калькулятор'!$D$8),'депозитный калькулятор'!$G$18,IF(AND('депозитный калькулятор'!$G$17="ежемесячная",EOMONTH(F455,0)=F455),'депозитный калькулятор'!$G$18,IF(AND('депозитный калькулятор'!$G$17="ежегодная",DAY(F455)=31,MONTH(F455)=12),'депозитный калькулятор'!$G$18,IF(AND('депозитный калькулятор'!$G$17="ежемесячная в зависимости от остатка",EOMONTH(F455,0)=F455,P455&gt;0),'депозитный калькулятор'!$G$18,IF(AND('депозитный калькулятор'!$G$17="ежегодная в зависимости от остатка",DAY(F455)=31,MONTH(F455)=12,P455&gt;0),'депозитный калькулятор'!$G$18,0)))))))</f>
        <v xml:space="preserve"> </v>
      </c>
      <c r="K456" s="135" t="str">
        <f>IF($F456=" "," ",IFERROR(VLOOKUP($F456,'депозитный калькулятор'!$B$26:$F$70,2,0),0))</f>
        <v xml:space="preserve"> </v>
      </c>
      <c r="L456" s="135" t="str">
        <f>IF($F456=" "," ",IFERROR(VLOOKUP($F456,'депозитный калькулятор'!$B$26:$F$70,3,0),0))</f>
        <v xml:space="preserve"> </v>
      </c>
      <c r="M456" s="135" t="str">
        <f>IF($F456=" "," ",IFERROR(VLOOKUP($F456,'депозитный калькулятор'!$B$26:$F$70,4,0),0))</f>
        <v xml:space="preserve"> </v>
      </c>
      <c r="N456" s="135" t="str">
        <f>IF($F456=" "," ",IFERROR(VLOOKUP($F456,'депозитный калькулятор'!$B$26:$F$70,5,0),0))</f>
        <v xml:space="preserve"> </v>
      </c>
      <c r="O456" s="146" t="str">
        <f>IF(F456&gt;'депозитный калькулятор'!$D$8," ",IF(F456='депозитный калькулятор'!$D$8,IF(AND($F$24='депозитный калькулятор'!$D$8,'депозитный калькулятор'!$G$13="нет"),-G456-IF(I456=" ",0,I456)-IF(AND(OR('депозитный калькулятор'!$G$7="30/365",'депозитный калькулятор'!$G$7="30/360"),'депозитный калькулятор'!$G$10="в начале срока"),I455,0)-L456+M456-N456,-G456-IF(I456=" ",0,I456)-L456+M456-N456),IF('депозитный калькулятор'!$G$13="есть",M456-N456+IF('депозитный калькулятор'!$G$14="есть",0,-L456),-IF(I456=" ",0,I456)-IF(AND(OR('депозитный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срока"),I455,0)+M456-N456+IF('депозитный калькулятор'!$G$14="есть",0,-L456))))</f>
        <v xml:space="preserve"> </v>
      </c>
      <c r="P456" s="147" t="str">
        <f>IF(F456&gt;'депозитный калькулятор'!$D$8," ",IF(EOMONTH(F455,0)=F455,0,IF(G456&gt;='депозитный калькулятор'!$G$19,P455,P455+1)))</f>
        <v xml:space="preserve"> </v>
      </c>
      <c r="Q456" s="138" t="str">
        <f>IF(F456=" "," ",IF(AND(OR('депозитный калькулятор'!$G$7="30/365",'депозитный калькулятор'!$G$7="30/360"),AND(MONTH(F456)=2,EOMONTH(F456,0)=F456)),IF(DAY(F456)=28,3,2),1)*IF(G456&gt;='депозитный калькулятор'!$G$11,IF(AND('депозитный калькулятор'!$G$7="факт/факт",MOD(YEAR(F456),4)=0),G456*'депозитный калькулятор'!$D$11/366,G456*'депозитный калькулятор'!$G$8),0))</f>
        <v xml:space="preserve"> </v>
      </c>
      <c r="R456" s="158"/>
      <c r="S456" s="62" t="str">
        <f t="shared" ca="1" si="32"/>
        <v xml:space="preserve"> </v>
      </c>
      <c r="T456" s="149" t="str">
        <f ca="1">IF(S456=" "," ",IF('депозитный калькулятор'!$G$7="30/360",DAYS360(U455,IF(DAY(U456)=31,U456-1,U456))+IF(AND(MONTH(U456)=2,U456=EOMONTH(U456,0)),30-DAY(EOMONTH(U456,0)))+T455,VLOOKUP(S456,$C$22:$F$1023,2,0)))</f>
        <v xml:space="preserve"> </v>
      </c>
      <c r="U456" s="64" t="str">
        <f t="shared" ca="1" si="30"/>
        <v xml:space="preserve"> </v>
      </c>
      <c r="V456" s="150" t="str">
        <f t="shared" ca="1" si="33"/>
        <v xml:space="preserve"> </v>
      </c>
      <c r="W456" s="62" t="str">
        <f t="shared" ca="1" si="34"/>
        <v xml:space="preserve"> </v>
      </c>
      <c r="X456" s="141" t="str">
        <f ca="1">IF(S456=" "," ",IFERROR(VLOOKUP(U456,$F$23:$N$1023,7)+VLOOKUP(U456,$F$23:$N$1023,9)+IF(AND('депозитный калькулятор'!$G$13="нет",U456&lt;&gt;'депозитный калькулятор'!$D$8),VLOOKUP(U456,$F$23:$N$1023,4),0),0)+IF(U456='депозитный калькулятор'!$D$8,VLOOKUP(U456,$F$23:$N$1023,2)+VLOOKUP(U456,$F$23:$N$1023,4),0))</f>
        <v xml:space="preserve"> </v>
      </c>
      <c r="Y456" s="142" t="str">
        <f ca="1">IF(S456=" "," ",W456/(1+'депозитный калькулятор'!$K$8)^(T456/IF('депозитный калькулятор'!$G$7="30/360",360,365)))</f>
        <v xml:space="preserve"> </v>
      </c>
      <c r="Z456" s="142" t="str">
        <f ca="1">IF(S456=" "," ",X456/(1+'депозитный калькулятор'!$K$8)^(T456/IF('депозитный калькулятор'!$G$7="30/360",360,365)))</f>
        <v xml:space="preserve"> </v>
      </c>
      <c r="AA456" s="151"/>
      <c r="AB456" s="151"/>
      <c r="AC456" s="155"/>
      <c r="AD456" s="155"/>
    </row>
    <row r="457" spans="1:30" s="2" customFormat="1" ht="15.5" x14ac:dyDescent="0.35">
      <c r="A457" s="41" t="str">
        <f>IF(F457=" "," ",IF(OR('депозитный калькулятор'!$G$7="30/365",'депозитный калькулятор'!$G$7="30/360"),IF(AND(MONTH(F457)=2,DAY(F457)=DAY(EOMONTH(F457,0))),30-DAY(EOMONTH(F457,0)),IF(DAY(F457)=31,1," "))," "))</f>
        <v xml:space="preserve"> </v>
      </c>
      <c r="B457" s="130" t="str">
        <f t="shared" si="31"/>
        <v xml:space="preserve"> </v>
      </c>
      <c r="C457" s="130" t="str">
        <f>IF(OR(B457=0,B457=" ")," ",SUM($B$23:B457))</f>
        <v xml:space="preserve"> </v>
      </c>
      <c r="D457" s="62" t="str">
        <f>IF(D456=" "," ",IF(OR(F456='депозитный калькулятор'!$D$8,F456=" ")," ",D456+1))</f>
        <v xml:space="preserve"> </v>
      </c>
      <c r="E457" s="130" t="str">
        <f>IF(OR(F456='депозитный калькулятор'!$D$8,F456=" ")," ",IF(EOMONTH(F456,0)=F456,1,E456+1))</f>
        <v xml:space="preserve"> </v>
      </c>
      <c r="F457" s="64" t="str">
        <f>IF(F456=" "," ",IF(F456='депозитный калькулятор'!$D$8," ",F456+1))</f>
        <v xml:space="preserve"> </v>
      </c>
      <c r="G457" s="145" t="str">
        <f xml:space="preserve"> IF(F457&gt;'депозитный калькулятор'!$D$8," ",IF('депозитный калькулятор'!$G$13="есть",IF('депозитный калькулятор'!$G$14="есть",G456+IF(I456=" ",0,I456)-J457-K457+L457+M457-N457,G456+IF(I456=" ",0,I456)-J457-K457+M457-N457),IF('депозитный калькулятор'!$G$14="есть",G456-J457-K457+L457+M457-N457,G456-J457-K457+M457-N457)))</f>
        <v xml:space="preserve"> </v>
      </c>
      <c r="H457" s="133" t="str">
        <f>IF(F457&gt;'депозитный калькулятор'!$D$8," ",IF(AND(OR('депозитный калькулятор'!$G$7="30/365",'депозитный калькулятор'!$G$7="30/360"),AND(MONTH(F457)=2,EOMONTH(F457,0)=F457)),IF(DAY(F457)=28,3*G457*'депозитный калькулятор'!$G$8,2*G457*'депозитный калькулятор'!$G$8),IF(AND(OR('депозитный калькулятор'!$G$7="30/365",'депозитный калькулятор'!$G$7="30/360"),DAY(F457)=31)," ",IF(AND('депозитный калькулятор'!$G$7="факт/факт",MOD(YEAR(F457),4)=0),G457*'депозитный калькулятор'!$D$11/366,G457*'депозитный калькулятор'!$G$8))))</f>
        <v xml:space="preserve"> </v>
      </c>
      <c r="I457" s="134" t="str">
        <f ca="1">IF(F457=" "," ",IF('депозитный калькулятор'!$G$10="ежедневное",H457,IF(AND('депозитный калькулятор'!$G$10="еженедельное",WEEKDAY(F457,2)=7),SUM(OFFSET(H457,-6,0):H457),IF(AND('депозитный калькулятор'!$G$10="еженедельное",F457='депозитный калькулятор'!$D$8),SUM($H$23:H457)-SUM($I$23:I456),IF(AND('депозитный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недели",WEEKDAY(F457,2)=7),MIN(OFFSET(H457,-6,0):H457)*(COUNTIF(OFFSET(H457,-6,0):H457,"&gt;0")+SUMIF(OFFSET(A457,-WEEKDAY(F457,2),0):A457,"=2",OFFSET(A457,-WEEKDAY(F457,2),0):A457)),IF(AND('депозитный калькулятор'!$G$10="еженедельное, на минимальную сумму зафиксированную в течение недели",F457='депозитный калькулятор'!$D$8,WEEKDAY(F457,2)&lt;&gt;7),MIN(OFFSET(H457,-WEEKDAY(F457,2),0):H457)*(COUNTIF(OFFSET(H457,-WEEKDAY(F457,2)+1,0):H457,"&gt;0")+SUM(OFFSET(A457,-WEEKDAY(F457,2),0):A457)),IF(AND('депозитный калькулятор'!$G$10="ежемесячное (в конце месяца)",F457='депозитный калькулятор'!$D$8,EOMONTH(F457,0)&lt;&gt;F457),IF('депозитный калькулятор'!$F$1=1,$H$24,SUM($H$23:H457)-SUM($I$23:I456)),IF(AND('депозитный калькулятор'!$G$10="ежемесячное (в конце месяца)",EOMONTH(F457,0)=F457),SUM($H$23:H457)-SUM($I$23:I456),IF(AND('депозитный калькулятор'!$G$10="ежемесячное (по дням открытия вклада)",F457='депозитный калькулятор'!$D$8,DAY('депозитный калькулятор'!$D$7)&lt;&gt;DAY(F457)),IF('депозитный калькулятор'!$F$1=1,$H$24,SUM($H$23:H457)-SUM($I$23:I456)),IF(AND('депозитный калькулятор'!$G$10="ежемесячное (по дням открытия вклада)",DAY('депозитный калькулятор'!$D$7)=DAY(F457)),SUM($H$23:H457)-SUM($I$23:I456),IF(AND('депозитный калькулятор'!$G$10="ежемесячное, на минимальную сумму зафиксированную в течение месяца",F457='депозитный калькулятор'!$D$8,EOMONTH(F457,0)&lt;&gt;F457),IF('депозитный калькулятор'!$F$1=1,$H$24,IF(AND(OR('депозитный калькулятор'!$G$7="30/365",'депозитный калькулятор'!$G$7="30/360"),DAY(F457)=31),0,MIN(OFFSET(H457,-E457+1,0):H457)*(E457+SUMIF(OFFSET(A457,-E457+1,0):A457,"=2",OFFSET(A457,-E457+1,0):A457)))),IF(AND('депозитный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калькулятор'!$G$7="30/360"),DAY(EOMONTH(F457,0))=31),EOMONTH(F457,0)-1=F457,EOMONTH(F457,0)=F457)),IF(IF(AND(OR('депозитный калькулятор'!$G$7="30/365",'депозитный калькулятор'!$G$7="30/360"),DAY(EOMONTH($F$23,0))=31),F457=EOMONTH($F$23,0)-1,F457=EOMONTH($F$23,0)),MIN(OFFSET(H457,-(DAY(F457)-DAY($F$23)),0):H457)*E457,MIN(OFFSET(H457,-(DAY(F457)-1),0):H457)*IF(AND(OR('депозитный калькулятор'!$G$7="30/365",'депозитный калькулятор'!$G$7="30/360"),DAY(F457)&lt;30),30,DAY(F457))),IF(AND('депозитный калькулятор'!$G$10="ежемесячное, на средний остаток в течение месяца, при условии что остаток больше чем ограничение",F457='депозитный калькулятор'!$D$8,EOMONTH(F457,0)&lt;&gt;F457),IF('депозитный калькулятор'!$F$1=1,$H$24,SUM(OFFSET(Q457,-E457+1,0):Q457)),IF(AND('депозитный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калькулятор'!$G$7="30/360"),DAY(EOMONTH(F457,0))=31),EOMONTH(F457,0)-1=F457,EOMONTH(F457,0)=F457)),IF(IF(AND(OR('депозитный калькулятор'!$G$7="30/365",'депозитный калькулятор'!$G$7="30/360"),DAY(EOMONTH($F$24,0))=31),F457=EOMONTH($F$24,0)-1,F457=EOMONTH($F$24,0)),SUM(OFFSET(Q457,-E457+1,0):Q457),SUM(OFFSET(Q457,-E457+1,0):Q457)),IF('депозитный калькулятор'!$G$10="ежеквартальное",IF(F457&gt;'депозитный калькулятор'!$D$8," ",IF(AND(EOMONTH(F457,0)=F457,OR(MONTH(F457)=3,MONTH(F457)=6,MONTH(F457)=9,MONTH(F457)=12)),IF(EDATE(F457,-3)&lt;'депозитный калькулятор'!$D$7,SUM($H$23:H457),IF(MOD(YEAR(F457),4)=0,IF(AND(EOMONTH(F457,0)=F457,OR(MONTH(F457)=3,MONTH(F457)=6)),SUM(OFFSET(H457,-90,0):H457),IF(AND(EOMONTH(F457,0)=F457,OR(MONTH(F457)=9,MONTH(F457)=12)),SUM(OFFSET(H457,-91,0):H457))),IF(AND(EOMONTH(F457,0)=F457,MONTH(F457)=3),SUM(OFFSET(H457,-89,0):H457),IF(AND(EOMONTH(F457,0)=F457,MONTH(F457)=6),SUM(OFFSET(H457,-90,0):H457),IF(AND(EOMONTH(F457,0)=F457,OR(MONTH(F457)=9,MONTH(F457)=12)),SUM(OFFSET(H457,-91,0):H457)))))),IF(F457='депозитный калькулятор'!$D$8,SUM($H$23:H457)-SUM($I$23:I456),0))),IF('депозитный калькулятор'!$G$10="ежегодное",IF(F457&gt;'депозитный калькулятор'!$D$8," ",IF(F457='депозитный калькулятор'!$D$8,SUM($H$23:H457)-SUM($I$23:I456),IF(AND(EOMONTH(F457,0)=F457,MONTH(F457)=12),IF(MOD(YEAR(F456),4)=0,IF(F457-'депозитный калькулятор'!$D$7&lt;366,SUM($H$23:H457),SUM(OFFSET(H457,-365,0):H457)),IF(F457-'депозитный калькулятор'!$D$7&lt;365,SUM($H$23:H457),SUM(OFFSET(H457,-364,0):H457))),0))),IF(AND('депозитный калькулятор'!$G$10="в конце срока",'депозитный калькулятор'!$D$8=F457),SUM($H$23:H457),0))))))))))))))))))</f>
        <v xml:space="preserve"> </v>
      </c>
      <c r="J457" s="59" t="str">
        <f>IF(F457&gt;'депозитный калькулятор'!$D$8," ",IF('депозитный калькулятор'!$G$16="нет",0,IF(AND('депозитный калькулятор'!$G$17="разовая (в конце срока)",F457='депозитный калькулятор'!$D$8),'депозитный калькулятор'!$G$18,IF(AND('депозитный калькулятор'!$G$17="ежемесячная",EOMONTH(F456,0)=F456),'депозитный калькулятор'!$G$18,IF(AND('депозитный калькулятор'!$G$17="ежегодная",DAY(F456)=31,MONTH(F456)=12),'депозитный калькулятор'!$G$18,IF(AND('депозитный калькулятор'!$G$17="ежемесячная в зависимости от остатка",EOMONTH(F456,0)=F456,P456&gt;0),'депозитный калькулятор'!$G$18,IF(AND('депозитный калькулятор'!$G$17="ежегодная в зависимости от остатка",DAY(F456)=31,MONTH(F456)=12,P456&gt;0),'депозитный калькулятор'!$G$18,0)))))))</f>
        <v xml:space="preserve"> </v>
      </c>
      <c r="K457" s="135" t="str">
        <f>IF($F457=" "," ",IFERROR(VLOOKUP($F457,'депозитный калькулятор'!$B$26:$F$70,2,0),0))</f>
        <v xml:space="preserve"> </v>
      </c>
      <c r="L457" s="135" t="str">
        <f>IF($F457=" "," ",IFERROR(VLOOKUP($F457,'депозитный калькулятор'!$B$26:$F$70,3,0),0))</f>
        <v xml:space="preserve"> </v>
      </c>
      <c r="M457" s="135" t="str">
        <f>IF($F457=" "," ",IFERROR(VLOOKUP($F457,'депозитный калькулятор'!$B$26:$F$70,4,0),0))</f>
        <v xml:space="preserve"> </v>
      </c>
      <c r="N457" s="135" t="str">
        <f>IF($F457=" "," ",IFERROR(VLOOKUP($F457,'депозитный калькулятор'!$B$26:$F$70,5,0),0))</f>
        <v xml:space="preserve"> </v>
      </c>
      <c r="O457" s="146" t="str">
        <f>IF(F457&gt;'депозитный калькулятор'!$D$8," ",IF(F457='депозитный калькулятор'!$D$8,IF(AND($F$24='депозитный калькулятор'!$D$8,'депозитный калькулятор'!$G$13="нет"),-G457-IF(I457=" ",0,I457)-IF(AND(OR('депозитный калькулятор'!$G$7="30/365",'депозитный калькулятор'!$G$7="30/360"),'депозитный калькулятор'!$G$10="в начале срока"),I456,0)-L457+M457-N457,-G457-IF(I457=" ",0,I457)-L457+M457-N457),IF('депозитный калькулятор'!$G$13="есть",M457-N457+IF('депозитный калькулятор'!$G$14="есть",0,-L457),-IF(I457=" ",0,I457)-IF(AND(OR('депозитный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срока"),I456,0)+M457-N457+IF('депозитный калькулятор'!$G$14="есть",0,-L457))))</f>
        <v xml:space="preserve"> </v>
      </c>
      <c r="P457" s="147" t="str">
        <f>IF(F457&gt;'депозитный калькулятор'!$D$8," ",IF(EOMONTH(F456,0)=F456,0,IF(G457&gt;='депозитный калькулятор'!$G$19,P456,P456+1)))</f>
        <v xml:space="preserve"> </v>
      </c>
      <c r="Q457" s="138" t="str">
        <f>IF(F457=" "," ",IF(AND(OR('депозитный калькулятор'!$G$7="30/365",'депозитный калькулятор'!$G$7="30/360"),AND(MONTH(F457)=2,EOMONTH(F457,0)=F457)),IF(DAY(F457)=28,3,2),1)*IF(G457&gt;='депозитный калькулятор'!$G$11,IF(AND('депозитный калькулятор'!$G$7="факт/факт",MOD(YEAR(F457),4)=0),G457*'депозитный калькулятор'!$D$11/366,G457*'депозитный калькулятор'!$G$8),0))</f>
        <v xml:space="preserve"> </v>
      </c>
      <c r="R457" s="158"/>
      <c r="S457" s="62" t="str">
        <f t="shared" ca="1" si="32"/>
        <v xml:space="preserve"> </v>
      </c>
      <c r="T457" s="149" t="str">
        <f ca="1">IF(S457=" "," ",IF('депозитный калькулятор'!$G$7="30/360",DAYS360(U456,IF(DAY(U457)=31,U457-1,U457))+IF(AND(MONTH(U457)=2,U457=EOMONTH(U457,0)),30-DAY(EOMONTH(U457,0)))+T456,VLOOKUP(S457,$C$22:$F$1023,2,0)))</f>
        <v xml:space="preserve"> </v>
      </c>
      <c r="U457" s="64" t="str">
        <f t="shared" ca="1" si="30"/>
        <v xml:space="preserve"> </v>
      </c>
      <c r="V457" s="150" t="str">
        <f t="shared" ca="1" si="33"/>
        <v xml:space="preserve"> </v>
      </c>
      <c r="W457" s="62" t="str">
        <f t="shared" ca="1" si="34"/>
        <v xml:space="preserve"> </v>
      </c>
      <c r="X457" s="141" t="str">
        <f ca="1">IF(S457=" "," ",IFERROR(VLOOKUP(U457,$F$23:$N$1023,7)+VLOOKUP(U457,$F$23:$N$1023,9)+IF(AND('депозитный калькулятор'!$G$13="нет",U457&lt;&gt;'депозитный калькулятор'!$D$8),VLOOKUP(U457,$F$23:$N$1023,4),0),0)+IF(U457='депозитный калькулятор'!$D$8,VLOOKUP(U457,$F$23:$N$1023,2)+VLOOKUP(U457,$F$23:$N$1023,4),0))</f>
        <v xml:space="preserve"> </v>
      </c>
      <c r="Y457" s="142" t="str">
        <f ca="1">IF(S457=" "," ",W457/(1+'депозитный калькулятор'!$K$8)^(T457/IF('депозитный калькулятор'!$G$7="30/360",360,365)))</f>
        <v xml:space="preserve"> </v>
      </c>
      <c r="Z457" s="142" t="str">
        <f ca="1">IF(S457=" "," ",X457/(1+'депозитный калькулятор'!$K$8)^(T457/IF('депозитный калькулятор'!$G$7="30/360",360,365)))</f>
        <v xml:space="preserve"> </v>
      </c>
      <c r="AA457" s="151"/>
      <c r="AB457" s="151"/>
      <c r="AC457" s="155"/>
      <c r="AD457" s="155"/>
    </row>
    <row r="458" spans="1:30" s="2" customFormat="1" ht="15.5" x14ac:dyDescent="0.35">
      <c r="A458" s="41" t="str">
        <f>IF(F458=" "," ",IF(OR('депозитный калькулятор'!$G$7="30/365",'депозитный калькулятор'!$G$7="30/360"),IF(AND(MONTH(F458)=2,DAY(F458)=DAY(EOMONTH(F458,0))),30-DAY(EOMONTH(F458,0)),IF(DAY(F458)=31,1," "))," "))</f>
        <v xml:space="preserve"> </v>
      </c>
      <c r="B458" s="130" t="str">
        <f t="shared" si="31"/>
        <v xml:space="preserve"> </v>
      </c>
      <c r="C458" s="130" t="str">
        <f>IF(OR(B458=0,B458=" ")," ",SUM($B$23:B458))</f>
        <v xml:space="preserve"> </v>
      </c>
      <c r="D458" s="62" t="str">
        <f>IF(D457=" "," ",IF(OR(F457='депозитный калькулятор'!$D$8,F457=" ")," ",D457+1))</f>
        <v xml:space="preserve"> </v>
      </c>
      <c r="E458" s="130" t="str">
        <f>IF(OR(F457='депозитный калькулятор'!$D$8,F457=" ")," ",IF(EOMONTH(F457,0)=F457,1,E457+1))</f>
        <v xml:space="preserve"> </v>
      </c>
      <c r="F458" s="64" t="str">
        <f>IF(F457=" "," ",IF(F457='депозитный калькулятор'!$D$8," ",F457+1))</f>
        <v xml:space="preserve"> </v>
      </c>
      <c r="G458" s="145" t="str">
        <f xml:space="preserve"> IF(F458&gt;'депозитный калькулятор'!$D$8," ",IF('депозитный калькулятор'!$G$13="есть",IF('депозитный калькулятор'!$G$14="есть",G457+IF(I457=" ",0,I457)-J458-K458+L458+M458-N458,G457+IF(I457=" ",0,I457)-J458-K458+M458-N458),IF('депозитный калькулятор'!$G$14="есть",G457-J458-K458+L458+M458-N458,G457-J458-K458+M458-N458)))</f>
        <v xml:space="preserve"> </v>
      </c>
      <c r="H458" s="133" t="str">
        <f>IF(F458&gt;'депозитный калькулятор'!$D$8," ",IF(AND(OR('депозитный калькулятор'!$G$7="30/365",'депозитный калькулятор'!$G$7="30/360"),AND(MONTH(F458)=2,EOMONTH(F458,0)=F458)),IF(DAY(F458)=28,3*G458*'депозитный калькулятор'!$G$8,2*G458*'депозитный калькулятор'!$G$8),IF(AND(OR('депозитный калькулятор'!$G$7="30/365",'депозитный калькулятор'!$G$7="30/360"),DAY(F458)=31)," ",IF(AND('депозитный калькулятор'!$G$7="факт/факт",MOD(YEAR(F458),4)=0),G458*'депозитный калькулятор'!$D$11/366,G458*'депозитный калькулятор'!$G$8))))</f>
        <v xml:space="preserve"> </v>
      </c>
      <c r="I458" s="134" t="str">
        <f ca="1">IF(F458=" "," ",IF('депозитный калькулятор'!$G$10="ежедневное",H458,IF(AND('депозитный калькулятор'!$G$10="еженедельное",WEEKDAY(F458,2)=7),SUM(OFFSET(H458,-6,0):H458),IF(AND('депозитный калькулятор'!$G$10="еженедельное",F458='депозитный калькулятор'!$D$8),SUM($H$23:H458)-SUM($I$23:I457),IF(AND('депозитный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недели",WEEKDAY(F458,2)=7),MIN(OFFSET(H458,-6,0):H458)*(COUNTIF(OFFSET(H458,-6,0):H458,"&gt;0")+SUMIF(OFFSET(A458,-WEEKDAY(F458,2),0):A458,"=2",OFFSET(A458,-WEEKDAY(F458,2),0):A458)),IF(AND('депозитный калькулятор'!$G$10="еженедельное, на минимальную сумму зафиксированную в течение недели",F458='депозитный калькулятор'!$D$8,WEEKDAY(F458,2)&lt;&gt;7),MIN(OFFSET(H458,-WEEKDAY(F458,2),0):H458)*(COUNTIF(OFFSET(H458,-WEEKDAY(F458,2)+1,0):H458,"&gt;0")+SUM(OFFSET(A458,-WEEKDAY(F458,2),0):A458)),IF(AND('депозитный калькулятор'!$G$10="ежемесячное (в конце месяца)",F458='депозитный калькулятор'!$D$8,EOMONTH(F458,0)&lt;&gt;F458),IF('депозитный калькулятор'!$F$1=1,$H$24,SUM($H$23:H458)-SUM($I$23:I457)),IF(AND('депозитный калькулятор'!$G$10="ежемесячное (в конце месяца)",EOMONTH(F458,0)=F458),SUM($H$23:H458)-SUM($I$23:I457),IF(AND('депозитный калькулятор'!$G$10="ежемесячное (по дням открытия вклада)",F458='депозитный калькулятор'!$D$8,DAY('депозитный калькулятор'!$D$7)&lt;&gt;DAY(F458)),IF('депозитный калькулятор'!$F$1=1,$H$24,SUM($H$23:H458)-SUM($I$23:I457)),IF(AND('депозитный калькулятор'!$G$10="ежемесячное (по дням открытия вклада)",DAY('депозитный калькулятор'!$D$7)=DAY(F458)),SUM($H$23:H458)-SUM($I$23:I457),IF(AND('депозитный калькулятор'!$G$10="ежемесячное, на минимальную сумму зафиксированную в течение месяца",F458='депозитный калькулятор'!$D$8,EOMONTH(F458,0)&lt;&gt;F458),IF('депозитный калькулятор'!$F$1=1,$H$24,IF(AND(OR('депозитный калькулятор'!$G$7="30/365",'депозитный калькулятор'!$G$7="30/360"),DAY(F458)=31),0,MIN(OFFSET(H458,-E458+1,0):H458)*(E458+SUMIF(OFFSET(A458,-E458+1,0):A458,"=2",OFFSET(A458,-E458+1,0):A458)))),IF(AND('депозитный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калькулятор'!$G$7="30/360"),DAY(EOMONTH(F458,0))=31),EOMONTH(F458,0)-1=F458,EOMONTH(F458,0)=F458)),IF(IF(AND(OR('депозитный калькулятор'!$G$7="30/365",'депозитный калькулятор'!$G$7="30/360"),DAY(EOMONTH($F$23,0))=31),F458=EOMONTH($F$23,0)-1,F458=EOMONTH($F$23,0)),MIN(OFFSET(H458,-(DAY(F458)-DAY($F$23)),0):H458)*E458,MIN(OFFSET(H458,-(DAY(F458)-1),0):H458)*IF(AND(OR('депозитный калькулятор'!$G$7="30/365",'депозитный калькулятор'!$G$7="30/360"),DAY(F458)&lt;30),30,DAY(F458))),IF(AND('депозитный калькулятор'!$G$10="ежемесячное, на средний остаток в течение месяца, при условии что остаток больше чем ограничение",F458='депозитный калькулятор'!$D$8,EOMONTH(F458,0)&lt;&gt;F458),IF('депозитный калькулятор'!$F$1=1,$H$24,SUM(OFFSET(Q458,-E458+1,0):Q458)),IF(AND('депозитный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калькулятор'!$G$7="30/360"),DAY(EOMONTH(F458,0))=31),EOMONTH(F458,0)-1=F458,EOMONTH(F458,0)=F458)),IF(IF(AND(OR('депозитный калькулятор'!$G$7="30/365",'депозитный калькулятор'!$G$7="30/360"),DAY(EOMONTH($F$24,0))=31),F458=EOMONTH($F$24,0)-1,F458=EOMONTH($F$24,0)),SUM(OFFSET(Q458,-E458+1,0):Q458),SUM(OFFSET(Q458,-E458+1,0):Q458)),IF('депозитный калькулятор'!$G$10="ежеквартальное",IF(F458&gt;'депозитный калькулятор'!$D$8," ",IF(AND(EOMONTH(F458,0)=F458,OR(MONTH(F458)=3,MONTH(F458)=6,MONTH(F458)=9,MONTH(F458)=12)),IF(EDATE(F458,-3)&lt;'депозитный калькулятор'!$D$7,SUM($H$23:H458),IF(MOD(YEAR(F458),4)=0,IF(AND(EOMONTH(F458,0)=F458,OR(MONTH(F458)=3,MONTH(F458)=6)),SUM(OFFSET(H458,-90,0):H458),IF(AND(EOMONTH(F458,0)=F458,OR(MONTH(F458)=9,MONTH(F458)=12)),SUM(OFFSET(H458,-91,0):H458))),IF(AND(EOMONTH(F458,0)=F458,MONTH(F458)=3),SUM(OFFSET(H458,-89,0):H458),IF(AND(EOMONTH(F458,0)=F458,MONTH(F458)=6),SUM(OFFSET(H458,-90,0):H458),IF(AND(EOMONTH(F458,0)=F458,OR(MONTH(F458)=9,MONTH(F458)=12)),SUM(OFFSET(H458,-91,0):H458)))))),IF(F458='депозитный калькулятор'!$D$8,SUM($H$23:H458)-SUM($I$23:I457),0))),IF('депозитный калькулятор'!$G$10="ежегодное",IF(F458&gt;'депозитный калькулятор'!$D$8," ",IF(F458='депозитный калькулятор'!$D$8,SUM($H$23:H458)-SUM($I$23:I457),IF(AND(EOMONTH(F458,0)=F458,MONTH(F458)=12),IF(MOD(YEAR(F457),4)=0,IF(F458-'депозитный калькулятор'!$D$7&lt;366,SUM($H$23:H458),SUM(OFFSET(H458,-365,0):H458)),IF(F458-'депозитный калькулятор'!$D$7&lt;365,SUM($H$23:H458),SUM(OFFSET(H458,-364,0):H458))),0))),IF(AND('депозитный калькулятор'!$G$10="в конце срока",'депозитный калькулятор'!$D$8=F458),SUM($H$23:H458),0))))))))))))))))))</f>
        <v xml:space="preserve"> </v>
      </c>
      <c r="J458" s="59" t="str">
        <f>IF(F458&gt;'депозитный калькулятор'!$D$8," ",IF('депозитный калькулятор'!$G$16="нет",0,IF(AND('депозитный калькулятор'!$G$17="разовая (в конце срока)",F458='депозитный калькулятор'!$D$8),'депозитный калькулятор'!$G$18,IF(AND('депозитный калькулятор'!$G$17="ежемесячная",EOMONTH(F457,0)=F457),'депозитный калькулятор'!$G$18,IF(AND('депозитный калькулятор'!$G$17="ежегодная",DAY(F457)=31,MONTH(F457)=12),'депозитный калькулятор'!$G$18,IF(AND('депозитный калькулятор'!$G$17="ежемесячная в зависимости от остатка",EOMONTH(F457,0)=F457,P457&gt;0),'депозитный калькулятор'!$G$18,IF(AND('депозитный калькулятор'!$G$17="ежегодная в зависимости от остатка",DAY(F457)=31,MONTH(F457)=12,P457&gt;0),'депозитный калькулятор'!$G$18,0)))))))</f>
        <v xml:space="preserve"> </v>
      </c>
      <c r="K458" s="135" t="str">
        <f>IF($F458=" "," ",IFERROR(VLOOKUP($F458,'депозитный калькулятор'!$B$26:$F$70,2,0),0))</f>
        <v xml:space="preserve"> </v>
      </c>
      <c r="L458" s="135" t="str">
        <f>IF($F458=" "," ",IFERROR(VLOOKUP($F458,'депозитный калькулятор'!$B$26:$F$70,3,0),0))</f>
        <v xml:space="preserve"> </v>
      </c>
      <c r="M458" s="135" t="str">
        <f>IF($F458=" "," ",IFERROR(VLOOKUP($F458,'депозитный калькулятор'!$B$26:$F$70,4,0),0))</f>
        <v xml:space="preserve"> </v>
      </c>
      <c r="N458" s="135" t="str">
        <f>IF($F458=" "," ",IFERROR(VLOOKUP($F458,'депозитный калькулятор'!$B$26:$F$70,5,0),0))</f>
        <v xml:space="preserve"> </v>
      </c>
      <c r="O458" s="146" t="str">
        <f>IF(F458&gt;'депозитный калькулятор'!$D$8," ",IF(F458='депозитный калькулятор'!$D$8,IF(AND($F$24='депозитный калькулятор'!$D$8,'депозитный калькулятор'!$G$13="нет"),-G458-IF(I458=" ",0,I458)-IF(AND(OR('депозитный калькулятор'!$G$7="30/365",'депозитный калькулятор'!$G$7="30/360"),'депозитный калькулятор'!$G$10="в начале срока"),I457,0)-L458+M458-N458,-G458-IF(I458=" ",0,I458)-L458+M458-N458),IF('депозитный калькулятор'!$G$13="есть",M458-N458+IF('депозитный калькулятор'!$G$14="есть",0,-L458),-IF(I458=" ",0,I458)-IF(AND(OR('депозитный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срока"),I457,0)+M458-N458+IF('депозитный калькулятор'!$G$14="есть",0,-L458))))</f>
        <v xml:space="preserve"> </v>
      </c>
      <c r="P458" s="147" t="str">
        <f>IF(F458&gt;'депозитный калькулятор'!$D$8," ",IF(EOMONTH(F457,0)=F457,0,IF(G458&gt;='депозитный калькулятор'!$G$19,P457,P457+1)))</f>
        <v xml:space="preserve"> </v>
      </c>
      <c r="Q458" s="138" t="str">
        <f>IF(F458=" "," ",IF(AND(OR('депозитный калькулятор'!$G$7="30/365",'депозитный калькулятор'!$G$7="30/360"),AND(MONTH(F458)=2,EOMONTH(F458,0)=F458)),IF(DAY(F458)=28,3,2),1)*IF(G458&gt;='депозитный калькулятор'!$G$11,IF(AND('депозитный калькулятор'!$G$7="факт/факт",MOD(YEAR(F458),4)=0),G458*'депозитный калькулятор'!$D$11/366,G458*'депозитный калькулятор'!$G$8),0))</f>
        <v xml:space="preserve"> </v>
      </c>
      <c r="R458" s="158"/>
      <c r="S458" s="62" t="str">
        <f t="shared" ca="1" si="32"/>
        <v xml:space="preserve"> </v>
      </c>
      <c r="T458" s="149" t="str">
        <f ca="1">IF(S458=" "," ",IF('депозитный калькулятор'!$G$7="30/360",DAYS360(U457,IF(DAY(U458)=31,U458-1,U458))+IF(AND(MONTH(U458)=2,U458=EOMONTH(U458,0)),30-DAY(EOMONTH(U458,0)))+T457,VLOOKUP(S458,$C$22:$F$1023,2,0)))</f>
        <v xml:space="preserve"> </v>
      </c>
      <c r="U458" s="64" t="str">
        <f t="shared" ca="1" si="30"/>
        <v xml:space="preserve"> </v>
      </c>
      <c r="V458" s="150" t="str">
        <f t="shared" ca="1" si="33"/>
        <v xml:space="preserve"> </v>
      </c>
      <c r="W458" s="62" t="str">
        <f t="shared" ca="1" si="34"/>
        <v xml:space="preserve"> </v>
      </c>
      <c r="X458" s="141" t="str">
        <f ca="1">IF(S458=" "," ",IFERROR(VLOOKUP(U458,$F$23:$N$1023,7)+VLOOKUP(U458,$F$23:$N$1023,9)+IF(AND('депозитный калькулятор'!$G$13="нет",U458&lt;&gt;'депозитный калькулятор'!$D$8),VLOOKUP(U458,$F$23:$N$1023,4),0),0)+IF(U458='депозитный калькулятор'!$D$8,VLOOKUP(U458,$F$23:$N$1023,2)+VLOOKUP(U458,$F$23:$N$1023,4),0))</f>
        <v xml:space="preserve"> </v>
      </c>
      <c r="Y458" s="142" t="str">
        <f ca="1">IF(S458=" "," ",W458/(1+'депозитный калькулятор'!$K$8)^(T458/IF('депозитный калькулятор'!$G$7="30/360",360,365)))</f>
        <v xml:space="preserve"> </v>
      </c>
      <c r="Z458" s="142" t="str">
        <f ca="1">IF(S458=" "," ",X458/(1+'депозитный калькулятор'!$K$8)^(T458/IF('депозитный калькулятор'!$G$7="30/360",360,365)))</f>
        <v xml:space="preserve"> </v>
      </c>
      <c r="AA458" s="151"/>
      <c r="AB458" s="151"/>
      <c r="AC458" s="155"/>
      <c r="AD458" s="155"/>
    </row>
    <row r="459" spans="1:30" s="2" customFormat="1" ht="15.5" x14ac:dyDescent="0.35">
      <c r="A459" s="41" t="str">
        <f>IF(F459=" "," ",IF(OR('депозитный калькулятор'!$G$7="30/365",'депозитный калькулятор'!$G$7="30/360"),IF(AND(MONTH(F459)=2,DAY(F459)=DAY(EOMONTH(F459,0))),30-DAY(EOMONTH(F459,0)),IF(DAY(F459)=31,1," "))," "))</f>
        <v xml:space="preserve"> </v>
      </c>
      <c r="B459" s="130" t="str">
        <f t="shared" si="31"/>
        <v xml:space="preserve"> </v>
      </c>
      <c r="C459" s="130" t="str">
        <f>IF(OR(B459=0,B459=" ")," ",SUM($B$23:B459))</f>
        <v xml:space="preserve"> </v>
      </c>
      <c r="D459" s="62" t="str">
        <f>IF(D458=" "," ",IF(OR(F458='депозитный калькулятор'!$D$8,F458=" ")," ",D458+1))</f>
        <v xml:space="preserve"> </v>
      </c>
      <c r="E459" s="130" t="str">
        <f>IF(OR(F458='депозитный калькулятор'!$D$8,F458=" ")," ",IF(EOMONTH(F458,0)=F458,1,E458+1))</f>
        <v xml:space="preserve"> </v>
      </c>
      <c r="F459" s="64" t="str">
        <f>IF(F458=" "," ",IF(F458='депозитный калькулятор'!$D$8," ",F458+1))</f>
        <v xml:space="preserve"> </v>
      </c>
      <c r="G459" s="145" t="str">
        <f xml:space="preserve"> IF(F459&gt;'депозитный калькулятор'!$D$8," ",IF('депозитный калькулятор'!$G$13="есть",IF('депозитный калькулятор'!$G$14="есть",G458+IF(I458=" ",0,I458)-J459-K459+L459+M459-N459,G458+IF(I458=" ",0,I458)-J459-K459+M459-N459),IF('депозитный калькулятор'!$G$14="есть",G458-J459-K459+L459+M459-N459,G458-J459-K459+M459-N459)))</f>
        <v xml:space="preserve"> </v>
      </c>
      <c r="H459" s="133" t="str">
        <f>IF(F459&gt;'депозитный калькулятор'!$D$8," ",IF(AND(OR('депозитный калькулятор'!$G$7="30/365",'депозитный калькулятор'!$G$7="30/360"),AND(MONTH(F459)=2,EOMONTH(F459,0)=F459)),IF(DAY(F459)=28,3*G459*'депозитный калькулятор'!$G$8,2*G459*'депозитный калькулятор'!$G$8),IF(AND(OR('депозитный калькулятор'!$G$7="30/365",'депозитный калькулятор'!$G$7="30/360"),DAY(F459)=31)," ",IF(AND('депозитный калькулятор'!$G$7="факт/факт",MOD(YEAR(F459),4)=0),G459*'депозитный калькулятор'!$D$11/366,G459*'депозитный калькулятор'!$G$8))))</f>
        <v xml:space="preserve"> </v>
      </c>
      <c r="I459" s="134" t="str">
        <f ca="1">IF(F459=" "," ",IF('депозитный калькулятор'!$G$10="ежедневное",H459,IF(AND('депозитный калькулятор'!$G$10="еженедельное",WEEKDAY(F459,2)=7),SUM(OFFSET(H459,-6,0):H459),IF(AND('депозитный калькулятор'!$G$10="еженедельное",F459='депозитный калькулятор'!$D$8),SUM($H$23:H459)-SUM($I$23:I458),IF(AND('депозитный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недели",WEEKDAY(F459,2)=7),MIN(OFFSET(H459,-6,0):H459)*(COUNTIF(OFFSET(H459,-6,0):H459,"&gt;0")+SUMIF(OFFSET(A459,-WEEKDAY(F459,2),0):A459,"=2",OFFSET(A459,-WEEKDAY(F459,2),0):A459)),IF(AND('депозитный калькулятор'!$G$10="еженедельное, на минимальную сумму зафиксированную в течение недели",F459='депозитный калькулятор'!$D$8,WEEKDAY(F459,2)&lt;&gt;7),MIN(OFFSET(H459,-WEEKDAY(F459,2),0):H459)*(COUNTIF(OFFSET(H459,-WEEKDAY(F459,2)+1,0):H459,"&gt;0")+SUM(OFFSET(A459,-WEEKDAY(F459,2),0):A459)),IF(AND('депозитный калькулятор'!$G$10="ежемесячное (в конце месяца)",F459='депозитный калькулятор'!$D$8,EOMONTH(F459,0)&lt;&gt;F459),IF('депозитный калькулятор'!$F$1=1,$H$24,SUM($H$23:H459)-SUM($I$23:I458)),IF(AND('депозитный калькулятор'!$G$10="ежемесячное (в конце месяца)",EOMONTH(F459,0)=F459),SUM($H$23:H459)-SUM($I$23:I458),IF(AND('депозитный калькулятор'!$G$10="ежемесячное (по дням открытия вклада)",F459='депозитный калькулятор'!$D$8,DAY('депозитный калькулятор'!$D$7)&lt;&gt;DAY(F459)),IF('депозитный калькулятор'!$F$1=1,$H$24,SUM($H$23:H459)-SUM($I$23:I458)),IF(AND('депозитный калькулятор'!$G$10="ежемесячное (по дням открытия вклада)",DAY('депозитный калькулятор'!$D$7)=DAY(F459)),SUM($H$23:H459)-SUM($I$23:I458),IF(AND('депозитный калькулятор'!$G$10="ежемесячное, на минимальную сумму зафиксированную в течение месяца",F459='депозитный калькулятор'!$D$8,EOMONTH(F459,0)&lt;&gt;F459),IF('депозитный калькулятор'!$F$1=1,$H$24,IF(AND(OR('депозитный калькулятор'!$G$7="30/365",'депозитный калькулятор'!$G$7="30/360"),DAY(F459)=31),0,MIN(OFFSET(H459,-E459+1,0):H459)*(E459+SUMIF(OFFSET(A459,-E459+1,0):A459,"=2",OFFSET(A459,-E459+1,0):A459)))),IF(AND('депозитный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калькулятор'!$G$7="30/360"),DAY(EOMONTH(F459,0))=31),EOMONTH(F459,0)-1=F459,EOMONTH(F459,0)=F459)),IF(IF(AND(OR('депозитный калькулятор'!$G$7="30/365",'депозитный калькулятор'!$G$7="30/360"),DAY(EOMONTH($F$23,0))=31),F459=EOMONTH($F$23,0)-1,F459=EOMONTH($F$23,0)),MIN(OFFSET(H459,-(DAY(F459)-DAY($F$23)),0):H459)*E459,MIN(OFFSET(H459,-(DAY(F459)-1),0):H459)*IF(AND(OR('депозитный калькулятор'!$G$7="30/365",'депозитный калькулятор'!$G$7="30/360"),DAY(F459)&lt;30),30,DAY(F459))),IF(AND('депозитный калькулятор'!$G$10="ежемесячное, на средний остаток в течение месяца, при условии что остаток больше чем ограничение",F459='депозитный калькулятор'!$D$8,EOMONTH(F459,0)&lt;&gt;F459),IF('депозитный калькулятор'!$F$1=1,$H$24,SUM(OFFSET(Q459,-E459+1,0):Q459)),IF(AND('депозитный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калькулятор'!$G$7="30/360"),DAY(EOMONTH(F459,0))=31),EOMONTH(F459,0)-1=F459,EOMONTH(F459,0)=F459)),IF(IF(AND(OR('депозитный калькулятор'!$G$7="30/365",'депозитный калькулятор'!$G$7="30/360"),DAY(EOMONTH($F$24,0))=31),F459=EOMONTH($F$24,0)-1,F459=EOMONTH($F$24,0)),SUM(OFFSET(Q459,-E459+1,0):Q459),SUM(OFFSET(Q459,-E459+1,0):Q459)),IF('депозитный калькулятор'!$G$10="ежеквартальное",IF(F459&gt;'депозитный калькулятор'!$D$8," ",IF(AND(EOMONTH(F459,0)=F459,OR(MONTH(F459)=3,MONTH(F459)=6,MONTH(F459)=9,MONTH(F459)=12)),IF(EDATE(F459,-3)&lt;'депозитный калькулятор'!$D$7,SUM($H$23:H459),IF(MOD(YEAR(F459),4)=0,IF(AND(EOMONTH(F459,0)=F459,OR(MONTH(F459)=3,MONTH(F459)=6)),SUM(OFFSET(H459,-90,0):H459),IF(AND(EOMONTH(F459,0)=F459,OR(MONTH(F459)=9,MONTH(F459)=12)),SUM(OFFSET(H459,-91,0):H459))),IF(AND(EOMONTH(F459,0)=F459,MONTH(F459)=3),SUM(OFFSET(H459,-89,0):H459),IF(AND(EOMONTH(F459,0)=F459,MONTH(F459)=6),SUM(OFFSET(H459,-90,0):H459),IF(AND(EOMONTH(F459,0)=F459,OR(MONTH(F459)=9,MONTH(F459)=12)),SUM(OFFSET(H459,-91,0):H459)))))),IF(F459='депозитный калькулятор'!$D$8,SUM($H$23:H459)-SUM($I$23:I458),0))),IF('депозитный калькулятор'!$G$10="ежегодное",IF(F459&gt;'депозитный калькулятор'!$D$8," ",IF(F459='депозитный калькулятор'!$D$8,SUM($H$23:H459)-SUM($I$23:I458),IF(AND(EOMONTH(F459,0)=F459,MONTH(F459)=12),IF(MOD(YEAR(F458),4)=0,IF(F459-'депозитный калькулятор'!$D$7&lt;366,SUM($H$23:H459),SUM(OFFSET(H459,-365,0):H459)),IF(F459-'депозитный калькулятор'!$D$7&lt;365,SUM($H$23:H459),SUM(OFFSET(H459,-364,0):H459))),0))),IF(AND('депозитный калькулятор'!$G$10="в конце срока",'депозитный калькулятор'!$D$8=F459),SUM($H$23:H459),0))))))))))))))))))</f>
        <v xml:space="preserve"> </v>
      </c>
      <c r="J459" s="59" t="str">
        <f>IF(F459&gt;'депозитный калькулятор'!$D$8," ",IF('депозитный калькулятор'!$G$16="нет",0,IF(AND('депозитный калькулятор'!$G$17="разовая (в конце срока)",F459='депозитный калькулятор'!$D$8),'депозитный калькулятор'!$G$18,IF(AND('депозитный калькулятор'!$G$17="ежемесячная",EOMONTH(F458,0)=F458),'депозитный калькулятор'!$G$18,IF(AND('депозитный калькулятор'!$G$17="ежегодная",DAY(F458)=31,MONTH(F458)=12),'депозитный калькулятор'!$G$18,IF(AND('депозитный калькулятор'!$G$17="ежемесячная в зависимости от остатка",EOMONTH(F458,0)=F458,P458&gt;0),'депозитный калькулятор'!$G$18,IF(AND('депозитный калькулятор'!$G$17="ежегодная в зависимости от остатка",DAY(F458)=31,MONTH(F458)=12,P458&gt;0),'депозитный калькулятор'!$G$18,0)))))))</f>
        <v xml:space="preserve"> </v>
      </c>
      <c r="K459" s="135" t="str">
        <f>IF($F459=" "," ",IFERROR(VLOOKUP($F459,'депозитный калькулятор'!$B$26:$F$70,2,0),0))</f>
        <v xml:space="preserve"> </v>
      </c>
      <c r="L459" s="135" t="str">
        <f>IF($F459=" "," ",IFERROR(VLOOKUP($F459,'депозитный калькулятор'!$B$26:$F$70,3,0),0))</f>
        <v xml:space="preserve"> </v>
      </c>
      <c r="M459" s="135" t="str">
        <f>IF($F459=" "," ",IFERROR(VLOOKUP($F459,'депозитный калькулятор'!$B$26:$F$70,4,0),0))</f>
        <v xml:space="preserve"> </v>
      </c>
      <c r="N459" s="135" t="str">
        <f>IF($F459=" "," ",IFERROR(VLOOKUP($F459,'депозитный калькулятор'!$B$26:$F$70,5,0),0))</f>
        <v xml:space="preserve"> </v>
      </c>
      <c r="O459" s="146" t="str">
        <f>IF(F459&gt;'депозитный калькулятор'!$D$8," ",IF(F459='депозитный калькулятор'!$D$8,IF(AND($F$24='депозитный калькулятор'!$D$8,'депозитный калькулятор'!$G$13="нет"),-G459-IF(I459=" ",0,I459)-IF(AND(OR('депозитный калькулятор'!$G$7="30/365",'депозитный калькулятор'!$G$7="30/360"),'депозитный калькулятор'!$G$10="в начале срока"),I458,0)-L459+M459-N459,-G459-IF(I459=" ",0,I459)-L459+M459-N459),IF('депозитный калькулятор'!$G$13="есть",M459-N459+IF('депозитный калькулятор'!$G$14="есть",0,-L459),-IF(I459=" ",0,I459)-IF(AND(OR('депозитный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срока"),I458,0)+M459-N459+IF('депозитный калькулятор'!$G$14="есть",0,-L459))))</f>
        <v xml:space="preserve"> </v>
      </c>
      <c r="P459" s="147" t="str">
        <f>IF(F459&gt;'депозитный калькулятор'!$D$8," ",IF(EOMONTH(F458,0)=F458,0,IF(G459&gt;='депозитный калькулятор'!$G$19,P458,P458+1)))</f>
        <v xml:space="preserve"> </v>
      </c>
      <c r="Q459" s="138" t="str">
        <f>IF(F459=" "," ",IF(AND(OR('депозитный калькулятор'!$G$7="30/365",'депозитный калькулятор'!$G$7="30/360"),AND(MONTH(F459)=2,EOMONTH(F459,0)=F459)),IF(DAY(F459)=28,3,2),1)*IF(G459&gt;='депозитный калькулятор'!$G$11,IF(AND('депозитный калькулятор'!$G$7="факт/факт",MOD(YEAR(F459),4)=0),G459*'депозитный калькулятор'!$D$11/366,G459*'депозитный калькулятор'!$G$8),0))</f>
        <v xml:space="preserve"> </v>
      </c>
      <c r="R459" s="158"/>
      <c r="S459" s="62" t="str">
        <f t="shared" ca="1" si="32"/>
        <v xml:space="preserve"> </v>
      </c>
      <c r="T459" s="149" t="str">
        <f ca="1">IF(S459=" "," ",IF('депозитный калькулятор'!$G$7="30/360",DAYS360(U458,IF(DAY(U459)=31,U459-1,U459))+IF(AND(MONTH(U459)=2,U459=EOMONTH(U459,0)),30-DAY(EOMONTH(U459,0)))+T458,VLOOKUP(S459,$C$22:$F$1023,2,0)))</f>
        <v xml:space="preserve"> </v>
      </c>
      <c r="U459" s="64" t="str">
        <f t="shared" ca="1" si="30"/>
        <v xml:space="preserve"> </v>
      </c>
      <c r="V459" s="150" t="str">
        <f t="shared" ca="1" si="33"/>
        <v xml:space="preserve"> </v>
      </c>
      <c r="W459" s="62" t="str">
        <f t="shared" ca="1" si="34"/>
        <v xml:space="preserve"> </v>
      </c>
      <c r="X459" s="141" t="str">
        <f ca="1">IF(S459=" "," ",IFERROR(VLOOKUP(U459,$F$23:$N$1023,7)+VLOOKUP(U459,$F$23:$N$1023,9)+IF(AND('депозитный калькулятор'!$G$13="нет",U459&lt;&gt;'депозитный калькулятор'!$D$8),VLOOKUP(U459,$F$23:$N$1023,4),0),0)+IF(U459='депозитный калькулятор'!$D$8,VLOOKUP(U459,$F$23:$N$1023,2)+VLOOKUP(U459,$F$23:$N$1023,4),0))</f>
        <v xml:space="preserve"> </v>
      </c>
      <c r="Y459" s="142" t="str">
        <f ca="1">IF(S459=" "," ",W459/(1+'депозитный калькулятор'!$K$8)^(T459/IF('депозитный калькулятор'!$G$7="30/360",360,365)))</f>
        <v xml:space="preserve"> </v>
      </c>
      <c r="Z459" s="142" t="str">
        <f ca="1">IF(S459=" "," ",X459/(1+'депозитный калькулятор'!$K$8)^(T459/IF('депозитный калькулятор'!$G$7="30/360",360,365)))</f>
        <v xml:space="preserve"> </v>
      </c>
      <c r="AA459" s="151"/>
      <c r="AB459" s="151"/>
      <c r="AC459" s="155"/>
      <c r="AD459" s="155"/>
    </row>
    <row r="460" spans="1:30" s="2" customFormat="1" ht="15.5" x14ac:dyDescent="0.35">
      <c r="A460" s="41" t="str">
        <f>IF(F460=" "," ",IF(OR('депозитный калькулятор'!$G$7="30/365",'депозитный калькулятор'!$G$7="30/360"),IF(AND(MONTH(F460)=2,DAY(F460)=DAY(EOMONTH(F460,0))),30-DAY(EOMONTH(F460,0)),IF(DAY(F460)=31,1," "))," "))</f>
        <v xml:space="preserve"> </v>
      </c>
      <c r="B460" s="130" t="str">
        <f t="shared" si="31"/>
        <v xml:space="preserve"> </v>
      </c>
      <c r="C460" s="130" t="str">
        <f>IF(OR(B460=0,B460=" ")," ",SUM($B$23:B460))</f>
        <v xml:space="preserve"> </v>
      </c>
      <c r="D460" s="62" t="str">
        <f>IF(D459=" "," ",IF(OR(F459='депозитный калькулятор'!$D$8,F459=" ")," ",D459+1))</f>
        <v xml:space="preserve"> </v>
      </c>
      <c r="E460" s="130" t="str">
        <f>IF(OR(F459='депозитный калькулятор'!$D$8,F459=" ")," ",IF(EOMONTH(F459,0)=F459,1,E459+1))</f>
        <v xml:space="preserve"> </v>
      </c>
      <c r="F460" s="64" t="str">
        <f>IF(F459=" "," ",IF(F459='депозитный калькулятор'!$D$8," ",F459+1))</f>
        <v xml:space="preserve"> </v>
      </c>
      <c r="G460" s="145" t="str">
        <f xml:space="preserve"> IF(F460&gt;'депозитный калькулятор'!$D$8," ",IF('депозитный калькулятор'!$G$13="есть",IF('депозитный калькулятор'!$G$14="есть",G459+IF(I459=" ",0,I459)-J460-K460+L460+M460-N460,G459+IF(I459=" ",0,I459)-J460-K460+M460-N460),IF('депозитный калькулятор'!$G$14="есть",G459-J460-K460+L460+M460-N460,G459-J460-K460+M460-N460)))</f>
        <v xml:space="preserve"> </v>
      </c>
      <c r="H460" s="133" t="str">
        <f>IF(F460&gt;'депозитный калькулятор'!$D$8," ",IF(AND(OR('депозитный калькулятор'!$G$7="30/365",'депозитный калькулятор'!$G$7="30/360"),AND(MONTH(F460)=2,EOMONTH(F460,0)=F460)),IF(DAY(F460)=28,3*G460*'депозитный калькулятор'!$G$8,2*G460*'депозитный калькулятор'!$G$8),IF(AND(OR('депозитный калькулятор'!$G$7="30/365",'депозитный калькулятор'!$G$7="30/360"),DAY(F460)=31)," ",IF(AND('депозитный калькулятор'!$G$7="факт/факт",MOD(YEAR(F460),4)=0),G460*'депозитный калькулятор'!$D$11/366,G460*'депозитный калькулятор'!$G$8))))</f>
        <v xml:space="preserve"> </v>
      </c>
      <c r="I460" s="134" t="str">
        <f ca="1">IF(F460=" "," ",IF('депозитный калькулятор'!$G$10="ежедневное",H460,IF(AND('депозитный калькулятор'!$G$10="еженедельное",WEEKDAY(F460,2)=7),SUM(OFFSET(H460,-6,0):H460),IF(AND('депозитный калькулятор'!$G$10="еженедельное",F460='депозитный калькулятор'!$D$8),SUM($H$23:H460)-SUM($I$23:I459),IF(AND('депозитный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недели",WEEKDAY(F460,2)=7),MIN(OFFSET(H460,-6,0):H460)*(COUNTIF(OFFSET(H460,-6,0):H460,"&gt;0")+SUMIF(OFFSET(A460,-WEEKDAY(F460,2),0):A460,"=2",OFFSET(A460,-WEEKDAY(F460,2),0):A460)),IF(AND('депозитный калькулятор'!$G$10="еженедельное, на минимальную сумму зафиксированную в течение недели",F460='депозитный калькулятор'!$D$8,WEEKDAY(F460,2)&lt;&gt;7),MIN(OFFSET(H460,-WEEKDAY(F460,2),0):H460)*(COUNTIF(OFFSET(H460,-WEEKDAY(F460,2)+1,0):H460,"&gt;0")+SUM(OFFSET(A460,-WEEKDAY(F460,2),0):A460)),IF(AND('депозитный калькулятор'!$G$10="ежемесячное (в конце месяца)",F460='депозитный калькулятор'!$D$8,EOMONTH(F460,0)&lt;&gt;F460),IF('депозитный калькулятор'!$F$1=1,$H$24,SUM($H$23:H460)-SUM($I$23:I459)),IF(AND('депозитный калькулятор'!$G$10="ежемесячное (в конце месяца)",EOMONTH(F460,0)=F460),SUM($H$23:H460)-SUM($I$23:I459),IF(AND('депозитный калькулятор'!$G$10="ежемесячное (по дням открытия вклада)",F460='депозитный калькулятор'!$D$8,DAY('депозитный калькулятор'!$D$7)&lt;&gt;DAY(F460)),IF('депозитный калькулятор'!$F$1=1,$H$24,SUM($H$23:H460)-SUM($I$23:I459)),IF(AND('депозитный калькулятор'!$G$10="ежемесячное (по дням открытия вклада)",DAY('депозитный калькулятор'!$D$7)=DAY(F460)),SUM($H$23:H460)-SUM($I$23:I459),IF(AND('депозитный калькулятор'!$G$10="ежемесячное, на минимальную сумму зафиксированную в течение месяца",F460='депозитный калькулятор'!$D$8,EOMONTH(F460,0)&lt;&gt;F460),IF('депозитный калькулятор'!$F$1=1,$H$24,IF(AND(OR('депозитный калькулятор'!$G$7="30/365",'депозитный калькулятор'!$G$7="30/360"),DAY(F460)=31),0,MIN(OFFSET(H460,-E460+1,0):H460)*(E460+SUMIF(OFFSET(A460,-E460+1,0):A460,"=2",OFFSET(A460,-E460+1,0):A460)))),IF(AND('депозитный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калькулятор'!$G$7="30/360"),DAY(EOMONTH(F460,0))=31),EOMONTH(F460,0)-1=F460,EOMONTH(F460,0)=F460)),IF(IF(AND(OR('депозитный калькулятор'!$G$7="30/365",'депозитный калькулятор'!$G$7="30/360"),DAY(EOMONTH($F$23,0))=31),F460=EOMONTH($F$23,0)-1,F460=EOMONTH($F$23,0)),MIN(OFFSET(H460,-(DAY(F460)-DAY($F$23)),0):H460)*E460,MIN(OFFSET(H460,-(DAY(F460)-1),0):H460)*IF(AND(OR('депозитный калькулятор'!$G$7="30/365",'депозитный калькулятор'!$G$7="30/360"),DAY(F460)&lt;30),30,DAY(F460))),IF(AND('депозитный калькулятор'!$G$10="ежемесячное, на средний остаток в течение месяца, при условии что остаток больше чем ограничение",F460='депозитный калькулятор'!$D$8,EOMONTH(F460,0)&lt;&gt;F460),IF('депозитный калькулятор'!$F$1=1,$H$24,SUM(OFFSET(Q460,-E460+1,0):Q460)),IF(AND('депозитный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калькулятор'!$G$7="30/360"),DAY(EOMONTH(F460,0))=31),EOMONTH(F460,0)-1=F460,EOMONTH(F460,0)=F460)),IF(IF(AND(OR('депозитный калькулятор'!$G$7="30/365",'депозитный калькулятор'!$G$7="30/360"),DAY(EOMONTH($F$24,0))=31),F460=EOMONTH($F$24,0)-1,F460=EOMONTH($F$24,0)),SUM(OFFSET(Q460,-E460+1,0):Q460),SUM(OFFSET(Q460,-E460+1,0):Q460)),IF('депозитный калькулятор'!$G$10="ежеквартальное",IF(F460&gt;'депозитный калькулятор'!$D$8," ",IF(AND(EOMONTH(F460,0)=F460,OR(MONTH(F460)=3,MONTH(F460)=6,MONTH(F460)=9,MONTH(F460)=12)),IF(EDATE(F460,-3)&lt;'депозитный калькулятор'!$D$7,SUM($H$23:H460),IF(MOD(YEAR(F460),4)=0,IF(AND(EOMONTH(F460,0)=F460,OR(MONTH(F460)=3,MONTH(F460)=6)),SUM(OFFSET(H460,-90,0):H460),IF(AND(EOMONTH(F460,0)=F460,OR(MONTH(F460)=9,MONTH(F460)=12)),SUM(OFFSET(H460,-91,0):H460))),IF(AND(EOMONTH(F460,0)=F460,MONTH(F460)=3),SUM(OFFSET(H460,-89,0):H460),IF(AND(EOMONTH(F460,0)=F460,MONTH(F460)=6),SUM(OFFSET(H460,-90,0):H460),IF(AND(EOMONTH(F460,0)=F460,OR(MONTH(F460)=9,MONTH(F460)=12)),SUM(OFFSET(H460,-91,0):H460)))))),IF(F460='депозитный калькулятор'!$D$8,SUM($H$23:H460)-SUM($I$23:I459),0))),IF('депозитный калькулятор'!$G$10="ежегодное",IF(F460&gt;'депозитный калькулятор'!$D$8," ",IF(F460='депозитный калькулятор'!$D$8,SUM($H$23:H460)-SUM($I$23:I459),IF(AND(EOMONTH(F460,0)=F460,MONTH(F460)=12),IF(MOD(YEAR(F459),4)=0,IF(F460-'депозитный калькулятор'!$D$7&lt;366,SUM($H$23:H460),SUM(OFFSET(H460,-365,0):H460)),IF(F460-'депозитный калькулятор'!$D$7&lt;365,SUM($H$23:H460),SUM(OFFSET(H460,-364,0):H460))),0))),IF(AND('депозитный калькулятор'!$G$10="в конце срока",'депозитный калькулятор'!$D$8=F460),SUM($H$23:H460),0))))))))))))))))))</f>
        <v xml:space="preserve"> </v>
      </c>
      <c r="J460" s="59" t="str">
        <f>IF(F460&gt;'депозитный калькулятор'!$D$8," ",IF('депозитный калькулятор'!$G$16="нет",0,IF(AND('депозитный калькулятор'!$G$17="разовая (в конце срока)",F460='депозитный калькулятор'!$D$8),'депозитный калькулятор'!$G$18,IF(AND('депозитный калькулятор'!$G$17="ежемесячная",EOMONTH(F459,0)=F459),'депозитный калькулятор'!$G$18,IF(AND('депозитный калькулятор'!$G$17="ежегодная",DAY(F459)=31,MONTH(F459)=12),'депозитный калькулятор'!$G$18,IF(AND('депозитный калькулятор'!$G$17="ежемесячная в зависимости от остатка",EOMONTH(F459,0)=F459,P459&gt;0),'депозитный калькулятор'!$G$18,IF(AND('депозитный калькулятор'!$G$17="ежегодная в зависимости от остатка",DAY(F459)=31,MONTH(F459)=12,P459&gt;0),'депозитный калькулятор'!$G$18,0)))))))</f>
        <v xml:space="preserve"> </v>
      </c>
      <c r="K460" s="135" t="str">
        <f>IF($F460=" "," ",IFERROR(VLOOKUP($F460,'депозитный калькулятор'!$B$26:$F$70,2,0),0))</f>
        <v xml:space="preserve"> </v>
      </c>
      <c r="L460" s="135" t="str">
        <f>IF($F460=" "," ",IFERROR(VLOOKUP($F460,'депозитный калькулятор'!$B$26:$F$70,3,0),0))</f>
        <v xml:space="preserve"> </v>
      </c>
      <c r="M460" s="135" t="str">
        <f>IF($F460=" "," ",IFERROR(VLOOKUP($F460,'депозитный калькулятор'!$B$26:$F$70,4,0),0))</f>
        <v xml:space="preserve"> </v>
      </c>
      <c r="N460" s="135" t="str">
        <f>IF($F460=" "," ",IFERROR(VLOOKUP($F460,'депозитный калькулятор'!$B$26:$F$70,5,0),0))</f>
        <v xml:space="preserve"> </v>
      </c>
      <c r="O460" s="146" t="str">
        <f>IF(F460&gt;'депозитный калькулятор'!$D$8," ",IF(F460='депозитный калькулятор'!$D$8,IF(AND($F$24='депозитный калькулятор'!$D$8,'депозитный калькулятор'!$G$13="нет"),-G460-IF(I460=" ",0,I460)-IF(AND(OR('депозитный калькулятор'!$G$7="30/365",'депозитный калькулятор'!$G$7="30/360"),'депозитный калькулятор'!$G$10="в начале срока"),I459,0)-L460+M460-N460,-G460-IF(I460=" ",0,I460)-L460+M460-N460),IF('депозитный калькулятор'!$G$13="есть",M460-N460+IF('депозитный калькулятор'!$G$14="есть",0,-L460),-IF(I460=" ",0,I460)-IF(AND(OR('депозитный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срока"),I459,0)+M460-N460+IF('депозитный калькулятор'!$G$14="есть",0,-L460))))</f>
        <v xml:space="preserve"> </v>
      </c>
      <c r="P460" s="147" t="str">
        <f>IF(F460&gt;'депозитный калькулятор'!$D$8," ",IF(EOMONTH(F459,0)=F459,0,IF(G460&gt;='депозитный калькулятор'!$G$19,P459,P459+1)))</f>
        <v xml:space="preserve"> </v>
      </c>
      <c r="Q460" s="138" t="str">
        <f>IF(F460=" "," ",IF(AND(OR('депозитный калькулятор'!$G$7="30/365",'депозитный калькулятор'!$G$7="30/360"),AND(MONTH(F460)=2,EOMONTH(F460,0)=F460)),IF(DAY(F460)=28,3,2),1)*IF(G460&gt;='депозитный калькулятор'!$G$11,IF(AND('депозитный калькулятор'!$G$7="факт/факт",MOD(YEAR(F460),4)=0),G460*'депозитный калькулятор'!$D$11/366,G460*'депозитный калькулятор'!$G$8),0))</f>
        <v xml:space="preserve"> </v>
      </c>
      <c r="R460" s="158"/>
      <c r="S460" s="62" t="str">
        <f t="shared" ca="1" si="32"/>
        <v xml:space="preserve"> </v>
      </c>
      <c r="T460" s="149" t="str">
        <f ca="1">IF(S460=" "," ",IF('депозитный калькулятор'!$G$7="30/360",DAYS360(U459,IF(DAY(U460)=31,U460-1,U460))+IF(AND(MONTH(U460)=2,U460=EOMONTH(U460,0)),30-DAY(EOMONTH(U460,0)))+T459,VLOOKUP(S460,$C$22:$F$1023,2,0)))</f>
        <v xml:space="preserve"> </v>
      </c>
      <c r="U460" s="64" t="str">
        <f t="shared" ca="1" si="30"/>
        <v xml:space="preserve"> </v>
      </c>
      <c r="V460" s="150" t="str">
        <f t="shared" ca="1" si="33"/>
        <v xml:space="preserve"> </v>
      </c>
      <c r="W460" s="62" t="str">
        <f t="shared" ca="1" si="34"/>
        <v xml:space="preserve"> </v>
      </c>
      <c r="X460" s="141" t="str">
        <f ca="1">IF(S460=" "," ",IFERROR(VLOOKUP(U460,$F$23:$N$1023,7)+VLOOKUP(U460,$F$23:$N$1023,9)+IF(AND('депозитный калькулятор'!$G$13="нет",U460&lt;&gt;'депозитный калькулятор'!$D$8),VLOOKUP(U460,$F$23:$N$1023,4),0),0)+IF(U460='депозитный калькулятор'!$D$8,VLOOKUP(U460,$F$23:$N$1023,2)+VLOOKUP(U460,$F$23:$N$1023,4),0))</f>
        <v xml:space="preserve"> </v>
      </c>
      <c r="Y460" s="142" t="str">
        <f ca="1">IF(S460=" "," ",W460/(1+'депозитный калькулятор'!$K$8)^(T460/IF('депозитный калькулятор'!$G$7="30/360",360,365)))</f>
        <v xml:space="preserve"> </v>
      </c>
      <c r="Z460" s="142" t="str">
        <f ca="1">IF(S460=" "," ",X460/(1+'депозитный калькулятор'!$K$8)^(T460/IF('депозитный калькулятор'!$G$7="30/360",360,365)))</f>
        <v xml:space="preserve"> </v>
      </c>
      <c r="AA460" s="151"/>
      <c r="AB460" s="151"/>
      <c r="AC460" s="155"/>
      <c r="AD460" s="155"/>
    </row>
    <row r="461" spans="1:30" s="2" customFormat="1" ht="15.5" x14ac:dyDescent="0.35">
      <c r="A461" s="41" t="str">
        <f>IF(F461=" "," ",IF(OR('депозитный калькулятор'!$G$7="30/365",'депозитный калькулятор'!$G$7="30/360"),IF(AND(MONTH(F461)=2,DAY(F461)=DAY(EOMONTH(F461,0))),30-DAY(EOMONTH(F461,0)),IF(DAY(F461)=31,1," "))," "))</f>
        <v xml:space="preserve"> </v>
      </c>
      <c r="B461" s="130" t="str">
        <f t="shared" si="31"/>
        <v xml:space="preserve"> </v>
      </c>
      <c r="C461" s="130" t="str">
        <f>IF(OR(B461=0,B461=" ")," ",SUM($B$23:B461))</f>
        <v xml:space="preserve"> </v>
      </c>
      <c r="D461" s="62" t="str">
        <f>IF(D460=" "," ",IF(OR(F460='депозитный калькулятор'!$D$8,F460=" ")," ",D460+1))</f>
        <v xml:space="preserve"> </v>
      </c>
      <c r="E461" s="130" t="str">
        <f>IF(OR(F460='депозитный калькулятор'!$D$8,F460=" ")," ",IF(EOMONTH(F460,0)=F460,1,E460+1))</f>
        <v xml:space="preserve"> </v>
      </c>
      <c r="F461" s="64" t="str">
        <f>IF(F460=" "," ",IF(F460='депозитный калькулятор'!$D$8," ",F460+1))</f>
        <v xml:space="preserve"> </v>
      </c>
      <c r="G461" s="145" t="str">
        <f xml:space="preserve"> IF(F461&gt;'депозитный калькулятор'!$D$8," ",IF('депозитный калькулятор'!$G$13="есть",IF('депозитный калькулятор'!$G$14="есть",G460+IF(I460=" ",0,I460)-J461-K461+L461+M461-N461,G460+IF(I460=" ",0,I460)-J461-K461+M461-N461),IF('депозитный калькулятор'!$G$14="есть",G460-J461-K461+L461+M461-N461,G460-J461-K461+M461-N461)))</f>
        <v xml:space="preserve"> </v>
      </c>
      <c r="H461" s="133" t="str">
        <f>IF(F461&gt;'депозитный калькулятор'!$D$8," ",IF(AND(OR('депозитный калькулятор'!$G$7="30/365",'депозитный калькулятор'!$G$7="30/360"),AND(MONTH(F461)=2,EOMONTH(F461,0)=F461)),IF(DAY(F461)=28,3*G461*'депозитный калькулятор'!$G$8,2*G461*'депозитный калькулятор'!$G$8),IF(AND(OR('депозитный калькулятор'!$G$7="30/365",'депозитный калькулятор'!$G$7="30/360"),DAY(F461)=31)," ",IF(AND('депозитный калькулятор'!$G$7="факт/факт",MOD(YEAR(F461),4)=0),G461*'депозитный калькулятор'!$D$11/366,G461*'депозитный калькулятор'!$G$8))))</f>
        <v xml:space="preserve"> </v>
      </c>
      <c r="I461" s="134" t="str">
        <f ca="1">IF(F461=" "," ",IF('депозитный калькулятор'!$G$10="ежедневное",H461,IF(AND('депозитный калькулятор'!$G$10="еженедельное",WEEKDAY(F461,2)=7),SUM(OFFSET(H461,-6,0):H461),IF(AND('депозитный калькулятор'!$G$10="еженедельное",F461='депозитный калькулятор'!$D$8),SUM($H$23:H461)-SUM($I$23:I460),IF(AND('депозитный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недели",WEEKDAY(F461,2)=7),MIN(OFFSET(H461,-6,0):H461)*(COUNTIF(OFFSET(H461,-6,0):H461,"&gt;0")+SUMIF(OFFSET(A461,-WEEKDAY(F461,2),0):A461,"=2",OFFSET(A461,-WEEKDAY(F461,2),0):A461)),IF(AND('депозитный калькулятор'!$G$10="еженедельное, на минимальную сумму зафиксированную в течение недели",F461='депозитный калькулятор'!$D$8,WEEKDAY(F461,2)&lt;&gt;7),MIN(OFFSET(H461,-WEEKDAY(F461,2),0):H461)*(COUNTIF(OFFSET(H461,-WEEKDAY(F461,2)+1,0):H461,"&gt;0")+SUM(OFFSET(A461,-WEEKDAY(F461,2),0):A461)),IF(AND('депозитный калькулятор'!$G$10="ежемесячное (в конце месяца)",F461='депозитный калькулятор'!$D$8,EOMONTH(F461,0)&lt;&gt;F461),IF('депозитный калькулятор'!$F$1=1,$H$24,SUM($H$23:H461)-SUM($I$23:I460)),IF(AND('депозитный калькулятор'!$G$10="ежемесячное (в конце месяца)",EOMONTH(F461,0)=F461),SUM($H$23:H461)-SUM($I$23:I460),IF(AND('депозитный калькулятор'!$G$10="ежемесячное (по дням открытия вклада)",F461='депозитный калькулятор'!$D$8,DAY('депозитный калькулятор'!$D$7)&lt;&gt;DAY(F461)),IF('депозитный калькулятор'!$F$1=1,$H$24,SUM($H$23:H461)-SUM($I$23:I460)),IF(AND('депозитный калькулятор'!$G$10="ежемесячное (по дням открытия вклада)",DAY('депозитный калькулятор'!$D$7)=DAY(F461)),SUM($H$23:H461)-SUM($I$23:I460),IF(AND('депозитный калькулятор'!$G$10="ежемесячное, на минимальную сумму зафиксированную в течение месяца",F461='депозитный калькулятор'!$D$8,EOMONTH(F461,0)&lt;&gt;F461),IF('депозитный калькулятор'!$F$1=1,$H$24,IF(AND(OR('депозитный калькулятор'!$G$7="30/365",'депозитный калькулятор'!$G$7="30/360"),DAY(F461)=31),0,MIN(OFFSET(H461,-E461+1,0):H461)*(E461+SUMIF(OFFSET(A461,-E461+1,0):A461,"=2",OFFSET(A461,-E461+1,0):A461)))),IF(AND('депозитный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калькулятор'!$G$7="30/360"),DAY(EOMONTH(F461,0))=31),EOMONTH(F461,0)-1=F461,EOMONTH(F461,0)=F461)),IF(IF(AND(OR('депозитный калькулятор'!$G$7="30/365",'депозитный калькулятор'!$G$7="30/360"),DAY(EOMONTH($F$23,0))=31),F461=EOMONTH($F$23,0)-1,F461=EOMONTH($F$23,0)),MIN(OFFSET(H461,-(DAY(F461)-DAY($F$23)),0):H461)*E461,MIN(OFFSET(H461,-(DAY(F461)-1),0):H461)*IF(AND(OR('депозитный калькулятор'!$G$7="30/365",'депозитный калькулятор'!$G$7="30/360"),DAY(F461)&lt;30),30,DAY(F461))),IF(AND('депозитный калькулятор'!$G$10="ежемесячное, на средний остаток в течение месяца, при условии что остаток больше чем ограничение",F461='депозитный калькулятор'!$D$8,EOMONTH(F461,0)&lt;&gt;F461),IF('депозитный калькулятор'!$F$1=1,$H$24,SUM(OFFSET(Q461,-E461+1,0):Q461)),IF(AND('депозитный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калькулятор'!$G$7="30/360"),DAY(EOMONTH(F461,0))=31),EOMONTH(F461,0)-1=F461,EOMONTH(F461,0)=F461)),IF(IF(AND(OR('депозитный калькулятор'!$G$7="30/365",'депозитный калькулятор'!$G$7="30/360"),DAY(EOMONTH($F$24,0))=31),F461=EOMONTH($F$24,0)-1,F461=EOMONTH($F$24,0)),SUM(OFFSET(Q461,-E461+1,0):Q461),SUM(OFFSET(Q461,-E461+1,0):Q461)),IF('депозитный калькулятор'!$G$10="ежеквартальное",IF(F461&gt;'депозитный калькулятор'!$D$8," ",IF(AND(EOMONTH(F461,0)=F461,OR(MONTH(F461)=3,MONTH(F461)=6,MONTH(F461)=9,MONTH(F461)=12)),IF(EDATE(F461,-3)&lt;'депозитный калькулятор'!$D$7,SUM($H$23:H461),IF(MOD(YEAR(F461),4)=0,IF(AND(EOMONTH(F461,0)=F461,OR(MONTH(F461)=3,MONTH(F461)=6)),SUM(OFFSET(H461,-90,0):H461),IF(AND(EOMONTH(F461,0)=F461,OR(MONTH(F461)=9,MONTH(F461)=12)),SUM(OFFSET(H461,-91,0):H461))),IF(AND(EOMONTH(F461,0)=F461,MONTH(F461)=3),SUM(OFFSET(H461,-89,0):H461),IF(AND(EOMONTH(F461,0)=F461,MONTH(F461)=6),SUM(OFFSET(H461,-90,0):H461),IF(AND(EOMONTH(F461,0)=F461,OR(MONTH(F461)=9,MONTH(F461)=12)),SUM(OFFSET(H461,-91,0):H461)))))),IF(F461='депозитный калькулятор'!$D$8,SUM($H$23:H461)-SUM($I$23:I460),0))),IF('депозитный калькулятор'!$G$10="ежегодное",IF(F461&gt;'депозитный калькулятор'!$D$8," ",IF(F461='депозитный калькулятор'!$D$8,SUM($H$23:H461)-SUM($I$23:I460),IF(AND(EOMONTH(F461,0)=F461,MONTH(F461)=12),IF(MOD(YEAR(F460),4)=0,IF(F461-'депозитный калькулятор'!$D$7&lt;366,SUM($H$23:H461),SUM(OFFSET(H461,-365,0):H461)),IF(F461-'депозитный калькулятор'!$D$7&lt;365,SUM($H$23:H461),SUM(OFFSET(H461,-364,0):H461))),0))),IF(AND('депозитный калькулятор'!$G$10="в конце срока",'депозитный калькулятор'!$D$8=F461),SUM($H$23:H461),0))))))))))))))))))</f>
        <v xml:space="preserve"> </v>
      </c>
      <c r="J461" s="59" t="str">
        <f>IF(F461&gt;'депозитный калькулятор'!$D$8," ",IF('депозитный калькулятор'!$G$16="нет",0,IF(AND('депозитный калькулятор'!$G$17="разовая (в конце срока)",F461='депозитный калькулятор'!$D$8),'депозитный калькулятор'!$G$18,IF(AND('депозитный калькулятор'!$G$17="ежемесячная",EOMONTH(F460,0)=F460),'депозитный калькулятор'!$G$18,IF(AND('депозитный калькулятор'!$G$17="ежегодная",DAY(F460)=31,MONTH(F460)=12),'депозитный калькулятор'!$G$18,IF(AND('депозитный калькулятор'!$G$17="ежемесячная в зависимости от остатка",EOMONTH(F460,0)=F460,P460&gt;0),'депозитный калькулятор'!$G$18,IF(AND('депозитный калькулятор'!$G$17="ежегодная в зависимости от остатка",DAY(F460)=31,MONTH(F460)=12,P460&gt;0),'депозитный калькулятор'!$G$18,0)))))))</f>
        <v xml:space="preserve"> </v>
      </c>
      <c r="K461" s="135" t="str">
        <f>IF($F461=" "," ",IFERROR(VLOOKUP($F461,'депозитный калькулятор'!$B$26:$F$70,2,0),0))</f>
        <v xml:space="preserve"> </v>
      </c>
      <c r="L461" s="135" t="str">
        <f>IF($F461=" "," ",IFERROR(VLOOKUP($F461,'депозитный калькулятор'!$B$26:$F$70,3,0),0))</f>
        <v xml:space="preserve"> </v>
      </c>
      <c r="M461" s="135" t="str">
        <f>IF($F461=" "," ",IFERROR(VLOOKUP($F461,'депозитный калькулятор'!$B$26:$F$70,4,0),0))</f>
        <v xml:space="preserve"> </v>
      </c>
      <c r="N461" s="135" t="str">
        <f>IF($F461=" "," ",IFERROR(VLOOKUP($F461,'депозитный калькулятор'!$B$26:$F$70,5,0),0))</f>
        <v xml:space="preserve"> </v>
      </c>
      <c r="O461" s="146" t="str">
        <f>IF(F461&gt;'депозитный калькулятор'!$D$8," ",IF(F461='депозитный калькулятор'!$D$8,IF(AND($F$24='депозитный калькулятор'!$D$8,'депозитный калькулятор'!$G$13="нет"),-G461-IF(I461=" ",0,I461)-IF(AND(OR('депозитный калькулятор'!$G$7="30/365",'депозитный калькулятор'!$G$7="30/360"),'депозитный калькулятор'!$G$10="в начале срока"),I460,0)-L461+M461-N461,-G461-IF(I461=" ",0,I461)-L461+M461-N461),IF('депозитный калькулятор'!$G$13="есть",M461-N461+IF('депозитный калькулятор'!$G$14="есть",0,-L461),-IF(I461=" ",0,I461)-IF(AND(OR('депозитный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срока"),I460,0)+M461-N461+IF('депозитный калькулятор'!$G$14="есть",0,-L461))))</f>
        <v xml:space="preserve"> </v>
      </c>
      <c r="P461" s="147" t="str">
        <f>IF(F461&gt;'депозитный калькулятор'!$D$8," ",IF(EOMONTH(F460,0)=F460,0,IF(G461&gt;='депозитный калькулятор'!$G$19,P460,P460+1)))</f>
        <v xml:space="preserve"> </v>
      </c>
      <c r="Q461" s="138" t="str">
        <f>IF(F461=" "," ",IF(AND(OR('депозитный калькулятор'!$G$7="30/365",'депозитный калькулятор'!$G$7="30/360"),AND(MONTH(F461)=2,EOMONTH(F461,0)=F461)),IF(DAY(F461)=28,3,2),1)*IF(G461&gt;='депозитный калькулятор'!$G$11,IF(AND('депозитный калькулятор'!$G$7="факт/факт",MOD(YEAR(F461),4)=0),G461*'депозитный калькулятор'!$D$11/366,G461*'депозитный калькулятор'!$G$8),0))</f>
        <v xml:space="preserve"> </v>
      </c>
      <c r="R461" s="158"/>
      <c r="S461" s="62" t="str">
        <f t="shared" ca="1" si="32"/>
        <v xml:space="preserve"> </v>
      </c>
      <c r="T461" s="149" t="str">
        <f ca="1">IF(S461=" "," ",IF('депозитный калькулятор'!$G$7="30/360",DAYS360(U460,IF(DAY(U461)=31,U461-1,U461))+IF(AND(MONTH(U461)=2,U461=EOMONTH(U461,0)),30-DAY(EOMONTH(U461,0)))+T460,VLOOKUP(S461,$C$22:$F$1023,2,0)))</f>
        <v xml:space="preserve"> </v>
      </c>
      <c r="U461" s="64" t="str">
        <f t="shared" ca="1" si="30"/>
        <v xml:space="preserve"> </v>
      </c>
      <c r="V461" s="150" t="str">
        <f t="shared" ca="1" si="33"/>
        <v xml:space="preserve"> </v>
      </c>
      <c r="W461" s="62" t="str">
        <f t="shared" ca="1" si="34"/>
        <v xml:space="preserve"> </v>
      </c>
      <c r="X461" s="141" t="str">
        <f ca="1">IF(S461=" "," ",IFERROR(VLOOKUP(U461,$F$23:$N$1023,7)+VLOOKUP(U461,$F$23:$N$1023,9)+IF(AND('депозитный калькулятор'!$G$13="нет",U461&lt;&gt;'депозитный калькулятор'!$D$8),VLOOKUP(U461,$F$23:$N$1023,4),0),0)+IF(U461='депозитный калькулятор'!$D$8,VLOOKUP(U461,$F$23:$N$1023,2)+VLOOKUP(U461,$F$23:$N$1023,4),0))</f>
        <v xml:space="preserve"> </v>
      </c>
      <c r="Y461" s="142" t="str">
        <f ca="1">IF(S461=" "," ",W461/(1+'депозитный калькулятор'!$K$8)^(T461/IF('депозитный калькулятор'!$G$7="30/360",360,365)))</f>
        <v xml:space="preserve"> </v>
      </c>
      <c r="Z461" s="142" t="str">
        <f ca="1">IF(S461=" "," ",X461/(1+'депозитный калькулятор'!$K$8)^(T461/IF('депозитный калькулятор'!$G$7="30/360",360,365)))</f>
        <v xml:space="preserve"> </v>
      </c>
      <c r="AA461" s="151"/>
      <c r="AB461" s="151"/>
      <c r="AC461" s="155"/>
      <c r="AD461" s="155"/>
    </row>
    <row r="462" spans="1:30" s="2" customFormat="1" ht="15.5" x14ac:dyDescent="0.35">
      <c r="A462" s="41" t="str">
        <f>IF(F462=" "," ",IF(OR('депозитный калькулятор'!$G$7="30/365",'депозитный калькулятор'!$G$7="30/360"),IF(AND(MONTH(F462)=2,DAY(F462)=DAY(EOMONTH(F462,0))),30-DAY(EOMONTH(F462,0)),IF(DAY(F462)=31,1," "))," "))</f>
        <v xml:space="preserve"> </v>
      </c>
      <c r="B462" s="130" t="str">
        <f t="shared" si="31"/>
        <v xml:space="preserve"> </v>
      </c>
      <c r="C462" s="130" t="str">
        <f>IF(OR(B462=0,B462=" ")," ",SUM($B$23:B462))</f>
        <v xml:space="preserve"> </v>
      </c>
      <c r="D462" s="62" t="str">
        <f>IF(D461=" "," ",IF(OR(F461='депозитный калькулятор'!$D$8,F461=" ")," ",D461+1))</f>
        <v xml:space="preserve"> </v>
      </c>
      <c r="E462" s="130" t="str">
        <f>IF(OR(F461='депозитный калькулятор'!$D$8,F461=" ")," ",IF(EOMONTH(F461,0)=F461,1,E461+1))</f>
        <v xml:space="preserve"> </v>
      </c>
      <c r="F462" s="64" t="str">
        <f>IF(F461=" "," ",IF(F461='депозитный калькулятор'!$D$8," ",F461+1))</f>
        <v xml:space="preserve"> </v>
      </c>
      <c r="G462" s="145" t="str">
        <f xml:space="preserve"> IF(F462&gt;'депозитный калькулятор'!$D$8," ",IF('депозитный калькулятор'!$G$13="есть",IF('депозитный калькулятор'!$G$14="есть",G461+IF(I461=" ",0,I461)-J462-K462+L462+M462-N462,G461+IF(I461=" ",0,I461)-J462-K462+M462-N462),IF('депозитный калькулятор'!$G$14="есть",G461-J462-K462+L462+M462-N462,G461-J462-K462+M462-N462)))</f>
        <v xml:space="preserve"> </v>
      </c>
      <c r="H462" s="133" t="str">
        <f>IF(F462&gt;'депозитный калькулятор'!$D$8," ",IF(AND(OR('депозитный калькулятор'!$G$7="30/365",'депозитный калькулятор'!$G$7="30/360"),AND(MONTH(F462)=2,EOMONTH(F462,0)=F462)),IF(DAY(F462)=28,3*G462*'депозитный калькулятор'!$G$8,2*G462*'депозитный калькулятор'!$G$8),IF(AND(OR('депозитный калькулятор'!$G$7="30/365",'депозитный калькулятор'!$G$7="30/360"),DAY(F462)=31)," ",IF(AND('депозитный калькулятор'!$G$7="факт/факт",MOD(YEAR(F462),4)=0),G462*'депозитный калькулятор'!$D$11/366,G462*'депозитный калькулятор'!$G$8))))</f>
        <v xml:space="preserve"> </v>
      </c>
      <c r="I462" s="134" t="str">
        <f ca="1">IF(F462=" "," ",IF('депозитный калькулятор'!$G$10="ежедневное",H462,IF(AND('депозитный калькулятор'!$G$10="еженедельное",WEEKDAY(F462,2)=7),SUM(OFFSET(H462,-6,0):H462),IF(AND('депозитный калькулятор'!$G$10="еженедельное",F462='депозитный калькулятор'!$D$8),SUM($H$23:H462)-SUM($I$23:I461),IF(AND('депозитный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недели",WEEKDAY(F462,2)=7),MIN(OFFSET(H462,-6,0):H462)*(COUNTIF(OFFSET(H462,-6,0):H462,"&gt;0")+SUMIF(OFFSET(A462,-WEEKDAY(F462,2),0):A462,"=2",OFFSET(A462,-WEEKDAY(F462,2),0):A462)),IF(AND('депозитный калькулятор'!$G$10="еженедельное, на минимальную сумму зафиксированную в течение недели",F462='депозитный калькулятор'!$D$8,WEEKDAY(F462,2)&lt;&gt;7),MIN(OFFSET(H462,-WEEKDAY(F462,2),0):H462)*(COUNTIF(OFFSET(H462,-WEEKDAY(F462,2)+1,0):H462,"&gt;0")+SUM(OFFSET(A462,-WEEKDAY(F462,2),0):A462)),IF(AND('депозитный калькулятор'!$G$10="ежемесячное (в конце месяца)",F462='депозитный калькулятор'!$D$8,EOMONTH(F462,0)&lt;&gt;F462),IF('депозитный калькулятор'!$F$1=1,$H$24,SUM($H$23:H462)-SUM($I$23:I461)),IF(AND('депозитный калькулятор'!$G$10="ежемесячное (в конце месяца)",EOMONTH(F462,0)=F462),SUM($H$23:H462)-SUM($I$23:I461),IF(AND('депозитный калькулятор'!$G$10="ежемесячное (по дням открытия вклада)",F462='депозитный калькулятор'!$D$8,DAY('депозитный калькулятор'!$D$7)&lt;&gt;DAY(F462)),IF('депозитный калькулятор'!$F$1=1,$H$24,SUM($H$23:H462)-SUM($I$23:I461)),IF(AND('депозитный калькулятор'!$G$10="ежемесячное (по дням открытия вклада)",DAY('депозитный калькулятор'!$D$7)=DAY(F462)),SUM($H$23:H462)-SUM($I$23:I461),IF(AND('депозитный калькулятор'!$G$10="ежемесячное, на минимальную сумму зафиксированную в течение месяца",F462='депозитный калькулятор'!$D$8,EOMONTH(F462,0)&lt;&gt;F462),IF('депозитный калькулятор'!$F$1=1,$H$24,IF(AND(OR('депозитный калькулятор'!$G$7="30/365",'депозитный калькулятор'!$G$7="30/360"),DAY(F462)=31),0,MIN(OFFSET(H462,-E462+1,0):H462)*(E462+SUMIF(OFFSET(A462,-E462+1,0):A462,"=2",OFFSET(A462,-E462+1,0):A462)))),IF(AND('депозитный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калькулятор'!$G$7="30/360"),DAY(EOMONTH(F462,0))=31),EOMONTH(F462,0)-1=F462,EOMONTH(F462,0)=F462)),IF(IF(AND(OR('депозитный калькулятор'!$G$7="30/365",'депозитный калькулятор'!$G$7="30/360"),DAY(EOMONTH($F$23,0))=31),F462=EOMONTH($F$23,0)-1,F462=EOMONTH($F$23,0)),MIN(OFFSET(H462,-(DAY(F462)-DAY($F$23)),0):H462)*E462,MIN(OFFSET(H462,-(DAY(F462)-1),0):H462)*IF(AND(OR('депозитный калькулятор'!$G$7="30/365",'депозитный калькулятор'!$G$7="30/360"),DAY(F462)&lt;30),30,DAY(F462))),IF(AND('депозитный калькулятор'!$G$10="ежемесячное, на средний остаток в течение месяца, при условии что остаток больше чем ограничение",F462='депозитный калькулятор'!$D$8,EOMONTH(F462,0)&lt;&gt;F462),IF('депозитный калькулятор'!$F$1=1,$H$24,SUM(OFFSET(Q462,-E462+1,0):Q462)),IF(AND('депозитный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калькулятор'!$G$7="30/360"),DAY(EOMONTH(F462,0))=31),EOMONTH(F462,0)-1=F462,EOMONTH(F462,0)=F462)),IF(IF(AND(OR('депозитный калькулятор'!$G$7="30/365",'депозитный калькулятор'!$G$7="30/360"),DAY(EOMONTH($F$24,0))=31),F462=EOMONTH($F$24,0)-1,F462=EOMONTH($F$24,0)),SUM(OFFSET(Q462,-E462+1,0):Q462),SUM(OFFSET(Q462,-E462+1,0):Q462)),IF('депозитный калькулятор'!$G$10="ежеквартальное",IF(F462&gt;'депозитный калькулятор'!$D$8," ",IF(AND(EOMONTH(F462,0)=F462,OR(MONTH(F462)=3,MONTH(F462)=6,MONTH(F462)=9,MONTH(F462)=12)),IF(EDATE(F462,-3)&lt;'депозитный калькулятор'!$D$7,SUM($H$23:H462),IF(MOD(YEAR(F462),4)=0,IF(AND(EOMONTH(F462,0)=F462,OR(MONTH(F462)=3,MONTH(F462)=6)),SUM(OFFSET(H462,-90,0):H462),IF(AND(EOMONTH(F462,0)=F462,OR(MONTH(F462)=9,MONTH(F462)=12)),SUM(OFFSET(H462,-91,0):H462))),IF(AND(EOMONTH(F462,0)=F462,MONTH(F462)=3),SUM(OFFSET(H462,-89,0):H462),IF(AND(EOMONTH(F462,0)=F462,MONTH(F462)=6),SUM(OFFSET(H462,-90,0):H462),IF(AND(EOMONTH(F462,0)=F462,OR(MONTH(F462)=9,MONTH(F462)=12)),SUM(OFFSET(H462,-91,0):H462)))))),IF(F462='депозитный калькулятор'!$D$8,SUM($H$23:H462)-SUM($I$23:I461),0))),IF('депозитный калькулятор'!$G$10="ежегодное",IF(F462&gt;'депозитный калькулятор'!$D$8," ",IF(F462='депозитный калькулятор'!$D$8,SUM($H$23:H462)-SUM($I$23:I461),IF(AND(EOMONTH(F462,0)=F462,MONTH(F462)=12),IF(MOD(YEAR(F461),4)=0,IF(F462-'депозитный калькулятор'!$D$7&lt;366,SUM($H$23:H462),SUM(OFFSET(H462,-365,0):H462)),IF(F462-'депозитный калькулятор'!$D$7&lt;365,SUM($H$23:H462),SUM(OFFSET(H462,-364,0):H462))),0))),IF(AND('депозитный калькулятор'!$G$10="в конце срока",'депозитный калькулятор'!$D$8=F462),SUM($H$23:H462),0))))))))))))))))))</f>
        <v xml:space="preserve"> </v>
      </c>
      <c r="J462" s="59" t="str">
        <f>IF(F462&gt;'депозитный калькулятор'!$D$8," ",IF('депозитный калькулятор'!$G$16="нет",0,IF(AND('депозитный калькулятор'!$G$17="разовая (в конце срока)",F462='депозитный калькулятор'!$D$8),'депозитный калькулятор'!$G$18,IF(AND('депозитный калькулятор'!$G$17="ежемесячная",EOMONTH(F461,0)=F461),'депозитный калькулятор'!$G$18,IF(AND('депозитный калькулятор'!$G$17="ежегодная",DAY(F461)=31,MONTH(F461)=12),'депозитный калькулятор'!$G$18,IF(AND('депозитный калькулятор'!$G$17="ежемесячная в зависимости от остатка",EOMONTH(F461,0)=F461,P461&gt;0),'депозитный калькулятор'!$G$18,IF(AND('депозитный калькулятор'!$G$17="ежегодная в зависимости от остатка",DAY(F461)=31,MONTH(F461)=12,P461&gt;0),'депозитный калькулятор'!$G$18,0)))))))</f>
        <v xml:space="preserve"> </v>
      </c>
      <c r="K462" s="135" t="str">
        <f>IF($F462=" "," ",IFERROR(VLOOKUP($F462,'депозитный калькулятор'!$B$26:$F$70,2,0),0))</f>
        <v xml:space="preserve"> </v>
      </c>
      <c r="L462" s="135" t="str">
        <f>IF($F462=" "," ",IFERROR(VLOOKUP($F462,'депозитный калькулятор'!$B$26:$F$70,3,0),0))</f>
        <v xml:space="preserve"> </v>
      </c>
      <c r="M462" s="135" t="str">
        <f>IF($F462=" "," ",IFERROR(VLOOKUP($F462,'депозитный калькулятор'!$B$26:$F$70,4,0),0))</f>
        <v xml:space="preserve"> </v>
      </c>
      <c r="N462" s="135" t="str">
        <f>IF($F462=" "," ",IFERROR(VLOOKUP($F462,'депозитный калькулятор'!$B$26:$F$70,5,0),0))</f>
        <v xml:space="preserve"> </v>
      </c>
      <c r="O462" s="146" t="str">
        <f>IF(F462&gt;'депозитный калькулятор'!$D$8," ",IF(F462='депозитный калькулятор'!$D$8,IF(AND($F$24='депозитный калькулятор'!$D$8,'депозитный калькулятор'!$G$13="нет"),-G462-IF(I462=" ",0,I462)-IF(AND(OR('депозитный калькулятор'!$G$7="30/365",'депозитный калькулятор'!$G$7="30/360"),'депозитный калькулятор'!$G$10="в начале срока"),I461,0)-L462+M462-N462,-G462-IF(I462=" ",0,I462)-L462+M462-N462),IF('депозитный калькулятор'!$G$13="есть",M462-N462+IF('депозитный калькулятор'!$G$14="есть",0,-L462),-IF(I462=" ",0,I462)-IF(AND(OR('депозитный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срока"),I461,0)+M462-N462+IF('депозитный калькулятор'!$G$14="есть",0,-L462))))</f>
        <v xml:space="preserve"> </v>
      </c>
      <c r="P462" s="147" t="str">
        <f>IF(F462&gt;'депозитный калькулятор'!$D$8," ",IF(EOMONTH(F461,0)=F461,0,IF(G462&gt;='депозитный калькулятор'!$G$19,P461,P461+1)))</f>
        <v xml:space="preserve"> </v>
      </c>
      <c r="Q462" s="138" t="str">
        <f>IF(F462=" "," ",IF(AND(OR('депозитный калькулятор'!$G$7="30/365",'депозитный калькулятор'!$G$7="30/360"),AND(MONTH(F462)=2,EOMONTH(F462,0)=F462)),IF(DAY(F462)=28,3,2),1)*IF(G462&gt;='депозитный калькулятор'!$G$11,IF(AND('депозитный калькулятор'!$G$7="факт/факт",MOD(YEAR(F462),4)=0),G462*'депозитный калькулятор'!$D$11/366,G462*'депозитный калькулятор'!$G$8),0))</f>
        <v xml:space="preserve"> </v>
      </c>
      <c r="R462" s="158"/>
      <c r="S462" s="62" t="str">
        <f t="shared" ca="1" si="32"/>
        <v xml:space="preserve"> </v>
      </c>
      <c r="T462" s="149" t="str">
        <f ca="1">IF(S462=" "," ",IF('депозитный калькулятор'!$G$7="30/360",DAYS360(U461,IF(DAY(U462)=31,U462-1,U462))+IF(AND(MONTH(U462)=2,U462=EOMONTH(U462,0)),30-DAY(EOMONTH(U462,0)))+T461,VLOOKUP(S462,$C$22:$F$1023,2,0)))</f>
        <v xml:space="preserve"> </v>
      </c>
      <c r="U462" s="64" t="str">
        <f t="shared" ca="1" si="30"/>
        <v xml:space="preserve"> </v>
      </c>
      <c r="V462" s="150" t="str">
        <f t="shared" ca="1" si="33"/>
        <v xml:space="preserve"> </v>
      </c>
      <c r="W462" s="62" t="str">
        <f t="shared" ca="1" si="34"/>
        <v xml:space="preserve"> </v>
      </c>
      <c r="X462" s="141" t="str">
        <f ca="1">IF(S462=" "," ",IFERROR(VLOOKUP(U462,$F$23:$N$1023,7)+VLOOKUP(U462,$F$23:$N$1023,9)+IF(AND('депозитный калькулятор'!$G$13="нет",U462&lt;&gt;'депозитный калькулятор'!$D$8),VLOOKUP(U462,$F$23:$N$1023,4),0),0)+IF(U462='депозитный калькулятор'!$D$8,VLOOKUP(U462,$F$23:$N$1023,2)+VLOOKUP(U462,$F$23:$N$1023,4),0))</f>
        <v xml:space="preserve"> </v>
      </c>
      <c r="Y462" s="142" t="str">
        <f ca="1">IF(S462=" "," ",W462/(1+'депозитный калькулятор'!$K$8)^(T462/IF('депозитный калькулятор'!$G$7="30/360",360,365)))</f>
        <v xml:space="preserve"> </v>
      </c>
      <c r="Z462" s="142" t="str">
        <f ca="1">IF(S462=" "," ",X462/(1+'депозитный калькулятор'!$K$8)^(T462/IF('депозитный калькулятор'!$G$7="30/360",360,365)))</f>
        <v xml:space="preserve"> </v>
      </c>
      <c r="AA462" s="151"/>
      <c r="AB462" s="151"/>
      <c r="AC462" s="155"/>
      <c r="AD462" s="155"/>
    </row>
    <row r="463" spans="1:30" s="2" customFormat="1" ht="15.5" x14ac:dyDescent="0.35">
      <c r="A463" s="41" t="str">
        <f>IF(F463=" "," ",IF(OR('депозитный калькулятор'!$G$7="30/365",'депозитный калькулятор'!$G$7="30/360"),IF(AND(MONTH(F463)=2,DAY(F463)=DAY(EOMONTH(F463,0))),30-DAY(EOMONTH(F463,0)),IF(DAY(F463)=31,1," "))," "))</f>
        <v xml:space="preserve"> </v>
      </c>
      <c r="B463" s="130" t="str">
        <f t="shared" si="31"/>
        <v xml:space="preserve"> </v>
      </c>
      <c r="C463" s="130" t="str">
        <f>IF(OR(B463=0,B463=" ")," ",SUM($B$23:B463))</f>
        <v xml:space="preserve"> </v>
      </c>
      <c r="D463" s="62" t="str">
        <f>IF(D462=" "," ",IF(OR(F462='депозитный калькулятор'!$D$8,F462=" ")," ",D462+1))</f>
        <v xml:space="preserve"> </v>
      </c>
      <c r="E463" s="130" t="str">
        <f>IF(OR(F462='депозитный калькулятор'!$D$8,F462=" ")," ",IF(EOMONTH(F462,0)=F462,1,E462+1))</f>
        <v xml:space="preserve"> </v>
      </c>
      <c r="F463" s="64" t="str">
        <f>IF(F462=" "," ",IF(F462='депозитный калькулятор'!$D$8," ",F462+1))</f>
        <v xml:space="preserve"> </v>
      </c>
      <c r="G463" s="145" t="str">
        <f xml:space="preserve"> IF(F463&gt;'депозитный калькулятор'!$D$8," ",IF('депозитный калькулятор'!$G$13="есть",IF('депозитный калькулятор'!$G$14="есть",G462+IF(I462=" ",0,I462)-J463-K463+L463+M463-N463,G462+IF(I462=" ",0,I462)-J463-K463+M463-N463),IF('депозитный калькулятор'!$G$14="есть",G462-J463-K463+L463+M463-N463,G462-J463-K463+M463-N463)))</f>
        <v xml:space="preserve"> </v>
      </c>
      <c r="H463" s="133" t="str">
        <f>IF(F463&gt;'депозитный калькулятор'!$D$8," ",IF(AND(OR('депозитный калькулятор'!$G$7="30/365",'депозитный калькулятор'!$G$7="30/360"),AND(MONTH(F463)=2,EOMONTH(F463,0)=F463)),IF(DAY(F463)=28,3*G463*'депозитный калькулятор'!$G$8,2*G463*'депозитный калькулятор'!$G$8),IF(AND(OR('депозитный калькулятор'!$G$7="30/365",'депозитный калькулятор'!$G$7="30/360"),DAY(F463)=31)," ",IF(AND('депозитный калькулятор'!$G$7="факт/факт",MOD(YEAR(F463),4)=0),G463*'депозитный калькулятор'!$D$11/366,G463*'депозитный калькулятор'!$G$8))))</f>
        <v xml:space="preserve"> </v>
      </c>
      <c r="I463" s="134" t="str">
        <f ca="1">IF(F463=" "," ",IF('депозитный калькулятор'!$G$10="ежедневное",H463,IF(AND('депозитный калькулятор'!$G$10="еженедельное",WEEKDAY(F463,2)=7),SUM(OFFSET(H463,-6,0):H463),IF(AND('депозитный калькулятор'!$G$10="еженедельное",F463='депозитный калькулятор'!$D$8),SUM($H$23:H463)-SUM($I$23:I462),IF(AND('депозитный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недели",WEEKDAY(F463,2)=7),MIN(OFFSET(H463,-6,0):H463)*(COUNTIF(OFFSET(H463,-6,0):H463,"&gt;0")+SUMIF(OFFSET(A463,-WEEKDAY(F463,2),0):A463,"=2",OFFSET(A463,-WEEKDAY(F463,2),0):A463)),IF(AND('депозитный калькулятор'!$G$10="еженедельное, на минимальную сумму зафиксированную в течение недели",F463='депозитный калькулятор'!$D$8,WEEKDAY(F463,2)&lt;&gt;7),MIN(OFFSET(H463,-WEEKDAY(F463,2),0):H463)*(COUNTIF(OFFSET(H463,-WEEKDAY(F463,2)+1,0):H463,"&gt;0")+SUM(OFFSET(A463,-WEEKDAY(F463,2),0):A463)),IF(AND('депозитный калькулятор'!$G$10="ежемесячное (в конце месяца)",F463='депозитный калькулятор'!$D$8,EOMONTH(F463,0)&lt;&gt;F463),IF('депозитный калькулятор'!$F$1=1,$H$24,SUM($H$23:H463)-SUM($I$23:I462)),IF(AND('депозитный калькулятор'!$G$10="ежемесячное (в конце месяца)",EOMONTH(F463,0)=F463),SUM($H$23:H463)-SUM($I$23:I462),IF(AND('депозитный калькулятор'!$G$10="ежемесячное (по дням открытия вклада)",F463='депозитный калькулятор'!$D$8,DAY('депозитный калькулятор'!$D$7)&lt;&gt;DAY(F463)),IF('депозитный калькулятор'!$F$1=1,$H$24,SUM($H$23:H463)-SUM($I$23:I462)),IF(AND('депозитный калькулятор'!$G$10="ежемесячное (по дням открытия вклада)",DAY('депозитный калькулятор'!$D$7)=DAY(F463)),SUM($H$23:H463)-SUM($I$23:I462),IF(AND('депозитный калькулятор'!$G$10="ежемесячное, на минимальную сумму зафиксированную в течение месяца",F463='депозитный калькулятор'!$D$8,EOMONTH(F463,0)&lt;&gt;F463),IF('депозитный калькулятор'!$F$1=1,$H$24,IF(AND(OR('депозитный калькулятор'!$G$7="30/365",'депозитный калькулятор'!$G$7="30/360"),DAY(F463)=31),0,MIN(OFFSET(H463,-E463+1,0):H463)*(E463+SUMIF(OFFSET(A463,-E463+1,0):A463,"=2",OFFSET(A463,-E463+1,0):A463)))),IF(AND('депозитный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калькулятор'!$G$7="30/360"),DAY(EOMONTH(F463,0))=31),EOMONTH(F463,0)-1=F463,EOMONTH(F463,0)=F463)),IF(IF(AND(OR('депозитный калькулятор'!$G$7="30/365",'депозитный калькулятор'!$G$7="30/360"),DAY(EOMONTH($F$23,0))=31),F463=EOMONTH($F$23,0)-1,F463=EOMONTH($F$23,0)),MIN(OFFSET(H463,-(DAY(F463)-DAY($F$23)),0):H463)*E463,MIN(OFFSET(H463,-(DAY(F463)-1),0):H463)*IF(AND(OR('депозитный калькулятор'!$G$7="30/365",'депозитный калькулятор'!$G$7="30/360"),DAY(F463)&lt;30),30,DAY(F463))),IF(AND('депозитный калькулятор'!$G$10="ежемесячное, на средний остаток в течение месяца, при условии что остаток больше чем ограничение",F463='депозитный калькулятор'!$D$8,EOMONTH(F463,0)&lt;&gt;F463),IF('депозитный калькулятор'!$F$1=1,$H$24,SUM(OFFSET(Q463,-E463+1,0):Q463)),IF(AND('депозитный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калькулятор'!$G$7="30/360"),DAY(EOMONTH(F463,0))=31),EOMONTH(F463,0)-1=F463,EOMONTH(F463,0)=F463)),IF(IF(AND(OR('депозитный калькулятор'!$G$7="30/365",'депозитный калькулятор'!$G$7="30/360"),DAY(EOMONTH($F$24,0))=31),F463=EOMONTH($F$24,0)-1,F463=EOMONTH($F$24,0)),SUM(OFFSET(Q463,-E463+1,0):Q463),SUM(OFFSET(Q463,-E463+1,0):Q463)),IF('депозитный калькулятор'!$G$10="ежеквартальное",IF(F463&gt;'депозитный калькулятор'!$D$8," ",IF(AND(EOMONTH(F463,0)=F463,OR(MONTH(F463)=3,MONTH(F463)=6,MONTH(F463)=9,MONTH(F463)=12)),IF(EDATE(F463,-3)&lt;'депозитный калькулятор'!$D$7,SUM($H$23:H463),IF(MOD(YEAR(F463),4)=0,IF(AND(EOMONTH(F463,0)=F463,OR(MONTH(F463)=3,MONTH(F463)=6)),SUM(OFFSET(H463,-90,0):H463),IF(AND(EOMONTH(F463,0)=F463,OR(MONTH(F463)=9,MONTH(F463)=12)),SUM(OFFSET(H463,-91,0):H463))),IF(AND(EOMONTH(F463,0)=F463,MONTH(F463)=3),SUM(OFFSET(H463,-89,0):H463),IF(AND(EOMONTH(F463,0)=F463,MONTH(F463)=6),SUM(OFFSET(H463,-90,0):H463),IF(AND(EOMONTH(F463,0)=F463,OR(MONTH(F463)=9,MONTH(F463)=12)),SUM(OFFSET(H463,-91,0):H463)))))),IF(F463='депозитный калькулятор'!$D$8,SUM($H$23:H463)-SUM($I$23:I462),0))),IF('депозитный калькулятор'!$G$10="ежегодное",IF(F463&gt;'депозитный калькулятор'!$D$8," ",IF(F463='депозитный калькулятор'!$D$8,SUM($H$23:H463)-SUM($I$23:I462),IF(AND(EOMONTH(F463,0)=F463,MONTH(F463)=12),IF(MOD(YEAR(F462),4)=0,IF(F463-'депозитный калькулятор'!$D$7&lt;366,SUM($H$23:H463),SUM(OFFSET(H463,-365,0):H463)),IF(F463-'депозитный калькулятор'!$D$7&lt;365,SUM($H$23:H463),SUM(OFFSET(H463,-364,0):H463))),0))),IF(AND('депозитный калькулятор'!$G$10="в конце срока",'депозитный калькулятор'!$D$8=F463),SUM($H$23:H463),0))))))))))))))))))</f>
        <v xml:space="preserve"> </v>
      </c>
      <c r="J463" s="59" t="str">
        <f>IF(F463&gt;'депозитный калькулятор'!$D$8," ",IF('депозитный калькулятор'!$G$16="нет",0,IF(AND('депозитный калькулятор'!$G$17="разовая (в конце срока)",F463='депозитный калькулятор'!$D$8),'депозитный калькулятор'!$G$18,IF(AND('депозитный калькулятор'!$G$17="ежемесячная",EOMONTH(F462,0)=F462),'депозитный калькулятор'!$G$18,IF(AND('депозитный калькулятор'!$G$17="ежегодная",DAY(F462)=31,MONTH(F462)=12),'депозитный калькулятор'!$G$18,IF(AND('депозитный калькулятор'!$G$17="ежемесячная в зависимости от остатка",EOMONTH(F462,0)=F462,P462&gt;0),'депозитный калькулятор'!$G$18,IF(AND('депозитный калькулятор'!$G$17="ежегодная в зависимости от остатка",DAY(F462)=31,MONTH(F462)=12,P462&gt;0),'депозитный калькулятор'!$G$18,0)))))))</f>
        <v xml:space="preserve"> </v>
      </c>
      <c r="K463" s="135" t="str">
        <f>IF($F463=" "," ",IFERROR(VLOOKUP($F463,'депозитный калькулятор'!$B$26:$F$70,2,0),0))</f>
        <v xml:space="preserve"> </v>
      </c>
      <c r="L463" s="135" t="str">
        <f>IF($F463=" "," ",IFERROR(VLOOKUP($F463,'депозитный калькулятор'!$B$26:$F$70,3,0),0))</f>
        <v xml:space="preserve"> </v>
      </c>
      <c r="M463" s="135" t="str">
        <f>IF($F463=" "," ",IFERROR(VLOOKUP($F463,'депозитный калькулятор'!$B$26:$F$70,4,0),0))</f>
        <v xml:space="preserve"> </v>
      </c>
      <c r="N463" s="135" t="str">
        <f>IF($F463=" "," ",IFERROR(VLOOKUP($F463,'депозитный калькулятор'!$B$26:$F$70,5,0),0))</f>
        <v xml:space="preserve"> </v>
      </c>
      <c r="O463" s="146" t="str">
        <f>IF(F463&gt;'депозитный калькулятор'!$D$8," ",IF(F463='депозитный калькулятор'!$D$8,IF(AND($F$24='депозитный калькулятор'!$D$8,'депозитный калькулятор'!$G$13="нет"),-G463-IF(I463=" ",0,I463)-IF(AND(OR('депозитный калькулятор'!$G$7="30/365",'депозитный калькулятор'!$G$7="30/360"),'депозитный калькулятор'!$G$10="в начале срока"),I462,0)-L463+M463-N463,-G463-IF(I463=" ",0,I463)-L463+M463-N463),IF('депозитный калькулятор'!$G$13="есть",M463-N463+IF('депозитный калькулятор'!$G$14="есть",0,-L463),-IF(I463=" ",0,I463)-IF(AND(OR('депозитный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срока"),I462,0)+M463-N463+IF('депозитный калькулятор'!$G$14="есть",0,-L463))))</f>
        <v xml:space="preserve"> </v>
      </c>
      <c r="P463" s="147" t="str">
        <f>IF(F463&gt;'депозитный калькулятор'!$D$8," ",IF(EOMONTH(F462,0)=F462,0,IF(G463&gt;='депозитный калькулятор'!$G$19,P462,P462+1)))</f>
        <v xml:space="preserve"> </v>
      </c>
      <c r="Q463" s="138" t="str">
        <f>IF(F463=" "," ",IF(AND(OR('депозитный калькулятор'!$G$7="30/365",'депозитный калькулятор'!$G$7="30/360"),AND(MONTH(F463)=2,EOMONTH(F463,0)=F463)),IF(DAY(F463)=28,3,2),1)*IF(G463&gt;='депозитный калькулятор'!$G$11,IF(AND('депозитный калькулятор'!$G$7="факт/факт",MOD(YEAR(F463),4)=0),G463*'депозитный калькулятор'!$D$11/366,G463*'депозитный калькулятор'!$G$8),0))</f>
        <v xml:space="preserve"> </v>
      </c>
      <c r="R463" s="158"/>
      <c r="S463" s="62" t="str">
        <f t="shared" ca="1" si="32"/>
        <v xml:space="preserve"> </v>
      </c>
      <c r="T463" s="149" t="str">
        <f ca="1">IF(S463=" "," ",IF('депозитный калькулятор'!$G$7="30/360",DAYS360(U462,IF(DAY(U463)=31,U463-1,U463))+IF(AND(MONTH(U463)=2,U463=EOMONTH(U463,0)),30-DAY(EOMONTH(U463,0)))+T462,VLOOKUP(S463,$C$22:$F$1023,2,0)))</f>
        <v xml:space="preserve"> </v>
      </c>
      <c r="U463" s="64" t="str">
        <f t="shared" ca="1" si="30"/>
        <v xml:space="preserve"> </v>
      </c>
      <c r="V463" s="150" t="str">
        <f t="shared" ca="1" si="33"/>
        <v xml:space="preserve"> </v>
      </c>
      <c r="W463" s="62" t="str">
        <f t="shared" ca="1" si="34"/>
        <v xml:space="preserve"> </v>
      </c>
      <c r="X463" s="141" t="str">
        <f ca="1">IF(S463=" "," ",IFERROR(VLOOKUP(U463,$F$23:$N$1023,7)+VLOOKUP(U463,$F$23:$N$1023,9)+IF(AND('депозитный калькулятор'!$G$13="нет",U463&lt;&gt;'депозитный калькулятор'!$D$8),VLOOKUP(U463,$F$23:$N$1023,4),0),0)+IF(U463='депозитный калькулятор'!$D$8,VLOOKUP(U463,$F$23:$N$1023,2)+VLOOKUP(U463,$F$23:$N$1023,4),0))</f>
        <v xml:space="preserve"> </v>
      </c>
      <c r="Y463" s="142" t="str">
        <f ca="1">IF(S463=" "," ",W463/(1+'депозитный калькулятор'!$K$8)^(T463/IF('депозитный калькулятор'!$G$7="30/360",360,365)))</f>
        <v xml:space="preserve"> </v>
      </c>
      <c r="Z463" s="142" t="str">
        <f ca="1">IF(S463=" "," ",X463/(1+'депозитный калькулятор'!$K$8)^(T463/IF('депозитный калькулятор'!$G$7="30/360",360,365)))</f>
        <v xml:space="preserve"> </v>
      </c>
      <c r="AA463" s="151"/>
      <c r="AB463" s="151"/>
      <c r="AC463" s="155"/>
      <c r="AD463" s="155"/>
    </row>
    <row r="464" spans="1:30" s="2" customFormat="1" ht="15.5" x14ac:dyDescent="0.35">
      <c r="A464" s="41" t="str">
        <f>IF(F464=" "," ",IF(OR('депозитный калькулятор'!$G$7="30/365",'депозитный калькулятор'!$G$7="30/360"),IF(AND(MONTH(F464)=2,DAY(F464)=DAY(EOMONTH(F464,0))),30-DAY(EOMONTH(F464,0)),IF(DAY(F464)=31,1," "))," "))</f>
        <v xml:space="preserve"> </v>
      </c>
      <c r="B464" s="130" t="str">
        <f t="shared" si="31"/>
        <v xml:space="preserve"> </v>
      </c>
      <c r="C464" s="130" t="str">
        <f>IF(OR(B464=0,B464=" ")," ",SUM($B$23:B464))</f>
        <v xml:space="preserve"> </v>
      </c>
      <c r="D464" s="62" t="str">
        <f>IF(D463=" "," ",IF(OR(F463='депозитный калькулятор'!$D$8,F463=" ")," ",D463+1))</f>
        <v xml:space="preserve"> </v>
      </c>
      <c r="E464" s="130" t="str">
        <f>IF(OR(F463='депозитный калькулятор'!$D$8,F463=" ")," ",IF(EOMONTH(F463,0)=F463,1,E463+1))</f>
        <v xml:space="preserve"> </v>
      </c>
      <c r="F464" s="64" t="str">
        <f>IF(F463=" "," ",IF(F463='депозитный калькулятор'!$D$8," ",F463+1))</f>
        <v xml:space="preserve"> </v>
      </c>
      <c r="G464" s="145" t="str">
        <f xml:space="preserve"> IF(F464&gt;'депозитный калькулятор'!$D$8," ",IF('депозитный калькулятор'!$G$13="есть",IF('депозитный калькулятор'!$G$14="есть",G463+IF(I463=" ",0,I463)-J464-K464+L464+M464-N464,G463+IF(I463=" ",0,I463)-J464-K464+M464-N464),IF('депозитный калькулятор'!$G$14="есть",G463-J464-K464+L464+M464-N464,G463-J464-K464+M464-N464)))</f>
        <v xml:space="preserve"> </v>
      </c>
      <c r="H464" s="133" t="str">
        <f>IF(F464&gt;'депозитный калькулятор'!$D$8," ",IF(AND(OR('депозитный калькулятор'!$G$7="30/365",'депозитный калькулятор'!$G$7="30/360"),AND(MONTH(F464)=2,EOMONTH(F464,0)=F464)),IF(DAY(F464)=28,3*G464*'депозитный калькулятор'!$G$8,2*G464*'депозитный калькулятор'!$G$8),IF(AND(OR('депозитный калькулятор'!$G$7="30/365",'депозитный калькулятор'!$G$7="30/360"),DAY(F464)=31)," ",IF(AND('депозитный калькулятор'!$G$7="факт/факт",MOD(YEAR(F464),4)=0),G464*'депозитный калькулятор'!$D$11/366,G464*'депозитный калькулятор'!$G$8))))</f>
        <v xml:space="preserve"> </v>
      </c>
      <c r="I464" s="134" t="str">
        <f ca="1">IF(F464=" "," ",IF('депозитный калькулятор'!$G$10="ежедневное",H464,IF(AND('депозитный калькулятор'!$G$10="еженедельное",WEEKDAY(F464,2)=7),SUM(OFFSET(H464,-6,0):H464),IF(AND('депозитный калькулятор'!$G$10="еженедельное",F464='депозитный калькулятор'!$D$8),SUM($H$23:H464)-SUM($I$23:I463),IF(AND('депозитный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недели",WEEKDAY(F464,2)=7),MIN(OFFSET(H464,-6,0):H464)*(COUNTIF(OFFSET(H464,-6,0):H464,"&gt;0")+SUMIF(OFFSET(A464,-WEEKDAY(F464,2),0):A464,"=2",OFFSET(A464,-WEEKDAY(F464,2),0):A464)),IF(AND('депозитный калькулятор'!$G$10="еженедельное, на минимальную сумму зафиксированную в течение недели",F464='депозитный калькулятор'!$D$8,WEEKDAY(F464,2)&lt;&gt;7),MIN(OFFSET(H464,-WEEKDAY(F464,2),0):H464)*(COUNTIF(OFFSET(H464,-WEEKDAY(F464,2)+1,0):H464,"&gt;0")+SUM(OFFSET(A464,-WEEKDAY(F464,2),0):A464)),IF(AND('депозитный калькулятор'!$G$10="ежемесячное (в конце месяца)",F464='депозитный калькулятор'!$D$8,EOMONTH(F464,0)&lt;&gt;F464),IF('депозитный калькулятор'!$F$1=1,$H$24,SUM($H$23:H464)-SUM($I$23:I463)),IF(AND('депозитный калькулятор'!$G$10="ежемесячное (в конце месяца)",EOMONTH(F464,0)=F464),SUM($H$23:H464)-SUM($I$23:I463),IF(AND('депозитный калькулятор'!$G$10="ежемесячное (по дням открытия вклада)",F464='депозитный калькулятор'!$D$8,DAY('депозитный калькулятор'!$D$7)&lt;&gt;DAY(F464)),IF('депозитный калькулятор'!$F$1=1,$H$24,SUM($H$23:H464)-SUM($I$23:I463)),IF(AND('депозитный калькулятор'!$G$10="ежемесячное (по дням открытия вклада)",DAY('депозитный калькулятор'!$D$7)=DAY(F464)),SUM($H$23:H464)-SUM($I$23:I463),IF(AND('депозитный калькулятор'!$G$10="ежемесячное, на минимальную сумму зафиксированную в течение месяца",F464='депозитный калькулятор'!$D$8,EOMONTH(F464,0)&lt;&gt;F464),IF('депозитный калькулятор'!$F$1=1,$H$24,IF(AND(OR('депозитный калькулятор'!$G$7="30/365",'депозитный калькулятор'!$G$7="30/360"),DAY(F464)=31),0,MIN(OFFSET(H464,-E464+1,0):H464)*(E464+SUMIF(OFFSET(A464,-E464+1,0):A464,"=2",OFFSET(A464,-E464+1,0):A464)))),IF(AND('депозитный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калькулятор'!$G$7="30/360"),DAY(EOMONTH(F464,0))=31),EOMONTH(F464,0)-1=F464,EOMONTH(F464,0)=F464)),IF(IF(AND(OR('депозитный калькулятор'!$G$7="30/365",'депозитный калькулятор'!$G$7="30/360"),DAY(EOMONTH($F$23,0))=31),F464=EOMONTH($F$23,0)-1,F464=EOMONTH($F$23,0)),MIN(OFFSET(H464,-(DAY(F464)-DAY($F$23)),0):H464)*E464,MIN(OFFSET(H464,-(DAY(F464)-1),0):H464)*IF(AND(OR('депозитный калькулятор'!$G$7="30/365",'депозитный калькулятор'!$G$7="30/360"),DAY(F464)&lt;30),30,DAY(F464))),IF(AND('депозитный калькулятор'!$G$10="ежемесячное, на средний остаток в течение месяца, при условии что остаток больше чем ограничение",F464='депозитный калькулятор'!$D$8,EOMONTH(F464,0)&lt;&gt;F464),IF('депозитный калькулятор'!$F$1=1,$H$24,SUM(OFFSET(Q464,-E464+1,0):Q464)),IF(AND('депозитный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калькулятор'!$G$7="30/360"),DAY(EOMONTH(F464,0))=31),EOMONTH(F464,0)-1=F464,EOMONTH(F464,0)=F464)),IF(IF(AND(OR('депозитный калькулятор'!$G$7="30/365",'депозитный калькулятор'!$G$7="30/360"),DAY(EOMONTH($F$24,0))=31),F464=EOMONTH($F$24,0)-1,F464=EOMONTH($F$24,0)),SUM(OFFSET(Q464,-E464+1,0):Q464),SUM(OFFSET(Q464,-E464+1,0):Q464)),IF('депозитный калькулятор'!$G$10="ежеквартальное",IF(F464&gt;'депозитный калькулятор'!$D$8," ",IF(AND(EOMONTH(F464,0)=F464,OR(MONTH(F464)=3,MONTH(F464)=6,MONTH(F464)=9,MONTH(F464)=12)),IF(EDATE(F464,-3)&lt;'депозитный калькулятор'!$D$7,SUM($H$23:H464),IF(MOD(YEAR(F464),4)=0,IF(AND(EOMONTH(F464,0)=F464,OR(MONTH(F464)=3,MONTH(F464)=6)),SUM(OFFSET(H464,-90,0):H464),IF(AND(EOMONTH(F464,0)=F464,OR(MONTH(F464)=9,MONTH(F464)=12)),SUM(OFFSET(H464,-91,0):H464))),IF(AND(EOMONTH(F464,0)=F464,MONTH(F464)=3),SUM(OFFSET(H464,-89,0):H464),IF(AND(EOMONTH(F464,0)=F464,MONTH(F464)=6),SUM(OFFSET(H464,-90,0):H464),IF(AND(EOMONTH(F464,0)=F464,OR(MONTH(F464)=9,MONTH(F464)=12)),SUM(OFFSET(H464,-91,0):H464)))))),IF(F464='депозитный калькулятор'!$D$8,SUM($H$23:H464)-SUM($I$23:I463),0))),IF('депозитный калькулятор'!$G$10="ежегодное",IF(F464&gt;'депозитный калькулятор'!$D$8," ",IF(F464='депозитный калькулятор'!$D$8,SUM($H$23:H464)-SUM($I$23:I463),IF(AND(EOMONTH(F464,0)=F464,MONTH(F464)=12),IF(MOD(YEAR(F463),4)=0,IF(F464-'депозитный калькулятор'!$D$7&lt;366,SUM($H$23:H464),SUM(OFFSET(H464,-365,0):H464)),IF(F464-'депозитный калькулятор'!$D$7&lt;365,SUM($H$23:H464),SUM(OFFSET(H464,-364,0):H464))),0))),IF(AND('депозитный калькулятор'!$G$10="в конце срока",'депозитный калькулятор'!$D$8=F464),SUM($H$23:H464),0))))))))))))))))))</f>
        <v xml:space="preserve"> </v>
      </c>
      <c r="J464" s="59" t="str">
        <f>IF(F464&gt;'депозитный калькулятор'!$D$8," ",IF('депозитный калькулятор'!$G$16="нет",0,IF(AND('депозитный калькулятор'!$G$17="разовая (в конце срока)",F464='депозитный калькулятор'!$D$8),'депозитный калькулятор'!$G$18,IF(AND('депозитный калькулятор'!$G$17="ежемесячная",EOMONTH(F463,0)=F463),'депозитный калькулятор'!$G$18,IF(AND('депозитный калькулятор'!$G$17="ежегодная",DAY(F463)=31,MONTH(F463)=12),'депозитный калькулятор'!$G$18,IF(AND('депозитный калькулятор'!$G$17="ежемесячная в зависимости от остатка",EOMONTH(F463,0)=F463,P463&gt;0),'депозитный калькулятор'!$G$18,IF(AND('депозитный калькулятор'!$G$17="ежегодная в зависимости от остатка",DAY(F463)=31,MONTH(F463)=12,P463&gt;0),'депозитный калькулятор'!$G$18,0)))))))</f>
        <v xml:space="preserve"> </v>
      </c>
      <c r="K464" s="135" t="str">
        <f>IF($F464=" "," ",IFERROR(VLOOKUP($F464,'депозитный калькулятор'!$B$26:$F$70,2,0),0))</f>
        <v xml:space="preserve"> </v>
      </c>
      <c r="L464" s="135" t="str">
        <f>IF($F464=" "," ",IFERROR(VLOOKUP($F464,'депозитный калькулятор'!$B$26:$F$70,3,0),0))</f>
        <v xml:space="preserve"> </v>
      </c>
      <c r="M464" s="135" t="str">
        <f>IF($F464=" "," ",IFERROR(VLOOKUP($F464,'депозитный калькулятор'!$B$26:$F$70,4,0),0))</f>
        <v xml:space="preserve"> </v>
      </c>
      <c r="N464" s="135" t="str">
        <f>IF($F464=" "," ",IFERROR(VLOOKUP($F464,'депозитный калькулятор'!$B$26:$F$70,5,0),0))</f>
        <v xml:space="preserve"> </v>
      </c>
      <c r="O464" s="146" t="str">
        <f>IF(F464&gt;'депозитный калькулятор'!$D$8," ",IF(F464='депозитный калькулятор'!$D$8,IF(AND($F$24='депозитный калькулятор'!$D$8,'депозитный калькулятор'!$G$13="нет"),-G464-IF(I464=" ",0,I464)-IF(AND(OR('депозитный калькулятор'!$G$7="30/365",'депозитный калькулятор'!$G$7="30/360"),'депозитный калькулятор'!$G$10="в начале срока"),I463,0)-L464+M464-N464,-G464-IF(I464=" ",0,I464)-L464+M464-N464),IF('депозитный калькулятор'!$G$13="есть",M464-N464+IF('депозитный калькулятор'!$G$14="есть",0,-L464),-IF(I464=" ",0,I464)-IF(AND(OR('депозитный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срока"),I463,0)+M464-N464+IF('депозитный калькулятор'!$G$14="есть",0,-L464))))</f>
        <v xml:space="preserve"> </v>
      </c>
      <c r="P464" s="147" t="str">
        <f>IF(F464&gt;'депозитный калькулятор'!$D$8," ",IF(EOMONTH(F463,0)=F463,0,IF(G464&gt;='депозитный калькулятор'!$G$19,P463,P463+1)))</f>
        <v xml:space="preserve"> </v>
      </c>
      <c r="Q464" s="138" t="str">
        <f>IF(F464=" "," ",IF(AND(OR('депозитный калькулятор'!$G$7="30/365",'депозитный калькулятор'!$G$7="30/360"),AND(MONTH(F464)=2,EOMONTH(F464,0)=F464)),IF(DAY(F464)=28,3,2),1)*IF(G464&gt;='депозитный калькулятор'!$G$11,IF(AND('депозитный калькулятор'!$G$7="факт/факт",MOD(YEAR(F464),4)=0),G464*'депозитный калькулятор'!$D$11/366,G464*'депозитный калькулятор'!$G$8),0))</f>
        <v xml:space="preserve"> </v>
      </c>
      <c r="R464" s="158"/>
      <c r="S464" s="62" t="str">
        <f t="shared" ca="1" si="32"/>
        <v xml:space="preserve"> </v>
      </c>
      <c r="T464" s="149" t="str">
        <f ca="1">IF(S464=" "," ",IF('депозитный калькулятор'!$G$7="30/360",DAYS360(U463,IF(DAY(U464)=31,U464-1,U464))+IF(AND(MONTH(U464)=2,U464=EOMONTH(U464,0)),30-DAY(EOMONTH(U464,0)))+T463,VLOOKUP(S464,$C$22:$F$1023,2,0)))</f>
        <v xml:space="preserve"> </v>
      </c>
      <c r="U464" s="64" t="str">
        <f t="shared" ca="1" si="30"/>
        <v xml:space="preserve"> </v>
      </c>
      <c r="V464" s="150" t="str">
        <f t="shared" ca="1" si="33"/>
        <v xml:space="preserve"> </v>
      </c>
      <c r="W464" s="62" t="str">
        <f t="shared" ca="1" si="34"/>
        <v xml:space="preserve"> </v>
      </c>
      <c r="X464" s="141" t="str">
        <f ca="1">IF(S464=" "," ",IFERROR(VLOOKUP(U464,$F$23:$N$1023,7)+VLOOKUP(U464,$F$23:$N$1023,9)+IF(AND('депозитный калькулятор'!$G$13="нет",U464&lt;&gt;'депозитный калькулятор'!$D$8),VLOOKUP(U464,$F$23:$N$1023,4),0),0)+IF(U464='депозитный калькулятор'!$D$8,VLOOKUP(U464,$F$23:$N$1023,2)+VLOOKUP(U464,$F$23:$N$1023,4),0))</f>
        <v xml:space="preserve"> </v>
      </c>
      <c r="Y464" s="142" t="str">
        <f ca="1">IF(S464=" "," ",W464/(1+'депозитный калькулятор'!$K$8)^(T464/IF('депозитный калькулятор'!$G$7="30/360",360,365)))</f>
        <v xml:space="preserve"> </v>
      </c>
      <c r="Z464" s="142" t="str">
        <f ca="1">IF(S464=" "," ",X464/(1+'депозитный калькулятор'!$K$8)^(T464/IF('депозитный калькулятор'!$G$7="30/360",360,365)))</f>
        <v xml:space="preserve"> </v>
      </c>
      <c r="AA464" s="151"/>
      <c r="AB464" s="151"/>
      <c r="AC464" s="155"/>
      <c r="AD464" s="155"/>
    </row>
    <row r="465" spans="1:30" s="2" customFormat="1" ht="15.5" x14ac:dyDescent="0.35">
      <c r="A465" s="41" t="str">
        <f>IF(F465=" "," ",IF(OR('депозитный калькулятор'!$G$7="30/365",'депозитный калькулятор'!$G$7="30/360"),IF(AND(MONTH(F465)=2,DAY(F465)=DAY(EOMONTH(F465,0))),30-DAY(EOMONTH(F465,0)),IF(DAY(F465)=31,1," "))," "))</f>
        <v xml:space="preserve"> </v>
      </c>
      <c r="B465" s="130" t="str">
        <f t="shared" si="31"/>
        <v xml:space="preserve"> </v>
      </c>
      <c r="C465" s="130" t="str">
        <f>IF(OR(B465=0,B465=" ")," ",SUM($B$23:B465))</f>
        <v xml:space="preserve"> </v>
      </c>
      <c r="D465" s="62" t="str">
        <f>IF(D464=" "," ",IF(OR(F464='депозитный калькулятор'!$D$8,F464=" ")," ",D464+1))</f>
        <v xml:space="preserve"> </v>
      </c>
      <c r="E465" s="130" t="str">
        <f>IF(OR(F464='депозитный калькулятор'!$D$8,F464=" ")," ",IF(EOMONTH(F464,0)=F464,1,E464+1))</f>
        <v xml:space="preserve"> </v>
      </c>
      <c r="F465" s="64" t="str">
        <f>IF(F464=" "," ",IF(F464='депозитный калькулятор'!$D$8," ",F464+1))</f>
        <v xml:space="preserve"> </v>
      </c>
      <c r="G465" s="145" t="str">
        <f xml:space="preserve"> IF(F465&gt;'депозитный калькулятор'!$D$8," ",IF('депозитный калькулятор'!$G$13="есть",IF('депозитный калькулятор'!$G$14="есть",G464+IF(I464=" ",0,I464)-J465-K465+L465+M465-N465,G464+IF(I464=" ",0,I464)-J465-K465+M465-N465),IF('депозитный калькулятор'!$G$14="есть",G464-J465-K465+L465+M465-N465,G464-J465-K465+M465-N465)))</f>
        <v xml:space="preserve"> </v>
      </c>
      <c r="H465" s="133" t="str">
        <f>IF(F465&gt;'депозитный калькулятор'!$D$8," ",IF(AND(OR('депозитный калькулятор'!$G$7="30/365",'депозитный калькулятор'!$G$7="30/360"),AND(MONTH(F465)=2,EOMONTH(F465,0)=F465)),IF(DAY(F465)=28,3*G465*'депозитный калькулятор'!$G$8,2*G465*'депозитный калькулятор'!$G$8),IF(AND(OR('депозитный калькулятор'!$G$7="30/365",'депозитный калькулятор'!$G$7="30/360"),DAY(F465)=31)," ",IF(AND('депозитный калькулятор'!$G$7="факт/факт",MOD(YEAR(F465),4)=0),G465*'депозитный калькулятор'!$D$11/366,G465*'депозитный калькулятор'!$G$8))))</f>
        <v xml:space="preserve"> </v>
      </c>
      <c r="I465" s="134" t="str">
        <f ca="1">IF(F465=" "," ",IF('депозитный калькулятор'!$G$10="ежедневное",H465,IF(AND('депозитный калькулятор'!$G$10="еженедельное",WEEKDAY(F465,2)=7),SUM(OFFSET(H465,-6,0):H465),IF(AND('депозитный калькулятор'!$G$10="еженедельное",F465='депозитный калькулятор'!$D$8),SUM($H$23:H465)-SUM($I$23:I464),IF(AND('депозитный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недели",WEEKDAY(F465,2)=7),MIN(OFFSET(H465,-6,0):H465)*(COUNTIF(OFFSET(H465,-6,0):H465,"&gt;0")+SUMIF(OFFSET(A465,-WEEKDAY(F465,2),0):A465,"=2",OFFSET(A465,-WEEKDAY(F465,2),0):A465)),IF(AND('депозитный калькулятор'!$G$10="еженедельное, на минимальную сумму зафиксированную в течение недели",F465='депозитный калькулятор'!$D$8,WEEKDAY(F465,2)&lt;&gt;7),MIN(OFFSET(H465,-WEEKDAY(F465,2),0):H465)*(COUNTIF(OFFSET(H465,-WEEKDAY(F465,2)+1,0):H465,"&gt;0")+SUM(OFFSET(A465,-WEEKDAY(F465,2),0):A465)),IF(AND('депозитный калькулятор'!$G$10="ежемесячное (в конце месяца)",F465='депозитный калькулятор'!$D$8,EOMONTH(F465,0)&lt;&gt;F465),IF('депозитный калькулятор'!$F$1=1,$H$24,SUM($H$23:H465)-SUM($I$23:I464)),IF(AND('депозитный калькулятор'!$G$10="ежемесячное (в конце месяца)",EOMONTH(F465,0)=F465),SUM($H$23:H465)-SUM($I$23:I464),IF(AND('депозитный калькулятор'!$G$10="ежемесячное (по дням открытия вклада)",F465='депозитный калькулятор'!$D$8,DAY('депозитный калькулятор'!$D$7)&lt;&gt;DAY(F465)),IF('депозитный калькулятор'!$F$1=1,$H$24,SUM($H$23:H465)-SUM($I$23:I464)),IF(AND('депозитный калькулятор'!$G$10="ежемесячное (по дням открытия вклада)",DAY('депозитный калькулятор'!$D$7)=DAY(F465)),SUM($H$23:H465)-SUM($I$23:I464),IF(AND('депозитный калькулятор'!$G$10="ежемесячное, на минимальную сумму зафиксированную в течение месяца",F465='депозитный калькулятор'!$D$8,EOMONTH(F465,0)&lt;&gt;F465),IF('депозитный калькулятор'!$F$1=1,$H$24,IF(AND(OR('депозитный калькулятор'!$G$7="30/365",'депозитный калькулятор'!$G$7="30/360"),DAY(F465)=31),0,MIN(OFFSET(H465,-E465+1,0):H465)*(E465+SUMIF(OFFSET(A465,-E465+1,0):A465,"=2",OFFSET(A465,-E465+1,0):A465)))),IF(AND('депозитный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калькулятор'!$G$7="30/360"),DAY(EOMONTH(F465,0))=31),EOMONTH(F465,0)-1=F465,EOMONTH(F465,0)=F465)),IF(IF(AND(OR('депозитный калькулятор'!$G$7="30/365",'депозитный калькулятор'!$G$7="30/360"),DAY(EOMONTH($F$23,0))=31),F465=EOMONTH($F$23,0)-1,F465=EOMONTH($F$23,0)),MIN(OFFSET(H465,-(DAY(F465)-DAY($F$23)),0):H465)*E465,MIN(OFFSET(H465,-(DAY(F465)-1),0):H465)*IF(AND(OR('депозитный калькулятор'!$G$7="30/365",'депозитный калькулятор'!$G$7="30/360"),DAY(F465)&lt;30),30,DAY(F465))),IF(AND('депозитный калькулятор'!$G$10="ежемесячное, на средний остаток в течение месяца, при условии что остаток больше чем ограничение",F465='депозитный калькулятор'!$D$8,EOMONTH(F465,0)&lt;&gt;F465),IF('депозитный калькулятор'!$F$1=1,$H$24,SUM(OFFSET(Q465,-E465+1,0):Q465)),IF(AND('депозитный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калькулятор'!$G$7="30/360"),DAY(EOMONTH(F465,0))=31),EOMONTH(F465,0)-1=F465,EOMONTH(F465,0)=F465)),IF(IF(AND(OR('депозитный калькулятор'!$G$7="30/365",'депозитный калькулятор'!$G$7="30/360"),DAY(EOMONTH($F$24,0))=31),F465=EOMONTH($F$24,0)-1,F465=EOMONTH($F$24,0)),SUM(OFFSET(Q465,-E465+1,0):Q465),SUM(OFFSET(Q465,-E465+1,0):Q465)),IF('депозитный калькулятор'!$G$10="ежеквартальное",IF(F465&gt;'депозитный калькулятор'!$D$8," ",IF(AND(EOMONTH(F465,0)=F465,OR(MONTH(F465)=3,MONTH(F465)=6,MONTH(F465)=9,MONTH(F465)=12)),IF(EDATE(F465,-3)&lt;'депозитный калькулятор'!$D$7,SUM($H$23:H465),IF(MOD(YEAR(F465),4)=0,IF(AND(EOMONTH(F465,0)=F465,OR(MONTH(F465)=3,MONTH(F465)=6)),SUM(OFFSET(H465,-90,0):H465),IF(AND(EOMONTH(F465,0)=F465,OR(MONTH(F465)=9,MONTH(F465)=12)),SUM(OFFSET(H465,-91,0):H465))),IF(AND(EOMONTH(F465,0)=F465,MONTH(F465)=3),SUM(OFFSET(H465,-89,0):H465),IF(AND(EOMONTH(F465,0)=F465,MONTH(F465)=6),SUM(OFFSET(H465,-90,0):H465),IF(AND(EOMONTH(F465,0)=F465,OR(MONTH(F465)=9,MONTH(F465)=12)),SUM(OFFSET(H465,-91,0):H465)))))),IF(F465='депозитный калькулятор'!$D$8,SUM($H$23:H465)-SUM($I$23:I464),0))),IF('депозитный калькулятор'!$G$10="ежегодное",IF(F465&gt;'депозитный калькулятор'!$D$8," ",IF(F465='депозитный калькулятор'!$D$8,SUM($H$23:H465)-SUM($I$23:I464),IF(AND(EOMONTH(F465,0)=F465,MONTH(F465)=12),IF(MOD(YEAR(F464),4)=0,IF(F465-'депозитный калькулятор'!$D$7&lt;366,SUM($H$23:H465),SUM(OFFSET(H465,-365,0):H465)),IF(F465-'депозитный калькулятор'!$D$7&lt;365,SUM($H$23:H465),SUM(OFFSET(H465,-364,0):H465))),0))),IF(AND('депозитный калькулятор'!$G$10="в конце срока",'депозитный калькулятор'!$D$8=F465),SUM($H$23:H465),0))))))))))))))))))</f>
        <v xml:space="preserve"> </v>
      </c>
      <c r="J465" s="59" t="str">
        <f>IF(F465&gt;'депозитный калькулятор'!$D$8," ",IF('депозитный калькулятор'!$G$16="нет",0,IF(AND('депозитный калькулятор'!$G$17="разовая (в конце срока)",F465='депозитный калькулятор'!$D$8),'депозитный калькулятор'!$G$18,IF(AND('депозитный калькулятор'!$G$17="ежемесячная",EOMONTH(F464,0)=F464),'депозитный калькулятор'!$G$18,IF(AND('депозитный калькулятор'!$G$17="ежегодная",DAY(F464)=31,MONTH(F464)=12),'депозитный калькулятор'!$G$18,IF(AND('депозитный калькулятор'!$G$17="ежемесячная в зависимости от остатка",EOMONTH(F464,0)=F464,P464&gt;0),'депозитный калькулятор'!$G$18,IF(AND('депозитный калькулятор'!$G$17="ежегодная в зависимости от остатка",DAY(F464)=31,MONTH(F464)=12,P464&gt;0),'депозитный калькулятор'!$G$18,0)))))))</f>
        <v xml:space="preserve"> </v>
      </c>
      <c r="K465" s="135" t="str">
        <f>IF($F465=" "," ",IFERROR(VLOOKUP($F465,'депозитный калькулятор'!$B$26:$F$70,2,0),0))</f>
        <v xml:space="preserve"> </v>
      </c>
      <c r="L465" s="135" t="str">
        <f>IF($F465=" "," ",IFERROR(VLOOKUP($F465,'депозитный калькулятор'!$B$26:$F$70,3,0),0))</f>
        <v xml:space="preserve"> </v>
      </c>
      <c r="M465" s="135" t="str">
        <f>IF($F465=" "," ",IFERROR(VLOOKUP($F465,'депозитный калькулятор'!$B$26:$F$70,4,0),0))</f>
        <v xml:space="preserve"> </v>
      </c>
      <c r="N465" s="135" t="str">
        <f>IF($F465=" "," ",IFERROR(VLOOKUP($F465,'депозитный калькулятор'!$B$26:$F$70,5,0),0))</f>
        <v xml:space="preserve"> </v>
      </c>
      <c r="O465" s="146" t="str">
        <f>IF(F465&gt;'депозитный калькулятор'!$D$8," ",IF(F465='депозитный калькулятор'!$D$8,IF(AND($F$24='депозитный калькулятор'!$D$8,'депозитный калькулятор'!$G$13="нет"),-G465-IF(I465=" ",0,I465)-IF(AND(OR('депозитный калькулятор'!$G$7="30/365",'депозитный калькулятор'!$G$7="30/360"),'депозитный калькулятор'!$G$10="в начале срока"),I464,0)-L465+M465-N465,-G465-IF(I465=" ",0,I465)-L465+M465-N465),IF('депозитный калькулятор'!$G$13="есть",M465-N465+IF('депозитный калькулятор'!$G$14="есть",0,-L465),-IF(I465=" ",0,I465)-IF(AND(OR('депозитный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срока"),I464,0)+M465-N465+IF('депозитный калькулятор'!$G$14="есть",0,-L465))))</f>
        <v xml:space="preserve"> </v>
      </c>
      <c r="P465" s="147" t="str">
        <f>IF(F465&gt;'депозитный калькулятор'!$D$8," ",IF(EOMONTH(F464,0)=F464,0,IF(G465&gt;='депозитный калькулятор'!$G$19,P464,P464+1)))</f>
        <v xml:space="preserve"> </v>
      </c>
      <c r="Q465" s="138" t="str">
        <f>IF(F465=" "," ",IF(AND(OR('депозитный калькулятор'!$G$7="30/365",'депозитный калькулятор'!$G$7="30/360"),AND(MONTH(F465)=2,EOMONTH(F465,0)=F465)),IF(DAY(F465)=28,3,2),1)*IF(G465&gt;='депозитный калькулятор'!$G$11,IF(AND('депозитный калькулятор'!$G$7="факт/факт",MOD(YEAR(F465),4)=0),G465*'депозитный калькулятор'!$D$11/366,G465*'депозитный калькулятор'!$G$8),0))</f>
        <v xml:space="preserve"> </v>
      </c>
      <c r="R465" s="158"/>
      <c r="S465" s="62" t="str">
        <f t="shared" ca="1" si="32"/>
        <v xml:space="preserve"> </v>
      </c>
      <c r="T465" s="149" t="str">
        <f ca="1">IF(S465=" "," ",IF('депозитный калькулятор'!$G$7="30/360",DAYS360(U464,IF(DAY(U465)=31,U465-1,U465))+IF(AND(MONTH(U465)=2,U465=EOMONTH(U465,0)),30-DAY(EOMONTH(U465,0)))+T464,VLOOKUP(S465,$C$22:$F$1023,2,0)))</f>
        <v xml:space="preserve"> </v>
      </c>
      <c r="U465" s="64" t="str">
        <f t="shared" ca="1" si="30"/>
        <v xml:space="preserve"> </v>
      </c>
      <c r="V465" s="150" t="str">
        <f t="shared" ca="1" si="33"/>
        <v xml:space="preserve"> </v>
      </c>
      <c r="W465" s="62" t="str">
        <f t="shared" ca="1" si="34"/>
        <v xml:space="preserve"> </v>
      </c>
      <c r="X465" s="141" t="str">
        <f ca="1">IF(S465=" "," ",IFERROR(VLOOKUP(U465,$F$23:$N$1023,7)+VLOOKUP(U465,$F$23:$N$1023,9)+IF(AND('депозитный калькулятор'!$G$13="нет",U465&lt;&gt;'депозитный калькулятор'!$D$8),VLOOKUP(U465,$F$23:$N$1023,4),0),0)+IF(U465='депозитный калькулятор'!$D$8,VLOOKUP(U465,$F$23:$N$1023,2)+VLOOKUP(U465,$F$23:$N$1023,4),0))</f>
        <v xml:space="preserve"> </v>
      </c>
      <c r="Y465" s="142" t="str">
        <f ca="1">IF(S465=" "," ",W465/(1+'депозитный калькулятор'!$K$8)^(T465/IF('депозитный калькулятор'!$G$7="30/360",360,365)))</f>
        <v xml:space="preserve"> </v>
      </c>
      <c r="Z465" s="142" t="str">
        <f ca="1">IF(S465=" "," ",X465/(1+'депозитный калькулятор'!$K$8)^(T465/IF('депозитный калькулятор'!$G$7="30/360",360,365)))</f>
        <v xml:space="preserve"> </v>
      </c>
      <c r="AA465" s="151"/>
      <c r="AB465" s="151"/>
      <c r="AC465" s="155"/>
      <c r="AD465" s="155"/>
    </row>
    <row r="466" spans="1:30" s="2" customFormat="1" ht="15.5" x14ac:dyDescent="0.35">
      <c r="A466" s="41" t="str">
        <f>IF(F466=" "," ",IF(OR('депозитный калькулятор'!$G$7="30/365",'депозитный калькулятор'!$G$7="30/360"),IF(AND(MONTH(F466)=2,DAY(F466)=DAY(EOMONTH(F466,0))),30-DAY(EOMONTH(F466,0)),IF(DAY(F466)=31,1," "))," "))</f>
        <v xml:space="preserve"> </v>
      </c>
      <c r="B466" s="130" t="str">
        <f t="shared" si="31"/>
        <v xml:space="preserve"> </v>
      </c>
      <c r="C466" s="130" t="str">
        <f>IF(OR(B466=0,B466=" ")," ",SUM($B$23:B466))</f>
        <v xml:space="preserve"> </v>
      </c>
      <c r="D466" s="62" t="str">
        <f>IF(D465=" "," ",IF(OR(F465='депозитный калькулятор'!$D$8,F465=" ")," ",D465+1))</f>
        <v xml:space="preserve"> </v>
      </c>
      <c r="E466" s="130" t="str">
        <f>IF(OR(F465='депозитный калькулятор'!$D$8,F465=" ")," ",IF(EOMONTH(F465,0)=F465,1,E465+1))</f>
        <v xml:space="preserve"> </v>
      </c>
      <c r="F466" s="64" t="str">
        <f>IF(F465=" "," ",IF(F465='депозитный калькулятор'!$D$8," ",F465+1))</f>
        <v xml:space="preserve"> </v>
      </c>
      <c r="G466" s="145" t="str">
        <f xml:space="preserve"> IF(F466&gt;'депозитный калькулятор'!$D$8," ",IF('депозитный калькулятор'!$G$13="есть",IF('депозитный калькулятор'!$G$14="есть",G465+IF(I465=" ",0,I465)-J466-K466+L466+M466-N466,G465+IF(I465=" ",0,I465)-J466-K466+M466-N466),IF('депозитный калькулятор'!$G$14="есть",G465-J466-K466+L466+M466-N466,G465-J466-K466+M466-N466)))</f>
        <v xml:space="preserve"> </v>
      </c>
      <c r="H466" s="133" t="str">
        <f>IF(F466&gt;'депозитный калькулятор'!$D$8," ",IF(AND(OR('депозитный калькулятор'!$G$7="30/365",'депозитный калькулятор'!$G$7="30/360"),AND(MONTH(F466)=2,EOMONTH(F466,0)=F466)),IF(DAY(F466)=28,3*G466*'депозитный калькулятор'!$G$8,2*G466*'депозитный калькулятор'!$G$8),IF(AND(OR('депозитный калькулятор'!$G$7="30/365",'депозитный калькулятор'!$G$7="30/360"),DAY(F466)=31)," ",IF(AND('депозитный калькулятор'!$G$7="факт/факт",MOD(YEAR(F466),4)=0),G466*'депозитный калькулятор'!$D$11/366,G466*'депозитный калькулятор'!$G$8))))</f>
        <v xml:space="preserve"> </v>
      </c>
      <c r="I466" s="134" t="str">
        <f ca="1">IF(F466=" "," ",IF('депозитный калькулятор'!$G$10="ежедневное",H466,IF(AND('депозитный калькулятор'!$G$10="еженедельное",WEEKDAY(F466,2)=7),SUM(OFFSET(H466,-6,0):H466),IF(AND('депозитный калькулятор'!$G$10="еженедельное",F466='депозитный калькулятор'!$D$8),SUM($H$23:H466)-SUM($I$23:I465),IF(AND('депозитный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недели",WEEKDAY(F466,2)=7),MIN(OFFSET(H466,-6,0):H466)*(COUNTIF(OFFSET(H466,-6,0):H466,"&gt;0")+SUMIF(OFFSET(A466,-WEEKDAY(F466,2),0):A466,"=2",OFFSET(A466,-WEEKDAY(F466,2),0):A466)),IF(AND('депозитный калькулятор'!$G$10="еженедельное, на минимальную сумму зафиксированную в течение недели",F466='депозитный калькулятор'!$D$8,WEEKDAY(F466,2)&lt;&gt;7),MIN(OFFSET(H466,-WEEKDAY(F466,2),0):H466)*(COUNTIF(OFFSET(H466,-WEEKDAY(F466,2)+1,0):H466,"&gt;0")+SUM(OFFSET(A466,-WEEKDAY(F466,2),0):A466)),IF(AND('депозитный калькулятор'!$G$10="ежемесячное (в конце месяца)",F466='депозитный калькулятор'!$D$8,EOMONTH(F466,0)&lt;&gt;F466),IF('депозитный калькулятор'!$F$1=1,$H$24,SUM($H$23:H466)-SUM($I$23:I465)),IF(AND('депозитный калькулятор'!$G$10="ежемесячное (в конце месяца)",EOMONTH(F466,0)=F466),SUM($H$23:H466)-SUM($I$23:I465),IF(AND('депозитный калькулятор'!$G$10="ежемесячное (по дням открытия вклада)",F466='депозитный калькулятор'!$D$8,DAY('депозитный калькулятор'!$D$7)&lt;&gt;DAY(F466)),IF('депозитный калькулятор'!$F$1=1,$H$24,SUM($H$23:H466)-SUM($I$23:I465)),IF(AND('депозитный калькулятор'!$G$10="ежемесячное (по дням открытия вклада)",DAY('депозитный калькулятор'!$D$7)=DAY(F466)),SUM($H$23:H466)-SUM($I$23:I465),IF(AND('депозитный калькулятор'!$G$10="ежемесячное, на минимальную сумму зафиксированную в течение месяца",F466='депозитный калькулятор'!$D$8,EOMONTH(F466,0)&lt;&gt;F466),IF('депозитный калькулятор'!$F$1=1,$H$24,IF(AND(OR('депозитный калькулятор'!$G$7="30/365",'депозитный калькулятор'!$G$7="30/360"),DAY(F466)=31),0,MIN(OFFSET(H466,-E466+1,0):H466)*(E466+SUMIF(OFFSET(A466,-E466+1,0):A466,"=2",OFFSET(A466,-E466+1,0):A466)))),IF(AND('депозитный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калькулятор'!$G$7="30/360"),DAY(EOMONTH(F466,0))=31),EOMONTH(F466,0)-1=F466,EOMONTH(F466,0)=F466)),IF(IF(AND(OR('депозитный калькулятор'!$G$7="30/365",'депозитный калькулятор'!$G$7="30/360"),DAY(EOMONTH($F$23,0))=31),F466=EOMONTH($F$23,0)-1,F466=EOMONTH($F$23,0)),MIN(OFFSET(H466,-(DAY(F466)-DAY($F$23)),0):H466)*E466,MIN(OFFSET(H466,-(DAY(F466)-1),0):H466)*IF(AND(OR('депозитный калькулятор'!$G$7="30/365",'депозитный калькулятор'!$G$7="30/360"),DAY(F466)&lt;30),30,DAY(F466))),IF(AND('депозитный калькулятор'!$G$10="ежемесячное, на средний остаток в течение месяца, при условии что остаток больше чем ограничение",F466='депозитный калькулятор'!$D$8,EOMONTH(F466,0)&lt;&gt;F466),IF('депозитный калькулятор'!$F$1=1,$H$24,SUM(OFFSET(Q466,-E466+1,0):Q466)),IF(AND('депозитный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калькулятор'!$G$7="30/360"),DAY(EOMONTH(F466,0))=31),EOMONTH(F466,0)-1=F466,EOMONTH(F466,0)=F466)),IF(IF(AND(OR('депозитный калькулятор'!$G$7="30/365",'депозитный калькулятор'!$G$7="30/360"),DAY(EOMONTH($F$24,0))=31),F466=EOMONTH($F$24,0)-1,F466=EOMONTH($F$24,0)),SUM(OFFSET(Q466,-E466+1,0):Q466),SUM(OFFSET(Q466,-E466+1,0):Q466)),IF('депозитный калькулятор'!$G$10="ежеквартальное",IF(F466&gt;'депозитный калькулятор'!$D$8," ",IF(AND(EOMONTH(F466,0)=F466,OR(MONTH(F466)=3,MONTH(F466)=6,MONTH(F466)=9,MONTH(F466)=12)),IF(EDATE(F466,-3)&lt;'депозитный калькулятор'!$D$7,SUM($H$23:H466),IF(MOD(YEAR(F466),4)=0,IF(AND(EOMONTH(F466,0)=F466,OR(MONTH(F466)=3,MONTH(F466)=6)),SUM(OFFSET(H466,-90,0):H466),IF(AND(EOMONTH(F466,0)=F466,OR(MONTH(F466)=9,MONTH(F466)=12)),SUM(OFFSET(H466,-91,0):H466))),IF(AND(EOMONTH(F466,0)=F466,MONTH(F466)=3),SUM(OFFSET(H466,-89,0):H466),IF(AND(EOMONTH(F466,0)=F466,MONTH(F466)=6),SUM(OFFSET(H466,-90,0):H466),IF(AND(EOMONTH(F466,0)=F466,OR(MONTH(F466)=9,MONTH(F466)=12)),SUM(OFFSET(H466,-91,0):H466)))))),IF(F466='депозитный калькулятор'!$D$8,SUM($H$23:H466)-SUM($I$23:I465),0))),IF('депозитный калькулятор'!$G$10="ежегодное",IF(F466&gt;'депозитный калькулятор'!$D$8," ",IF(F466='депозитный калькулятор'!$D$8,SUM($H$23:H466)-SUM($I$23:I465),IF(AND(EOMONTH(F466,0)=F466,MONTH(F466)=12),IF(MOD(YEAR(F465),4)=0,IF(F466-'депозитный калькулятор'!$D$7&lt;366,SUM($H$23:H466),SUM(OFFSET(H466,-365,0):H466)),IF(F466-'депозитный калькулятор'!$D$7&lt;365,SUM($H$23:H466),SUM(OFFSET(H466,-364,0):H466))),0))),IF(AND('депозитный калькулятор'!$G$10="в конце срока",'депозитный калькулятор'!$D$8=F466),SUM($H$23:H466),0))))))))))))))))))</f>
        <v xml:space="preserve"> </v>
      </c>
      <c r="J466" s="59" t="str">
        <f>IF(F466&gt;'депозитный калькулятор'!$D$8," ",IF('депозитный калькулятор'!$G$16="нет",0,IF(AND('депозитный калькулятор'!$G$17="разовая (в конце срока)",F466='депозитный калькулятор'!$D$8),'депозитный калькулятор'!$G$18,IF(AND('депозитный калькулятор'!$G$17="ежемесячная",EOMONTH(F465,0)=F465),'депозитный калькулятор'!$G$18,IF(AND('депозитный калькулятор'!$G$17="ежегодная",DAY(F465)=31,MONTH(F465)=12),'депозитный калькулятор'!$G$18,IF(AND('депозитный калькулятор'!$G$17="ежемесячная в зависимости от остатка",EOMONTH(F465,0)=F465,P465&gt;0),'депозитный калькулятор'!$G$18,IF(AND('депозитный калькулятор'!$G$17="ежегодная в зависимости от остатка",DAY(F465)=31,MONTH(F465)=12,P465&gt;0),'депозитный калькулятор'!$G$18,0)))))))</f>
        <v xml:space="preserve"> </v>
      </c>
      <c r="K466" s="135" t="str">
        <f>IF($F466=" "," ",IFERROR(VLOOKUP($F466,'депозитный калькулятор'!$B$26:$F$70,2,0),0))</f>
        <v xml:space="preserve"> </v>
      </c>
      <c r="L466" s="135" t="str">
        <f>IF($F466=" "," ",IFERROR(VLOOKUP($F466,'депозитный калькулятор'!$B$26:$F$70,3,0),0))</f>
        <v xml:space="preserve"> </v>
      </c>
      <c r="M466" s="135" t="str">
        <f>IF($F466=" "," ",IFERROR(VLOOKUP($F466,'депозитный калькулятор'!$B$26:$F$70,4,0),0))</f>
        <v xml:space="preserve"> </v>
      </c>
      <c r="N466" s="135" t="str">
        <f>IF($F466=" "," ",IFERROR(VLOOKUP($F466,'депозитный калькулятор'!$B$26:$F$70,5,0),0))</f>
        <v xml:space="preserve"> </v>
      </c>
      <c r="O466" s="146" t="str">
        <f>IF(F466&gt;'депозитный калькулятор'!$D$8," ",IF(F466='депозитный калькулятор'!$D$8,IF(AND($F$24='депозитный калькулятор'!$D$8,'депозитный калькулятор'!$G$13="нет"),-G466-IF(I466=" ",0,I466)-IF(AND(OR('депозитный калькулятор'!$G$7="30/365",'депозитный калькулятор'!$G$7="30/360"),'депозитный калькулятор'!$G$10="в начале срока"),I465,0)-L466+M466-N466,-G466-IF(I466=" ",0,I466)-L466+M466-N466),IF('депозитный калькулятор'!$G$13="есть",M466-N466+IF('депозитный калькулятор'!$G$14="есть",0,-L466),-IF(I466=" ",0,I466)-IF(AND(OR('депозитный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срока"),I465,0)+M466-N466+IF('депозитный калькулятор'!$G$14="есть",0,-L466))))</f>
        <v xml:space="preserve"> </v>
      </c>
      <c r="P466" s="147" t="str">
        <f>IF(F466&gt;'депозитный калькулятор'!$D$8," ",IF(EOMONTH(F465,0)=F465,0,IF(G466&gt;='депозитный калькулятор'!$G$19,P465,P465+1)))</f>
        <v xml:space="preserve"> </v>
      </c>
      <c r="Q466" s="138" t="str">
        <f>IF(F466=" "," ",IF(AND(OR('депозитный калькулятор'!$G$7="30/365",'депозитный калькулятор'!$G$7="30/360"),AND(MONTH(F466)=2,EOMONTH(F466,0)=F466)),IF(DAY(F466)=28,3,2),1)*IF(G466&gt;='депозитный калькулятор'!$G$11,IF(AND('депозитный калькулятор'!$G$7="факт/факт",MOD(YEAR(F466),4)=0),G466*'депозитный калькулятор'!$D$11/366,G466*'депозитный калькулятор'!$G$8),0))</f>
        <v xml:space="preserve"> </v>
      </c>
      <c r="R466" s="158"/>
      <c r="S466" s="62" t="str">
        <f t="shared" ca="1" si="32"/>
        <v xml:space="preserve"> </v>
      </c>
      <c r="T466" s="149" t="str">
        <f ca="1">IF(S466=" "," ",IF('депозитный калькулятор'!$G$7="30/360",DAYS360(U465,IF(DAY(U466)=31,U466-1,U466))+IF(AND(MONTH(U466)=2,U466=EOMONTH(U466,0)),30-DAY(EOMONTH(U466,0)))+T465,VLOOKUP(S466,$C$22:$F$1023,2,0)))</f>
        <v xml:space="preserve"> </v>
      </c>
      <c r="U466" s="64" t="str">
        <f t="shared" ca="1" si="30"/>
        <v xml:space="preserve"> </v>
      </c>
      <c r="V466" s="150" t="str">
        <f t="shared" ca="1" si="33"/>
        <v xml:space="preserve"> </v>
      </c>
      <c r="W466" s="62" t="str">
        <f t="shared" ca="1" si="34"/>
        <v xml:space="preserve"> </v>
      </c>
      <c r="X466" s="141" t="str">
        <f ca="1">IF(S466=" "," ",IFERROR(VLOOKUP(U466,$F$23:$N$1023,7)+VLOOKUP(U466,$F$23:$N$1023,9)+IF(AND('депозитный калькулятор'!$G$13="нет",U466&lt;&gt;'депозитный калькулятор'!$D$8),VLOOKUP(U466,$F$23:$N$1023,4),0),0)+IF(U466='депозитный калькулятор'!$D$8,VLOOKUP(U466,$F$23:$N$1023,2)+VLOOKUP(U466,$F$23:$N$1023,4),0))</f>
        <v xml:space="preserve"> </v>
      </c>
      <c r="Y466" s="142" t="str">
        <f ca="1">IF(S466=" "," ",W466/(1+'депозитный калькулятор'!$K$8)^(T466/IF('депозитный калькулятор'!$G$7="30/360",360,365)))</f>
        <v xml:space="preserve"> </v>
      </c>
      <c r="Z466" s="142" t="str">
        <f ca="1">IF(S466=" "," ",X466/(1+'депозитный калькулятор'!$K$8)^(T466/IF('депозитный калькулятор'!$G$7="30/360",360,365)))</f>
        <v xml:space="preserve"> </v>
      </c>
      <c r="AA466" s="151"/>
      <c r="AB466" s="151"/>
      <c r="AC466" s="155"/>
      <c r="AD466" s="155"/>
    </row>
    <row r="467" spans="1:30" s="2" customFormat="1" ht="15.5" x14ac:dyDescent="0.35">
      <c r="A467" s="41" t="str">
        <f>IF(F467=" "," ",IF(OR('депозитный калькулятор'!$G$7="30/365",'депозитный калькулятор'!$G$7="30/360"),IF(AND(MONTH(F467)=2,DAY(F467)=DAY(EOMONTH(F467,0))),30-DAY(EOMONTH(F467,0)),IF(DAY(F467)=31,1," "))," "))</f>
        <v xml:space="preserve"> </v>
      </c>
      <c r="B467" s="130" t="str">
        <f t="shared" si="31"/>
        <v xml:space="preserve"> </v>
      </c>
      <c r="C467" s="130" t="str">
        <f>IF(OR(B467=0,B467=" ")," ",SUM($B$23:B467))</f>
        <v xml:space="preserve"> </v>
      </c>
      <c r="D467" s="62" t="str">
        <f>IF(D466=" "," ",IF(OR(F466='депозитный калькулятор'!$D$8,F466=" ")," ",D466+1))</f>
        <v xml:space="preserve"> </v>
      </c>
      <c r="E467" s="130" t="str">
        <f>IF(OR(F466='депозитный калькулятор'!$D$8,F466=" ")," ",IF(EOMONTH(F466,0)=F466,1,E466+1))</f>
        <v xml:space="preserve"> </v>
      </c>
      <c r="F467" s="64" t="str">
        <f>IF(F466=" "," ",IF(F466='депозитный калькулятор'!$D$8," ",F466+1))</f>
        <v xml:space="preserve"> </v>
      </c>
      <c r="G467" s="145" t="str">
        <f xml:space="preserve"> IF(F467&gt;'депозитный калькулятор'!$D$8," ",IF('депозитный калькулятор'!$G$13="есть",IF('депозитный калькулятор'!$G$14="есть",G466+IF(I466=" ",0,I466)-J467-K467+L467+M467-N467,G466+IF(I466=" ",0,I466)-J467-K467+M467-N467),IF('депозитный калькулятор'!$G$14="есть",G466-J467-K467+L467+M467-N467,G466-J467-K467+M467-N467)))</f>
        <v xml:space="preserve"> </v>
      </c>
      <c r="H467" s="133" t="str">
        <f>IF(F467&gt;'депозитный калькулятор'!$D$8," ",IF(AND(OR('депозитный калькулятор'!$G$7="30/365",'депозитный калькулятор'!$G$7="30/360"),AND(MONTH(F467)=2,EOMONTH(F467,0)=F467)),IF(DAY(F467)=28,3*G467*'депозитный калькулятор'!$G$8,2*G467*'депозитный калькулятор'!$G$8),IF(AND(OR('депозитный калькулятор'!$G$7="30/365",'депозитный калькулятор'!$G$7="30/360"),DAY(F467)=31)," ",IF(AND('депозитный калькулятор'!$G$7="факт/факт",MOD(YEAR(F467),4)=0),G467*'депозитный калькулятор'!$D$11/366,G467*'депозитный калькулятор'!$G$8))))</f>
        <v xml:space="preserve"> </v>
      </c>
      <c r="I467" s="134" t="str">
        <f ca="1">IF(F467=" "," ",IF('депозитный калькулятор'!$G$10="ежедневное",H467,IF(AND('депозитный калькулятор'!$G$10="еженедельное",WEEKDAY(F467,2)=7),SUM(OFFSET(H467,-6,0):H467),IF(AND('депозитный калькулятор'!$G$10="еженедельное",F467='депозитный калькулятор'!$D$8),SUM($H$23:H467)-SUM($I$23:I466),IF(AND('депозитный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недели",WEEKDAY(F467,2)=7),MIN(OFFSET(H467,-6,0):H467)*(COUNTIF(OFFSET(H467,-6,0):H467,"&gt;0")+SUMIF(OFFSET(A467,-WEEKDAY(F467,2),0):A467,"=2",OFFSET(A467,-WEEKDAY(F467,2),0):A467)),IF(AND('депозитный калькулятор'!$G$10="еженедельное, на минимальную сумму зафиксированную в течение недели",F467='депозитный калькулятор'!$D$8,WEEKDAY(F467,2)&lt;&gt;7),MIN(OFFSET(H467,-WEEKDAY(F467,2),0):H467)*(COUNTIF(OFFSET(H467,-WEEKDAY(F467,2)+1,0):H467,"&gt;0")+SUM(OFFSET(A467,-WEEKDAY(F467,2),0):A467)),IF(AND('депозитный калькулятор'!$G$10="ежемесячное (в конце месяца)",F467='депозитный калькулятор'!$D$8,EOMONTH(F467,0)&lt;&gt;F467),IF('депозитный калькулятор'!$F$1=1,$H$24,SUM($H$23:H467)-SUM($I$23:I466)),IF(AND('депозитный калькулятор'!$G$10="ежемесячное (в конце месяца)",EOMONTH(F467,0)=F467),SUM($H$23:H467)-SUM($I$23:I466),IF(AND('депозитный калькулятор'!$G$10="ежемесячное (по дням открытия вклада)",F467='депозитный калькулятор'!$D$8,DAY('депозитный калькулятор'!$D$7)&lt;&gt;DAY(F467)),IF('депозитный калькулятор'!$F$1=1,$H$24,SUM($H$23:H467)-SUM($I$23:I466)),IF(AND('депозитный калькулятор'!$G$10="ежемесячное (по дням открытия вклада)",DAY('депозитный калькулятор'!$D$7)=DAY(F467)),SUM($H$23:H467)-SUM($I$23:I466),IF(AND('депозитный калькулятор'!$G$10="ежемесячное, на минимальную сумму зафиксированную в течение месяца",F467='депозитный калькулятор'!$D$8,EOMONTH(F467,0)&lt;&gt;F467),IF('депозитный калькулятор'!$F$1=1,$H$24,IF(AND(OR('депозитный калькулятор'!$G$7="30/365",'депозитный калькулятор'!$G$7="30/360"),DAY(F467)=31),0,MIN(OFFSET(H467,-E467+1,0):H467)*(E467+SUMIF(OFFSET(A467,-E467+1,0):A467,"=2",OFFSET(A467,-E467+1,0):A467)))),IF(AND('депозитный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калькулятор'!$G$7="30/360"),DAY(EOMONTH(F467,0))=31),EOMONTH(F467,0)-1=F467,EOMONTH(F467,0)=F467)),IF(IF(AND(OR('депозитный калькулятор'!$G$7="30/365",'депозитный калькулятор'!$G$7="30/360"),DAY(EOMONTH($F$23,0))=31),F467=EOMONTH($F$23,0)-1,F467=EOMONTH($F$23,0)),MIN(OFFSET(H467,-(DAY(F467)-DAY($F$23)),0):H467)*E467,MIN(OFFSET(H467,-(DAY(F467)-1),0):H467)*IF(AND(OR('депозитный калькулятор'!$G$7="30/365",'депозитный калькулятор'!$G$7="30/360"),DAY(F467)&lt;30),30,DAY(F467))),IF(AND('депозитный калькулятор'!$G$10="ежемесячное, на средний остаток в течение месяца, при условии что остаток больше чем ограничение",F467='депозитный калькулятор'!$D$8,EOMONTH(F467,0)&lt;&gt;F467),IF('депозитный калькулятор'!$F$1=1,$H$24,SUM(OFFSET(Q467,-E467+1,0):Q467)),IF(AND('депозитный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калькулятор'!$G$7="30/360"),DAY(EOMONTH(F467,0))=31),EOMONTH(F467,0)-1=F467,EOMONTH(F467,0)=F467)),IF(IF(AND(OR('депозитный калькулятор'!$G$7="30/365",'депозитный калькулятор'!$G$7="30/360"),DAY(EOMONTH($F$24,0))=31),F467=EOMONTH($F$24,0)-1,F467=EOMONTH($F$24,0)),SUM(OFFSET(Q467,-E467+1,0):Q467),SUM(OFFSET(Q467,-E467+1,0):Q467)),IF('депозитный калькулятор'!$G$10="ежеквартальное",IF(F467&gt;'депозитный калькулятор'!$D$8," ",IF(AND(EOMONTH(F467,0)=F467,OR(MONTH(F467)=3,MONTH(F467)=6,MONTH(F467)=9,MONTH(F467)=12)),IF(EDATE(F467,-3)&lt;'депозитный калькулятор'!$D$7,SUM($H$23:H467),IF(MOD(YEAR(F467),4)=0,IF(AND(EOMONTH(F467,0)=F467,OR(MONTH(F467)=3,MONTH(F467)=6)),SUM(OFFSET(H467,-90,0):H467),IF(AND(EOMONTH(F467,0)=F467,OR(MONTH(F467)=9,MONTH(F467)=12)),SUM(OFFSET(H467,-91,0):H467))),IF(AND(EOMONTH(F467,0)=F467,MONTH(F467)=3),SUM(OFFSET(H467,-89,0):H467),IF(AND(EOMONTH(F467,0)=F467,MONTH(F467)=6),SUM(OFFSET(H467,-90,0):H467),IF(AND(EOMONTH(F467,0)=F467,OR(MONTH(F467)=9,MONTH(F467)=12)),SUM(OFFSET(H467,-91,0):H467)))))),IF(F467='депозитный калькулятор'!$D$8,SUM($H$23:H467)-SUM($I$23:I466),0))),IF('депозитный калькулятор'!$G$10="ежегодное",IF(F467&gt;'депозитный калькулятор'!$D$8," ",IF(F467='депозитный калькулятор'!$D$8,SUM($H$23:H467)-SUM($I$23:I466),IF(AND(EOMONTH(F467,0)=F467,MONTH(F467)=12),IF(MOD(YEAR(F466),4)=0,IF(F467-'депозитный калькулятор'!$D$7&lt;366,SUM($H$23:H467),SUM(OFFSET(H467,-365,0):H467)),IF(F467-'депозитный калькулятор'!$D$7&lt;365,SUM($H$23:H467),SUM(OFFSET(H467,-364,0):H467))),0))),IF(AND('депозитный калькулятор'!$G$10="в конце срока",'депозитный калькулятор'!$D$8=F467),SUM($H$23:H467),0))))))))))))))))))</f>
        <v xml:space="preserve"> </v>
      </c>
      <c r="J467" s="59" t="str">
        <f>IF(F467&gt;'депозитный калькулятор'!$D$8," ",IF('депозитный калькулятор'!$G$16="нет",0,IF(AND('депозитный калькулятор'!$G$17="разовая (в конце срока)",F467='депозитный калькулятор'!$D$8),'депозитный калькулятор'!$G$18,IF(AND('депозитный калькулятор'!$G$17="ежемесячная",EOMONTH(F466,0)=F466),'депозитный калькулятор'!$G$18,IF(AND('депозитный калькулятор'!$G$17="ежегодная",DAY(F466)=31,MONTH(F466)=12),'депозитный калькулятор'!$G$18,IF(AND('депозитный калькулятор'!$G$17="ежемесячная в зависимости от остатка",EOMONTH(F466,0)=F466,P466&gt;0),'депозитный калькулятор'!$G$18,IF(AND('депозитный калькулятор'!$G$17="ежегодная в зависимости от остатка",DAY(F466)=31,MONTH(F466)=12,P466&gt;0),'депозитный калькулятор'!$G$18,0)))))))</f>
        <v xml:space="preserve"> </v>
      </c>
      <c r="K467" s="135" t="str">
        <f>IF($F467=" "," ",IFERROR(VLOOKUP($F467,'депозитный калькулятор'!$B$26:$F$70,2,0),0))</f>
        <v xml:space="preserve"> </v>
      </c>
      <c r="L467" s="135" t="str">
        <f>IF($F467=" "," ",IFERROR(VLOOKUP($F467,'депозитный калькулятор'!$B$26:$F$70,3,0),0))</f>
        <v xml:space="preserve"> </v>
      </c>
      <c r="M467" s="135" t="str">
        <f>IF($F467=" "," ",IFERROR(VLOOKUP($F467,'депозитный калькулятор'!$B$26:$F$70,4,0),0))</f>
        <v xml:space="preserve"> </v>
      </c>
      <c r="N467" s="135" t="str">
        <f>IF($F467=" "," ",IFERROR(VLOOKUP($F467,'депозитный калькулятор'!$B$26:$F$70,5,0),0))</f>
        <v xml:space="preserve"> </v>
      </c>
      <c r="O467" s="146" t="str">
        <f>IF(F467&gt;'депозитный калькулятор'!$D$8," ",IF(F467='депозитный калькулятор'!$D$8,IF(AND($F$24='депозитный калькулятор'!$D$8,'депозитный калькулятор'!$G$13="нет"),-G467-IF(I467=" ",0,I467)-IF(AND(OR('депозитный калькулятор'!$G$7="30/365",'депозитный калькулятор'!$G$7="30/360"),'депозитный калькулятор'!$G$10="в начале срока"),I466,0)-L467+M467-N467,-G467-IF(I467=" ",0,I467)-L467+M467-N467),IF('депозитный калькулятор'!$G$13="есть",M467-N467+IF('депозитный калькулятор'!$G$14="есть",0,-L467),-IF(I467=" ",0,I467)-IF(AND(OR('депозитный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срока"),I466,0)+M467-N467+IF('депозитный калькулятор'!$G$14="есть",0,-L467))))</f>
        <v xml:space="preserve"> </v>
      </c>
      <c r="P467" s="147" t="str">
        <f>IF(F467&gt;'депозитный калькулятор'!$D$8," ",IF(EOMONTH(F466,0)=F466,0,IF(G467&gt;='депозитный калькулятор'!$G$19,P466,P466+1)))</f>
        <v xml:space="preserve"> </v>
      </c>
      <c r="Q467" s="138" t="str">
        <f>IF(F467=" "," ",IF(AND(OR('депозитный калькулятор'!$G$7="30/365",'депозитный калькулятор'!$G$7="30/360"),AND(MONTH(F467)=2,EOMONTH(F467,0)=F467)),IF(DAY(F467)=28,3,2),1)*IF(G467&gt;='депозитный калькулятор'!$G$11,IF(AND('депозитный калькулятор'!$G$7="факт/факт",MOD(YEAR(F467),4)=0),G467*'депозитный калькулятор'!$D$11/366,G467*'депозитный калькулятор'!$G$8),0))</f>
        <v xml:space="preserve"> </v>
      </c>
      <c r="R467" s="158"/>
      <c r="S467" s="62" t="str">
        <f t="shared" ca="1" si="32"/>
        <v xml:space="preserve"> </v>
      </c>
      <c r="T467" s="149" t="str">
        <f ca="1">IF(S467=" "," ",IF('депозитный калькулятор'!$G$7="30/360",DAYS360(U466,IF(DAY(U467)=31,U467-1,U467))+IF(AND(MONTH(U467)=2,U467=EOMONTH(U467,0)),30-DAY(EOMONTH(U467,0)))+T466,VLOOKUP(S467,$C$22:$F$1023,2,0)))</f>
        <v xml:space="preserve"> </v>
      </c>
      <c r="U467" s="64" t="str">
        <f t="shared" ca="1" si="30"/>
        <v xml:space="preserve"> </v>
      </c>
      <c r="V467" s="150" t="str">
        <f t="shared" ca="1" si="33"/>
        <v xml:space="preserve"> </v>
      </c>
      <c r="W467" s="62" t="str">
        <f t="shared" ca="1" si="34"/>
        <v xml:space="preserve"> </v>
      </c>
      <c r="X467" s="141" t="str">
        <f ca="1">IF(S467=" "," ",IFERROR(VLOOKUP(U467,$F$23:$N$1023,7)+VLOOKUP(U467,$F$23:$N$1023,9)+IF(AND('депозитный калькулятор'!$G$13="нет",U467&lt;&gt;'депозитный калькулятор'!$D$8),VLOOKUP(U467,$F$23:$N$1023,4),0),0)+IF(U467='депозитный калькулятор'!$D$8,VLOOKUP(U467,$F$23:$N$1023,2)+VLOOKUP(U467,$F$23:$N$1023,4),0))</f>
        <v xml:space="preserve"> </v>
      </c>
      <c r="Y467" s="142" t="str">
        <f ca="1">IF(S467=" "," ",W467/(1+'депозитный калькулятор'!$K$8)^(T467/IF('депозитный калькулятор'!$G$7="30/360",360,365)))</f>
        <v xml:space="preserve"> </v>
      </c>
      <c r="Z467" s="142" t="str">
        <f ca="1">IF(S467=" "," ",X467/(1+'депозитный калькулятор'!$K$8)^(T467/IF('депозитный калькулятор'!$G$7="30/360",360,365)))</f>
        <v xml:space="preserve"> </v>
      </c>
      <c r="AA467" s="151"/>
      <c r="AB467" s="151"/>
      <c r="AC467" s="155"/>
      <c r="AD467" s="155"/>
    </row>
    <row r="468" spans="1:30" s="2" customFormat="1" ht="15.5" x14ac:dyDescent="0.35">
      <c r="A468" s="41" t="str">
        <f>IF(F468=" "," ",IF(OR('депозитный калькулятор'!$G$7="30/365",'депозитный калькулятор'!$G$7="30/360"),IF(AND(MONTH(F468)=2,DAY(F468)=DAY(EOMONTH(F468,0))),30-DAY(EOMONTH(F468,0)),IF(DAY(F468)=31,1," "))," "))</f>
        <v xml:space="preserve"> </v>
      </c>
      <c r="B468" s="130" t="str">
        <f t="shared" si="31"/>
        <v xml:space="preserve"> </v>
      </c>
      <c r="C468" s="130" t="str">
        <f>IF(OR(B468=0,B468=" ")," ",SUM($B$23:B468))</f>
        <v xml:space="preserve"> </v>
      </c>
      <c r="D468" s="62" t="str">
        <f>IF(D467=" "," ",IF(OR(F467='депозитный калькулятор'!$D$8,F467=" ")," ",D467+1))</f>
        <v xml:space="preserve"> </v>
      </c>
      <c r="E468" s="130" t="str">
        <f>IF(OR(F467='депозитный калькулятор'!$D$8,F467=" ")," ",IF(EOMONTH(F467,0)=F467,1,E467+1))</f>
        <v xml:space="preserve"> </v>
      </c>
      <c r="F468" s="64" t="str">
        <f>IF(F467=" "," ",IF(F467='депозитный калькулятор'!$D$8," ",F467+1))</f>
        <v xml:space="preserve"> </v>
      </c>
      <c r="G468" s="145" t="str">
        <f xml:space="preserve"> IF(F468&gt;'депозитный калькулятор'!$D$8," ",IF('депозитный калькулятор'!$G$13="есть",IF('депозитный калькулятор'!$G$14="есть",G467+IF(I467=" ",0,I467)-J468-K468+L468+M468-N468,G467+IF(I467=" ",0,I467)-J468-K468+M468-N468),IF('депозитный калькулятор'!$G$14="есть",G467-J468-K468+L468+M468-N468,G467-J468-K468+M468-N468)))</f>
        <v xml:space="preserve"> </v>
      </c>
      <c r="H468" s="133" t="str">
        <f>IF(F468&gt;'депозитный калькулятор'!$D$8," ",IF(AND(OR('депозитный калькулятор'!$G$7="30/365",'депозитный калькулятор'!$G$7="30/360"),AND(MONTH(F468)=2,EOMONTH(F468,0)=F468)),IF(DAY(F468)=28,3*G468*'депозитный калькулятор'!$G$8,2*G468*'депозитный калькулятор'!$G$8),IF(AND(OR('депозитный калькулятор'!$G$7="30/365",'депозитный калькулятор'!$G$7="30/360"),DAY(F468)=31)," ",IF(AND('депозитный калькулятор'!$G$7="факт/факт",MOD(YEAR(F468),4)=0),G468*'депозитный калькулятор'!$D$11/366,G468*'депозитный калькулятор'!$G$8))))</f>
        <v xml:space="preserve"> </v>
      </c>
      <c r="I468" s="134" t="str">
        <f ca="1">IF(F468=" "," ",IF('депозитный калькулятор'!$G$10="ежедневное",H468,IF(AND('депозитный калькулятор'!$G$10="еженедельное",WEEKDAY(F468,2)=7),SUM(OFFSET(H468,-6,0):H468),IF(AND('депозитный калькулятор'!$G$10="еженедельное",F468='депозитный калькулятор'!$D$8),SUM($H$23:H468)-SUM($I$23:I467),IF(AND('депозитный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недели",WEEKDAY(F468,2)=7),MIN(OFFSET(H468,-6,0):H468)*(COUNTIF(OFFSET(H468,-6,0):H468,"&gt;0")+SUMIF(OFFSET(A468,-WEEKDAY(F468,2),0):A468,"=2",OFFSET(A468,-WEEKDAY(F468,2),0):A468)),IF(AND('депозитный калькулятор'!$G$10="еженедельное, на минимальную сумму зафиксированную в течение недели",F468='депозитный калькулятор'!$D$8,WEEKDAY(F468,2)&lt;&gt;7),MIN(OFFSET(H468,-WEEKDAY(F468,2),0):H468)*(COUNTIF(OFFSET(H468,-WEEKDAY(F468,2)+1,0):H468,"&gt;0")+SUM(OFFSET(A468,-WEEKDAY(F468,2),0):A468)),IF(AND('депозитный калькулятор'!$G$10="ежемесячное (в конце месяца)",F468='депозитный калькулятор'!$D$8,EOMONTH(F468,0)&lt;&gt;F468),IF('депозитный калькулятор'!$F$1=1,$H$24,SUM($H$23:H468)-SUM($I$23:I467)),IF(AND('депозитный калькулятор'!$G$10="ежемесячное (в конце месяца)",EOMONTH(F468,0)=F468),SUM($H$23:H468)-SUM($I$23:I467),IF(AND('депозитный калькулятор'!$G$10="ежемесячное (по дням открытия вклада)",F468='депозитный калькулятор'!$D$8,DAY('депозитный калькулятор'!$D$7)&lt;&gt;DAY(F468)),IF('депозитный калькулятор'!$F$1=1,$H$24,SUM($H$23:H468)-SUM($I$23:I467)),IF(AND('депозитный калькулятор'!$G$10="ежемесячное (по дням открытия вклада)",DAY('депозитный калькулятор'!$D$7)=DAY(F468)),SUM($H$23:H468)-SUM($I$23:I467),IF(AND('депозитный калькулятор'!$G$10="ежемесячное, на минимальную сумму зафиксированную в течение месяца",F468='депозитный калькулятор'!$D$8,EOMONTH(F468,0)&lt;&gt;F468),IF('депозитный калькулятор'!$F$1=1,$H$24,IF(AND(OR('депозитный калькулятор'!$G$7="30/365",'депозитный калькулятор'!$G$7="30/360"),DAY(F468)=31),0,MIN(OFFSET(H468,-E468+1,0):H468)*(E468+SUMIF(OFFSET(A468,-E468+1,0):A468,"=2",OFFSET(A468,-E468+1,0):A468)))),IF(AND('депозитный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калькулятор'!$G$7="30/360"),DAY(EOMONTH(F468,0))=31),EOMONTH(F468,0)-1=F468,EOMONTH(F468,0)=F468)),IF(IF(AND(OR('депозитный калькулятор'!$G$7="30/365",'депозитный калькулятор'!$G$7="30/360"),DAY(EOMONTH($F$23,0))=31),F468=EOMONTH($F$23,0)-1,F468=EOMONTH($F$23,0)),MIN(OFFSET(H468,-(DAY(F468)-DAY($F$23)),0):H468)*E468,MIN(OFFSET(H468,-(DAY(F468)-1),0):H468)*IF(AND(OR('депозитный калькулятор'!$G$7="30/365",'депозитный калькулятор'!$G$7="30/360"),DAY(F468)&lt;30),30,DAY(F468))),IF(AND('депозитный калькулятор'!$G$10="ежемесячное, на средний остаток в течение месяца, при условии что остаток больше чем ограничение",F468='депозитный калькулятор'!$D$8,EOMONTH(F468,0)&lt;&gt;F468),IF('депозитный калькулятор'!$F$1=1,$H$24,SUM(OFFSET(Q468,-E468+1,0):Q468)),IF(AND('депозитный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калькулятор'!$G$7="30/360"),DAY(EOMONTH(F468,0))=31),EOMONTH(F468,0)-1=F468,EOMONTH(F468,0)=F468)),IF(IF(AND(OR('депозитный калькулятор'!$G$7="30/365",'депозитный калькулятор'!$G$7="30/360"),DAY(EOMONTH($F$24,0))=31),F468=EOMONTH($F$24,0)-1,F468=EOMONTH($F$24,0)),SUM(OFFSET(Q468,-E468+1,0):Q468),SUM(OFFSET(Q468,-E468+1,0):Q468)),IF('депозитный калькулятор'!$G$10="ежеквартальное",IF(F468&gt;'депозитный калькулятор'!$D$8," ",IF(AND(EOMONTH(F468,0)=F468,OR(MONTH(F468)=3,MONTH(F468)=6,MONTH(F468)=9,MONTH(F468)=12)),IF(EDATE(F468,-3)&lt;'депозитный калькулятор'!$D$7,SUM($H$23:H468),IF(MOD(YEAR(F468),4)=0,IF(AND(EOMONTH(F468,0)=F468,OR(MONTH(F468)=3,MONTH(F468)=6)),SUM(OFFSET(H468,-90,0):H468),IF(AND(EOMONTH(F468,0)=F468,OR(MONTH(F468)=9,MONTH(F468)=12)),SUM(OFFSET(H468,-91,0):H468))),IF(AND(EOMONTH(F468,0)=F468,MONTH(F468)=3),SUM(OFFSET(H468,-89,0):H468),IF(AND(EOMONTH(F468,0)=F468,MONTH(F468)=6),SUM(OFFSET(H468,-90,0):H468),IF(AND(EOMONTH(F468,0)=F468,OR(MONTH(F468)=9,MONTH(F468)=12)),SUM(OFFSET(H468,-91,0):H468)))))),IF(F468='депозитный калькулятор'!$D$8,SUM($H$23:H468)-SUM($I$23:I467),0))),IF('депозитный калькулятор'!$G$10="ежегодное",IF(F468&gt;'депозитный калькулятор'!$D$8," ",IF(F468='депозитный калькулятор'!$D$8,SUM($H$23:H468)-SUM($I$23:I467),IF(AND(EOMONTH(F468,0)=F468,MONTH(F468)=12),IF(MOD(YEAR(F467),4)=0,IF(F468-'депозитный калькулятор'!$D$7&lt;366,SUM($H$23:H468),SUM(OFFSET(H468,-365,0):H468)),IF(F468-'депозитный калькулятор'!$D$7&lt;365,SUM($H$23:H468),SUM(OFFSET(H468,-364,0):H468))),0))),IF(AND('депозитный калькулятор'!$G$10="в конце срока",'депозитный калькулятор'!$D$8=F468),SUM($H$23:H468),0))))))))))))))))))</f>
        <v xml:space="preserve"> </v>
      </c>
      <c r="J468" s="59" t="str">
        <f>IF(F468&gt;'депозитный калькулятор'!$D$8," ",IF('депозитный калькулятор'!$G$16="нет",0,IF(AND('депозитный калькулятор'!$G$17="разовая (в конце срока)",F468='депозитный калькулятор'!$D$8),'депозитный калькулятор'!$G$18,IF(AND('депозитный калькулятор'!$G$17="ежемесячная",EOMONTH(F467,0)=F467),'депозитный калькулятор'!$G$18,IF(AND('депозитный калькулятор'!$G$17="ежегодная",DAY(F467)=31,MONTH(F467)=12),'депозитный калькулятор'!$G$18,IF(AND('депозитный калькулятор'!$G$17="ежемесячная в зависимости от остатка",EOMONTH(F467,0)=F467,P467&gt;0),'депозитный калькулятор'!$G$18,IF(AND('депозитный калькулятор'!$G$17="ежегодная в зависимости от остатка",DAY(F467)=31,MONTH(F467)=12,P467&gt;0),'депозитный калькулятор'!$G$18,0)))))))</f>
        <v xml:space="preserve"> </v>
      </c>
      <c r="K468" s="135" t="str">
        <f>IF($F468=" "," ",IFERROR(VLOOKUP($F468,'депозитный калькулятор'!$B$26:$F$70,2,0),0))</f>
        <v xml:space="preserve"> </v>
      </c>
      <c r="L468" s="135" t="str">
        <f>IF($F468=" "," ",IFERROR(VLOOKUP($F468,'депозитный калькулятор'!$B$26:$F$70,3,0),0))</f>
        <v xml:space="preserve"> </v>
      </c>
      <c r="M468" s="135" t="str">
        <f>IF($F468=" "," ",IFERROR(VLOOKUP($F468,'депозитный калькулятор'!$B$26:$F$70,4,0),0))</f>
        <v xml:space="preserve"> </v>
      </c>
      <c r="N468" s="135" t="str">
        <f>IF($F468=" "," ",IFERROR(VLOOKUP($F468,'депозитный калькулятор'!$B$26:$F$70,5,0),0))</f>
        <v xml:space="preserve"> </v>
      </c>
      <c r="O468" s="146" t="str">
        <f>IF(F468&gt;'депозитный калькулятор'!$D$8," ",IF(F468='депозитный калькулятор'!$D$8,IF(AND($F$24='депозитный калькулятор'!$D$8,'депозитный калькулятор'!$G$13="нет"),-G468-IF(I468=" ",0,I468)-IF(AND(OR('депозитный калькулятор'!$G$7="30/365",'депозитный калькулятор'!$G$7="30/360"),'депозитный калькулятор'!$G$10="в начале срока"),I467,0)-L468+M468-N468,-G468-IF(I468=" ",0,I468)-L468+M468-N468),IF('депозитный калькулятор'!$G$13="есть",M468-N468+IF('депозитный калькулятор'!$G$14="есть",0,-L468),-IF(I468=" ",0,I468)-IF(AND(OR('депозитный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срока"),I467,0)+M468-N468+IF('депозитный калькулятор'!$G$14="есть",0,-L468))))</f>
        <v xml:space="preserve"> </v>
      </c>
      <c r="P468" s="147" t="str">
        <f>IF(F468&gt;'депозитный калькулятор'!$D$8," ",IF(EOMONTH(F467,0)=F467,0,IF(G468&gt;='депозитный калькулятор'!$G$19,P467,P467+1)))</f>
        <v xml:space="preserve"> </v>
      </c>
      <c r="Q468" s="138" t="str">
        <f>IF(F468=" "," ",IF(AND(OR('депозитный калькулятор'!$G$7="30/365",'депозитный калькулятор'!$G$7="30/360"),AND(MONTH(F468)=2,EOMONTH(F468,0)=F468)),IF(DAY(F468)=28,3,2),1)*IF(G468&gt;='депозитный калькулятор'!$G$11,IF(AND('депозитный калькулятор'!$G$7="факт/факт",MOD(YEAR(F468),4)=0),G468*'депозитный калькулятор'!$D$11/366,G468*'депозитный калькулятор'!$G$8),0))</f>
        <v xml:space="preserve"> </v>
      </c>
      <c r="R468" s="158"/>
      <c r="S468" s="62" t="str">
        <f t="shared" ca="1" si="32"/>
        <v xml:space="preserve"> </v>
      </c>
      <c r="T468" s="149" t="str">
        <f ca="1">IF(S468=" "," ",IF('депозитный калькулятор'!$G$7="30/360",DAYS360(U467,IF(DAY(U468)=31,U468-1,U468))+IF(AND(MONTH(U468)=2,U468=EOMONTH(U468,0)),30-DAY(EOMONTH(U468,0)))+T467,VLOOKUP(S468,$C$22:$F$1023,2,0)))</f>
        <v xml:space="preserve"> </v>
      </c>
      <c r="U468" s="64" t="str">
        <f t="shared" ca="1" si="30"/>
        <v xml:space="preserve"> </v>
      </c>
      <c r="V468" s="150" t="str">
        <f t="shared" ca="1" si="33"/>
        <v xml:space="preserve"> </v>
      </c>
      <c r="W468" s="62" t="str">
        <f t="shared" ca="1" si="34"/>
        <v xml:space="preserve"> </v>
      </c>
      <c r="X468" s="141" t="str">
        <f ca="1">IF(S468=" "," ",IFERROR(VLOOKUP(U468,$F$23:$N$1023,7)+VLOOKUP(U468,$F$23:$N$1023,9)+IF(AND('депозитный калькулятор'!$G$13="нет",U468&lt;&gt;'депозитный калькулятор'!$D$8),VLOOKUP(U468,$F$23:$N$1023,4),0),0)+IF(U468='депозитный калькулятор'!$D$8,VLOOKUP(U468,$F$23:$N$1023,2)+VLOOKUP(U468,$F$23:$N$1023,4),0))</f>
        <v xml:space="preserve"> </v>
      </c>
      <c r="Y468" s="142" t="str">
        <f ca="1">IF(S468=" "," ",W468/(1+'депозитный калькулятор'!$K$8)^(T468/IF('депозитный калькулятор'!$G$7="30/360",360,365)))</f>
        <v xml:space="preserve"> </v>
      </c>
      <c r="Z468" s="142" t="str">
        <f ca="1">IF(S468=" "," ",X468/(1+'депозитный калькулятор'!$K$8)^(T468/IF('депозитный калькулятор'!$G$7="30/360",360,365)))</f>
        <v xml:space="preserve"> </v>
      </c>
      <c r="AA468" s="151"/>
      <c r="AB468" s="151"/>
      <c r="AC468" s="155"/>
      <c r="AD468" s="155"/>
    </row>
    <row r="469" spans="1:30" s="2" customFormat="1" ht="15.5" x14ac:dyDescent="0.35">
      <c r="A469" s="41" t="str">
        <f>IF(F469=" "," ",IF(OR('депозитный калькулятор'!$G$7="30/365",'депозитный калькулятор'!$G$7="30/360"),IF(AND(MONTH(F469)=2,DAY(F469)=DAY(EOMONTH(F469,0))),30-DAY(EOMONTH(F469,0)),IF(DAY(F469)=31,1," "))," "))</f>
        <v xml:space="preserve"> </v>
      </c>
      <c r="B469" s="130" t="str">
        <f t="shared" si="31"/>
        <v xml:space="preserve"> </v>
      </c>
      <c r="C469" s="130" t="str">
        <f>IF(OR(B469=0,B469=" ")," ",SUM($B$23:B469))</f>
        <v xml:space="preserve"> </v>
      </c>
      <c r="D469" s="62" t="str">
        <f>IF(D468=" "," ",IF(OR(F468='депозитный калькулятор'!$D$8,F468=" ")," ",D468+1))</f>
        <v xml:space="preserve"> </v>
      </c>
      <c r="E469" s="130" t="str">
        <f>IF(OR(F468='депозитный калькулятор'!$D$8,F468=" ")," ",IF(EOMONTH(F468,0)=F468,1,E468+1))</f>
        <v xml:space="preserve"> </v>
      </c>
      <c r="F469" s="64" t="str">
        <f>IF(F468=" "," ",IF(F468='депозитный калькулятор'!$D$8," ",F468+1))</f>
        <v xml:space="preserve"> </v>
      </c>
      <c r="G469" s="145" t="str">
        <f xml:space="preserve"> IF(F469&gt;'депозитный калькулятор'!$D$8," ",IF('депозитный калькулятор'!$G$13="есть",IF('депозитный калькулятор'!$G$14="есть",G468+IF(I468=" ",0,I468)-J469-K469+L469+M469-N469,G468+IF(I468=" ",0,I468)-J469-K469+M469-N469),IF('депозитный калькулятор'!$G$14="есть",G468-J469-K469+L469+M469-N469,G468-J469-K469+M469-N469)))</f>
        <v xml:space="preserve"> </v>
      </c>
      <c r="H469" s="133" t="str">
        <f>IF(F469&gt;'депозитный калькулятор'!$D$8," ",IF(AND(OR('депозитный калькулятор'!$G$7="30/365",'депозитный калькулятор'!$G$7="30/360"),AND(MONTH(F469)=2,EOMONTH(F469,0)=F469)),IF(DAY(F469)=28,3*G469*'депозитный калькулятор'!$G$8,2*G469*'депозитный калькулятор'!$G$8),IF(AND(OR('депозитный калькулятор'!$G$7="30/365",'депозитный калькулятор'!$G$7="30/360"),DAY(F469)=31)," ",IF(AND('депозитный калькулятор'!$G$7="факт/факт",MOD(YEAR(F469),4)=0),G469*'депозитный калькулятор'!$D$11/366,G469*'депозитный калькулятор'!$G$8))))</f>
        <v xml:space="preserve"> </v>
      </c>
      <c r="I469" s="134" t="str">
        <f ca="1">IF(F469=" "," ",IF('депозитный калькулятор'!$G$10="ежедневное",H469,IF(AND('депозитный калькулятор'!$G$10="еженедельное",WEEKDAY(F469,2)=7),SUM(OFFSET(H469,-6,0):H469),IF(AND('депозитный калькулятор'!$G$10="еженедельное",F469='депозитный калькулятор'!$D$8),SUM($H$23:H469)-SUM($I$23:I468),IF(AND('депозитный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недели",WEEKDAY(F469,2)=7),MIN(OFFSET(H469,-6,0):H469)*(COUNTIF(OFFSET(H469,-6,0):H469,"&gt;0")+SUMIF(OFFSET(A469,-WEEKDAY(F469,2),0):A469,"=2",OFFSET(A469,-WEEKDAY(F469,2),0):A469)),IF(AND('депозитный калькулятор'!$G$10="еженедельное, на минимальную сумму зафиксированную в течение недели",F469='депозитный калькулятор'!$D$8,WEEKDAY(F469,2)&lt;&gt;7),MIN(OFFSET(H469,-WEEKDAY(F469,2),0):H469)*(COUNTIF(OFFSET(H469,-WEEKDAY(F469,2)+1,0):H469,"&gt;0")+SUM(OFFSET(A469,-WEEKDAY(F469,2),0):A469)),IF(AND('депозитный калькулятор'!$G$10="ежемесячное (в конце месяца)",F469='депозитный калькулятор'!$D$8,EOMONTH(F469,0)&lt;&gt;F469),IF('депозитный калькулятор'!$F$1=1,$H$24,SUM($H$23:H469)-SUM($I$23:I468)),IF(AND('депозитный калькулятор'!$G$10="ежемесячное (в конце месяца)",EOMONTH(F469,0)=F469),SUM($H$23:H469)-SUM($I$23:I468),IF(AND('депозитный калькулятор'!$G$10="ежемесячное (по дням открытия вклада)",F469='депозитный калькулятор'!$D$8,DAY('депозитный калькулятор'!$D$7)&lt;&gt;DAY(F469)),IF('депозитный калькулятор'!$F$1=1,$H$24,SUM($H$23:H469)-SUM($I$23:I468)),IF(AND('депозитный калькулятор'!$G$10="ежемесячное (по дням открытия вклада)",DAY('депозитный калькулятор'!$D$7)=DAY(F469)),SUM($H$23:H469)-SUM($I$23:I468),IF(AND('депозитный калькулятор'!$G$10="ежемесячное, на минимальную сумму зафиксированную в течение месяца",F469='депозитный калькулятор'!$D$8,EOMONTH(F469,0)&lt;&gt;F469),IF('депозитный калькулятор'!$F$1=1,$H$24,IF(AND(OR('депозитный калькулятор'!$G$7="30/365",'депозитный калькулятор'!$G$7="30/360"),DAY(F469)=31),0,MIN(OFFSET(H469,-E469+1,0):H469)*(E469+SUMIF(OFFSET(A469,-E469+1,0):A469,"=2",OFFSET(A469,-E469+1,0):A469)))),IF(AND('депозитный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калькулятор'!$G$7="30/360"),DAY(EOMONTH(F469,0))=31),EOMONTH(F469,0)-1=F469,EOMONTH(F469,0)=F469)),IF(IF(AND(OR('депозитный калькулятор'!$G$7="30/365",'депозитный калькулятор'!$G$7="30/360"),DAY(EOMONTH($F$23,0))=31),F469=EOMONTH($F$23,0)-1,F469=EOMONTH($F$23,0)),MIN(OFFSET(H469,-(DAY(F469)-DAY($F$23)),0):H469)*E469,MIN(OFFSET(H469,-(DAY(F469)-1),0):H469)*IF(AND(OR('депозитный калькулятор'!$G$7="30/365",'депозитный калькулятор'!$G$7="30/360"),DAY(F469)&lt;30),30,DAY(F469))),IF(AND('депозитный калькулятор'!$G$10="ежемесячное, на средний остаток в течение месяца, при условии что остаток больше чем ограничение",F469='депозитный калькулятор'!$D$8,EOMONTH(F469,0)&lt;&gt;F469),IF('депозитный калькулятор'!$F$1=1,$H$24,SUM(OFFSET(Q469,-E469+1,0):Q469)),IF(AND('депозитный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калькулятор'!$G$7="30/360"),DAY(EOMONTH(F469,0))=31),EOMONTH(F469,0)-1=F469,EOMONTH(F469,0)=F469)),IF(IF(AND(OR('депозитный калькулятор'!$G$7="30/365",'депозитный калькулятор'!$G$7="30/360"),DAY(EOMONTH($F$24,0))=31),F469=EOMONTH($F$24,0)-1,F469=EOMONTH($F$24,0)),SUM(OFFSET(Q469,-E469+1,0):Q469),SUM(OFFSET(Q469,-E469+1,0):Q469)),IF('депозитный калькулятор'!$G$10="ежеквартальное",IF(F469&gt;'депозитный калькулятор'!$D$8," ",IF(AND(EOMONTH(F469,0)=F469,OR(MONTH(F469)=3,MONTH(F469)=6,MONTH(F469)=9,MONTH(F469)=12)),IF(EDATE(F469,-3)&lt;'депозитный калькулятор'!$D$7,SUM($H$23:H469),IF(MOD(YEAR(F469),4)=0,IF(AND(EOMONTH(F469,0)=F469,OR(MONTH(F469)=3,MONTH(F469)=6)),SUM(OFFSET(H469,-90,0):H469),IF(AND(EOMONTH(F469,0)=F469,OR(MONTH(F469)=9,MONTH(F469)=12)),SUM(OFFSET(H469,-91,0):H469))),IF(AND(EOMONTH(F469,0)=F469,MONTH(F469)=3),SUM(OFFSET(H469,-89,0):H469),IF(AND(EOMONTH(F469,0)=F469,MONTH(F469)=6),SUM(OFFSET(H469,-90,0):H469),IF(AND(EOMONTH(F469,0)=F469,OR(MONTH(F469)=9,MONTH(F469)=12)),SUM(OFFSET(H469,-91,0):H469)))))),IF(F469='депозитный калькулятор'!$D$8,SUM($H$23:H469)-SUM($I$23:I468),0))),IF('депозитный калькулятор'!$G$10="ежегодное",IF(F469&gt;'депозитный калькулятор'!$D$8," ",IF(F469='депозитный калькулятор'!$D$8,SUM($H$23:H469)-SUM($I$23:I468),IF(AND(EOMONTH(F469,0)=F469,MONTH(F469)=12),IF(MOD(YEAR(F468),4)=0,IF(F469-'депозитный калькулятор'!$D$7&lt;366,SUM($H$23:H469),SUM(OFFSET(H469,-365,0):H469)),IF(F469-'депозитный калькулятор'!$D$7&lt;365,SUM($H$23:H469),SUM(OFFSET(H469,-364,0):H469))),0))),IF(AND('депозитный калькулятор'!$G$10="в конце срока",'депозитный калькулятор'!$D$8=F469),SUM($H$23:H469),0))))))))))))))))))</f>
        <v xml:space="preserve"> </v>
      </c>
      <c r="J469" s="59" t="str">
        <f>IF(F469&gt;'депозитный калькулятор'!$D$8," ",IF('депозитный калькулятор'!$G$16="нет",0,IF(AND('депозитный калькулятор'!$G$17="разовая (в конце срока)",F469='депозитный калькулятор'!$D$8),'депозитный калькулятор'!$G$18,IF(AND('депозитный калькулятор'!$G$17="ежемесячная",EOMONTH(F468,0)=F468),'депозитный калькулятор'!$G$18,IF(AND('депозитный калькулятор'!$G$17="ежегодная",DAY(F468)=31,MONTH(F468)=12),'депозитный калькулятор'!$G$18,IF(AND('депозитный калькулятор'!$G$17="ежемесячная в зависимости от остатка",EOMONTH(F468,0)=F468,P468&gt;0),'депозитный калькулятор'!$G$18,IF(AND('депозитный калькулятор'!$G$17="ежегодная в зависимости от остатка",DAY(F468)=31,MONTH(F468)=12,P468&gt;0),'депозитный калькулятор'!$G$18,0)))))))</f>
        <v xml:space="preserve"> </v>
      </c>
      <c r="K469" s="135" t="str">
        <f>IF($F469=" "," ",IFERROR(VLOOKUP($F469,'депозитный калькулятор'!$B$26:$F$70,2,0),0))</f>
        <v xml:space="preserve"> </v>
      </c>
      <c r="L469" s="135" t="str">
        <f>IF($F469=" "," ",IFERROR(VLOOKUP($F469,'депозитный калькулятор'!$B$26:$F$70,3,0),0))</f>
        <v xml:space="preserve"> </v>
      </c>
      <c r="M469" s="135" t="str">
        <f>IF($F469=" "," ",IFERROR(VLOOKUP($F469,'депозитный калькулятор'!$B$26:$F$70,4,0),0))</f>
        <v xml:space="preserve"> </v>
      </c>
      <c r="N469" s="135" t="str">
        <f>IF($F469=" "," ",IFERROR(VLOOKUP($F469,'депозитный калькулятор'!$B$26:$F$70,5,0),0))</f>
        <v xml:space="preserve"> </v>
      </c>
      <c r="O469" s="146" t="str">
        <f>IF(F469&gt;'депозитный калькулятор'!$D$8," ",IF(F469='депозитный калькулятор'!$D$8,IF(AND($F$24='депозитный калькулятор'!$D$8,'депозитный калькулятор'!$G$13="нет"),-G469-IF(I469=" ",0,I469)-IF(AND(OR('депозитный калькулятор'!$G$7="30/365",'депозитный калькулятор'!$G$7="30/360"),'депозитный калькулятор'!$G$10="в начале срока"),I468,0)-L469+M469-N469,-G469-IF(I469=" ",0,I469)-L469+M469-N469),IF('депозитный калькулятор'!$G$13="есть",M469-N469+IF('депозитный калькулятор'!$G$14="есть",0,-L469),-IF(I469=" ",0,I469)-IF(AND(OR('депозитный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срока"),I468,0)+M469-N469+IF('депозитный калькулятор'!$G$14="есть",0,-L469))))</f>
        <v xml:space="preserve"> </v>
      </c>
      <c r="P469" s="147" t="str">
        <f>IF(F469&gt;'депозитный калькулятор'!$D$8," ",IF(EOMONTH(F468,0)=F468,0,IF(G469&gt;='депозитный калькулятор'!$G$19,P468,P468+1)))</f>
        <v xml:space="preserve"> </v>
      </c>
      <c r="Q469" s="138" t="str">
        <f>IF(F469=" "," ",IF(AND(OR('депозитный калькулятор'!$G$7="30/365",'депозитный калькулятор'!$G$7="30/360"),AND(MONTH(F469)=2,EOMONTH(F469,0)=F469)),IF(DAY(F469)=28,3,2),1)*IF(G469&gt;='депозитный калькулятор'!$G$11,IF(AND('депозитный калькулятор'!$G$7="факт/факт",MOD(YEAR(F469),4)=0),G469*'депозитный калькулятор'!$D$11/366,G469*'депозитный калькулятор'!$G$8),0))</f>
        <v xml:space="preserve"> </v>
      </c>
      <c r="R469" s="158"/>
      <c r="S469" s="62" t="str">
        <f t="shared" ca="1" si="32"/>
        <v xml:space="preserve"> </v>
      </c>
      <c r="T469" s="149" t="str">
        <f ca="1">IF(S469=" "," ",IF('депозитный калькулятор'!$G$7="30/360",DAYS360(U468,IF(DAY(U469)=31,U469-1,U469))+IF(AND(MONTH(U469)=2,U469=EOMONTH(U469,0)),30-DAY(EOMONTH(U469,0)))+T468,VLOOKUP(S469,$C$22:$F$1023,2,0)))</f>
        <v xml:space="preserve"> </v>
      </c>
      <c r="U469" s="64" t="str">
        <f t="shared" ca="1" si="30"/>
        <v xml:space="preserve"> </v>
      </c>
      <c r="V469" s="150" t="str">
        <f t="shared" ca="1" si="33"/>
        <v xml:space="preserve"> </v>
      </c>
      <c r="W469" s="62" t="str">
        <f t="shared" ca="1" si="34"/>
        <v xml:space="preserve"> </v>
      </c>
      <c r="X469" s="141" t="str">
        <f ca="1">IF(S469=" "," ",IFERROR(VLOOKUP(U469,$F$23:$N$1023,7)+VLOOKUP(U469,$F$23:$N$1023,9)+IF(AND('депозитный калькулятор'!$G$13="нет",U469&lt;&gt;'депозитный калькулятор'!$D$8),VLOOKUP(U469,$F$23:$N$1023,4),0),0)+IF(U469='депозитный калькулятор'!$D$8,VLOOKUP(U469,$F$23:$N$1023,2)+VLOOKUP(U469,$F$23:$N$1023,4),0))</f>
        <v xml:space="preserve"> </v>
      </c>
      <c r="Y469" s="142" t="str">
        <f ca="1">IF(S469=" "," ",W469/(1+'депозитный калькулятор'!$K$8)^(T469/IF('депозитный калькулятор'!$G$7="30/360",360,365)))</f>
        <v xml:space="preserve"> </v>
      </c>
      <c r="Z469" s="142" t="str">
        <f ca="1">IF(S469=" "," ",X469/(1+'депозитный калькулятор'!$K$8)^(T469/IF('депозитный калькулятор'!$G$7="30/360",360,365)))</f>
        <v xml:space="preserve"> </v>
      </c>
      <c r="AA469" s="151"/>
      <c r="AB469" s="151"/>
      <c r="AC469" s="155"/>
      <c r="AD469" s="155"/>
    </row>
    <row r="470" spans="1:30" s="2" customFormat="1" ht="15.5" x14ac:dyDescent="0.35">
      <c r="A470" s="41" t="str">
        <f>IF(F470=" "," ",IF(OR('депозитный калькулятор'!$G$7="30/365",'депозитный калькулятор'!$G$7="30/360"),IF(AND(MONTH(F470)=2,DAY(F470)=DAY(EOMONTH(F470,0))),30-DAY(EOMONTH(F470,0)),IF(DAY(F470)=31,1," "))," "))</f>
        <v xml:space="preserve"> </v>
      </c>
      <c r="B470" s="130" t="str">
        <f t="shared" si="31"/>
        <v xml:space="preserve"> </v>
      </c>
      <c r="C470" s="130" t="str">
        <f>IF(OR(B470=0,B470=" ")," ",SUM($B$23:B470))</f>
        <v xml:space="preserve"> </v>
      </c>
      <c r="D470" s="62" t="str">
        <f>IF(D469=" "," ",IF(OR(F469='депозитный калькулятор'!$D$8,F469=" ")," ",D469+1))</f>
        <v xml:space="preserve"> </v>
      </c>
      <c r="E470" s="130" t="str">
        <f>IF(OR(F469='депозитный калькулятор'!$D$8,F469=" ")," ",IF(EOMONTH(F469,0)=F469,1,E469+1))</f>
        <v xml:space="preserve"> </v>
      </c>
      <c r="F470" s="64" t="str">
        <f>IF(F469=" "," ",IF(F469='депозитный калькулятор'!$D$8," ",F469+1))</f>
        <v xml:space="preserve"> </v>
      </c>
      <c r="G470" s="145" t="str">
        <f xml:space="preserve"> IF(F470&gt;'депозитный калькулятор'!$D$8," ",IF('депозитный калькулятор'!$G$13="есть",IF('депозитный калькулятор'!$G$14="есть",G469+IF(I469=" ",0,I469)-J470-K470+L470+M470-N470,G469+IF(I469=" ",0,I469)-J470-K470+M470-N470),IF('депозитный калькулятор'!$G$14="есть",G469-J470-K470+L470+M470-N470,G469-J470-K470+M470-N470)))</f>
        <v xml:space="preserve"> </v>
      </c>
      <c r="H470" s="133" t="str">
        <f>IF(F470&gt;'депозитный калькулятор'!$D$8," ",IF(AND(OR('депозитный калькулятор'!$G$7="30/365",'депозитный калькулятор'!$G$7="30/360"),AND(MONTH(F470)=2,EOMONTH(F470,0)=F470)),IF(DAY(F470)=28,3*G470*'депозитный калькулятор'!$G$8,2*G470*'депозитный калькулятор'!$G$8),IF(AND(OR('депозитный калькулятор'!$G$7="30/365",'депозитный калькулятор'!$G$7="30/360"),DAY(F470)=31)," ",IF(AND('депозитный калькулятор'!$G$7="факт/факт",MOD(YEAR(F470),4)=0),G470*'депозитный калькулятор'!$D$11/366,G470*'депозитный калькулятор'!$G$8))))</f>
        <v xml:space="preserve"> </v>
      </c>
      <c r="I470" s="134" t="str">
        <f ca="1">IF(F470=" "," ",IF('депозитный калькулятор'!$G$10="ежедневное",H470,IF(AND('депозитный калькулятор'!$G$10="еженедельное",WEEKDAY(F470,2)=7),SUM(OFFSET(H470,-6,0):H470),IF(AND('депозитный калькулятор'!$G$10="еженедельное",F470='депозитный калькулятор'!$D$8),SUM($H$23:H470)-SUM($I$23:I469),IF(AND('депозитный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недели",WEEKDAY(F470,2)=7),MIN(OFFSET(H470,-6,0):H470)*(COUNTIF(OFFSET(H470,-6,0):H470,"&gt;0")+SUMIF(OFFSET(A470,-WEEKDAY(F470,2),0):A470,"=2",OFFSET(A470,-WEEKDAY(F470,2),0):A470)),IF(AND('депозитный калькулятор'!$G$10="еженедельное, на минимальную сумму зафиксированную в течение недели",F470='депозитный калькулятор'!$D$8,WEEKDAY(F470,2)&lt;&gt;7),MIN(OFFSET(H470,-WEEKDAY(F470,2),0):H470)*(COUNTIF(OFFSET(H470,-WEEKDAY(F470,2)+1,0):H470,"&gt;0")+SUM(OFFSET(A470,-WEEKDAY(F470,2),0):A470)),IF(AND('депозитный калькулятор'!$G$10="ежемесячное (в конце месяца)",F470='депозитный калькулятор'!$D$8,EOMONTH(F470,0)&lt;&gt;F470),IF('депозитный калькулятор'!$F$1=1,$H$24,SUM($H$23:H470)-SUM($I$23:I469)),IF(AND('депозитный калькулятор'!$G$10="ежемесячное (в конце месяца)",EOMONTH(F470,0)=F470),SUM($H$23:H470)-SUM($I$23:I469),IF(AND('депозитный калькулятор'!$G$10="ежемесячное (по дням открытия вклада)",F470='депозитный калькулятор'!$D$8,DAY('депозитный калькулятор'!$D$7)&lt;&gt;DAY(F470)),IF('депозитный калькулятор'!$F$1=1,$H$24,SUM($H$23:H470)-SUM($I$23:I469)),IF(AND('депозитный калькулятор'!$G$10="ежемесячное (по дням открытия вклада)",DAY('депозитный калькулятор'!$D$7)=DAY(F470)),SUM($H$23:H470)-SUM($I$23:I469),IF(AND('депозитный калькулятор'!$G$10="ежемесячное, на минимальную сумму зафиксированную в течение месяца",F470='депозитный калькулятор'!$D$8,EOMONTH(F470,0)&lt;&gt;F470),IF('депозитный калькулятор'!$F$1=1,$H$24,IF(AND(OR('депозитный калькулятор'!$G$7="30/365",'депозитный калькулятор'!$G$7="30/360"),DAY(F470)=31),0,MIN(OFFSET(H470,-E470+1,0):H470)*(E470+SUMIF(OFFSET(A470,-E470+1,0):A470,"=2",OFFSET(A470,-E470+1,0):A470)))),IF(AND('депозитный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калькулятор'!$G$7="30/360"),DAY(EOMONTH(F470,0))=31),EOMONTH(F470,0)-1=F470,EOMONTH(F470,0)=F470)),IF(IF(AND(OR('депозитный калькулятор'!$G$7="30/365",'депозитный калькулятор'!$G$7="30/360"),DAY(EOMONTH($F$23,0))=31),F470=EOMONTH($F$23,0)-1,F470=EOMONTH($F$23,0)),MIN(OFFSET(H470,-(DAY(F470)-DAY($F$23)),0):H470)*E470,MIN(OFFSET(H470,-(DAY(F470)-1),0):H470)*IF(AND(OR('депозитный калькулятор'!$G$7="30/365",'депозитный калькулятор'!$G$7="30/360"),DAY(F470)&lt;30),30,DAY(F470))),IF(AND('депозитный калькулятор'!$G$10="ежемесячное, на средний остаток в течение месяца, при условии что остаток больше чем ограничение",F470='депозитный калькулятор'!$D$8,EOMONTH(F470,0)&lt;&gt;F470),IF('депозитный калькулятор'!$F$1=1,$H$24,SUM(OFFSET(Q470,-E470+1,0):Q470)),IF(AND('депозитный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калькулятор'!$G$7="30/360"),DAY(EOMONTH(F470,0))=31),EOMONTH(F470,0)-1=F470,EOMONTH(F470,0)=F470)),IF(IF(AND(OR('депозитный калькулятор'!$G$7="30/365",'депозитный калькулятор'!$G$7="30/360"),DAY(EOMONTH($F$24,0))=31),F470=EOMONTH($F$24,0)-1,F470=EOMONTH($F$24,0)),SUM(OFFSET(Q470,-E470+1,0):Q470),SUM(OFFSET(Q470,-E470+1,0):Q470)),IF('депозитный калькулятор'!$G$10="ежеквартальное",IF(F470&gt;'депозитный калькулятор'!$D$8," ",IF(AND(EOMONTH(F470,0)=F470,OR(MONTH(F470)=3,MONTH(F470)=6,MONTH(F470)=9,MONTH(F470)=12)),IF(EDATE(F470,-3)&lt;'депозитный калькулятор'!$D$7,SUM($H$23:H470),IF(MOD(YEAR(F470),4)=0,IF(AND(EOMONTH(F470,0)=F470,OR(MONTH(F470)=3,MONTH(F470)=6)),SUM(OFFSET(H470,-90,0):H470),IF(AND(EOMONTH(F470,0)=F470,OR(MONTH(F470)=9,MONTH(F470)=12)),SUM(OFFSET(H470,-91,0):H470))),IF(AND(EOMONTH(F470,0)=F470,MONTH(F470)=3),SUM(OFFSET(H470,-89,0):H470),IF(AND(EOMONTH(F470,0)=F470,MONTH(F470)=6),SUM(OFFSET(H470,-90,0):H470),IF(AND(EOMONTH(F470,0)=F470,OR(MONTH(F470)=9,MONTH(F470)=12)),SUM(OFFSET(H470,-91,0):H470)))))),IF(F470='депозитный калькулятор'!$D$8,SUM($H$23:H470)-SUM($I$23:I469),0))),IF('депозитный калькулятор'!$G$10="ежегодное",IF(F470&gt;'депозитный калькулятор'!$D$8," ",IF(F470='депозитный калькулятор'!$D$8,SUM($H$23:H470)-SUM($I$23:I469),IF(AND(EOMONTH(F470,0)=F470,MONTH(F470)=12),IF(MOD(YEAR(F469),4)=0,IF(F470-'депозитный калькулятор'!$D$7&lt;366,SUM($H$23:H470),SUM(OFFSET(H470,-365,0):H470)),IF(F470-'депозитный калькулятор'!$D$7&lt;365,SUM($H$23:H470),SUM(OFFSET(H470,-364,0):H470))),0))),IF(AND('депозитный калькулятор'!$G$10="в конце срока",'депозитный калькулятор'!$D$8=F470),SUM($H$23:H470),0))))))))))))))))))</f>
        <v xml:space="preserve"> </v>
      </c>
      <c r="J470" s="59" t="str">
        <f>IF(F470&gt;'депозитный калькулятор'!$D$8," ",IF('депозитный калькулятор'!$G$16="нет",0,IF(AND('депозитный калькулятор'!$G$17="разовая (в конце срока)",F470='депозитный калькулятор'!$D$8),'депозитный калькулятор'!$G$18,IF(AND('депозитный калькулятор'!$G$17="ежемесячная",EOMONTH(F469,0)=F469),'депозитный калькулятор'!$G$18,IF(AND('депозитный калькулятор'!$G$17="ежегодная",DAY(F469)=31,MONTH(F469)=12),'депозитный калькулятор'!$G$18,IF(AND('депозитный калькулятор'!$G$17="ежемесячная в зависимости от остатка",EOMONTH(F469,0)=F469,P469&gt;0),'депозитный калькулятор'!$G$18,IF(AND('депозитный калькулятор'!$G$17="ежегодная в зависимости от остатка",DAY(F469)=31,MONTH(F469)=12,P469&gt;0),'депозитный калькулятор'!$G$18,0)))))))</f>
        <v xml:space="preserve"> </v>
      </c>
      <c r="K470" s="135" t="str">
        <f>IF($F470=" "," ",IFERROR(VLOOKUP($F470,'депозитный калькулятор'!$B$26:$F$70,2,0),0))</f>
        <v xml:space="preserve"> </v>
      </c>
      <c r="L470" s="135" t="str">
        <f>IF($F470=" "," ",IFERROR(VLOOKUP($F470,'депозитный калькулятор'!$B$26:$F$70,3,0),0))</f>
        <v xml:space="preserve"> </v>
      </c>
      <c r="M470" s="135" t="str">
        <f>IF($F470=" "," ",IFERROR(VLOOKUP($F470,'депозитный калькулятор'!$B$26:$F$70,4,0),0))</f>
        <v xml:space="preserve"> </v>
      </c>
      <c r="N470" s="135" t="str">
        <f>IF($F470=" "," ",IFERROR(VLOOKUP($F470,'депозитный калькулятор'!$B$26:$F$70,5,0),0))</f>
        <v xml:space="preserve"> </v>
      </c>
      <c r="O470" s="146" t="str">
        <f>IF(F470&gt;'депозитный калькулятор'!$D$8," ",IF(F470='депозитный калькулятор'!$D$8,IF(AND($F$24='депозитный калькулятор'!$D$8,'депозитный калькулятор'!$G$13="нет"),-G470-IF(I470=" ",0,I470)-IF(AND(OR('депозитный калькулятор'!$G$7="30/365",'депозитный калькулятор'!$G$7="30/360"),'депозитный калькулятор'!$G$10="в начале срока"),I469,0)-L470+M470-N470,-G470-IF(I470=" ",0,I470)-L470+M470-N470),IF('депозитный калькулятор'!$G$13="есть",M470-N470+IF('депозитный калькулятор'!$G$14="есть",0,-L470),-IF(I470=" ",0,I470)-IF(AND(OR('депозитный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срока"),I469,0)+M470-N470+IF('депозитный калькулятор'!$G$14="есть",0,-L470))))</f>
        <v xml:space="preserve"> </v>
      </c>
      <c r="P470" s="147" t="str">
        <f>IF(F470&gt;'депозитный калькулятор'!$D$8," ",IF(EOMONTH(F469,0)=F469,0,IF(G470&gt;='депозитный калькулятор'!$G$19,P469,P469+1)))</f>
        <v xml:space="preserve"> </v>
      </c>
      <c r="Q470" s="138" t="str">
        <f>IF(F470=" "," ",IF(AND(OR('депозитный калькулятор'!$G$7="30/365",'депозитный калькулятор'!$G$7="30/360"),AND(MONTH(F470)=2,EOMONTH(F470,0)=F470)),IF(DAY(F470)=28,3,2),1)*IF(G470&gt;='депозитный калькулятор'!$G$11,IF(AND('депозитный калькулятор'!$G$7="факт/факт",MOD(YEAR(F470),4)=0),G470*'депозитный калькулятор'!$D$11/366,G470*'депозитный калькулятор'!$G$8),0))</f>
        <v xml:space="preserve"> </v>
      </c>
      <c r="R470" s="158"/>
      <c r="S470" s="62" t="str">
        <f t="shared" ca="1" si="32"/>
        <v xml:space="preserve"> </v>
      </c>
      <c r="T470" s="149" t="str">
        <f ca="1">IF(S470=" "," ",IF('депозитный калькулятор'!$G$7="30/360",DAYS360(U469,IF(DAY(U470)=31,U470-1,U470))+IF(AND(MONTH(U470)=2,U470=EOMONTH(U470,0)),30-DAY(EOMONTH(U470,0)))+T469,VLOOKUP(S470,$C$22:$F$1023,2,0)))</f>
        <v xml:space="preserve"> </v>
      </c>
      <c r="U470" s="64" t="str">
        <f t="shared" ca="1" si="30"/>
        <v xml:space="preserve"> </v>
      </c>
      <c r="V470" s="150" t="str">
        <f t="shared" ca="1" si="33"/>
        <v xml:space="preserve"> </v>
      </c>
      <c r="W470" s="62" t="str">
        <f t="shared" ca="1" si="34"/>
        <v xml:space="preserve"> </v>
      </c>
      <c r="X470" s="141" t="str">
        <f ca="1">IF(S470=" "," ",IFERROR(VLOOKUP(U470,$F$23:$N$1023,7)+VLOOKUP(U470,$F$23:$N$1023,9)+IF(AND('депозитный калькулятор'!$G$13="нет",U470&lt;&gt;'депозитный калькулятор'!$D$8),VLOOKUP(U470,$F$23:$N$1023,4),0),0)+IF(U470='депозитный калькулятор'!$D$8,VLOOKUP(U470,$F$23:$N$1023,2)+VLOOKUP(U470,$F$23:$N$1023,4),0))</f>
        <v xml:space="preserve"> </v>
      </c>
      <c r="Y470" s="142" t="str">
        <f ca="1">IF(S470=" "," ",W470/(1+'депозитный калькулятор'!$K$8)^(T470/IF('депозитный калькулятор'!$G$7="30/360",360,365)))</f>
        <v xml:space="preserve"> </v>
      </c>
      <c r="Z470" s="142" t="str">
        <f ca="1">IF(S470=" "," ",X470/(1+'депозитный калькулятор'!$K$8)^(T470/IF('депозитный калькулятор'!$G$7="30/360",360,365)))</f>
        <v xml:space="preserve"> </v>
      </c>
      <c r="AA470" s="151"/>
      <c r="AB470" s="151"/>
      <c r="AC470" s="155"/>
      <c r="AD470" s="155"/>
    </row>
    <row r="471" spans="1:30" s="2" customFormat="1" ht="15.5" x14ac:dyDescent="0.35">
      <c r="A471" s="41" t="str">
        <f>IF(F471=" "," ",IF(OR('депозитный калькулятор'!$G$7="30/365",'депозитный калькулятор'!$G$7="30/360"),IF(AND(MONTH(F471)=2,DAY(F471)=DAY(EOMONTH(F471,0))),30-DAY(EOMONTH(F471,0)),IF(DAY(F471)=31,1," "))," "))</f>
        <v xml:space="preserve"> </v>
      </c>
      <c r="B471" s="130" t="str">
        <f t="shared" si="31"/>
        <v xml:space="preserve"> </v>
      </c>
      <c r="C471" s="130" t="str">
        <f>IF(OR(B471=0,B471=" ")," ",SUM($B$23:B471))</f>
        <v xml:space="preserve"> </v>
      </c>
      <c r="D471" s="62" t="str">
        <f>IF(D470=" "," ",IF(OR(F470='депозитный калькулятор'!$D$8,F470=" ")," ",D470+1))</f>
        <v xml:space="preserve"> </v>
      </c>
      <c r="E471" s="130" t="str">
        <f>IF(OR(F470='депозитный калькулятор'!$D$8,F470=" ")," ",IF(EOMONTH(F470,0)=F470,1,E470+1))</f>
        <v xml:space="preserve"> </v>
      </c>
      <c r="F471" s="64" t="str">
        <f>IF(F470=" "," ",IF(F470='депозитный калькулятор'!$D$8," ",F470+1))</f>
        <v xml:space="preserve"> </v>
      </c>
      <c r="G471" s="145" t="str">
        <f xml:space="preserve"> IF(F471&gt;'депозитный калькулятор'!$D$8," ",IF('депозитный калькулятор'!$G$13="есть",IF('депозитный калькулятор'!$G$14="есть",G470+IF(I470=" ",0,I470)-J471-K471+L471+M471-N471,G470+IF(I470=" ",0,I470)-J471-K471+M471-N471),IF('депозитный калькулятор'!$G$14="есть",G470-J471-K471+L471+M471-N471,G470-J471-K471+M471-N471)))</f>
        <v xml:space="preserve"> </v>
      </c>
      <c r="H471" s="133" t="str">
        <f>IF(F471&gt;'депозитный калькулятор'!$D$8," ",IF(AND(OR('депозитный калькулятор'!$G$7="30/365",'депозитный калькулятор'!$G$7="30/360"),AND(MONTH(F471)=2,EOMONTH(F471,0)=F471)),IF(DAY(F471)=28,3*G471*'депозитный калькулятор'!$G$8,2*G471*'депозитный калькулятор'!$G$8),IF(AND(OR('депозитный калькулятор'!$G$7="30/365",'депозитный калькулятор'!$G$7="30/360"),DAY(F471)=31)," ",IF(AND('депозитный калькулятор'!$G$7="факт/факт",MOD(YEAR(F471),4)=0),G471*'депозитный калькулятор'!$D$11/366,G471*'депозитный калькулятор'!$G$8))))</f>
        <v xml:space="preserve"> </v>
      </c>
      <c r="I471" s="134" t="str">
        <f ca="1">IF(F471=" "," ",IF('депозитный калькулятор'!$G$10="ежедневное",H471,IF(AND('депозитный калькулятор'!$G$10="еженедельное",WEEKDAY(F471,2)=7),SUM(OFFSET(H471,-6,0):H471),IF(AND('депозитный калькулятор'!$G$10="еженедельное",F471='депозитный калькулятор'!$D$8),SUM($H$23:H471)-SUM($I$23:I470),IF(AND('депозитный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недели",WEEKDAY(F471,2)=7),MIN(OFFSET(H471,-6,0):H471)*(COUNTIF(OFFSET(H471,-6,0):H471,"&gt;0")+SUMIF(OFFSET(A471,-WEEKDAY(F471,2),0):A471,"=2",OFFSET(A471,-WEEKDAY(F471,2),0):A471)),IF(AND('депозитный калькулятор'!$G$10="еженедельное, на минимальную сумму зафиксированную в течение недели",F471='депозитный калькулятор'!$D$8,WEEKDAY(F471,2)&lt;&gt;7),MIN(OFFSET(H471,-WEEKDAY(F471,2),0):H471)*(COUNTIF(OFFSET(H471,-WEEKDAY(F471,2)+1,0):H471,"&gt;0")+SUM(OFFSET(A471,-WEEKDAY(F471,2),0):A471)),IF(AND('депозитный калькулятор'!$G$10="ежемесячное (в конце месяца)",F471='депозитный калькулятор'!$D$8,EOMONTH(F471,0)&lt;&gt;F471),IF('депозитный калькулятор'!$F$1=1,$H$24,SUM($H$23:H471)-SUM($I$23:I470)),IF(AND('депозитный калькулятор'!$G$10="ежемесячное (в конце месяца)",EOMONTH(F471,0)=F471),SUM($H$23:H471)-SUM($I$23:I470),IF(AND('депозитный калькулятор'!$G$10="ежемесячное (по дням открытия вклада)",F471='депозитный калькулятор'!$D$8,DAY('депозитный калькулятор'!$D$7)&lt;&gt;DAY(F471)),IF('депозитный калькулятор'!$F$1=1,$H$24,SUM($H$23:H471)-SUM($I$23:I470)),IF(AND('депозитный калькулятор'!$G$10="ежемесячное (по дням открытия вклада)",DAY('депозитный калькулятор'!$D$7)=DAY(F471)),SUM($H$23:H471)-SUM($I$23:I470),IF(AND('депозитный калькулятор'!$G$10="ежемесячное, на минимальную сумму зафиксированную в течение месяца",F471='депозитный калькулятор'!$D$8,EOMONTH(F471,0)&lt;&gt;F471),IF('депозитный калькулятор'!$F$1=1,$H$24,IF(AND(OR('депозитный калькулятор'!$G$7="30/365",'депозитный калькулятор'!$G$7="30/360"),DAY(F471)=31),0,MIN(OFFSET(H471,-E471+1,0):H471)*(E471+SUMIF(OFFSET(A471,-E471+1,0):A471,"=2",OFFSET(A471,-E471+1,0):A471)))),IF(AND('депозитный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калькулятор'!$G$7="30/360"),DAY(EOMONTH(F471,0))=31),EOMONTH(F471,0)-1=F471,EOMONTH(F471,0)=F471)),IF(IF(AND(OR('депозитный калькулятор'!$G$7="30/365",'депозитный калькулятор'!$G$7="30/360"),DAY(EOMONTH($F$23,0))=31),F471=EOMONTH($F$23,0)-1,F471=EOMONTH($F$23,0)),MIN(OFFSET(H471,-(DAY(F471)-DAY($F$23)),0):H471)*E471,MIN(OFFSET(H471,-(DAY(F471)-1),0):H471)*IF(AND(OR('депозитный калькулятор'!$G$7="30/365",'депозитный калькулятор'!$G$7="30/360"),DAY(F471)&lt;30),30,DAY(F471))),IF(AND('депозитный калькулятор'!$G$10="ежемесячное, на средний остаток в течение месяца, при условии что остаток больше чем ограничение",F471='депозитный калькулятор'!$D$8,EOMONTH(F471,0)&lt;&gt;F471),IF('депозитный калькулятор'!$F$1=1,$H$24,SUM(OFFSET(Q471,-E471+1,0):Q471)),IF(AND('депозитный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калькулятор'!$G$7="30/360"),DAY(EOMONTH(F471,0))=31),EOMONTH(F471,0)-1=F471,EOMONTH(F471,0)=F471)),IF(IF(AND(OR('депозитный калькулятор'!$G$7="30/365",'депозитный калькулятор'!$G$7="30/360"),DAY(EOMONTH($F$24,0))=31),F471=EOMONTH($F$24,0)-1,F471=EOMONTH($F$24,0)),SUM(OFFSET(Q471,-E471+1,0):Q471),SUM(OFFSET(Q471,-E471+1,0):Q471)),IF('депозитный калькулятор'!$G$10="ежеквартальное",IF(F471&gt;'депозитный калькулятор'!$D$8," ",IF(AND(EOMONTH(F471,0)=F471,OR(MONTH(F471)=3,MONTH(F471)=6,MONTH(F471)=9,MONTH(F471)=12)),IF(EDATE(F471,-3)&lt;'депозитный калькулятор'!$D$7,SUM($H$23:H471),IF(MOD(YEAR(F471),4)=0,IF(AND(EOMONTH(F471,0)=F471,OR(MONTH(F471)=3,MONTH(F471)=6)),SUM(OFFSET(H471,-90,0):H471),IF(AND(EOMONTH(F471,0)=F471,OR(MONTH(F471)=9,MONTH(F471)=12)),SUM(OFFSET(H471,-91,0):H471))),IF(AND(EOMONTH(F471,0)=F471,MONTH(F471)=3),SUM(OFFSET(H471,-89,0):H471),IF(AND(EOMONTH(F471,0)=F471,MONTH(F471)=6),SUM(OFFSET(H471,-90,0):H471),IF(AND(EOMONTH(F471,0)=F471,OR(MONTH(F471)=9,MONTH(F471)=12)),SUM(OFFSET(H471,-91,0):H471)))))),IF(F471='депозитный калькулятор'!$D$8,SUM($H$23:H471)-SUM($I$23:I470),0))),IF('депозитный калькулятор'!$G$10="ежегодное",IF(F471&gt;'депозитный калькулятор'!$D$8," ",IF(F471='депозитный калькулятор'!$D$8,SUM($H$23:H471)-SUM($I$23:I470),IF(AND(EOMONTH(F471,0)=F471,MONTH(F471)=12),IF(MOD(YEAR(F470),4)=0,IF(F471-'депозитный калькулятор'!$D$7&lt;366,SUM($H$23:H471),SUM(OFFSET(H471,-365,0):H471)),IF(F471-'депозитный калькулятор'!$D$7&lt;365,SUM($H$23:H471),SUM(OFFSET(H471,-364,0):H471))),0))),IF(AND('депозитный калькулятор'!$G$10="в конце срока",'депозитный калькулятор'!$D$8=F471),SUM($H$23:H471),0))))))))))))))))))</f>
        <v xml:space="preserve"> </v>
      </c>
      <c r="J471" s="59" t="str">
        <f>IF(F471&gt;'депозитный калькулятор'!$D$8," ",IF('депозитный калькулятор'!$G$16="нет",0,IF(AND('депозитный калькулятор'!$G$17="разовая (в конце срока)",F471='депозитный калькулятор'!$D$8),'депозитный калькулятор'!$G$18,IF(AND('депозитный калькулятор'!$G$17="ежемесячная",EOMONTH(F470,0)=F470),'депозитный калькулятор'!$G$18,IF(AND('депозитный калькулятор'!$G$17="ежегодная",DAY(F470)=31,MONTH(F470)=12),'депозитный калькулятор'!$G$18,IF(AND('депозитный калькулятор'!$G$17="ежемесячная в зависимости от остатка",EOMONTH(F470,0)=F470,P470&gt;0),'депозитный калькулятор'!$G$18,IF(AND('депозитный калькулятор'!$G$17="ежегодная в зависимости от остатка",DAY(F470)=31,MONTH(F470)=12,P470&gt;0),'депозитный калькулятор'!$G$18,0)))))))</f>
        <v xml:space="preserve"> </v>
      </c>
      <c r="K471" s="135" t="str">
        <f>IF($F471=" "," ",IFERROR(VLOOKUP($F471,'депозитный калькулятор'!$B$26:$F$70,2,0),0))</f>
        <v xml:space="preserve"> </v>
      </c>
      <c r="L471" s="135" t="str">
        <f>IF($F471=" "," ",IFERROR(VLOOKUP($F471,'депозитный калькулятор'!$B$26:$F$70,3,0),0))</f>
        <v xml:space="preserve"> </v>
      </c>
      <c r="M471" s="135" t="str">
        <f>IF($F471=" "," ",IFERROR(VLOOKUP($F471,'депозитный калькулятор'!$B$26:$F$70,4,0),0))</f>
        <v xml:space="preserve"> </v>
      </c>
      <c r="N471" s="135" t="str">
        <f>IF($F471=" "," ",IFERROR(VLOOKUP($F471,'депозитный калькулятор'!$B$26:$F$70,5,0),0))</f>
        <v xml:space="preserve"> </v>
      </c>
      <c r="O471" s="146" t="str">
        <f>IF(F471&gt;'депозитный калькулятор'!$D$8," ",IF(F471='депозитный калькулятор'!$D$8,IF(AND($F$24='депозитный калькулятор'!$D$8,'депозитный калькулятор'!$G$13="нет"),-G471-IF(I471=" ",0,I471)-IF(AND(OR('депозитный калькулятор'!$G$7="30/365",'депозитный калькулятор'!$G$7="30/360"),'депозитный калькулятор'!$G$10="в начале срока"),I470,0)-L471+M471-N471,-G471-IF(I471=" ",0,I471)-L471+M471-N471),IF('депозитный калькулятор'!$G$13="есть",M471-N471+IF('депозитный калькулятор'!$G$14="есть",0,-L471),-IF(I471=" ",0,I471)-IF(AND(OR('депозитный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срока"),I470,0)+M471-N471+IF('депозитный калькулятор'!$G$14="есть",0,-L471))))</f>
        <v xml:space="preserve"> </v>
      </c>
      <c r="P471" s="147" t="str">
        <f>IF(F471&gt;'депозитный калькулятор'!$D$8," ",IF(EOMONTH(F470,0)=F470,0,IF(G471&gt;='депозитный калькулятор'!$G$19,P470,P470+1)))</f>
        <v xml:space="preserve"> </v>
      </c>
      <c r="Q471" s="138" t="str">
        <f>IF(F471=" "," ",IF(AND(OR('депозитный калькулятор'!$G$7="30/365",'депозитный калькулятор'!$G$7="30/360"),AND(MONTH(F471)=2,EOMONTH(F471,0)=F471)),IF(DAY(F471)=28,3,2),1)*IF(G471&gt;='депозитный калькулятор'!$G$11,IF(AND('депозитный калькулятор'!$G$7="факт/факт",MOD(YEAR(F471),4)=0),G471*'депозитный калькулятор'!$D$11/366,G471*'депозитный калькулятор'!$G$8),0))</f>
        <v xml:space="preserve"> </v>
      </c>
      <c r="R471" s="158"/>
      <c r="S471" s="62" t="str">
        <f t="shared" ca="1" si="32"/>
        <v xml:space="preserve"> </v>
      </c>
      <c r="T471" s="149" t="str">
        <f ca="1">IF(S471=" "," ",IF('депозитный калькулятор'!$G$7="30/360",DAYS360(U470,IF(DAY(U471)=31,U471-1,U471))+IF(AND(MONTH(U471)=2,U471=EOMONTH(U471,0)),30-DAY(EOMONTH(U471,0)))+T470,VLOOKUP(S471,$C$22:$F$1023,2,0)))</f>
        <v xml:space="preserve"> </v>
      </c>
      <c r="U471" s="64" t="str">
        <f t="shared" ref="U471:U534" ca="1" si="35">IF(S471=" "," ",VLOOKUP(S471,$C$22:$F$1023,4,0))</f>
        <v xml:space="preserve"> </v>
      </c>
      <c r="V471" s="150" t="str">
        <f t="shared" ca="1" si="33"/>
        <v xml:space="preserve"> </v>
      </c>
      <c r="W471" s="62" t="str">
        <f t="shared" ca="1" si="34"/>
        <v xml:space="preserve"> </v>
      </c>
      <c r="X471" s="141" t="str">
        <f ca="1">IF(S471=" "," ",IFERROR(VLOOKUP(U471,$F$23:$N$1023,7)+VLOOKUP(U471,$F$23:$N$1023,9)+IF(AND('депозитный калькулятор'!$G$13="нет",U471&lt;&gt;'депозитный калькулятор'!$D$8),VLOOKUP(U471,$F$23:$N$1023,4),0),0)+IF(U471='депозитный калькулятор'!$D$8,VLOOKUP(U471,$F$23:$N$1023,2)+VLOOKUP(U471,$F$23:$N$1023,4),0))</f>
        <v xml:space="preserve"> </v>
      </c>
      <c r="Y471" s="142" t="str">
        <f ca="1">IF(S471=" "," ",W471/(1+'депозитный калькулятор'!$K$8)^(T471/IF('депозитный калькулятор'!$G$7="30/360",360,365)))</f>
        <v xml:space="preserve"> </v>
      </c>
      <c r="Z471" s="142" t="str">
        <f ca="1">IF(S471=" "," ",X471/(1+'депозитный калькулятор'!$K$8)^(T471/IF('депозитный калькулятор'!$G$7="30/360",360,365)))</f>
        <v xml:space="preserve"> </v>
      </c>
      <c r="AA471" s="151"/>
      <c r="AB471" s="151"/>
      <c r="AC471" s="155"/>
      <c r="AD471" s="155"/>
    </row>
    <row r="472" spans="1:30" s="2" customFormat="1" ht="15.5" x14ac:dyDescent="0.35">
      <c r="A472" s="41" t="str">
        <f>IF(F472=" "," ",IF(OR('депозитный калькулятор'!$G$7="30/365",'депозитный калькулятор'!$G$7="30/360"),IF(AND(MONTH(F472)=2,DAY(F472)=DAY(EOMONTH(F472,0))),30-DAY(EOMONTH(F472,0)),IF(DAY(F472)=31,1," "))," "))</f>
        <v xml:space="preserve"> </v>
      </c>
      <c r="B472" s="130" t="str">
        <f t="shared" ref="B472:B535" si="36">IF(F472=" "," ",IF(O472&lt;&gt;0,1,0))</f>
        <v xml:space="preserve"> </v>
      </c>
      <c r="C472" s="130" t="str">
        <f>IF(OR(B472=0,B472=" ")," ",SUM($B$23:B472))</f>
        <v xml:space="preserve"> </v>
      </c>
      <c r="D472" s="62" t="str">
        <f>IF(D471=" "," ",IF(OR(F471='депозитный калькулятор'!$D$8,F471=" ")," ",D471+1))</f>
        <v xml:space="preserve"> </v>
      </c>
      <c r="E472" s="130" t="str">
        <f>IF(OR(F471='депозитный калькулятор'!$D$8,F471=" ")," ",IF(EOMONTH(F471,0)=F471,1,E471+1))</f>
        <v xml:space="preserve"> </v>
      </c>
      <c r="F472" s="64" t="str">
        <f>IF(F471=" "," ",IF(F471='депозитный калькулятор'!$D$8," ",F471+1))</f>
        <v xml:space="preserve"> </v>
      </c>
      <c r="G472" s="145" t="str">
        <f xml:space="preserve"> IF(F472&gt;'депозитный калькулятор'!$D$8," ",IF('депозитный калькулятор'!$G$13="есть",IF('депозитный калькулятор'!$G$14="есть",G471+IF(I471=" ",0,I471)-J472-K472+L472+M472-N472,G471+IF(I471=" ",0,I471)-J472-K472+M472-N472),IF('депозитный калькулятор'!$G$14="есть",G471-J472-K472+L472+M472-N472,G471-J472-K472+M472-N472)))</f>
        <v xml:space="preserve"> </v>
      </c>
      <c r="H472" s="133" t="str">
        <f>IF(F472&gt;'депозитный калькулятор'!$D$8," ",IF(AND(OR('депозитный калькулятор'!$G$7="30/365",'депозитный калькулятор'!$G$7="30/360"),AND(MONTH(F472)=2,EOMONTH(F472,0)=F472)),IF(DAY(F472)=28,3*G472*'депозитный калькулятор'!$G$8,2*G472*'депозитный калькулятор'!$G$8),IF(AND(OR('депозитный калькулятор'!$G$7="30/365",'депозитный калькулятор'!$G$7="30/360"),DAY(F472)=31)," ",IF(AND('депозитный калькулятор'!$G$7="факт/факт",MOD(YEAR(F472),4)=0),G472*'депозитный калькулятор'!$D$11/366,G472*'депозитный калькулятор'!$G$8))))</f>
        <v xml:space="preserve"> </v>
      </c>
      <c r="I472" s="134" t="str">
        <f ca="1">IF(F472=" "," ",IF('депозитный калькулятор'!$G$10="ежедневное",H472,IF(AND('депозитный калькулятор'!$G$10="еженедельное",WEEKDAY(F472,2)=7),SUM(OFFSET(H472,-6,0):H472),IF(AND('депозитный калькулятор'!$G$10="еженедельное",F472='депозитный калькулятор'!$D$8),SUM($H$23:H472)-SUM($I$23:I471),IF(AND('депозитный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недели",WEEKDAY(F472,2)=7),MIN(OFFSET(H472,-6,0):H472)*(COUNTIF(OFFSET(H472,-6,0):H472,"&gt;0")+SUMIF(OFFSET(A472,-WEEKDAY(F472,2),0):A472,"=2",OFFSET(A472,-WEEKDAY(F472,2),0):A472)),IF(AND('депозитный калькулятор'!$G$10="еженедельное, на минимальную сумму зафиксированную в течение недели",F472='депозитный калькулятор'!$D$8,WEEKDAY(F472,2)&lt;&gt;7),MIN(OFFSET(H472,-WEEKDAY(F472,2),0):H472)*(COUNTIF(OFFSET(H472,-WEEKDAY(F472,2)+1,0):H472,"&gt;0")+SUM(OFFSET(A472,-WEEKDAY(F472,2),0):A472)),IF(AND('депозитный калькулятор'!$G$10="ежемесячное (в конце месяца)",F472='депозитный калькулятор'!$D$8,EOMONTH(F472,0)&lt;&gt;F472),IF('депозитный калькулятор'!$F$1=1,$H$24,SUM($H$23:H472)-SUM($I$23:I471)),IF(AND('депозитный калькулятор'!$G$10="ежемесячное (в конце месяца)",EOMONTH(F472,0)=F472),SUM($H$23:H472)-SUM($I$23:I471),IF(AND('депозитный калькулятор'!$G$10="ежемесячное (по дням открытия вклада)",F472='депозитный калькулятор'!$D$8,DAY('депозитный калькулятор'!$D$7)&lt;&gt;DAY(F472)),IF('депозитный калькулятор'!$F$1=1,$H$24,SUM($H$23:H472)-SUM($I$23:I471)),IF(AND('депозитный калькулятор'!$G$10="ежемесячное (по дням открытия вклада)",DAY('депозитный калькулятор'!$D$7)=DAY(F472)),SUM($H$23:H472)-SUM($I$23:I471),IF(AND('депозитный калькулятор'!$G$10="ежемесячное, на минимальную сумму зафиксированную в течение месяца",F472='депозитный калькулятор'!$D$8,EOMONTH(F472,0)&lt;&gt;F472),IF('депозитный калькулятор'!$F$1=1,$H$24,IF(AND(OR('депозитный калькулятор'!$G$7="30/365",'депозитный калькулятор'!$G$7="30/360"),DAY(F472)=31),0,MIN(OFFSET(H472,-E472+1,0):H472)*(E472+SUMIF(OFFSET(A472,-E472+1,0):A472,"=2",OFFSET(A472,-E472+1,0):A472)))),IF(AND('депозитный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калькулятор'!$G$7="30/360"),DAY(EOMONTH(F472,0))=31),EOMONTH(F472,0)-1=F472,EOMONTH(F472,0)=F472)),IF(IF(AND(OR('депозитный калькулятор'!$G$7="30/365",'депозитный калькулятор'!$G$7="30/360"),DAY(EOMONTH($F$23,0))=31),F472=EOMONTH($F$23,0)-1,F472=EOMONTH($F$23,0)),MIN(OFFSET(H472,-(DAY(F472)-DAY($F$23)),0):H472)*E472,MIN(OFFSET(H472,-(DAY(F472)-1),0):H472)*IF(AND(OR('депозитный калькулятор'!$G$7="30/365",'депозитный калькулятор'!$G$7="30/360"),DAY(F472)&lt;30),30,DAY(F472))),IF(AND('депозитный калькулятор'!$G$10="ежемесячное, на средний остаток в течение месяца, при условии что остаток больше чем ограничение",F472='депозитный калькулятор'!$D$8,EOMONTH(F472,0)&lt;&gt;F472),IF('депозитный калькулятор'!$F$1=1,$H$24,SUM(OFFSET(Q472,-E472+1,0):Q472)),IF(AND('депозитный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калькулятор'!$G$7="30/360"),DAY(EOMONTH(F472,0))=31),EOMONTH(F472,0)-1=F472,EOMONTH(F472,0)=F472)),IF(IF(AND(OR('депозитный калькулятор'!$G$7="30/365",'депозитный калькулятор'!$G$7="30/360"),DAY(EOMONTH($F$24,0))=31),F472=EOMONTH($F$24,0)-1,F472=EOMONTH($F$24,0)),SUM(OFFSET(Q472,-E472+1,0):Q472),SUM(OFFSET(Q472,-E472+1,0):Q472)),IF('депозитный калькулятор'!$G$10="ежеквартальное",IF(F472&gt;'депозитный калькулятор'!$D$8," ",IF(AND(EOMONTH(F472,0)=F472,OR(MONTH(F472)=3,MONTH(F472)=6,MONTH(F472)=9,MONTH(F472)=12)),IF(EDATE(F472,-3)&lt;'депозитный калькулятор'!$D$7,SUM($H$23:H472),IF(MOD(YEAR(F472),4)=0,IF(AND(EOMONTH(F472,0)=F472,OR(MONTH(F472)=3,MONTH(F472)=6)),SUM(OFFSET(H472,-90,0):H472),IF(AND(EOMONTH(F472,0)=F472,OR(MONTH(F472)=9,MONTH(F472)=12)),SUM(OFFSET(H472,-91,0):H472))),IF(AND(EOMONTH(F472,0)=F472,MONTH(F472)=3),SUM(OFFSET(H472,-89,0):H472),IF(AND(EOMONTH(F472,0)=F472,MONTH(F472)=6),SUM(OFFSET(H472,-90,0):H472),IF(AND(EOMONTH(F472,0)=F472,OR(MONTH(F472)=9,MONTH(F472)=12)),SUM(OFFSET(H472,-91,0):H472)))))),IF(F472='депозитный калькулятор'!$D$8,SUM($H$23:H472)-SUM($I$23:I471),0))),IF('депозитный калькулятор'!$G$10="ежегодное",IF(F472&gt;'депозитный калькулятор'!$D$8," ",IF(F472='депозитный калькулятор'!$D$8,SUM($H$23:H472)-SUM($I$23:I471),IF(AND(EOMONTH(F472,0)=F472,MONTH(F472)=12),IF(MOD(YEAR(F471),4)=0,IF(F472-'депозитный калькулятор'!$D$7&lt;366,SUM($H$23:H472),SUM(OFFSET(H472,-365,0):H472)),IF(F472-'депозитный калькулятор'!$D$7&lt;365,SUM($H$23:H472),SUM(OFFSET(H472,-364,0):H472))),0))),IF(AND('депозитный калькулятор'!$G$10="в конце срока",'депозитный калькулятор'!$D$8=F472),SUM($H$23:H472),0))))))))))))))))))</f>
        <v xml:space="preserve"> </v>
      </c>
      <c r="J472" s="59" t="str">
        <f>IF(F472&gt;'депозитный калькулятор'!$D$8," ",IF('депозитный калькулятор'!$G$16="нет",0,IF(AND('депозитный калькулятор'!$G$17="разовая (в конце срока)",F472='депозитный калькулятор'!$D$8),'депозитный калькулятор'!$G$18,IF(AND('депозитный калькулятор'!$G$17="ежемесячная",EOMONTH(F471,0)=F471),'депозитный калькулятор'!$G$18,IF(AND('депозитный калькулятор'!$G$17="ежегодная",DAY(F471)=31,MONTH(F471)=12),'депозитный калькулятор'!$G$18,IF(AND('депозитный калькулятор'!$G$17="ежемесячная в зависимости от остатка",EOMONTH(F471,0)=F471,P471&gt;0),'депозитный калькулятор'!$G$18,IF(AND('депозитный калькулятор'!$G$17="ежегодная в зависимости от остатка",DAY(F471)=31,MONTH(F471)=12,P471&gt;0),'депозитный калькулятор'!$G$18,0)))))))</f>
        <v xml:space="preserve"> </v>
      </c>
      <c r="K472" s="135" t="str">
        <f>IF($F472=" "," ",IFERROR(VLOOKUP($F472,'депозитный калькулятор'!$B$26:$F$70,2,0),0))</f>
        <v xml:space="preserve"> </v>
      </c>
      <c r="L472" s="135" t="str">
        <f>IF($F472=" "," ",IFERROR(VLOOKUP($F472,'депозитный калькулятор'!$B$26:$F$70,3,0),0))</f>
        <v xml:space="preserve"> </v>
      </c>
      <c r="M472" s="135" t="str">
        <f>IF($F472=" "," ",IFERROR(VLOOKUP($F472,'депозитный калькулятор'!$B$26:$F$70,4,0),0))</f>
        <v xml:space="preserve"> </v>
      </c>
      <c r="N472" s="135" t="str">
        <f>IF($F472=" "," ",IFERROR(VLOOKUP($F472,'депозитный калькулятор'!$B$26:$F$70,5,0),0))</f>
        <v xml:space="preserve"> </v>
      </c>
      <c r="O472" s="146" t="str">
        <f>IF(F472&gt;'депозитный калькулятор'!$D$8," ",IF(F472='депозитный калькулятор'!$D$8,IF(AND($F$24='депозитный калькулятор'!$D$8,'депозитный калькулятор'!$G$13="нет"),-G472-IF(I472=" ",0,I472)-IF(AND(OR('депозитный калькулятор'!$G$7="30/365",'депозитный калькулятор'!$G$7="30/360"),'депозитный калькулятор'!$G$10="в начале срока"),I471,0)-L472+M472-N472,-G472-IF(I472=" ",0,I472)-L472+M472-N472),IF('депозитный калькулятор'!$G$13="есть",M472-N472+IF('депозитный калькулятор'!$G$14="есть",0,-L472),-IF(I472=" ",0,I472)-IF(AND(OR('депозитный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срока"),I471,0)+M472-N472+IF('депозитный калькулятор'!$G$14="есть",0,-L472))))</f>
        <v xml:space="preserve"> </v>
      </c>
      <c r="P472" s="147" t="str">
        <f>IF(F472&gt;'депозитный калькулятор'!$D$8," ",IF(EOMONTH(F471,0)=F471,0,IF(G472&gt;='депозитный калькулятор'!$G$19,P471,P471+1)))</f>
        <v xml:space="preserve"> </v>
      </c>
      <c r="Q472" s="138" t="str">
        <f>IF(F472=" "," ",IF(AND(OR('депозитный калькулятор'!$G$7="30/365",'депозитный калькулятор'!$G$7="30/360"),AND(MONTH(F472)=2,EOMONTH(F472,0)=F472)),IF(DAY(F472)=28,3,2),1)*IF(G472&gt;='депозитный калькулятор'!$G$11,IF(AND('депозитный калькулятор'!$G$7="факт/факт",MOD(YEAR(F472),4)=0),G472*'депозитный калькулятор'!$D$11/366,G472*'депозитный калькулятор'!$G$8),0))</f>
        <v xml:space="preserve"> </v>
      </c>
      <c r="R472" s="158"/>
      <c r="S472" s="62" t="str">
        <f t="shared" ref="S472:S535" ca="1" si="37">IF(S471&lt;COUNTIFS($B$23:$B$1023,"&gt;0"),S471+1," ")</f>
        <v xml:space="preserve"> </v>
      </c>
      <c r="T472" s="149" t="str">
        <f ca="1">IF(S472=" "," ",IF('депозитный калькулятор'!$G$7="30/360",DAYS360(U471,IF(DAY(U472)=31,U472-1,U472))+IF(AND(MONTH(U472)=2,U472=EOMONTH(U472,0)),30-DAY(EOMONTH(U472,0)))+T471,VLOOKUP(S472,$C$22:$F$1023,2,0)))</f>
        <v xml:space="preserve"> </v>
      </c>
      <c r="U472" s="64" t="str">
        <f t="shared" ca="1" si="35"/>
        <v xml:space="preserve"> </v>
      </c>
      <c r="V472" s="150" t="str">
        <f t="shared" ref="V472:V535" ca="1" si="38">VLOOKUP(U472,$F$24:$O$1023,10)</f>
        <v xml:space="preserve"> </v>
      </c>
      <c r="W472" s="62" t="str">
        <f t="shared" ref="W472:W535" ca="1" si="39">IF(S472=" "," ",VLOOKUP(U472,$F$24:$N$1023,8))</f>
        <v xml:space="preserve"> </v>
      </c>
      <c r="X472" s="141" t="str">
        <f ca="1">IF(S472=" "," ",IFERROR(VLOOKUP(U472,$F$23:$N$1023,7)+VLOOKUP(U472,$F$23:$N$1023,9)+IF(AND('депозитный калькулятор'!$G$13="нет",U472&lt;&gt;'депозитный калькулятор'!$D$8),VLOOKUP(U472,$F$23:$N$1023,4),0),0)+IF(U472='депозитный калькулятор'!$D$8,VLOOKUP(U472,$F$23:$N$1023,2)+VLOOKUP(U472,$F$23:$N$1023,4),0))</f>
        <v xml:space="preserve"> </v>
      </c>
      <c r="Y472" s="142" t="str">
        <f ca="1">IF(S472=" "," ",W472/(1+'депозитный калькулятор'!$K$8)^(T472/IF('депозитный калькулятор'!$G$7="30/360",360,365)))</f>
        <v xml:space="preserve"> </v>
      </c>
      <c r="Z472" s="142" t="str">
        <f ca="1">IF(S472=" "," ",X472/(1+'депозитный калькулятор'!$K$8)^(T472/IF('депозитный калькулятор'!$G$7="30/360",360,365)))</f>
        <v xml:space="preserve"> </v>
      </c>
      <c r="AA472" s="151"/>
      <c r="AB472" s="151"/>
      <c r="AC472" s="155"/>
      <c r="AD472" s="155"/>
    </row>
    <row r="473" spans="1:30" s="2" customFormat="1" ht="15.5" x14ac:dyDescent="0.35">
      <c r="A473" s="41" t="str">
        <f>IF(F473=" "," ",IF(OR('депозитный калькулятор'!$G$7="30/365",'депозитный калькулятор'!$G$7="30/360"),IF(AND(MONTH(F473)=2,DAY(F473)=DAY(EOMONTH(F473,0))),30-DAY(EOMONTH(F473,0)),IF(DAY(F473)=31,1," "))," "))</f>
        <v xml:space="preserve"> </v>
      </c>
      <c r="B473" s="130" t="str">
        <f t="shared" si="36"/>
        <v xml:space="preserve"> </v>
      </c>
      <c r="C473" s="130" t="str">
        <f>IF(OR(B473=0,B473=" ")," ",SUM($B$23:B473))</f>
        <v xml:space="preserve"> </v>
      </c>
      <c r="D473" s="62" t="str">
        <f>IF(D472=" "," ",IF(OR(F472='депозитный калькулятор'!$D$8,F472=" ")," ",D472+1))</f>
        <v xml:space="preserve"> </v>
      </c>
      <c r="E473" s="130" t="str">
        <f>IF(OR(F472='депозитный калькулятор'!$D$8,F472=" ")," ",IF(EOMONTH(F472,0)=F472,1,E472+1))</f>
        <v xml:space="preserve"> </v>
      </c>
      <c r="F473" s="64" t="str">
        <f>IF(F472=" "," ",IF(F472='депозитный калькулятор'!$D$8," ",F472+1))</f>
        <v xml:space="preserve"> </v>
      </c>
      <c r="G473" s="145" t="str">
        <f xml:space="preserve"> IF(F473&gt;'депозитный калькулятор'!$D$8," ",IF('депозитный калькулятор'!$G$13="есть",IF('депозитный калькулятор'!$G$14="есть",G472+IF(I472=" ",0,I472)-J473-K473+L473+M473-N473,G472+IF(I472=" ",0,I472)-J473-K473+M473-N473),IF('депозитный калькулятор'!$G$14="есть",G472-J473-K473+L473+M473-N473,G472-J473-K473+M473-N473)))</f>
        <v xml:space="preserve"> </v>
      </c>
      <c r="H473" s="133" t="str">
        <f>IF(F473&gt;'депозитный калькулятор'!$D$8," ",IF(AND(OR('депозитный калькулятор'!$G$7="30/365",'депозитный калькулятор'!$G$7="30/360"),AND(MONTH(F473)=2,EOMONTH(F473,0)=F473)),IF(DAY(F473)=28,3*G473*'депозитный калькулятор'!$G$8,2*G473*'депозитный калькулятор'!$G$8),IF(AND(OR('депозитный калькулятор'!$G$7="30/365",'депозитный калькулятор'!$G$7="30/360"),DAY(F473)=31)," ",IF(AND('депозитный калькулятор'!$G$7="факт/факт",MOD(YEAR(F473),4)=0),G473*'депозитный калькулятор'!$D$11/366,G473*'депозитный калькулятор'!$G$8))))</f>
        <v xml:space="preserve"> </v>
      </c>
      <c r="I473" s="134" t="str">
        <f ca="1">IF(F473=" "," ",IF('депозитный калькулятор'!$G$10="ежедневное",H473,IF(AND('депозитный калькулятор'!$G$10="еженедельное",WEEKDAY(F473,2)=7),SUM(OFFSET(H473,-6,0):H473),IF(AND('депозитный калькулятор'!$G$10="еженедельное",F473='депозитный калькулятор'!$D$8),SUM($H$23:H473)-SUM($I$23:I472),IF(AND('депозитный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недели",WEEKDAY(F473,2)=7),MIN(OFFSET(H473,-6,0):H473)*(COUNTIF(OFFSET(H473,-6,0):H473,"&gt;0")+SUMIF(OFFSET(A473,-WEEKDAY(F473,2),0):A473,"=2",OFFSET(A473,-WEEKDAY(F473,2),0):A473)),IF(AND('депозитный калькулятор'!$G$10="еженедельное, на минимальную сумму зафиксированную в течение недели",F473='депозитный калькулятор'!$D$8,WEEKDAY(F473,2)&lt;&gt;7),MIN(OFFSET(H473,-WEEKDAY(F473,2),0):H473)*(COUNTIF(OFFSET(H473,-WEEKDAY(F473,2)+1,0):H473,"&gt;0")+SUM(OFFSET(A473,-WEEKDAY(F473,2),0):A473)),IF(AND('депозитный калькулятор'!$G$10="ежемесячное (в конце месяца)",F473='депозитный калькулятор'!$D$8,EOMONTH(F473,0)&lt;&gt;F473),IF('депозитный калькулятор'!$F$1=1,$H$24,SUM($H$23:H473)-SUM($I$23:I472)),IF(AND('депозитный калькулятор'!$G$10="ежемесячное (в конце месяца)",EOMONTH(F473,0)=F473),SUM($H$23:H473)-SUM($I$23:I472),IF(AND('депозитный калькулятор'!$G$10="ежемесячное (по дням открытия вклада)",F473='депозитный калькулятор'!$D$8,DAY('депозитный калькулятор'!$D$7)&lt;&gt;DAY(F473)),IF('депозитный калькулятор'!$F$1=1,$H$24,SUM($H$23:H473)-SUM($I$23:I472)),IF(AND('депозитный калькулятор'!$G$10="ежемесячное (по дням открытия вклада)",DAY('депозитный калькулятор'!$D$7)=DAY(F473)),SUM($H$23:H473)-SUM($I$23:I472),IF(AND('депозитный калькулятор'!$G$10="ежемесячное, на минимальную сумму зафиксированную в течение месяца",F473='депозитный калькулятор'!$D$8,EOMONTH(F473,0)&lt;&gt;F473),IF('депозитный калькулятор'!$F$1=1,$H$24,IF(AND(OR('депозитный калькулятор'!$G$7="30/365",'депозитный калькулятор'!$G$7="30/360"),DAY(F473)=31),0,MIN(OFFSET(H473,-E473+1,0):H473)*(E473+SUMIF(OFFSET(A473,-E473+1,0):A473,"=2",OFFSET(A473,-E473+1,0):A473)))),IF(AND('депозитный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калькулятор'!$G$7="30/360"),DAY(EOMONTH(F473,0))=31),EOMONTH(F473,0)-1=F473,EOMONTH(F473,0)=F473)),IF(IF(AND(OR('депозитный калькулятор'!$G$7="30/365",'депозитный калькулятор'!$G$7="30/360"),DAY(EOMONTH($F$23,0))=31),F473=EOMONTH($F$23,0)-1,F473=EOMONTH($F$23,0)),MIN(OFFSET(H473,-(DAY(F473)-DAY($F$23)),0):H473)*E473,MIN(OFFSET(H473,-(DAY(F473)-1),0):H473)*IF(AND(OR('депозитный калькулятор'!$G$7="30/365",'депозитный калькулятор'!$G$7="30/360"),DAY(F473)&lt;30),30,DAY(F473))),IF(AND('депозитный калькулятор'!$G$10="ежемесячное, на средний остаток в течение месяца, при условии что остаток больше чем ограничение",F473='депозитный калькулятор'!$D$8,EOMONTH(F473,0)&lt;&gt;F473),IF('депозитный калькулятор'!$F$1=1,$H$24,SUM(OFFSET(Q473,-E473+1,0):Q473)),IF(AND('депозитный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калькулятор'!$G$7="30/360"),DAY(EOMONTH(F473,0))=31),EOMONTH(F473,0)-1=F473,EOMONTH(F473,0)=F473)),IF(IF(AND(OR('депозитный калькулятор'!$G$7="30/365",'депозитный калькулятор'!$G$7="30/360"),DAY(EOMONTH($F$24,0))=31),F473=EOMONTH($F$24,0)-1,F473=EOMONTH($F$24,0)),SUM(OFFSET(Q473,-E473+1,0):Q473),SUM(OFFSET(Q473,-E473+1,0):Q473)),IF('депозитный калькулятор'!$G$10="ежеквартальное",IF(F473&gt;'депозитный калькулятор'!$D$8," ",IF(AND(EOMONTH(F473,0)=F473,OR(MONTH(F473)=3,MONTH(F473)=6,MONTH(F473)=9,MONTH(F473)=12)),IF(EDATE(F473,-3)&lt;'депозитный калькулятор'!$D$7,SUM($H$23:H473),IF(MOD(YEAR(F473),4)=0,IF(AND(EOMONTH(F473,0)=F473,OR(MONTH(F473)=3,MONTH(F473)=6)),SUM(OFFSET(H473,-90,0):H473),IF(AND(EOMONTH(F473,0)=F473,OR(MONTH(F473)=9,MONTH(F473)=12)),SUM(OFFSET(H473,-91,0):H473))),IF(AND(EOMONTH(F473,0)=F473,MONTH(F473)=3),SUM(OFFSET(H473,-89,0):H473),IF(AND(EOMONTH(F473,0)=F473,MONTH(F473)=6),SUM(OFFSET(H473,-90,0):H473),IF(AND(EOMONTH(F473,0)=F473,OR(MONTH(F473)=9,MONTH(F473)=12)),SUM(OFFSET(H473,-91,0):H473)))))),IF(F473='депозитный калькулятор'!$D$8,SUM($H$23:H473)-SUM($I$23:I472),0))),IF('депозитный калькулятор'!$G$10="ежегодное",IF(F473&gt;'депозитный калькулятор'!$D$8," ",IF(F473='депозитный калькулятор'!$D$8,SUM($H$23:H473)-SUM($I$23:I472),IF(AND(EOMONTH(F473,0)=F473,MONTH(F473)=12),IF(MOD(YEAR(F472),4)=0,IF(F473-'депозитный калькулятор'!$D$7&lt;366,SUM($H$23:H473),SUM(OFFSET(H473,-365,0):H473)),IF(F473-'депозитный калькулятор'!$D$7&lt;365,SUM($H$23:H473),SUM(OFFSET(H473,-364,0):H473))),0))),IF(AND('депозитный калькулятор'!$G$10="в конце срока",'депозитный калькулятор'!$D$8=F473),SUM($H$23:H473),0))))))))))))))))))</f>
        <v xml:space="preserve"> </v>
      </c>
      <c r="J473" s="59" t="str">
        <f>IF(F473&gt;'депозитный калькулятор'!$D$8," ",IF('депозитный калькулятор'!$G$16="нет",0,IF(AND('депозитный калькулятор'!$G$17="разовая (в конце срока)",F473='депозитный калькулятор'!$D$8),'депозитный калькулятор'!$G$18,IF(AND('депозитный калькулятор'!$G$17="ежемесячная",EOMONTH(F472,0)=F472),'депозитный калькулятор'!$G$18,IF(AND('депозитный калькулятор'!$G$17="ежегодная",DAY(F472)=31,MONTH(F472)=12),'депозитный калькулятор'!$G$18,IF(AND('депозитный калькулятор'!$G$17="ежемесячная в зависимости от остатка",EOMONTH(F472,0)=F472,P472&gt;0),'депозитный калькулятор'!$G$18,IF(AND('депозитный калькулятор'!$G$17="ежегодная в зависимости от остатка",DAY(F472)=31,MONTH(F472)=12,P472&gt;0),'депозитный калькулятор'!$G$18,0)))))))</f>
        <v xml:space="preserve"> </v>
      </c>
      <c r="K473" s="135" t="str">
        <f>IF($F473=" "," ",IFERROR(VLOOKUP($F473,'депозитный калькулятор'!$B$26:$F$70,2,0),0))</f>
        <v xml:space="preserve"> </v>
      </c>
      <c r="L473" s="135" t="str">
        <f>IF($F473=" "," ",IFERROR(VLOOKUP($F473,'депозитный калькулятор'!$B$26:$F$70,3,0),0))</f>
        <v xml:space="preserve"> </v>
      </c>
      <c r="M473" s="135" t="str">
        <f>IF($F473=" "," ",IFERROR(VLOOKUP($F473,'депозитный калькулятор'!$B$26:$F$70,4,0),0))</f>
        <v xml:space="preserve"> </v>
      </c>
      <c r="N473" s="135" t="str">
        <f>IF($F473=" "," ",IFERROR(VLOOKUP($F473,'депозитный калькулятор'!$B$26:$F$70,5,0),0))</f>
        <v xml:space="preserve"> </v>
      </c>
      <c r="O473" s="146" t="str">
        <f>IF(F473&gt;'депозитный калькулятор'!$D$8," ",IF(F473='депозитный калькулятор'!$D$8,IF(AND($F$24='депозитный калькулятор'!$D$8,'депозитный калькулятор'!$G$13="нет"),-G473-IF(I473=" ",0,I473)-IF(AND(OR('депозитный калькулятор'!$G$7="30/365",'депозитный калькулятор'!$G$7="30/360"),'депозитный калькулятор'!$G$10="в начале срока"),I472,0)-L473+M473-N473,-G473-IF(I473=" ",0,I473)-L473+M473-N473),IF('депозитный калькулятор'!$G$13="есть",M473-N473+IF('депозитный калькулятор'!$G$14="есть",0,-L473),-IF(I473=" ",0,I473)-IF(AND(OR('депозитный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срока"),I472,0)+M473-N473+IF('депозитный калькулятор'!$G$14="есть",0,-L473))))</f>
        <v xml:space="preserve"> </v>
      </c>
      <c r="P473" s="147" t="str">
        <f>IF(F473&gt;'депозитный калькулятор'!$D$8," ",IF(EOMONTH(F472,0)=F472,0,IF(G473&gt;='депозитный калькулятор'!$G$19,P472,P472+1)))</f>
        <v xml:space="preserve"> </v>
      </c>
      <c r="Q473" s="138" t="str">
        <f>IF(F473=" "," ",IF(AND(OR('депозитный калькулятор'!$G$7="30/365",'депозитный калькулятор'!$G$7="30/360"),AND(MONTH(F473)=2,EOMONTH(F473,0)=F473)),IF(DAY(F473)=28,3,2),1)*IF(G473&gt;='депозитный калькулятор'!$G$11,IF(AND('депозитный калькулятор'!$G$7="факт/факт",MOD(YEAR(F473),4)=0),G473*'депозитный калькулятор'!$D$11/366,G473*'депозитный калькулятор'!$G$8),0))</f>
        <v xml:space="preserve"> </v>
      </c>
      <c r="R473" s="158"/>
      <c r="S473" s="62" t="str">
        <f t="shared" ca="1" si="37"/>
        <v xml:space="preserve"> </v>
      </c>
      <c r="T473" s="149" t="str">
        <f ca="1">IF(S473=" "," ",IF('депозитный калькулятор'!$G$7="30/360",DAYS360(U472,IF(DAY(U473)=31,U473-1,U473))+IF(AND(MONTH(U473)=2,U473=EOMONTH(U473,0)),30-DAY(EOMONTH(U473,0)))+T472,VLOOKUP(S473,$C$22:$F$1023,2,0)))</f>
        <v xml:space="preserve"> </v>
      </c>
      <c r="U473" s="64" t="str">
        <f t="shared" ca="1" si="35"/>
        <v xml:space="preserve"> </v>
      </c>
      <c r="V473" s="150" t="str">
        <f t="shared" ca="1" si="38"/>
        <v xml:space="preserve"> </v>
      </c>
      <c r="W473" s="62" t="str">
        <f t="shared" ca="1" si="39"/>
        <v xml:space="preserve"> </v>
      </c>
      <c r="X473" s="141" t="str">
        <f ca="1">IF(S473=" "," ",IFERROR(VLOOKUP(U473,$F$23:$N$1023,7)+VLOOKUP(U473,$F$23:$N$1023,9)+IF(AND('депозитный калькулятор'!$G$13="нет",U473&lt;&gt;'депозитный калькулятор'!$D$8),VLOOKUP(U473,$F$23:$N$1023,4),0),0)+IF(U473='депозитный калькулятор'!$D$8,VLOOKUP(U473,$F$23:$N$1023,2)+VLOOKUP(U473,$F$23:$N$1023,4),0))</f>
        <v xml:space="preserve"> </v>
      </c>
      <c r="Y473" s="142" t="str">
        <f ca="1">IF(S473=" "," ",W473/(1+'депозитный калькулятор'!$K$8)^(T473/IF('депозитный калькулятор'!$G$7="30/360",360,365)))</f>
        <v xml:space="preserve"> </v>
      </c>
      <c r="Z473" s="142" t="str">
        <f ca="1">IF(S473=" "," ",X473/(1+'депозитный калькулятор'!$K$8)^(T473/IF('депозитный калькулятор'!$G$7="30/360",360,365)))</f>
        <v xml:space="preserve"> </v>
      </c>
      <c r="AA473" s="151"/>
      <c r="AB473" s="151"/>
      <c r="AC473" s="155"/>
      <c r="AD473" s="155"/>
    </row>
    <row r="474" spans="1:30" s="2" customFormat="1" ht="15.5" x14ac:dyDescent="0.35">
      <c r="A474" s="41" t="str">
        <f>IF(F474=" "," ",IF(OR('депозитный калькулятор'!$G$7="30/365",'депозитный калькулятор'!$G$7="30/360"),IF(AND(MONTH(F474)=2,DAY(F474)=DAY(EOMONTH(F474,0))),30-DAY(EOMONTH(F474,0)),IF(DAY(F474)=31,1," "))," "))</f>
        <v xml:space="preserve"> </v>
      </c>
      <c r="B474" s="130" t="str">
        <f t="shared" si="36"/>
        <v xml:space="preserve"> </v>
      </c>
      <c r="C474" s="130" t="str">
        <f>IF(OR(B474=0,B474=" ")," ",SUM($B$23:B474))</f>
        <v xml:space="preserve"> </v>
      </c>
      <c r="D474" s="62" t="str">
        <f>IF(D473=" "," ",IF(OR(F473='депозитный калькулятор'!$D$8,F473=" ")," ",D473+1))</f>
        <v xml:space="preserve"> </v>
      </c>
      <c r="E474" s="130" t="str">
        <f>IF(OR(F473='депозитный калькулятор'!$D$8,F473=" ")," ",IF(EOMONTH(F473,0)=F473,1,E473+1))</f>
        <v xml:space="preserve"> </v>
      </c>
      <c r="F474" s="64" t="str">
        <f>IF(F473=" "," ",IF(F473='депозитный калькулятор'!$D$8," ",F473+1))</f>
        <v xml:space="preserve"> </v>
      </c>
      <c r="G474" s="145" t="str">
        <f xml:space="preserve"> IF(F474&gt;'депозитный калькулятор'!$D$8," ",IF('депозитный калькулятор'!$G$13="есть",IF('депозитный калькулятор'!$G$14="есть",G473+IF(I473=" ",0,I473)-J474-K474+L474+M474-N474,G473+IF(I473=" ",0,I473)-J474-K474+M474-N474),IF('депозитный калькулятор'!$G$14="есть",G473-J474-K474+L474+M474-N474,G473-J474-K474+M474-N474)))</f>
        <v xml:space="preserve"> </v>
      </c>
      <c r="H474" s="133" t="str">
        <f>IF(F474&gt;'депозитный калькулятор'!$D$8," ",IF(AND(OR('депозитный калькулятор'!$G$7="30/365",'депозитный калькулятор'!$G$7="30/360"),AND(MONTH(F474)=2,EOMONTH(F474,0)=F474)),IF(DAY(F474)=28,3*G474*'депозитный калькулятор'!$G$8,2*G474*'депозитный калькулятор'!$G$8),IF(AND(OR('депозитный калькулятор'!$G$7="30/365",'депозитный калькулятор'!$G$7="30/360"),DAY(F474)=31)," ",IF(AND('депозитный калькулятор'!$G$7="факт/факт",MOD(YEAR(F474),4)=0),G474*'депозитный калькулятор'!$D$11/366,G474*'депозитный калькулятор'!$G$8))))</f>
        <v xml:space="preserve"> </v>
      </c>
      <c r="I474" s="134" t="str">
        <f ca="1">IF(F474=" "," ",IF('депозитный калькулятор'!$G$10="ежедневное",H474,IF(AND('депозитный калькулятор'!$G$10="еженедельное",WEEKDAY(F474,2)=7),SUM(OFFSET(H474,-6,0):H474),IF(AND('депозитный калькулятор'!$G$10="еженедельное",F474='депозитный калькулятор'!$D$8),SUM($H$23:H474)-SUM($I$23:I473),IF(AND('депозитный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недели",WEEKDAY(F474,2)=7),MIN(OFFSET(H474,-6,0):H474)*(COUNTIF(OFFSET(H474,-6,0):H474,"&gt;0")+SUMIF(OFFSET(A474,-WEEKDAY(F474,2),0):A474,"=2",OFFSET(A474,-WEEKDAY(F474,2),0):A474)),IF(AND('депозитный калькулятор'!$G$10="еженедельное, на минимальную сумму зафиксированную в течение недели",F474='депозитный калькулятор'!$D$8,WEEKDAY(F474,2)&lt;&gt;7),MIN(OFFSET(H474,-WEEKDAY(F474,2),0):H474)*(COUNTIF(OFFSET(H474,-WEEKDAY(F474,2)+1,0):H474,"&gt;0")+SUM(OFFSET(A474,-WEEKDAY(F474,2),0):A474)),IF(AND('депозитный калькулятор'!$G$10="ежемесячное (в конце месяца)",F474='депозитный калькулятор'!$D$8,EOMONTH(F474,0)&lt;&gt;F474),IF('депозитный калькулятор'!$F$1=1,$H$24,SUM($H$23:H474)-SUM($I$23:I473)),IF(AND('депозитный калькулятор'!$G$10="ежемесячное (в конце месяца)",EOMONTH(F474,0)=F474),SUM($H$23:H474)-SUM($I$23:I473),IF(AND('депозитный калькулятор'!$G$10="ежемесячное (по дням открытия вклада)",F474='депозитный калькулятор'!$D$8,DAY('депозитный калькулятор'!$D$7)&lt;&gt;DAY(F474)),IF('депозитный калькулятор'!$F$1=1,$H$24,SUM($H$23:H474)-SUM($I$23:I473)),IF(AND('депозитный калькулятор'!$G$10="ежемесячное (по дням открытия вклада)",DAY('депозитный калькулятор'!$D$7)=DAY(F474)),SUM($H$23:H474)-SUM($I$23:I473),IF(AND('депозитный калькулятор'!$G$10="ежемесячное, на минимальную сумму зафиксированную в течение месяца",F474='депозитный калькулятор'!$D$8,EOMONTH(F474,0)&lt;&gt;F474),IF('депозитный калькулятор'!$F$1=1,$H$24,IF(AND(OR('депозитный калькулятор'!$G$7="30/365",'депозитный калькулятор'!$G$7="30/360"),DAY(F474)=31),0,MIN(OFFSET(H474,-E474+1,0):H474)*(E474+SUMIF(OFFSET(A474,-E474+1,0):A474,"=2",OFFSET(A474,-E474+1,0):A474)))),IF(AND('депозитный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калькулятор'!$G$7="30/360"),DAY(EOMONTH(F474,0))=31),EOMONTH(F474,0)-1=F474,EOMONTH(F474,0)=F474)),IF(IF(AND(OR('депозитный калькулятор'!$G$7="30/365",'депозитный калькулятор'!$G$7="30/360"),DAY(EOMONTH($F$23,0))=31),F474=EOMONTH($F$23,0)-1,F474=EOMONTH($F$23,0)),MIN(OFFSET(H474,-(DAY(F474)-DAY($F$23)),0):H474)*E474,MIN(OFFSET(H474,-(DAY(F474)-1),0):H474)*IF(AND(OR('депозитный калькулятор'!$G$7="30/365",'депозитный калькулятор'!$G$7="30/360"),DAY(F474)&lt;30),30,DAY(F474))),IF(AND('депозитный калькулятор'!$G$10="ежемесячное, на средний остаток в течение месяца, при условии что остаток больше чем ограничение",F474='депозитный калькулятор'!$D$8,EOMONTH(F474,0)&lt;&gt;F474),IF('депозитный калькулятор'!$F$1=1,$H$24,SUM(OFFSET(Q474,-E474+1,0):Q474)),IF(AND('депозитный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калькулятор'!$G$7="30/360"),DAY(EOMONTH(F474,0))=31),EOMONTH(F474,0)-1=F474,EOMONTH(F474,0)=F474)),IF(IF(AND(OR('депозитный калькулятор'!$G$7="30/365",'депозитный калькулятор'!$G$7="30/360"),DAY(EOMONTH($F$24,0))=31),F474=EOMONTH($F$24,0)-1,F474=EOMONTH($F$24,0)),SUM(OFFSET(Q474,-E474+1,0):Q474),SUM(OFFSET(Q474,-E474+1,0):Q474)),IF('депозитный калькулятор'!$G$10="ежеквартальное",IF(F474&gt;'депозитный калькулятор'!$D$8," ",IF(AND(EOMONTH(F474,0)=F474,OR(MONTH(F474)=3,MONTH(F474)=6,MONTH(F474)=9,MONTH(F474)=12)),IF(EDATE(F474,-3)&lt;'депозитный калькулятор'!$D$7,SUM($H$23:H474),IF(MOD(YEAR(F474),4)=0,IF(AND(EOMONTH(F474,0)=F474,OR(MONTH(F474)=3,MONTH(F474)=6)),SUM(OFFSET(H474,-90,0):H474),IF(AND(EOMONTH(F474,0)=F474,OR(MONTH(F474)=9,MONTH(F474)=12)),SUM(OFFSET(H474,-91,0):H474))),IF(AND(EOMONTH(F474,0)=F474,MONTH(F474)=3),SUM(OFFSET(H474,-89,0):H474),IF(AND(EOMONTH(F474,0)=F474,MONTH(F474)=6),SUM(OFFSET(H474,-90,0):H474),IF(AND(EOMONTH(F474,0)=F474,OR(MONTH(F474)=9,MONTH(F474)=12)),SUM(OFFSET(H474,-91,0):H474)))))),IF(F474='депозитный калькулятор'!$D$8,SUM($H$23:H474)-SUM($I$23:I473),0))),IF('депозитный калькулятор'!$G$10="ежегодное",IF(F474&gt;'депозитный калькулятор'!$D$8," ",IF(F474='депозитный калькулятор'!$D$8,SUM($H$23:H474)-SUM($I$23:I473),IF(AND(EOMONTH(F474,0)=F474,MONTH(F474)=12),IF(MOD(YEAR(F473),4)=0,IF(F474-'депозитный калькулятор'!$D$7&lt;366,SUM($H$23:H474),SUM(OFFSET(H474,-365,0):H474)),IF(F474-'депозитный калькулятор'!$D$7&lt;365,SUM($H$23:H474),SUM(OFFSET(H474,-364,0):H474))),0))),IF(AND('депозитный калькулятор'!$G$10="в конце срока",'депозитный калькулятор'!$D$8=F474),SUM($H$23:H474),0))))))))))))))))))</f>
        <v xml:space="preserve"> </v>
      </c>
      <c r="J474" s="59" t="str">
        <f>IF(F474&gt;'депозитный калькулятор'!$D$8," ",IF('депозитный калькулятор'!$G$16="нет",0,IF(AND('депозитный калькулятор'!$G$17="разовая (в конце срока)",F474='депозитный калькулятор'!$D$8),'депозитный калькулятор'!$G$18,IF(AND('депозитный калькулятор'!$G$17="ежемесячная",EOMONTH(F473,0)=F473),'депозитный калькулятор'!$G$18,IF(AND('депозитный калькулятор'!$G$17="ежегодная",DAY(F473)=31,MONTH(F473)=12),'депозитный калькулятор'!$G$18,IF(AND('депозитный калькулятор'!$G$17="ежемесячная в зависимости от остатка",EOMONTH(F473,0)=F473,P473&gt;0),'депозитный калькулятор'!$G$18,IF(AND('депозитный калькулятор'!$G$17="ежегодная в зависимости от остатка",DAY(F473)=31,MONTH(F473)=12,P473&gt;0),'депозитный калькулятор'!$G$18,0)))))))</f>
        <v xml:space="preserve"> </v>
      </c>
      <c r="K474" s="135" t="str">
        <f>IF($F474=" "," ",IFERROR(VLOOKUP($F474,'депозитный калькулятор'!$B$26:$F$70,2,0),0))</f>
        <v xml:space="preserve"> </v>
      </c>
      <c r="L474" s="135" t="str">
        <f>IF($F474=" "," ",IFERROR(VLOOKUP($F474,'депозитный калькулятор'!$B$26:$F$70,3,0),0))</f>
        <v xml:space="preserve"> </v>
      </c>
      <c r="M474" s="135" t="str">
        <f>IF($F474=" "," ",IFERROR(VLOOKUP($F474,'депозитный калькулятор'!$B$26:$F$70,4,0),0))</f>
        <v xml:space="preserve"> </v>
      </c>
      <c r="N474" s="135" t="str">
        <f>IF($F474=" "," ",IFERROR(VLOOKUP($F474,'депозитный калькулятор'!$B$26:$F$70,5,0),0))</f>
        <v xml:space="preserve"> </v>
      </c>
      <c r="O474" s="146" t="str">
        <f>IF(F474&gt;'депозитный калькулятор'!$D$8," ",IF(F474='депозитный калькулятор'!$D$8,IF(AND($F$24='депозитный калькулятор'!$D$8,'депозитный калькулятор'!$G$13="нет"),-G474-IF(I474=" ",0,I474)-IF(AND(OR('депозитный калькулятор'!$G$7="30/365",'депозитный калькулятор'!$G$7="30/360"),'депозитный калькулятор'!$G$10="в начале срока"),I473,0)-L474+M474-N474,-G474-IF(I474=" ",0,I474)-L474+M474-N474),IF('депозитный калькулятор'!$G$13="есть",M474-N474+IF('депозитный калькулятор'!$G$14="есть",0,-L474),-IF(I474=" ",0,I474)-IF(AND(OR('депозитный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срока"),I473,0)+M474-N474+IF('депозитный калькулятор'!$G$14="есть",0,-L474))))</f>
        <v xml:space="preserve"> </v>
      </c>
      <c r="P474" s="147" t="str">
        <f>IF(F474&gt;'депозитный калькулятор'!$D$8," ",IF(EOMONTH(F473,0)=F473,0,IF(G474&gt;='депозитный калькулятор'!$G$19,P473,P473+1)))</f>
        <v xml:space="preserve"> </v>
      </c>
      <c r="Q474" s="138" t="str">
        <f>IF(F474=" "," ",IF(AND(OR('депозитный калькулятор'!$G$7="30/365",'депозитный калькулятор'!$G$7="30/360"),AND(MONTH(F474)=2,EOMONTH(F474,0)=F474)),IF(DAY(F474)=28,3,2),1)*IF(G474&gt;='депозитный калькулятор'!$G$11,IF(AND('депозитный калькулятор'!$G$7="факт/факт",MOD(YEAR(F474),4)=0),G474*'депозитный калькулятор'!$D$11/366,G474*'депозитный калькулятор'!$G$8),0))</f>
        <v xml:space="preserve"> </v>
      </c>
      <c r="R474" s="158"/>
      <c r="S474" s="62" t="str">
        <f t="shared" ca="1" si="37"/>
        <v xml:space="preserve"> </v>
      </c>
      <c r="T474" s="149" t="str">
        <f ca="1">IF(S474=" "," ",IF('депозитный калькулятор'!$G$7="30/360",DAYS360(U473,IF(DAY(U474)=31,U474-1,U474))+IF(AND(MONTH(U474)=2,U474=EOMONTH(U474,0)),30-DAY(EOMONTH(U474,0)))+T473,VLOOKUP(S474,$C$22:$F$1023,2,0)))</f>
        <v xml:space="preserve"> </v>
      </c>
      <c r="U474" s="64" t="str">
        <f t="shared" ca="1" si="35"/>
        <v xml:space="preserve"> </v>
      </c>
      <c r="V474" s="150" t="str">
        <f t="shared" ca="1" si="38"/>
        <v xml:space="preserve"> </v>
      </c>
      <c r="W474" s="62" t="str">
        <f t="shared" ca="1" si="39"/>
        <v xml:space="preserve"> </v>
      </c>
      <c r="X474" s="141" t="str">
        <f ca="1">IF(S474=" "," ",IFERROR(VLOOKUP(U474,$F$23:$N$1023,7)+VLOOKUP(U474,$F$23:$N$1023,9)+IF(AND('депозитный калькулятор'!$G$13="нет",U474&lt;&gt;'депозитный калькулятор'!$D$8),VLOOKUP(U474,$F$23:$N$1023,4),0),0)+IF(U474='депозитный калькулятор'!$D$8,VLOOKUP(U474,$F$23:$N$1023,2)+VLOOKUP(U474,$F$23:$N$1023,4),0))</f>
        <v xml:space="preserve"> </v>
      </c>
      <c r="Y474" s="142" t="str">
        <f ca="1">IF(S474=" "," ",W474/(1+'депозитный калькулятор'!$K$8)^(T474/IF('депозитный калькулятор'!$G$7="30/360",360,365)))</f>
        <v xml:space="preserve"> </v>
      </c>
      <c r="Z474" s="142" t="str">
        <f ca="1">IF(S474=" "," ",X474/(1+'депозитный калькулятор'!$K$8)^(T474/IF('депозитный калькулятор'!$G$7="30/360",360,365)))</f>
        <v xml:space="preserve"> </v>
      </c>
      <c r="AA474" s="151"/>
      <c r="AB474" s="151"/>
      <c r="AC474" s="155"/>
      <c r="AD474" s="155"/>
    </row>
    <row r="475" spans="1:30" s="2" customFormat="1" ht="15.5" x14ac:dyDescent="0.35">
      <c r="A475" s="41" t="str">
        <f>IF(F475=" "," ",IF(OR('депозитный калькулятор'!$G$7="30/365",'депозитный калькулятор'!$G$7="30/360"),IF(AND(MONTH(F475)=2,DAY(F475)=DAY(EOMONTH(F475,0))),30-DAY(EOMONTH(F475,0)),IF(DAY(F475)=31,1," "))," "))</f>
        <v xml:space="preserve"> </v>
      </c>
      <c r="B475" s="130" t="str">
        <f t="shared" si="36"/>
        <v xml:space="preserve"> </v>
      </c>
      <c r="C475" s="130" t="str">
        <f>IF(OR(B475=0,B475=" ")," ",SUM($B$23:B475))</f>
        <v xml:space="preserve"> </v>
      </c>
      <c r="D475" s="62" t="str">
        <f>IF(D474=" "," ",IF(OR(F474='депозитный калькулятор'!$D$8,F474=" ")," ",D474+1))</f>
        <v xml:space="preserve"> </v>
      </c>
      <c r="E475" s="130" t="str">
        <f>IF(OR(F474='депозитный калькулятор'!$D$8,F474=" ")," ",IF(EOMONTH(F474,0)=F474,1,E474+1))</f>
        <v xml:space="preserve"> </v>
      </c>
      <c r="F475" s="64" t="str">
        <f>IF(F474=" "," ",IF(F474='депозитный калькулятор'!$D$8," ",F474+1))</f>
        <v xml:space="preserve"> </v>
      </c>
      <c r="G475" s="145" t="str">
        <f xml:space="preserve"> IF(F475&gt;'депозитный калькулятор'!$D$8," ",IF('депозитный калькулятор'!$G$13="есть",IF('депозитный калькулятор'!$G$14="есть",G474+IF(I474=" ",0,I474)-J475-K475+L475+M475-N475,G474+IF(I474=" ",0,I474)-J475-K475+M475-N475),IF('депозитный калькулятор'!$G$14="есть",G474-J475-K475+L475+M475-N475,G474-J475-K475+M475-N475)))</f>
        <v xml:space="preserve"> </v>
      </c>
      <c r="H475" s="133" t="str">
        <f>IF(F475&gt;'депозитный калькулятор'!$D$8," ",IF(AND(OR('депозитный калькулятор'!$G$7="30/365",'депозитный калькулятор'!$G$7="30/360"),AND(MONTH(F475)=2,EOMONTH(F475,0)=F475)),IF(DAY(F475)=28,3*G475*'депозитный калькулятор'!$G$8,2*G475*'депозитный калькулятор'!$G$8),IF(AND(OR('депозитный калькулятор'!$G$7="30/365",'депозитный калькулятор'!$G$7="30/360"),DAY(F475)=31)," ",IF(AND('депозитный калькулятор'!$G$7="факт/факт",MOD(YEAR(F475),4)=0),G475*'депозитный калькулятор'!$D$11/366,G475*'депозитный калькулятор'!$G$8))))</f>
        <v xml:space="preserve"> </v>
      </c>
      <c r="I475" s="134" t="str">
        <f ca="1">IF(F475=" "," ",IF('депозитный калькулятор'!$G$10="ежедневное",H475,IF(AND('депозитный калькулятор'!$G$10="еженедельное",WEEKDAY(F475,2)=7),SUM(OFFSET(H475,-6,0):H475),IF(AND('депозитный калькулятор'!$G$10="еженедельное",F475='депозитный калькулятор'!$D$8),SUM($H$23:H475)-SUM($I$23:I474),IF(AND('депозитный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недели",WEEKDAY(F475,2)=7),MIN(OFFSET(H475,-6,0):H475)*(COUNTIF(OFFSET(H475,-6,0):H475,"&gt;0")+SUMIF(OFFSET(A475,-WEEKDAY(F475,2),0):A475,"=2",OFFSET(A475,-WEEKDAY(F475,2),0):A475)),IF(AND('депозитный калькулятор'!$G$10="еженедельное, на минимальную сумму зафиксированную в течение недели",F475='депозитный калькулятор'!$D$8,WEEKDAY(F475,2)&lt;&gt;7),MIN(OFFSET(H475,-WEEKDAY(F475,2),0):H475)*(COUNTIF(OFFSET(H475,-WEEKDAY(F475,2)+1,0):H475,"&gt;0")+SUM(OFFSET(A475,-WEEKDAY(F475,2),0):A475)),IF(AND('депозитный калькулятор'!$G$10="ежемесячное (в конце месяца)",F475='депозитный калькулятор'!$D$8,EOMONTH(F475,0)&lt;&gt;F475),IF('депозитный калькулятор'!$F$1=1,$H$24,SUM($H$23:H475)-SUM($I$23:I474)),IF(AND('депозитный калькулятор'!$G$10="ежемесячное (в конце месяца)",EOMONTH(F475,0)=F475),SUM($H$23:H475)-SUM($I$23:I474),IF(AND('депозитный калькулятор'!$G$10="ежемесячное (по дням открытия вклада)",F475='депозитный калькулятор'!$D$8,DAY('депозитный калькулятор'!$D$7)&lt;&gt;DAY(F475)),IF('депозитный калькулятор'!$F$1=1,$H$24,SUM($H$23:H475)-SUM($I$23:I474)),IF(AND('депозитный калькулятор'!$G$10="ежемесячное (по дням открытия вклада)",DAY('депозитный калькулятор'!$D$7)=DAY(F475)),SUM($H$23:H475)-SUM($I$23:I474),IF(AND('депозитный калькулятор'!$G$10="ежемесячное, на минимальную сумму зафиксированную в течение месяца",F475='депозитный калькулятор'!$D$8,EOMONTH(F475,0)&lt;&gt;F475),IF('депозитный калькулятор'!$F$1=1,$H$24,IF(AND(OR('депозитный калькулятор'!$G$7="30/365",'депозитный калькулятор'!$G$7="30/360"),DAY(F475)=31),0,MIN(OFFSET(H475,-E475+1,0):H475)*(E475+SUMIF(OFFSET(A475,-E475+1,0):A475,"=2",OFFSET(A475,-E475+1,0):A475)))),IF(AND('депозитный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калькулятор'!$G$7="30/360"),DAY(EOMONTH(F475,0))=31),EOMONTH(F475,0)-1=F475,EOMONTH(F475,0)=F475)),IF(IF(AND(OR('депозитный калькулятор'!$G$7="30/365",'депозитный калькулятор'!$G$7="30/360"),DAY(EOMONTH($F$23,0))=31),F475=EOMONTH($F$23,0)-1,F475=EOMONTH($F$23,0)),MIN(OFFSET(H475,-(DAY(F475)-DAY($F$23)),0):H475)*E475,MIN(OFFSET(H475,-(DAY(F475)-1),0):H475)*IF(AND(OR('депозитный калькулятор'!$G$7="30/365",'депозитный калькулятор'!$G$7="30/360"),DAY(F475)&lt;30),30,DAY(F475))),IF(AND('депозитный калькулятор'!$G$10="ежемесячное, на средний остаток в течение месяца, при условии что остаток больше чем ограничение",F475='депозитный калькулятор'!$D$8,EOMONTH(F475,0)&lt;&gt;F475),IF('депозитный калькулятор'!$F$1=1,$H$24,SUM(OFFSET(Q475,-E475+1,0):Q475)),IF(AND('депозитный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калькулятор'!$G$7="30/360"),DAY(EOMONTH(F475,0))=31),EOMONTH(F475,0)-1=F475,EOMONTH(F475,0)=F475)),IF(IF(AND(OR('депозитный калькулятор'!$G$7="30/365",'депозитный калькулятор'!$G$7="30/360"),DAY(EOMONTH($F$24,0))=31),F475=EOMONTH($F$24,0)-1,F475=EOMONTH($F$24,0)),SUM(OFFSET(Q475,-E475+1,0):Q475),SUM(OFFSET(Q475,-E475+1,0):Q475)),IF('депозитный калькулятор'!$G$10="ежеквартальное",IF(F475&gt;'депозитный калькулятор'!$D$8," ",IF(AND(EOMONTH(F475,0)=F475,OR(MONTH(F475)=3,MONTH(F475)=6,MONTH(F475)=9,MONTH(F475)=12)),IF(EDATE(F475,-3)&lt;'депозитный калькулятор'!$D$7,SUM($H$23:H475),IF(MOD(YEAR(F475),4)=0,IF(AND(EOMONTH(F475,0)=F475,OR(MONTH(F475)=3,MONTH(F475)=6)),SUM(OFFSET(H475,-90,0):H475),IF(AND(EOMONTH(F475,0)=F475,OR(MONTH(F475)=9,MONTH(F475)=12)),SUM(OFFSET(H475,-91,0):H475))),IF(AND(EOMONTH(F475,0)=F475,MONTH(F475)=3),SUM(OFFSET(H475,-89,0):H475),IF(AND(EOMONTH(F475,0)=F475,MONTH(F475)=6),SUM(OFFSET(H475,-90,0):H475),IF(AND(EOMONTH(F475,0)=F475,OR(MONTH(F475)=9,MONTH(F475)=12)),SUM(OFFSET(H475,-91,0):H475)))))),IF(F475='депозитный калькулятор'!$D$8,SUM($H$23:H475)-SUM($I$23:I474),0))),IF('депозитный калькулятор'!$G$10="ежегодное",IF(F475&gt;'депозитный калькулятор'!$D$8," ",IF(F475='депозитный калькулятор'!$D$8,SUM($H$23:H475)-SUM($I$23:I474),IF(AND(EOMONTH(F475,0)=F475,MONTH(F475)=12),IF(MOD(YEAR(F474),4)=0,IF(F475-'депозитный калькулятор'!$D$7&lt;366,SUM($H$23:H475),SUM(OFFSET(H475,-365,0):H475)),IF(F475-'депозитный калькулятор'!$D$7&lt;365,SUM($H$23:H475),SUM(OFFSET(H475,-364,0):H475))),0))),IF(AND('депозитный калькулятор'!$G$10="в конце срока",'депозитный калькулятор'!$D$8=F475),SUM($H$23:H475),0))))))))))))))))))</f>
        <v xml:space="preserve"> </v>
      </c>
      <c r="J475" s="59" t="str">
        <f>IF(F475&gt;'депозитный калькулятор'!$D$8," ",IF('депозитный калькулятор'!$G$16="нет",0,IF(AND('депозитный калькулятор'!$G$17="разовая (в конце срока)",F475='депозитный калькулятор'!$D$8),'депозитный калькулятор'!$G$18,IF(AND('депозитный калькулятор'!$G$17="ежемесячная",EOMONTH(F474,0)=F474),'депозитный калькулятор'!$G$18,IF(AND('депозитный калькулятор'!$G$17="ежегодная",DAY(F474)=31,MONTH(F474)=12),'депозитный калькулятор'!$G$18,IF(AND('депозитный калькулятор'!$G$17="ежемесячная в зависимости от остатка",EOMONTH(F474,0)=F474,P474&gt;0),'депозитный калькулятор'!$G$18,IF(AND('депозитный калькулятор'!$G$17="ежегодная в зависимости от остатка",DAY(F474)=31,MONTH(F474)=12,P474&gt;0),'депозитный калькулятор'!$G$18,0)))))))</f>
        <v xml:space="preserve"> </v>
      </c>
      <c r="K475" s="135" t="str">
        <f>IF($F475=" "," ",IFERROR(VLOOKUP($F475,'депозитный калькулятор'!$B$26:$F$70,2,0),0))</f>
        <v xml:space="preserve"> </v>
      </c>
      <c r="L475" s="135" t="str">
        <f>IF($F475=" "," ",IFERROR(VLOOKUP($F475,'депозитный калькулятор'!$B$26:$F$70,3,0),0))</f>
        <v xml:space="preserve"> </v>
      </c>
      <c r="M475" s="135" t="str">
        <f>IF($F475=" "," ",IFERROR(VLOOKUP($F475,'депозитный калькулятор'!$B$26:$F$70,4,0),0))</f>
        <v xml:space="preserve"> </v>
      </c>
      <c r="N475" s="135" t="str">
        <f>IF($F475=" "," ",IFERROR(VLOOKUP($F475,'депозитный калькулятор'!$B$26:$F$70,5,0),0))</f>
        <v xml:space="preserve"> </v>
      </c>
      <c r="O475" s="146" t="str">
        <f>IF(F475&gt;'депозитный калькулятор'!$D$8," ",IF(F475='депозитный калькулятор'!$D$8,IF(AND($F$24='депозитный калькулятор'!$D$8,'депозитный калькулятор'!$G$13="нет"),-G475-IF(I475=" ",0,I475)-IF(AND(OR('депозитный калькулятор'!$G$7="30/365",'депозитный калькулятор'!$G$7="30/360"),'депозитный калькулятор'!$G$10="в начале срока"),I474,0)-L475+M475-N475,-G475-IF(I475=" ",0,I475)-L475+M475-N475),IF('депозитный калькулятор'!$G$13="есть",M475-N475+IF('депозитный калькулятор'!$G$14="есть",0,-L475),-IF(I475=" ",0,I475)-IF(AND(OR('депозитный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срока"),I474,0)+M475-N475+IF('депозитный калькулятор'!$G$14="есть",0,-L475))))</f>
        <v xml:space="preserve"> </v>
      </c>
      <c r="P475" s="147" t="str">
        <f>IF(F475&gt;'депозитный калькулятор'!$D$8," ",IF(EOMONTH(F474,0)=F474,0,IF(G475&gt;='депозитный калькулятор'!$G$19,P474,P474+1)))</f>
        <v xml:space="preserve"> </v>
      </c>
      <c r="Q475" s="138" t="str">
        <f>IF(F475=" "," ",IF(AND(OR('депозитный калькулятор'!$G$7="30/365",'депозитный калькулятор'!$G$7="30/360"),AND(MONTH(F475)=2,EOMONTH(F475,0)=F475)),IF(DAY(F475)=28,3,2),1)*IF(G475&gt;='депозитный калькулятор'!$G$11,IF(AND('депозитный калькулятор'!$G$7="факт/факт",MOD(YEAR(F475),4)=0),G475*'депозитный калькулятор'!$D$11/366,G475*'депозитный калькулятор'!$G$8),0))</f>
        <v xml:space="preserve"> </v>
      </c>
      <c r="R475" s="158"/>
      <c r="S475" s="62" t="str">
        <f t="shared" ca="1" si="37"/>
        <v xml:space="preserve"> </v>
      </c>
      <c r="T475" s="149" t="str">
        <f ca="1">IF(S475=" "," ",IF('депозитный калькулятор'!$G$7="30/360",DAYS360(U474,IF(DAY(U475)=31,U475-1,U475))+IF(AND(MONTH(U475)=2,U475=EOMONTH(U475,0)),30-DAY(EOMONTH(U475,0)))+T474,VLOOKUP(S475,$C$22:$F$1023,2,0)))</f>
        <v xml:space="preserve"> </v>
      </c>
      <c r="U475" s="64" t="str">
        <f t="shared" ca="1" si="35"/>
        <v xml:space="preserve"> </v>
      </c>
      <c r="V475" s="150" t="str">
        <f t="shared" ca="1" si="38"/>
        <v xml:space="preserve"> </v>
      </c>
      <c r="W475" s="62" t="str">
        <f t="shared" ca="1" si="39"/>
        <v xml:space="preserve"> </v>
      </c>
      <c r="X475" s="141" t="str">
        <f ca="1">IF(S475=" "," ",IFERROR(VLOOKUP(U475,$F$23:$N$1023,7)+VLOOKUP(U475,$F$23:$N$1023,9)+IF(AND('депозитный калькулятор'!$G$13="нет",U475&lt;&gt;'депозитный калькулятор'!$D$8),VLOOKUP(U475,$F$23:$N$1023,4),0),0)+IF(U475='депозитный калькулятор'!$D$8,VLOOKUP(U475,$F$23:$N$1023,2)+VLOOKUP(U475,$F$23:$N$1023,4),0))</f>
        <v xml:space="preserve"> </v>
      </c>
      <c r="Y475" s="142" t="str">
        <f ca="1">IF(S475=" "," ",W475/(1+'депозитный калькулятор'!$K$8)^(T475/IF('депозитный калькулятор'!$G$7="30/360",360,365)))</f>
        <v xml:space="preserve"> </v>
      </c>
      <c r="Z475" s="142" t="str">
        <f ca="1">IF(S475=" "," ",X475/(1+'депозитный калькулятор'!$K$8)^(T475/IF('депозитный калькулятор'!$G$7="30/360",360,365)))</f>
        <v xml:space="preserve"> </v>
      </c>
      <c r="AA475" s="151"/>
      <c r="AB475" s="151"/>
      <c r="AC475" s="155"/>
      <c r="AD475" s="155"/>
    </row>
    <row r="476" spans="1:30" s="2" customFormat="1" ht="15.5" x14ac:dyDescent="0.35">
      <c r="A476" s="41" t="str">
        <f>IF(F476=" "," ",IF(OR('депозитный калькулятор'!$G$7="30/365",'депозитный калькулятор'!$G$7="30/360"),IF(AND(MONTH(F476)=2,DAY(F476)=DAY(EOMONTH(F476,0))),30-DAY(EOMONTH(F476,0)),IF(DAY(F476)=31,1," "))," "))</f>
        <v xml:space="preserve"> </v>
      </c>
      <c r="B476" s="130" t="str">
        <f t="shared" si="36"/>
        <v xml:space="preserve"> </v>
      </c>
      <c r="C476" s="130" t="str">
        <f>IF(OR(B476=0,B476=" ")," ",SUM($B$23:B476))</f>
        <v xml:space="preserve"> </v>
      </c>
      <c r="D476" s="62" t="str">
        <f>IF(D475=" "," ",IF(OR(F475='депозитный калькулятор'!$D$8,F475=" ")," ",D475+1))</f>
        <v xml:space="preserve"> </v>
      </c>
      <c r="E476" s="130" t="str">
        <f>IF(OR(F475='депозитный калькулятор'!$D$8,F475=" ")," ",IF(EOMONTH(F475,0)=F475,1,E475+1))</f>
        <v xml:space="preserve"> </v>
      </c>
      <c r="F476" s="64" t="str">
        <f>IF(F475=" "," ",IF(F475='депозитный калькулятор'!$D$8," ",F475+1))</f>
        <v xml:space="preserve"> </v>
      </c>
      <c r="G476" s="145" t="str">
        <f xml:space="preserve"> IF(F476&gt;'депозитный калькулятор'!$D$8," ",IF('депозитный калькулятор'!$G$13="есть",IF('депозитный калькулятор'!$G$14="есть",G475+IF(I475=" ",0,I475)-J476-K476+L476+M476-N476,G475+IF(I475=" ",0,I475)-J476-K476+M476-N476),IF('депозитный калькулятор'!$G$14="есть",G475-J476-K476+L476+M476-N476,G475-J476-K476+M476-N476)))</f>
        <v xml:space="preserve"> </v>
      </c>
      <c r="H476" s="133" t="str">
        <f>IF(F476&gt;'депозитный калькулятор'!$D$8," ",IF(AND(OR('депозитный калькулятор'!$G$7="30/365",'депозитный калькулятор'!$G$7="30/360"),AND(MONTH(F476)=2,EOMONTH(F476,0)=F476)),IF(DAY(F476)=28,3*G476*'депозитный калькулятор'!$G$8,2*G476*'депозитный калькулятор'!$G$8),IF(AND(OR('депозитный калькулятор'!$G$7="30/365",'депозитный калькулятор'!$G$7="30/360"),DAY(F476)=31)," ",IF(AND('депозитный калькулятор'!$G$7="факт/факт",MOD(YEAR(F476),4)=0),G476*'депозитный калькулятор'!$D$11/366,G476*'депозитный калькулятор'!$G$8))))</f>
        <v xml:space="preserve"> </v>
      </c>
      <c r="I476" s="134" t="str">
        <f ca="1">IF(F476=" "," ",IF('депозитный калькулятор'!$G$10="ежедневное",H476,IF(AND('депозитный калькулятор'!$G$10="еженедельное",WEEKDAY(F476,2)=7),SUM(OFFSET(H476,-6,0):H476),IF(AND('депозитный калькулятор'!$G$10="еженедельное",F476='депозитный калькулятор'!$D$8),SUM($H$23:H476)-SUM($I$23:I475),IF(AND('депозитный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недели",WEEKDAY(F476,2)=7),MIN(OFFSET(H476,-6,0):H476)*(COUNTIF(OFFSET(H476,-6,0):H476,"&gt;0")+SUMIF(OFFSET(A476,-WEEKDAY(F476,2),0):A476,"=2",OFFSET(A476,-WEEKDAY(F476,2),0):A476)),IF(AND('депозитный калькулятор'!$G$10="еженедельное, на минимальную сумму зафиксированную в течение недели",F476='депозитный калькулятор'!$D$8,WEEKDAY(F476,2)&lt;&gt;7),MIN(OFFSET(H476,-WEEKDAY(F476,2),0):H476)*(COUNTIF(OFFSET(H476,-WEEKDAY(F476,2)+1,0):H476,"&gt;0")+SUM(OFFSET(A476,-WEEKDAY(F476,2),0):A476)),IF(AND('депозитный калькулятор'!$G$10="ежемесячное (в конце месяца)",F476='депозитный калькулятор'!$D$8,EOMONTH(F476,0)&lt;&gt;F476),IF('депозитный калькулятор'!$F$1=1,$H$24,SUM($H$23:H476)-SUM($I$23:I475)),IF(AND('депозитный калькулятор'!$G$10="ежемесячное (в конце месяца)",EOMONTH(F476,0)=F476),SUM($H$23:H476)-SUM($I$23:I475),IF(AND('депозитный калькулятор'!$G$10="ежемесячное (по дням открытия вклада)",F476='депозитный калькулятор'!$D$8,DAY('депозитный калькулятор'!$D$7)&lt;&gt;DAY(F476)),IF('депозитный калькулятор'!$F$1=1,$H$24,SUM($H$23:H476)-SUM($I$23:I475)),IF(AND('депозитный калькулятор'!$G$10="ежемесячное (по дням открытия вклада)",DAY('депозитный калькулятор'!$D$7)=DAY(F476)),SUM($H$23:H476)-SUM($I$23:I475),IF(AND('депозитный калькулятор'!$G$10="ежемесячное, на минимальную сумму зафиксированную в течение месяца",F476='депозитный калькулятор'!$D$8,EOMONTH(F476,0)&lt;&gt;F476),IF('депозитный калькулятор'!$F$1=1,$H$24,IF(AND(OR('депозитный калькулятор'!$G$7="30/365",'депозитный калькулятор'!$G$7="30/360"),DAY(F476)=31),0,MIN(OFFSET(H476,-E476+1,0):H476)*(E476+SUMIF(OFFSET(A476,-E476+1,0):A476,"=2",OFFSET(A476,-E476+1,0):A476)))),IF(AND('депозитный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калькулятор'!$G$7="30/360"),DAY(EOMONTH(F476,0))=31),EOMONTH(F476,0)-1=F476,EOMONTH(F476,0)=F476)),IF(IF(AND(OR('депозитный калькулятор'!$G$7="30/365",'депозитный калькулятор'!$G$7="30/360"),DAY(EOMONTH($F$23,0))=31),F476=EOMONTH($F$23,0)-1,F476=EOMONTH($F$23,0)),MIN(OFFSET(H476,-(DAY(F476)-DAY($F$23)),0):H476)*E476,MIN(OFFSET(H476,-(DAY(F476)-1),0):H476)*IF(AND(OR('депозитный калькулятор'!$G$7="30/365",'депозитный калькулятор'!$G$7="30/360"),DAY(F476)&lt;30),30,DAY(F476))),IF(AND('депозитный калькулятор'!$G$10="ежемесячное, на средний остаток в течение месяца, при условии что остаток больше чем ограничение",F476='депозитный калькулятор'!$D$8,EOMONTH(F476,0)&lt;&gt;F476),IF('депозитный калькулятор'!$F$1=1,$H$24,SUM(OFFSET(Q476,-E476+1,0):Q476)),IF(AND('депозитный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калькулятор'!$G$7="30/360"),DAY(EOMONTH(F476,0))=31),EOMONTH(F476,0)-1=F476,EOMONTH(F476,0)=F476)),IF(IF(AND(OR('депозитный калькулятор'!$G$7="30/365",'депозитный калькулятор'!$G$7="30/360"),DAY(EOMONTH($F$24,0))=31),F476=EOMONTH($F$24,0)-1,F476=EOMONTH($F$24,0)),SUM(OFFSET(Q476,-E476+1,0):Q476),SUM(OFFSET(Q476,-E476+1,0):Q476)),IF('депозитный калькулятор'!$G$10="ежеквартальное",IF(F476&gt;'депозитный калькулятор'!$D$8," ",IF(AND(EOMONTH(F476,0)=F476,OR(MONTH(F476)=3,MONTH(F476)=6,MONTH(F476)=9,MONTH(F476)=12)),IF(EDATE(F476,-3)&lt;'депозитный калькулятор'!$D$7,SUM($H$23:H476),IF(MOD(YEAR(F476),4)=0,IF(AND(EOMONTH(F476,0)=F476,OR(MONTH(F476)=3,MONTH(F476)=6)),SUM(OFFSET(H476,-90,0):H476),IF(AND(EOMONTH(F476,0)=F476,OR(MONTH(F476)=9,MONTH(F476)=12)),SUM(OFFSET(H476,-91,0):H476))),IF(AND(EOMONTH(F476,0)=F476,MONTH(F476)=3),SUM(OFFSET(H476,-89,0):H476),IF(AND(EOMONTH(F476,0)=F476,MONTH(F476)=6),SUM(OFFSET(H476,-90,0):H476),IF(AND(EOMONTH(F476,0)=F476,OR(MONTH(F476)=9,MONTH(F476)=12)),SUM(OFFSET(H476,-91,0):H476)))))),IF(F476='депозитный калькулятор'!$D$8,SUM($H$23:H476)-SUM($I$23:I475),0))),IF('депозитный калькулятор'!$G$10="ежегодное",IF(F476&gt;'депозитный калькулятор'!$D$8," ",IF(F476='депозитный калькулятор'!$D$8,SUM($H$23:H476)-SUM($I$23:I475),IF(AND(EOMONTH(F476,0)=F476,MONTH(F476)=12),IF(MOD(YEAR(F475),4)=0,IF(F476-'депозитный калькулятор'!$D$7&lt;366,SUM($H$23:H476),SUM(OFFSET(H476,-365,0):H476)),IF(F476-'депозитный калькулятор'!$D$7&lt;365,SUM($H$23:H476),SUM(OFFSET(H476,-364,0):H476))),0))),IF(AND('депозитный калькулятор'!$G$10="в конце срока",'депозитный калькулятор'!$D$8=F476),SUM($H$23:H476),0))))))))))))))))))</f>
        <v xml:space="preserve"> </v>
      </c>
      <c r="J476" s="59" t="str">
        <f>IF(F476&gt;'депозитный калькулятор'!$D$8," ",IF('депозитный калькулятор'!$G$16="нет",0,IF(AND('депозитный калькулятор'!$G$17="разовая (в конце срока)",F476='депозитный калькулятор'!$D$8),'депозитный калькулятор'!$G$18,IF(AND('депозитный калькулятор'!$G$17="ежемесячная",EOMONTH(F475,0)=F475),'депозитный калькулятор'!$G$18,IF(AND('депозитный калькулятор'!$G$17="ежегодная",DAY(F475)=31,MONTH(F475)=12),'депозитный калькулятор'!$G$18,IF(AND('депозитный калькулятор'!$G$17="ежемесячная в зависимости от остатка",EOMONTH(F475,0)=F475,P475&gt;0),'депозитный калькулятор'!$G$18,IF(AND('депозитный калькулятор'!$G$17="ежегодная в зависимости от остатка",DAY(F475)=31,MONTH(F475)=12,P475&gt;0),'депозитный калькулятор'!$G$18,0)))))))</f>
        <v xml:space="preserve"> </v>
      </c>
      <c r="K476" s="135" t="str">
        <f>IF($F476=" "," ",IFERROR(VLOOKUP($F476,'депозитный калькулятор'!$B$26:$F$70,2,0),0))</f>
        <v xml:space="preserve"> </v>
      </c>
      <c r="L476" s="135" t="str">
        <f>IF($F476=" "," ",IFERROR(VLOOKUP($F476,'депозитный калькулятор'!$B$26:$F$70,3,0),0))</f>
        <v xml:space="preserve"> </v>
      </c>
      <c r="M476" s="135" t="str">
        <f>IF($F476=" "," ",IFERROR(VLOOKUP($F476,'депозитный калькулятор'!$B$26:$F$70,4,0),0))</f>
        <v xml:space="preserve"> </v>
      </c>
      <c r="N476" s="135" t="str">
        <f>IF($F476=" "," ",IFERROR(VLOOKUP($F476,'депозитный калькулятор'!$B$26:$F$70,5,0),0))</f>
        <v xml:space="preserve"> </v>
      </c>
      <c r="O476" s="146" t="str">
        <f>IF(F476&gt;'депозитный калькулятор'!$D$8," ",IF(F476='депозитный калькулятор'!$D$8,IF(AND($F$24='депозитный калькулятор'!$D$8,'депозитный калькулятор'!$G$13="нет"),-G476-IF(I476=" ",0,I476)-IF(AND(OR('депозитный калькулятор'!$G$7="30/365",'депозитный калькулятор'!$G$7="30/360"),'депозитный калькулятор'!$G$10="в начале срока"),I475,0)-L476+M476-N476,-G476-IF(I476=" ",0,I476)-L476+M476-N476),IF('депозитный калькулятор'!$G$13="есть",M476-N476+IF('депозитный калькулятор'!$G$14="есть",0,-L476),-IF(I476=" ",0,I476)-IF(AND(OR('депозитный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срока"),I475,0)+M476-N476+IF('депозитный калькулятор'!$G$14="есть",0,-L476))))</f>
        <v xml:space="preserve"> </v>
      </c>
      <c r="P476" s="147" t="str">
        <f>IF(F476&gt;'депозитный калькулятор'!$D$8," ",IF(EOMONTH(F475,0)=F475,0,IF(G476&gt;='депозитный калькулятор'!$G$19,P475,P475+1)))</f>
        <v xml:space="preserve"> </v>
      </c>
      <c r="Q476" s="138" t="str">
        <f>IF(F476=" "," ",IF(AND(OR('депозитный калькулятор'!$G$7="30/365",'депозитный калькулятор'!$G$7="30/360"),AND(MONTH(F476)=2,EOMONTH(F476,0)=F476)),IF(DAY(F476)=28,3,2),1)*IF(G476&gt;='депозитный калькулятор'!$G$11,IF(AND('депозитный калькулятор'!$G$7="факт/факт",MOD(YEAR(F476),4)=0),G476*'депозитный калькулятор'!$D$11/366,G476*'депозитный калькулятор'!$G$8),0))</f>
        <v xml:space="preserve"> </v>
      </c>
      <c r="R476" s="158"/>
      <c r="S476" s="62" t="str">
        <f t="shared" ca="1" si="37"/>
        <v xml:space="preserve"> </v>
      </c>
      <c r="T476" s="149" t="str">
        <f ca="1">IF(S476=" "," ",IF('депозитный калькулятор'!$G$7="30/360",DAYS360(U475,IF(DAY(U476)=31,U476-1,U476))+IF(AND(MONTH(U476)=2,U476=EOMONTH(U476,0)),30-DAY(EOMONTH(U476,0)))+T475,VLOOKUP(S476,$C$22:$F$1023,2,0)))</f>
        <v xml:space="preserve"> </v>
      </c>
      <c r="U476" s="64" t="str">
        <f t="shared" ca="1" si="35"/>
        <v xml:space="preserve"> </v>
      </c>
      <c r="V476" s="150" t="str">
        <f t="shared" ca="1" si="38"/>
        <v xml:space="preserve"> </v>
      </c>
      <c r="W476" s="62" t="str">
        <f t="shared" ca="1" si="39"/>
        <v xml:space="preserve"> </v>
      </c>
      <c r="X476" s="141" t="str">
        <f ca="1">IF(S476=" "," ",IFERROR(VLOOKUP(U476,$F$23:$N$1023,7)+VLOOKUP(U476,$F$23:$N$1023,9)+IF(AND('депозитный калькулятор'!$G$13="нет",U476&lt;&gt;'депозитный калькулятор'!$D$8),VLOOKUP(U476,$F$23:$N$1023,4),0),0)+IF(U476='депозитный калькулятор'!$D$8,VLOOKUP(U476,$F$23:$N$1023,2)+VLOOKUP(U476,$F$23:$N$1023,4),0))</f>
        <v xml:space="preserve"> </v>
      </c>
      <c r="Y476" s="142" t="str">
        <f ca="1">IF(S476=" "," ",W476/(1+'депозитный калькулятор'!$K$8)^(T476/IF('депозитный калькулятор'!$G$7="30/360",360,365)))</f>
        <v xml:space="preserve"> </v>
      </c>
      <c r="Z476" s="142" t="str">
        <f ca="1">IF(S476=" "," ",X476/(1+'депозитный калькулятор'!$K$8)^(T476/IF('депозитный калькулятор'!$G$7="30/360",360,365)))</f>
        <v xml:space="preserve"> </v>
      </c>
      <c r="AA476" s="151"/>
      <c r="AB476" s="151"/>
      <c r="AC476" s="155"/>
      <c r="AD476" s="155"/>
    </row>
    <row r="477" spans="1:30" s="2" customFormat="1" ht="15.5" x14ac:dyDescent="0.35">
      <c r="A477" s="41" t="str">
        <f>IF(F477=" "," ",IF(OR('депозитный калькулятор'!$G$7="30/365",'депозитный калькулятор'!$G$7="30/360"),IF(AND(MONTH(F477)=2,DAY(F477)=DAY(EOMONTH(F477,0))),30-DAY(EOMONTH(F477,0)),IF(DAY(F477)=31,1," "))," "))</f>
        <v xml:space="preserve"> </v>
      </c>
      <c r="B477" s="130" t="str">
        <f t="shared" si="36"/>
        <v xml:space="preserve"> </v>
      </c>
      <c r="C477" s="130" t="str">
        <f>IF(OR(B477=0,B477=" ")," ",SUM($B$23:B477))</f>
        <v xml:space="preserve"> </v>
      </c>
      <c r="D477" s="62" t="str">
        <f>IF(D476=" "," ",IF(OR(F476='депозитный калькулятор'!$D$8,F476=" ")," ",D476+1))</f>
        <v xml:space="preserve"> </v>
      </c>
      <c r="E477" s="130" t="str">
        <f>IF(OR(F476='депозитный калькулятор'!$D$8,F476=" ")," ",IF(EOMONTH(F476,0)=F476,1,E476+1))</f>
        <v xml:space="preserve"> </v>
      </c>
      <c r="F477" s="64" t="str">
        <f>IF(F476=" "," ",IF(F476='депозитный калькулятор'!$D$8," ",F476+1))</f>
        <v xml:space="preserve"> </v>
      </c>
      <c r="G477" s="145" t="str">
        <f xml:space="preserve"> IF(F477&gt;'депозитный калькулятор'!$D$8," ",IF('депозитный калькулятор'!$G$13="есть",IF('депозитный калькулятор'!$G$14="есть",G476+IF(I476=" ",0,I476)-J477-K477+L477+M477-N477,G476+IF(I476=" ",0,I476)-J477-K477+M477-N477),IF('депозитный калькулятор'!$G$14="есть",G476-J477-K477+L477+M477-N477,G476-J477-K477+M477-N477)))</f>
        <v xml:space="preserve"> </v>
      </c>
      <c r="H477" s="133" t="str">
        <f>IF(F477&gt;'депозитный калькулятор'!$D$8," ",IF(AND(OR('депозитный калькулятор'!$G$7="30/365",'депозитный калькулятор'!$G$7="30/360"),AND(MONTH(F477)=2,EOMONTH(F477,0)=F477)),IF(DAY(F477)=28,3*G477*'депозитный калькулятор'!$G$8,2*G477*'депозитный калькулятор'!$G$8),IF(AND(OR('депозитный калькулятор'!$G$7="30/365",'депозитный калькулятор'!$G$7="30/360"),DAY(F477)=31)," ",IF(AND('депозитный калькулятор'!$G$7="факт/факт",MOD(YEAR(F477),4)=0),G477*'депозитный калькулятор'!$D$11/366,G477*'депозитный калькулятор'!$G$8))))</f>
        <v xml:space="preserve"> </v>
      </c>
      <c r="I477" s="134" t="str">
        <f ca="1">IF(F477=" "," ",IF('депозитный калькулятор'!$G$10="ежедневное",H477,IF(AND('депозитный калькулятор'!$G$10="еженедельное",WEEKDAY(F477,2)=7),SUM(OFFSET(H477,-6,0):H477),IF(AND('депозитный калькулятор'!$G$10="еженедельное",F477='депозитный калькулятор'!$D$8),SUM($H$23:H477)-SUM($I$23:I476),IF(AND('депозитный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недели",WEEKDAY(F477,2)=7),MIN(OFFSET(H477,-6,0):H477)*(COUNTIF(OFFSET(H477,-6,0):H477,"&gt;0")+SUMIF(OFFSET(A477,-WEEKDAY(F477,2),0):A477,"=2",OFFSET(A477,-WEEKDAY(F477,2),0):A477)),IF(AND('депозитный калькулятор'!$G$10="еженедельное, на минимальную сумму зафиксированную в течение недели",F477='депозитный калькулятор'!$D$8,WEEKDAY(F477,2)&lt;&gt;7),MIN(OFFSET(H477,-WEEKDAY(F477,2),0):H477)*(COUNTIF(OFFSET(H477,-WEEKDAY(F477,2)+1,0):H477,"&gt;0")+SUM(OFFSET(A477,-WEEKDAY(F477,2),0):A477)),IF(AND('депозитный калькулятор'!$G$10="ежемесячное (в конце месяца)",F477='депозитный калькулятор'!$D$8,EOMONTH(F477,0)&lt;&gt;F477),IF('депозитный калькулятор'!$F$1=1,$H$24,SUM($H$23:H477)-SUM($I$23:I476)),IF(AND('депозитный калькулятор'!$G$10="ежемесячное (в конце месяца)",EOMONTH(F477,0)=F477),SUM($H$23:H477)-SUM($I$23:I476),IF(AND('депозитный калькулятор'!$G$10="ежемесячное (по дням открытия вклада)",F477='депозитный калькулятор'!$D$8,DAY('депозитный калькулятор'!$D$7)&lt;&gt;DAY(F477)),IF('депозитный калькулятор'!$F$1=1,$H$24,SUM($H$23:H477)-SUM($I$23:I476)),IF(AND('депозитный калькулятор'!$G$10="ежемесячное (по дням открытия вклада)",DAY('депозитный калькулятор'!$D$7)=DAY(F477)),SUM($H$23:H477)-SUM($I$23:I476),IF(AND('депозитный калькулятор'!$G$10="ежемесячное, на минимальную сумму зафиксированную в течение месяца",F477='депозитный калькулятор'!$D$8,EOMONTH(F477,0)&lt;&gt;F477),IF('депозитный калькулятор'!$F$1=1,$H$24,IF(AND(OR('депозитный калькулятор'!$G$7="30/365",'депозитный калькулятор'!$G$7="30/360"),DAY(F477)=31),0,MIN(OFFSET(H477,-E477+1,0):H477)*(E477+SUMIF(OFFSET(A477,-E477+1,0):A477,"=2",OFFSET(A477,-E477+1,0):A477)))),IF(AND('депозитный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калькулятор'!$G$7="30/360"),DAY(EOMONTH(F477,0))=31),EOMONTH(F477,0)-1=F477,EOMONTH(F477,0)=F477)),IF(IF(AND(OR('депозитный калькулятор'!$G$7="30/365",'депозитный калькулятор'!$G$7="30/360"),DAY(EOMONTH($F$23,0))=31),F477=EOMONTH($F$23,0)-1,F477=EOMONTH($F$23,0)),MIN(OFFSET(H477,-(DAY(F477)-DAY($F$23)),0):H477)*E477,MIN(OFFSET(H477,-(DAY(F477)-1),0):H477)*IF(AND(OR('депозитный калькулятор'!$G$7="30/365",'депозитный калькулятор'!$G$7="30/360"),DAY(F477)&lt;30),30,DAY(F477))),IF(AND('депозитный калькулятор'!$G$10="ежемесячное, на средний остаток в течение месяца, при условии что остаток больше чем ограничение",F477='депозитный калькулятор'!$D$8,EOMONTH(F477,0)&lt;&gt;F477),IF('депозитный калькулятор'!$F$1=1,$H$24,SUM(OFFSET(Q477,-E477+1,0):Q477)),IF(AND('депозитный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калькулятор'!$G$7="30/360"),DAY(EOMONTH(F477,0))=31),EOMONTH(F477,0)-1=F477,EOMONTH(F477,0)=F477)),IF(IF(AND(OR('депозитный калькулятор'!$G$7="30/365",'депозитный калькулятор'!$G$7="30/360"),DAY(EOMONTH($F$24,0))=31),F477=EOMONTH($F$24,0)-1,F477=EOMONTH($F$24,0)),SUM(OFFSET(Q477,-E477+1,0):Q477),SUM(OFFSET(Q477,-E477+1,0):Q477)),IF('депозитный калькулятор'!$G$10="ежеквартальное",IF(F477&gt;'депозитный калькулятор'!$D$8," ",IF(AND(EOMONTH(F477,0)=F477,OR(MONTH(F477)=3,MONTH(F477)=6,MONTH(F477)=9,MONTH(F477)=12)),IF(EDATE(F477,-3)&lt;'депозитный калькулятор'!$D$7,SUM($H$23:H477),IF(MOD(YEAR(F477),4)=0,IF(AND(EOMONTH(F477,0)=F477,OR(MONTH(F477)=3,MONTH(F477)=6)),SUM(OFFSET(H477,-90,0):H477),IF(AND(EOMONTH(F477,0)=F477,OR(MONTH(F477)=9,MONTH(F477)=12)),SUM(OFFSET(H477,-91,0):H477))),IF(AND(EOMONTH(F477,0)=F477,MONTH(F477)=3),SUM(OFFSET(H477,-89,0):H477),IF(AND(EOMONTH(F477,0)=F477,MONTH(F477)=6),SUM(OFFSET(H477,-90,0):H477),IF(AND(EOMONTH(F477,0)=F477,OR(MONTH(F477)=9,MONTH(F477)=12)),SUM(OFFSET(H477,-91,0):H477)))))),IF(F477='депозитный калькулятор'!$D$8,SUM($H$23:H477)-SUM($I$23:I476),0))),IF('депозитный калькулятор'!$G$10="ежегодное",IF(F477&gt;'депозитный калькулятор'!$D$8," ",IF(F477='депозитный калькулятор'!$D$8,SUM($H$23:H477)-SUM($I$23:I476),IF(AND(EOMONTH(F477,0)=F477,MONTH(F477)=12),IF(MOD(YEAR(F476),4)=0,IF(F477-'депозитный калькулятор'!$D$7&lt;366,SUM($H$23:H477),SUM(OFFSET(H477,-365,0):H477)),IF(F477-'депозитный калькулятор'!$D$7&lt;365,SUM($H$23:H477),SUM(OFFSET(H477,-364,0):H477))),0))),IF(AND('депозитный калькулятор'!$G$10="в конце срока",'депозитный калькулятор'!$D$8=F477),SUM($H$23:H477),0))))))))))))))))))</f>
        <v xml:space="preserve"> </v>
      </c>
      <c r="J477" s="59" t="str">
        <f>IF(F477&gt;'депозитный калькулятор'!$D$8," ",IF('депозитный калькулятор'!$G$16="нет",0,IF(AND('депозитный калькулятор'!$G$17="разовая (в конце срока)",F477='депозитный калькулятор'!$D$8),'депозитный калькулятор'!$G$18,IF(AND('депозитный калькулятор'!$G$17="ежемесячная",EOMONTH(F476,0)=F476),'депозитный калькулятор'!$G$18,IF(AND('депозитный калькулятор'!$G$17="ежегодная",DAY(F476)=31,MONTH(F476)=12),'депозитный калькулятор'!$G$18,IF(AND('депозитный калькулятор'!$G$17="ежемесячная в зависимости от остатка",EOMONTH(F476,0)=F476,P476&gt;0),'депозитный калькулятор'!$G$18,IF(AND('депозитный калькулятор'!$G$17="ежегодная в зависимости от остатка",DAY(F476)=31,MONTH(F476)=12,P476&gt;0),'депозитный калькулятор'!$G$18,0)))))))</f>
        <v xml:space="preserve"> </v>
      </c>
      <c r="K477" s="135" t="str">
        <f>IF($F477=" "," ",IFERROR(VLOOKUP($F477,'депозитный калькулятор'!$B$26:$F$70,2,0),0))</f>
        <v xml:space="preserve"> </v>
      </c>
      <c r="L477" s="135" t="str">
        <f>IF($F477=" "," ",IFERROR(VLOOKUP($F477,'депозитный калькулятор'!$B$26:$F$70,3,0),0))</f>
        <v xml:space="preserve"> </v>
      </c>
      <c r="M477" s="135" t="str">
        <f>IF($F477=" "," ",IFERROR(VLOOKUP($F477,'депозитный калькулятор'!$B$26:$F$70,4,0),0))</f>
        <v xml:space="preserve"> </v>
      </c>
      <c r="N477" s="135" t="str">
        <f>IF($F477=" "," ",IFERROR(VLOOKUP($F477,'депозитный калькулятор'!$B$26:$F$70,5,0),0))</f>
        <v xml:space="preserve"> </v>
      </c>
      <c r="O477" s="146" t="str">
        <f>IF(F477&gt;'депозитный калькулятор'!$D$8," ",IF(F477='депозитный калькулятор'!$D$8,IF(AND($F$24='депозитный калькулятор'!$D$8,'депозитный калькулятор'!$G$13="нет"),-G477-IF(I477=" ",0,I477)-IF(AND(OR('депозитный калькулятор'!$G$7="30/365",'депозитный калькулятор'!$G$7="30/360"),'депозитный калькулятор'!$G$10="в начале срока"),I476,0)-L477+M477-N477,-G477-IF(I477=" ",0,I477)-L477+M477-N477),IF('депозитный калькулятор'!$G$13="есть",M477-N477+IF('депозитный калькулятор'!$G$14="есть",0,-L477),-IF(I477=" ",0,I477)-IF(AND(OR('депозитный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срока"),I476,0)+M477-N477+IF('депозитный калькулятор'!$G$14="есть",0,-L477))))</f>
        <v xml:space="preserve"> </v>
      </c>
      <c r="P477" s="147" t="str">
        <f>IF(F477&gt;'депозитный калькулятор'!$D$8," ",IF(EOMONTH(F476,0)=F476,0,IF(G477&gt;='депозитный калькулятор'!$G$19,P476,P476+1)))</f>
        <v xml:space="preserve"> </v>
      </c>
      <c r="Q477" s="138" t="str">
        <f>IF(F477=" "," ",IF(AND(OR('депозитный калькулятор'!$G$7="30/365",'депозитный калькулятор'!$G$7="30/360"),AND(MONTH(F477)=2,EOMONTH(F477,0)=F477)),IF(DAY(F477)=28,3,2),1)*IF(G477&gt;='депозитный калькулятор'!$G$11,IF(AND('депозитный калькулятор'!$G$7="факт/факт",MOD(YEAR(F477),4)=0),G477*'депозитный калькулятор'!$D$11/366,G477*'депозитный калькулятор'!$G$8),0))</f>
        <v xml:space="preserve"> </v>
      </c>
      <c r="R477" s="158"/>
      <c r="S477" s="62" t="str">
        <f t="shared" ca="1" si="37"/>
        <v xml:space="preserve"> </v>
      </c>
      <c r="T477" s="149" t="str">
        <f ca="1">IF(S477=" "," ",IF('депозитный калькулятор'!$G$7="30/360",DAYS360(U476,IF(DAY(U477)=31,U477-1,U477))+IF(AND(MONTH(U477)=2,U477=EOMONTH(U477,0)),30-DAY(EOMONTH(U477,0)))+T476,VLOOKUP(S477,$C$22:$F$1023,2,0)))</f>
        <v xml:space="preserve"> </v>
      </c>
      <c r="U477" s="64" t="str">
        <f t="shared" ca="1" si="35"/>
        <v xml:space="preserve"> </v>
      </c>
      <c r="V477" s="150" t="str">
        <f t="shared" ca="1" si="38"/>
        <v xml:space="preserve"> </v>
      </c>
      <c r="W477" s="62" t="str">
        <f t="shared" ca="1" si="39"/>
        <v xml:space="preserve"> </v>
      </c>
      <c r="X477" s="141" t="str">
        <f ca="1">IF(S477=" "," ",IFERROR(VLOOKUP(U477,$F$23:$N$1023,7)+VLOOKUP(U477,$F$23:$N$1023,9)+IF(AND('депозитный калькулятор'!$G$13="нет",U477&lt;&gt;'депозитный калькулятор'!$D$8),VLOOKUP(U477,$F$23:$N$1023,4),0),0)+IF(U477='депозитный калькулятор'!$D$8,VLOOKUP(U477,$F$23:$N$1023,2)+VLOOKUP(U477,$F$23:$N$1023,4),0))</f>
        <v xml:space="preserve"> </v>
      </c>
      <c r="Y477" s="142" t="str">
        <f ca="1">IF(S477=" "," ",W477/(1+'депозитный калькулятор'!$K$8)^(T477/IF('депозитный калькулятор'!$G$7="30/360",360,365)))</f>
        <v xml:space="preserve"> </v>
      </c>
      <c r="Z477" s="142" t="str">
        <f ca="1">IF(S477=" "," ",X477/(1+'депозитный калькулятор'!$K$8)^(T477/IF('депозитный калькулятор'!$G$7="30/360",360,365)))</f>
        <v xml:space="preserve"> </v>
      </c>
      <c r="AA477" s="151"/>
      <c r="AB477" s="151"/>
      <c r="AC477" s="155"/>
      <c r="AD477" s="155"/>
    </row>
    <row r="478" spans="1:30" s="2" customFormat="1" ht="15.5" x14ac:dyDescent="0.35">
      <c r="A478" s="41" t="str">
        <f>IF(F478=" "," ",IF(OR('депозитный калькулятор'!$G$7="30/365",'депозитный калькулятор'!$G$7="30/360"),IF(AND(MONTH(F478)=2,DAY(F478)=DAY(EOMONTH(F478,0))),30-DAY(EOMONTH(F478,0)),IF(DAY(F478)=31,1," "))," "))</f>
        <v xml:space="preserve"> </v>
      </c>
      <c r="B478" s="130" t="str">
        <f t="shared" si="36"/>
        <v xml:space="preserve"> </v>
      </c>
      <c r="C478" s="130" t="str">
        <f>IF(OR(B478=0,B478=" ")," ",SUM($B$23:B478))</f>
        <v xml:space="preserve"> </v>
      </c>
      <c r="D478" s="62" t="str">
        <f>IF(D477=" "," ",IF(OR(F477='депозитный калькулятор'!$D$8,F477=" ")," ",D477+1))</f>
        <v xml:space="preserve"> </v>
      </c>
      <c r="E478" s="130" t="str">
        <f>IF(OR(F477='депозитный калькулятор'!$D$8,F477=" ")," ",IF(EOMONTH(F477,0)=F477,1,E477+1))</f>
        <v xml:space="preserve"> </v>
      </c>
      <c r="F478" s="64" t="str">
        <f>IF(F477=" "," ",IF(F477='депозитный калькулятор'!$D$8," ",F477+1))</f>
        <v xml:space="preserve"> </v>
      </c>
      <c r="G478" s="145" t="str">
        <f xml:space="preserve"> IF(F478&gt;'депозитный калькулятор'!$D$8," ",IF('депозитный калькулятор'!$G$13="есть",IF('депозитный калькулятор'!$G$14="есть",G477+IF(I477=" ",0,I477)-J478-K478+L478+M478-N478,G477+IF(I477=" ",0,I477)-J478-K478+M478-N478),IF('депозитный калькулятор'!$G$14="есть",G477-J478-K478+L478+M478-N478,G477-J478-K478+M478-N478)))</f>
        <v xml:space="preserve"> </v>
      </c>
      <c r="H478" s="133" t="str">
        <f>IF(F478&gt;'депозитный калькулятор'!$D$8," ",IF(AND(OR('депозитный калькулятор'!$G$7="30/365",'депозитный калькулятор'!$G$7="30/360"),AND(MONTH(F478)=2,EOMONTH(F478,0)=F478)),IF(DAY(F478)=28,3*G478*'депозитный калькулятор'!$G$8,2*G478*'депозитный калькулятор'!$G$8),IF(AND(OR('депозитный калькулятор'!$G$7="30/365",'депозитный калькулятор'!$G$7="30/360"),DAY(F478)=31)," ",IF(AND('депозитный калькулятор'!$G$7="факт/факт",MOD(YEAR(F478),4)=0),G478*'депозитный калькулятор'!$D$11/366,G478*'депозитный калькулятор'!$G$8))))</f>
        <v xml:space="preserve"> </v>
      </c>
      <c r="I478" s="134" t="str">
        <f ca="1">IF(F478=" "," ",IF('депозитный калькулятор'!$G$10="ежедневное",H478,IF(AND('депозитный калькулятор'!$G$10="еженедельное",WEEKDAY(F478,2)=7),SUM(OFFSET(H478,-6,0):H478),IF(AND('депозитный калькулятор'!$G$10="еженедельное",F478='депозитный калькулятор'!$D$8),SUM($H$23:H478)-SUM($I$23:I477),IF(AND('депозитный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недели",WEEKDAY(F478,2)=7),MIN(OFFSET(H478,-6,0):H478)*(COUNTIF(OFFSET(H478,-6,0):H478,"&gt;0")+SUMIF(OFFSET(A478,-WEEKDAY(F478,2),0):A478,"=2",OFFSET(A478,-WEEKDAY(F478,2),0):A478)),IF(AND('депозитный калькулятор'!$G$10="еженедельное, на минимальную сумму зафиксированную в течение недели",F478='депозитный калькулятор'!$D$8,WEEKDAY(F478,2)&lt;&gt;7),MIN(OFFSET(H478,-WEEKDAY(F478,2),0):H478)*(COUNTIF(OFFSET(H478,-WEEKDAY(F478,2)+1,0):H478,"&gt;0")+SUM(OFFSET(A478,-WEEKDAY(F478,2),0):A478)),IF(AND('депозитный калькулятор'!$G$10="ежемесячное (в конце месяца)",F478='депозитный калькулятор'!$D$8,EOMONTH(F478,0)&lt;&gt;F478),IF('депозитный калькулятор'!$F$1=1,$H$24,SUM($H$23:H478)-SUM($I$23:I477)),IF(AND('депозитный калькулятор'!$G$10="ежемесячное (в конце месяца)",EOMONTH(F478,0)=F478),SUM($H$23:H478)-SUM($I$23:I477),IF(AND('депозитный калькулятор'!$G$10="ежемесячное (по дням открытия вклада)",F478='депозитный калькулятор'!$D$8,DAY('депозитный калькулятор'!$D$7)&lt;&gt;DAY(F478)),IF('депозитный калькулятор'!$F$1=1,$H$24,SUM($H$23:H478)-SUM($I$23:I477)),IF(AND('депозитный калькулятор'!$G$10="ежемесячное (по дням открытия вклада)",DAY('депозитный калькулятор'!$D$7)=DAY(F478)),SUM($H$23:H478)-SUM($I$23:I477),IF(AND('депозитный калькулятор'!$G$10="ежемесячное, на минимальную сумму зафиксированную в течение месяца",F478='депозитный калькулятор'!$D$8,EOMONTH(F478,0)&lt;&gt;F478),IF('депозитный калькулятор'!$F$1=1,$H$24,IF(AND(OR('депозитный калькулятор'!$G$7="30/365",'депозитный калькулятор'!$G$7="30/360"),DAY(F478)=31),0,MIN(OFFSET(H478,-E478+1,0):H478)*(E478+SUMIF(OFFSET(A478,-E478+1,0):A478,"=2",OFFSET(A478,-E478+1,0):A478)))),IF(AND('депозитный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калькулятор'!$G$7="30/360"),DAY(EOMONTH(F478,0))=31),EOMONTH(F478,0)-1=F478,EOMONTH(F478,0)=F478)),IF(IF(AND(OR('депозитный калькулятор'!$G$7="30/365",'депозитный калькулятор'!$G$7="30/360"),DAY(EOMONTH($F$23,0))=31),F478=EOMONTH($F$23,0)-1,F478=EOMONTH($F$23,0)),MIN(OFFSET(H478,-(DAY(F478)-DAY($F$23)),0):H478)*E478,MIN(OFFSET(H478,-(DAY(F478)-1),0):H478)*IF(AND(OR('депозитный калькулятор'!$G$7="30/365",'депозитный калькулятор'!$G$7="30/360"),DAY(F478)&lt;30),30,DAY(F478))),IF(AND('депозитный калькулятор'!$G$10="ежемесячное, на средний остаток в течение месяца, при условии что остаток больше чем ограничение",F478='депозитный калькулятор'!$D$8,EOMONTH(F478,0)&lt;&gt;F478),IF('депозитный калькулятор'!$F$1=1,$H$24,SUM(OFFSET(Q478,-E478+1,0):Q478)),IF(AND('депозитный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калькулятор'!$G$7="30/360"),DAY(EOMONTH(F478,0))=31),EOMONTH(F478,0)-1=F478,EOMONTH(F478,0)=F478)),IF(IF(AND(OR('депозитный калькулятор'!$G$7="30/365",'депозитный калькулятор'!$G$7="30/360"),DAY(EOMONTH($F$24,0))=31),F478=EOMONTH($F$24,0)-1,F478=EOMONTH($F$24,0)),SUM(OFFSET(Q478,-E478+1,0):Q478),SUM(OFFSET(Q478,-E478+1,0):Q478)),IF('депозитный калькулятор'!$G$10="ежеквартальное",IF(F478&gt;'депозитный калькулятор'!$D$8," ",IF(AND(EOMONTH(F478,0)=F478,OR(MONTH(F478)=3,MONTH(F478)=6,MONTH(F478)=9,MONTH(F478)=12)),IF(EDATE(F478,-3)&lt;'депозитный калькулятор'!$D$7,SUM($H$23:H478),IF(MOD(YEAR(F478),4)=0,IF(AND(EOMONTH(F478,0)=F478,OR(MONTH(F478)=3,MONTH(F478)=6)),SUM(OFFSET(H478,-90,0):H478),IF(AND(EOMONTH(F478,0)=F478,OR(MONTH(F478)=9,MONTH(F478)=12)),SUM(OFFSET(H478,-91,0):H478))),IF(AND(EOMONTH(F478,0)=F478,MONTH(F478)=3),SUM(OFFSET(H478,-89,0):H478),IF(AND(EOMONTH(F478,0)=F478,MONTH(F478)=6),SUM(OFFSET(H478,-90,0):H478),IF(AND(EOMONTH(F478,0)=F478,OR(MONTH(F478)=9,MONTH(F478)=12)),SUM(OFFSET(H478,-91,0):H478)))))),IF(F478='депозитный калькулятор'!$D$8,SUM($H$23:H478)-SUM($I$23:I477),0))),IF('депозитный калькулятор'!$G$10="ежегодное",IF(F478&gt;'депозитный калькулятор'!$D$8," ",IF(F478='депозитный калькулятор'!$D$8,SUM($H$23:H478)-SUM($I$23:I477),IF(AND(EOMONTH(F478,0)=F478,MONTH(F478)=12),IF(MOD(YEAR(F477),4)=0,IF(F478-'депозитный калькулятор'!$D$7&lt;366,SUM($H$23:H478),SUM(OFFSET(H478,-365,0):H478)),IF(F478-'депозитный калькулятор'!$D$7&lt;365,SUM($H$23:H478),SUM(OFFSET(H478,-364,0):H478))),0))),IF(AND('депозитный калькулятор'!$G$10="в конце срока",'депозитный калькулятор'!$D$8=F478),SUM($H$23:H478),0))))))))))))))))))</f>
        <v xml:space="preserve"> </v>
      </c>
      <c r="J478" s="59" t="str">
        <f>IF(F478&gt;'депозитный калькулятор'!$D$8," ",IF('депозитный калькулятор'!$G$16="нет",0,IF(AND('депозитный калькулятор'!$G$17="разовая (в конце срока)",F478='депозитный калькулятор'!$D$8),'депозитный калькулятор'!$G$18,IF(AND('депозитный калькулятор'!$G$17="ежемесячная",EOMONTH(F477,0)=F477),'депозитный калькулятор'!$G$18,IF(AND('депозитный калькулятор'!$G$17="ежегодная",DAY(F477)=31,MONTH(F477)=12),'депозитный калькулятор'!$G$18,IF(AND('депозитный калькулятор'!$G$17="ежемесячная в зависимости от остатка",EOMONTH(F477,0)=F477,P477&gt;0),'депозитный калькулятор'!$G$18,IF(AND('депозитный калькулятор'!$G$17="ежегодная в зависимости от остатка",DAY(F477)=31,MONTH(F477)=12,P477&gt;0),'депозитный калькулятор'!$G$18,0)))))))</f>
        <v xml:space="preserve"> </v>
      </c>
      <c r="K478" s="135" t="str">
        <f>IF($F478=" "," ",IFERROR(VLOOKUP($F478,'депозитный калькулятор'!$B$26:$F$70,2,0),0))</f>
        <v xml:space="preserve"> </v>
      </c>
      <c r="L478" s="135" t="str">
        <f>IF($F478=" "," ",IFERROR(VLOOKUP($F478,'депозитный калькулятор'!$B$26:$F$70,3,0),0))</f>
        <v xml:space="preserve"> </v>
      </c>
      <c r="M478" s="135" t="str">
        <f>IF($F478=" "," ",IFERROR(VLOOKUP($F478,'депозитный калькулятор'!$B$26:$F$70,4,0),0))</f>
        <v xml:space="preserve"> </v>
      </c>
      <c r="N478" s="135" t="str">
        <f>IF($F478=" "," ",IFERROR(VLOOKUP($F478,'депозитный калькулятор'!$B$26:$F$70,5,0),0))</f>
        <v xml:space="preserve"> </v>
      </c>
      <c r="O478" s="146" t="str">
        <f>IF(F478&gt;'депозитный калькулятор'!$D$8," ",IF(F478='депозитный калькулятор'!$D$8,IF(AND($F$24='депозитный калькулятор'!$D$8,'депозитный калькулятор'!$G$13="нет"),-G478-IF(I478=" ",0,I478)-IF(AND(OR('депозитный калькулятор'!$G$7="30/365",'депозитный калькулятор'!$G$7="30/360"),'депозитный калькулятор'!$G$10="в начале срока"),I477,0)-L478+M478-N478,-G478-IF(I478=" ",0,I478)-L478+M478-N478),IF('депозитный калькулятор'!$G$13="есть",M478-N478+IF('депозитный калькулятор'!$G$14="есть",0,-L478),-IF(I478=" ",0,I478)-IF(AND(OR('депозитный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срока"),I477,0)+M478-N478+IF('депозитный калькулятор'!$G$14="есть",0,-L478))))</f>
        <v xml:space="preserve"> </v>
      </c>
      <c r="P478" s="147" t="str">
        <f>IF(F478&gt;'депозитный калькулятор'!$D$8," ",IF(EOMONTH(F477,0)=F477,0,IF(G478&gt;='депозитный калькулятор'!$G$19,P477,P477+1)))</f>
        <v xml:space="preserve"> </v>
      </c>
      <c r="Q478" s="138" t="str">
        <f>IF(F478=" "," ",IF(AND(OR('депозитный калькулятор'!$G$7="30/365",'депозитный калькулятор'!$G$7="30/360"),AND(MONTH(F478)=2,EOMONTH(F478,0)=F478)),IF(DAY(F478)=28,3,2),1)*IF(G478&gt;='депозитный калькулятор'!$G$11,IF(AND('депозитный калькулятор'!$G$7="факт/факт",MOD(YEAR(F478),4)=0),G478*'депозитный калькулятор'!$D$11/366,G478*'депозитный калькулятор'!$G$8),0))</f>
        <v xml:space="preserve"> </v>
      </c>
      <c r="R478" s="158"/>
      <c r="S478" s="62" t="str">
        <f t="shared" ca="1" si="37"/>
        <v xml:space="preserve"> </v>
      </c>
      <c r="T478" s="149" t="str">
        <f ca="1">IF(S478=" "," ",IF('депозитный калькулятор'!$G$7="30/360",DAYS360(U477,IF(DAY(U478)=31,U478-1,U478))+IF(AND(MONTH(U478)=2,U478=EOMONTH(U478,0)),30-DAY(EOMONTH(U478,0)))+T477,VLOOKUP(S478,$C$22:$F$1023,2,0)))</f>
        <v xml:space="preserve"> </v>
      </c>
      <c r="U478" s="64" t="str">
        <f t="shared" ca="1" si="35"/>
        <v xml:space="preserve"> </v>
      </c>
      <c r="V478" s="150" t="str">
        <f t="shared" ca="1" si="38"/>
        <v xml:space="preserve"> </v>
      </c>
      <c r="W478" s="62" t="str">
        <f t="shared" ca="1" si="39"/>
        <v xml:space="preserve"> </v>
      </c>
      <c r="X478" s="141" t="str">
        <f ca="1">IF(S478=" "," ",IFERROR(VLOOKUP(U478,$F$23:$N$1023,7)+VLOOKUP(U478,$F$23:$N$1023,9)+IF(AND('депозитный калькулятор'!$G$13="нет",U478&lt;&gt;'депозитный калькулятор'!$D$8),VLOOKUP(U478,$F$23:$N$1023,4),0),0)+IF(U478='депозитный калькулятор'!$D$8,VLOOKUP(U478,$F$23:$N$1023,2)+VLOOKUP(U478,$F$23:$N$1023,4),0))</f>
        <v xml:space="preserve"> </v>
      </c>
      <c r="Y478" s="142" t="str">
        <f ca="1">IF(S478=" "," ",W478/(1+'депозитный калькулятор'!$K$8)^(T478/IF('депозитный калькулятор'!$G$7="30/360",360,365)))</f>
        <v xml:space="preserve"> </v>
      </c>
      <c r="Z478" s="142" t="str">
        <f ca="1">IF(S478=" "," ",X478/(1+'депозитный калькулятор'!$K$8)^(T478/IF('депозитный калькулятор'!$G$7="30/360",360,365)))</f>
        <v xml:space="preserve"> </v>
      </c>
      <c r="AA478" s="151"/>
      <c r="AB478" s="151"/>
      <c r="AC478" s="155"/>
      <c r="AD478" s="155"/>
    </row>
    <row r="479" spans="1:30" s="2" customFormat="1" ht="15.5" x14ac:dyDescent="0.35">
      <c r="A479" s="41" t="str">
        <f>IF(F479=" "," ",IF(OR('депозитный калькулятор'!$G$7="30/365",'депозитный калькулятор'!$G$7="30/360"),IF(AND(MONTH(F479)=2,DAY(F479)=DAY(EOMONTH(F479,0))),30-DAY(EOMONTH(F479,0)),IF(DAY(F479)=31,1," "))," "))</f>
        <v xml:space="preserve"> </v>
      </c>
      <c r="B479" s="130" t="str">
        <f t="shared" si="36"/>
        <v xml:space="preserve"> </v>
      </c>
      <c r="C479" s="130" t="str">
        <f>IF(OR(B479=0,B479=" ")," ",SUM($B$23:B479))</f>
        <v xml:space="preserve"> </v>
      </c>
      <c r="D479" s="62" t="str">
        <f>IF(D478=" "," ",IF(OR(F478='депозитный калькулятор'!$D$8,F478=" ")," ",D478+1))</f>
        <v xml:space="preserve"> </v>
      </c>
      <c r="E479" s="130" t="str">
        <f>IF(OR(F478='депозитный калькулятор'!$D$8,F478=" ")," ",IF(EOMONTH(F478,0)=F478,1,E478+1))</f>
        <v xml:space="preserve"> </v>
      </c>
      <c r="F479" s="64" t="str">
        <f>IF(F478=" "," ",IF(F478='депозитный калькулятор'!$D$8," ",F478+1))</f>
        <v xml:space="preserve"> </v>
      </c>
      <c r="G479" s="145" t="str">
        <f xml:space="preserve"> IF(F479&gt;'депозитный калькулятор'!$D$8," ",IF('депозитный калькулятор'!$G$13="есть",IF('депозитный калькулятор'!$G$14="есть",G478+IF(I478=" ",0,I478)-J479-K479+L479+M479-N479,G478+IF(I478=" ",0,I478)-J479-K479+M479-N479),IF('депозитный калькулятор'!$G$14="есть",G478-J479-K479+L479+M479-N479,G478-J479-K479+M479-N479)))</f>
        <v xml:space="preserve"> </v>
      </c>
      <c r="H479" s="133" t="str">
        <f>IF(F479&gt;'депозитный калькулятор'!$D$8," ",IF(AND(OR('депозитный калькулятор'!$G$7="30/365",'депозитный калькулятор'!$G$7="30/360"),AND(MONTH(F479)=2,EOMONTH(F479,0)=F479)),IF(DAY(F479)=28,3*G479*'депозитный калькулятор'!$G$8,2*G479*'депозитный калькулятор'!$G$8),IF(AND(OR('депозитный калькулятор'!$G$7="30/365",'депозитный калькулятор'!$G$7="30/360"),DAY(F479)=31)," ",IF(AND('депозитный калькулятор'!$G$7="факт/факт",MOD(YEAR(F479),4)=0),G479*'депозитный калькулятор'!$D$11/366,G479*'депозитный калькулятор'!$G$8))))</f>
        <v xml:space="preserve"> </v>
      </c>
      <c r="I479" s="134" t="str">
        <f ca="1">IF(F479=" "," ",IF('депозитный калькулятор'!$G$10="ежедневное",H479,IF(AND('депозитный калькулятор'!$G$10="еженедельное",WEEKDAY(F479,2)=7),SUM(OFFSET(H479,-6,0):H479),IF(AND('депозитный калькулятор'!$G$10="еженедельное",F479='депозитный калькулятор'!$D$8),SUM($H$23:H479)-SUM($I$23:I478),IF(AND('депозитный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недели",WEEKDAY(F479,2)=7),MIN(OFFSET(H479,-6,0):H479)*(COUNTIF(OFFSET(H479,-6,0):H479,"&gt;0")+SUMIF(OFFSET(A479,-WEEKDAY(F479,2),0):A479,"=2",OFFSET(A479,-WEEKDAY(F479,2),0):A479)),IF(AND('депозитный калькулятор'!$G$10="еженедельное, на минимальную сумму зафиксированную в течение недели",F479='депозитный калькулятор'!$D$8,WEEKDAY(F479,2)&lt;&gt;7),MIN(OFFSET(H479,-WEEKDAY(F479,2),0):H479)*(COUNTIF(OFFSET(H479,-WEEKDAY(F479,2)+1,0):H479,"&gt;0")+SUM(OFFSET(A479,-WEEKDAY(F479,2),0):A479)),IF(AND('депозитный калькулятор'!$G$10="ежемесячное (в конце месяца)",F479='депозитный калькулятор'!$D$8,EOMONTH(F479,0)&lt;&gt;F479),IF('депозитный калькулятор'!$F$1=1,$H$24,SUM($H$23:H479)-SUM($I$23:I478)),IF(AND('депозитный калькулятор'!$G$10="ежемесячное (в конце месяца)",EOMONTH(F479,0)=F479),SUM($H$23:H479)-SUM($I$23:I478),IF(AND('депозитный калькулятор'!$G$10="ежемесячное (по дням открытия вклада)",F479='депозитный калькулятор'!$D$8,DAY('депозитный калькулятор'!$D$7)&lt;&gt;DAY(F479)),IF('депозитный калькулятор'!$F$1=1,$H$24,SUM($H$23:H479)-SUM($I$23:I478)),IF(AND('депозитный калькулятор'!$G$10="ежемесячное (по дням открытия вклада)",DAY('депозитный калькулятор'!$D$7)=DAY(F479)),SUM($H$23:H479)-SUM($I$23:I478),IF(AND('депозитный калькулятор'!$G$10="ежемесячное, на минимальную сумму зафиксированную в течение месяца",F479='депозитный калькулятор'!$D$8,EOMONTH(F479,0)&lt;&gt;F479),IF('депозитный калькулятор'!$F$1=1,$H$24,IF(AND(OR('депозитный калькулятор'!$G$7="30/365",'депозитный калькулятор'!$G$7="30/360"),DAY(F479)=31),0,MIN(OFFSET(H479,-E479+1,0):H479)*(E479+SUMIF(OFFSET(A479,-E479+1,0):A479,"=2",OFFSET(A479,-E479+1,0):A479)))),IF(AND('депозитный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калькулятор'!$G$7="30/360"),DAY(EOMONTH(F479,0))=31),EOMONTH(F479,0)-1=F479,EOMONTH(F479,0)=F479)),IF(IF(AND(OR('депозитный калькулятор'!$G$7="30/365",'депозитный калькулятор'!$G$7="30/360"),DAY(EOMONTH($F$23,0))=31),F479=EOMONTH($F$23,0)-1,F479=EOMONTH($F$23,0)),MIN(OFFSET(H479,-(DAY(F479)-DAY($F$23)),0):H479)*E479,MIN(OFFSET(H479,-(DAY(F479)-1),0):H479)*IF(AND(OR('депозитный калькулятор'!$G$7="30/365",'депозитный калькулятор'!$G$7="30/360"),DAY(F479)&lt;30),30,DAY(F479))),IF(AND('депозитный калькулятор'!$G$10="ежемесячное, на средний остаток в течение месяца, при условии что остаток больше чем ограничение",F479='депозитный калькулятор'!$D$8,EOMONTH(F479,0)&lt;&gt;F479),IF('депозитный калькулятор'!$F$1=1,$H$24,SUM(OFFSET(Q479,-E479+1,0):Q479)),IF(AND('депозитный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калькулятор'!$G$7="30/360"),DAY(EOMONTH(F479,0))=31),EOMONTH(F479,0)-1=F479,EOMONTH(F479,0)=F479)),IF(IF(AND(OR('депозитный калькулятор'!$G$7="30/365",'депозитный калькулятор'!$G$7="30/360"),DAY(EOMONTH($F$24,0))=31),F479=EOMONTH($F$24,0)-1,F479=EOMONTH($F$24,0)),SUM(OFFSET(Q479,-E479+1,0):Q479),SUM(OFFSET(Q479,-E479+1,0):Q479)),IF('депозитный калькулятор'!$G$10="ежеквартальное",IF(F479&gt;'депозитный калькулятор'!$D$8," ",IF(AND(EOMONTH(F479,0)=F479,OR(MONTH(F479)=3,MONTH(F479)=6,MONTH(F479)=9,MONTH(F479)=12)),IF(EDATE(F479,-3)&lt;'депозитный калькулятор'!$D$7,SUM($H$23:H479),IF(MOD(YEAR(F479),4)=0,IF(AND(EOMONTH(F479,0)=F479,OR(MONTH(F479)=3,MONTH(F479)=6)),SUM(OFFSET(H479,-90,0):H479),IF(AND(EOMONTH(F479,0)=F479,OR(MONTH(F479)=9,MONTH(F479)=12)),SUM(OFFSET(H479,-91,0):H479))),IF(AND(EOMONTH(F479,0)=F479,MONTH(F479)=3),SUM(OFFSET(H479,-89,0):H479),IF(AND(EOMONTH(F479,0)=F479,MONTH(F479)=6),SUM(OFFSET(H479,-90,0):H479),IF(AND(EOMONTH(F479,0)=F479,OR(MONTH(F479)=9,MONTH(F479)=12)),SUM(OFFSET(H479,-91,0):H479)))))),IF(F479='депозитный калькулятор'!$D$8,SUM($H$23:H479)-SUM($I$23:I478),0))),IF('депозитный калькулятор'!$G$10="ежегодное",IF(F479&gt;'депозитный калькулятор'!$D$8," ",IF(F479='депозитный калькулятор'!$D$8,SUM($H$23:H479)-SUM($I$23:I478),IF(AND(EOMONTH(F479,0)=F479,MONTH(F479)=12),IF(MOD(YEAR(F478),4)=0,IF(F479-'депозитный калькулятор'!$D$7&lt;366,SUM($H$23:H479),SUM(OFFSET(H479,-365,0):H479)),IF(F479-'депозитный калькулятор'!$D$7&lt;365,SUM($H$23:H479),SUM(OFFSET(H479,-364,0):H479))),0))),IF(AND('депозитный калькулятор'!$G$10="в конце срока",'депозитный калькулятор'!$D$8=F479),SUM($H$23:H479),0))))))))))))))))))</f>
        <v xml:space="preserve"> </v>
      </c>
      <c r="J479" s="59" t="str">
        <f>IF(F479&gt;'депозитный калькулятор'!$D$8," ",IF('депозитный калькулятор'!$G$16="нет",0,IF(AND('депозитный калькулятор'!$G$17="разовая (в конце срока)",F479='депозитный калькулятор'!$D$8),'депозитный калькулятор'!$G$18,IF(AND('депозитный калькулятор'!$G$17="ежемесячная",EOMONTH(F478,0)=F478),'депозитный калькулятор'!$G$18,IF(AND('депозитный калькулятор'!$G$17="ежегодная",DAY(F478)=31,MONTH(F478)=12),'депозитный калькулятор'!$G$18,IF(AND('депозитный калькулятор'!$G$17="ежемесячная в зависимости от остатка",EOMONTH(F478,0)=F478,P478&gt;0),'депозитный калькулятор'!$G$18,IF(AND('депозитный калькулятор'!$G$17="ежегодная в зависимости от остатка",DAY(F478)=31,MONTH(F478)=12,P478&gt;0),'депозитный калькулятор'!$G$18,0)))))))</f>
        <v xml:space="preserve"> </v>
      </c>
      <c r="K479" s="135" t="str">
        <f>IF($F479=" "," ",IFERROR(VLOOKUP($F479,'депозитный калькулятор'!$B$26:$F$70,2,0),0))</f>
        <v xml:space="preserve"> </v>
      </c>
      <c r="L479" s="135" t="str">
        <f>IF($F479=" "," ",IFERROR(VLOOKUP($F479,'депозитный калькулятор'!$B$26:$F$70,3,0),0))</f>
        <v xml:space="preserve"> </v>
      </c>
      <c r="M479" s="135" t="str">
        <f>IF($F479=" "," ",IFERROR(VLOOKUP($F479,'депозитный калькулятор'!$B$26:$F$70,4,0),0))</f>
        <v xml:space="preserve"> </v>
      </c>
      <c r="N479" s="135" t="str">
        <f>IF($F479=" "," ",IFERROR(VLOOKUP($F479,'депозитный калькулятор'!$B$26:$F$70,5,0),0))</f>
        <v xml:space="preserve"> </v>
      </c>
      <c r="O479" s="146" t="str">
        <f>IF(F479&gt;'депозитный калькулятор'!$D$8," ",IF(F479='депозитный калькулятор'!$D$8,IF(AND($F$24='депозитный калькулятор'!$D$8,'депозитный калькулятор'!$G$13="нет"),-G479-IF(I479=" ",0,I479)-IF(AND(OR('депозитный калькулятор'!$G$7="30/365",'депозитный калькулятор'!$G$7="30/360"),'депозитный калькулятор'!$G$10="в начале срока"),I478,0)-L479+M479-N479,-G479-IF(I479=" ",0,I479)-L479+M479-N479),IF('депозитный калькулятор'!$G$13="есть",M479-N479+IF('депозитный калькулятор'!$G$14="есть",0,-L479),-IF(I479=" ",0,I479)-IF(AND(OR('депозитный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срока"),I478,0)+M479-N479+IF('депозитный калькулятор'!$G$14="есть",0,-L479))))</f>
        <v xml:space="preserve"> </v>
      </c>
      <c r="P479" s="147" t="str">
        <f>IF(F479&gt;'депозитный калькулятор'!$D$8," ",IF(EOMONTH(F478,0)=F478,0,IF(G479&gt;='депозитный калькулятор'!$G$19,P478,P478+1)))</f>
        <v xml:space="preserve"> </v>
      </c>
      <c r="Q479" s="138" t="str">
        <f>IF(F479=" "," ",IF(AND(OR('депозитный калькулятор'!$G$7="30/365",'депозитный калькулятор'!$G$7="30/360"),AND(MONTH(F479)=2,EOMONTH(F479,0)=F479)),IF(DAY(F479)=28,3,2),1)*IF(G479&gt;='депозитный калькулятор'!$G$11,IF(AND('депозитный калькулятор'!$G$7="факт/факт",MOD(YEAR(F479),4)=0),G479*'депозитный калькулятор'!$D$11/366,G479*'депозитный калькулятор'!$G$8),0))</f>
        <v xml:space="preserve"> </v>
      </c>
      <c r="R479" s="158"/>
      <c r="S479" s="62" t="str">
        <f t="shared" ca="1" si="37"/>
        <v xml:space="preserve"> </v>
      </c>
      <c r="T479" s="149" t="str">
        <f ca="1">IF(S479=" "," ",IF('депозитный калькулятор'!$G$7="30/360",DAYS360(U478,IF(DAY(U479)=31,U479-1,U479))+IF(AND(MONTH(U479)=2,U479=EOMONTH(U479,0)),30-DAY(EOMONTH(U479,0)))+T478,VLOOKUP(S479,$C$22:$F$1023,2,0)))</f>
        <v xml:space="preserve"> </v>
      </c>
      <c r="U479" s="64" t="str">
        <f t="shared" ca="1" si="35"/>
        <v xml:space="preserve"> </v>
      </c>
      <c r="V479" s="150" t="str">
        <f t="shared" ca="1" si="38"/>
        <v xml:space="preserve"> </v>
      </c>
      <c r="W479" s="62" t="str">
        <f t="shared" ca="1" si="39"/>
        <v xml:space="preserve"> </v>
      </c>
      <c r="X479" s="141" t="str">
        <f ca="1">IF(S479=" "," ",IFERROR(VLOOKUP(U479,$F$23:$N$1023,7)+VLOOKUP(U479,$F$23:$N$1023,9)+IF(AND('депозитный калькулятор'!$G$13="нет",U479&lt;&gt;'депозитный калькулятор'!$D$8),VLOOKUP(U479,$F$23:$N$1023,4),0),0)+IF(U479='депозитный калькулятор'!$D$8,VLOOKUP(U479,$F$23:$N$1023,2)+VLOOKUP(U479,$F$23:$N$1023,4),0))</f>
        <v xml:space="preserve"> </v>
      </c>
      <c r="Y479" s="142" t="str">
        <f ca="1">IF(S479=" "," ",W479/(1+'депозитный калькулятор'!$K$8)^(T479/IF('депозитный калькулятор'!$G$7="30/360",360,365)))</f>
        <v xml:space="preserve"> </v>
      </c>
      <c r="Z479" s="142" t="str">
        <f ca="1">IF(S479=" "," ",X479/(1+'депозитный калькулятор'!$K$8)^(T479/IF('депозитный калькулятор'!$G$7="30/360",360,365)))</f>
        <v xml:space="preserve"> </v>
      </c>
      <c r="AA479" s="151"/>
      <c r="AB479" s="151"/>
      <c r="AC479" s="155"/>
      <c r="AD479" s="155"/>
    </row>
    <row r="480" spans="1:30" s="2" customFormat="1" ht="15.5" x14ac:dyDescent="0.35">
      <c r="A480" s="41" t="str">
        <f>IF(F480=" "," ",IF(OR('депозитный калькулятор'!$G$7="30/365",'депозитный калькулятор'!$G$7="30/360"),IF(AND(MONTH(F480)=2,DAY(F480)=DAY(EOMONTH(F480,0))),30-DAY(EOMONTH(F480,0)),IF(DAY(F480)=31,1," "))," "))</f>
        <v xml:space="preserve"> </v>
      </c>
      <c r="B480" s="130" t="str">
        <f t="shared" si="36"/>
        <v xml:space="preserve"> </v>
      </c>
      <c r="C480" s="130" t="str">
        <f>IF(OR(B480=0,B480=" ")," ",SUM($B$23:B480))</f>
        <v xml:space="preserve"> </v>
      </c>
      <c r="D480" s="62" t="str">
        <f>IF(D479=" "," ",IF(OR(F479='депозитный калькулятор'!$D$8,F479=" ")," ",D479+1))</f>
        <v xml:space="preserve"> </v>
      </c>
      <c r="E480" s="130" t="str">
        <f>IF(OR(F479='депозитный калькулятор'!$D$8,F479=" ")," ",IF(EOMONTH(F479,0)=F479,1,E479+1))</f>
        <v xml:space="preserve"> </v>
      </c>
      <c r="F480" s="64" t="str">
        <f>IF(F479=" "," ",IF(F479='депозитный калькулятор'!$D$8," ",F479+1))</f>
        <v xml:space="preserve"> </v>
      </c>
      <c r="G480" s="145" t="str">
        <f xml:space="preserve"> IF(F480&gt;'депозитный калькулятор'!$D$8," ",IF('депозитный калькулятор'!$G$13="есть",IF('депозитный калькулятор'!$G$14="есть",G479+IF(I479=" ",0,I479)-J480-K480+L480+M480-N480,G479+IF(I479=" ",0,I479)-J480-K480+M480-N480),IF('депозитный калькулятор'!$G$14="есть",G479-J480-K480+L480+M480-N480,G479-J480-K480+M480-N480)))</f>
        <v xml:space="preserve"> </v>
      </c>
      <c r="H480" s="133" t="str">
        <f>IF(F480&gt;'депозитный калькулятор'!$D$8," ",IF(AND(OR('депозитный калькулятор'!$G$7="30/365",'депозитный калькулятор'!$G$7="30/360"),AND(MONTH(F480)=2,EOMONTH(F480,0)=F480)),IF(DAY(F480)=28,3*G480*'депозитный калькулятор'!$G$8,2*G480*'депозитный калькулятор'!$G$8),IF(AND(OR('депозитный калькулятор'!$G$7="30/365",'депозитный калькулятор'!$G$7="30/360"),DAY(F480)=31)," ",IF(AND('депозитный калькулятор'!$G$7="факт/факт",MOD(YEAR(F480),4)=0),G480*'депозитный калькулятор'!$D$11/366,G480*'депозитный калькулятор'!$G$8))))</f>
        <v xml:space="preserve"> </v>
      </c>
      <c r="I480" s="134" t="str">
        <f ca="1">IF(F480=" "," ",IF('депозитный калькулятор'!$G$10="ежедневное",H480,IF(AND('депозитный калькулятор'!$G$10="еженедельное",WEEKDAY(F480,2)=7),SUM(OFFSET(H480,-6,0):H480),IF(AND('депозитный калькулятор'!$G$10="еженедельное",F480='депозитный калькулятор'!$D$8),SUM($H$23:H480)-SUM($I$23:I479),IF(AND('депозитный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недели",WEEKDAY(F480,2)=7),MIN(OFFSET(H480,-6,0):H480)*(COUNTIF(OFFSET(H480,-6,0):H480,"&gt;0")+SUMIF(OFFSET(A480,-WEEKDAY(F480,2),0):A480,"=2",OFFSET(A480,-WEEKDAY(F480,2),0):A480)),IF(AND('депозитный калькулятор'!$G$10="еженедельное, на минимальную сумму зафиксированную в течение недели",F480='депозитный калькулятор'!$D$8,WEEKDAY(F480,2)&lt;&gt;7),MIN(OFFSET(H480,-WEEKDAY(F480,2),0):H480)*(COUNTIF(OFFSET(H480,-WEEKDAY(F480,2)+1,0):H480,"&gt;0")+SUM(OFFSET(A480,-WEEKDAY(F480,2),0):A480)),IF(AND('депозитный калькулятор'!$G$10="ежемесячное (в конце месяца)",F480='депозитный калькулятор'!$D$8,EOMONTH(F480,0)&lt;&gt;F480),IF('депозитный калькулятор'!$F$1=1,$H$24,SUM($H$23:H480)-SUM($I$23:I479)),IF(AND('депозитный калькулятор'!$G$10="ежемесячное (в конце месяца)",EOMONTH(F480,0)=F480),SUM($H$23:H480)-SUM($I$23:I479),IF(AND('депозитный калькулятор'!$G$10="ежемесячное (по дням открытия вклада)",F480='депозитный калькулятор'!$D$8,DAY('депозитный калькулятор'!$D$7)&lt;&gt;DAY(F480)),IF('депозитный калькулятор'!$F$1=1,$H$24,SUM($H$23:H480)-SUM($I$23:I479)),IF(AND('депозитный калькулятор'!$G$10="ежемесячное (по дням открытия вклада)",DAY('депозитный калькулятор'!$D$7)=DAY(F480)),SUM($H$23:H480)-SUM($I$23:I479),IF(AND('депозитный калькулятор'!$G$10="ежемесячное, на минимальную сумму зафиксированную в течение месяца",F480='депозитный калькулятор'!$D$8,EOMONTH(F480,0)&lt;&gt;F480),IF('депозитный калькулятор'!$F$1=1,$H$24,IF(AND(OR('депозитный калькулятор'!$G$7="30/365",'депозитный калькулятор'!$G$7="30/360"),DAY(F480)=31),0,MIN(OFFSET(H480,-E480+1,0):H480)*(E480+SUMIF(OFFSET(A480,-E480+1,0):A480,"=2",OFFSET(A480,-E480+1,0):A480)))),IF(AND('депозитный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калькулятор'!$G$7="30/360"),DAY(EOMONTH(F480,0))=31),EOMONTH(F480,0)-1=F480,EOMONTH(F480,0)=F480)),IF(IF(AND(OR('депозитный калькулятор'!$G$7="30/365",'депозитный калькулятор'!$G$7="30/360"),DAY(EOMONTH($F$23,0))=31),F480=EOMONTH($F$23,0)-1,F480=EOMONTH($F$23,0)),MIN(OFFSET(H480,-(DAY(F480)-DAY($F$23)),0):H480)*E480,MIN(OFFSET(H480,-(DAY(F480)-1),0):H480)*IF(AND(OR('депозитный калькулятор'!$G$7="30/365",'депозитный калькулятор'!$G$7="30/360"),DAY(F480)&lt;30),30,DAY(F480))),IF(AND('депозитный калькулятор'!$G$10="ежемесячное, на средний остаток в течение месяца, при условии что остаток больше чем ограничение",F480='депозитный калькулятор'!$D$8,EOMONTH(F480,0)&lt;&gt;F480),IF('депозитный калькулятор'!$F$1=1,$H$24,SUM(OFFSET(Q480,-E480+1,0):Q480)),IF(AND('депозитный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калькулятор'!$G$7="30/360"),DAY(EOMONTH(F480,0))=31),EOMONTH(F480,0)-1=F480,EOMONTH(F480,0)=F480)),IF(IF(AND(OR('депозитный калькулятор'!$G$7="30/365",'депозитный калькулятор'!$G$7="30/360"),DAY(EOMONTH($F$24,0))=31),F480=EOMONTH($F$24,0)-1,F480=EOMONTH($F$24,0)),SUM(OFFSET(Q480,-E480+1,0):Q480),SUM(OFFSET(Q480,-E480+1,0):Q480)),IF('депозитный калькулятор'!$G$10="ежеквартальное",IF(F480&gt;'депозитный калькулятор'!$D$8," ",IF(AND(EOMONTH(F480,0)=F480,OR(MONTH(F480)=3,MONTH(F480)=6,MONTH(F480)=9,MONTH(F480)=12)),IF(EDATE(F480,-3)&lt;'депозитный калькулятор'!$D$7,SUM($H$23:H480),IF(MOD(YEAR(F480),4)=0,IF(AND(EOMONTH(F480,0)=F480,OR(MONTH(F480)=3,MONTH(F480)=6)),SUM(OFFSET(H480,-90,0):H480),IF(AND(EOMONTH(F480,0)=F480,OR(MONTH(F480)=9,MONTH(F480)=12)),SUM(OFFSET(H480,-91,0):H480))),IF(AND(EOMONTH(F480,0)=F480,MONTH(F480)=3),SUM(OFFSET(H480,-89,0):H480),IF(AND(EOMONTH(F480,0)=F480,MONTH(F480)=6),SUM(OFFSET(H480,-90,0):H480),IF(AND(EOMONTH(F480,0)=F480,OR(MONTH(F480)=9,MONTH(F480)=12)),SUM(OFFSET(H480,-91,0):H480)))))),IF(F480='депозитный калькулятор'!$D$8,SUM($H$23:H480)-SUM($I$23:I479),0))),IF('депозитный калькулятор'!$G$10="ежегодное",IF(F480&gt;'депозитный калькулятор'!$D$8," ",IF(F480='депозитный калькулятор'!$D$8,SUM($H$23:H480)-SUM($I$23:I479),IF(AND(EOMONTH(F480,0)=F480,MONTH(F480)=12),IF(MOD(YEAR(F479),4)=0,IF(F480-'депозитный калькулятор'!$D$7&lt;366,SUM($H$23:H480),SUM(OFFSET(H480,-365,0):H480)),IF(F480-'депозитный калькулятор'!$D$7&lt;365,SUM($H$23:H480),SUM(OFFSET(H480,-364,0):H480))),0))),IF(AND('депозитный калькулятор'!$G$10="в конце срока",'депозитный калькулятор'!$D$8=F480),SUM($H$23:H480),0))))))))))))))))))</f>
        <v xml:space="preserve"> </v>
      </c>
      <c r="J480" s="59" t="str">
        <f>IF(F480&gt;'депозитный калькулятор'!$D$8," ",IF('депозитный калькулятор'!$G$16="нет",0,IF(AND('депозитный калькулятор'!$G$17="разовая (в конце срока)",F480='депозитный калькулятор'!$D$8),'депозитный калькулятор'!$G$18,IF(AND('депозитный калькулятор'!$G$17="ежемесячная",EOMONTH(F479,0)=F479),'депозитный калькулятор'!$G$18,IF(AND('депозитный калькулятор'!$G$17="ежегодная",DAY(F479)=31,MONTH(F479)=12),'депозитный калькулятор'!$G$18,IF(AND('депозитный калькулятор'!$G$17="ежемесячная в зависимости от остатка",EOMONTH(F479,0)=F479,P479&gt;0),'депозитный калькулятор'!$G$18,IF(AND('депозитный калькулятор'!$G$17="ежегодная в зависимости от остатка",DAY(F479)=31,MONTH(F479)=12,P479&gt;0),'депозитный калькулятор'!$G$18,0)))))))</f>
        <v xml:space="preserve"> </v>
      </c>
      <c r="K480" s="135" t="str">
        <f>IF($F480=" "," ",IFERROR(VLOOKUP($F480,'депозитный калькулятор'!$B$26:$F$70,2,0),0))</f>
        <v xml:space="preserve"> </v>
      </c>
      <c r="L480" s="135" t="str">
        <f>IF($F480=" "," ",IFERROR(VLOOKUP($F480,'депозитный калькулятор'!$B$26:$F$70,3,0),0))</f>
        <v xml:space="preserve"> </v>
      </c>
      <c r="M480" s="135" t="str">
        <f>IF($F480=" "," ",IFERROR(VLOOKUP($F480,'депозитный калькулятор'!$B$26:$F$70,4,0),0))</f>
        <v xml:space="preserve"> </v>
      </c>
      <c r="N480" s="135" t="str">
        <f>IF($F480=" "," ",IFERROR(VLOOKUP($F480,'депозитный калькулятор'!$B$26:$F$70,5,0),0))</f>
        <v xml:space="preserve"> </v>
      </c>
      <c r="O480" s="146" t="str">
        <f>IF(F480&gt;'депозитный калькулятор'!$D$8," ",IF(F480='депозитный калькулятор'!$D$8,IF(AND($F$24='депозитный калькулятор'!$D$8,'депозитный калькулятор'!$G$13="нет"),-G480-IF(I480=" ",0,I480)-IF(AND(OR('депозитный калькулятор'!$G$7="30/365",'депозитный калькулятор'!$G$7="30/360"),'депозитный калькулятор'!$G$10="в начале срока"),I479,0)-L480+M480-N480,-G480-IF(I480=" ",0,I480)-L480+M480-N480),IF('депозитный калькулятор'!$G$13="есть",M480-N480+IF('депозитный калькулятор'!$G$14="есть",0,-L480),-IF(I480=" ",0,I480)-IF(AND(OR('депозитный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срока"),I479,0)+M480-N480+IF('депозитный калькулятор'!$G$14="есть",0,-L480))))</f>
        <v xml:space="preserve"> </v>
      </c>
      <c r="P480" s="147" t="str">
        <f>IF(F480&gt;'депозитный калькулятор'!$D$8," ",IF(EOMONTH(F479,0)=F479,0,IF(G480&gt;='депозитный калькулятор'!$G$19,P479,P479+1)))</f>
        <v xml:space="preserve"> </v>
      </c>
      <c r="Q480" s="138" t="str">
        <f>IF(F480=" "," ",IF(AND(OR('депозитный калькулятор'!$G$7="30/365",'депозитный калькулятор'!$G$7="30/360"),AND(MONTH(F480)=2,EOMONTH(F480,0)=F480)),IF(DAY(F480)=28,3,2),1)*IF(G480&gt;='депозитный калькулятор'!$G$11,IF(AND('депозитный калькулятор'!$G$7="факт/факт",MOD(YEAR(F480),4)=0),G480*'депозитный калькулятор'!$D$11/366,G480*'депозитный калькулятор'!$G$8),0))</f>
        <v xml:space="preserve"> </v>
      </c>
      <c r="R480" s="158"/>
      <c r="S480" s="62" t="str">
        <f t="shared" ca="1" si="37"/>
        <v xml:space="preserve"> </v>
      </c>
      <c r="T480" s="149" t="str">
        <f ca="1">IF(S480=" "," ",IF('депозитный калькулятор'!$G$7="30/360",DAYS360(U479,IF(DAY(U480)=31,U480-1,U480))+IF(AND(MONTH(U480)=2,U480=EOMONTH(U480,0)),30-DAY(EOMONTH(U480,0)))+T479,VLOOKUP(S480,$C$22:$F$1023,2,0)))</f>
        <v xml:space="preserve"> </v>
      </c>
      <c r="U480" s="64" t="str">
        <f t="shared" ca="1" si="35"/>
        <v xml:space="preserve"> </v>
      </c>
      <c r="V480" s="150" t="str">
        <f t="shared" ca="1" si="38"/>
        <v xml:space="preserve"> </v>
      </c>
      <c r="W480" s="62" t="str">
        <f t="shared" ca="1" si="39"/>
        <v xml:space="preserve"> </v>
      </c>
      <c r="X480" s="141" t="str">
        <f ca="1">IF(S480=" "," ",IFERROR(VLOOKUP(U480,$F$23:$N$1023,7)+VLOOKUP(U480,$F$23:$N$1023,9)+IF(AND('депозитный калькулятор'!$G$13="нет",U480&lt;&gt;'депозитный калькулятор'!$D$8),VLOOKUP(U480,$F$23:$N$1023,4),0),0)+IF(U480='депозитный калькулятор'!$D$8,VLOOKUP(U480,$F$23:$N$1023,2)+VLOOKUP(U480,$F$23:$N$1023,4),0))</f>
        <v xml:space="preserve"> </v>
      </c>
      <c r="Y480" s="142" t="str">
        <f ca="1">IF(S480=" "," ",W480/(1+'депозитный калькулятор'!$K$8)^(T480/IF('депозитный калькулятор'!$G$7="30/360",360,365)))</f>
        <v xml:space="preserve"> </v>
      </c>
      <c r="Z480" s="142" t="str">
        <f ca="1">IF(S480=" "," ",X480/(1+'депозитный калькулятор'!$K$8)^(T480/IF('депозитный калькулятор'!$G$7="30/360",360,365)))</f>
        <v xml:space="preserve"> </v>
      </c>
      <c r="AA480" s="151"/>
      <c r="AB480" s="151"/>
      <c r="AC480" s="155"/>
      <c r="AD480" s="155"/>
    </row>
    <row r="481" spans="1:30" s="2" customFormat="1" ht="15.5" x14ac:dyDescent="0.35">
      <c r="A481" s="41" t="str">
        <f>IF(F481=" "," ",IF(OR('депозитный калькулятор'!$G$7="30/365",'депозитный калькулятор'!$G$7="30/360"),IF(AND(MONTH(F481)=2,DAY(F481)=DAY(EOMONTH(F481,0))),30-DAY(EOMONTH(F481,0)),IF(DAY(F481)=31,1," "))," "))</f>
        <v xml:space="preserve"> </v>
      </c>
      <c r="B481" s="130" t="str">
        <f t="shared" si="36"/>
        <v xml:space="preserve"> </v>
      </c>
      <c r="C481" s="130" t="str">
        <f>IF(OR(B481=0,B481=" ")," ",SUM($B$23:B481))</f>
        <v xml:space="preserve"> </v>
      </c>
      <c r="D481" s="62" t="str">
        <f>IF(D480=" "," ",IF(OR(F480='депозитный калькулятор'!$D$8,F480=" ")," ",D480+1))</f>
        <v xml:space="preserve"> </v>
      </c>
      <c r="E481" s="130" t="str">
        <f>IF(OR(F480='депозитный калькулятор'!$D$8,F480=" ")," ",IF(EOMONTH(F480,0)=F480,1,E480+1))</f>
        <v xml:space="preserve"> </v>
      </c>
      <c r="F481" s="64" t="str">
        <f>IF(F480=" "," ",IF(F480='депозитный калькулятор'!$D$8," ",F480+1))</f>
        <v xml:space="preserve"> </v>
      </c>
      <c r="G481" s="145" t="str">
        <f xml:space="preserve"> IF(F481&gt;'депозитный калькулятор'!$D$8," ",IF('депозитный калькулятор'!$G$13="есть",IF('депозитный калькулятор'!$G$14="есть",G480+IF(I480=" ",0,I480)-J481-K481+L481+M481-N481,G480+IF(I480=" ",0,I480)-J481-K481+M481-N481),IF('депозитный калькулятор'!$G$14="есть",G480-J481-K481+L481+M481-N481,G480-J481-K481+M481-N481)))</f>
        <v xml:space="preserve"> </v>
      </c>
      <c r="H481" s="133" t="str">
        <f>IF(F481&gt;'депозитный калькулятор'!$D$8," ",IF(AND(OR('депозитный калькулятор'!$G$7="30/365",'депозитный калькулятор'!$G$7="30/360"),AND(MONTH(F481)=2,EOMONTH(F481,0)=F481)),IF(DAY(F481)=28,3*G481*'депозитный калькулятор'!$G$8,2*G481*'депозитный калькулятор'!$G$8),IF(AND(OR('депозитный калькулятор'!$G$7="30/365",'депозитный калькулятор'!$G$7="30/360"),DAY(F481)=31)," ",IF(AND('депозитный калькулятор'!$G$7="факт/факт",MOD(YEAR(F481),4)=0),G481*'депозитный калькулятор'!$D$11/366,G481*'депозитный калькулятор'!$G$8))))</f>
        <v xml:space="preserve"> </v>
      </c>
      <c r="I481" s="134" t="str">
        <f ca="1">IF(F481=" "," ",IF('депозитный калькулятор'!$G$10="ежедневное",H481,IF(AND('депозитный калькулятор'!$G$10="еженедельное",WEEKDAY(F481,2)=7),SUM(OFFSET(H481,-6,0):H481),IF(AND('депозитный калькулятор'!$G$10="еженедельное",F481='депозитный калькулятор'!$D$8),SUM($H$23:H481)-SUM($I$23:I480),IF(AND('депозитный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недели",WEEKDAY(F481,2)=7),MIN(OFFSET(H481,-6,0):H481)*(COUNTIF(OFFSET(H481,-6,0):H481,"&gt;0")+SUMIF(OFFSET(A481,-WEEKDAY(F481,2),0):A481,"=2",OFFSET(A481,-WEEKDAY(F481,2),0):A481)),IF(AND('депозитный калькулятор'!$G$10="еженедельное, на минимальную сумму зафиксированную в течение недели",F481='депозитный калькулятор'!$D$8,WEEKDAY(F481,2)&lt;&gt;7),MIN(OFFSET(H481,-WEEKDAY(F481,2),0):H481)*(COUNTIF(OFFSET(H481,-WEEKDAY(F481,2)+1,0):H481,"&gt;0")+SUM(OFFSET(A481,-WEEKDAY(F481,2),0):A481)),IF(AND('депозитный калькулятор'!$G$10="ежемесячное (в конце месяца)",F481='депозитный калькулятор'!$D$8,EOMONTH(F481,0)&lt;&gt;F481),IF('депозитный калькулятор'!$F$1=1,$H$24,SUM($H$23:H481)-SUM($I$23:I480)),IF(AND('депозитный калькулятор'!$G$10="ежемесячное (в конце месяца)",EOMONTH(F481,0)=F481),SUM($H$23:H481)-SUM($I$23:I480),IF(AND('депозитный калькулятор'!$G$10="ежемесячное (по дням открытия вклада)",F481='депозитный калькулятор'!$D$8,DAY('депозитный калькулятор'!$D$7)&lt;&gt;DAY(F481)),IF('депозитный калькулятор'!$F$1=1,$H$24,SUM($H$23:H481)-SUM($I$23:I480)),IF(AND('депозитный калькулятор'!$G$10="ежемесячное (по дням открытия вклада)",DAY('депозитный калькулятор'!$D$7)=DAY(F481)),SUM($H$23:H481)-SUM($I$23:I480),IF(AND('депозитный калькулятор'!$G$10="ежемесячное, на минимальную сумму зафиксированную в течение месяца",F481='депозитный калькулятор'!$D$8,EOMONTH(F481,0)&lt;&gt;F481),IF('депозитный калькулятор'!$F$1=1,$H$24,IF(AND(OR('депозитный калькулятор'!$G$7="30/365",'депозитный калькулятор'!$G$7="30/360"),DAY(F481)=31),0,MIN(OFFSET(H481,-E481+1,0):H481)*(E481+SUMIF(OFFSET(A481,-E481+1,0):A481,"=2",OFFSET(A481,-E481+1,0):A481)))),IF(AND('депозитный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калькулятор'!$G$7="30/360"),DAY(EOMONTH(F481,0))=31),EOMONTH(F481,0)-1=F481,EOMONTH(F481,0)=F481)),IF(IF(AND(OR('депозитный калькулятор'!$G$7="30/365",'депозитный калькулятор'!$G$7="30/360"),DAY(EOMONTH($F$23,0))=31),F481=EOMONTH($F$23,0)-1,F481=EOMONTH($F$23,0)),MIN(OFFSET(H481,-(DAY(F481)-DAY($F$23)),0):H481)*E481,MIN(OFFSET(H481,-(DAY(F481)-1),0):H481)*IF(AND(OR('депозитный калькулятор'!$G$7="30/365",'депозитный калькулятор'!$G$7="30/360"),DAY(F481)&lt;30),30,DAY(F481))),IF(AND('депозитный калькулятор'!$G$10="ежемесячное, на средний остаток в течение месяца, при условии что остаток больше чем ограничение",F481='депозитный калькулятор'!$D$8,EOMONTH(F481,0)&lt;&gt;F481),IF('депозитный калькулятор'!$F$1=1,$H$24,SUM(OFFSET(Q481,-E481+1,0):Q481)),IF(AND('депозитный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калькулятор'!$G$7="30/360"),DAY(EOMONTH(F481,0))=31),EOMONTH(F481,0)-1=F481,EOMONTH(F481,0)=F481)),IF(IF(AND(OR('депозитный калькулятор'!$G$7="30/365",'депозитный калькулятор'!$G$7="30/360"),DAY(EOMONTH($F$24,0))=31),F481=EOMONTH($F$24,0)-1,F481=EOMONTH($F$24,0)),SUM(OFFSET(Q481,-E481+1,0):Q481),SUM(OFFSET(Q481,-E481+1,0):Q481)),IF('депозитный калькулятор'!$G$10="ежеквартальное",IF(F481&gt;'депозитный калькулятор'!$D$8," ",IF(AND(EOMONTH(F481,0)=F481,OR(MONTH(F481)=3,MONTH(F481)=6,MONTH(F481)=9,MONTH(F481)=12)),IF(EDATE(F481,-3)&lt;'депозитный калькулятор'!$D$7,SUM($H$23:H481),IF(MOD(YEAR(F481),4)=0,IF(AND(EOMONTH(F481,0)=F481,OR(MONTH(F481)=3,MONTH(F481)=6)),SUM(OFFSET(H481,-90,0):H481),IF(AND(EOMONTH(F481,0)=F481,OR(MONTH(F481)=9,MONTH(F481)=12)),SUM(OFFSET(H481,-91,0):H481))),IF(AND(EOMONTH(F481,0)=F481,MONTH(F481)=3),SUM(OFFSET(H481,-89,0):H481),IF(AND(EOMONTH(F481,0)=F481,MONTH(F481)=6),SUM(OFFSET(H481,-90,0):H481),IF(AND(EOMONTH(F481,0)=F481,OR(MONTH(F481)=9,MONTH(F481)=12)),SUM(OFFSET(H481,-91,0):H481)))))),IF(F481='депозитный калькулятор'!$D$8,SUM($H$23:H481)-SUM($I$23:I480),0))),IF('депозитный калькулятор'!$G$10="ежегодное",IF(F481&gt;'депозитный калькулятор'!$D$8," ",IF(F481='депозитный калькулятор'!$D$8,SUM($H$23:H481)-SUM($I$23:I480),IF(AND(EOMONTH(F481,0)=F481,MONTH(F481)=12),IF(MOD(YEAR(F480),4)=0,IF(F481-'депозитный калькулятор'!$D$7&lt;366,SUM($H$23:H481),SUM(OFFSET(H481,-365,0):H481)),IF(F481-'депозитный калькулятор'!$D$7&lt;365,SUM($H$23:H481),SUM(OFFSET(H481,-364,0):H481))),0))),IF(AND('депозитный калькулятор'!$G$10="в конце срока",'депозитный калькулятор'!$D$8=F481),SUM($H$23:H481),0))))))))))))))))))</f>
        <v xml:space="preserve"> </v>
      </c>
      <c r="J481" s="59" t="str">
        <f>IF(F481&gt;'депозитный калькулятор'!$D$8," ",IF('депозитный калькулятор'!$G$16="нет",0,IF(AND('депозитный калькулятор'!$G$17="разовая (в конце срока)",F481='депозитный калькулятор'!$D$8),'депозитный калькулятор'!$G$18,IF(AND('депозитный калькулятор'!$G$17="ежемесячная",EOMONTH(F480,0)=F480),'депозитный калькулятор'!$G$18,IF(AND('депозитный калькулятор'!$G$17="ежегодная",DAY(F480)=31,MONTH(F480)=12),'депозитный калькулятор'!$G$18,IF(AND('депозитный калькулятор'!$G$17="ежемесячная в зависимости от остатка",EOMONTH(F480,0)=F480,P480&gt;0),'депозитный калькулятор'!$G$18,IF(AND('депозитный калькулятор'!$G$17="ежегодная в зависимости от остатка",DAY(F480)=31,MONTH(F480)=12,P480&gt;0),'депозитный калькулятор'!$G$18,0)))))))</f>
        <v xml:space="preserve"> </v>
      </c>
      <c r="K481" s="135" t="str">
        <f>IF($F481=" "," ",IFERROR(VLOOKUP($F481,'депозитный калькулятор'!$B$26:$F$70,2,0),0))</f>
        <v xml:space="preserve"> </v>
      </c>
      <c r="L481" s="135" t="str">
        <f>IF($F481=" "," ",IFERROR(VLOOKUP($F481,'депозитный калькулятор'!$B$26:$F$70,3,0),0))</f>
        <v xml:space="preserve"> </v>
      </c>
      <c r="M481" s="135" t="str">
        <f>IF($F481=" "," ",IFERROR(VLOOKUP($F481,'депозитный калькулятор'!$B$26:$F$70,4,0),0))</f>
        <v xml:space="preserve"> </v>
      </c>
      <c r="N481" s="135" t="str">
        <f>IF($F481=" "," ",IFERROR(VLOOKUP($F481,'депозитный калькулятор'!$B$26:$F$70,5,0),0))</f>
        <v xml:space="preserve"> </v>
      </c>
      <c r="O481" s="146" t="str">
        <f>IF(F481&gt;'депозитный калькулятор'!$D$8," ",IF(F481='депозитный калькулятор'!$D$8,IF(AND($F$24='депозитный калькулятор'!$D$8,'депозитный калькулятор'!$G$13="нет"),-G481-IF(I481=" ",0,I481)-IF(AND(OR('депозитный калькулятор'!$G$7="30/365",'депозитный калькулятор'!$G$7="30/360"),'депозитный калькулятор'!$G$10="в начале срока"),I480,0)-L481+M481-N481,-G481-IF(I481=" ",0,I481)-L481+M481-N481),IF('депозитный калькулятор'!$G$13="есть",M481-N481+IF('депозитный калькулятор'!$G$14="есть",0,-L481),-IF(I481=" ",0,I481)-IF(AND(OR('депозитный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срока"),I480,0)+M481-N481+IF('депозитный калькулятор'!$G$14="есть",0,-L481))))</f>
        <v xml:space="preserve"> </v>
      </c>
      <c r="P481" s="147" t="str">
        <f>IF(F481&gt;'депозитный калькулятор'!$D$8," ",IF(EOMONTH(F480,0)=F480,0,IF(G481&gt;='депозитный калькулятор'!$G$19,P480,P480+1)))</f>
        <v xml:space="preserve"> </v>
      </c>
      <c r="Q481" s="138" t="str">
        <f>IF(F481=" "," ",IF(AND(OR('депозитный калькулятор'!$G$7="30/365",'депозитный калькулятор'!$G$7="30/360"),AND(MONTH(F481)=2,EOMONTH(F481,0)=F481)),IF(DAY(F481)=28,3,2),1)*IF(G481&gt;='депозитный калькулятор'!$G$11,IF(AND('депозитный калькулятор'!$G$7="факт/факт",MOD(YEAR(F481),4)=0),G481*'депозитный калькулятор'!$D$11/366,G481*'депозитный калькулятор'!$G$8),0))</f>
        <v xml:space="preserve"> </v>
      </c>
      <c r="R481" s="158"/>
      <c r="S481" s="62" t="str">
        <f t="shared" ca="1" si="37"/>
        <v xml:space="preserve"> </v>
      </c>
      <c r="T481" s="149" t="str">
        <f ca="1">IF(S481=" "," ",IF('депозитный калькулятор'!$G$7="30/360",DAYS360(U480,IF(DAY(U481)=31,U481-1,U481))+IF(AND(MONTH(U481)=2,U481=EOMONTH(U481,0)),30-DAY(EOMONTH(U481,0)))+T480,VLOOKUP(S481,$C$22:$F$1023,2,0)))</f>
        <v xml:space="preserve"> </v>
      </c>
      <c r="U481" s="64" t="str">
        <f t="shared" ca="1" si="35"/>
        <v xml:space="preserve"> </v>
      </c>
      <c r="V481" s="150" t="str">
        <f t="shared" ca="1" si="38"/>
        <v xml:space="preserve"> </v>
      </c>
      <c r="W481" s="62" t="str">
        <f t="shared" ca="1" si="39"/>
        <v xml:space="preserve"> </v>
      </c>
      <c r="X481" s="141" t="str">
        <f ca="1">IF(S481=" "," ",IFERROR(VLOOKUP(U481,$F$23:$N$1023,7)+VLOOKUP(U481,$F$23:$N$1023,9)+IF(AND('депозитный калькулятор'!$G$13="нет",U481&lt;&gt;'депозитный калькулятор'!$D$8),VLOOKUP(U481,$F$23:$N$1023,4),0),0)+IF(U481='депозитный калькулятор'!$D$8,VLOOKUP(U481,$F$23:$N$1023,2)+VLOOKUP(U481,$F$23:$N$1023,4),0))</f>
        <v xml:space="preserve"> </v>
      </c>
      <c r="Y481" s="142" t="str">
        <f ca="1">IF(S481=" "," ",W481/(1+'депозитный калькулятор'!$K$8)^(T481/IF('депозитный калькулятор'!$G$7="30/360",360,365)))</f>
        <v xml:space="preserve"> </v>
      </c>
      <c r="Z481" s="142" t="str">
        <f ca="1">IF(S481=" "," ",X481/(1+'депозитный калькулятор'!$K$8)^(T481/IF('депозитный калькулятор'!$G$7="30/360",360,365)))</f>
        <v xml:space="preserve"> </v>
      </c>
      <c r="AA481" s="151"/>
      <c r="AB481" s="151"/>
      <c r="AC481" s="155"/>
      <c r="AD481" s="155"/>
    </row>
    <row r="482" spans="1:30" s="2" customFormat="1" ht="15.5" x14ac:dyDescent="0.35">
      <c r="A482" s="41" t="str">
        <f>IF(F482=" "," ",IF(OR('депозитный калькулятор'!$G$7="30/365",'депозитный калькулятор'!$G$7="30/360"),IF(AND(MONTH(F482)=2,DAY(F482)=DAY(EOMONTH(F482,0))),30-DAY(EOMONTH(F482,0)),IF(DAY(F482)=31,1," "))," "))</f>
        <v xml:space="preserve"> </v>
      </c>
      <c r="B482" s="130" t="str">
        <f t="shared" si="36"/>
        <v xml:space="preserve"> </v>
      </c>
      <c r="C482" s="130" t="str">
        <f>IF(OR(B482=0,B482=" ")," ",SUM($B$23:B482))</f>
        <v xml:space="preserve"> </v>
      </c>
      <c r="D482" s="62" t="str">
        <f>IF(D481=" "," ",IF(OR(F481='депозитный калькулятор'!$D$8,F481=" ")," ",D481+1))</f>
        <v xml:space="preserve"> </v>
      </c>
      <c r="E482" s="130" t="str">
        <f>IF(OR(F481='депозитный калькулятор'!$D$8,F481=" ")," ",IF(EOMONTH(F481,0)=F481,1,E481+1))</f>
        <v xml:space="preserve"> </v>
      </c>
      <c r="F482" s="64" t="str">
        <f>IF(F481=" "," ",IF(F481='депозитный калькулятор'!$D$8," ",F481+1))</f>
        <v xml:space="preserve"> </v>
      </c>
      <c r="G482" s="145" t="str">
        <f xml:space="preserve"> IF(F482&gt;'депозитный калькулятор'!$D$8," ",IF('депозитный калькулятор'!$G$13="есть",IF('депозитный калькулятор'!$G$14="есть",G481+IF(I481=" ",0,I481)-J482-K482+L482+M482-N482,G481+IF(I481=" ",0,I481)-J482-K482+M482-N482),IF('депозитный калькулятор'!$G$14="есть",G481-J482-K482+L482+M482-N482,G481-J482-K482+M482-N482)))</f>
        <v xml:space="preserve"> </v>
      </c>
      <c r="H482" s="133" t="str">
        <f>IF(F482&gt;'депозитный калькулятор'!$D$8," ",IF(AND(OR('депозитный калькулятор'!$G$7="30/365",'депозитный калькулятор'!$G$7="30/360"),AND(MONTH(F482)=2,EOMONTH(F482,0)=F482)),IF(DAY(F482)=28,3*G482*'депозитный калькулятор'!$G$8,2*G482*'депозитный калькулятор'!$G$8),IF(AND(OR('депозитный калькулятор'!$G$7="30/365",'депозитный калькулятор'!$G$7="30/360"),DAY(F482)=31)," ",IF(AND('депозитный калькулятор'!$G$7="факт/факт",MOD(YEAR(F482),4)=0),G482*'депозитный калькулятор'!$D$11/366,G482*'депозитный калькулятор'!$G$8))))</f>
        <v xml:space="preserve"> </v>
      </c>
      <c r="I482" s="134" t="str">
        <f ca="1">IF(F482=" "," ",IF('депозитный калькулятор'!$G$10="ежедневное",H482,IF(AND('депозитный калькулятор'!$G$10="еженедельное",WEEKDAY(F482,2)=7),SUM(OFFSET(H482,-6,0):H482),IF(AND('депозитный калькулятор'!$G$10="еженедельное",F482='депозитный калькулятор'!$D$8),SUM($H$23:H482)-SUM($I$23:I481),IF(AND('депозитный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недели",WEEKDAY(F482,2)=7),MIN(OFFSET(H482,-6,0):H482)*(COUNTIF(OFFSET(H482,-6,0):H482,"&gt;0")+SUMIF(OFFSET(A482,-WEEKDAY(F482,2),0):A482,"=2",OFFSET(A482,-WEEKDAY(F482,2),0):A482)),IF(AND('депозитный калькулятор'!$G$10="еженедельное, на минимальную сумму зафиксированную в течение недели",F482='депозитный калькулятор'!$D$8,WEEKDAY(F482,2)&lt;&gt;7),MIN(OFFSET(H482,-WEEKDAY(F482,2),0):H482)*(COUNTIF(OFFSET(H482,-WEEKDAY(F482,2)+1,0):H482,"&gt;0")+SUM(OFFSET(A482,-WEEKDAY(F482,2),0):A482)),IF(AND('депозитный калькулятор'!$G$10="ежемесячное (в конце месяца)",F482='депозитный калькулятор'!$D$8,EOMONTH(F482,0)&lt;&gt;F482),IF('депозитный калькулятор'!$F$1=1,$H$24,SUM($H$23:H482)-SUM($I$23:I481)),IF(AND('депозитный калькулятор'!$G$10="ежемесячное (в конце месяца)",EOMONTH(F482,0)=F482),SUM($H$23:H482)-SUM($I$23:I481),IF(AND('депозитный калькулятор'!$G$10="ежемесячное (по дням открытия вклада)",F482='депозитный калькулятор'!$D$8,DAY('депозитный калькулятор'!$D$7)&lt;&gt;DAY(F482)),IF('депозитный калькулятор'!$F$1=1,$H$24,SUM($H$23:H482)-SUM($I$23:I481)),IF(AND('депозитный калькулятор'!$G$10="ежемесячное (по дням открытия вклада)",DAY('депозитный калькулятор'!$D$7)=DAY(F482)),SUM($H$23:H482)-SUM($I$23:I481),IF(AND('депозитный калькулятор'!$G$10="ежемесячное, на минимальную сумму зафиксированную в течение месяца",F482='депозитный калькулятор'!$D$8,EOMONTH(F482,0)&lt;&gt;F482),IF('депозитный калькулятор'!$F$1=1,$H$24,IF(AND(OR('депозитный калькулятор'!$G$7="30/365",'депозитный калькулятор'!$G$7="30/360"),DAY(F482)=31),0,MIN(OFFSET(H482,-E482+1,0):H482)*(E482+SUMIF(OFFSET(A482,-E482+1,0):A482,"=2",OFFSET(A482,-E482+1,0):A482)))),IF(AND('депозитный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калькулятор'!$G$7="30/360"),DAY(EOMONTH(F482,0))=31),EOMONTH(F482,0)-1=F482,EOMONTH(F482,0)=F482)),IF(IF(AND(OR('депозитный калькулятор'!$G$7="30/365",'депозитный калькулятор'!$G$7="30/360"),DAY(EOMONTH($F$23,0))=31),F482=EOMONTH($F$23,0)-1,F482=EOMONTH($F$23,0)),MIN(OFFSET(H482,-(DAY(F482)-DAY($F$23)),0):H482)*E482,MIN(OFFSET(H482,-(DAY(F482)-1),0):H482)*IF(AND(OR('депозитный калькулятор'!$G$7="30/365",'депозитный калькулятор'!$G$7="30/360"),DAY(F482)&lt;30),30,DAY(F482))),IF(AND('депозитный калькулятор'!$G$10="ежемесячное, на средний остаток в течение месяца, при условии что остаток больше чем ограничение",F482='депозитный калькулятор'!$D$8,EOMONTH(F482,0)&lt;&gt;F482),IF('депозитный калькулятор'!$F$1=1,$H$24,SUM(OFFSET(Q482,-E482+1,0):Q482)),IF(AND('депозитный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калькулятор'!$G$7="30/360"),DAY(EOMONTH(F482,0))=31),EOMONTH(F482,0)-1=F482,EOMONTH(F482,0)=F482)),IF(IF(AND(OR('депозитный калькулятор'!$G$7="30/365",'депозитный калькулятор'!$G$7="30/360"),DAY(EOMONTH($F$24,0))=31),F482=EOMONTH($F$24,0)-1,F482=EOMONTH($F$24,0)),SUM(OFFSET(Q482,-E482+1,0):Q482),SUM(OFFSET(Q482,-E482+1,0):Q482)),IF('депозитный калькулятор'!$G$10="ежеквартальное",IF(F482&gt;'депозитный калькулятор'!$D$8," ",IF(AND(EOMONTH(F482,0)=F482,OR(MONTH(F482)=3,MONTH(F482)=6,MONTH(F482)=9,MONTH(F482)=12)),IF(EDATE(F482,-3)&lt;'депозитный калькулятор'!$D$7,SUM($H$23:H482),IF(MOD(YEAR(F482),4)=0,IF(AND(EOMONTH(F482,0)=F482,OR(MONTH(F482)=3,MONTH(F482)=6)),SUM(OFFSET(H482,-90,0):H482),IF(AND(EOMONTH(F482,0)=F482,OR(MONTH(F482)=9,MONTH(F482)=12)),SUM(OFFSET(H482,-91,0):H482))),IF(AND(EOMONTH(F482,0)=F482,MONTH(F482)=3),SUM(OFFSET(H482,-89,0):H482),IF(AND(EOMONTH(F482,0)=F482,MONTH(F482)=6),SUM(OFFSET(H482,-90,0):H482),IF(AND(EOMONTH(F482,0)=F482,OR(MONTH(F482)=9,MONTH(F482)=12)),SUM(OFFSET(H482,-91,0):H482)))))),IF(F482='депозитный калькулятор'!$D$8,SUM($H$23:H482)-SUM($I$23:I481),0))),IF('депозитный калькулятор'!$G$10="ежегодное",IF(F482&gt;'депозитный калькулятор'!$D$8," ",IF(F482='депозитный калькулятор'!$D$8,SUM($H$23:H482)-SUM($I$23:I481),IF(AND(EOMONTH(F482,0)=F482,MONTH(F482)=12),IF(MOD(YEAR(F481),4)=0,IF(F482-'депозитный калькулятор'!$D$7&lt;366,SUM($H$23:H482),SUM(OFFSET(H482,-365,0):H482)),IF(F482-'депозитный калькулятор'!$D$7&lt;365,SUM($H$23:H482),SUM(OFFSET(H482,-364,0):H482))),0))),IF(AND('депозитный калькулятор'!$G$10="в конце срока",'депозитный калькулятор'!$D$8=F482),SUM($H$23:H482),0))))))))))))))))))</f>
        <v xml:space="preserve"> </v>
      </c>
      <c r="J482" s="59" t="str">
        <f>IF(F482&gt;'депозитный калькулятор'!$D$8," ",IF('депозитный калькулятор'!$G$16="нет",0,IF(AND('депозитный калькулятор'!$G$17="разовая (в конце срока)",F482='депозитный калькулятор'!$D$8),'депозитный калькулятор'!$G$18,IF(AND('депозитный калькулятор'!$G$17="ежемесячная",EOMONTH(F481,0)=F481),'депозитный калькулятор'!$G$18,IF(AND('депозитный калькулятор'!$G$17="ежегодная",DAY(F481)=31,MONTH(F481)=12),'депозитный калькулятор'!$G$18,IF(AND('депозитный калькулятор'!$G$17="ежемесячная в зависимости от остатка",EOMONTH(F481,0)=F481,P481&gt;0),'депозитный калькулятор'!$G$18,IF(AND('депозитный калькулятор'!$G$17="ежегодная в зависимости от остатка",DAY(F481)=31,MONTH(F481)=12,P481&gt;0),'депозитный калькулятор'!$G$18,0)))))))</f>
        <v xml:space="preserve"> </v>
      </c>
      <c r="K482" s="135" t="str">
        <f>IF($F482=" "," ",IFERROR(VLOOKUP($F482,'депозитный калькулятор'!$B$26:$F$70,2,0),0))</f>
        <v xml:space="preserve"> </v>
      </c>
      <c r="L482" s="135" t="str">
        <f>IF($F482=" "," ",IFERROR(VLOOKUP($F482,'депозитный калькулятор'!$B$26:$F$70,3,0),0))</f>
        <v xml:space="preserve"> </v>
      </c>
      <c r="M482" s="135" t="str">
        <f>IF($F482=" "," ",IFERROR(VLOOKUP($F482,'депозитный калькулятор'!$B$26:$F$70,4,0),0))</f>
        <v xml:space="preserve"> </v>
      </c>
      <c r="N482" s="135" t="str">
        <f>IF($F482=" "," ",IFERROR(VLOOKUP($F482,'депозитный калькулятор'!$B$26:$F$70,5,0),0))</f>
        <v xml:space="preserve"> </v>
      </c>
      <c r="O482" s="146" t="str">
        <f>IF(F482&gt;'депозитный калькулятор'!$D$8," ",IF(F482='депозитный калькулятор'!$D$8,IF(AND($F$24='депозитный калькулятор'!$D$8,'депозитный калькулятор'!$G$13="нет"),-G482-IF(I482=" ",0,I482)-IF(AND(OR('депозитный калькулятор'!$G$7="30/365",'депозитный калькулятор'!$G$7="30/360"),'депозитный калькулятор'!$G$10="в начале срока"),I481,0)-L482+M482-N482,-G482-IF(I482=" ",0,I482)-L482+M482-N482),IF('депозитный калькулятор'!$G$13="есть",M482-N482+IF('депозитный калькулятор'!$G$14="есть",0,-L482),-IF(I482=" ",0,I482)-IF(AND(OR('депозитный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срока"),I481,0)+M482-N482+IF('депозитный калькулятор'!$G$14="есть",0,-L482))))</f>
        <v xml:space="preserve"> </v>
      </c>
      <c r="P482" s="147" t="str">
        <f>IF(F482&gt;'депозитный калькулятор'!$D$8," ",IF(EOMONTH(F481,0)=F481,0,IF(G482&gt;='депозитный калькулятор'!$G$19,P481,P481+1)))</f>
        <v xml:space="preserve"> </v>
      </c>
      <c r="Q482" s="138" t="str">
        <f>IF(F482=" "," ",IF(AND(OR('депозитный калькулятор'!$G$7="30/365",'депозитный калькулятор'!$G$7="30/360"),AND(MONTH(F482)=2,EOMONTH(F482,0)=F482)),IF(DAY(F482)=28,3,2),1)*IF(G482&gt;='депозитный калькулятор'!$G$11,IF(AND('депозитный калькулятор'!$G$7="факт/факт",MOD(YEAR(F482),4)=0),G482*'депозитный калькулятор'!$D$11/366,G482*'депозитный калькулятор'!$G$8),0))</f>
        <v xml:space="preserve"> </v>
      </c>
      <c r="R482" s="158"/>
      <c r="S482" s="62" t="str">
        <f t="shared" ca="1" si="37"/>
        <v xml:space="preserve"> </v>
      </c>
      <c r="T482" s="149" t="str">
        <f ca="1">IF(S482=" "," ",IF('депозитный калькулятор'!$G$7="30/360",DAYS360(U481,IF(DAY(U482)=31,U482-1,U482))+IF(AND(MONTH(U482)=2,U482=EOMONTH(U482,0)),30-DAY(EOMONTH(U482,0)))+T481,VLOOKUP(S482,$C$22:$F$1023,2,0)))</f>
        <v xml:space="preserve"> </v>
      </c>
      <c r="U482" s="64" t="str">
        <f t="shared" ca="1" si="35"/>
        <v xml:space="preserve"> </v>
      </c>
      <c r="V482" s="150" t="str">
        <f t="shared" ca="1" si="38"/>
        <v xml:space="preserve"> </v>
      </c>
      <c r="W482" s="62" t="str">
        <f t="shared" ca="1" si="39"/>
        <v xml:space="preserve"> </v>
      </c>
      <c r="X482" s="141" t="str">
        <f ca="1">IF(S482=" "," ",IFERROR(VLOOKUP(U482,$F$23:$N$1023,7)+VLOOKUP(U482,$F$23:$N$1023,9)+IF(AND('депозитный калькулятор'!$G$13="нет",U482&lt;&gt;'депозитный калькулятор'!$D$8),VLOOKUP(U482,$F$23:$N$1023,4),0),0)+IF(U482='депозитный калькулятор'!$D$8,VLOOKUP(U482,$F$23:$N$1023,2)+VLOOKUP(U482,$F$23:$N$1023,4),0))</f>
        <v xml:space="preserve"> </v>
      </c>
      <c r="Y482" s="142" t="str">
        <f ca="1">IF(S482=" "," ",W482/(1+'депозитный калькулятор'!$K$8)^(T482/IF('депозитный калькулятор'!$G$7="30/360",360,365)))</f>
        <v xml:space="preserve"> </v>
      </c>
      <c r="Z482" s="142" t="str">
        <f ca="1">IF(S482=" "," ",X482/(1+'депозитный калькулятор'!$K$8)^(T482/IF('депозитный калькулятор'!$G$7="30/360",360,365)))</f>
        <v xml:space="preserve"> </v>
      </c>
      <c r="AA482" s="151"/>
      <c r="AB482" s="151"/>
      <c r="AC482" s="155"/>
      <c r="AD482" s="155"/>
    </row>
    <row r="483" spans="1:30" s="2" customFormat="1" ht="15.5" x14ac:dyDescent="0.35">
      <c r="A483" s="41" t="str">
        <f>IF(F483=" "," ",IF(OR('депозитный калькулятор'!$G$7="30/365",'депозитный калькулятор'!$G$7="30/360"),IF(AND(MONTH(F483)=2,DAY(F483)=DAY(EOMONTH(F483,0))),30-DAY(EOMONTH(F483,0)),IF(DAY(F483)=31,1," "))," "))</f>
        <v xml:space="preserve"> </v>
      </c>
      <c r="B483" s="130" t="str">
        <f t="shared" si="36"/>
        <v xml:space="preserve"> </v>
      </c>
      <c r="C483" s="130" t="str">
        <f>IF(OR(B483=0,B483=" ")," ",SUM($B$23:B483))</f>
        <v xml:space="preserve"> </v>
      </c>
      <c r="D483" s="62" t="str">
        <f>IF(D482=" "," ",IF(OR(F482='депозитный калькулятор'!$D$8,F482=" ")," ",D482+1))</f>
        <v xml:space="preserve"> </v>
      </c>
      <c r="E483" s="130" t="str">
        <f>IF(OR(F482='депозитный калькулятор'!$D$8,F482=" ")," ",IF(EOMONTH(F482,0)=F482,1,E482+1))</f>
        <v xml:space="preserve"> </v>
      </c>
      <c r="F483" s="64" t="str">
        <f>IF(F482=" "," ",IF(F482='депозитный калькулятор'!$D$8," ",F482+1))</f>
        <v xml:space="preserve"> </v>
      </c>
      <c r="G483" s="145" t="str">
        <f xml:space="preserve"> IF(F483&gt;'депозитный калькулятор'!$D$8," ",IF('депозитный калькулятор'!$G$13="есть",IF('депозитный калькулятор'!$G$14="есть",G482+IF(I482=" ",0,I482)-J483-K483+L483+M483-N483,G482+IF(I482=" ",0,I482)-J483-K483+M483-N483),IF('депозитный калькулятор'!$G$14="есть",G482-J483-K483+L483+M483-N483,G482-J483-K483+M483-N483)))</f>
        <v xml:space="preserve"> </v>
      </c>
      <c r="H483" s="133" t="str">
        <f>IF(F483&gt;'депозитный калькулятор'!$D$8," ",IF(AND(OR('депозитный калькулятор'!$G$7="30/365",'депозитный калькулятор'!$G$7="30/360"),AND(MONTH(F483)=2,EOMONTH(F483,0)=F483)),IF(DAY(F483)=28,3*G483*'депозитный калькулятор'!$G$8,2*G483*'депозитный калькулятор'!$G$8),IF(AND(OR('депозитный калькулятор'!$G$7="30/365",'депозитный калькулятор'!$G$7="30/360"),DAY(F483)=31)," ",IF(AND('депозитный калькулятор'!$G$7="факт/факт",MOD(YEAR(F483),4)=0),G483*'депозитный калькулятор'!$D$11/366,G483*'депозитный калькулятор'!$G$8))))</f>
        <v xml:space="preserve"> </v>
      </c>
      <c r="I483" s="134" t="str">
        <f ca="1">IF(F483=" "," ",IF('депозитный калькулятор'!$G$10="ежедневное",H483,IF(AND('депозитный калькулятор'!$G$10="еженедельное",WEEKDAY(F483,2)=7),SUM(OFFSET(H483,-6,0):H483),IF(AND('депозитный калькулятор'!$G$10="еженедельное",F483='депозитный калькулятор'!$D$8),SUM($H$23:H483)-SUM($I$23:I482),IF(AND('депозитный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недели",WEEKDAY(F483,2)=7),MIN(OFFSET(H483,-6,0):H483)*(COUNTIF(OFFSET(H483,-6,0):H483,"&gt;0")+SUMIF(OFFSET(A483,-WEEKDAY(F483,2),0):A483,"=2",OFFSET(A483,-WEEKDAY(F483,2),0):A483)),IF(AND('депозитный калькулятор'!$G$10="еженедельное, на минимальную сумму зафиксированную в течение недели",F483='депозитный калькулятор'!$D$8,WEEKDAY(F483,2)&lt;&gt;7),MIN(OFFSET(H483,-WEEKDAY(F483,2),0):H483)*(COUNTIF(OFFSET(H483,-WEEKDAY(F483,2)+1,0):H483,"&gt;0")+SUM(OFFSET(A483,-WEEKDAY(F483,2),0):A483)),IF(AND('депозитный калькулятор'!$G$10="ежемесячное (в конце месяца)",F483='депозитный калькулятор'!$D$8,EOMONTH(F483,0)&lt;&gt;F483),IF('депозитный калькулятор'!$F$1=1,$H$24,SUM($H$23:H483)-SUM($I$23:I482)),IF(AND('депозитный калькулятор'!$G$10="ежемесячное (в конце месяца)",EOMONTH(F483,0)=F483),SUM($H$23:H483)-SUM($I$23:I482),IF(AND('депозитный калькулятор'!$G$10="ежемесячное (по дням открытия вклада)",F483='депозитный калькулятор'!$D$8,DAY('депозитный калькулятор'!$D$7)&lt;&gt;DAY(F483)),IF('депозитный калькулятор'!$F$1=1,$H$24,SUM($H$23:H483)-SUM($I$23:I482)),IF(AND('депозитный калькулятор'!$G$10="ежемесячное (по дням открытия вклада)",DAY('депозитный калькулятор'!$D$7)=DAY(F483)),SUM($H$23:H483)-SUM($I$23:I482),IF(AND('депозитный калькулятор'!$G$10="ежемесячное, на минимальную сумму зафиксированную в течение месяца",F483='депозитный калькулятор'!$D$8,EOMONTH(F483,0)&lt;&gt;F483),IF('депозитный калькулятор'!$F$1=1,$H$24,IF(AND(OR('депозитный калькулятор'!$G$7="30/365",'депозитный калькулятор'!$G$7="30/360"),DAY(F483)=31),0,MIN(OFFSET(H483,-E483+1,0):H483)*(E483+SUMIF(OFFSET(A483,-E483+1,0):A483,"=2",OFFSET(A483,-E483+1,0):A483)))),IF(AND('депозитный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калькулятор'!$G$7="30/360"),DAY(EOMONTH(F483,0))=31),EOMONTH(F483,0)-1=F483,EOMONTH(F483,0)=F483)),IF(IF(AND(OR('депозитный калькулятор'!$G$7="30/365",'депозитный калькулятор'!$G$7="30/360"),DAY(EOMONTH($F$23,0))=31),F483=EOMONTH($F$23,0)-1,F483=EOMONTH($F$23,0)),MIN(OFFSET(H483,-(DAY(F483)-DAY($F$23)),0):H483)*E483,MIN(OFFSET(H483,-(DAY(F483)-1),0):H483)*IF(AND(OR('депозитный калькулятор'!$G$7="30/365",'депозитный калькулятор'!$G$7="30/360"),DAY(F483)&lt;30),30,DAY(F483))),IF(AND('депозитный калькулятор'!$G$10="ежемесячное, на средний остаток в течение месяца, при условии что остаток больше чем ограничение",F483='депозитный калькулятор'!$D$8,EOMONTH(F483,0)&lt;&gt;F483),IF('депозитный калькулятор'!$F$1=1,$H$24,SUM(OFFSET(Q483,-E483+1,0):Q483)),IF(AND('депозитный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калькулятор'!$G$7="30/360"),DAY(EOMONTH(F483,0))=31),EOMONTH(F483,0)-1=F483,EOMONTH(F483,0)=F483)),IF(IF(AND(OR('депозитный калькулятор'!$G$7="30/365",'депозитный калькулятор'!$G$7="30/360"),DAY(EOMONTH($F$24,0))=31),F483=EOMONTH($F$24,0)-1,F483=EOMONTH($F$24,0)),SUM(OFFSET(Q483,-E483+1,0):Q483),SUM(OFFSET(Q483,-E483+1,0):Q483)),IF('депозитный калькулятор'!$G$10="ежеквартальное",IF(F483&gt;'депозитный калькулятор'!$D$8," ",IF(AND(EOMONTH(F483,0)=F483,OR(MONTH(F483)=3,MONTH(F483)=6,MONTH(F483)=9,MONTH(F483)=12)),IF(EDATE(F483,-3)&lt;'депозитный калькулятор'!$D$7,SUM($H$23:H483),IF(MOD(YEAR(F483),4)=0,IF(AND(EOMONTH(F483,0)=F483,OR(MONTH(F483)=3,MONTH(F483)=6)),SUM(OFFSET(H483,-90,0):H483),IF(AND(EOMONTH(F483,0)=F483,OR(MONTH(F483)=9,MONTH(F483)=12)),SUM(OFFSET(H483,-91,0):H483))),IF(AND(EOMONTH(F483,0)=F483,MONTH(F483)=3),SUM(OFFSET(H483,-89,0):H483),IF(AND(EOMONTH(F483,0)=F483,MONTH(F483)=6),SUM(OFFSET(H483,-90,0):H483),IF(AND(EOMONTH(F483,0)=F483,OR(MONTH(F483)=9,MONTH(F483)=12)),SUM(OFFSET(H483,-91,0):H483)))))),IF(F483='депозитный калькулятор'!$D$8,SUM($H$23:H483)-SUM($I$23:I482),0))),IF('депозитный калькулятор'!$G$10="ежегодное",IF(F483&gt;'депозитный калькулятор'!$D$8," ",IF(F483='депозитный калькулятор'!$D$8,SUM($H$23:H483)-SUM($I$23:I482),IF(AND(EOMONTH(F483,0)=F483,MONTH(F483)=12),IF(MOD(YEAR(F482),4)=0,IF(F483-'депозитный калькулятор'!$D$7&lt;366,SUM($H$23:H483),SUM(OFFSET(H483,-365,0):H483)),IF(F483-'депозитный калькулятор'!$D$7&lt;365,SUM($H$23:H483),SUM(OFFSET(H483,-364,0):H483))),0))),IF(AND('депозитный калькулятор'!$G$10="в конце срока",'депозитный калькулятор'!$D$8=F483),SUM($H$23:H483),0))))))))))))))))))</f>
        <v xml:space="preserve"> </v>
      </c>
      <c r="J483" s="59" t="str">
        <f>IF(F483&gt;'депозитный калькулятор'!$D$8," ",IF('депозитный калькулятор'!$G$16="нет",0,IF(AND('депозитный калькулятор'!$G$17="разовая (в конце срока)",F483='депозитный калькулятор'!$D$8),'депозитный калькулятор'!$G$18,IF(AND('депозитный калькулятор'!$G$17="ежемесячная",EOMONTH(F482,0)=F482),'депозитный калькулятор'!$G$18,IF(AND('депозитный калькулятор'!$G$17="ежегодная",DAY(F482)=31,MONTH(F482)=12),'депозитный калькулятор'!$G$18,IF(AND('депозитный калькулятор'!$G$17="ежемесячная в зависимости от остатка",EOMONTH(F482,0)=F482,P482&gt;0),'депозитный калькулятор'!$G$18,IF(AND('депозитный калькулятор'!$G$17="ежегодная в зависимости от остатка",DAY(F482)=31,MONTH(F482)=12,P482&gt;0),'депозитный калькулятор'!$G$18,0)))))))</f>
        <v xml:space="preserve"> </v>
      </c>
      <c r="K483" s="135" t="str">
        <f>IF($F483=" "," ",IFERROR(VLOOKUP($F483,'депозитный калькулятор'!$B$26:$F$70,2,0),0))</f>
        <v xml:space="preserve"> </v>
      </c>
      <c r="L483" s="135" t="str">
        <f>IF($F483=" "," ",IFERROR(VLOOKUP($F483,'депозитный калькулятор'!$B$26:$F$70,3,0),0))</f>
        <v xml:space="preserve"> </v>
      </c>
      <c r="M483" s="135" t="str">
        <f>IF($F483=" "," ",IFERROR(VLOOKUP($F483,'депозитный калькулятор'!$B$26:$F$70,4,0),0))</f>
        <v xml:space="preserve"> </v>
      </c>
      <c r="N483" s="135" t="str">
        <f>IF($F483=" "," ",IFERROR(VLOOKUP($F483,'депозитный калькулятор'!$B$26:$F$70,5,0),0))</f>
        <v xml:space="preserve"> </v>
      </c>
      <c r="O483" s="146" t="str">
        <f>IF(F483&gt;'депозитный калькулятор'!$D$8," ",IF(F483='депозитный калькулятор'!$D$8,IF(AND($F$24='депозитный калькулятор'!$D$8,'депозитный калькулятор'!$G$13="нет"),-G483-IF(I483=" ",0,I483)-IF(AND(OR('депозитный калькулятор'!$G$7="30/365",'депозитный калькулятор'!$G$7="30/360"),'депозитный калькулятор'!$G$10="в начале срока"),I482,0)-L483+M483-N483,-G483-IF(I483=" ",0,I483)-L483+M483-N483),IF('депозитный калькулятор'!$G$13="есть",M483-N483+IF('депозитный калькулятор'!$G$14="есть",0,-L483),-IF(I483=" ",0,I483)-IF(AND(OR('депозитный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срока"),I482,0)+M483-N483+IF('депозитный калькулятор'!$G$14="есть",0,-L483))))</f>
        <v xml:space="preserve"> </v>
      </c>
      <c r="P483" s="147" t="str">
        <f>IF(F483&gt;'депозитный калькулятор'!$D$8," ",IF(EOMONTH(F482,0)=F482,0,IF(G483&gt;='депозитный калькулятор'!$G$19,P482,P482+1)))</f>
        <v xml:space="preserve"> </v>
      </c>
      <c r="Q483" s="138" t="str">
        <f>IF(F483=" "," ",IF(AND(OR('депозитный калькулятор'!$G$7="30/365",'депозитный калькулятор'!$G$7="30/360"),AND(MONTH(F483)=2,EOMONTH(F483,0)=F483)),IF(DAY(F483)=28,3,2),1)*IF(G483&gt;='депозитный калькулятор'!$G$11,IF(AND('депозитный калькулятор'!$G$7="факт/факт",MOD(YEAR(F483),4)=0),G483*'депозитный калькулятор'!$D$11/366,G483*'депозитный калькулятор'!$G$8),0))</f>
        <v xml:space="preserve"> </v>
      </c>
      <c r="R483" s="158"/>
      <c r="S483" s="62" t="str">
        <f t="shared" ca="1" si="37"/>
        <v xml:space="preserve"> </v>
      </c>
      <c r="T483" s="149" t="str">
        <f ca="1">IF(S483=" "," ",IF('депозитный калькулятор'!$G$7="30/360",DAYS360(U482,IF(DAY(U483)=31,U483-1,U483))+IF(AND(MONTH(U483)=2,U483=EOMONTH(U483,0)),30-DAY(EOMONTH(U483,0)))+T482,VLOOKUP(S483,$C$22:$F$1023,2,0)))</f>
        <v xml:space="preserve"> </v>
      </c>
      <c r="U483" s="64" t="str">
        <f t="shared" ca="1" si="35"/>
        <v xml:space="preserve"> </v>
      </c>
      <c r="V483" s="150" t="str">
        <f t="shared" ca="1" si="38"/>
        <v xml:space="preserve"> </v>
      </c>
      <c r="W483" s="62" t="str">
        <f t="shared" ca="1" si="39"/>
        <v xml:space="preserve"> </v>
      </c>
      <c r="X483" s="141" t="str">
        <f ca="1">IF(S483=" "," ",IFERROR(VLOOKUP(U483,$F$23:$N$1023,7)+VLOOKUP(U483,$F$23:$N$1023,9)+IF(AND('депозитный калькулятор'!$G$13="нет",U483&lt;&gt;'депозитный калькулятор'!$D$8),VLOOKUP(U483,$F$23:$N$1023,4),0),0)+IF(U483='депозитный калькулятор'!$D$8,VLOOKUP(U483,$F$23:$N$1023,2)+VLOOKUP(U483,$F$23:$N$1023,4),0))</f>
        <v xml:space="preserve"> </v>
      </c>
      <c r="Y483" s="142" t="str">
        <f ca="1">IF(S483=" "," ",W483/(1+'депозитный калькулятор'!$K$8)^(T483/IF('депозитный калькулятор'!$G$7="30/360",360,365)))</f>
        <v xml:space="preserve"> </v>
      </c>
      <c r="Z483" s="142" t="str">
        <f ca="1">IF(S483=" "," ",X483/(1+'депозитный калькулятор'!$K$8)^(T483/IF('депозитный калькулятор'!$G$7="30/360",360,365)))</f>
        <v xml:space="preserve"> </v>
      </c>
      <c r="AA483" s="151"/>
      <c r="AB483" s="151"/>
      <c r="AC483" s="155"/>
      <c r="AD483" s="155"/>
    </row>
    <row r="484" spans="1:30" s="2" customFormat="1" ht="15.5" x14ac:dyDescent="0.35">
      <c r="A484" s="41" t="str">
        <f>IF(F484=" "," ",IF(OR('депозитный калькулятор'!$G$7="30/365",'депозитный калькулятор'!$G$7="30/360"),IF(AND(MONTH(F484)=2,DAY(F484)=DAY(EOMONTH(F484,0))),30-DAY(EOMONTH(F484,0)),IF(DAY(F484)=31,1," "))," "))</f>
        <v xml:space="preserve"> </v>
      </c>
      <c r="B484" s="130" t="str">
        <f t="shared" si="36"/>
        <v xml:space="preserve"> </v>
      </c>
      <c r="C484" s="130" t="str">
        <f>IF(OR(B484=0,B484=" ")," ",SUM($B$23:B484))</f>
        <v xml:space="preserve"> </v>
      </c>
      <c r="D484" s="62" t="str">
        <f>IF(D483=" "," ",IF(OR(F483='депозитный калькулятор'!$D$8,F483=" ")," ",D483+1))</f>
        <v xml:space="preserve"> </v>
      </c>
      <c r="E484" s="130" t="str">
        <f>IF(OR(F483='депозитный калькулятор'!$D$8,F483=" ")," ",IF(EOMONTH(F483,0)=F483,1,E483+1))</f>
        <v xml:space="preserve"> </v>
      </c>
      <c r="F484" s="64" t="str">
        <f>IF(F483=" "," ",IF(F483='депозитный калькулятор'!$D$8," ",F483+1))</f>
        <v xml:space="preserve"> </v>
      </c>
      <c r="G484" s="145" t="str">
        <f xml:space="preserve"> IF(F484&gt;'депозитный калькулятор'!$D$8," ",IF('депозитный калькулятор'!$G$13="есть",IF('депозитный калькулятор'!$G$14="есть",G483+IF(I483=" ",0,I483)-J484-K484+L484+M484-N484,G483+IF(I483=" ",0,I483)-J484-K484+M484-N484),IF('депозитный калькулятор'!$G$14="есть",G483-J484-K484+L484+M484-N484,G483-J484-K484+M484-N484)))</f>
        <v xml:space="preserve"> </v>
      </c>
      <c r="H484" s="133" t="str">
        <f>IF(F484&gt;'депозитный калькулятор'!$D$8," ",IF(AND(OR('депозитный калькулятор'!$G$7="30/365",'депозитный калькулятор'!$G$7="30/360"),AND(MONTH(F484)=2,EOMONTH(F484,0)=F484)),IF(DAY(F484)=28,3*G484*'депозитный калькулятор'!$G$8,2*G484*'депозитный калькулятор'!$G$8),IF(AND(OR('депозитный калькулятор'!$G$7="30/365",'депозитный калькулятор'!$G$7="30/360"),DAY(F484)=31)," ",IF(AND('депозитный калькулятор'!$G$7="факт/факт",MOD(YEAR(F484),4)=0),G484*'депозитный калькулятор'!$D$11/366,G484*'депозитный калькулятор'!$G$8))))</f>
        <v xml:space="preserve"> </v>
      </c>
      <c r="I484" s="134" t="str">
        <f ca="1">IF(F484=" "," ",IF('депозитный калькулятор'!$G$10="ежедневное",H484,IF(AND('депозитный калькулятор'!$G$10="еженедельное",WEEKDAY(F484,2)=7),SUM(OFFSET(H484,-6,0):H484),IF(AND('депозитный калькулятор'!$G$10="еженедельное",F484='депозитный калькулятор'!$D$8),SUM($H$23:H484)-SUM($I$23:I483),IF(AND('депозитный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недели",WEEKDAY(F484,2)=7),MIN(OFFSET(H484,-6,0):H484)*(COUNTIF(OFFSET(H484,-6,0):H484,"&gt;0")+SUMIF(OFFSET(A484,-WEEKDAY(F484,2),0):A484,"=2",OFFSET(A484,-WEEKDAY(F484,2),0):A484)),IF(AND('депозитный калькулятор'!$G$10="еженедельное, на минимальную сумму зафиксированную в течение недели",F484='депозитный калькулятор'!$D$8,WEEKDAY(F484,2)&lt;&gt;7),MIN(OFFSET(H484,-WEEKDAY(F484,2),0):H484)*(COUNTIF(OFFSET(H484,-WEEKDAY(F484,2)+1,0):H484,"&gt;0")+SUM(OFFSET(A484,-WEEKDAY(F484,2),0):A484)),IF(AND('депозитный калькулятор'!$G$10="ежемесячное (в конце месяца)",F484='депозитный калькулятор'!$D$8,EOMONTH(F484,0)&lt;&gt;F484),IF('депозитный калькулятор'!$F$1=1,$H$24,SUM($H$23:H484)-SUM($I$23:I483)),IF(AND('депозитный калькулятор'!$G$10="ежемесячное (в конце месяца)",EOMONTH(F484,0)=F484),SUM($H$23:H484)-SUM($I$23:I483),IF(AND('депозитный калькулятор'!$G$10="ежемесячное (по дням открытия вклада)",F484='депозитный калькулятор'!$D$8,DAY('депозитный калькулятор'!$D$7)&lt;&gt;DAY(F484)),IF('депозитный калькулятор'!$F$1=1,$H$24,SUM($H$23:H484)-SUM($I$23:I483)),IF(AND('депозитный калькулятор'!$G$10="ежемесячное (по дням открытия вклада)",DAY('депозитный калькулятор'!$D$7)=DAY(F484)),SUM($H$23:H484)-SUM($I$23:I483),IF(AND('депозитный калькулятор'!$G$10="ежемесячное, на минимальную сумму зафиксированную в течение месяца",F484='депозитный калькулятор'!$D$8,EOMONTH(F484,0)&lt;&gt;F484),IF('депозитный калькулятор'!$F$1=1,$H$24,IF(AND(OR('депозитный калькулятор'!$G$7="30/365",'депозитный калькулятор'!$G$7="30/360"),DAY(F484)=31),0,MIN(OFFSET(H484,-E484+1,0):H484)*(E484+SUMIF(OFFSET(A484,-E484+1,0):A484,"=2",OFFSET(A484,-E484+1,0):A484)))),IF(AND('депозитный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калькулятор'!$G$7="30/360"),DAY(EOMONTH(F484,0))=31),EOMONTH(F484,0)-1=F484,EOMONTH(F484,0)=F484)),IF(IF(AND(OR('депозитный калькулятор'!$G$7="30/365",'депозитный калькулятор'!$G$7="30/360"),DAY(EOMONTH($F$23,0))=31),F484=EOMONTH($F$23,0)-1,F484=EOMONTH($F$23,0)),MIN(OFFSET(H484,-(DAY(F484)-DAY($F$23)),0):H484)*E484,MIN(OFFSET(H484,-(DAY(F484)-1),0):H484)*IF(AND(OR('депозитный калькулятор'!$G$7="30/365",'депозитный калькулятор'!$G$7="30/360"),DAY(F484)&lt;30),30,DAY(F484))),IF(AND('депозитный калькулятор'!$G$10="ежемесячное, на средний остаток в течение месяца, при условии что остаток больше чем ограничение",F484='депозитный калькулятор'!$D$8,EOMONTH(F484,0)&lt;&gt;F484),IF('депозитный калькулятор'!$F$1=1,$H$24,SUM(OFFSET(Q484,-E484+1,0):Q484)),IF(AND('депозитный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калькулятор'!$G$7="30/360"),DAY(EOMONTH(F484,0))=31),EOMONTH(F484,0)-1=F484,EOMONTH(F484,0)=F484)),IF(IF(AND(OR('депозитный калькулятор'!$G$7="30/365",'депозитный калькулятор'!$G$7="30/360"),DAY(EOMONTH($F$24,0))=31),F484=EOMONTH($F$24,0)-1,F484=EOMONTH($F$24,0)),SUM(OFFSET(Q484,-E484+1,0):Q484),SUM(OFFSET(Q484,-E484+1,0):Q484)),IF('депозитный калькулятор'!$G$10="ежеквартальное",IF(F484&gt;'депозитный калькулятор'!$D$8," ",IF(AND(EOMONTH(F484,0)=F484,OR(MONTH(F484)=3,MONTH(F484)=6,MONTH(F484)=9,MONTH(F484)=12)),IF(EDATE(F484,-3)&lt;'депозитный калькулятор'!$D$7,SUM($H$23:H484),IF(MOD(YEAR(F484),4)=0,IF(AND(EOMONTH(F484,0)=F484,OR(MONTH(F484)=3,MONTH(F484)=6)),SUM(OFFSET(H484,-90,0):H484),IF(AND(EOMONTH(F484,0)=F484,OR(MONTH(F484)=9,MONTH(F484)=12)),SUM(OFFSET(H484,-91,0):H484))),IF(AND(EOMONTH(F484,0)=F484,MONTH(F484)=3),SUM(OFFSET(H484,-89,0):H484),IF(AND(EOMONTH(F484,0)=F484,MONTH(F484)=6),SUM(OFFSET(H484,-90,0):H484),IF(AND(EOMONTH(F484,0)=F484,OR(MONTH(F484)=9,MONTH(F484)=12)),SUM(OFFSET(H484,-91,0):H484)))))),IF(F484='депозитный калькулятор'!$D$8,SUM($H$23:H484)-SUM($I$23:I483),0))),IF('депозитный калькулятор'!$G$10="ежегодное",IF(F484&gt;'депозитный калькулятор'!$D$8," ",IF(F484='депозитный калькулятор'!$D$8,SUM($H$23:H484)-SUM($I$23:I483),IF(AND(EOMONTH(F484,0)=F484,MONTH(F484)=12),IF(MOD(YEAR(F483),4)=0,IF(F484-'депозитный калькулятор'!$D$7&lt;366,SUM($H$23:H484),SUM(OFFSET(H484,-365,0):H484)),IF(F484-'депозитный калькулятор'!$D$7&lt;365,SUM($H$23:H484),SUM(OFFSET(H484,-364,0):H484))),0))),IF(AND('депозитный калькулятор'!$G$10="в конце срока",'депозитный калькулятор'!$D$8=F484),SUM($H$23:H484),0))))))))))))))))))</f>
        <v xml:space="preserve"> </v>
      </c>
      <c r="J484" s="59" t="str">
        <f>IF(F484&gt;'депозитный калькулятор'!$D$8," ",IF('депозитный калькулятор'!$G$16="нет",0,IF(AND('депозитный калькулятор'!$G$17="разовая (в конце срока)",F484='депозитный калькулятор'!$D$8),'депозитный калькулятор'!$G$18,IF(AND('депозитный калькулятор'!$G$17="ежемесячная",EOMONTH(F483,0)=F483),'депозитный калькулятор'!$G$18,IF(AND('депозитный калькулятор'!$G$17="ежегодная",DAY(F483)=31,MONTH(F483)=12),'депозитный калькулятор'!$G$18,IF(AND('депозитный калькулятор'!$G$17="ежемесячная в зависимости от остатка",EOMONTH(F483,0)=F483,P483&gt;0),'депозитный калькулятор'!$G$18,IF(AND('депозитный калькулятор'!$G$17="ежегодная в зависимости от остатка",DAY(F483)=31,MONTH(F483)=12,P483&gt;0),'депозитный калькулятор'!$G$18,0)))))))</f>
        <v xml:space="preserve"> </v>
      </c>
      <c r="K484" s="135" t="str">
        <f>IF($F484=" "," ",IFERROR(VLOOKUP($F484,'депозитный калькулятор'!$B$26:$F$70,2,0),0))</f>
        <v xml:space="preserve"> </v>
      </c>
      <c r="L484" s="135" t="str">
        <f>IF($F484=" "," ",IFERROR(VLOOKUP($F484,'депозитный калькулятор'!$B$26:$F$70,3,0),0))</f>
        <v xml:space="preserve"> </v>
      </c>
      <c r="M484" s="135" t="str">
        <f>IF($F484=" "," ",IFERROR(VLOOKUP($F484,'депозитный калькулятор'!$B$26:$F$70,4,0),0))</f>
        <v xml:space="preserve"> </v>
      </c>
      <c r="N484" s="135" t="str">
        <f>IF($F484=" "," ",IFERROR(VLOOKUP($F484,'депозитный калькулятор'!$B$26:$F$70,5,0),0))</f>
        <v xml:space="preserve"> </v>
      </c>
      <c r="O484" s="146" t="str">
        <f>IF(F484&gt;'депозитный калькулятор'!$D$8," ",IF(F484='депозитный калькулятор'!$D$8,IF(AND($F$24='депозитный калькулятор'!$D$8,'депозитный калькулятор'!$G$13="нет"),-G484-IF(I484=" ",0,I484)-IF(AND(OR('депозитный калькулятор'!$G$7="30/365",'депозитный калькулятор'!$G$7="30/360"),'депозитный калькулятор'!$G$10="в начале срока"),I483,0)-L484+M484-N484,-G484-IF(I484=" ",0,I484)-L484+M484-N484),IF('депозитный калькулятор'!$G$13="есть",M484-N484+IF('депозитный калькулятор'!$G$14="есть",0,-L484),-IF(I484=" ",0,I484)-IF(AND(OR('депозитный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срока"),I483,0)+M484-N484+IF('депозитный калькулятор'!$G$14="есть",0,-L484))))</f>
        <v xml:space="preserve"> </v>
      </c>
      <c r="P484" s="147" t="str">
        <f>IF(F484&gt;'депозитный калькулятор'!$D$8," ",IF(EOMONTH(F483,0)=F483,0,IF(G484&gt;='депозитный калькулятор'!$G$19,P483,P483+1)))</f>
        <v xml:space="preserve"> </v>
      </c>
      <c r="Q484" s="138" t="str">
        <f>IF(F484=" "," ",IF(AND(OR('депозитный калькулятор'!$G$7="30/365",'депозитный калькулятор'!$G$7="30/360"),AND(MONTH(F484)=2,EOMONTH(F484,0)=F484)),IF(DAY(F484)=28,3,2),1)*IF(G484&gt;='депозитный калькулятор'!$G$11,IF(AND('депозитный калькулятор'!$G$7="факт/факт",MOD(YEAR(F484),4)=0),G484*'депозитный калькулятор'!$D$11/366,G484*'депозитный калькулятор'!$G$8),0))</f>
        <v xml:space="preserve"> </v>
      </c>
      <c r="R484" s="158"/>
      <c r="S484" s="62" t="str">
        <f t="shared" ca="1" si="37"/>
        <v xml:space="preserve"> </v>
      </c>
      <c r="T484" s="149" t="str">
        <f ca="1">IF(S484=" "," ",IF('депозитный калькулятор'!$G$7="30/360",DAYS360(U483,IF(DAY(U484)=31,U484-1,U484))+IF(AND(MONTH(U484)=2,U484=EOMONTH(U484,0)),30-DAY(EOMONTH(U484,0)))+T483,VLOOKUP(S484,$C$22:$F$1023,2,0)))</f>
        <v xml:space="preserve"> </v>
      </c>
      <c r="U484" s="64" t="str">
        <f t="shared" ca="1" si="35"/>
        <v xml:space="preserve"> </v>
      </c>
      <c r="V484" s="150" t="str">
        <f t="shared" ca="1" si="38"/>
        <v xml:space="preserve"> </v>
      </c>
      <c r="W484" s="62" t="str">
        <f t="shared" ca="1" si="39"/>
        <v xml:space="preserve"> </v>
      </c>
      <c r="X484" s="141" t="str">
        <f ca="1">IF(S484=" "," ",IFERROR(VLOOKUP(U484,$F$23:$N$1023,7)+VLOOKUP(U484,$F$23:$N$1023,9)+IF(AND('депозитный калькулятор'!$G$13="нет",U484&lt;&gt;'депозитный калькулятор'!$D$8),VLOOKUP(U484,$F$23:$N$1023,4),0),0)+IF(U484='депозитный калькулятор'!$D$8,VLOOKUP(U484,$F$23:$N$1023,2)+VLOOKUP(U484,$F$23:$N$1023,4),0))</f>
        <v xml:space="preserve"> </v>
      </c>
      <c r="Y484" s="142" t="str">
        <f ca="1">IF(S484=" "," ",W484/(1+'депозитный калькулятор'!$K$8)^(T484/IF('депозитный калькулятор'!$G$7="30/360",360,365)))</f>
        <v xml:space="preserve"> </v>
      </c>
      <c r="Z484" s="142" t="str">
        <f ca="1">IF(S484=" "," ",X484/(1+'депозитный калькулятор'!$K$8)^(T484/IF('депозитный калькулятор'!$G$7="30/360",360,365)))</f>
        <v xml:space="preserve"> </v>
      </c>
      <c r="AA484" s="151"/>
      <c r="AB484" s="151"/>
      <c r="AC484" s="155"/>
      <c r="AD484" s="155"/>
    </row>
    <row r="485" spans="1:30" s="2" customFormat="1" ht="15.5" x14ac:dyDescent="0.35">
      <c r="A485" s="41" t="str">
        <f>IF(F485=" "," ",IF(OR('депозитный калькулятор'!$G$7="30/365",'депозитный калькулятор'!$G$7="30/360"),IF(AND(MONTH(F485)=2,DAY(F485)=DAY(EOMONTH(F485,0))),30-DAY(EOMONTH(F485,0)),IF(DAY(F485)=31,1," "))," "))</f>
        <v xml:space="preserve"> </v>
      </c>
      <c r="B485" s="130" t="str">
        <f t="shared" si="36"/>
        <v xml:space="preserve"> </v>
      </c>
      <c r="C485" s="130" t="str">
        <f>IF(OR(B485=0,B485=" ")," ",SUM($B$23:B485))</f>
        <v xml:space="preserve"> </v>
      </c>
      <c r="D485" s="62" t="str">
        <f>IF(D484=" "," ",IF(OR(F484='депозитный калькулятор'!$D$8,F484=" ")," ",D484+1))</f>
        <v xml:space="preserve"> </v>
      </c>
      <c r="E485" s="130" t="str">
        <f>IF(OR(F484='депозитный калькулятор'!$D$8,F484=" ")," ",IF(EOMONTH(F484,0)=F484,1,E484+1))</f>
        <v xml:space="preserve"> </v>
      </c>
      <c r="F485" s="64" t="str">
        <f>IF(F484=" "," ",IF(F484='депозитный калькулятор'!$D$8," ",F484+1))</f>
        <v xml:space="preserve"> </v>
      </c>
      <c r="G485" s="145" t="str">
        <f xml:space="preserve"> IF(F485&gt;'депозитный калькулятор'!$D$8," ",IF('депозитный калькулятор'!$G$13="есть",IF('депозитный калькулятор'!$G$14="есть",G484+IF(I484=" ",0,I484)-J485-K485+L485+M485-N485,G484+IF(I484=" ",0,I484)-J485-K485+M485-N485),IF('депозитный калькулятор'!$G$14="есть",G484-J485-K485+L485+M485-N485,G484-J485-K485+M485-N485)))</f>
        <v xml:space="preserve"> </v>
      </c>
      <c r="H485" s="133" t="str">
        <f>IF(F485&gt;'депозитный калькулятор'!$D$8," ",IF(AND(OR('депозитный калькулятор'!$G$7="30/365",'депозитный калькулятор'!$G$7="30/360"),AND(MONTH(F485)=2,EOMONTH(F485,0)=F485)),IF(DAY(F485)=28,3*G485*'депозитный калькулятор'!$G$8,2*G485*'депозитный калькулятор'!$G$8),IF(AND(OR('депозитный калькулятор'!$G$7="30/365",'депозитный калькулятор'!$G$7="30/360"),DAY(F485)=31)," ",IF(AND('депозитный калькулятор'!$G$7="факт/факт",MOD(YEAR(F485),4)=0),G485*'депозитный калькулятор'!$D$11/366,G485*'депозитный калькулятор'!$G$8))))</f>
        <v xml:space="preserve"> </v>
      </c>
      <c r="I485" s="134" t="str">
        <f ca="1">IF(F485=" "," ",IF('депозитный калькулятор'!$G$10="ежедневное",H485,IF(AND('депозитный калькулятор'!$G$10="еженедельное",WEEKDAY(F485,2)=7),SUM(OFFSET(H485,-6,0):H485),IF(AND('депозитный калькулятор'!$G$10="еженедельное",F485='депозитный калькулятор'!$D$8),SUM($H$23:H485)-SUM($I$23:I484),IF(AND('депозитный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недели",WEEKDAY(F485,2)=7),MIN(OFFSET(H485,-6,0):H485)*(COUNTIF(OFFSET(H485,-6,0):H485,"&gt;0")+SUMIF(OFFSET(A485,-WEEKDAY(F485,2),0):A485,"=2",OFFSET(A485,-WEEKDAY(F485,2),0):A485)),IF(AND('депозитный калькулятор'!$G$10="еженедельное, на минимальную сумму зафиксированную в течение недели",F485='депозитный калькулятор'!$D$8,WEEKDAY(F485,2)&lt;&gt;7),MIN(OFFSET(H485,-WEEKDAY(F485,2),0):H485)*(COUNTIF(OFFSET(H485,-WEEKDAY(F485,2)+1,0):H485,"&gt;0")+SUM(OFFSET(A485,-WEEKDAY(F485,2),0):A485)),IF(AND('депозитный калькулятор'!$G$10="ежемесячное (в конце месяца)",F485='депозитный калькулятор'!$D$8,EOMONTH(F485,0)&lt;&gt;F485),IF('депозитный калькулятор'!$F$1=1,$H$24,SUM($H$23:H485)-SUM($I$23:I484)),IF(AND('депозитный калькулятор'!$G$10="ежемесячное (в конце месяца)",EOMONTH(F485,0)=F485),SUM($H$23:H485)-SUM($I$23:I484),IF(AND('депозитный калькулятор'!$G$10="ежемесячное (по дням открытия вклада)",F485='депозитный калькулятор'!$D$8,DAY('депозитный калькулятор'!$D$7)&lt;&gt;DAY(F485)),IF('депозитный калькулятор'!$F$1=1,$H$24,SUM($H$23:H485)-SUM($I$23:I484)),IF(AND('депозитный калькулятор'!$G$10="ежемесячное (по дням открытия вклада)",DAY('депозитный калькулятор'!$D$7)=DAY(F485)),SUM($H$23:H485)-SUM($I$23:I484),IF(AND('депозитный калькулятор'!$G$10="ежемесячное, на минимальную сумму зафиксированную в течение месяца",F485='депозитный калькулятор'!$D$8,EOMONTH(F485,0)&lt;&gt;F485),IF('депозитный калькулятор'!$F$1=1,$H$24,IF(AND(OR('депозитный калькулятор'!$G$7="30/365",'депозитный калькулятор'!$G$7="30/360"),DAY(F485)=31),0,MIN(OFFSET(H485,-E485+1,0):H485)*(E485+SUMIF(OFFSET(A485,-E485+1,0):A485,"=2",OFFSET(A485,-E485+1,0):A485)))),IF(AND('депозитный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калькулятор'!$G$7="30/360"),DAY(EOMONTH(F485,0))=31),EOMONTH(F485,0)-1=F485,EOMONTH(F485,0)=F485)),IF(IF(AND(OR('депозитный калькулятор'!$G$7="30/365",'депозитный калькулятор'!$G$7="30/360"),DAY(EOMONTH($F$23,0))=31),F485=EOMONTH($F$23,0)-1,F485=EOMONTH($F$23,0)),MIN(OFFSET(H485,-(DAY(F485)-DAY($F$23)),0):H485)*E485,MIN(OFFSET(H485,-(DAY(F485)-1),0):H485)*IF(AND(OR('депозитный калькулятор'!$G$7="30/365",'депозитный калькулятор'!$G$7="30/360"),DAY(F485)&lt;30),30,DAY(F485))),IF(AND('депозитный калькулятор'!$G$10="ежемесячное, на средний остаток в течение месяца, при условии что остаток больше чем ограничение",F485='депозитный калькулятор'!$D$8,EOMONTH(F485,0)&lt;&gt;F485),IF('депозитный калькулятор'!$F$1=1,$H$24,SUM(OFFSET(Q485,-E485+1,0):Q485)),IF(AND('депозитный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калькулятор'!$G$7="30/360"),DAY(EOMONTH(F485,0))=31),EOMONTH(F485,0)-1=F485,EOMONTH(F485,0)=F485)),IF(IF(AND(OR('депозитный калькулятор'!$G$7="30/365",'депозитный калькулятор'!$G$7="30/360"),DAY(EOMONTH($F$24,0))=31),F485=EOMONTH($F$24,0)-1,F485=EOMONTH($F$24,0)),SUM(OFFSET(Q485,-E485+1,0):Q485),SUM(OFFSET(Q485,-E485+1,0):Q485)),IF('депозитный калькулятор'!$G$10="ежеквартальное",IF(F485&gt;'депозитный калькулятор'!$D$8," ",IF(AND(EOMONTH(F485,0)=F485,OR(MONTH(F485)=3,MONTH(F485)=6,MONTH(F485)=9,MONTH(F485)=12)),IF(EDATE(F485,-3)&lt;'депозитный калькулятор'!$D$7,SUM($H$23:H485),IF(MOD(YEAR(F485),4)=0,IF(AND(EOMONTH(F485,0)=F485,OR(MONTH(F485)=3,MONTH(F485)=6)),SUM(OFFSET(H485,-90,0):H485),IF(AND(EOMONTH(F485,0)=F485,OR(MONTH(F485)=9,MONTH(F485)=12)),SUM(OFFSET(H485,-91,0):H485))),IF(AND(EOMONTH(F485,0)=F485,MONTH(F485)=3),SUM(OFFSET(H485,-89,0):H485),IF(AND(EOMONTH(F485,0)=F485,MONTH(F485)=6),SUM(OFFSET(H485,-90,0):H485),IF(AND(EOMONTH(F485,0)=F485,OR(MONTH(F485)=9,MONTH(F485)=12)),SUM(OFFSET(H485,-91,0):H485)))))),IF(F485='депозитный калькулятор'!$D$8,SUM($H$23:H485)-SUM($I$23:I484),0))),IF('депозитный калькулятор'!$G$10="ежегодное",IF(F485&gt;'депозитный калькулятор'!$D$8," ",IF(F485='депозитный калькулятор'!$D$8,SUM($H$23:H485)-SUM($I$23:I484),IF(AND(EOMONTH(F485,0)=F485,MONTH(F485)=12),IF(MOD(YEAR(F484),4)=0,IF(F485-'депозитный калькулятор'!$D$7&lt;366,SUM($H$23:H485),SUM(OFFSET(H485,-365,0):H485)),IF(F485-'депозитный калькулятор'!$D$7&lt;365,SUM($H$23:H485),SUM(OFFSET(H485,-364,0):H485))),0))),IF(AND('депозитный калькулятор'!$G$10="в конце срока",'депозитный калькулятор'!$D$8=F485),SUM($H$23:H485),0))))))))))))))))))</f>
        <v xml:space="preserve"> </v>
      </c>
      <c r="J485" s="59" t="str">
        <f>IF(F485&gt;'депозитный калькулятор'!$D$8," ",IF('депозитный калькулятор'!$G$16="нет",0,IF(AND('депозитный калькулятор'!$G$17="разовая (в конце срока)",F485='депозитный калькулятор'!$D$8),'депозитный калькулятор'!$G$18,IF(AND('депозитный калькулятор'!$G$17="ежемесячная",EOMONTH(F484,0)=F484),'депозитный калькулятор'!$G$18,IF(AND('депозитный калькулятор'!$G$17="ежегодная",DAY(F484)=31,MONTH(F484)=12),'депозитный калькулятор'!$G$18,IF(AND('депозитный калькулятор'!$G$17="ежемесячная в зависимости от остатка",EOMONTH(F484,0)=F484,P484&gt;0),'депозитный калькулятор'!$G$18,IF(AND('депозитный калькулятор'!$G$17="ежегодная в зависимости от остатка",DAY(F484)=31,MONTH(F484)=12,P484&gt;0),'депозитный калькулятор'!$G$18,0)))))))</f>
        <v xml:space="preserve"> </v>
      </c>
      <c r="K485" s="135" t="str">
        <f>IF($F485=" "," ",IFERROR(VLOOKUP($F485,'депозитный калькулятор'!$B$26:$F$70,2,0),0))</f>
        <v xml:space="preserve"> </v>
      </c>
      <c r="L485" s="135" t="str">
        <f>IF($F485=" "," ",IFERROR(VLOOKUP($F485,'депозитный калькулятор'!$B$26:$F$70,3,0),0))</f>
        <v xml:space="preserve"> </v>
      </c>
      <c r="M485" s="135" t="str">
        <f>IF($F485=" "," ",IFERROR(VLOOKUP($F485,'депозитный калькулятор'!$B$26:$F$70,4,0),0))</f>
        <v xml:space="preserve"> </v>
      </c>
      <c r="N485" s="135" t="str">
        <f>IF($F485=" "," ",IFERROR(VLOOKUP($F485,'депозитный калькулятор'!$B$26:$F$70,5,0),0))</f>
        <v xml:space="preserve"> </v>
      </c>
      <c r="O485" s="146" t="str">
        <f>IF(F485&gt;'депозитный калькулятор'!$D$8," ",IF(F485='депозитный калькулятор'!$D$8,IF(AND($F$24='депозитный калькулятор'!$D$8,'депозитный калькулятор'!$G$13="нет"),-G485-IF(I485=" ",0,I485)-IF(AND(OR('депозитный калькулятор'!$G$7="30/365",'депозитный калькулятор'!$G$7="30/360"),'депозитный калькулятор'!$G$10="в начале срока"),I484,0)-L485+M485-N485,-G485-IF(I485=" ",0,I485)-L485+M485-N485),IF('депозитный калькулятор'!$G$13="есть",M485-N485+IF('депозитный калькулятор'!$G$14="есть",0,-L485),-IF(I485=" ",0,I485)-IF(AND(OR('депозитный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срока"),I484,0)+M485-N485+IF('депозитный калькулятор'!$G$14="есть",0,-L485))))</f>
        <v xml:space="preserve"> </v>
      </c>
      <c r="P485" s="147" t="str">
        <f>IF(F485&gt;'депозитный калькулятор'!$D$8," ",IF(EOMONTH(F484,0)=F484,0,IF(G485&gt;='депозитный калькулятор'!$G$19,P484,P484+1)))</f>
        <v xml:space="preserve"> </v>
      </c>
      <c r="Q485" s="138" t="str">
        <f>IF(F485=" "," ",IF(AND(OR('депозитный калькулятор'!$G$7="30/365",'депозитный калькулятор'!$G$7="30/360"),AND(MONTH(F485)=2,EOMONTH(F485,0)=F485)),IF(DAY(F485)=28,3,2),1)*IF(G485&gt;='депозитный калькулятор'!$G$11,IF(AND('депозитный калькулятор'!$G$7="факт/факт",MOD(YEAR(F485),4)=0),G485*'депозитный калькулятор'!$D$11/366,G485*'депозитный калькулятор'!$G$8),0))</f>
        <v xml:space="preserve"> </v>
      </c>
      <c r="R485" s="158"/>
      <c r="S485" s="62" t="str">
        <f t="shared" ca="1" si="37"/>
        <v xml:space="preserve"> </v>
      </c>
      <c r="T485" s="149" t="str">
        <f ca="1">IF(S485=" "," ",IF('депозитный калькулятор'!$G$7="30/360",DAYS360(U484,IF(DAY(U485)=31,U485-1,U485))+IF(AND(MONTH(U485)=2,U485=EOMONTH(U485,0)),30-DAY(EOMONTH(U485,0)))+T484,VLOOKUP(S485,$C$22:$F$1023,2,0)))</f>
        <v xml:space="preserve"> </v>
      </c>
      <c r="U485" s="64" t="str">
        <f t="shared" ca="1" si="35"/>
        <v xml:space="preserve"> </v>
      </c>
      <c r="V485" s="150" t="str">
        <f t="shared" ca="1" si="38"/>
        <v xml:space="preserve"> </v>
      </c>
      <c r="W485" s="62" t="str">
        <f t="shared" ca="1" si="39"/>
        <v xml:space="preserve"> </v>
      </c>
      <c r="X485" s="141" t="str">
        <f ca="1">IF(S485=" "," ",IFERROR(VLOOKUP(U485,$F$23:$N$1023,7)+VLOOKUP(U485,$F$23:$N$1023,9)+IF(AND('депозитный калькулятор'!$G$13="нет",U485&lt;&gt;'депозитный калькулятор'!$D$8),VLOOKUP(U485,$F$23:$N$1023,4),0),0)+IF(U485='депозитный калькулятор'!$D$8,VLOOKUP(U485,$F$23:$N$1023,2)+VLOOKUP(U485,$F$23:$N$1023,4),0))</f>
        <v xml:space="preserve"> </v>
      </c>
      <c r="Y485" s="142" t="str">
        <f ca="1">IF(S485=" "," ",W485/(1+'депозитный калькулятор'!$K$8)^(T485/IF('депозитный калькулятор'!$G$7="30/360",360,365)))</f>
        <v xml:space="preserve"> </v>
      </c>
      <c r="Z485" s="142" t="str">
        <f ca="1">IF(S485=" "," ",X485/(1+'депозитный калькулятор'!$K$8)^(T485/IF('депозитный калькулятор'!$G$7="30/360",360,365)))</f>
        <v xml:space="preserve"> </v>
      </c>
      <c r="AA485" s="151"/>
      <c r="AB485" s="151"/>
      <c r="AC485" s="155"/>
      <c r="AD485" s="155"/>
    </row>
    <row r="486" spans="1:30" s="2" customFormat="1" ht="15.5" x14ac:dyDescent="0.35">
      <c r="A486" s="41" t="str">
        <f>IF(F486=" "," ",IF(OR('депозитный калькулятор'!$G$7="30/365",'депозитный калькулятор'!$G$7="30/360"),IF(AND(MONTH(F486)=2,DAY(F486)=DAY(EOMONTH(F486,0))),30-DAY(EOMONTH(F486,0)),IF(DAY(F486)=31,1," "))," "))</f>
        <v xml:space="preserve"> </v>
      </c>
      <c r="B486" s="130" t="str">
        <f t="shared" si="36"/>
        <v xml:space="preserve"> </v>
      </c>
      <c r="C486" s="130" t="str">
        <f>IF(OR(B486=0,B486=" ")," ",SUM($B$23:B486))</f>
        <v xml:space="preserve"> </v>
      </c>
      <c r="D486" s="62" t="str">
        <f>IF(D485=" "," ",IF(OR(F485='депозитный калькулятор'!$D$8,F485=" ")," ",D485+1))</f>
        <v xml:space="preserve"> </v>
      </c>
      <c r="E486" s="130" t="str">
        <f>IF(OR(F485='депозитный калькулятор'!$D$8,F485=" ")," ",IF(EOMONTH(F485,0)=F485,1,E485+1))</f>
        <v xml:space="preserve"> </v>
      </c>
      <c r="F486" s="64" t="str">
        <f>IF(F485=" "," ",IF(F485='депозитный калькулятор'!$D$8," ",F485+1))</f>
        <v xml:space="preserve"> </v>
      </c>
      <c r="G486" s="145" t="str">
        <f xml:space="preserve"> IF(F486&gt;'депозитный калькулятор'!$D$8," ",IF('депозитный калькулятор'!$G$13="есть",IF('депозитный калькулятор'!$G$14="есть",G485+IF(I485=" ",0,I485)-J486-K486+L486+M486-N486,G485+IF(I485=" ",0,I485)-J486-K486+M486-N486),IF('депозитный калькулятор'!$G$14="есть",G485-J486-K486+L486+M486-N486,G485-J486-K486+M486-N486)))</f>
        <v xml:space="preserve"> </v>
      </c>
      <c r="H486" s="133" t="str">
        <f>IF(F486&gt;'депозитный калькулятор'!$D$8," ",IF(AND(OR('депозитный калькулятор'!$G$7="30/365",'депозитный калькулятор'!$G$7="30/360"),AND(MONTH(F486)=2,EOMONTH(F486,0)=F486)),IF(DAY(F486)=28,3*G486*'депозитный калькулятор'!$G$8,2*G486*'депозитный калькулятор'!$G$8),IF(AND(OR('депозитный калькулятор'!$G$7="30/365",'депозитный калькулятор'!$G$7="30/360"),DAY(F486)=31)," ",IF(AND('депозитный калькулятор'!$G$7="факт/факт",MOD(YEAR(F486),4)=0),G486*'депозитный калькулятор'!$D$11/366,G486*'депозитный калькулятор'!$G$8))))</f>
        <v xml:space="preserve"> </v>
      </c>
      <c r="I486" s="134" t="str">
        <f ca="1">IF(F486=" "," ",IF('депозитный калькулятор'!$G$10="ежедневное",H486,IF(AND('депозитный калькулятор'!$G$10="еженедельное",WEEKDAY(F486,2)=7),SUM(OFFSET(H486,-6,0):H486),IF(AND('депозитный калькулятор'!$G$10="еженедельное",F486='депозитный калькулятор'!$D$8),SUM($H$23:H486)-SUM($I$23:I485),IF(AND('депозитный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недели",WEEKDAY(F486,2)=7),MIN(OFFSET(H486,-6,0):H486)*(COUNTIF(OFFSET(H486,-6,0):H486,"&gt;0")+SUMIF(OFFSET(A486,-WEEKDAY(F486,2),0):A486,"=2",OFFSET(A486,-WEEKDAY(F486,2),0):A486)),IF(AND('депозитный калькулятор'!$G$10="еженедельное, на минимальную сумму зафиксированную в течение недели",F486='депозитный калькулятор'!$D$8,WEEKDAY(F486,2)&lt;&gt;7),MIN(OFFSET(H486,-WEEKDAY(F486,2),0):H486)*(COUNTIF(OFFSET(H486,-WEEKDAY(F486,2)+1,0):H486,"&gt;0")+SUM(OFFSET(A486,-WEEKDAY(F486,2),0):A486)),IF(AND('депозитный калькулятор'!$G$10="ежемесячное (в конце месяца)",F486='депозитный калькулятор'!$D$8,EOMONTH(F486,0)&lt;&gt;F486),IF('депозитный калькулятор'!$F$1=1,$H$24,SUM($H$23:H486)-SUM($I$23:I485)),IF(AND('депозитный калькулятор'!$G$10="ежемесячное (в конце месяца)",EOMONTH(F486,0)=F486),SUM($H$23:H486)-SUM($I$23:I485),IF(AND('депозитный калькулятор'!$G$10="ежемесячное (по дням открытия вклада)",F486='депозитный калькулятор'!$D$8,DAY('депозитный калькулятор'!$D$7)&lt;&gt;DAY(F486)),IF('депозитный калькулятор'!$F$1=1,$H$24,SUM($H$23:H486)-SUM($I$23:I485)),IF(AND('депозитный калькулятор'!$G$10="ежемесячное (по дням открытия вклада)",DAY('депозитный калькулятор'!$D$7)=DAY(F486)),SUM($H$23:H486)-SUM($I$23:I485),IF(AND('депозитный калькулятор'!$G$10="ежемесячное, на минимальную сумму зафиксированную в течение месяца",F486='депозитный калькулятор'!$D$8,EOMONTH(F486,0)&lt;&gt;F486),IF('депозитный калькулятор'!$F$1=1,$H$24,IF(AND(OR('депозитный калькулятор'!$G$7="30/365",'депозитный калькулятор'!$G$7="30/360"),DAY(F486)=31),0,MIN(OFFSET(H486,-E486+1,0):H486)*(E486+SUMIF(OFFSET(A486,-E486+1,0):A486,"=2",OFFSET(A486,-E486+1,0):A486)))),IF(AND('депозитный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калькулятор'!$G$7="30/360"),DAY(EOMONTH(F486,0))=31),EOMONTH(F486,0)-1=F486,EOMONTH(F486,0)=F486)),IF(IF(AND(OR('депозитный калькулятор'!$G$7="30/365",'депозитный калькулятор'!$G$7="30/360"),DAY(EOMONTH($F$23,0))=31),F486=EOMONTH($F$23,0)-1,F486=EOMONTH($F$23,0)),MIN(OFFSET(H486,-(DAY(F486)-DAY($F$23)),0):H486)*E486,MIN(OFFSET(H486,-(DAY(F486)-1),0):H486)*IF(AND(OR('депозитный калькулятор'!$G$7="30/365",'депозитный калькулятор'!$G$7="30/360"),DAY(F486)&lt;30),30,DAY(F486))),IF(AND('депозитный калькулятор'!$G$10="ежемесячное, на средний остаток в течение месяца, при условии что остаток больше чем ограничение",F486='депозитный калькулятор'!$D$8,EOMONTH(F486,0)&lt;&gt;F486),IF('депозитный калькулятор'!$F$1=1,$H$24,SUM(OFFSET(Q486,-E486+1,0):Q486)),IF(AND('депозитный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калькулятор'!$G$7="30/360"),DAY(EOMONTH(F486,0))=31),EOMONTH(F486,0)-1=F486,EOMONTH(F486,0)=F486)),IF(IF(AND(OR('депозитный калькулятор'!$G$7="30/365",'депозитный калькулятор'!$G$7="30/360"),DAY(EOMONTH($F$24,0))=31),F486=EOMONTH($F$24,0)-1,F486=EOMONTH($F$24,0)),SUM(OFFSET(Q486,-E486+1,0):Q486),SUM(OFFSET(Q486,-E486+1,0):Q486)),IF('депозитный калькулятор'!$G$10="ежеквартальное",IF(F486&gt;'депозитный калькулятор'!$D$8," ",IF(AND(EOMONTH(F486,0)=F486,OR(MONTH(F486)=3,MONTH(F486)=6,MONTH(F486)=9,MONTH(F486)=12)),IF(EDATE(F486,-3)&lt;'депозитный калькулятор'!$D$7,SUM($H$23:H486),IF(MOD(YEAR(F486),4)=0,IF(AND(EOMONTH(F486,0)=F486,OR(MONTH(F486)=3,MONTH(F486)=6)),SUM(OFFSET(H486,-90,0):H486),IF(AND(EOMONTH(F486,0)=F486,OR(MONTH(F486)=9,MONTH(F486)=12)),SUM(OFFSET(H486,-91,0):H486))),IF(AND(EOMONTH(F486,0)=F486,MONTH(F486)=3),SUM(OFFSET(H486,-89,0):H486),IF(AND(EOMONTH(F486,0)=F486,MONTH(F486)=6),SUM(OFFSET(H486,-90,0):H486),IF(AND(EOMONTH(F486,0)=F486,OR(MONTH(F486)=9,MONTH(F486)=12)),SUM(OFFSET(H486,-91,0):H486)))))),IF(F486='депозитный калькулятор'!$D$8,SUM($H$23:H486)-SUM($I$23:I485),0))),IF('депозитный калькулятор'!$G$10="ежегодное",IF(F486&gt;'депозитный калькулятор'!$D$8," ",IF(F486='депозитный калькулятор'!$D$8,SUM($H$23:H486)-SUM($I$23:I485),IF(AND(EOMONTH(F486,0)=F486,MONTH(F486)=12),IF(MOD(YEAR(F485),4)=0,IF(F486-'депозитный калькулятор'!$D$7&lt;366,SUM($H$23:H486),SUM(OFFSET(H486,-365,0):H486)),IF(F486-'депозитный калькулятор'!$D$7&lt;365,SUM($H$23:H486),SUM(OFFSET(H486,-364,0):H486))),0))),IF(AND('депозитный калькулятор'!$G$10="в конце срока",'депозитный калькулятор'!$D$8=F486),SUM($H$23:H486),0))))))))))))))))))</f>
        <v xml:space="preserve"> </v>
      </c>
      <c r="J486" s="59" t="str">
        <f>IF(F486&gt;'депозитный калькулятор'!$D$8," ",IF('депозитный калькулятор'!$G$16="нет",0,IF(AND('депозитный калькулятор'!$G$17="разовая (в конце срока)",F486='депозитный калькулятор'!$D$8),'депозитный калькулятор'!$G$18,IF(AND('депозитный калькулятор'!$G$17="ежемесячная",EOMONTH(F485,0)=F485),'депозитный калькулятор'!$G$18,IF(AND('депозитный калькулятор'!$G$17="ежегодная",DAY(F485)=31,MONTH(F485)=12),'депозитный калькулятор'!$G$18,IF(AND('депозитный калькулятор'!$G$17="ежемесячная в зависимости от остатка",EOMONTH(F485,0)=F485,P485&gt;0),'депозитный калькулятор'!$G$18,IF(AND('депозитный калькулятор'!$G$17="ежегодная в зависимости от остатка",DAY(F485)=31,MONTH(F485)=12,P485&gt;0),'депозитный калькулятор'!$G$18,0)))))))</f>
        <v xml:space="preserve"> </v>
      </c>
      <c r="K486" s="135" t="str">
        <f>IF($F486=" "," ",IFERROR(VLOOKUP($F486,'депозитный калькулятор'!$B$26:$F$70,2,0),0))</f>
        <v xml:space="preserve"> </v>
      </c>
      <c r="L486" s="135" t="str">
        <f>IF($F486=" "," ",IFERROR(VLOOKUP($F486,'депозитный калькулятор'!$B$26:$F$70,3,0),0))</f>
        <v xml:space="preserve"> </v>
      </c>
      <c r="M486" s="135" t="str">
        <f>IF($F486=" "," ",IFERROR(VLOOKUP($F486,'депозитный калькулятор'!$B$26:$F$70,4,0),0))</f>
        <v xml:space="preserve"> </v>
      </c>
      <c r="N486" s="135" t="str">
        <f>IF($F486=" "," ",IFERROR(VLOOKUP($F486,'депозитный калькулятор'!$B$26:$F$70,5,0),0))</f>
        <v xml:space="preserve"> </v>
      </c>
      <c r="O486" s="146" t="str">
        <f>IF(F486&gt;'депозитный калькулятор'!$D$8," ",IF(F486='депозитный калькулятор'!$D$8,IF(AND($F$24='депозитный калькулятор'!$D$8,'депозитный калькулятор'!$G$13="нет"),-G486-IF(I486=" ",0,I486)-IF(AND(OR('депозитный калькулятор'!$G$7="30/365",'депозитный калькулятор'!$G$7="30/360"),'депозитный калькулятор'!$G$10="в начале срока"),I485,0)-L486+M486-N486,-G486-IF(I486=" ",0,I486)-L486+M486-N486),IF('депозитный калькулятор'!$G$13="есть",M486-N486+IF('депозитный калькулятор'!$G$14="есть",0,-L486),-IF(I486=" ",0,I486)-IF(AND(OR('депозитный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срока"),I485,0)+M486-N486+IF('депозитный калькулятор'!$G$14="есть",0,-L486))))</f>
        <v xml:space="preserve"> </v>
      </c>
      <c r="P486" s="147" t="str">
        <f>IF(F486&gt;'депозитный калькулятор'!$D$8," ",IF(EOMONTH(F485,0)=F485,0,IF(G486&gt;='депозитный калькулятор'!$G$19,P485,P485+1)))</f>
        <v xml:space="preserve"> </v>
      </c>
      <c r="Q486" s="138" t="str">
        <f>IF(F486=" "," ",IF(AND(OR('депозитный калькулятор'!$G$7="30/365",'депозитный калькулятор'!$G$7="30/360"),AND(MONTH(F486)=2,EOMONTH(F486,0)=F486)),IF(DAY(F486)=28,3,2),1)*IF(G486&gt;='депозитный калькулятор'!$G$11,IF(AND('депозитный калькулятор'!$G$7="факт/факт",MOD(YEAR(F486),4)=0),G486*'депозитный калькулятор'!$D$11/366,G486*'депозитный калькулятор'!$G$8),0))</f>
        <v xml:space="preserve"> </v>
      </c>
      <c r="R486" s="158"/>
      <c r="S486" s="62" t="str">
        <f t="shared" ca="1" si="37"/>
        <v xml:space="preserve"> </v>
      </c>
      <c r="T486" s="149" t="str">
        <f ca="1">IF(S486=" "," ",IF('депозитный калькулятор'!$G$7="30/360",DAYS360(U485,IF(DAY(U486)=31,U486-1,U486))+IF(AND(MONTH(U486)=2,U486=EOMONTH(U486,0)),30-DAY(EOMONTH(U486,0)))+T485,VLOOKUP(S486,$C$22:$F$1023,2,0)))</f>
        <v xml:space="preserve"> </v>
      </c>
      <c r="U486" s="64" t="str">
        <f t="shared" ca="1" si="35"/>
        <v xml:space="preserve"> </v>
      </c>
      <c r="V486" s="150" t="str">
        <f t="shared" ca="1" si="38"/>
        <v xml:space="preserve"> </v>
      </c>
      <c r="W486" s="62" t="str">
        <f t="shared" ca="1" si="39"/>
        <v xml:space="preserve"> </v>
      </c>
      <c r="X486" s="141" t="str">
        <f ca="1">IF(S486=" "," ",IFERROR(VLOOKUP(U486,$F$23:$N$1023,7)+VLOOKUP(U486,$F$23:$N$1023,9)+IF(AND('депозитный калькулятор'!$G$13="нет",U486&lt;&gt;'депозитный калькулятор'!$D$8),VLOOKUP(U486,$F$23:$N$1023,4),0),0)+IF(U486='депозитный калькулятор'!$D$8,VLOOKUP(U486,$F$23:$N$1023,2)+VLOOKUP(U486,$F$23:$N$1023,4),0))</f>
        <v xml:space="preserve"> </v>
      </c>
      <c r="Y486" s="142" t="str">
        <f ca="1">IF(S486=" "," ",W486/(1+'депозитный калькулятор'!$K$8)^(T486/IF('депозитный калькулятор'!$G$7="30/360",360,365)))</f>
        <v xml:space="preserve"> </v>
      </c>
      <c r="Z486" s="142" t="str">
        <f ca="1">IF(S486=" "," ",X486/(1+'депозитный калькулятор'!$K$8)^(T486/IF('депозитный калькулятор'!$G$7="30/360",360,365)))</f>
        <v xml:space="preserve"> </v>
      </c>
      <c r="AA486" s="151"/>
      <c r="AB486" s="151"/>
      <c r="AC486" s="155"/>
      <c r="AD486" s="155"/>
    </row>
    <row r="487" spans="1:30" s="2" customFormat="1" ht="15.5" x14ac:dyDescent="0.35">
      <c r="A487" s="41" t="str">
        <f>IF(F487=" "," ",IF(OR('депозитный калькулятор'!$G$7="30/365",'депозитный калькулятор'!$G$7="30/360"),IF(AND(MONTH(F487)=2,DAY(F487)=DAY(EOMONTH(F487,0))),30-DAY(EOMONTH(F487,0)),IF(DAY(F487)=31,1," "))," "))</f>
        <v xml:space="preserve"> </v>
      </c>
      <c r="B487" s="130" t="str">
        <f t="shared" si="36"/>
        <v xml:space="preserve"> </v>
      </c>
      <c r="C487" s="130" t="str">
        <f>IF(OR(B487=0,B487=" ")," ",SUM($B$23:B487))</f>
        <v xml:space="preserve"> </v>
      </c>
      <c r="D487" s="62" t="str">
        <f>IF(D486=" "," ",IF(OR(F486='депозитный калькулятор'!$D$8,F486=" ")," ",D486+1))</f>
        <v xml:space="preserve"> </v>
      </c>
      <c r="E487" s="130" t="str">
        <f>IF(OR(F486='депозитный калькулятор'!$D$8,F486=" ")," ",IF(EOMONTH(F486,0)=F486,1,E486+1))</f>
        <v xml:space="preserve"> </v>
      </c>
      <c r="F487" s="64" t="str">
        <f>IF(F486=" "," ",IF(F486='депозитный калькулятор'!$D$8," ",F486+1))</f>
        <v xml:space="preserve"> </v>
      </c>
      <c r="G487" s="145" t="str">
        <f xml:space="preserve"> IF(F487&gt;'депозитный калькулятор'!$D$8," ",IF('депозитный калькулятор'!$G$13="есть",IF('депозитный калькулятор'!$G$14="есть",G486+IF(I486=" ",0,I486)-J487-K487+L487+M487-N487,G486+IF(I486=" ",0,I486)-J487-K487+M487-N487),IF('депозитный калькулятор'!$G$14="есть",G486-J487-K487+L487+M487-N487,G486-J487-K487+M487-N487)))</f>
        <v xml:space="preserve"> </v>
      </c>
      <c r="H487" s="133" t="str">
        <f>IF(F487&gt;'депозитный калькулятор'!$D$8," ",IF(AND(OR('депозитный калькулятор'!$G$7="30/365",'депозитный калькулятор'!$G$7="30/360"),AND(MONTH(F487)=2,EOMONTH(F487,0)=F487)),IF(DAY(F487)=28,3*G487*'депозитный калькулятор'!$G$8,2*G487*'депозитный калькулятор'!$G$8),IF(AND(OR('депозитный калькулятор'!$G$7="30/365",'депозитный калькулятор'!$G$7="30/360"),DAY(F487)=31)," ",IF(AND('депозитный калькулятор'!$G$7="факт/факт",MOD(YEAR(F487),4)=0),G487*'депозитный калькулятор'!$D$11/366,G487*'депозитный калькулятор'!$G$8))))</f>
        <v xml:space="preserve"> </v>
      </c>
      <c r="I487" s="134" t="str">
        <f ca="1">IF(F487=" "," ",IF('депозитный калькулятор'!$G$10="ежедневное",H487,IF(AND('депозитный калькулятор'!$G$10="еженедельное",WEEKDAY(F487,2)=7),SUM(OFFSET(H487,-6,0):H487),IF(AND('депозитный калькулятор'!$G$10="еженедельное",F487='депозитный калькулятор'!$D$8),SUM($H$23:H487)-SUM($I$23:I486),IF(AND('депозитный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недели",WEEKDAY(F487,2)=7),MIN(OFFSET(H487,-6,0):H487)*(COUNTIF(OFFSET(H487,-6,0):H487,"&gt;0")+SUMIF(OFFSET(A487,-WEEKDAY(F487,2),0):A487,"=2",OFFSET(A487,-WEEKDAY(F487,2),0):A487)),IF(AND('депозитный калькулятор'!$G$10="еженедельное, на минимальную сумму зафиксированную в течение недели",F487='депозитный калькулятор'!$D$8,WEEKDAY(F487,2)&lt;&gt;7),MIN(OFFSET(H487,-WEEKDAY(F487,2),0):H487)*(COUNTIF(OFFSET(H487,-WEEKDAY(F487,2)+1,0):H487,"&gt;0")+SUM(OFFSET(A487,-WEEKDAY(F487,2),0):A487)),IF(AND('депозитный калькулятор'!$G$10="ежемесячное (в конце месяца)",F487='депозитный калькулятор'!$D$8,EOMONTH(F487,0)&lt;&gt;F487),IF('депозитный калькулятор'!$F$1=1,$H$24,SUM($H$23:H487)-SUM($I$23:I486)),IF(AND('депозитный калькулятор'!$G$10="ежемесячное (в конце месяца)",EOMONTH(F487,0)=F487),SUM($H$23:H487)-SUM($I$23:I486),IF(AND('депозитный калькулятор'!$G$10="ежемесячное (по дням открытия вклада)",F487='депозитный калькулятор'!$D$8,DAY('депозитный калькулятор'!$D$7)&lt;&gt;DAY(F487)),IF('депозитный калькулятор'!$F$1=1,$H$24,SUM($H$23:H487)-SUM($I$23:I486)),IF(AND('депозитный калькулятор'!$G$10="ежемесячное (по дням открытия вклада)",DAY('депозитный калькулятор'!$D$7)=DAY(F487)),SUM($H$23:H487)-SUM($I$23:I486),IF(AND('депозитный калькулятор'!$G$10="ежемесячное, на минимальную сумму зафиксированную в течение месяца",F487='депозитный калькулятор'!$D$8,EOMONTH(F487,0)&lt;&gt;F487),IF('депозитный калькулятор'!$F$1=1,$H$24,IF(AND(OR('депозитный калькулятор'!$G$7="30/365",'депозитный калькулятор'!$G$7="30/360"),DAY(F487)=31),0,MIN(OFFSET(H487,-E487+1,0):H487)*(E487+SUMIF(OFFSET(A487,-E487+1,0):A487,"=2",OFFSET(A487,-E487+1,0):A487)))),IF(AND('депозитный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калькулятор'!$G$7="30/360"),DAY(EOMONTH(F487,0))=31),EOMONTH(F487,0)-1=F487,EOMONTH(F487,0)=F487)),IF(IF(AND(OR('депозитный калькулятор'!$G$7="30/365",'депозитный калькулятор'!$G$7="30/360"),DAY(EOMONTH($F$23,0))=31),F487=EOMONTH($F$23,0)-1,F487=EOMONTH($F$23,0)),MIN(OFFSET(H487,-(DAY(F487)-DAY($F$23)),0):H487)*E487,MIN(OFFSET(H487,-(DAY(F487)-1),0):H487)*IF(AND(OR('депозитный калькулятор'!$G$7="30/365",'депозитный калькулятор'!$G$7="30/360"),DAY(F487)&lt;30),30,DAY(F487))),IF(AND('депозитный калькулятор'!$G$10="ежемесячное, на средний остаток в течение месяца, при условии что остаток больше чем ограничение",F487='депозитный калькулятор'!$D$8,EOMONTH(F487,0)&lt;&gt;F487),IF('депозитный калькулятор'!$F$1=1,$H$24,SUM(OFFSET(Q487,-E487+1,0):Q487)),IF(AND('депозитный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калькулятор'!$G$7="30/360"),DAY(EOMONTH(F487,0))=31),EOMONTH(F487,0)-1=F487,EOMONTH(F487,0)=F487)),IF(IF(AND(OR('депозитный калькулятор'!$G$7="30/365",'депозитный калькулятор'!$G$7="30/360"),DAY(EOMONTH($F$24,0))=31),F487=EOMONTH($F$24,0)-1,F487=EOMONTH($F$24,0)),SUM(OFFSET(Q487,-E487+1,0):Q487),SUM(OFFSET(Q487,-E487+1,0):Q487)),IF('депозитный калькулятор'!$G$10="ежеквартальное",IF(F487&gt;'депозитный калькулятор'!$D$8," ",IF(AND(EOMONTH(F487,0)=F487,OR(MONTH(F487)=3,MONTH(F487)=6,MONTH(F487)=9,MONTH(F487)=12)),IF(EDATE(F487,-3)&lt;'депозитный калькулятор'!$D$7,SUM($H$23:H487),IF(MOD(YEAR(F487),4)=0,IF(AND(EOMONTH(F487,0)=F487,OR(MONTH(F487)=3,MONTH(F487)=6)),SUM(OFFSET(H487,-90,0):H487),IF(AND(EOMONTH(F487,0)=F487,OR(MONTH(F487)=9,MONTH(F487)=12)),SUM(OFFSET(H487,-91,0):H487))),IF(AND(EOMONTH(F487,0)=F487,MONTH(F487)=3),SUM(OFFSET(H487,-89,0):H487),IF(AND(EOMONTH(F487,0)=F487,MONTH(F487)=6),SUM(OFFSET(H487,-90,0):H487),IF(AND(EOMONTH(F487,0)=F487,OR(MONTH(F487)=9,MONTH(F487)=12)),SUM(OFFSET(H487,-91,0):H487)))))),IF(F487='депозитный калькулятор'!$D$8,SUM($H$23:H487)-SUM($I$23:I486),0))),IF('депозитный калькулятор'!$G$10="ежегодное",IF(F487&gt;'депозитный калькулятор'!$D$8," ",IF(F487='депозитный калькулятор'!$D$8,SUM($H$23:H487)-SUM($I$23:I486),IF(AND(EOMONTH(F487,0)=F487,MONTH(F487)=12),IF(MOD(YEAR(F486),4)=0,IF(F487-'депозитный калькулятор'!$D$7&lt;366,SUM($H$23:H487),SUM(OFFSET(H487,-365,0):H487)),IF(F487-'депозитный калькулятор'!$D$7&lt;365,SUM($H$23:H487),SUM(OFFSET(H487,-364,0):H487))),0))),IF(AND('депозитный калькулятор'!$G$10="в конце срока",'депозитный калькулятор'!$D$8=F487),SUM($H$23:H487),0))))))))))))))))))</f>
        <v xml:space="preserve"> </v>
      </c>
      <c r="J487" s="59" t="str">
        <f>IF(F487&gt;'депозитный калькулятор'!$D$8," ",IF('депозитный калькулятор'!$G$16="нет",0,IF(AND('депозитный калькулятор'!$G$17="разовая (в конце срока)",F487='депозитный калькулятор'!$D$8),'депозитный калькулятор'!$G$18,IF(AND('депозитный калькулятор'!$G$17="ежемесячная",EOMONTH(F486,0)=F486),'депозитный калькулятор'!$G$18,IF(AND('депозитный калькулятор'!$G$17="ежегодная",DAY(F486)=31,MONTH(F486)=12),'депозитный калькулятор'!$G$18,IF(AND('депозитный калькулятор'!$G$17="ежемесячная в зависимости от остатка",EOMONTH(F486,0)=F486,P486&gt;0),'депозитный калькулятор'!$G$18,IF(AND('депозитный калькулятор'!$G$17="ежегодная в зависимости от остатка",DAY(F486)=31,MONTH(F486)=12,P486&gt;0),'депозитный калькулятор'!$G$18,0)))))))</f>
        <v xml:space="preserve"> </v>
      </c>
      <c r="K487" s="135" t="str">
        <f>IF($F487=" "," ",IFERROR(VLOOKUP($F487,'депозитный калькулятор'!$B$26:$F$70,2,0),0))</f>
        <v xml:space="preserve"> </v>
      </c>
      <c r="L487" s="135" t="str">
        <f>IF($F487=" "," ",IFERROR(VLOOKUP($F487,'депозитный калькулятор'!$B$26:$F$70,3,0),0))</f>
        <v xml:space="preserve"> </v>
      </c>
      <c r="M487" s="135" t="str">
        <f>IF($F487=" "," ",IFERROR(VLOOKUP($F487,'депозитный калькулятор'!$B$26:$F$70,4,0),0))</f>
        <v xml:space="preserve"> </v>
      </c>
      <c r="N487" s="135" t="str">
        <f>IF($F487=" "," ",IFERROR(VLOOKUP($F487,'депозитный калькулятор'!$B$26:$F$70,5,0),0))</f>
        <v xml:space="preserve"> </v>
      </c>
      <c r="O487" s="146" t="str">
        <f>IF(F487&gt;'депозитный калькулятор'!$D$8," ",IF(F487='депозитный калькулятор'!$D$8,IF(AND($F$24='депозитный калькулятор'!$D$8,'депозитный калькулятор'!$G$13="нет"),-G487-IF(I487=" ",0,I487)-IF(AND(OR('депозитный калькулятор'!$G$7="30/365",'депозитный калькулятор'!$G$7="30/360"),'депозитный калькулятор'!$G$10="в начале срока"),I486,0)-L487+M487-N487,-G487-IF(I487=" ",0,I487)-L487+M487-N487),IF('депозитный калькулятор'!$G$13="есть",M487-N487+IF('депозитный калькулятор'!$G$14="есть",0,-L487),-IF(I487=" ",0,I487)-IF(AND(OR('депозитный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срока"),I486,0)+M487-N487+IF('депозитный калькулятор'!$G$14="есть",0,-L487))))</f>
        <v xml:space="preserve"> </v>
      </c>
      <c r="P487" s="147" t="str">
        <f>IF(F487&gt;'депозитный калькулятор'!$D$8," ",IF(EOMONTH(F486,0)=F486,0,IF(G487&gt;='депозитный калькулятор'!$G$19,P486,P486+1)))</f>
        <v xml:space="preserve"> </v>
      </c>
      <c r="Q487" s="138" t="str">
        <f>IF(F487=" "," ",IF(AND(OR('депозитный калькулятор'!$G$7="30/365",'депозитный калькулятор'!$G$7="30/360"),AND(MONTH(F487)=2,EOMONTH(F487,0)=F487)),IF(DAY(F487)=28,3,2),1)*IF(G487&gt;='депозитный калькулятор'!$G$11,IF(AND('депозитный калькулятор'!$G$7="факт/факт",MOD(YEAR(F487),4)=0),G487*'депозитный калькулятор'!$D$11/366,G487*'депозитный калькулятор'!$G$8),0))</f>
        <v xml:space="preserve"> </v>
      </c>
      <c r="R487" s="158"/>
      <c r="S487" s="62" t="str">
        <f t="shared" ca="1" si="37"/>
        <v xml:space="preserve"> </v>
      </c>
      <c r="T487" s="149" t="str">
        <f ca="1">IF(S487=" "," ",IF('депозитный калькулятор'!$G$7="30/360",DAYS360(U486,IF(DAY(U487)=31,U487-1,U487))+IF(AND(MONTH(U487)=2,U487=EOMONTH(U487,0)),30-DAY(EOMONTH(U487,0)))+T486,VLOOKUP(S487,$C$22:$F$1023,2,0)))</f>
        <v xml:space="preserve"> </v>
      </c>
      <c r="U487" s="64" t="str">
        <f t="shared" ca="1" si="35"/>
        <v xml:space="preserve"> </v>
      </c>
      <c r="V487" s="150" t="str">
        <f t="shared" ca="1" si="38"/>
        <v xml:space="preserve"> </v>
      </c>
      <c r="W487" s="62" t="str">
        <f t="shared" ca="1" si="39"/>
        <v xml:space="preserve"> </v>
      </c>
      <c r="X487" s="141" t="str">
        <f ca="1">IF(S487=" "," ",IFERROR(VLOOKUP(U487,$F$23:$N$1023,7)+VLOOKUP(U487,$F$23:$N$1023,9)+IF(AND('депозитный калькулятор'!$G$13="нет",U487&lt;&gt;'депозитный калькулятор'!$D$8),VLOOKUP(U487,$F$23:$N$1023,4),0),0)+IF(U487='депозитный калькулятор'!$D$8,VLOOKUP(U487,$F$23:$N$1023,2)+VLOOKUP(U487,$F$23:$N$1023,4),0))</f>
        <v xml:space="preserve"> </v>
      </c>
      <c r="Y487" s="142" t="str">
        <f ca="1">IF(S487=" "," ",W487/(1+'депозитный калькулятор'!$K$8)^(T487/IF('депозитный калькулятор'!$G$7="30/360",360,365)))</f>
        <v xml:space="preserve"> </v>
      </c>
      <c r="Z487" s="142" t="str">
        <f ca="1">IF(S487=" "," ",X487/(1+'депозитный калькулятор'!$K$8)^(T487/IF('депозитный калькулятор'!$G$7="30/360",360,365)))</f>
        <v xml:space="preserve"> </v>
      </c>
      <c r="AA487" s="151"/>
      <c r="AB487" s="151"/>
      <c r="AC487" s="155"/>
      <c r="AD487" s="155"/>
    </row>
    <row r="488" spans="1:30" s="2" customFormat="1" ht="15.5" x14ac:dyDescent="0.35">
      <c r="A488" s="41" t="str">
        <f>IF(F488=" "," ",IF(OR('депозитный калькулятор'!$G$7="30/365",'депозитный калькулятор'!$G$7="30/360"),IF(AND(MONTH(F488)=2,DAY(F488)=DAY(EOMONTH(F488,0))),30-DAY(EOMONTH(F488,0)),IF(DAY(F488)=31,1," "))," "))</f>
        <v xml:space="preserve"> </v>
      </c>
      <c r="B488" s="130" t="str">
        <f t="shared" si="36"/>
        <v xml:space="preserve"> </v>
      </c>
      <c r="C488" s="130" t="str">
        <f>IF(OR(B488=0,B488=" ")," ",SUM($B$23:B488))</f>
        <v xml:space="preserve"> </v>
      </c>
      <c r="D488" s="62" t="str">
        <f>IF(D487=" "," ",IF(OR(F487='депозитный калькулятор'!$D$8,F487=" ")," ",D487+1))</f>
        <v xml:space="preserve"> </v>
      </c>
      <c r="E488" s="130" t="str">
        <f>IF(OR(F487='депозитный калькулятор'!$D$8,F487=" ")," ",IF(EOMONTH(F487,0)=F487,1,E487+1))</f>
        <v xml:space="preserve"> </v>
      </c>
      <c r="F488" s="64" t="str">
        <f>IF(F487=" "," ",IF(F487='депозитный калькулятор'!$D$8," ",F487+1))</f>
        <v xml:space="preserve"> </v>
      </c>
      <c r="G488" s="145" t="str">
        <f xml:space="preserve"> IF(F488&gt;'депозитный калькулятор'!$D$8," ",IF('депозитный калькулятор'!$G$13="есть",IF('депозитный калькулятор'!$G$14="есть",G487+IF(I487=" ",0,I487)-J488-K488+L488+M488-N488,G487+IF(I487=" ",0,I487)-J488-K488+M488-N488),IF('депозитный калькулятор'!$G$14="есть",G487-J488-K488+L488+M488-N488,G487-J488-K488+M488-N488)))</f>
        <v xml:space="preserve"> </v>
      </c>
      <c r="H488" s="133" t="str">
        <f>IF(F488&gt;'депозитный калькулятор'!$D$8," ",IF(AND(OR('депозитный калькулятор'!$G$7="30/365",'депозитный калькулятор'!$G$7="30/360"),AND(MONTH(F488)=2,EOMONTH(F488,0)=F488)),IF(DAY(F488)=28,3*G488*'депозитный калькулятор'!$G$8,2*G488*'депозитный калькулятор'!$G$8),IF(AND(OR('депозитный калькулятор'!$G$7="30/365",'депозитный калькулятор'!$G$7="30/360"),DAY(F488)=31)," ",IF(AND('депозитный калькулятор'!$G$7="факт/факт",MOD(YEAR(F488),4)=0),G488*'депозитный калькулятор'!$D$11/366,G488*'депозитный калькулятор'!$G$8))))</f>
        <v xml:space="preserve"> </v>
      </c>
      <c r="I488" s="134" t="str">
        <f ca="1">IF(F488=" "," ",IF('депозитный калькулятор'!$G$10="ежедневное",H488,IF(AND('депозитный калькулятор'!$G$10="еженедельное",WEEKDAY(F488,2)=7),SUM(OFFSET(H488,-6,0):H488),IF(AND('депозитный калькулятор'!$G$10="еженедельное",F488='депозитный калькулятор'!$D$8),SUM($H$23:H488)-SUM($I$23:I487),IF(AND('депозитный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недели",WEEKDAY(F488,2)=7),MIN(OFFSET(H488,-6,0):H488)*(COUNTIF(OFFSET(H488,-6,0):H488,"&gt;0")+SUMIF(OFFSET(A488,-WEEKDAY(F488,2),0):A488,"=2",OFFSET(A488,-WEEKDAY(F488,2),0):A488)),IF(AND('депозитный калькулятор'!$G$10="еженедельное, на минимальную сумму зафиксированную в течение недели",F488='депозитный калькулятор'!$D$8,WEEKDAY(F488,2)&lt;&gt;7),MIN(OFFSET(H488,-WEEKDAY(F488,2),0):H488)*(COUNTIF(OFFSET(H488,-WEEKDAY(F488,2)+1,0):H488,"&gt;0")+SUM(OFFSET(A488,-WEEKDAY(F488,2),0):A488)),IF(AND('депозитный калькулятор'!$G$10="ежемесячное (в конце месяца)",F488='депозитный калькулятор'!$D$8,EOMONTH(F488,0)&lt;&gt;F488),IF('депозитный калькулятор'!$F$1=1,$H$24,SUM($H$23:H488)-SUM($I$23:I487)),IF(AND('депозитный калькулятор'!$G$10="ежемесячное (в конце месяца)",EOMONTH(F488,0)=F488),SUM($H$23:H488)-SUM($I$23:I487),IF(AND('депозитный калькулятор'!$G$10="ежемесячное (по дням открытия вклада)",F488='депозитный калькулятор'!$D$8,DAY('депозитный калькулятор'!$D$7)&lt;&gt;DAY(F488)),IF('депозитный калькулятор'!$F$1=1,$H$24,SUM($H$23:H488)-SUM($I$23:I487)),IF(AND('депозитный калькулятор'!$G$10="ежемесячное (по дням открытия вклада)",DAY('депозитный калькулятор'!$D$7)=DAY(F488)),SUM($H$23:H488)-SUM($I$23:I487),IF(AND('депозитный калькулятор'!$G$10="ежемесячное, на минимальную сумму зафиксированную в течение месяца",F488='депозитный калькулятор'!$D$8,EOMONTH(F488,0)&lt;&gt;F488),IF('депозитный калькулятор'!$F$1=1,$H$24,IF(AND(OR('депозитный калькулятор'!$G$7="30/365",'депозитный калькулятор'!$G$7="30/360"),DAY(F488)=31),0,MIN(OFFSET(H488,-E488+1,0):H488)*(E488+SUMIF(OFFSET(A488,-E488+1,0):A488,"=2",OFFSET(A488,-E488+1,0):A488)))),IF(AND('депозитный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калькулятор'!$G$7="30/360"),DAY(EOMONTH(F488,0))=31),EOMONTH(F488,0)-1=F488,EOMONTH(F488,0)=F488)),IF(IF(AND(OR('депозитный калькулятор'!$G$7="30/365",'депозитный калькулятор'!$G$7="30/360"),DAY(EOMONTH($F$23,0))=31),F488=EOMONTH($F$23,0)-1,F488=EOMONTH($F$23,0)),MIN(OFFSET(H488,-(DAY(F488)-DAY($F$23)),0):H488)*E488,MIN(OFFSET(H488,-(DAY(F488)-1),0):H488)*IF(AND(OR('депозитный калькулятор'!$G$7="30/365",'депозитный калькулятор'!$G$7="30/360"),DAY(F488)&lt;30),30,DAY(F488))),IF(AND('депозитный калькулятор'!$G$10="ежемесячное, на средний остаток в течение месяца, при условии что остаток больше чем ограничение",F488='депозитный калькулятор'!$D$8,EOMONTH(F488,0)&lt;&gt;F488),IF('депозитный калькулятор'!$F$1=1,$H$24,SUM(OFFSET(Q488,-E488+1,0):Q488)),IF(AND('депозитный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калькулятор'!$G$7="30/360"),DAY(EOMONTH(F488,0))=31),EOMONTH(F488,0)-1=F488,EOMONTH(F488,0)=F488)),IF(IF(AND(OR('депозитный калькулятор'!$G$7="30/365",'депозитный калькулятор'!$G$7="30/360"),DAY(EOMONTH($F$24,0))=31),F488=EOMONTH($F$24,0)-1,F488=EOMONTH($F$24,0)),SUM(OFFSET(Q488,-E488+1,0):Q488),SUM(OFFSET(Q488,-E488+1,0):Q488)),IF('депозитный калькулятор'!$G$10="ежеквартальное",IF(F488&gt;'депозитный калькулятор'!$D$8," ",IF(AND(EOMONTH(F488,0)=F488,OR(MONTH(F488)=3,MONTH(F488)=6,MONTH(F488)=9,MONTH(F488)=12)),IF(EDATE(F488,-3)&lt;'депозитный калькулятор'!$D$7,SUM($H$23:H488),IF(MOD(YEAR(F488),4)=0,IF(AND(EOMONTH(F488,0)=F488,OR(MONTH(F488)=3,MONTH(F488)=6)),SUM(OFFSET(H488,-90,0):H488),IF(AND(EOMONTH(F488,0)=F488,OR(MONTH(F488)=9,MONTH(F488)=12)),SUM(OFFSET(H488,-91,0):H488))),IF(AND(EOMONTH(F488,0)=F488,MONTH(F488)=3),SUM(OFFSET(H488,-89,0):H488),IF(AND(EOMONTH(F488,0)=F488,MONTH(F488)=6),SUM(OFFSET(H488,-90,0):H488),IF(AND(EOMONTH(F488,0)=F488,OR(MONTH(F488)=9,MONTH(F488)=12)),SUM(OFFSET(H488,-91,0):H488)))))),IF(F488='депозитный калькулятор'!$D$8,SUM($H$23:H488)-SUM($I$23:I487),0))),IF('депозитный калькулятор'!$G$10="ежегодное",IF(F488&gt;'депозитный калькулятор'!$D$8," ",IF(F488='депозитный калькулятор'!$D$8,SUM($H$23:H488)-SUM($I$23:I487),IF(AND(EOMONTH(F488,0)=F488,MONTH(F488)=12),IF(MOD(YEAR(F487),4)=0,IF(F488-'депозитный калькулятор'!$D$7&lt;366,SUM($H$23:H488),SUM(OFFSET(H488,-365,0):H488)),IF(F488-'депозитный калькулятор'!$D$7&lt;365,SUM($H$23:H488),SUM(OFFSET(H488,-364,0):H488))),0))),IF(AND('депозитный калькулятор'!$G$10="в конце срока",'депозитный калькулятор'!$D$8=F488),SUM($H$23:H488),0))))))))))))))))))</f>
        <v xml:space="preserve"> </v>
      </c>
      <c r="J488" s="59" t="str">
        <f>IF(F488&gt;'депозитный калькулятор'!$D$8," ",IF('депозитный калькулятор'!$G$16="нет",0,IF(AND('депозитный калькулятор'!$G$17="разовая (в конце срока)",F488='депозитный калькулятор'!$D$8),'депозитный калькулятор'!$G$18,IF(AND('депозитный калькулятор'!$G$17="ежемесячная",EOMONTH(F487,0)=F487),'депозитный калькулятор'!$G$18,IF(AND('депозитный калькулятор'!$G$17="ежегодная",DAY(F487)=31,MONTH(F487)=12),'депозитный калькулятор'!$G$18,IF(AND('депозитный калькулятор'!$G$17="ежемесячная в зависимости от остатка",EOMONTH(F487,0)=F487,P487&gt;0),'депозитный калькулятор'!$G$18,IF(AND('депозитный калькулятор'!$G$17="ежегодная в зависимости от остатка",DAY(F487)=31,MONTH(F487)=12,P487&gt;0),'депозитный калькулятор'!$G$18,0)))))))</f>
        <v xml:space="preserve"> </v>
      </c>
      <c r="K488" s="135" t="str">
        <f>IF($F488=" "," ",IFERROR(VLOOKUP($F488,'депозитный калькулятор'!$B$26:$F$70,2,0),0))</f>
        <v xml:space="preserve"> </v>
      </c>
      <c r="L488" s="135" t="str">
        <f>IF($F488=" "," ",IFERROR(VLOOKUP($F488,'депозитный калькулятор'!$B$26:$F$70,3,0),0))</f>
        <v xml:space="preserve"> </v>
      </c>
      <c r="M488" s="135" t="str">
        <f>IF($F488=" "," ",IFERROR(VLOOKUP($F488,'депозитный калькулятор'!$B$26:$F$70,4,0),0))</f>
        <v xml:space="preserve"> </v>
      </c>
      <c r="N488" s="135" t="str">
        <f>IF($F488=" "," ",IFERROR(VLOOKUP($F488,'депозитный калькулятор'!$B$26:$F$70,5,0),0))</f>
        <v xml:space="preserve"> </v>
      </c>
      <c r="O488" s="146" t="str">
        <f>IF(F488&gt;'депозитный калькулятор'!$D$8," ",IF(F488='депозитный калькулятор'!$D$8,IF(AND($F$24='депозитный калькулятор'!$D$8,'депозитный калькулятор'!$G$13="нет"),-G488-IF(I488=" ",0,I488)-IF(AND(OR('депозитный калькулятор'!$G$7="30/365",'депозитный калькулятор'!$G$7="30/360"),'депозитный калькулятор'!$G$10="в начале срока"),I487,0)-L488+M488-N488,-G488-IF(I488=" ",0,I488)-L488+M488-N488),IF('депозитный калькулятор'!$G$13="есть",M488-N488+IF('депозитный калькулятор'!$G$14="есть",0,-L488),-IF(I488=" ",0,I488)-IF(AND(OR('депозитный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срока"),I487,0)+M488-N488+IF('депозитный калькулятор'!$G$14="есть",0,-L488))))</f>
        <v xml:space="preserve"> </v>
      </c>
      <c r="P488" s="147" t="str">
        <f>IF(F488&gt;'депозитный калькулятор'!$D$8," ",IF(EOMONTH(F487,0)=F487,0,IF(G488&gt;='депозитный калькулятор'!$G$19,P487,P487+1)))</f>
        <v xml:space="preserve"> </v>
      </c>
      <c r="Q488" s="138" t="str">
        <f>IF(F488=" "," ",IF(AND(OR('депозитный калькулятор'!$G$7="30/365",'депозитный калькулятор'!$G$7="30/360"),AND(MONTH(F488)=2,EOMONTH(F488,0)=F488)),IF(DAY(F488)=28,3,2),1)*IF(G488&gt;='депозитный калькулятор'!$G$11,IF(AND('депозитный калькулятор'!$G$7="факт/факт",MOD(YEAR(F488),4)=0),G488*'депозитный калькулятор'!$D$11/366,G488*'депозитный калькулятор'!$G$8),0))</f>
        <v xml:space="preserve"> </v>
      </c>
      <c r="R488" s="158"/>
      <c r="S488" s="62" t="str">
        <f t="shared" ca="1" si="37"/>
        <v xml:space="preserve"> </v>
      </c>
      <c r="T488" s="149" t="str">
        <f ca="1">IF(S488=" "," ",IF('депозитный калькулятор'!$G$7="30/360",DAYS360(U487,IF(DAY(U488)=31,U488-1,U488))+IF(AND(MONTH(U488)=2,U488=EOMONTH(U488,0)),30-DAY(EOMONTH(U488,0)))+T487,VLOOKUP(S488,$C$22:$F$1023,2,0)))</f>
        <v xml:space="preserve"> </v>
      </c>
      <c r="U488" s="64" t="str">
        <f t="shared" ca="1" si="35"/>
        <v xml:space="preserve"> </v>
      </c>
      <c r="V488" s="150" t="str">
        <f t="shared" ca="1" si="38"/>
        <v xml:space="preserve"> </v>
      </c>
      <c r="W488" s="62" t="str">
        <f t="shared" ca="1" si="39"/>
        <v xml:space="preserve"> </v>
      </c>
      <c r="X488" s="141" t="str">
        <f ca="1">IF(S488=" "," ",IFERROR(VLOOKUP(U488,$F$23:$N$1023,7)+VLOOKUP(U488,$F$23:$N$1023,9)+IF(AND('депозитный калькулятор'!$G$13="нет",U488&lt;&gt;'депозитный калькулятор'!$D$8),VLOOKUP(U488,$F$23:$N$1023,4),0),0)+IF(U488='депозитный калькулятор'!$D$8,VLOOKUP(U488,$F$23:$N$1023,2)+VLOOKUP(U488,$F$23:$N$1023,4),0))</f>
        <v xml:space="preserve"> </v>
      </c>
      <c r="Y488" s="142" t="str">
        <f ca="1">IF(S488=" "," ",W488/(1+'депозитный калькулятор'!$K$8)^(T488/IF('депозитный калькулятор'!$G$7="30/360",360,365)))</f>
        <v xml:space="preserve"> </v>
      </c>
      <c r="Z488" s="142" t="str">
        <f ca="1">IF(S488=" "," ",X488/(1+'депозитный калькулятор'!$K$8)^(T488/IF('депозитный калькулятор'!$G$7="30/360",360,365)))</f>
        <v xml:space="preserve"> </v>
      </c>
      <c r="AA488" s="151"/>
      <c r="AB488" s="151"/>
      <c r="AC488" s="155"/>
      <c r="AD488" s="155"/>
    </row>
    <row r="489" spans="1:30" s="2" customFormat="1" ht="15.5" x14ac:dyDescent="0.35">
      <c r="A489" s="41" t="str">
        <f>IF(F489=" "," ",IF(OR('депозитный калькулятор'!$G$7="30/365",'депозитный калькулятор'!$G$7="30/360"),IF(AND(MONTH(F489)=2,DAY(F489)=DAY(EOMONTH(F489,0))),30-DAY(EOMONTH(F489,0)),IF(DAY(F489)=31,1," "))," "))</f>
        <v xml:space="preserve"> </v>
      </c>
      <c r="B489" s="130" t="str">
        <f t="shared" si="36"/>
        <v xml:space="preserve"> </v>
      </c>
      <c r="C489" s="130" t="str">
        <f>IF(OR(B489=0,B489=" ")," ",SUM($B$23:B489))</f>
        <v xml:space="preserve"> </v>
      </c>
      <c r="D489" s="62" t="str">
        <f>IF(D488=" "," ",IF(OR(F488='депозитный калькулятор'!$D$8,F488=" ")," ",D488+1))</f>
        <v xml:space="preserve"> </v>
      </c>
      <c r="E489" s="130" t="str">
        <f>IF(OR(F488='депозитный калькулятор'!$D$8,F488=" ")," ",IF(EOMONTH(F488,0)=F488,1,E488+1))</f>
        <v xml:space="preserve"> </v>
      </c>
      <c r="F489" s="64" t="str">
        <f>IF(F488=" "," ",IF(F488='депозитный калькулятор'!$D$8," ",F488+1))</f>
        <v xml:space="preserve"> </v>
      </c>
      <c r="G489" s="145" t="str">
        <f xml:space="preserve"> IF(F489&gt;'депозитный калькулятор'!$D$8," ",IF('депозитный калькулятор'!$G$13="есть",IF('депозитный калькулятор'!$G$14="есть",G488+IF(I488=" ",0,I488)-J489-K489+L489+M489-N489,G488+IF(I488=" ",0,I488)-J489-K489+M489-N489),IF('депозитный калькулятор'!$G$14="есть",G488-J489-K489+L489+M489-N489,G488-J489-K489+M489-N489)))</f>
        <v xml:space="preserve"> </v>
      </c>
      <c r="H489" s="133" t="str">
        <f>IF(F489&gt;'депозитный калькулятор'!$D$8," ",IF(AND(OR('депозитный калькулятор'!$G$7="30/365",'депозитный калькулятор'!$G$7="30/360"),AND(MONTH(F489)=2,EOMONTH(F489,0)=F489)),IF(DAY(F489)=28,3*G489*'депозитный калькулятор'!$G$8,2*G489*'депозитный калькулятор'!$G$8),IF(AND(OR('депозитный калькулятор'!$G$7="30/365",'депозитный калькулятор'!$G$7="30/360"),DAY(F489)=31)," ",IF(AND('депозитный калькулятор'!$G$7="факт/факт",MOD(YEAR(F489),4)=0),G489*'депозитный калькулятор'!$D$11/366,G489*'депозитный калькулятор'!$G$8))))</f>
        <v xml:space="preserve"> </v>
      </c>
      <c r="I489" s="134" t="str">
        <f ca="1">IF(F489=" "," ",IF('депозитный калькулятор'!$G$10="ежедневное",H489,IF(AND('депозитный калькулятор'!$G$10="еженедельное",WEEKDAY(F489,2)=7),SUM(OFFSET(H489,-6,0):H489),IF(AND('депозитный калькулятор'!$G$10="еженедельное",F489='депозитный калькулятор'!$D$8),SUM($H$23:H489)-SUM($I$23:I488),IF(AND('депозитный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недели",WEEKDAY(F489,2)=7),MIN(OFFSET(H489,-6,0):H489)*(COUNTIF(OFFSET(H489,-6,0):H489,"&gt;0")+SUMIF(OFFSET(A489,-WEEKDAY(F489,2),0):A489,"=2",OFFSET(A489,-WEEKDAY(F489,2),0):A489)),IF(AND('депозитный калькулятор'!$G$10="еженедельное, на минимальную сумму зафиксированную в течение недели",F489='депозитный калькулятор'!$D$8,WEEKDAY(F489,2)&lt;&gt;7),MIN(OFFSET(H489,-WEEKDAY(F489,2),0):H489)*(COUNTIF(OFFSET(H489,-WEEKDAY(F489,2)+1,0):H489,"&gt;0")+SUM(OFFSET(A489,-WEEKDAY(F489,2),0):A489)),IF(AND('депозитный калькулятор'!$G$10="ежемесячное (в конце месяца)",F489='депозитный калькулятор'!$D$8,EOMONTH(F489,0)&lt;&gt;F489),IF('депозитный калькулятор'!$F$1=1,$H$24,SUM($H$23:H489)-SUM($I$23:I488)),IF(AND('депозитный калькулятор'!$G$10="ежемесячное (в конце месяца)",EOMONTH(F489,0)=F489),SUM($H$23:H489)-SUM($I$23:I488),IF(AND('депозитный калькулятор'!$G$10="ежемесячное (по дням открытия вклада)",F489='депозитный калькулятор'!$D$8,DAY('депозитный калькулятор'!$D$7)&lt;&gt;DAY(F489)),IF('депозитный калькулятор'!$F$1=1,$H$24,SUM($H$23:H489)-SUM($I$23:I488)),IF(AND('депозитный калькулятор'!$G$10="ежемесячное (по дням открытия вклада)",DAY('депозитный калькулятор'!$D$7)=DAY(F489)),SUM($H$23:H489)-SUM($I$23:I488),IF(AND('депозитный калькулятор'!$G$10="ежемесячное, на минимальную сумму зафиксированную в течение месяца",F489='депозитный калькулятор'!$D$8,EOMONTH(F489,0)&lt;&gt;F489),IF('депозитный калькулятор'!$F$1=1,$H$24,IF(AND(OR('депозитный калькулятор'!$G$7="30/365",'депозитный калькулятор'!$G$7="30/360"),DAY(F489)=31),0,MIN(OFFSET(H489,-E489+1,0):H489)*(E489+SUMIF(OFFSET(A489,-E489+1,0):A489,"=2",OFFSET(A489,-E489+1,0):A489)))),IF(AND('депозитный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калькулятор'!$G$7="30/360"),DAY(EOMONTH(F489,0))=31),EOMONTH(F489,0)-1=F489,EOMONTH(F489,0)=F489)),IF(IF(AND(OR('депозитный калькулятор'!$G$7="30/365",'депозитный калькулятор'!$G$7="30/360"),DAY(EOMONTH($F$23,0))=31),F489=EOMONTH($F$23,0)-1,F489=EOMONTH($F$23,0)),MIN(OFFSET(H489,-(DAY(F489)-DAY($F$23)),0):H489)*E489,MIN(OFFSET(H489,-(DAY(F489)-1),0):H489)*IF(AND(OR('депозитный калькулятор'!$G$7="30/365",'депозитный калькулятор'!$G$7="30/360"),DAY(F489)&lt;30),30,DAY(F489))),IF(AND('депозитный калькулятор'!$G$10="ежемесячное, на средний остаток в течение месяца, при условии что остаток больше чем ограничение",F489='депозитный калькулятор'!$D$8,EOMONTH(F489,0)&lt;&gt;F489),IF('депозитный калькулятор'!$F$1=1,$H$24,SUM(OFFSET(Q489,-E489+1,0):Q489)),IF(AND('депозитный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калькулятор'!$G$7="30/360"),DAY(EOMONTH(F489,0))=31),EOMONTH(F489,0)-1=F489,EOMONTH(F489,0)=F489)),IF(IF(AND(OR('депозитный калькулятор'!$G$7="30/365",'депозитный калькулятор'!$G$7="30/360"),DAY(EOMONTH($F$24,0))=31),F489=EOMONTH($F$24,0)-1,F489=EOMONTH($F$24,0)),SUM(OFFSET(Q489,-E489+1,0):Q489),SUM(OFFSET(Q489,-E489+1,0):Q489)),IF('депозитный калькулятор'!$G$10="ежеквартальное",IF(F489&gt;'депозитный калькулятор'!$D$8," ",IF(AND(EOMONTH(F489,0)=F489,OR(MONTH(F489)=3,MONTH(F489)=6,MONTH(F489)=9,MONTH(F489)=12)),IF(EDATE(F489,-3)&lt;'депозитный калькулятор'!$D$7,SUM($H$23:H489),IF(MOD(YEAR(F489),4)=0,IF(AND(EOMONTH(F489,0)=F489,OR(MONTH(F489)=3,MONTH(F489)=6)),SUM(OFFSET(H489,-90,0):H489),IF(AND(EOMONTH(F489,0)=F489,OR(MONTH(F489)=9,MONTH(F489)=12)),SUM(OFFSET(H489,-91,0):H489))),IF(AND(EOMONTH(F489,0)=F489,MONTH(F489)=3),SUM(OFFSET(H489,-89,0):H489),IF(AND(EOMONTH(F489,0)=F489,MONTH(F489)=6),SUM(OFFSET(H489,-90,0):H489),IF(AND(EOMONTH(F489,0)=F489,OR(MONTH(F489)=9,MONTH(F489)=12)),SUM(OFFSET(H489,-91,0):H489)))))),IF(F489='депозитный калькулятор'!$D$8,SUM($H$23:H489)-SUM($I$23:I488),0))),IF('депозитный калькулятор'!$G$10="ежегодное",IF(F489&gt;'депозитный калькулятор'!$D$8," ",IF(F489='депозитный калькулятор'!$D$8,SUM($H$23:H489)-SUM($I$23:I488),IF(AND(EOMONTH(F489,0)=F489,MONTH(F489)=12),IF(MOD(YEAR(F488),4)=0,IF(F489-'депозитный калькулятор'!$D$7&lt;366,SUM($H$23:H489),SUM(OFFSET(H489,-365,0):H489)),IF(F489-'депозитный калькулятор'!$D$7&lt;365,SUM($H$23:H489),SUM(OFFSET(H489,-364,0):H489))),0))),IF(AND('депозитный калькулятор'!$G$10="в конце срока",'депозитный калькулятор'!$D$8=F489),SUM($H$23:H489),0))))))))))))))))))</f>
        <v xml:space="preserve"> </v>
      </c>
      <c r="J489" s="59" t="str">
        <f>IF(F489&gt;'депозитный калькулятор'!$D$8," ",IF('депозитный калькулятор'!$G$16="нет",0,IF(AND('депозитный калькулятор'!$G$17="разовая (в конце срока)",F489='депозитный калькулятор'!$D$8),'депозитный калькулятор'!$G$18,IF(AND('депозитный калькулятор'!$G$17="ежемесячная",EOMONTH(F488,0)=F488),'депозитный калькулятор'!$G$18,IF(AND('депозитный калькулятор'!$G$17="ежегодная",DAY(F488)=31,MONTH(F488)=12),'депозитный калькулятор'!$G$18,IF(AND('депозитный калькулятор'!$G$17="ежемесячная в зависимости от остатка",EOMONTH(F488,0)=F488,P488&gt;0),'депозитный калькулятор'!$G$18,IF(AND('депозитный калькулятор'!$G$17="ежегодная в зависимости от остатка",DAY(F488)=31,MONTH(F488)=12,P488&gt;0),'депозитный калькулятор'!$G$18,0)))))))</f>
        <v xml:space="preserve"> </v>
      </c>
      <c r="K489" s="135" t="str">
        <f>IF($F489=" "," ",IFERROR(VLOOKUP($F489,'депозитный калькулятор'!$B$26:$F$70,2,0),0))</f>
        <v xml:space="preserve"> </v>
      </c>
      <c r="L489" s="135" t="str">
        <f>IF($F489=" "," ",IFERROR(VLOOKUP($F489,'депозитный калькулятор'!$B$26:$F$70,3,0),0))</f>
        <v xml:space="preserve"> </v>
      </c>
      <c r="M489" s="135" t="str">
        <f>IF($F489=" "," ",IFERROR(VLOOKUP($F489,'депозитный калькулятор'!$B$26:$F$70,4,0),0))</f>
        <v xml:space="preserve"> </v>
      </c>
      <c r="N489" s="135" t="str">
        <f>IF($F489=" "," ",IFERROR(VLOOKUP($F489,'депозитный калькулятор'!$B$26:$F$70,5,0),0))</f>
        <v xml:space="preserve"> </v>
      </c>
      <c r="O489" s="146" t="str">
        <f>IF(F489&gt;'депозитный калькулятор'!$D$8," ",IF(F489='депозитный калькулятор'!$D$8,IF(AND($F$24='депозитный калькулятор'!$D$8,'депозитный калькулятор'!$G$13="нет"),-G489-IF(I489=" ",0,I489)-IF(AND(OR('депозитный калькулятор'!$G$7="30/365",'депозитный калькулятор'!$G$7="30/360"),'депозитный калькулятор'!$G$10="в начале срока"),I488,0)-L489+M489-N489,-G489-IF(I489=" ",0,I489)-L489+M489-N489),IF('депозитный калькулятор'!$G$13="есть",M489-N489+IF('депозитный калькулятор'!$G$14="есть",0,-L489),-IF(I489=" ",0,I489)-IF(AND(OR('депозитный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срока"),I488,0)+M489-N489+IF('депозитный калькулятор'!$G$14="есть",0,-L489))))</f>
        <v xml:space="preserve"> </v>
      </c>
      <c r="P489" s="147" t="str">
        <f>IF(F489&gt;'депозитный калькулятор'!$D$8," ",IF(EOMONTH(F488,0)=F488,0,IF(G489&gt;='депозитный калькулятор'!$G$19,P488,P488+1)))</f>
        <v xml:space="preserve"> </v>
      </c>
      <c r="Q489" s="138" t="str">
        <f>IF(F489=" "," ",IF(AND(OR('депозитный калькулятор'!$G$7="30/365",'депозитный калькулятор'!$G$7="30/360"),AND(MONTH(F489)=2,EOMONTH(F489,0)=F489)),IF(DAY(F489)=28,3,2),1)*IF(G489&gt;='депозитный калькулятор'!$G$11,IF(AND('депозитный калькулятор'!$G$7="факт/факт",MOD(YEAR(F489),4)=0),G489*'депозитный калькулятор'!$D$11/366,G489*'депозитный калькулятор'!$G$8),0))</f>
        <v xml:space="preserve"> </v>
      </c>
      <c r="R489" s="158"/>
      <c r="S489" s="62" t="str">
        <f t="shared" ca="1" si="37"/>
        <v xml:space="preserve"> </v>
      </c>
      <c r="T489" s="149" t="str">
        <f ca="1">IF(S489=" "," ",IF('депозитный калькулятор'!$G$7="30/360",DAYS360(U488,IF(DAY(U489)=31,U489-1,U489))+IF(AND(MONTH(U489)=2,U489=EOMONTH(U489,0)),30-DAY(EOMONTH(U489,0)))+T488,VLOOKUP(S489,$C$22:$F$1023,2,0)))</f>
        <v xml:space="preserve"> </v>
      </c>
      <c r="U489" s="64" t="str">
        <f t="shared" ca="1" si="35"/>
        <v xml:space="preserve"> </v>
      </c>
      <c r="V489" s="150" t="str">
        <f t="shared" ca="1" si="38"/>
        <v xml:space="preserve"> </v>
      </c>
      <c r="W489" s="62" t="str">
        <f t="shared" ca="1" si="39"/>
        <v xml:space="preserve"> </v>
      </c>
      <c r="X489" s="141" t="str">
        <f ca="1">IF(S489=" "," ",IFERROR(VLOOKUP(U489,$F$23:$N$1023,7)+VLOOKUP(U489,$F$23:$N$1023,9)+IF(AND('депозитный калькулятор'!$G$13="нет",U489&lt;&gt;'депозитный калькулятор'!$D$8),VLOOKUP(U489,$F$23:$N$1023,4),0),0)+IF(U489='депозитный калькулятор'!$D$8,VLOOKUP(U489,$F$23:$N$1023,2)+VLOOKUP(U489,$F$23:$N$1023,4),0))</f>
        <v xml:space="preserve"> </v>
      </c>
      <c r="Y489" s="142" t="str">
        <f ca="1">IF(S489=" "," ",W489/(1+'депозитный калькулятор'!$K$8)^(T489/IF('депозитный калькулятор'!$G$7="30/360",360,365)))</f>
        <v xml:space="preserve"> </v>
      </c>
      <c r="Z489" s="142" t="str">
        <f ca="1">IF(S489=" "," ",X489/(1+'депозитный калькулятор'!$K$8)^(T489/IF('депозитный калькулятор'!$G$7="30/360",360,365)))</f>
        <v xml:space="preserve"> </v>
      </c>
      <c r="AA489" s="151"/>
      <c r="AB489" s="151"/>
      <c r="AC489" s="155"/>
      <c r="AD489" s="155"/>
    </row>
    <row r="490" spans="1:30" s="2" customFormat="1" ht="15.5" x14ac:dyDescent="0.35">
      <c r="A490" s="41" t="str">
        <f>IF(F490=" "," ",IF(OR('депозитный калькулятор'!$G$7="30/365",'депозитный калькулятор'!$G$7="30/360"),IF(AND(MONTH(F490)=2,DAY(F490)=DAY(EOMONTH(F490,0))),30-DAY(EOMONTH(F490,0)),IF(DAY(F490)=31,1," "))," "))</f>
        <v xml:space="preserve"> </v>
      </c>
      <c r="B490" s="130" t="str">
        <f t="shared" si="36"/>
        <v xml:space="preserve"> </v>
      </c>
      <c r="C490" s="130" t="str">
        <f>IF(OR(B490=0,B490=" ")," ",SUM($B$23:B490))</f>
        <v xml:space="preserve"> </v>
      </c>
      <c r="D490" s="62" t="str">
        <f>IF(D489=" "," ",IF(OR(F489='депозитный калькулятор'!$D$8,F489=" ")," ",D489+1))</f>
        <v xml:space="preserve"> </v>
      </c>
      <c r="E490" s="130" t="str">
        <f>IF(OR(F489='депозитный калькулятор'!$D$8,F489=" ")," ",IF(EOMONTH(F489,0)=F489,1,E489+1))</f>
        <v xml:space="preserve"> </v>
      </c>
      <c r="F490" s="64" t="str">
        <f>IF(F489=" "," ",IF(F489='депозитный калькулятор'!$D$8," ",F489+1))</f>
        <v xml:space="preserve"> </v>
      </c>
      <c r="G490" s="145" t="str">
        <f xml:space="preserve"> IF(F490&gt;'депозитный калькулятор'!$D$8," ",IF('депозитный калькулятор'!$G$13="есть",IF('депозитный калькулятор'!$G$14="есть",G489+IF(I489=" ",0,I489)-J490-K490+L490+M490-N490,G489+IF(I489=" ",0,I489)-J490-K490+M490-N490),IF('депозитный калькулятор'!$G$14="есть",G489-J490-K490+L490+M490-N490,G489-J490-K490+M490-N490)))</f>
        <v xml:space="preserve"> </v>
      </c>
      <c r="H490" s="133" t="str">
        <f>IF(F490&gt;'депозитный калькулятор'!$D$8," ",IF(AND(OR('депозитный калькулятор'!$G$7="30/365",'депозитный калькулятор'!$G$7="30/360"),AND(MONTH(F490)=2,EOMONTH(F490,0)=F490)),IF(DAY(F490)=28,3*G490*'депозитный калькулятор'!$G$8,2*G490*'депозитный калькулятор'!$G$8),IF(AND(OR('депозитный калькулятор'!$G$7="30/365",'депозитный калькулятор'!$G$7="30/360"),DAY(F490)=31)," ",IF(AND('депозитный калькулятор'!$G$7="факт/факт",MOD(YEAR(F490),4)=0),G490*'депозитный калькулятор'!$D$11/366,G490*'депозитный калькулятор'!$G$8))))</f>
        <v xml:space="preserve"> </v>
      </c>
      <c r="I490" s="134" t="str">
        <f ca="1">IF(F490=" "," ",IF('депозитный калькулятор'!$G$10="ежедневное",H490,IF(AND('депозитный калькулятор'!$G$10="еженедельное",WEEKDAY(F490,2)=7),SUM(OFFSET(H490,-6,0):H490),IF(AND('депозитный калькулятор'!$G$10="еженедельное",F490='депозитный калькулятор'!$D$8),SUM($H$23:H490)-SUM($I$23:I489),IF(AND('депозитный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недели",WEEKDAY(F490,2)=7),MIN(OFFSET(H490,-6,0):H490)*(COUNTIF(OFFSET(H490,-6,0):H490,"&gt;0")+SUMIF(OFFSET(A490,-WEEKDAY(F490,2),0):A490,"=2",OFFSET(A490,-WEEKDAY(F490,2),0):A490)),IF(AND('депозитный калькулятор'!$G$10="еженедельное, на минимальную сумму зафиксированную в течение недели",F490='депозитный калькулятор'!$D$8,WEEKDAY(F490,2)&lt;&gt;7),MIN(OFFSET(H490,-WEEKDAY(F490,2),0):H490)*(COUNTIF(OFFSET(H490,-WEEKDAY(F490,2)+1,0):H490,"&gt;0")+SUM(OFFSET(A490,-WEEKDAY(F490,2),0):A490)),IF(AND('депозитный калькулятор'!$G$10="ежемесячное (в конце месяца)",F490='депозитный калькулятор'!$D$8,EOMONTH(F490,0)&lt;&gt;F490),IF('депозитный калькулятор'!$F$1=1,$H$24,SUM($H$23:H490)-SUM($I$23:I489)),IF(AND('депозитный калькулятор'!$G$10="ежемесячное (в конце месяца)",EOMONTH(F490,0)=F490),SUM($H$23:H490)-SUM($I$23:I489),IF(AND('депозитный калькулятор'!$G$10="ежемесячное (по дням открытия вклада)",F490='депозитный калькулятор'!$D$8,DAY('депозитный калькулятор'!$D$7)&lt;&gt;DAY(F490)),IF('депозитный калькулятор'!$F$1=1,$H$24,SUM($H$23:H490)-SUM($I$23:I489)),IF(AND('депозитный калькулятор'!$G$10="ежемесячное (по дням открытия вклада)",DAY('депозитный калькулятор'!$D$7)=DAY(F490)),SUM($H$23:H490)-SUM($I$23:I489),IF(AND('депозитный калькулятор'!$G$10="ежемесячное, на минимальную сумму зафиксированную в течение месяца",F490='депозитный калькулятор'!$D$8,EOMONTH(F490,0)&lt;&gt;F490),IF('депозитный калькулятор'!$F$1=1,$H$24,IF(AND(OR('депозитный калькулятор'!$G$7="30/365",'депозитный калькулятор'!$G$7="30/360"),DAY(F490)=31),0,MIN(OFFSET(H490,-E490+1,0):H490)*(E490+SUMIF(OFFSET(A490,-E490+1,0):A490,"=2",OFFSET(A490,-E490+1,0):A490)))),IF(AND('депозитный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калькулятор'!$G$7="30/360"),DAY(EOMONTH(F490,0))=31),EOMONTH(F490,0)-1=F490,EOMONTH(F490,0)=F490)),IF(IF(AND(OR('депозитный калькулятор'!$G$7="30/365",'депозитный калькулятор'!$G$7="30/360"),DAY(EOMONTH($F$23,0))=31),F490=EOMONTH($F$23,0)-1,F490=EOMONTH($F$23,0)),MIN(OFFSET(H490,-(DAY(F490)-DAY($F$23)),0):H490)*E490,MIN(OFFSET(H490,-(DAY(F490)-1),0):H490)*IF(AND(OR('депозитный калькулятор'!$G$7="30/365",'депозитный калькулятор'!$G$7="30/360"),DAY(F490)&lt;30),30,DAY(F490))),IF(AND('депозитный калькулятор'!$G$10="ежемесячное, на средний остаток в течение месяца, при условии что остаток больше чем ограничение",F490='депозитный калькулятор'!$D$8,EOMONTH(F490,0)&lt;&gt;F490),IF('депозитный калькулятор'!$F$1=1,$H$24,SUM(OFFSET(Q490,-E490+1,0):Q490)),IF(AND('депозитный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калькулятор'!$G$7="30/360"),DAY(EOMONTH(F490,0))=31),EOMONTH(F490,0)-1=F490,EOMONTH(F490,0)=F490)),IF(IF(AND(OR('депозитный калькулятор'!$G$7="30/365",'депозитный калькулятор'!$G$7="30/360"),DAY(EOMONTH($F$24,0))=31),F490=EOMONTH($F$24,0)-1,F490=EOMONTH($F$24,0)),SUM(OFFSET(Q490,-E490+1,0):Q490),SUM(OFFSET(Q490,-E490+1,0):Q490)),IF('депозитный калькулятор'!$G$10="ежеквартальное",IF(F490&gt;'депозитный калькулятор'!$D$8," ",IF(AND(EOMONTH(F490,0)=F490,OR(MONTH(F490)=3,MONTH(F490)=6,MONTH(F490)=9,MONTH(F490)=12)),IF(EDATE(F490,-3)&lt;'депозитный калькулятор'!$D$7,SUM($H$23:H490),IF(MOD(YEAR(F490),4)=0,IF(AND(EOMONTH(F490,0)=F490,OR(MONTH(F490)=3,MONTH(F490)=6)),SUM(OFFSET(H490,-90,0):H490),IF(AND(EOMONTH(F490,0)=F490,OR(MONTH(F490)=9,MONTH(F490)=12)),SUM(OFFSET(H490,-91,0):H490))),IF(AND(EOMONTH(F490,0)=F490,MONTH(F490)=3),SUM(OFFSET(H490,-89,0):H490),IF(AND(EOMONTH(F490,0)=F490,MONTH(F490)=6),SUM(OFFSET(H490,-90,0):H490),IF(AND(EOMONTH(F490,0)=F490,OR(MONTH(F490)=9,MONTH(F490)=12)),SUM(OFFSET(H490,-91,0):H490)))))),IF(F490='депозитный калькулятор'!$D$8,SUM($H$23:H490)-SUM($I$23:I489),0))),IF('депозитный калькулятор'!$G$10="ежегодное",IF(F490&gt;'депозитный калькулятор'!$D$8," ",IF(F490='депозитный калькулятор'!$D$8,SUM($H$23:H490)-SUM($I$23:I489),IF(AND(EOMONTH(F490,0)=F490,MONTH(F490)=12),IF(MOD(YEAR(F489),4)=0,IF(F490-'депозитный калькулятор'!$D$7&lt;366,SUM($H$23:H490),SUM(OFFSET(H490,-365,0):H490)),IF(F490-'депозитный калькулятор'!$D$7&lt;365,SUM($H$23:H490),SUM(OFFSET(H490,-364,0):H490))),0))),IF(AND('депозитный калькулятор'!$G$10="в конце срока",'депозитный калькулятор'!$D$8=F490),SUM($H$23:H490),0))))))))))))))))))</f>
        <v xml:space="preserve"> </v>
      </c>
      <c r="J490" s="59" t="str">
        <f>IF(F490&gt;'депозитный калькулятор'!$D$8," ",IF('депозитный калькулятор'!$G$16="нет",0,IF(AND('депозитный калькулятор'!$G$17="разовая (в конце срока)",F490='депозитный калькулятор'!$D$8),'депозитный калькулятор'!$G$18,IF(AND('депозитный калькулятор'!$G$17="ежемесячная",EOMONTH(F489,0)=F489),'депозитный калькулятор'!$G$18,IF(AND('депозитный калькулятор'!$G$17="ежегодная",DAY(F489)=31,MONTH(F489)=12),'депозитный калькулятор'!$G$18,IF(AND('депозитный калькулятор'!$G$17="ежемесячная в зависимости от остатка",EOMONTH(F489,0)=F489,P489&gt;0),'депозитный калькулятор'!$G$18,IF(AND('депозитный калькулятор'!$G$17="ежегодная в зависимости от остатка",DAY(F489)=31,MONTH(F489)=12,P489&gt;0),'депозитный калькулятор'!$G$18,0)))))))</f>
        <v xml:space="preserve"> </v>
      </c>
      <c r="K490" s="135" t="str">
        <f>IF($F490=" "," ",IFERROR(VLOOKUP($F490,'депозитный калькулятор'!$B$26:$F$70,2,0),0))</f>
        <v xml:space="preserve"> </v>
      </c>
      <c r="L490" s="135" t="str">
        <f>IF($F490=" "," ",IFERROR(VLOOKUP($F490,'депозитный калькулятор'!$B$26:$F$70,3,0),0))</f>
        <v xml:space="preserve"> </v>
      </c>
      <c r="M490" s="135" t="str">
        <f>IF($F490=" "," ",IFERROR(VLOOKUP($F490,'депозитный калькулятор'!$B$26:$F$70,4,0),0))</f>
        <v xml:space="preserve"> </v>
      </c>
      <c r="N490" s="135" t="str">
        <f>IF($F490=" "," ",IFERROR(VLOOKUP($F490,'депозитный калькулятор'!$B$26:$F$70,5,0),0))</f>
        <v xml:space="preserve"> </v>
      </c>
      <c r="O490" s="146" t="str">
        <f>IF(F490&gt;'депозитный калькулятор'!$D$8," ",IF(F490='депозитный калькулятор'!$D$8,IF(AND($F$24='депозитный калькулятор'!$D$8,'депозитный калькулятор'!$G$13="нет"),-G490-IF(I490=" ",0,I490)-IF(AND(OR('депозитный калькулятор'!$G$7="30/365",'депозитный калькулятор'!$G$7="30/360"),'депозитный калькулятор'!$G$10="в начале срока"),I489,0)-L490+M490-N490,-G490-IF(I490=" ",0,I490)-L490+M490-N490),IF('депозитный калькулятор'!$G$13="есть",M490-N490+IF('депозитный калькулятор'!$G$14="есть",0,-L490),-IF(I490=" ",0,I490)-IF(AND(OR('депозитный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срока"),I489,0)+M490-N490+IF('депозитный калькулятор'!$G$14="есть",0,-L490))))</f>
        <v xml:space="preserve"> </v>
      </c>
      <c r="P490" s="147" t="str">
        <f>IF(F490&gt;'депозитный калькулятор'!$D$8," ",IF(EOMONTH(F489,0)=F489,0,IF(G490&gt;='депозитный калькулятор'!$G$19,P489,P489+1)))</f>
        <v xml:space="preserve"> </v>
      </c>
      <c r="Q490" s="138" t="str">
        <f>IF(F490=" "," ",IF(AND(OR('депозитный калькулятор'!$G$7="30/365",'депозитный калькулятор'!$G$7="30/360"),AND(MONTH(F490)=2,EOMONTH(F490,0)=F490)),IF(DAY(F490)=28,3,2),1)*IF(G490&gt;='депозитный калькулятор'!$G$11,IF(AND('депозитный калькулятор'!$G$7="факт/факт",MOD(YEAR(F490),4)=0),G490*'депозитный калькулятор'!$D$11/366,G490*'депозитный калькулятор'!$G$8),0))</f>
        <v xml:space="preserve"> </v>
      </c>
      <c r="R490" s="158"/>
      <c r="S490" s="62" t="str">
        <f t="shared" ca="1" si="37"/>
        <v xml:space="preserve"> </v>
      </c>
      <c r="T490" s="149" t="str">
        <f ca="1">IF(S490=" "," ",IF('депозитный калькулятор'!$G$7="30/360",DAYS360(U489,IF(DAY(U490)=31,U490-1,U490))+IF(AND(MONTH(U490)=2,U490=EOMONTH(U490,0)),30-DAY(EOMONTH(U490,0)))+T489,VLOOKUP(S490,$C$22:$F$1023,2,0)))</f>
        <v xml:space="preserve"> </v>
      </c>
      <c r="U490" s="64" t="str">
        <f t="shared" ca="1" si="35"/>
        <v xml:space="preserve"> </v>
      </c>
      <c r="V490" s="150" t="str">
        <f t="shared" ca="1" si="38"/>
        <v xml:space="preserve"> </v>
      </c>
      <c r="W490" s="62" t="str">
        <f t="shared" ca="1" si="39"/>
        <v xml:space="preserve"> </v>
      </c>
      <c r="X490" s="141" t="str">
        <f ca="1">IF(S490=" "," ",IFERROR(VLOOKUP(U490,$F$23:$N$1023,7)+VLOOKUP(U490,$F$23:$N$1023,9)+IF(AND('депозитный калькулятор'!$G$13="нет",U490&lt;&gt;'депозитный калькулятор'!$D$8),VLOOKUP(U490,$F$23:$N$1023,4),0),0)+IF(U490='депозитный калькулятор'!$D$8,VLOOKUP(U490,$F$23:$N$1023,2)+VLOOKUP(U490,$F$23:$N$1023,4),0))</f>
        <v xml:space="preserve"> </v>
      </c>
      <c r="Y490" s="142" t="str">
        <f ca="1">IF(S490=" "," ",W490/(1+'депозитный калькулятор'!$K$8)^(T490/IF('депозитный калькулятор'!$G$7="30/360",360,365)))</f>
        <v xml:space="preserve"> </v>
      </c>
      <c r="Z490" s="142" t="str">
        <f ca="1">IF(S490=" "," ",X490/(1+'депозитный калькулятор'!$K$8)^(T490/IF('депозитный калькулятор'!$G$7="30/360",360,365)))</f>
        <v xml:space="preserve"> </v>
      </c>
      <c r="AA490" s="151"/>
      <c r="AB490" s="151"/>
      <c r="AC490" s="155"/>
      <c r="AD490" s="155"/>
    </row>
    <row r="491" spans="1:30" s="2" customFormat="1" ht="15.5" x14ac:dyDescent="0.35">
      <c r="A491" s="41" t="str">
        <f>IF(F491=" "," ",IF(OR('депозитный калькулятор'!$G$7="30/365",'депозитный калькулятор'!$G$7="30/360"),IF(AND(MONTH(F491)=2,DAY(F491)=DAY(EOMONTH(F491,0))),30-DAY(EOMONTH(F491,0)),IF(DAY(F491)=31,1," "))," "))</f>
        <v xml:space="preserve"> </v>
      </c>
      <c r="B491" s="130" t="str">
        <f t="shared" si="36"/>
        <v xml:space="preserve"> </v>
      </c>
      <c r="C491" s="130" t="str">
        <f>IF(OR(B491=0,B491=" ")," ",SUM($B$23:B491))</f>
        <v xml:space="preserve"> </v>
      </c>
      <c r="D491" s="62" t="str">
        <f>IF(D490=" "," ",IF(OR(F490='депозитный калькулятор'!$D$8,F490=" ")," ",D490+1))</f>
        <v xml:space="preserve"> </v>
      </c>
      <c r="E491" s="130" t="str">
        <f>IF(OR(F490='депозитный калькулятор'!$D$8,F490=" ")," ",IF(EOMONTH(F490,0)=F490,1,E490+1))</f>
        <v xml:space="preserve"> </v>
      </c>
      <c r="F491" s="64" t="str">
        <f>IF(F490=" "," ",IF(F490='депозитный калькулятор'!$D$8," ",F490+1))</f>
        <v xml:space="preserve"> </v>
      </c>
      <c r="G491" s="145" t="str">
        <f xml:space="preserve"> IF(F491&gt;'депозитный калькулятор'!$D$8," ",IF('депозитный калькулятор'!$G$13="есть",IF('депозитный калькулятор'!$G$14="есть",G490+IF(I490=" ",0,I490)-J491-K491+L491+M491-N491,G490+IF(I490=" ",0,I490)-J491-K491+M491-N491),IF('депозитный калькулятор'!$G$14="есть",G490-J491-K491+L491+M491-N491,G490-J491-K491+M491-N491)))</f>
        <v xml:space="preserve"> </v>
      </c>
      <c r="H491" s="133" t="str">
        <f>IF(F491&gt;'депозитный калькулятор'!$D$8," ",IF(AND(OR('депозитный калькулятор'!$G$7="30/365",'депозитный калькулятор'!$G$7="30/360"),AND(MONTH(F491)=2,EOMONTH(F491,0)=F491)),IF(DAY(F491)=28,3*G491*'депозитный калькулятор'!$G$8,2*G491*'депозитный калькулятор'!$G$8),IF(AND(OR('депозитный калькулятор'!$G$7="30/365",'депозитный калькулятор'!$G$7="30/360"),DAY(F491)=31)," ",IF(AND('депозитный калькулятор'!$G$7="факт/факт",MOD(YEAR(F491),4)=0),G491*'депозитный калькулятор'!$D$11/366,G491*'депозитный калькулятор'!$G$8))))</f>
        <v xml:space="preserve"> </v>
      </c>
      <c r="I491" s="134" t="str">
        <f ca="1">IF(F491=" "," ",IF('депозитный калькулятор'!$G$10="ежедневное",H491,IF(AND('депозитный калькулятор'!$G$10="еженедельное",WEEKDAY(F491,2)=7),SUM(OFFSET(H491,-6,0):H491),IF(AND('депозитный калькулятор'!$G$10="еженедельное",F491='депозитный калькулятор'!$D$8),SUM($H$23:H491)-SUM($I$23:I490),IF(AND('депозитный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недели",WEEKDAY(F491,2)=7),MIN(OFFSET(H491,-6,0):H491)*(COUNTIF(OFFSET(H491,-6,0):H491,"&gt;0")+SUMIF(OFFSET(A491,-WEEKDAY(F491,2),0):A491,"=2",OFFSET(A491,-WEEKDAY(F491,2),0):A491)),IF(AND('депозитный калькулятор'!$G$10="еженедельное, на минимальную сумму зафиксированную в течение недели",F491='депозитный калькулятор'!$D$8,WEEKDAY(F491,2)&lt;&gt;7),MIN(OFFSET(H491,-WEEKDAY(F491,2),0):H491)*(COUNTIF(OFFSET(H491,-WEEKDAY(F491,2)+1,0):H491,"&gt;0")+SUM(OFFSET(A491,-WEEKDAY(F491,2),0):A491)),IF(AND('депозитный калькулятор'!$G$10="ежемесячное (в конце месяца)",F491='депозитный калькулятор'!$D$8,EOMONTH(F491,0)&lt;&gt;F491),IF('депозитный калькулятор'!$F$1=1,$H$24,SUM($H$23:H491)-SUM($I$23:I490)),IF(AND('депозитный калькулятор'!$G$10="ежемесячное (в конце месяца)",EOMONTH(F491,0)=F491),SUM($H$23:H491)-SUM($I$23:I490),IF(AND('депозитный калькулятор'!$G$10="ежемесячное (по дням открытия вклада)",F491='депозитный калькулятор'!$D$8,DAY('депозитный калькулятор'!$D$7)&lt;&gt;DAY(F491)),IF('депозитный калькулятор'!$F$1=1,$H$24,SUM($H$23:H491)-SUM($I$23:I490)),IF(AND('депозитный калькулятор'!$G$10="ежемесячное (по дням открытия вклада)",DAY('депозитный калькулятор'!$D$7)=DAY(F491)),SUM($H$23:H491)-SUM($I$23:I490),IF(AND('депозитный калькулятор'!$G$10="ежемесячное, на минимальную сумму зафиксированную в течение месяца",F491='депозитный калькулятор'!$D$8,EOMONTH(F491,0)&lt;&gt;F491),IF('депозитный калькулятор'!$F$1=1,$H$24,IF(AND(OR('депозитный калькулятор'!$G$7="30/365",'депозитный калькулятор'!$G$7="30/360"),DAY(F491)=31),0,MIN(OFFSET(H491,-E491+1,0):H491)*(E491+SUMIF(OFFSET(A491,-E491+1,0):A491,"=2",OFFSET(A491,-E491+1,0):A491)))),IF(AND('депозитный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калькулятор'!$G$7="30/360"),DAY(EOMONTH(F491,0))=31),EOMONTH(F491,0)-1=F491,EOMONTH(F491,0)=F491)),IF(IF(AND(OR('депозитный калькулятор'!$G$7="30/365",'депозитный калькулятор'!$G$7="30/360"),DAY(EOMONTH($F$23,0))=31),F491=EOMONTH($F$23,0)-1,F491=EOMONTH($F$23,0)),MIN(OFFSET(H491,-(DAY(F491)-DAY($F$23)),0):H491)*E491,MIN(OFFSET(H491,-(DAY(F491)-1),0):H491)*IF(AND(OR('депозитный калькулятор'!$G$7="30/365",'депозитный калькулятор'!$G$7="30/360"),DAY(F491)&lt;30),30,DAY(F491))),IF(AND('депозитный калькулятор'!$G$10="ежемесячное, на средний остаток в течение месяца, при условии что остаток больше чем ограничение",F491='депозитный калькулятор'!$D$8,EOMONTH(F491,0)&lt;&gt;F491),IF('депозитный калькулятор'!$F$1=1,$H$24,SUM(OFFSET(Q491,-E491+1,0):Q491)),IF(AND('депозитный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калькулятор'!$G$7="30/360"),DAY(EOMONTH(F491,0))=31),EOMONTH(F491,0)-1=F491,EOMONTH(F491,0)=F491)),IF(IF(AND(OR('депозитный калькулятор'!$G$7="30/365",'депозитный калькулятор'!$G$7="30/360"),DAY(EOMONTH($F$24,0))=31),F491=EOMONTH($F$24,0)-1,F491=EOMONTH($F$24,0)),SUM(OFFSET(Q491,-E491+1,0):Q491),SUM(OFFSET(Q491,-E491+1,0):Q491)),IF('депозитный калькулятор'!$G$10="ежеквартальное",IF(F491&gt;'депозитный калькулятор'!$D$8," ",IF(AND(EOMONTH(F491,0)=F491,OR(MONTH(F491)=3,MONTH(F491)=6,MONTH(F491)=9,MONTH(F491)=12)),IF(EDATE(F491,-3)&lt;'депозитный калькулятор'!$D$7,SUM($H$23:H491),IF(MOD(YEAR(F491),4)=0,IF(AND(EOMONTH(F491,0)=F491,OR(MONTH(F491)=3,MONTH(F491)=6)),SUM(OFFSET(H491,-90,0):H491),IF(AND(EOMONTH(F491,0)=F491,OR(MONTH(F491)=9,MONTH(F491)=12)),SUM(OFFSET(H491,-91,0):H491))),IF(AND(EOMONTH(F491,0)=F491,MONTH(F491)=3),SUM(OFFSET(H491,-89,0):H491),IF(AND(EOMONTH(F491,0)=F491,MONTH(F491)=6),SUM(OFFSET(H491,-90,0):H491),IF(AND(EOMONTH(F491,0)=F491,OR(MONTH(F491)=9,MONTH(F491)=12)),SUM(OFFSET(H491,-91,0):H491)))))),IF(F491='депозитный калькулятор'!$D$8,SUM($H$23:H491)-SUM($I$23:I490),0))),IF('депозитный калькулятор'!$G$10="ежегодное",IF(F491&gt;'депозитный калькулятор'!$D$8," ",IF(F491='депозитный калькулятор'!$D$8,SUM($H$23:H491)-SUM($I$23:I490),IF(AND(EOMONTH(F491,0)=F491,MONTH(F491)=12),IF(MOD(YEAR(F490),4)=0,IF(F491-'депозитный калькулятор'!$D$7&lt;366,SUM($H$23:H491),SUM(OFFSET(H491,-365,0):H491)),IF(F491-'депозитный калькулятор'!$D$7&lt;365,SUM($H$23:H491),SUM(OFFSET(H491,-364,0):H491))),0))),IF(AND('депозитный калькулятор'!$G$10="в конце срока",'депозитный калькулятор'!$D$8=F491),SUM($H$23:H491),0))))))))))))))))))</f>
        <v xml:space="preserve"> </v>
      </c>
      <c r="J491" s="59" t="str">
        <f>IF(F491&gt;'депозитный калькулятор'!$D$8," ",IF('депозитный калькулятор'!$G$16="нет",0,IF(AND('депозитный калькулятор'!$G$17="разовая (в конце срока)",F491='депозитный калькулятор'!$D$8),'депозитный калькулятор'!$G$18,IF(AND('депозитный калькулятор'!$G$17="ежемесячная",EOMONTH(F490,0)=F490),'депозитный калькулятор'!$G$18,IF(AND('депозитный калькулятор'!$G$17="ежегодная",DAY(F490)=31,MONTH(F490)=12),'депозитный калькулятор'!$G$18,IF(AND('депозитный калькулятор'!$G$17="ежемесячная в зависимости от остатка",EOMONTH(F490,0)=F490,P490&gt;0),'депозитный калькулятор'!$G$18,IF(AND('депозитный калькулятор'!$G$17="ежегодная в зависимости от остатка",DAY(F490)=31,MONTH(F490)=12,P490&gt;0),'депозитный калькулятор'!$G$18,0)))))))</f>
        <v xml:space="preserve"> </v>
      </c>
      <c r="K491" s="135" t="str">
        <f>IF($F491=" "," ",IFERROR(VLOOKUP($F491,'депозитный калькулятор'!$B$26:$F$70,2,0),0))</f>
        <v xml:space="preserve"> </v>
      </c>
      <c r="L491" s="135" t="str">
        <f>IF($F491=" "," ",IFERROR(VLOOKUP($F491,'депозитный калькулятор'!$B$26:$F$70,3,0),0))</f>
        <v xml:space="preserve"> </v>
      </c>
      <c r="M491" s="135" t="str">
        <f>IF($F491=" "," ",IFERROR(VLOOKUP($F491,'депозитный калькулятор'!$B$26:$F$70,4,0),0))</f>
        <v xml:space="preserve"> </v>
      </c>
      <c r="N491" s="135" t="str">
        <f>IF($F491=" "," ",IFERROR(VLOOKUP($F491,'депозитный калькулятор'!$B$26:$F$70,5,0),0))</f>
        <v xml:space="preserve"> </v>
      </c>
      <c r="O491" s="146" t="str">
        <f>IF(F491&gt;'депозитный калькулятор'!$D$8," ",IF(F491='депозитный калькулятор'!$D$8,IF(AND($F$24='депозитный калькулятор'!$D$8,'депозитный калькулятор'!$G$13="нет"),-G491-IF(I491=" ",0,I491)-IF(AND(OR('депозитный калькулятор'!$G$7="30/365",'депозитный калькулятор'!$G$7="30/360"),'депозитный калькулятор'!$G$10="в начале срока"),I490,0)-L491+M491-N491,-G491-IF(I491=" ",0,I491)-L491+M491-N491),IF('депозитный калькулятор'!$G$13="есть",M491-N491+IF('депозитный калькулятор'!$G$14="есть",0,-L491),-IF(I491=" ",0,I491)-IF(AND(OR('депозитный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срока"),I490,0)+M491-N491+IF('депозитный калькулятор'!$G$14="есть",0,-L491))))</f>
        <v xml:space="preserve"> </v>
      </c>
      <c r="P491" s="147" t="str">
        <f>IF(F491&gt;'депозитный калькулятор'!$D$8," ",IF(EOMONTH(F490,0)=F490,0,IF(G491&gt;='депозитный калькулятор'!$G$19,P490,P490+1)))</f>
        <v xml:space="preserve"> </v>
      </c>
      <c r="Q491" s="138" t="str">
        <f>IF(F491=" "," ",IF(AND(OR('депозитный калькулятор'!$G$7="30/365",'депозитный калькулятор'!$G$7="30/360"),AND(MONTH(F491)=2,EOMONTH(F491,0)=F491)),IF(DAY(F491)=28,3,2),1)*IF(G491&gt;='депозитный калькулятор'!$G$11,IF(AND('депозитный калькулятор'!$G$7="факт/факт",MOD(YEAR(F491),4)=0),G491*'депозитный калькулятор'!$D$11/366,G491*'депозитный калькулятор'!$G$8),0))</f>
        <v xml:space="preserve"> </v>
      </c>
      <c r="R491" s="158"/>
      <c r="S491" s="62" t="str">
        <f t="shared" ca="1" si="37"/>
        <v xml:space="preserve"> </v>
      </c>
      <c r="T491" s="149" t="str">
        <f ca="1">IF(S491=" "," ",IF('депозитный калькулятор'!$G$7="30/360",DAYS360(U490,IF(DAY(U491)=31,U491-1,U491))+IF(AND(MONTH(U491)=2,U491=EOMONTH(U491,0)),30-DAY(EOMONTH(U491,0)))+T490,VLOOKUP(S491,$C$22:$F$1023,2,0)))</f>
        <v xml:space="preserve"> </v>
      </c>
      <c r="U491" s="64" t="str">
        <f t="shared" ca="1" si="35"/>
        <v xml:space="preserve"> </v>
      </c>
      <c r="V491" s="150" t="str">
        <f t="shared" ca="1" si="38"/>
        <v xml:space="preserve"> </v>
      </c>
      <c r="W491" s="62" t="str">
        <f t="shared" ca="1" si="39"/>
        <v xml:space="preserve"> </v>
      </c>
      <c r="X491" s="141" t="str">
        <f ca="1">IF(S491=" "," ",IFERROR(VLOOKUP(U491,$F$23:$N$1023,7)+VLOOKUP(U491,$F$23:$N$1023,9)+IF(AND('депозитный калькулятор'!$G$13="нет",U491&lt;&gt;'депозитный калькулятор'!$D$8),VLOOKUP(U491,$F$23:$N$1023,4),0),0)+IF(U491='депозитный калькулятор'!$D$8,VLOOKUP(U491,$F$23:$N$1023,2)+VLOOKUP(U491,$F$23:$N$1023,4),0))</f>
        <v xml:space="preserve"> </v>
      </c>
      <c r="Y491" s="142" t="str">
        <f ca="1">IF(S491=" "," ",W491/(1+'депозитный калькулятор'!$K$8)^(T491/IF('депозитный калькулятор'!$G$7="30/360",360,365)))</f>
        <v xml:space="preserve"> </v>
      </c>
      <c r="Z491" s="142" t="str">
        <f ca="1">IF(S491=" "," ",X491/(1+'депозитный калькулятор'!$K$8)^(T491/IF('депозитный калькулятор'!$G$7="30/360",360,365)))</f>
        <v xml:space="preserve"> </v>
      </c>
      <c r="AA491" s="151"/>
      <c r="AB491" s="151"/>
      <c r="AC491" s="155"/>
      <c r="AD491" s="155"/>
    </row>
    <row r="492" spans="1:30" s="2" customFormat="1" ht="15.5" x14ac:dyDescent="0.35">
      <c r="A492" s="41" t="str">
        <f>IF(F492=" "," ",IF(OR('депозитный калькулятор'!$G$7="30/365",'депозитный калькулятор'!$G$7="30/360"),IF(AND(MONTH(F492)=2,DAY(F492)=DAY(EOMONTH(F492,0))),30-DAY(EOMONTH(F492,0)),IF(DAY(F492)=31,1," "))," "))</f>
        <v xml:space="preserve"> </v>
      </c>
      <c r="B492" s="130" t="str">
        <f t="shared" si="36"/>
        <v xml:space="preserve"> </v>
      </c>
      <c r="C492" s="130" t="str">
        <f>IF(OR(B492=0,B492=" ")," ",SUM($B$23:B492))</f>
        <v xml:space="preserve"> </v>
      </c>
      <c r="D492" s="62" t="str">
        <f>IF(D491=" "," ",IF(OR(F491='депозитный калькулятор'!$D$8,F491=" ")," ",D491+1))</f>
        <v xml:space="preserve"> </v>
      </c>
      <c r="E492" s="130" t="str">
        <f>IF(OR(F491='депозитный калькулятор'!$D$8,F491=" ")," ",IF(EOMONTH(F491,0)=F491,1,E491+1))</f>
        <v xml:space="preserve"> </v>
      </c>
      <c r="F492" s="64" t="str">
        <f>IF(F491=" "," ",IF(F491='депозитный калькулятор'!$D$8," ",F491+1))</f>
        <v xml:space="preserve"> </v>
      </c>
      <c r="G492" s="145" t="str">
        <f xml:space="preserve"> IF(F492&gt;'депозитный калькулятор'!$D$8," ",IF('депозитный калькулятор'!$G$13="есть",IF('депозитный калькулятор'!$G$14="есть",G491+IF(I491=" ",0,I491)-J492-K492+L492+M492-N492,G491+IF(I491=" ",0,I491)-J492-K492+M492-N492),IF('депозитный калькулятор'!$G$14="есть",G491-J492-K492+L492+M492-N492,G491-J492-K492+M492-N492)))</f>
        <v xml:space="preserve"> </v>
      </c>
      <c r="H492" s="133" t="str">
        <f>IF(F492&gt;'депозитный калькулятор'!$D$8," ",IF(AND(OR('депозитный калькулятор'!$G$7="30/365",'депозитный калькулятор'!$G$7="30/360"),AND(MONTH(F492)=2,EOMONTH(F492,0)=F492)),IF(DAY(F492)=28,3*G492*'депозитный калькулятор'!$G$8,2*G492*'депозитный калькулятор'!$G$8),IF(AND(OR('депозитный калькулятор'!$G$7="30/365",'депозитный калькулятор'!$G$7="30/360"),DAY(F492)=31)," ",IF(AND('депозитный калькулятор'!$G$7="факт/факт",MOD(YEAR(F492),4)=0),G492*'депозитный калькулятор'!$D$11/366,G492*'депозитный калькулятор'!$G$8))))</f>
        <v xml:space="preserve"> </v>
      </c>
      <c r="I492" s="134" t="str">
        <f ca="1">IF(F492=" "," ",IF('депозитный калькулятор'!$G$10="ежедневное",H492,IF(AND('депозитный калькулятор'!$G$10="еженедельное",WEEKDAY(F492,2)=7),SUM(OFFSET(H492,-6,0):H492),IF(AND('депозитный калькулятор'!$G$10="еженедельное",F492='депозитный калькулятор'!$D$8),SUM($H$23:H492)-SUM($I$23:I491),IF(AND('депозитный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недели",WEEKDAY(F492,2)=7),MIN(OFFSET(H492,-6,0):H492)*(COUNTIF(OFFSET(H492,-6,0):H492,"&gt;0")+SUMIF(OFFSET(A492,-WEEKDAY(F492,2),0):A492,"=2",OFFSET(A492,-WEEKDAY(F492,2),0):A492)),IF(AND('депозитный калькулятор'!$G$10="еженедельное, на минимальную сумму зафиксированную в течение недели",F492='депозитный калькулятор'!$D$8,WEEKDAY(F492,2)&lt;&gt;7),MIN(OFFSET(H492,-WEEKDAY(F492,2),0):H492)*(COUNTIF(OFFSET(H492,-WEEKDAY(F492,2)+1,0):H492,"&gt;0")+SUM(OFFSET(A492,-WEEKDAY(F492,2),0):A492)),IF(AND('депозитный калькулятор'!$G$10="ежемесячное (в конце месяца)",F492='депозитный калькулятор'!$D$8,EOMONTH(F492,0)&lt;&gt;F492),IF('депозитный калькулятор'!$F$1=1,$H$24,SUM($H$23:H492)-SUM($I$23:I491)),IF(AND('депозитный калькулятор'!$G$10="ежемесячное (в конце месяца)",EOMONTH(F492,0)=F492),SUM($H$23:H492)-SUM($I$23:I491),IF(AND('депозитный калькулятор'!$G$10="ежемесячное (по дням открытия вклада)",F492='депозитный калькулятор'!$D$8,DAY('депозитный калькулятор'!$D$7)&lt;&gt;DAY(F492)),IF('депозитный калькулятор'!$F$1=1,$H$24,SUM($H$23:H492)-SUM($I$23:I491)),IF(AND('депозитный калькулятор'!$G$10="ежемесячное (по дням открытия вклада)",DAY('депозитный калькулятор'!$D$7)=DAY(F492)),SUM($H$23:H492)-SUM($I$23:I491),IF(AND('депозитный калькулятор'!$G$10="ежемесячное, на минимальную сумму зафиксированную в течение месяца",F492='депозитный калькулятор'!$D$8,EOMONTH(F492,0)&lt;&gt;F492),IF('депозитный калькулятор'!$F$1=1,$H$24,IF(AND(OR('депозитный калькулятор'!$G$7="30/365",'депозитный калькулятор'!$G$7="30/360"),DAY(F492)=31),0,MIN(OFFSET(H492,-E492+1,0):H492)*(E492+SUMIF(OFFSET(A492,-E492+1,0):A492,"=2",OFFSET(A492,-E492+1,0):A492)))),IF(AND('депозитный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калькулятор'!$G$7="30/360"),DAY(EOMONTH(F492,0))=31),EOMONTH(F492,0)-1=F492,EOMONTH(F492,0)=F492)),IF(IF(AND(OR('депозитный калькулятор'!$G$7="30/365",'депозитный калькулятор'!$G$7="30/360"),DAY(EOMONTH($F$23,0))=31),F492=EOMONTH($F$23,0)-1,F492=EOMONTH($F$23,0)),MIN(OFFSET(H492,-(DAY(F492)-DAY($F$23)),0):H492)*E492,MIN(OFFSET(H492,-(DAY(F492)-1),0):H492)*IF(AND(OR('депозитный калькулятор'!$G$7="30/365",'депозитный калькулятор'!$G$7="30/360"),DAY(F492)&lt;30),30,DAY(F492))),IF(AND('депозитный калькулятор'!$G$10="ежемесячное, на средний остаток в течение месяца, при условии что остаток больше чем ограничение",F492='депозитный калькулятор'!$D$8,EOMONTH(F492,0)&lt;&gt;F492),IF('депозитный калькулятор'!$F$1=1,$H$24,SUM(OFFSET(Q492,-E492+1,0):Q492)),IF(AND('депозитный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калькулятор'!$G$7="30/360"),DAY(EOMONTH(F492,0))=31),EOMONTH(F492,0)-1=F492,EOMONTH(F492,0)=F492)),IF(IF(AND(OR('депозитный калькулятор'!$G$7="30/365",'депозитный калькулятор'!$G$7="30/360"),DAY(EOMONTH($F$24,0))=31),F492=EOMONTH($F$24,0)-1,F492=EOMONTH($F$24,0)),SUM(OFFSET(Q492,-E492+1,0):Q492),SUM(OFFSET(Q492,-E492+1,0):Q492)),IF('депозитный калькулятор'!$G$10="ежеквартальное",IF(F492&gt;'депозитный калькулятор'!$D$8," ",IF(AND(EOMONTH(F492,0)=F492,OR(MONTH(F492)=3,MONTH(F492)=6,MONTH(F492)=9,MONTH(F492)=12)),IF(EDATE(F492,-3)&lt;'депозитный калькулятор'!$D$7,SUM($H$23:H492),IF(MOD(YEAR(F492),4)=0,IF(AND(EOMONTH(F492,0)=F492,OR(MONTH(F492)=3,MONTH(F492)=6)),SUM(OFFSET(H492,-90,0):H492),IF(AND(EOMONTH(F492,0)=F492,OR(MONTH(F492)=9,MONTH(F492)=12)),SUM(OFFSET(H492,-91,0):H492))),IF(AND(EOMONTH(F492,0)=F492,MONTH(F492)=3),SUM(OFFSET(H492,-89,0):H492),IF(AND(EOMONTH(F492,0)=F492,MONTH(F492)=6),SUM(OFFSET(H492,-90,0):H492),IF(AND(EOMONTH(F492,0)=F492,OR(MONTH(F492)=9,MONTH(F492)=12)),SUM(OFFSET(H492,-91,0):H492)))))),IF(F492='депозитный калькулятор'!$D$8,SUM($H$23:H492)-SUM($I$23:I491),0))),IF('депозитный калькулятор'!$G$10="ежегодное",IF(F492&gt;'депозитный калькулятор'!$D$8," ",IF(F492='депозитный калькулятор'!$D$8,SUM($H$23:H492)-SUM($I$23:I491),IF(AND(EOMONTH(F492,0)=F492,MONTH(F492)=12),IF(MOD(YEAR(F491),4)=0,IF(F492-'депозитный калькулятор'!$D$7&lt;366,SUM($H$23:H492),SUM(OFFSET(H492,-365,0):H492)),IF(F492-'депозитный калькулятор'!$D$7&lt;365,SUM($H$23:H492),SUM(OFFSET(H492,-364,0):H492))),0))),IF(AND('депозитный калькулятор'!$G$10="в конце срока",'депозитный калькулятор'!$D$8=F492),SUM($H$23:H492),0))))))))))))))))))</f>
        <v xml:space="preserve"> </v>
      </c>
      <c r="J492" s="59" t="str">
        <f>IF(F492&gt;'депозитный калькулятор'!$D$8," ",IF('депозитный калькулятор'!$G$16="нет",0,IF(AND('депозитный калькулятор'!$G$17="разовая (в конце срока)",F492='депозитный калькулятор'!$D$8),'депозитный калькулятор'!$G$18,IF(AND('депозитный калькулятор'!$G$17="ежемесячная",EOMONTH(F491,0)=F491),'депозитный калькулятор'!$G$18,IF(AND('депозитный калькулятор'!$G$17="ежегодная",DAY(F491)=31,MONTH(F491)=12),'депозитный калькулятор'!$G$18,IF(AND('депозитный калькулятор'!$G$17="ежемесячная в зависимости от остатка",EOMONTH(F491,0)=F491,P491&gt;0),'депозитный калькулятор'!$G$18,IF(AND('депозитный калькулятор'!$G$17="ежегодная в зависимости от остатка",DAY(F491)=31,MONTH(F491)=12,P491&gt;0),'депозитный калькулятор'!$G$18,0)))))))</f>
        <v xml:space="preserve"> </v>
      </c>
      <c r="K492" s="135" t="str">
        <f>IF($F492=" "," ",IFERROR(VLOOKUP($F492,'депозитный калькулятор'!$B$26:$F$70,2,0),0))</f>
        <v xml:space="preserve"> </v>
      </c>
      <c r="L492" s="135" t="str">
        <f>IF($F492=" "," ",IFERROR(VLOOKUP($F492,'депозитный калькулятор'!$B$26:$F$70,3,0),0))</f>
        <v xml:space="preserve"> </v>
      </c>
      <c r="M492" s="135" t="str">
        <f>IF($F492=" "," ",IFERROR(VLOOKUP($F492,'депозитный калькулятор'!$B$26:$F$70,4,0),0))</f>
        <v xml:space="preserve"> </v>
      </c>
      <c r="N492" s="135" t="str">
        <f>IF($F492=" "," ",IFERROR(VLOOKUP($F492,'депозитный калькулятор'!$B$26:$F$70,5,0),0))</f>
        <v xml:space="preserve"> </v>
      </c>
      <c r="O492" s="146" t="str">
        <f>IF(F492&gt;'депозитный калькулятор'!$D$8," ",IF(F492='депозитный калькулятор'!$D$8,IF(AND($F$24='депозитный калькулятор'!$D$8,'депозитный калькулятор'!$G$13="нет"),-G492-IF(I492=" ",0,I492)-IF(AND(OR('депозитный калькулятор'!$G$7="30/365",'депозитный калькулятор'!$G$7="30/360"),'депозитный калькулятор'!$G$10="в начале срока"),I491,0)-L492+M492-N492,-G492-IF(I492=" ",0,I492)-L492+M492-N492),IF('депозитный калькулятор'!$G$13="есть",M492-N492+IF('депозитный калькулятор'!$G$14="есть",0,-L492),-IF(I492=" ",0,I492)-IF(AND(OR('депозитный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срока"),I491,0)+M492-N492+IF('депозитный калькулятор'!$G$14="есть",0,-L492))))</f>
        <v xml:space="preserve"> </v>
      </c>
      <c r="P492" s="147" t="str">
        <f>IF(F492&gt;'депозитный калькулятор'!$D$8," ",IF(EOMONTH(F491,0)=F491,0,IF(G492&gt;='депозитный калькулятор'!$G$19,P491,P491+1)))</f>
        <v xml:space="preserve"> </v>
      </c>
      <c r="Q492" s="138" t="str">
        <f>IF(F492=" "," ",IF(AND(OR('депозитный калькулятор'!$G$7="30/365",'депозитный калькулятор'!$G$7="30/360"),AND(MONTH(F492)=2,EOMONTH(F492,0)=F492)),IF(DAY(F492)=28,3,2),1)*IF(G492&gt;='депозитный калькулятор'!$G$11,IF(AND('депозитный калькулятор'!$G$7="факт/факт",MOD(YEAR(F492),4)=0),G492*'депозитный калькулятор'!$D$11/366,G492*'депозитный калькулятор'!$G$8),0))</f>
        <v xml:space="preserve"> </v>
      </c>
      <c r="R492" s="158"/>
      <c r="S492" s="62" t="str">
        <f t="shared" ca="1" si="37"/>
        <v xml:space="preserve"> </v>
      </c>
      <c r="T492" s="149" t="str">
        <f ca="1">IF(S492=" "," ",IF('депозитный калькулятор'!$G$7="30/360",DAYS360(U491,IF(DAY(U492)=31,U492-1,U492))+IF(AND(MONTH(U492)=2,U492=EOMONTH(U492,0)),30-DAY(EOMONTH(U492,0)))+T491,VLOOKUP(S492,$C$22:$F$1023,2,0)))</f>
        <v xml:space="preserve"> </v>
      </c>
      <c r="U492" s="64" t="str">
        <f t="shared" ca="1" si="35"/>
        <v xml:space="preserve"> </v>
      </c>
      <c r="V492" s="150" t="str">
        <f t="shared" ca="1" si="38"/>
        <v xml:space="preserve"> </v>
      </c>
      <c r="W492" s="62" t="str">
        <f t="shared" ca="1" si="39"/>
        <v xml:space="preserve"> </v>
      </c>
      <c r="X492" s="141" t="str">
        <f ca="1">IF(S492=" "," ",IFERROR(VLOOKUP(U492,$F$23:$N$1023,7)+VLOOKUP(U492,$F$23:$N$1023,9)+IF(AND('депозитный калькулятор'!$G$13="нет",U492&lt;&gt;'депозитный калькулятор'!$D$8),VLOOKUP(U492,$F$23:$N$1023,4),0),0)+IF(U492='депозитный калькулятор'!$D$8,VLOOKUP(U492,$F$23:$N$1023,2)+VLOOKUP(U492,$F$23:$N$1023,4),0))</f>
        <v xml:space="preserve"> </v>
      </c>
      <c r="Y492" s="142" t="str">
        <f ca="1">IF(S492=" "," ",W492/(1+'депозитный калькулятор'!$K$8)^(T492/IF('депозитный калькулятор'!$G$7="30/360",360,365)))</f>
        <v xml:space="preserve"> </v>
      </c>
      <c r="Z492" s="142" t="str">
        <f ca="1">IF(S492=" "," ",X492/(1+'депозитный калькулятор'!$K$8)^(T492/IF('депозитный калькулятор'!$G$7="30/360",360,365)))</f>
        <v xml:space="preserve"> </v>
      </c>
      <c r="AA492" s="151"/>
      <c r="AB492" s="151"/>
      <c r="AC492" s="155"/>
      <c r="AD492" s="155"/>
    </row>
    <row r="493" spans="1:30" s="2" customFormat="1" ht="15.5" x14ac:dyDescent="0.35">
      <c r="A493" s="41" t="str">
        <f>IF(F493=" "," ",IF(OR('депозитный калькулятор'!$G$7="30/365",'депозитный калькулятор'!$G$7="30/360"),IF(AND(MONTH(F493)=2,DAY(F493)=DAY(EOMONTH(F493,0))),30-DAY(EOMONTH(F493,0)),IF(DAY(F493)=31,1," "))," "))</f>
        <v xml:space="preserve"> </v>
      </c>
      <c r="B493" s="130" t="str">
        <f t="shared" si="36"/>
        <v xml:space="preserve"> </v>
      </c>
      <c r="C493" s="130" t="str">
        <f>IF(OR(B493=0,B493=" ")," ",SUM($B$23:B493))</f>
        <v xml:space="preserve"> </v>
      </c>
      <c r="D493" s="62" t="str">
        <f>IF(D492=" "," ",IF(OR(F492='депозитный калькулятор'!$D$8,F492=" ")," ",D492+1))</f>
        <v xml:space="preserve"> </v>
      </c>
      <c r="E493" s="130" t="str">
        <f>IF(OR(F492='депозитный калькулятор'!$D$8,F492=" ")," ",IF(EOMONTH(F492,0)=F492,1,E492+1))</f>
        <v xml:space="preserve"> </v>
      </c>
      <c r="F493" s="64" t="str">
        <f>IF(F492=" "," ",IF(F492='депозитный калькулятор'!$D$8," ",F492+1))</f>
        <v xml:space="preserve"> </v>
      </c>
      <c r="G493" s="145" t="str">
        <f xml:space="preserve"> IF(F493&gt;'депозитный калькулятор'!$D$8," ",IF('депозитный калькулятор'!$G$13="есть",IF('депозитный калькулятор'!$G$14="есть",G492+IF(I492=" ",0,I492)-J493-K493+L493+M493-N493,G492+IF(I492=" ",0,I492)-J493-K493+M493-N493),IF('депозитный калькулятор'!$G$14="есть",G492-J493-K493+L493+M493-N493,G492-J493-K493+M493-N493)))</f>
        <v xml:space="preserve"> </v>
      </c>
      <c r="H493" s="133" t="str">
        <f>IF(F493&gt;'депозитный калькулятор'!$D$8," ",IF(AND(OR('депозитный калькулятор'!$G$7="30/365",'депозитный калькулятор'!$G$7="30/360"),AND(MONTH(F493)=2,EOMONTH(F493,0)=F493)),IF(DAY(F493)=28,3*G493*'депозитный калькулятор'!$G$8,2*G493*'депозитный калькулятор'!$G$8),IF(AND(OR('депозитный калькулятор'!$G$7="30/365",'депозитный калькулятор'!$G$7="30/360"),DAY(F493)=31)," ",IF(AND('депозитный калькулятор'!$G$7="факт/факт",MOD(YEAR(F493),4)=0),G493*'депозитный калькулятор'!$D$11/366,G493*'депозитный калькулятор'!$G$8))))</f>
        <v xml:space="preserve"> </v>
      </c>
      <c r="I493" s="134" t="str">
        <f ca="1">IF(F493=" "," ",IF('депозитный калькулятор'!$G$10="ежедневное",H493,IF(AND('депозитный калькулятор'!$G$10="еженедельное",WEEKDAY(F493,2)=7),SUM(OFFSET(H493,-6,0):H493),IF(AND('депозитный калькулятор'!$G$10="еженедельное",F493='депозитный калькулятор'!$D$8),SUM($H$23:H493)-SUM($I$23:I492),IF(AND('депозитный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недели",WEEKDAY(F493,2)=7),MIN(OFFSET(H493,-6,0):H493)*(COUNTIF(OFFSET(H493,-6,0):H493,"&gt;0")+SUMIF(OFFSET(A493,-WEEKDAY(F493,2),0):A493,"=2",OFFSET(A493,-WEEKDAY(F493,2),0):A493)),IF(AND('депозитный калькулятор'!$G$10="еженедельное, на минимальную сумму зафиксированную в течение недели",F493='депозитный калькулятор'!$D$8,WEEKDAY(F493,2)&lt;&gt;7),MIN(OFFSET(H493,-WEEKDAY(F493,2),0):H493)*(COUNTIF(OFFSET(H493,-WEEKDAY(F493,2)+1,0):H493,"&gt;0")+SUM(OFFSET(A493,-WEEKDAY(F493,2),0):A493)),IF(AND('депозитный калькулятор'!$G$10="ежемесячное (в конце месяца)",F493='депозитный калькулятор'!$D$8,EOMONTH(F493,0)&lt;&gt;F493),IF('депозитный калькулятор'!$F$1=1,$H$24,SUM($H$23:H493)-SUM($I$23:I492)),IF(AND('депозитный калькулятор'!$G$10="ежемесячное (в конце месяца)",EOMONTH(F493,0)=F493),SUM($H$23:H493)-SUM($I$23:I492),IF(AND('депозитный калькулятор'!$G$10="ежемесячное (по дням открытия вклада)",F493='депозитный калькулятор'!$D$8,DAY('депозитный калькулятор'!$D$7)&lt;&gt;DAY(F493)),IF('депозитный калькулятор'!$F$1=1,$H$24,SUM($H$23:H493)-SUM($I$23:I492)),IF(AND('депозитный калькулятор'!$G$10="ежемесячное (по дням открытия вклада)",DAY('депозитный калькулятор'!$D$7)=DAY(F493)),SUM($H$23:H493)-SUM($I$23:I492),IF(AND('депозитный калькулятор'!$G$10="ежемесячное, на минимальную сумму зафиксированную в течение месяца",F493='депозитный калькулятор'!$D$8,EOMONTH(F493,0)&lt;&gt;F493),IF('депозитный калькулятор'!$F$1=1,$H$24,IF(AND(OR('депозитный калькулятор'!$G$7="30/365",'депозитный калькулятор'!$G$7="30/360"),DAY(F493)=31),0,MIN(OFFSET(H493,-E493+1,0):H493)*(E493+SUMIF(OFFSET(A493,-E493+1,0):A493,"=2",OFFSET(A493,-E493+1,0):A493)))),IF(AND('депозитный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калькулятор'!$G$7="30/360"),DAY(EOMONTH(F493,0))=31),EOMONTH(F493,0)-1=F493,EOMONTH(F493,0)=F493)),IF(IF(AND(OR('депозитный калькулятор'!$G$7="30/365",'депозитный калькулятор'!$G$7="30/360"),DAY(EOMONTH($F$23,0))=31),F493=EOMONTH($F$23,0)-1,F493=EOMONTH($F$23,0)),MIN(OFFSET(H493,-(DAY(F493)-DAY($F$23)),0):H493)*E493,MIN(OFFSET(H493,-(DAY(F493)-1),0):H493)*IF(AND(OR('депозитный калькулятор'!$G$7="30/365",'депозитный калькулятор'!$G$7="30/360"),DAY(F493)&lt;30),30,DAY(F493))),IF(AND('депозитный калькулятор'!$G$10="ежемесячное, на средний остаток в течение месяца, при условии что остаток больше чем ограничение",F493='депозитный калькулятор'!$D$8,EOMONTH(F493,0)&lt;&gt;F493),IF('депозитный калькулятор'!$F$1=1,$H$24,SUM(OFFSET(Q493,-E493+1,0):Q493)),IF(AND('депозитный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калькулятор'!$G$7="30/360"),DAY(EOMONTH(F493,0))=31),EOMONTH(F493,0)-1=F493,EOMONTH(F493,0)=F493)),IF(IF(AND(OR('депозитный калькулятор'!$G$7="30/365",'депозитный калькулятор'!$G$7="30/360"),DAY(EOMONTH($F$24,0))=31),F493=EOMONTH($F$24,0)-1,F493=EOMONTH($F$24,0)),SUM(OFFSET(Q493,-E493+1,0):Q493),SUM(OFFSET(Q493,-E493+1,0):Q493)),IF('депозитный калькулятор'!$G$10="ежеквартальное",IF(F493&gt;'депозитный калькулятор'!$D$8," ",IF(AND(EOMONTH(F493,0)=F493,OR(MONTH(F493)=3,MONTH(F493)=6,MONTH(F493)=9,MONTH(F493)=12)),IF(EDATE(F493,-3)&lt;'депозитный калькулятор'!$D$7,SUM($H$23:H493),IF(MOD(YEAR(F493),4)=0,IF(AND(EOMONTH(F493,0)=F493,OR(MONTH(F493)=3,MONTH(F493)=6)),SUM(OFFSET(H493,-90,0):H493),IF(AND(EOMONTH(F493,0)=F493,OR(MONTH(F493)=9,MONTH(F493)=12)),SUM(OFFSET(H493,-91,0):H493))),IF(AND(EOMONTH(F493,0)=F493,MONTH(F493)=3),SUM(OFFSET(H493,-89,0):H493),IF(AND(EOMONTH(F493,0)=F493,MONTH(F493)=6),SUM(OFFSET(H493,-90,0):H493),IF(AND(EOMONTH(F493,0)=F493,OR(MONTH(F493)=9,MONTH(F493)=12)),SUM(OFFSET(H493,-91,0):H493)))))),IF(F493='депозитный калькулятор'!$D$8,SUM($H$23:H493)-SUM($I$23:I492),0))),IF('депозитный калькулятор'!$G$10="ежегодное",IF(F493&gt;'депозитный калькулятор'!$D$8," ",IF(F493='депозитный калькулятор'!$D$8,SUM($H$23:H493)-SUM($I$23:I492),IF(AND(EOMONTH(F493,0)=F493,MONTH(F493)=12),IF(MOD(YEAR(F492),4)=0,IF(F493-'депозитный калькулятор'!$D$7&lt;366,SUM($H$23:H493),SUM(OFFSET(H493,-365,0):H493)),IF(F493-'депозитный калькулятор'!$D$7&lt;365,SUM($H$23:H493),SUM(OFFSET(H493,-364,0):H493))),0))),IF(AND('депозитный калькулятор'!$G$10="в конце срока",'депозитный калькулятор'!$D$8=F493),SUM($H$23:H493),0))))))))))))))))))</f>
        <v xml:space="preserve"> </v>
      </c>
      <c r="J493" s="59" t="str">
        <f>IF(F493&gt;'депозитный калькулятор'!$D$8," ",IF('депозитный калькулятор'!$G$16="нет",0,IF(AND('депозитный калькулятор'!$G$17="разовая (в конце срока)",F493='депозитный калькулятор'!$D$8),'депозитный калькулятор'!$G$18,IF(AND('депозитный калькулятор'!$G$17="ежемесячная",EOMONTH(F492,0)=F492),'депозитный калькулятор'!$G$18,IF(AND('депозитный калькулятор'!$G$17="ежегодная",DAY(F492)=31,MONTH(F492)=12),'депозитный калькулятор'!$G$18,IF(AND('депозитный калькулятор'!$G$17="ежемесячная в зависимости от остатка",EOMONTH(F492,0)=F492,P492&gt;0),'депозитный калькулятор'!$G$18,IF(AND('депозитный калькулятор'!$G$17="ежегодная в зависимости от остатка",DAY(F492)=31,MONTH(F492)=12,P492&gt;0),'депозитный калькулятор'!$G$18,0)))))))</f>
        <v xml:space="preserve"> </v>
      </c>
      <c r="K493" s="135" t="str">
        <f>IF($F493=" "," ",IFERROR(VLOOKUP($F493,'депозитный калькулятор'!$B$26:$F$70,2,0),0))</f>
        <v xml:space="preserve"> </v>
      </c>
      <c r="L493" s="135" t="str">
        <f>IF($F493=" "," ",IFERROR(VLOOKUP($F493,'депозитный калькулятор'!$B$26:$F$70,3,0),0))</f>
        <v xml:space="preserve"> </v>
      </c>
      <c r="M493" s="135" t="str">
        <f>IF($F493=" "," ",IFERROR(VLOOKUP($F493,'депозитный калькулятор'!$B$26:$F$70,4,0),0))</f>
        <v xml:space="preserve"> </v>
      </c>
      <c r="N493" s="135" t="str">
        <f>IF($F493=" "," ",IFERROR(VLOOKUP($F493,'депозитный калькулятор'!$B$26:$F$70,5,0),0))</f>
        <v xml:space="preserve"> </v>
      </c>
      <c r="O493" s="146" t="str">
        <f>IF(F493&gt;'депозитный калькулятор'!$D$8," ",IF(F493='депозитный калькулятор'!$D$8,IF(AND($F$24='депозитный калькулятор'!$D$8,'депозитный калькулятор'!$G$13="нет"),-G493-IF(I493=" ",0,I493)-IF(AND(OR('депозитный калькулятор'!$G$7="30/365",'депозитный калькулятор'!$G$7="30/360"),'депозитный калькулятор'!$G$10="в начале срока"),I492,0)-L493+M493-N493,-G493-IF(I493=" ",0,I493)-L493+M493-N493),IF('депозитный калькулятор'!$G$13="есть",M493-N493+IF('депозитный калькулятор'!$G$14="есть",0,-L493),-IF(I493=" ",0,I493)-IF(AND(OR('депозитный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срока"),I492,0)+M493-N493+IF('депозитный калькулятор'!$G$14="есть",0,-L493))))</f>
        <v xml:space="preserve"> </v>
      </c>
      <c r="P493" s="147" t="str">
        <f>IF(F493&gt;'депозитный калькулятор'!$D$8," ",IF(EOMONTH(F492,0)=F492,0,IF(G493&gt;='депозитный калькулятор'!$G$19,P492,P492+1)))</f>
        <v xml:space="preserve"> </v>
      </c>
      <c r="Q493" s="138" t="str">
        <f>IF(F493=" "," ",IF(AND(OR('депозитный калькулятор'!$G$7="30/365",'депозитный калькулятор'!$G$7="30/360"),AND(MONTH(F493)=2,EOMONTH(F493,0)=F493)),IF(DAY(F493)=28,3,2),1)*IF(G493&gt;='депозитный калькулятор'!$G$11,IF(AND('депозитный калькулятор'!$G$7="факт/факт",MOD(YEAR(F493),4)=0),G493*'депозитный калькулятор'!$D$11/366,G493*'депозитный калькулятор'!$G$8),0))</f>
        <v xml:space="preserve"> </v>
      </c>
      <c r="R493" s="158"/>
      <c r="S493" s="62" t="str">
        <f t="shared" ca="1" si="37"/>
        <v xml:space="preserve"> </v>
      </c>
      <c r="T493" s="149" t="str">
        <f ca="1">IF(S493=" "," ",IF('депозитный калькулятор'!$G$7="30/360",DAYS360(U492,IF(DAY(U493)=31,U493-1,U493))+IF(AND(MONTH(U493)=2,U493=EOMONTH(U493,0)),30-DAY(EOMONTH(U493,0)))+T492,VLOOKUP(S493,$C$22:$F$1023,2,0)))</f>
        <v xml:space="preserve"> </v>
      </c>
      <c r="U493" s="64" t="str">
        <f t="shared" ca="1" si="35"/>
        <v xml:space="preserve"> </v>
      </c>
      <c r="V493" s="150" t="str">
        <f t="shared" ca="1" si="38"/>
        <v xml:space="preserve"> </v>
      </c>
      <c r="W493" s="62" t="str">
        <f t="shared" ca="1" si="39"/>
        <v xml:space="preserve"> </v>
      </c>
      <c r="X493" s="141" t="str">
        <f ca="1">IF(S493=" "," ",IFERROR(VLOOKUP(U493,$F$23:$N$1023,7)+VLOOKUP(U493,$F$23:$N$1023,9)+IF(AND('депозитный калькулятор'!$G$13="нет",U493&lt;&gt;'депозитный калькулятор'!$D$8),VLOOKUP(U493,$F$23:$N$1023,4),0),0)+IF(U493='депозитный калькулятор'!$D$8,VLOOKUP(U493,$F$23:$N$1023,2)+VLOOKUP(U493,$F$23:$N$1023,4),0))</f>
        <v xml:space="preserve"> </v>
      </c>
      <c r="Y493" s="142" t="str">
        <f ca="1">IF(S493=" "," ",W493/(1+'депозитный калькулятор'!$K$8)^(T493/IF('депозитный калькулятор'!$G$7="30/360",360,365)))</f>
        <v xml:space="preserve"> </v>
      </c>
      <c r="Z493" s="142" t="str">
        <f ca="1">IF(S493=" "," ",X493/(1+'депозитный калькулятор'!$K$8)^(T493/IF('депозитный калькулятор'!$G$7="30/360",360,365)))</f>
        <v xml:space="preserve"> </v>
      </c>
      <c r="AA493" s="151"/>
      <c r="AB493" s="151"/>
      <c r="AC493" s="155"/>
      <c r="AD493" s="155"/>
    </row>
    <row r="494" spans="1:30" s="2" customFormat="1" ht="15.5" x14ac:dyDescent="0.35">
      <c r="A494" s="41" t="str">
        <f>IF(F494=" "," ",IF(OR('депозитный калькулятор'!$G$7="30/365",'депозитный калькулятор'!$G$7="30/360"),IF(AND(MONTH(F494)=2,DAY(F494)=DAY(EOMONTH(F494,0))),30-DAY(EOMONTH(F494,0)),IF(DAY(F494)=31,1," "))," "))</f>
        <v xml:space="preserve"> </v>
      </c>
      <c r="B494" s="130" t="str">
        <f t="shared" si="36"/>
        <v xml:space="preserve"> </v>
      </c>
      <c r="C494" s="130" t="str">
        <f>IF(OR(B494=0,B494=" ")," ",SUM($B$23:B494))</f>
        <v xml:space="preserve"> </v>
      </c>
      <c r="D494" s="62" t="str">
        <f>IF(D493=" "," ",IF(OR(F493='депозитный калькулятор'!$D$8,F493=" ")," ",D493+1))</f>
        <v xml:space="preserve"> </v>
      </c>
      <c r="E494" s="130" t="str">
        <f>IF(OR(F493='депозитный калькулятор'!$D$8,F493=" ")," ",IF(EOMONTH(F493,0)=F493,1,E493+1))</f>
        <v xml:space="preserve"> </v>
      </c>
      <c r="F494" s="64" t="str">
        <f>IF(F493=" "," ",IF(F493='депозитный калькулятор'!$D$8," ",F493+1))</f>
        <v xml:space="preserve"> </v>
      </c>
      <c r="G494" s="145" t="str">
        <f xml:space="preserve"> IF(F494&gt;'депозитный калькулятор'!$D$8," ",IF('депозитный калькулятор'!$G$13="есть",IF('депозитный калькулятор'!$G$14="есть",G493+IF(I493=" ",0,I493)-J494-K494+L494+M494-N494,G493+IF(I493=" ",0,I493)-J494-K494+M494-N494),IF('депозитный калькулятор'!$G$14="есть",G493-J494-K494+L494+M494-N494,G493-J494-K494+M494-N494)))</f>
        <v xml:space="preserve"> </v>
      </c>
      <c r="H494" s="133" t="str">
        <f>IF(F494&gt;'депозитный калькулятор'!$D$8," ",IF(AND(OR('депозитный калькулятор'!$G$7="30/365",'депозитный калькулятор'!$G$7="30/360"),AND(MONTH(F494)=2,EOMONTH(F494,0)=F494)),IF(DAY(F494)=28,3*G494*'депозитный калькулятор'!$G$8,2*G494*'депозитный калькулятор'!$G$8),IF(AND(OR('депозитный калькулятор'!$G$7="30/365",'депозитный калькулятор'!$G$7="30/360"),DAY(F494)=31)," ",IF(AND('депозитный калькулятор'!$G$7="факт/факт",MOD(YEAR(F494),4)=0),G494*'депозитный калькулятор'!$D$11/366,G494*'депозитный калькулятор'!$G$8))))</f>
        <v xml:space="preserve"> </v>
      </c>
      <c r="I494" s="134" t="str">
        <f ca="1">IF(F494=" "," ",IF('депозитный калькулятор'!$G$10="ежедневное",H494,IF(AND('депозитный калькулятор'!$G$10="еженедельное",WEEKDAY(F494,2)=7),SUM(OFFSET(H494,-6,0):H494),IF(AND('депозитный калькулятор'!$G$10="еженедельное",F494='депозитный калькулятор'!$D$8),SUM($H$23:H494)-SUM($I$23:I493),IF(AND('депозитный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недели",WEEKDAY(F494,2)=7),MIN(OFFSET(H494,-6,0):H494)*(COUNTIF(OFFSET(H494,-6,0):H494,"&gt;0")+SUMIF(OFFSET(A494,-WEEKDAY(F494,2),0):A494,"=2",OFFSET(A494,-WEEKDAY(F494,2),0):A494)),IF(AND('депозитный калькулятор'!$G$10="еженедельное, на минимальную сумму зафиксированную в течение недели",F494='депозитный калькулятор'!$D$8,WEEKDAY(F494,2)&lt;&gt;7),MIN(OFFSET(H494,-WEEKDAY(F494,2),0):H494)*(COUNTIF(OFFSET(H494,-WEEKDAY(F494,2)+1,0):H494,"&gt;0")+SUM(OFFSET(A494,-WEEKDAY(F494,2),0):A494)),IF(AND('депозитный калькулятор'!$G$10="ежемесячное (в конце месяца)",F494='депозитный калькулятор'!$D$8,EOMONTH(F494,0)&lt;&gt;F494),IF('депозитный калькулятор'!$F$1=1,$H$24,SUM($H$23:H494)-SUM($I$23:I493)),IF(AND('депозитный калькулятор'!$G$10="ежемесячное (в конце месяца)",EOMONTH(F494,0)=F494),SUM($H$23:H494)-SUM($I$23:I493),IF(AND('депозитный калькулятор'!$G$10="ежемесячное (по дням открытия вклада)",F494='депозитный калькулятор'!$D$8,DAY('депозитный калькулятор'!$D$7)&lt;&gt;DAY(F494)),IF('депозитный калькулятор'!$F$1=1,$H$24,SUM($H$23:H494)-SUM($I$23:I493)),IF(AND('депозитный калькулятор'!$G$10="ежемесячное (по дням открытия вклада)",DAY('депозитный калькулятор'!$D$7)=DAY(F494)),SUM($H$23:H494)-SUM($I$23:I493),IF(AND('депозитный калькулятор'!$G$10="ежемесячное, на минимальную сумму зафиксированную в течение месяца",F494='депозитный калькулятор'!$D$8,EOMONTH(F494,0)&lt;&gt;F494),IF('депозитный калькулятор'!$F$1=1,$H$24,IF(AND(OR('депозитный калькулятор'!$G$7="30/365",'депозитный калькулятор'!$G$7="30/360"),DAY(F494)=31),0,MIN(OFFSET(H494,-E494+1,0):H494)*(E494+SUMIF(OFFSET(A494,-E494+1,0):A494,"=2",OFFSET(A494,-E494+1,0):A494)))),IF(AND('депозитный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калькулятор'!$G$7="30/360"),DAY(EOMONTH(F494,0))=31),EOMONTH(F494,0)-1=F494,EOMONTH(F494,0)=F494)),IF(IF(AND(OR('депозитный калькулятор'!$G$7="30/365",'депозитный калькулятор'!$G$7="30/360"),DAY(EOMONTH($F$23,0))=31),F494=EOMONTH($F$23,0)-1,F494=EOMONTH($F$23,0)),MIN(OFFSET(H494,-(DAY(F494)-DAY($F$23)),0):H494)*E494,MIN(OFFSET(H494,-(DAY(F494)-1),0):H494)*IF(AND(OR('депозитный калькулятор'!$G$7="30/365",'депозитный калькулятор'!$G$7="30/360"),DAY(F494)&lt;30),30,DAY(F494))),IF(AND('депозитный калькулятор'!$G$10="ежемесячное, на средний остаток в течение месяца, при условии что остаток больше чем ограничение",F494='депозитный калькулятор'!$D$8,EOMONTH(F494,0)&lt;&gt;F494),IF('депозитный калькулятор'!$F$1=1,$H$24,SUM(OFFSET(Q494,-E494+1,0):Q494)),IF(AND('депозитный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калькулятор'!$G$7="30/360"),DAY(EOMONTH(F494,0))=31),EOMONTH(F494,0)-1=F494,EOMONTH(F494,0)=F494)),IF(IF(AND(OR('депозитный калькулятор'!$G$7="30/365",'депозитный калькулятор'!$G$7="30/360"),DAY(EOMONTH($F$24,0))=31),F494=EOMONTH($F$24,0)-1,F494=EOMONTH($F$24,0)),SUM(OFFSET(Q494,-E494+1,0):Q494),SUM(OFFSET(Q494,-E494+1,0):Q494)),IF('депозитный калькулятор'!$G$10="ежеквартальное",IF(F494&gt;'депозитный калькулятор'!$D$8," ",IF(AND(EOMONTH(F494,0)=F494,OR(MONTH(F494)=3,MONTH(F494)=6,MONTH(F494)=9,MONTH(F494)=12)),IF(EDATE(F494,-3)&lt;'депозитный калькулятор'!$D$7,SUM($H$23:H494),IF(MOD(YEAR(F494),4)=0,IF(AND(EOMONTH(F494,0)=F494,OR(MONTH(F494)=3,MONTH(F494)=6)),SUM(OFFSET(H494,-90,0):H494),IF(AND(EOMONTH(F494,0)=F494,OR(MONTH(F494)=9,MONTH(F494)=12)),SUM(OFFSET(H494,-91,0):H494))),IF(AND(EOMONTH(F494,0)=F494,MONTH(F494)=3),SUM(OFFSET(H494,-89,0):H494),IF(AND(EOMONTH(F494,0)=F494,MONTH(F494)=6),SUM(OFFSET(H494,-90,0):H494),IF(AND(EOMONTH(F494,0)=F494,OR(MONTH(F494)=9,MONTH(F494)=12)),SUM(OFFSET(H494,-91,0):H494)))))),IF(F494='депозитный калькулятор'!$D$8,SUM($H$23:H494)-SUM($I$23:I493),0))),IF('депозитный калькулятор'!$G$10="ежегодное",IF(F494&gt;'депозитный калькулятор'!$D$8," ",IF(F494='депозитный калькулятор'!$D$8,SUM($H$23:H494)-SUM($I$23:I493),IF(AND(EOMONTH(F494,0)=F494,MONTH(F494)=12),IF(MOD(YEAR(F493),4)=0,IF(F494-'депозитный калькулятор'!$D$7&lt;366,SUM($H$23:H494),SUM(OFFSET(H494,-365,0):H494)),IF(F494-'депозитный калькулятор'!$D$7&lt;365,SUM($H$23:H494),SUM(OFFSET(H494,-364,0):H494))),0))),IF(AND('депозитный калькулятор'!$G$10="в конце срока",'депозитный калькулятор'!$D$8=F494),SUM($H$23:H494),0))))))))))))))))))</f>
        <v xml:space="preserve"> </v>
      </c>
      <c r="J494" s="59" t="str">
        <f>IF(F494&gt;'депозитный калькулятор'!$D$8," ",IF('депозитный калькулятор'!$G$16="нет",0,IF(AND('депозитный калькулятор'!$G$17="разовая (в конце срока)",F494='депозитный калькулятор'!$D$8),'депозитный калькулятор'!$G$18,IF(AND('депозитный калькулятор'!$G$17="ежемесячная",EOMONTH(F493,0)=F493),'депозитный калькулятор'!$G$18,IF(AND('депозитный калькулятор'!$G$17="ежегодная",DAY(F493)=31,MONTH(F493)=12),'депозитный калькулятор'!$G$18,IF(AND('депозитный калькулятор'!$G$17="ежемесячная в зависимости от остатка",EOMONTH(F493,0)=F493,P493&gt;0),'депозитный калькулятор'!$G$18,IF(AND('депозитный калькулятор'!$G$17="ежегодная в зависимости от остатка",DAY(F493)=31,MONTH(F493)=12,P493&gt;0),'депозитный калькулятор'!$G$18,0)))))))</f>
        <v xml:space="preserve"> </v>
      </c>
      <c r="K494" s="135" t="str">
        <f>IF($F494=" "," ",IFERROR(VLOOKUP($F494,'депозитный калькулятор'!$B$26:$F$70,2,0),0))</f>
        <v xml:space="preserve"> </v>
      </c>
      <c r="L494" s="135" t="str">
        <f>IF($F494=" "," ",IFERROR(VLOOKUP($F494,'депозитный калькулятор'!$B$26:$F$70,3,0),0))</f>
        <v xml:space="preserve"> </v>
      </c>
      <c r="M494" s="135" t="str">
        <f>IF($F494=" "," ",IFERROR(VLOOKUP($F494,'депозитный калькулятор'!$B$26:$F$70,4,0),0))</f>
        <v xml:space="preserve"> </v>
      </c>
      <c r="N494" s="135" t="str">
        <f>IF($F494=" "," ",IFERROR(VLOOKUP($F494,'депозитный калькулятор'!$B$26:$F$70,5,0),0))</f>
        <v xml:space="preserve"> </v>
      </c>
      <c r="O494" s="146" t="str">
        <f>IF(F494&gt;'депозитный калькулятор'!$D$8," ",IF(F494='депозитный калькулятор'!$D$8,IF(AND($F$24='депозитный калькулятор'!$D$8,'депозитный калькулятор'!$G$13="нет"),-G494-IF(I494=" ",0,I494)-IF(AND(OR('депозитный калькулятор'!$G$7="30/365",'депозитный калькулятор'!$G$7="30/360"),'депозитный калькулятор'!$G$10="в начале срока"),I493,0)-L494+M494-N494,-G494-IF(I494=" ",0,I494)-L494+M494-N494),IF('депозитный калькулятор'!$G$13="есть",M494-N494+IF('депозитный калькулятор'!$G$14="есть",0,-L494),-IF(I494=" ",0,I494)-IF(AND(OR('депозитный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срока"),I493,0)+M494-N494+IF('депозитный калькулятор'!$G$14="есть",0,-L494))))</f>
        <v xml:space="preserve"> </v>
      </c>
      <c r="P494" s="147" t="str">
        <f>IF(F494&gt;'депозитный калькулятор'!$D$8," ",IF(EOMONTH(F493,0)=F493,0,IF(G494&gt;='депозитный калькулятор'!$G$19,P493,P493+1)))</f>
        <v xml:space="preserve"> </v>
      </c>
      <c r="Q494" s="138" t="str">
        <f>IF(F494=" "," ",IF(AND(OR('депозитный калькулятор'!$G$7="30/365",'депозитный калькулятор'!$G$7="30/360"),AND(MONTH(F494)=2,EOMONTH(F494,0)=F494)),IF(DAY(F494)=28,3,2),1)*IF(G494&gt;='депозитный калькулятор'!$G$11,IF(AND('депозитный калькулятор'!$G$7="факт/факт",MOD(YEAR(F494),4)=0),G494*'депозитный калькулятор'!$D$11/366,G494*'депозитный калькулятор'!$G$8),0))</f>
        <v xml:space="preserve"> </v>
      </c>
      <c r="R494" s="158"/>
      <c r="S494" s="62" t="str">
        <f t="shared" ca="1" si="37"/>
        <v xml:space="preserve"> </v>
      </c>
      <c r="T494" s="149" t="str">
        <f ca="1">IF(S494=" "," ",IF('депозитный калькулятор'!$G$7="30/360",DAYS360(U493,IF(DAY(U494)=31,U494-1,U494))+IF(AND(MONTH(U494)=2,U494=EOMONTH(U494,0)),30-DAY(EOMONTH(U494,0)))+T493,VLOOKUP(S494,$C$22:$F$1023,2,0)))</f>
        <v xml:space="preserve"> </v>
      </c>
      <c r="U494" s="64" t="str">
        <f t="shared" ca="1" si="35"/>
        <v xml:space="preserve"> </v>
      </c>
      <c r="V494" s="150" t="str">
        <f t="shared" ca="1" si="38"/>
        <v xml:space="preserve"> </v>
      </c>
      <c r="W494" s="62" t="str">
        <f t="shared" ca="1" si="39"/>
        <v xml:space="preserve"> </v>
      </c>
      <c r="X494" s="141" t="str">
        <f ca="1">IF(S494=" "," ",IFERROR(VLOOKUP(U494,$F$23:$N$1023,7)+VLOOKUP(U494,$F$23:$N$1023,9)+IF(AND('депозитный калькулятор'!$G$13="нет",U494&lt;&gt;'депозитный калькулятор'!$D$8),VLOOKUP(U494,$F$23:$N$1023,4),0),0)+IF(U494='депозитный калькулятор'!$D$8,VLOOKUP(U494,$F$23:$N$1023,2)+VLOOKUP(U494,$F$23:$N$1023,4),0))</f>
        <v xml:space="preserve"> </v>
      </c>
      <c r="Y494" s="142" t="str">
        <f ca="1">IF(S494=" "," ",W494/(1+'депозитный калькулятор'!$K$8)^(T494/IF('депозитный калькулятор'!$G$7="30/360",360,365)))</f>
        <v xml:space="preserve"> </v>
      </c>
      <c r="Z494" s="142" t="str">
        <f ca="1">IF(S494=" "," ",X494/(1+'депозитный калькулятор'!$K$8)^(T494/IF('депозитный калькулятор'!$G$7="30/360",360,365)))</f>
        <v xml:space="preserve"> </v>
      </c>
      <c r="AA494" s="151"/>
      <c r="AB494" s="151"/>
      <c r="AC494" s="155"/>
      <c r="AD494" s="155"/>
    </row>
    <row r="495" spans="1:30" s="2" customFormat="1" ht="15.5" x14ac:dyDescent="0.35">
      <c r="A495" s="41" t="str">
        <f>IF(F495=" "," ",IF(OR('депозитный калькулятор'!$G$7="30/365",'депозитный калькулятор'!$G$7="30/360"),IF(AND(MONTH(F495)=2,DAY(F495)=DAY(EOMONTH(F495,0))),30-DAY(EOMONTH(F495,0)),IF(DAY(F495)=31,1," "))," "))</f>
        <v xml:space="preserve"> </v>
      </c>
      <c r="B495" s="130" t="str">
        <f t="shared" si="36"/>
        <v xml:space="preserve"> </v>
      </c>
      <c r="C495" s="130" t="str">
        <f>IF(OR(B495=0,B495=" ")," ",SUM($B$23:B495))</f>
        <v xml:space="preserve"> </v>
      </c>
      <c r="D495" s="62" t="str">
        <f>IF(D494=" "," ",IF(OR(F494='депозитный калькулятор'!$D$8,F494=" ")," ",D494+1))</f>
        <v xml:space="preserve"> </v>
      </c>
      <c r="E495" s="130" t="str">
        <f>IF(OR(F494='депозитный калькулятор'!$D$8,F494=" ")," ",IF(EOMONTH(F494,0)=F494,1,E494+1))</f>
        <v xml:space="preserve"> </v>
      </c>
      <c r="F495" s="64" t="str">
        <f>IF(F494=" "," ",IF(F494='депозитный калькулятор'!$D$8," ",F494+1))</f>
        <v xml:space="preserve"> </v>
      </c>
      <c r="G495" s="145" t="str">
        <f xml:space="preserve"> IF(F495&gt;'депозитный калькулятор'!$D$8," ",IF('депозитный калькулятор'!$G$13="есть",IF('депозитный калькулятор'!$G$14="есть",G494+IF(I494=" ",0,I494)-J495-K495+L495+M495-N495,G494+IF(I494=" ",0,I494)-J495-K495+M495-N495),IF('депозитный калькулятор'!$G$14="есть",G494-J495-K495+L495+M495-N495,G494-J495-K495+M495-N495)))</f>
        <v xml:space="preserve"> </v>
      </c>
      <c r="H495" s="133" t="str">
        <f>IF(F495&gt;'депозитный калькулятор'!$D$8," ",IF(AND(OR('депозитный калькулятор'!$G$7="30/365",'депозитный калькулятор'!$G$7="30/360"),AND(MONTH(F495)=2,EOMONTH(F495,0)=F495)),IF(DAY(F495)=28,3*G495*'депозитный калькулятор'!$G$8,2*G495*'депозитный калькулятор'!$G$8),IF(AND(OR('депозитный калькулятор'!$G$7="30/365",'депозитный калькулятор'!$G$7="30/360"),DAY(F495)=31)," ",IF(AND('депозитный калькулятор'!$G$7="факт/факт",MOD(YEAR(F495),4)=0),G495*'депозитный калькулятор'!$D$11/366,G495*'депозитный калькулятор'!$G$8))))</f>
        <v xml:space="preserve"> </v>
      </c>
      <c r="I495" s="134" t="str">
        <f ca="1">IF(F495=" "," ",IF('депозитный калькулятор'!$G$10="ежедневное",H495,IF(AND('депозитный калькулятор'!$G$10="еженедельное",WEEKDAY(F495,2)=7),SUM(OFFSET(H495,-6,0):H495),IF(AND('депозитный калькулятор'!$G$10="еженедельное",F495='депозитный калькулятор'!$D$8),SUM($H$23:H495)-SUM($I$23:I494),IF(AND('депозитный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недели",WEEKDAY(F495,2)=7),MIN(OFFSET(H495,-6,0):H495)*(COUNTIF(OFFSET(H495,-6,0):H495,"&gt;0")+SUMIF(OFFSET(A495,-WEEKDAY(F495,2),0):A495,"=2",OFFSET(A495,-WEEKDAY(F495,2),0):A495)),IF(AND('депозитный калькулятор'!$G$10="еженедельное, на минимальную сумму зафиксированную в течение недели",F495='депозитный калькулятор'!$D$8,WEEKDAY(F495,2)&lt;&gt;7),MIN(OFFSET(H495,-WEEKDAY(F495,2),0):H495)*(COUNTIF(OFFSET(H495,-WEEKDAY(F495,2)+1,0):H495,"&gt;0")+SUM(OFFSET(A495,-WEEKDAY(F495,2),0):A495)),IF(AND('депозитный калькулятор'!$G$10="ежемесячное (в конце месяца)",F495='депозитный калькулятор'!$D$8,EOMONTH(F495,0)&lt;&gt;F495),IF('депозитный калькулятор'!$F$1=1,$H$24,SUM($H$23:H495)-SUM($I$23:I494)),IF(AND('депозитный калькулятор'!$G$10="ежемесячное (в конце месяца)",EOMONTH(F495,0)=F495),SUM($H$23:H495)-SUM($I$23:I494),IF(AND('депозитный калькулятор'!$G$10="ежемесячное (по дням открытия вклада)",F495='депозитный калькулятор'!$D$8,DAY('депозитный калькулятор'!$D$7)&lt;&gt;DAY(F495)),IF('депозитный калькулятор'!$F$1=1,$H$24,SUM($H$23:H495)-SUM($I$23:I494)),IF(AND('депозитный калькулятор'!$G$10="ежемесячное (по дням открытия вклада)",DAY('депозитный калькулятор'!$D$7)=DAY(F495)),SUM($H$23:H495)-SUM($I$23:I494),IF(AND('депозитный калькулятор'!$G$10="ежемесячное, на минимальную сумму зафиксированную в течение месяца",F495='депозитный калькулятор'!$D$8,EOMONTH(F495,0)&lt;&gt;F495),IF('депозитный калькулятор'!$F$1=1,$H$24,IF(AND(OR('депозитный калькулятор'!$G$7="30/365",'депозитный калькулятор'!$G$7="30/360"),DAY(F495)=31),0,MIN(OFFSET(H495,-E495+1,0):H495)*(E495+SUMIF(OFFSET(A495,-E495+1,0):A495,"=2",OFFSET(A495,-E495+1,0):A495)))),IF(AND('депозитный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калькулятор'!$G$7="30/360"),DAY(EOMONTH(F495,0))=31),EOMONTH(F495,0)-1=F495,EOMONTH(F495,0)=F495)),IF(IF(AND(OR('депозитный калькулятор'!$G$7="30/365",'депозитный калькулятор'!$G$7="30/360"),DAY(EOMONTH($F$23,0))=31),F495=EOMONTH($F$23,0)-1,F495=EOMONTH($F$23,0)),MIN(OFFSET(H495,-(DAY(F495)-DAY($F$23)),0):H495)*E495,MIN(OFFSET(H495,-(DAY(F495)-1),0):H495)*IF(AND(OR('депозитный калькулятор'!$G$7="30/365",'депозитный калькулятор'!$G$7="30/360"),DAY(F495)&lt;30),30,DAY(F495))),IF(AND('депозитный калькулятор'!$G$10="ежемесячное, на средний остаток в течение месяца, при условии что остаток больше чем ограничение",F495='депозитный калькулятор'!$D$8,EOMONTH(F495,0)&lt;&gt;F495),IF('депозитный калькулятор'!$F$1=1,$H$24,SUM(OFFSET(Q495,-E495+1,0):Q495)),IF(AND('депозитный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калькулятор'!$G$7="30/360"),DAY(EOMONTH(F495,0))=31),EOMONTH(F495,0)-1=F495,EOMONTH(F495,0)=F495)),IF(IF(AND(OR('депозитный калькулятор'!$G$7="30/365",'депозитный калькулятор'!$G$7="30/360"),DAY(EOMONTH($F$24,0))=31),F495=EOMONTH($F$24,0)-1,F495=EOMONTH($F$24,0)),SUM(OFFSET(Q495,-E495+1,0):Q495),SUM(OFFSET(Q495,-E495+1,0):Q495)),IF('депозитный калькулятор'!$G$10="ежеквартальное",IF(F495&gt;'депозитный калькулятор'!$D$8," ",IF(AND(EOMONTH(F495,0)=F495,OR(MONTH(F495)=3,MONTH(F495)=6,MONTH(F495)=9,MONTH(F495)=12)),IF(EDATE(F495,-3)&lt;'депозитный калькулятор'!$D$7,SUM($H$23:H495),IF(MOD(YEAR(F495),4)=0,IF(AND(EOMONTH(F495,0)=F495,OR(MONTH(F495)=3,MONTH(F495)=6)),SUM(OFFSET(H495,-90,0):H495),IF(AND(EOMONTH(F495,0)=F495,OR(MONTH(F495)=9,MONTH(F495)=12)),SUM(OFFSET(H495,-91,0):H495))),IF(AND(EOMONTH(F495,0)=F495,MONTH(F495)=3),SUM(OFFSET(H495,-89,0):H495),IF(AND(EOMONTH(F495,0)=F495,MONTH(F495)=6),SUM(OFFSET(H495,-90,0):H495),IF(AND(EOMONTH(F495,0)=F495,OR(MONTH(F495)=9,MONTH(F495)=12)),SUM(OFFSET(H495,-91,0):H495)))))),IF(F495='депозитный калькулятор'!$D$8,SUM($H$23:H495)-SUM($I$23:I494),0))),IF('депозитный калькулятор'!$G$10="ежегодное",IF(F495&gt;'депозитный калькулятор'!$D$8," ",IF(F495='депозитный калькулятор'!$D$8,SUM($H$23:H495)-SUM($I$23:I494),IF(AND(EOMONTH(F495,0)=F495,MONTH(F495)=12),IF(MOD(YEAR(F494),4)=0,IF(F495-'депозитный калькулятор'!$D$7&lt;366,SUM($H$23:H495),SUM(OFFSET(H495,-365,0):H495)),IF(F495-'депозитный калькулятор'!$D$7&lt;365,SUM($H$23:H495),SUM(OFFSET(H495,-364,0):H495))),0))),IF(AND('депозитный калькулятор'!$G$10="в конце срока",'депозитный калькулятор'!$D$8=F495),SUM($H$23:H495),0))))))))))))))))))</f>
        <v xml:space="preserve"> </v>
      </c>
      <c r="J495" s="59" t="str">
        <f>IF(F495&gt;'депозитный калькулятор'!$D$8," ",IF('депозитный калькулятор'!$G$16="нет",0,IF(AND('депозитный калькулятор'!$G$17="разовая (в конце срока)",F495='депозитный калькулятор'!$D$8),'депозитный калькулятор'!$G$18,IF(AND('депозитный калькулятор'!$G$17="ежемесячная",EOMONTH(F494,0)=F494),'депозитный калькулятор'!$G$18,IF(AND('депозитный калькулятор'!$G$17="ежегодная",DAY(F494)=31,MONTH(F494)=12),'депозитный калькулятор'!$G$18,IF(AND('депозитный калькулятор'!$G$17="ежемесячная в зависимости от остатка",EOMONTH(F494,0)=F494,P494&gt;0),'депозитный калькулятор'!$G$18,IF(AND('депозитный калькулятор'!$G$17="ежегодная в зависимости от остатка",DAY(F494)=31,MONTH(F494)=12,P494&gt;0),'депозитный калькулятор'!$G$18,0)))))))</f>
        <v xml:space="preserve"> </v>
      </c>
      <c r="K495" s="135" t="str">
        <f>IF($F495=" "," ",IFERROR(VLOOKUP($F495,'депозитный калькулятор'!$B$26:$F$70,2,0),0))</f>
        <v xml:space="preserve"> </v>
      </c>
      <c r="L495" s="135" t="str">
        <f>IF($F495=" "," ",IFERROR(VLOOKUP($F495,'депозитный калькулятор'!$B$26:$F$70,3,0),0))</f>
        <v xml:space="preserve"> </v>
      </c>
      <c r="M495" s="135" t="str">
        <f>IF($F495=" "," ",IFERROR(VLOOKUP($F495,'депозитный калькулятор'!$B$26:$F$70,4,0),0))</f>
        <v xml:space="preserve"> </v>
      </c>
      <c r="N495" s="135" t="str">
        <f>IF($F495=" "," ",IFERROR(VLOOKUP($F495,'депозитный калькулятор'!$B$26:$F$70,5,0),0))</f>
        <v xml:space="preserve"> </v>
      </c>
      <c r="O495" s="146" t="str">
        <f>IF(F495&gt;'депозитный калькулятор'!$D$8," ",IF(F495='депозитный калькулятор'!$D$8,IF(AND($F$24='депозитный калькулятор'!$D$8,'депозитный калькулятор'!$G$13="нет"),-G495-IF(I495=" ",0,I495)-IF(AND(OR('депозитный калькулятор'!$G$7="30/365",'депозитный калькулятор'!$G$7="30/360"),'депозитный калькулятор'!$G$10="в начале срока"),I494,0)-L495+M495-N495,-G495-IF(I495=" ",0,I495)-L495+M495-N495),IF('депозитный калькулятор'!$G$13="есть",M495-N495+IF('депозитный калькулятор'!$G$14="есть",0,-L495),-IF(I495=" ",0,I495)-IF(AND(OR('депозитный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срока"),I494,0)+M495-N495+IF('депозитный калькулятор'!$G$14="есть",0,-L495))))</f>
        <v xml:space="preserve"> </v>
      </c>
      <c r="P495" s="147" t="str">
        <f>IF(F495&gt;'депозитный калькулятор'!$D$8," ",IF(EOMONTH(F494,0)=F494,0,IF(G495&gt;='депозитный калькулятор'!$G$19,P494,P494+1)))</f>
        <v xml:space="preserve"> </v>
      </c>
      <c r="Q495" s="138" t="str">
        <f>IF(F495=" "," ",IF(AND(OR('депозитный калькулятор'!$G$7="30/365",'депозитный калькулятор'!$G$7="30/360"),AND(MONTH(F495)=2,EOMONTH(F495,0)=F495)),IF(DAY(F495)=28,3,2),1)*IF(G495&gt;='депозитный калькулятор'!$G$11,IF(AND('депозитный калькулятор'!$G$7="факт/факт",MOD(YEAR(F495),4)=0),G495*'депозитный калькулятор'!$D$11/366,G495*'депозитный калькулятор'!$G$8),0))</f>
        <v xml:space="preserve"> </v>
      </c>
      <c r="R495" s="158"/>
      <c r="S495" s="62" t="str">
        <f t="shared" ca="1" si="37"/>
        <v xml:space="preserve"> </v>
      </c>
      <c r="T495" s="149" t="str">
        <f ca="1">IF(S495=" "," ",IF('депозитный калькулятор'!$G$7="30/360",DAYS360(U494,IF(DAY(U495)=31,U495-1,U495))+IF(AND(MONTH(U495)=2,U495=EOMONTH(U495,0)),30-DAY(EOMONTH(U495,0)))+T494,VLOOKUP(S495,$C$22:$F$1023,2,0)))</f>
        <v xml:space="preserve"> </v>
      </c>
      <c r="U495" s="64" t="str">
        <f t="shared" ca="1" si="35"/>
        <v xml:space="preserve"> </v>
      </c>
      <c r="V495" s="150" t="str">
        <f t="shared" ca="1" si="38"/>
        <v xml:space="preserve"> </v>
      </c>
      <c r="W495" s="62" t="str">
        <f t="shared" ca="1" si="39"/>
        <v xml:space="preserve"> </v>
      </c>
      <c r="X495" s="141" t="str">
        <f ca="1">IF(S495=" "," ",IFERROR(VLOOKUP(U495,$F$23:$N$1023,7)+VLOOKUP(U495,$F$23:$N$1023,9)+IF(AND('депозитный калькулятор'!$G$13="нет",U495&lt;&gt;'депозитный калькулятор'!$D$8),VLOOKUP(U495,$F$23:$N$1023,4),0),0)+IF(U495='депозитный калькулятор'!$D$8,VLOOKUP(U495,$F$23:$N$1023,2)+VLOOKUP(U495,$F$23:$N$1023,4),0))</f>
        <v xml:space="preserve"> </v>
      </c>
      <c r="Y495" s="142" t="str">
        <f ca="1">IF(S495=" "," ",W495/(1+'депозитный калькулятор'!$K$8)^(T495/IF('депозитный калькулятор'!$G$7="30/360",360,365)))</f>
        <v xml:space="preserve"> </v>
      </c>
      <c r="Z495" s="142" t="str">
        <f ca="1">IF(S495=" "," ",X495/(1+'депозитный калькулятор'!$K$8)^(T495/IF('депозитный калькулятор'!$G$7="30/360",360,365)))</f>
        <v xml:space="preserve"> </v>
      </c>
      <c r="AA495" s="151"/>
      <c r="AB495" s="151"/>
      <c r="AC495" s="155"/>
      <c r="AD495" s="155"/>
    </row>
    <row r="496" spans="1:30" s="2" customFormat="1" ht="15.5" x14ac:dyDescent="0.35">
      <c r="A496" s="41" t="str">
        <f>IF(F496=" "," ",IF(OR('депозитный калькулятор'!$G$7="30/365",'депозитный калькулятор'!$G$7="30/360"),IF(AND(MONTH(F496)=2,DAY(F496)=DAY(EOMONTH(F496,0))),30-DAY(EOMONTH(F496,0)),IF(DAY(F496)=31,1," "))," "))</f>
        <v xml:space="preserve"> </v>
      </c>
      <c r="B496" s="130" t="str">
        <f t="shared" si="36"/>
        <v xml:space="preserve"> </v>
      </c>
      <c r="C496" s="130" t="str">
        <f>IF(OR(B496=0,B496=" ")," ",SUM($B$23:B496))</f>
        <v xml:space="preserve"> </v>
      </c>
      <c r="D496" s="62" t="str">
        <f>IF(D495=" "," ",IF(OR(F495='депозитный калькулятор'!$D$8,F495=" ")," ",D495+1))</f>
        <v xml:space="preserve"> </v>
      </c>
      <c r="E496" s="130" t="str">
        <f>IF(OR(F495='депозитный калькулятор'!$D$8,F495=" ")," ",IF(EOMONTH(F495,0)=F495,1,E495+1))</f>
        <v xml:space="preserve"> </v>
      </c>
      <c r="F496" s="64" t="str">
        <f>IF(F495=" "," ",IF(F495='депозитный калькулятор'!$D$8," ",F495+1))</f>
        <v xml:space="preserve"> </v>
      </c>
      <c r="G496" s="145" t="str">
        <f xml:space="preserve"> IF(F496&gt;'депозитный калькулятор'!$D$8," ",IF('депозитный калькулятор'!$G$13="есть",IF('депозитный калькулятор'!$G$14="есть",G495+IF(I495=" ",0,I495)-J496-K496+L496+M496-N496,G495+IF(I495=" ",0,I495)-J496-K496+M496-N496),IF('депозитный калькулятор'!$G$14="есть",G495-J496-K496+L496+M496-N496,G495-J496-K496+M496-N496)))</f>
        <v xml:space="preserve"> </v>
      </c>
      <c r="H496" s="133" t="str">
        <f>IF(F496&gt;'депозитный калькулятор'!$D$8," ",IF(AND(OR('депозитный калькулятор'!$G$7="30/365",'депозитный калькулятор'!$G$7="30/360"),AND(MONTH(F496)=2,EOMONTH(F496,0)=F496)),IF(DAY(F496)=28,3*G496*'депозитный калькулятор'!$G$8,2*G496*'депозитный калькулятор'!$G$8),IF(AND(OR('депозитный калькулятор'!$G$7="30/365",'депозитный калькулятор'!$G$7="30/360"),DAY(F496)=31)," ",IF(AND('депозитный калькулятор'!$G$7="факт/факт",MOD(YEAR(F496),4)=0),G496*'депозитный калькулятор'!$D$11/366,G496*'депозитный калькулятор'!$G$8))))</f>
        <v xml:space="preserve"> </v>
      </c>
      <c r="I496" s="134" t="str">
        <f ca="1">IF(F496=" "," ",IF('депозитный калькулятор'!$G$10="ежедневное",H496,IF(AND('депозитный калькулятор'!$G$10="еженедельное",WEEKDAY(F496,2)=7),SUM(OFFSET(H496,-6,0):H496),IF(AND('депозитный калькулятор'!$G$10="еженедельное",F496='депозитный калькулятор'!$D$8),SUM($H$23:H496)-SUM($I$23:I495),IF(AND('депозитный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недели",WEEKDAY(F496,2)=7),MIN(OFFSET(H496,-6,0):H496)*(COUNTIF(OFFSET(H496,-6,0):H496,"&gt;0")+SUMIF(OFFSET(A496,-WEEKDAY(F496,2),0):A496,"=2",OFFSET(A496,-WEEKDAY(F496,2),0):A496)),IF(AND('депозитный калькулятор'!$G$10="еженедельное, на минимальную сумму зафиксированную в течение недели",F496='депозитный калькулятор'!$D$8,WEEKDAY(F496,2)&lt;&gt;7),MIN(OFFSET(H496,-WEEKDAY(F496,2),0):H496)*(COUNTIF(OFFSET(H496,-WEEKDAY(F496,2)+1,0):H496,"&gt;0")+SUM(OFFSET(A496,-WEEKDAY(F496,2),0):A496)),IF(AND('депозитный калькулятор'!$G$10="ежемесячное (в конце месяца)",F496='депозитный калькулятор'!$D$8,EOMONTH(F496,0)&lt;&gt;F496),IF('депозитный калькулятор'!$F$1=1,$H$24,SUM($H$23:H496)-SUM($I$23:I495)),IF(AND('депозитный калькулятор'!$G$10="ежемесячное (в конце месяца)",EOMONTH(F496,0)=F496),SUM($H$23:H496)-SUM($I$23:I495),IF(AND('депозитный калькулятор'!$G$10="ежемесячное (по дням открытия вклада)",F496='депозитный калькулятор'!$D$8,DAY('депозитный калькулятор'!$D$7)&lt;&gt;DAY(F496)),IF('депозитный калькулятор'!$F$1=1,$H$24,SUM($H$23:H496)-SUM($I$23:I495)),IF(AND('депозитный калькулятор'!$G$10="ежемесячное (по дням открытия вклада)",DAY('депозитный калькулятор'!$D$7)=DAY(F496)),SUM($H$23:H496)-SUM($I$23:I495),IF(AND('депозитный калькулятор'!$G$10="ежемесячное, на минимальную сумму зафиксированную в течение месяца",F496='депозитный калькулятор'!$D$8,EOMONTH(F496,0)&lt;&gt;F496),IF('депозитный калькулятор'!$F$1=1,$H$24,IF(AND(OR('депозитный калькулятор'!$G$7="30/365",'депозитный калькулятор'!$G$7="30/360"),DAY(F496)=31),0,MIN(OFFSET(H496,-E496+1,0):H496)*(E496+SUMIF(OFFSET(A496,-E496+1,0):A496,"=2",OFFSET(A496,-E496+1,0):A496)))),IF(AND('депозитный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калькулятор'!$G$7="30/360"),DAY(EOMONTH(F496,0))=31),EOMONTH(F496,0)-1=F496,EOMONTH(F496,0)=F496)),IF(IF(AND(OR('депозитный калькулятор'!$G$7="30/365",'депозитный калькулятор'!$G$7="30/360"),DAY(EOMONTH($F$23,0))=31),F496=EOMONTH($F$23,0)-1,F496=EOMONTH($F$23,0)),MIN(OFFSET(H496,-(DAY(F496)-DAY($F$23)),0):H496)*E496,MIN(OFFSET(H496,-(DAY(F496)-1),0):H496)*IF(AND(OR('депозитный калькулятор'!$G$7="30/365",'депозитный калькулятор'!$G$7="30/360"),DAY(F496)&lt;30),30,DAY(F496))),IF(AND('депозитный калькулятор'!$G$10="ежемесячное, на средний остаток в течение месяца, при условии что остаток больше чем ограничение",F496='депозитный калькулятор'!$D$8,EOMONTH(F496,0)&lt;&gt;F496),IF('депозитный калькулятор'!$F$1=1,$H$24,SUM(OFFSET(Q496,-E496+1,0):Q496)),IF(AND('депозитный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калькулятор'!$G$7="30/360"),DAY(EOMONTH(F496,0))=31),EOMONTH(F496,0)-1=F496,EOMONTH(F496,0)=F496)),IF(IF(AND(OR('депозитный калькулятор'!$G$7="30/365",'депозитный калькулятор'!$G$7="30/360"),DAY(EOMONTH($F$24,0))=31),F496=EOMONTH($F$24,0)-1,F496=EOMONTH($F$24,0)),SUM(OFFSET(Q496,-E496+1,0):Q496),SUM(OFFSET(Q496,-E496+1,0):Q496)),IF('депозитный калькулятор'!$G$10="ежеквартальное",IF(F496&gt;'депозитный калькулятор'!$D$8," ",IF(AND(EOMONTH(F496,0)=F496,OR(MONTH(F496)=3,MONTH(F496)=6,MONTH(F496)=9,MONTH(F496)=12)),IF(EDATE(F496,-3)&lt;'депозитный калькулятор'!$D$7,SUM($H$23:H496),IF(MOD(YEAR(F496),4)=0,IF(AND(EOMONTH(F496,0)=F496,OR(MONTH(F496)=3,MONTH(F496)=6)),SUM(OFFSET(H496,-90,0):H496),IF(AND(EOMONTH(F496,0)=F496,OR(MONTH(F496)=9,MONTH(F496)=12)),SUM(OFFSET(H496,-91,0):H496))),IF(AND(EOMONTH(F496,0)=F496,MONTH(F496)=3),SUM(OFFSET(H496,-89,0):H496),IF(AND(EOMONTH(F496,0)=F496,MONTH(F496)=6),SUM(OFFSET(H496,-90,0):H496),IF(AND(EOMONTH(F496,0)=F496,OR(MONTH(F496)=9,MONTH(F496)=12)),SUM(OFFSET(H496,-91,0):H496)))))),IF(F496='депозитный калькулятор'!$D$8,SUM($H$23:H496)-SUM($I$23:I495),0))),IF('депозитный калькулятор'!$G$10="ежегодное",IF(F496&gt;'депозитный калькулятор'!$D$8," ",IF(F496='депозитный калькулятор'!$D$8,SUM($H$23:H496)-SUM($I$23:I495),IF(AND(EOMONTH(F496,0)=F496,MONTH(F496)=12),IF(MOD(YEAR(F495),4)=0,IF(F496-'депозитный калькулятор'!$D$7&lt;366,SUM($H$23:H496),SUM(OFFSET(H496,-365,0):H496)),IF(F496-'депозитный калькулятор'!$D$7&lt;365,SUM($H$23:H496),SUM(OFFSET(H496,-364,0):H496))),0))),IF(AND('депозитный калькулятор'!$G$10="в конце срока",'депозитный калькулятор'!$D$8=F496),SUM($H$23:H496),0))))))))))))))))))</f>
        <v xml:space="preserve"> </v>
      </c>
      <c r="J496" s="59" t="str">
        <f>IF(F496&gt;'депозитный калькулятор'!$D$8," ",IF('депозитный калькулятор'!$G$16="нет",0,IF(AND('депозитный калькулятор'!$G$17="разовая (в конце срока)",F496='депозитный калькулятор'!$D$8),'депозитный калькулятор'!$G$18,IF(AND('депозитный калькулятор'!$G$17="ежемесячная",EOMONTH(F495,0)=F495),'депозитный калькулятор'!$G$18,IF(AND('депозитный калькулятор'!$G$17="ежегодная",DAY(F495)=31,MONTH(F495)=12),'депозитный калькулятор'!$G$18,IF(AND('депозитный калькулятор'!$G$17="ежемесячная в зависимости от остатка",EOMONTH(F495,0)=F495,P495&gt;0),'депозитный калькулятор'!$G$18,IF(AND('депозитный калькулятор'!$G$17="ежегодная в зависимости от остатка",DAY(F495)=31,MONTH(F495)=12,P495&gt;0),'депозитный калькулятор'!$G$18,0)))))))</f>
        <v xml:space="preserve"> </v>
      </c>
      <c r="K496" s="135" t="str">
        <f>IF($F496=" "," ",IFERROR(VLOOKUP($F496,'депозитный калькулятор'!$B$26:$F$70,2,0),0))</f>
        <v xml:space="preserve"> </v>
      </c>
      <c r="L496" s="135" t="str">
        <f>IF($F496=" "," ",IFERROR(VLOOKUP($F496,'депозитный калькулятор'!$B$26:$F$70,3,0),0))</f>
        <v xml:space="preserve"> </v>
      </c>
      <c r="M496" s="135" t="str">
        <f>IF($F496=" "," ",IFERROR(VLOOKUP($F496,'депозитный калькулятор'!$B$26:$F$70,4,0),0))</f>
        <v xml:space="preserve"> </v>
      </c>
      <c r="N496" s="135" t="str">
        <f>IF($F496=" "," ",IFERROR(VLOOKUP($F496,'депозитный калькулятор'!$B$26:$F$70,5,0),0))</f>
        <v xml:space="preserve"> </v>
      </c>
      <c r="O496" s="146" t="str">
        <f>IF(F496&gt;'депозитный калькулятор'!$D$8," ",IF(F496='депозитный калькулятор'!$D$8,IF(AND($F$24='депозитный калькулятор'!$D$8,'депозитный калькулятор'!$G$13="нет"),-G496-IF(I496=" ",0,I496)-IF(AND(OR('депозитный калькулятор'!$G$7="30/365",'депозитный калькулятор'!$G$7="30/360"),'депозитный калькулятор'!$G$10="в начале срока"),I495,0)-L496+M496-N496,-G496-IF(I496=" ",0,I496)-L496+M496-N496),IF('депозитный калькулятор'!$G$13="есть",M496-N496+IF('депозитный калькулятор'!$G$14="есть",0,-L496),-IF(I496=" ",0,I496)-IF(AND(OR('депозитный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срока"),I495,0)+M496-N496+IF('депозитный калькулятор'!$G$14="есть",0,-L496))))</f>
        <v xml:space="preserve"> </v>
      </c>
      <c r="P496" s="147" t="str">
        <f>IF(F496&gt;'депозитный калькулятор'!$D$8," ",IF(EOMONTH(F495,0)=F495,0,IF(G496&gt;='депозитный калькулятор'!$G$19,P495,P495+1)))</f>
        <v xml:space="preserve"> </v>
      </c>
      <c r="Q496" s="138" t="str">
        <f>IF(F496=" "," ",IF(AND(OR('депозитный калькулятор'!$G$7="30/365",'депозитный калькулятор'!$G$7="30/360"),AND(MONTH(F496)=2,EOMONTH(F496,0)=F496)),IF(DAY(F496)=28,3,2),1)*IF(G496&gt;='депозитный калькулятор'!$G$11,IF(AND('депозитный калькулятор'!$G$7="факт/факт",MOD(YEAR(F496),4)=0),G496*'депозитный калькулятор'!$D$11/366,G496*'депозитный калькулятор'!$G$8),0))</f>
        <v xml:space="preserve"> </v>
      </c>
      <c r="R496" s="158"/>
      <c r="S496" s="62" t="str">
        <f t="shared" ca="1" si="37"/>
        <v xml:space="preserve"> </v>
      </c>
      <c r="T496" s="149" t="str">
        <f ca="1">IF(S496=" "," ",IF('депозитный калькулятор'!$G$7="30/360",DAYS360(U495,IF(DAY(U496)=31,U496-1,U496))+IF(AND(MONTH(U496)=2,U496=EOMONTH(U496,0)),30-DAY(EOMONTH(U496,0)))+T495,VLOOKUP(S496,$C$22:$F$1023,2,0)))</f>
        <v xml:space="preserve"> </v>
      </c>
      <c r="U496" s="64" t="str">
        <f t="shared" ca="1" si="35"/>
        <v xml:space="preserve"> </v>
      </c>
      <c r="V496" s="150" t="str">
        <f t="shared" ca="1" si="38"/>
        <v xml:space="preserve"> </v>
      </c>
      <c r="W496" s="62" t="str">
        <f t="shared" ca="1" si="39"/>
        <v xml:space="preserve"> </v>
      </c>
      <c r="X496" s="141" t="str">
        <f ca="1">IF(S496=" "," ",IFERROR(VLOOKUP(U496,$F$23:$N$1023,7)+VLOOKUP(U496,$F$23:$N$1023,9)+IF(AND('депозитный калькулятор'!$G$13="нет",U496&lt;&gt;'депозитный калькулятор'!$D$8),VLOOKUP(U496,$F$23:$N$1023,4),0),0)+IF(U496='депозитный калькулятор'!$D$8,VLOOKUP(U496,$F$23:$N$1023,2)+VLOOKUP(U496,$F$23:$N$1023,4),0))</f>
        <v xml:space="preserve"> </v>
      </c>
      <c r="Y496" s="142" t="str">
        <f ca="1">IF(S496=" "," ",W496/(1+'депозитный калькулятор'!$K$8)^(T496/IF('депозитный калькулятор'!$G$7="30/360",360,365)))</f>
        <v xml:space="preserve"> </v>
      </c>
      <c r="Z496" s="142" t="str">
        <f ca="1">IF(S496=" "," ",X496/(1+'депозитный калькулятор'!$K$8)^(T496/IF('депозитный калькулятор'!$G$7="30/360",360,365)))</f>
        <v xml:space="preserve"> </v>
      </c>
      <c r="AA496" s="151"/>
      <c r="AB496" s="151"/>
      <c r="AC496" s="155"/>
      <c r="AD496" s="155"/>
    </row>
    <row r="497" spans="1:30" s="2" customFormat="1" ht="15.5" x14ac:dyDescent="0.35">
      <c r="A497" s="41" t="str">
        <f>IF(F497=" "," ",IF(OR('депозитный калькулятор'!$G$7="30/365",'депозитный калькулятор'!$G$7="30/360"),IF(AND(MONTH(F497)=2,DAY(F497)=DAY(EOMONTH(F497,0))),30-DAY(EOMONTH(F497,0)),IF(DAY(F497)=31,1," "))," "))</f>
        <v xml:space="preserve"> </v>
      </c>
      <c r="B497" s="130" t="str">
        <f t="shared" si="36"/>
        <v xml:space="preserve"> </v>
      </c>
      <c r="C497" s="130" t="str">
        <f>IF(OR(B497=0,B497=" ")," ",SUM($B$23:B497))</f>
        <v xml:space="preserve"> </v>
      </c>
      <c r="D497" s="62" t="str">
        <f>IF(D496=" "," ",IF(OR(F496='депозитный калькулятор'!$D$8,F496=" ")," ",D496+1))</f>
        <v xml:space="preserve"> </v>
      </c>
      <c r="E497" s="130" t="str">
        <f>IF(OR(F496='депозитный калькулятор'!$D$8,F496=" ")," ",IF(EOMONTH(F496,0)=F496,1,E496+1))</f>
        <v xml:space="preserve"> </v>
      </c>
      <c r="F497" s="64" t="str">
        <f>IF(F496=" "," ",IF(F496='депозитный калькулятор'!$D$8," ",F496+1))</f>
        <v xml:space="preserve"> </v>
      </c>
      <c r="G497" s="145" t="str">
        <f xml:space="preserve"> IF(F497&gt;'депозитный калькулятор'!$D$8," ",IF('депозитный калькулятор'!$G$13="есть",IF('депозитный калькулятор'!$G$14="есть",G496+IF(I496=" ",0,I496)-J497-K497+L497+M497-N497,G496+IF(I496=" ",0,I496)-J497-K497+M497-N497),IF('депозитный калькулятор'!$G$14="есть",G496-J497-K497+L497+M497-N497,G496-J497-K497+M497-N497)))</f>
        <v xml:space="preserve"> </v>
      </c>
      <c r="H497" s="133" t="str">
        <f>IF(F497&gt;'депозитный калькулятор'!$D$8," ",IF(AND(OR('депозитный калькулятор'!$G$7="30/365",'депозитный калькулятор'!$G$7="30/360"),AND(MONTH(F497)=2,EOMONTH(F497,0)=F497)),IF(DAY(F497)=28,3*G497*'депозитный калькулятор'!$G$8,2*G497*'депозитный калькулятор'!$G$8),IF(AND(OR('депозитный калькулятор'!$G$7="30/365",'депозитный калькулятор'!$G$7="30/360"),DAY(F497)=31)," ",IF(AND('депозитный калькулятор'!$G$7="факт/факт",MOD(YEAR(F497),4)=0),G497*'депозитный калькулятор'!$D$11/366,G497*'депозитный калькулятор'!$G$8))))</f>
        <v xml:space="preserve"> </v>
      </c>
      <c r="I497" s="134" t="str">
        <f ca="1">IF(F497=" "," ",IF('депозитный калькулятор'!$G$10="ежедневное",H497,IF(AND('депозитный калькулятор'!$G$10="еженедельное",WEEKDAY(F497,2)=7),SUM(OFFSET(H497,-6,0):H497),IF(AND('депозитный калькулятор'!$G$10="еженедельное",F497='депозитный калькулятор'!$D$8),SUM($H$23:H497)-SUM($I$23:I496),IF(AND('депозитный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недели",WEEKDAY(F497,2)=7),MIN(OFFSET(H497,-6,0):H497)*(COUNTIF(OFFSET(H497,-6,0):H497,"&gt;0")+SUMIF(OFFSET(A497,-WEEKDAY(F497,2),0):A497,"=2",OFFSET(A497,-WEEKDAY(F497,2),0):A497)),IF(AND('депозитный калькулятор'!$G$10="еженедельное, на минимальную сумму зафиксированную в течение недели",F497='депозитный калькулятор'!$D$8,WEEKDAY(F497,2)&lt;&gt;7),MIN(OFFSET(H497,-WEEKDAY(F497,2),0):H497)*(COUNTIF(OFFSET(H497,-WEEKDAY(F497,2)+1,0):H497,"&gt;0")+SUM(OFFSET(A497,-WEEKDAY(F497,2),0):A497)),IF(AND('депозитный калькулятор'!$G$10="ежемесячное (в конце месяца)",F497='депозитный калькулятор'!$D$8,EOMONTH(F497,0)&lt;&gt;F497),IF('депозитный калькулятор'!$F$1=1,$H$24,SUM($H$23:H497)-SUM($I$23:I496)),IF(AND('депозитный калькулятор'!$G$10="ежемесячное (в конце месяца)",EOMONTH(F497,0)=F497),SUM($H$23:H497)-SUM($I$23:I496),IF(AND('депозитный калькулятор'!$G$10="ежемесячное (по дням открытия вклада)",F497='депозитный калькулятор'!$D$8,DAY('депозитный калькулятор'!$D$7)&lt;&gt;DAY(F497)),IF('депозитный калькулятор'!$F$1=1,$H$24,SUM($H$23:H497)-SUM($I$23:I496)),IF(AND('депозитный калькулятор'!$G$10="ежемесячное (по дням открытия вклада)",DAY('депозитный калькулятор'!$D$7)=DAY(F497)),SUM($H$23:H497)-SUM($I$23:I496),IF(AND('депозитный калькулятор'!$G$10="ежемесячное, на минимальную сумму зафиксированную в течение месяца",F497='депозитный калькулятор'!$D$8,EOMONTH(F497,0)&lt;&gt;F497),IF('депозитный калькулятор'!$F$1=1,$H$24,IF(AND(OR('депозитный калькулятор'!$G$7="30/365",'депозитный калькулятор'!$G$7="30/360"),DAY(F497)=31),0,MIN(OFFSET(H497,-E497+1,0):H497)*(E497+SUMIF(OFFSET(A497,-E497+1,0):A497,"=2",OFFSET(A497,-E497+1,0):A497)))),IF(AND('депозитный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калькулятор'!$G$7="30/360"),DAY(EOMONTH(F497,0))=31),EOMONTH(F497,0)-1=F497,EOMONTH(F497,0)=F497)),IF(IF(AND(OR('депозитный калькулятор'!$G$7="30/365",'депозитный калькулятор'!$G$7="30/360"),DAY(EOMONTH($F$23,0))=31),F497=EOMONTH($F$23,0)-1,F497=EOMONTH($F$23,0)),MIN(OFFSET(H497,-(DAY(F497)-DAY($F$23)),0):H497)*E497,MIN(OFFSET(H497,-(DAY(F497)-1),0):H497)*IF(AND(OR('депозитный калькулятор'!$G$7="30/365",'депозитный калькулятор'!$G$7="30/360"),DAY(F497)&lt;30),30,DAY(F497))),IF(AND('депозитный калькулятор'!$G$10="ежемесячное, на средний остаток в течение месяца, при условии что остаток больше чем ограничение",F497='депозитный калькулятор'!$D$8,EOMONTH(F497,0)&lt;&gt;F497),IF('депозитный калькулятор'!$F$1=1,$H$24,SUM(OFFSET(Q497,-E497+1,0):Q497)),IF(AND('депозитный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калькулятор'!$G$7="30/360"),DAY(EOMONTH(F497,0))=31),EOMONTH(F497,0)-1=F497,EOMONTH(F497,0)=F497)),IF(IF(AND(OR('депозитный калькулятор'!$G$7="30/365",'депозитный калькулятор'!$G$7="30/360"),DAY(EOMONTH($F$24,0))=31),F497=EOMONTH($F$24,0)-1,F497=EOMONTH($F$24,0)),SUM(OFFSET(Q497,-E497+1,0):Q497),SUM(OFFSET(Q497,-E497+1,0):Q497)),IF('депозитный калькулятор'!$G$10="ежеквартальное",IF(F497&gt;'депозитный калькулятор'!$D$8," ",IF(AND(EOMONTH(F497,0)=F497,OR(MONTH(F497)=3,MONTH(F497)=6,MONTH(F497)=9,MONTH(F497)=12)),IF(EDATE(F497,-3)&lt;'депозитный калькулятор'!$D$7,SUM($H$23:H497),IF(MOD(YEAR(F497),4)=0,IF(AND(EOMONTH(F497,0)=F497,OR(MONTH(F497)=3,MONTH(F497)=6)),SUM(OFFSET(H497,-90,0):H497),IF(AND(EOMONTH(F497,0)=F497,OR(MONTH(F497)=9,MONTH(F497)=12)),SUM(OFFSET(H497,-91,0):H497))),IF(AND(EOMONTH(F497,0)=F497,MONTH(F497)=3),SUM(OFFSET(H497,-89,0):H497),IF(AND(EOMONTH(F497,0)=F497,MONTH(F497)=6),SUM(OFFSET(H497,-90,0):H497),IF(AND(EOMONTH(F497,0)=F497,OR(MONTH(F497)=9,MONTH(F497)=12)),SUM(OFFSET(H497,-91,0):H497)))))),IF(F497='депозитный калькулятор'!$D$8,SUM($H$23:H497)-SUM($I$23:I496),0))),IF('депозитный калькулятор'!$G$10="ежегодное",IF(F497&gt;'депозитный калькулятор'!$D$8," ",IF(F497='депозитный калькулятор'!$D$8,SUM($H$23:H497)-SUM($I$23:I496),IF(AND(EOMONTH(F497,0)=F497,MONTH(F497)=12),IF(MOD(YEAR(F496),4)=0,IF(F497-'депозитный калькулятор'!$D$7&lt;366,SUM($H$23:H497),SUM(OFFSET(H497,-365,0):H497)),IF(F497-'депозитный калькулятор'!$D$7&lt;365,SUM($H$23:H497),SUM(OFFSET(H497,-364,0):H497))),0))),IF(AND('депозитный калькулятор'!$G$10="в конце срока",'депозитный калькулятор'!$D$8=F497),SUM($H$23:H497),0))))))))))))))))))</f>
        <v xml:space="preserve"> </v>
      </c>
      <c r="J497" s="59" t="str">
        <f>IF(F497&gt;'депозитный калькулятор'!$D$8," ",IF('депозитный калькулятор'!$G$16="нет",0,IF(AND('депозитный калькулятор'!$G$17="разовая (в конце срока)",F497='депозитный калькулятор'!$D$8),'депозитный калькулятор'!$G$18,IF(AND('депозитный калькулятор'!$G$17="ежемесячная",EOMONTH(F496,0)=F496),'депозитный калькулятор'!$G$18,IF(AND('депозитный калькулятор'!$G$17="ежегодная",DAY(F496)=31,MONTH(F496)=12),'депозитный калькулятор'!$G$18,IF(AND('депозитный калькулятор'!$G$17="ежемесячная в зависимости от остатка",EOMONTH(F496,0)=F496,P496&gt;0),'депозитный калькулятор'!$G$18,IF(AND('депозитный калькулятор'!$G$17="ежегодная в зависимости от остатка",DAY(F496)=31,MONTH(F496)=12,P496&gt;0),'депозитный калькулятор'!$G$18,0)))))))</f>
        <v xml:space="preserve"> </v>
      </c>
      <c r="K497" s="135" t="str">
        <f>IF($F497=" "," ",IFERROR(VLOOKUP($F497,'депозитный калькулятор'!$B$26:$F$70,2,0),0))</f>
        <v xml:space="preserve"> </v>
      </c>
      <c r="L497" s="135" t="str">
        <f>IF($F497=" "," ",IFERROR(VLOOKUP($F497,'депозитный калькулятор'!$B$26:$F$70,3,0),0))</f>
        <v xml:space="preserve"> </v>
      </c>
      <c r="M497" s="135" t="str">
        <f>IF($F497=" "," ",IFERROR(VLOOKUP($F497,'депозитный калькулятор'!$B$26:$F$70,4,0),0))</f>
        <v xml:space="preserve"> </v>
      </c>
      <c r="N497" s="135" t="str">
        <f>IF($F497=" "," ",IFERROR(VLOOKUP($F497,'депозитный калькулятор'!$B$26:$F$70,5,0),0))</f>
        <v xml:space="preserve"> </v>
      </c>
      <c r="O497" s="146" t="str">
        <f>IF(F497&gt;'депозитный калькулятор'!$D$8," ",IF(F497='депозитный калькулятор'!$D$8,IF(AND($F$24='депозитный калькулятор'!$D$8,'депозитный калькулятор'!$G$13="нет"),-G497-IF(I497=" ",0,I497)-IF(AND(OR('депозитный калькулятор'!$G$7="30/365",'депозитный калькулятор'!$G$7="30/360"),'депозитный калькулятор'!$G$10="в начале срока"),I496,0)-L497+M497-N497,-G497-IF(I497=" ",0,I497)-L497+M497-N497),IF('депозитный калькулятор'!$G$13="есть",M497-N497+IF('депозитный калькулятор'!$G$14="есть",0,-L497),-IF(I497=" ",0,I497)-IF(AND(OR('депозитный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срока"),I496,0)+M497-N497+IF('депозитный калькулятор'!$G$14="есть",0,-L497))))</f>
        <v xml:space="preserve"> </v>
      </c>
      <c r="P497" s="147" t="str">
        <f>IF(F497&gt;'депозитный калькулятор'!$D$8," ",IF(EOMONTH(F496,0)=F496,0,IF(G497&gt;='депозитный калькулятор'!$G$19,P496,P496+1)))</f>
        <v xml:space="preserve"> </v>
      </c>
      <c r="Q497" s="138" t="str">
        <f>IF(F497=" "," ",IF(AND(OR('депозитный калькулятор'!$G$7="30/365",'депозитный калькулятор'!$G$7="30/360"),AND(MONTH(F497)=2,EOMONTH(F497,0)=F497)),IF(DAY(F497)=28,3,2),1)*IF(G497&gt;='депозитный калькулятор'!$G$11,IF(AND('депозитный калькулятор'!$G$7="факт/факт",MOD(YEAR(F497),4)=0),G497*'депозитный калькулятор'!$D$11/366,G497*'депозитный калькулятор'!$G$8),0))</f>
        <v xml:space="preserve"> </v>
      </c>
      <c r="R497" s="158"/>
      <c r="S497" s="62" t="str">
        <f t="shared" ca="1" si="37"/>
        <v xml:space="preserve"> </v>
      </c>
      <c r="T497" s="149" t="str">
        <f ca="1">IF(S497=" "," ",IF('депозитный калькулятор'!$G$7="30/360",DAYS360(U496,IF(DAY(U497)=31,U497-1,U497))+IF(AND(MONTH(U497)=2,U497=EOMONTH(U497,0)),30-DAY(EOMONTH(U497,0)))+T496,VLOOKUP(S497,$C$22:$F$1023,2,0)))</f>
        <v xml:space="preserve"> </v>
      </c>
      <c r="U497" s="64" t="str">
        <f t="shared" ca="1" si="35"/>
        <v xml:space="preserve"> </v>
      </c>
      <c r="V497" s="150" t="str">
        <f t="shared" ca="1" si="38"/>
        <v xml:space="preserve"> </v>
      </c>
      <c r="W497" s="62" t="str">
        <f t="shared" ca="1" si="39"/>
        <v xml:space="preserve"> </v>
      </c>
      <c r="X497" s="141" t="str">
        <f ca="1">IF(S497=" "," ",IFERROR(VLOOKUP(U497,$F$23:$N$1023,7)+VLOOKUP(U497,$F$23:$N$1023,9)+IF(AND('депозитный калькулятор'!$G$13="нет",U497&lt;&gt;'депозитный калькулятор'!$D$8),VLOOKUP(U497,$F$23:$N$1023,4),0),0)+IF(U497='депозитный калькулятор'!$D$8,VLOOKUP(U497,$F$23:$N$1023,2)+VLOOKUP(U497,$F$23:$N$1023,4),0))</f>
        <v xml:space="preserve"> </v>
      </c>
      <c r="Y497" s="142" t="str">
        <f ca="1">IF(S497=" "," ",W497/(1+'депозитный калькулятор'!$K$8)^(T497/IF('депозитный калькулятор'!$G$7="30/360",360,365)))</f>
        <v xml:space="preserve"> </v>
      </c>
      <c r="Z497" s="142" t="str">
        <f ca="1">IF(S497=" "," ",X497/(1+'депозитный калькулятор'!$K$8)^(T497/IF('депозитный калькулятор'!$G$7="30/360",360,365)))</f>
        <v xml:space="preserve"> </v>
      </c>
      <c r="AA497" s="151"/>
      <c r="AB497" s="151"/>
      <c r="AC497" s="155"/>
      <c r="AD497" s="155"/>
    </row>
    <row r="498" spans="1:30" s="2" customFormat="1" ht="15.5" x14ac:dyDescent="0.35">
      <c r="A498" s="41" t="str">
        <f>IF(F498=" "," ",IF(OR('депозитный калькулятор'!$G$7="30/365",'депозитный калькулятор'!$G$7="30/360"),IF(AND(MONTH(F498)=2,DAY(F498)=DAY(EOMONTH(F498,0))),30-DAY(EOMONTH(F498,0)),IF(DAY(F498)=31,1," "))," "))</f>
        <v xml:space="preserve"> </v>
      </c>
      <c r="B498" s="130" t="str">
        <f t="shared" si="36"/>
        <v xml:space="preserve"> </v>
      </c>
      <c r="C498" s="130" t="str">
        <f>IF(OR(B498=0,B498=" ")," ",SUM($B$23:B498))</f>
        <v xml:space="preserve"> </v>
      </c>
      <c r="D498" s="62" t="str">
        <f>IF(D497=" "," ",IF(OR(F497='депозитный калькулятор'!$D$8,F497=" ")," ",D497+1))</f>
        <v xml:space="preserve"> </v>
      </c>
      <c r="E498" s="130" t="str">
        <f>IF(OR(F497='депозитный калькулятор'!$D$8,F497=" ")," ",IF(EOMONTH(F497,0)=F497,1,E497+1))</f>
        <v xml:space="preserve"> </v>
      </c>
      <c r="F498" s="64" t="str">
        <f>IF(F497=" "," ",IF(F497='депозитный калькулятор'!$D$8," ",F497+1))</f>
        <v xml:space="preserve"> </v>
      </c>
      <c r="G498" s="145" t="str">
        <f xml:space="preserve"> IF(F498&gt;'депозитный калькулятор'!$D$8," ",IF('депозитный калькулятор'!$G$13="есть",IF('депозитный калькулятор'!$G$14="есть",G497+IF(I497=" ",0,I497)-J498-K498+L498+M498-N498,G497+IF(I497=" ",0,I497)-J498-K498+M498-N498),IF('депозитный калькулятор'!$G$14="есть",G497-J498-K498+L498+M498-N498,G497-J498-K498+M498-N498)))</f>
        <v xml:space="preserve"> </v>
      </c>
      <c r="H498" s="133" t="str">
        <f>IF(F498&gt;'депозитный калькулятор'!$D$8," ",IF(AND(OR('депозитный калькулятор'!$G$7="30/365",'депозитный калькулятор'!$G$7="30/360"),AND(MONTH(F498)=2,EOMONTH(F498,0)=F498)),IF(DAY(F498)=28,3*G498*'депозитный калькулятор'!$G$8,2*G498*'депозитный калькулятор'!$G$8),IF(AND(OR('депозитный калькулятор'!$G$7="30/365",'депозитный калькулятор'!$G$7="30/360"),DAY(F498)=31)," ",IF(AND('депозитный калькулятор'!$G$7="факт/факт",MOD(YEAR(F498),4)=0),G498*'депозитный калькулятор'!$D$11/366,G498*'депозитный калькулятор'!$G$8))))</f>
        <v xml:space="preserve"> </v>
      </c>
      <c r="I498" s="134" t="str">
        <f ca="1">IF(F498=" "," ",IF('депозитный калькулятор'!$G$10="ежедневное",H498,IF(AND('депозитный калькулятор'!$G$10="еженедельное",WEEKDAY(F498,2)=7),SUM(OFFSET(H498,-6,0):H498),IF(AND('депозитный калькулятор'!$G$10="еженедельное",F498='депозитный калькулятор'!$D$8),SUM($H$23:H498)-SUM($I$23:I497),IF(AND('депозитный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недели",WEEKDAY(F498,2)=7),MIN(OFFSET(H498,-6,0):H498)*(COUNTIF(OFFSET(H498,-6,0):H498,"&gt;0")+SUMIF(OFFSET(A498,-WEEKDAY(F498,2),0):A498,"=2",OFFSET(A498,-WEEKDAY(F498,2),0):A498)),IF(AND('депозитный калькулятор'!$G$10="еженедельное, на минимальную сумму зафиксированную в течение недели",F498='депозитный калькулятор'!$D$8,WEEKDAY(F498,2)&lt;&gt;7),MIN(OFFSET(H498,-WEEKDAY(F498,2),0):H498)*(COUNTIF(OFFSET(H498,-WEEKDAY(F498,2)+1,0):H498,"&gt;0")+SUM(OFFSET(A498,-WEEKDAY(F498,2),0):A498)),IF(AND('депозитный калькулятор'!$G$10="ежемесячное (в конце месяца)",F498='депозитный калькулятор'!$D$8,EOMONTH(F498,0)&lt;&gt;F498),IF('депозитный калькулятор'!$F$1=1,$H$24,SUM($H$23:H498)-SUM($I$23:I497)),IF(AND('депозитный калькулятор'!$G$10="ежемесячное (в конце месяца)",EOMONTH(F498,0)=F498),SUM($H$23:H498)-SUM($I$23:I497),IF(AND('депозитный калькулятор'!$G$10="ежемесячное (по дням открытия вклада)",F498='депозитный калькулятор'!$D$8,DAY('депозитный калькулятор'!$D$7)&lt;&gt;DAY(F498)),IF('депозитный калькулятор'!$F$1=1,$H$24,SUM($H$23:H498)-SUM($I$23:I497)),IF(AND('депозитный калькулятор'!$G$10="ежемесячное (по дням открытия вклада)",DAY('депозитный калькулятор'!$D$7)=DAY(F498)),SUM($H$23:H498)-SUM($I$23:I497),IF(AND('депозитный калькулятор'!$G$10="ежемесячное, на минимальную сумму зафиксированную в течение месяца",F498='депозитный калькулятор'!$D$8,EOMONTH(F498,0)&lt;&gt;F498),IF('депозитный калькулятор'!$F$1=1,$H$24,IF(AND(OR('депозитный калькулятор'!$G$7="30/365",'депозитный калькулятор'!$G$7="30/360"),DAY(F498)=31),0,MIN(OFFSET(H498,-E498+1,0):H498)*(E498+SUMIF(OFFSET(A498,-E498+1,0):A498,"=2",OFFSET(A498,-E498+1,0):A498)))),IF(AND('депозитный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калькулятор'!$G$7="30/360"),DAY(EOMONTH(F498,0))=31),EOMONTH(F498,0)-1=F498,EOMONTH(F498,0)=F498)),IF(IF(AND(OR('депозитный калькулятор'!$G$7="30/365",'депозитный калькулятор'!$G$7="30/360"),DAY(EOMONTH($F$23,0))=31),F498=EOMONTH($F$23,0)-1,F498=EOMONTH($F$23,0)),MIN(OFFSET(H498,-(DAY(F498)-DAY($F$23)),0):H498)*E498,MIN(OFFSET(H498,-(DAY(F498)-1),0):H498)*IF(AND(OR('депозитный калькулятор'!$G$7="30/365",'депозитный калькулятор'!$G$7="30/360"),DAY(F498)&lt;30),30,DAY(F498))),IF(AND('депозитный калькулятор'!$G$10="ежемесячное, на средний остаток в течение месяца, при условии что остаток больше чем ограничение",F498='депозитный калькулятор'!$D$8,EOMONTH(F498,0)&lt;&gt;F498),IF('депозитный калькулятор'!$F$1=1,$H$24,SUM(OFFSET(Q498,-E498+1,0):Q498)),IF(AND('депозитный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калькулятор'!$G$7="30/360"),DAY(EOMONTH(F498,0))=31),EOMONTH(F498,0)-1=F498,EOMONTH(F498,0)=F498)),IF(IF(AND(OR('депозитный калькулятор'!$G$7="30/365",'депозитный калькулятор'!$G$7="30/360"),DAY(EOMONTH($F$24,0))=31),F498=EOMONTH($F$24,0)-1,F498=EOMONTH($F$24,0)),SUM(OFFSET(Q498,-E498+1,0):Q498),SUM(OFFSET(Q498,-E498+1,0):Q498)),IF('депозитный калькулятор'!$G$10="ежеквартальное",IF(F498&gt;'депозитный калькулятор'!$D$8," ",IF(AND(EOMONTH(F498,0)=F498,OR(MONTH(F498)=3,MONTH(F498)=6,MONTH(F498)=9,MONTH(F498)=12)),IF(EDATE(F498,-3)&lt;'депозитный калькулятор'!$D$7,SUM($H$23:H498),IF(MOD(YEAR(F498),4)=0,IF(AND(EOMONTH(F498,0)=F498,OR(MONTH(F498)=3,MONTH(F498)=6)),SUM(OFFSET(H498,-90,0):H498),IF(AND(EOMONTH(F498,0)=F498,OR(MONTH(F498)=9,MONTH(F498)=12)),SUM(OFFSET(H498,-91,0):H498))),IF(AND(EOMONTH(F498,0)=F498,MONTH(F498)=3),SUM(OFFSET(H498,-89,0):H498),IF(AND(EOMONTH(F498,0)=F498,MONTH(F498)=6),SUM(OFFSET(H498,-90,0):H498),IF(AND(EOMONTH(F498,0)=F498,OR(MONTH(F498)=9,MONTH(F498)=12)),SUM(OFFSET(H498,-91,0):H498)))))),IF(F498='депозитный калькулятор'!$D$8,SUM($H$23:H498)-SUM($I$23:I497),0))),IF('депозитный калькулятор'!$G$10="ежегодное",IF(F498&gt;'депозитный калькулятор'!$D$8," ",IF(F498='депозитный калькулятор'!$D$8,SUM($H$23:H498)-SUM($I$23:I497),IF(AND(EOMONTH(F498,0)=F498,MONTH(F498)=12),IF(MOD(YEAR(F497),4)=0,IF(F498-'депозитный калькулятор'!$D$7&lt;366,SUM($H$23:H498),SUM(OFFSET(H498,-365,0):H498)),IF(F498-'депозитный калькулятор'!$D$7&lt;365,SUM($H$23:H498),SUM(OFFSET(H498,-364,0):H498))),0))),IF(AND('депозитный калькулятор'!$G$10="в конце срока",'депозитный калькулятор'!$D$8=F498),SUM($H$23:H498),0))))))))))))))))))</f>
        <v xml:space="preserve"> </v>
      </c>
      <c r="J498" s="59" t="str">
        <f>IF(F498&gt;'депозитный калькулятор'!$D$8," ",IF('депозитный калькулятор'!$G$16="нет",0,IF(AND('депозитный калькулятор'!$G$17="разовая (в конце срока)",F498='депозитный калькулятор'!$D$8),'депозитный калькулятор'!$G$18,IF(AND('депозитный калькулятор'!$G$17="ежемесячная",EOMONTH(F497,0)=F497),'депозитный калькулятор'!$G$18,IF(AND('депозитный калькулятор'!$G$17="ежегодная",DAY(F497)=31,MONTH(F497)=12),'депозитный калькулятор'!$G$18,IF(AND('депозитный калькулятор'!$G$17="ежемесячная в зависимости от остатка",EOMONTH(F497,0)=F497,P497&gt;0),'депозитный калькулятор'!$G$18,IF(AND('депозитный калькулятор'!$G$17="ежегодная в зависимости от остатка",DAY(F497)=31,MONTH(F497)=12,P497&gt;0),'депозитный калькулятор'!$G$18,0)))))))</f>
        <v xml:space="preserve"> </v>
      </c>
      <c r="K498" s="135" t="str">
        <f>IF($F498=" "," ",IFERROR(VLOOKUP($F498,'депозитный калькулятор'!$B$26:$F$70,2,0),0))</f>
        <v xml:space="preserve"> </v>
      </c>
      <c r="L498" s="135" t="str">
        <f>IF($F498=" "," ",IFERROR(VLOOKUP($F498,'депозитный калькулятор'!$B$26:$F$70,3,0),0))</f>
        <v xml:space="preserve"> </v>
      </c>
      <c r="M498" s="135" t="str">
        <f>IF($F498=" "," ",IFERROR(VLOOKUP($F498,'депозитный калькулятор'!$B$26:$F$70,4,0),0))</f>
        <v xml:space="preserve"> </v>
      </c>
      <c r="N498" s="135" t="str">
        <f>IF($F498=" "," ",IFERROR(VLOOKUP($F498,'депозитный калькулятор'!$B$26:$F$70,5,0),0))</f>
        <v xml:space="preserve"> </v>
      </c>
      <c r="O498" s="146" t="str">
        <f>IF(F498&gt;'депозитный калькулятор'!$D$8," ",IF(F498='депозитный калькулятор'!$D$8,IF(AND($F$24='депозитный калькулятор'!$D$8,'депозитный калькулятор'!$G$13="нет"),-G498-IF(I498=" ",0,I498)-IF(AND(OR('депозитный калькулятор'!$G$7="30/365",'депозитный калькулятор'!$G$7="30/360"),'депозитный калькулятор'!$G$10="в начале срока"),I497,0)-L498+M498-N498,-G498-IF(I498=" ",0,I498)-L498+M498-N498),IF('депозитный калькулятор'!$G$13="есть",M498-N498+IF('депозитный калькулятор'!$G$14="есть",0,-L498),-IF(I498=" ",0,I498)-IF(AND(OR('депозитный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срока"),I497,0)+M498-N498+IF('депозитный калькулятор'!$G$14="есть",0,-L498))))</f>
        <v xml:space="preserve"> </v>
      </c>
      <c r="P498" s="147" t="str">
        <f>IF(F498&gt;'депозитный калькулятор'!$D$8," ",IF(EOMONTH(F497,0)=F497,0,IF(G498&gt;='депозитный калькулятор'!$G$19,P497,P497+1)))</f>
        <v xml:space="preserve"> </v>
      </c>
      <c r="Q498" s="138" t="str">
        <f>IF(F498=" "," ",IF(AND(OR('депозитный калькулятор'!$G$7="30/365",'депозитный калькулятор'!$G$7="30/360"),AND(MONTH(F498)=2,EOMONTH(F498,0)=F498)),IF(DAY(F498)=28,3,2),1)*IF(G498&gt;='депозитный калькулятор'!$G$11,IF(AND('депозитный калькулятор'!$G$7="факт/факт",MOD(YEAR(F498),4)=0),G498*'депозитный калькулятор'!$D$11/366,G498*'депозитный калькулятор'!$G$8),0))</f>
        <v xml:space="preserve"> </v>
      </c>
      <c r="R498" s="158"/>
      <c r="S498" s="62" t="str">
        <f t="shared" ca="1" si="37"/>
        <v xml:space="preserve"> </v>
      </c>
      <c r="T498" s="149" t="str">
        <f ca="1">IF(S498=" "," ",IF('депозитный калькулятор'!$G$7="30/360",DAYS360(U497,IF(DAY(U498)=31,U498-1,U498))+IF(AND(MONTH(U498)=2,U498=EOMONTH(U498,0)),30-DAY(EOMONTH(U498,0)))+T497,VLOOKUP(S498,$C$22:$F$1023,2,0)))</f>
        <v xml:space="preserve"> </v>
      </c>
      <c r="U498" s="64" t="str">
        <f t="shared" ca="1" si="35"/>
        <v xml:space="preserve"> </v>
      </c>
      <c r="V498" s="150" t="str">
        <f t="shared" ca="1" si="38"/>
        <v xml:space="preserve"> </v>
      </c>
      <c r="W498" s="62" t="str">
        <f t="shared" ca="1" si="39"/>
        <v xml:space="preserve"> </v>
      </c>
      <c r="X498" s="141" t="str">
        <f ca="1">IF(S498=" "," ",IFERROR(VLOOKUP(U498,$F$23:$N$1023,7)+VLOOKUP(U498,$F$23:$N$1023,9)+IF(AND('депозитный калькулятор'!$G$13="нет",U498&lt;&gt;'депозитный калькулятор'!$D$8),VLOOKUP(U498,$F$23:$N$1023,4),0),0)+IF(U498='депозитный калькулятор'!$D$8,VLOOKUP(U498,$F$23:$N$1023,2)+VLOOKUP(U498,$F$23:$N$1023,4),0))</f>
        <v xml:space="preserve"> </v>
      </c>
      <c r="Y498" s="142" t="str">
        <f ca="1">IF(S498=" "," ",W498/(1+'депозитный калькулятор'!$K$8)^(T498/IF('депозитный калькулятор'!$G$7="30/360",360,365)))</f>
        <v xml:space="preserve"> </v>
      </c>
      <c r="Z498" s="142" t="str">
        <f ca="1">IF(S498=" "," ",X498/(1+'депозитный калькулятор'!$K$8)^(T498/IF('депозитный калькулятор'!$G$7="30/360",360,365)))</f>
        <v xml:space="preserve"> </v>
      </c>
      <c r="AA498" s="151"/>
      <c r="AB498" s="151"/>
      <c r="AC498" s="155"/>
      <c r="AD498" s="155"/>
    </row>
    <row r="499" spans="1:30" s="2" customFormat="1" ht="15.5" x14ac:dyDescent="0.35">
      <c r="A499" s="41" t="str">
        <f>IF(F499=" "," ",IF(OR('депозитный калькулятор'!$G$7="30/365",'депозитный калькулятор'!$G$7="30/360"),IF(AND(MONTH(F499)=2,DAY(F499)=DAY(EOMONTH(F499,0))),30-DAY(EOMONTH(F499,0)),IF(DAY(F499)=31,1," "))," "))</f>
        <v xml:space="preserve"> </v>
      </c>
      <c r="B499" s="130" t="str">
        <f t="shared" si="36"/>
        <v xml:space="preserve"> </v>
      </c>
      <c r="C499" s="130" t="str">
        <f>IF(OR(B499=0,B499=" ")," ",SUM($B$23:B499))</f>
        <v xml:space="preserve"> </v>
      </c>
      <c r="D499" s="62" t="str">
        <f>IF(D498=" "," ",IF(OR(F498='депозитный калькулятор'!$D$8,F498=" ")," ",D498+1))</f>
        <v xml:space="preserve"> </v>
      </c>
      <c r="E499" s="130" t="str">
        <f>IF(OR(F498='депозитный калькулятор'!$D$8,F498=" ")," ",IF(EOMONTH(F498,0)=F498,1,E498+1))</f>
        <v xml:space="preserve"> </v>
      </c>
      <c r="F499" s="64" t="str">
        <f>IF(F498=" "," ",IF(F498='депозитный калькулятор'!$D$8," ",F498+1))</f>
        <v xml:space="preserve"> </v>
      </c>
      <c r="G499" s="145" t="str">
        <f xml:space="preserve"> IF(F499&gt;'депозитный калькулятор'!$D$8," ",IF('депозитный калькулятор'!$G$13="есть",IF('депозитный калькулятор'!$G$14="есть",G498+IF(I498=" ",0,I498)-J499-K499+L499+M499-N499,G498+IF(I498=" ",0,I498)-J499-K499+M499-N499),IF('депозитный калькулятор'!$G$14="есть",G498-J499-K499+L499+M499-N499,G498-J499-K499+M499-N499)))</f>
        <v xml:space="preserve"> </v>
      </c>
      <c r="H499" s="133" t="str">
        <f>IF(F499&gt;'депозитный калькулятор'!$D$8," ",IF(AND(OR('депозитный калькулятор'!$G$7="30/365",'депозитный калькулятор'!$G$7="30/360"),AND(MONTH(F499)=2,EOMONTH(F499,0)=F499)),IF(DAY(F499)=28,3*G499*'депозитный калькулятор'!$G$8,2*G499*'депозитный калькулятор'!$G$8),IF(AND(OR('депозитный калькулятор'!$G$7="30/365",'депозитный калькулятор'!$G$7="30/360"),DAY(F499)=31)," ",IF(AND('депозитный калькулятор'!$G$7="факт/факт",MOD(YEAR(F499),4)=0),G499*'депозитный калькулятор'!$D$11/366,G499*'депозитный калькулятор'!$G$8))))</f>
        <v xml:space="preserve"> </v>
      </c>
      <c r="I499" s="134" t="str">
        <f ca="1">IF(F499=" "," ",IF('депозитный калькулятор'!$G$10="ежедневное",H499,IF(AND('депозитный калькулятор'!$G$10="еженедельное",WEEKDAY(F499,2)=7),SUM(OFFSET(H499,-6,0):H499),IF(AND('депозитный калькулятор'!$G$10="еженедельное",F499='депозитный калькулятор'!$D$8),SUM($H$23:H499)-SUM($I$23:I498),IF(AND('депозитный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недели",WEEKDAY(F499,2)=7),MIN(OFFSET(H499,-6,0):H499)*(COUNTIF(OFFSET(H499,-6,0):H499,"&gt;0")+SUMIF(OFFSET(A499,-WEEKDAY(F499,2),0):A499,"=2",OFFSET(A499,-WEEKDAY(F499,2),0):A499)),IF(AND('депозитный калькулятор'!$G$10="еженедельное, на минимальную сумму зафиксированную в течение недели",F499='депозитный калькулятор'!$D$8,WEEKDAY(F499,2)&lt;&gt;7),MIN(OFFSET(H499,-WEEKDAY(F499,2),0):H499)*(COUNTIF(OFFSET(H499,-WEEKDAY(F499,2)+1,0):H499,"&gt;0")+SUM(OFFSET(A499,-WEEKDAY(F499,2),0):A499)),IF(AND('депозитный калькулятор'!$G$10="ежемесячное (в конце месяца)",F499='депозитный калькулятор'!$D$8,EOMONTH(F499,0)&lt;&gt;F499),IF('депозитный калькулятор'!$F$1=1,$H$24,SUM($H$23:H499)-SUM($I$23:I498)),IF(AND('депозитный калькулятор'!$G$10="ежемесячное (в конце месяца)",EOMONTH(F499,0)=F499),SUM($H$23:H499)-SUM($I$23:I498),IF(AND('депозитный калькулятор'!$G$10="ежемесячное (по дням открытия вклада)",F499='депозитный калькулятор'!$D$8,DAY('депозитный калькулятор'!$D$7)&lt;&gt;DAY(F499)),IF('депозитный калькулятор'!$F$1=1,$H$24,SUM($H$23:H499)-SUM($I$23:I498)),IF(AND('депозитный калькулятор'!$G$10="ежемесячное (по дням открытия вклада)",DAY('депозитный калькулятор'!$D$7)=DAY(F499)),SUM($H$23:H499)-SUM($I$23:I498),IF(AND('депозитный калькулятор'!$G$10="ежемесячное, на минимальную сумму зафиксированную в течение месяца",F499='депозитный калькулятор'!$D$8,EOMONTH(F499,0)&lt;&gt;F499),IF('депозитный калькулятор'!$F$1=1,$H$24,IF(AND(OR('депозитный калькулятор'!$G$7="30/365",'депозитный калькулятор'!$G$7="30/360"),DAY(F499)=31),0,MIN(OFFSET(H499,-E499+1,0):H499)*(E499+SUMIF(OFFSET(A499,-E499+1,0):A499,"=2",OFFSET(A499,-E499+1,0):A499)))),IF(AND('депозитный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калькулятор'!$G$7="30/360"),DAY(EOMONTH(F499,0))=31),EOMONTH(F499,0)-1=F499,EOMONTH(F499,0)=F499)),IF(IF(AND(OR('депозитный калькулятор'!$G$7="30/365",'депозитный калькулятор'!$G$7="30/360"),DAY(EOMONTH($F$23,0))=31),F499=EOMONTH($F$23,0)-1,F499=EOMONTH($F$23,0)),MIN(OFFSET(H499,-(DAY(F499)-DAY($F$23)),0):H499)*E499,MIN(OFFSET(H499,-(DAY(F499)-1),0):H499)*IF(AND(OR('депозитный калькулятор'!$G$7="30/365",'депозитный калькулятор'!$G$7="30/360"),DAY(F499)&lt;30),30,DAY(F499))),IF(AND('депозитный калькулятор'!$G$10="ежемесячное, на средний остаток в течение месяца, при условии что остаток больше чем ограничение",F499='депозитный калькулятор'!$D$8,EOMONTH(F499,0)&lt;&gt;F499),IF('депозитный калькулятор'!$F$1=1,$H$24,SUM(OFFSET(Q499,-E499+1,0):Q499)),IF(AND('депозитный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калькулятор'!$G$7="30/360"),DAY(EOMONTH(F499,0))=31),EOMONTH(F499,0)-1=F499,EOMONTH(F499,0)=F499)),IF(IF(AND(OR('депозитный калькулятор'!$G$7="30/365",'депозитный калькулятор'!$G$7="30/360"),DAY(EOMONTH($F$24,0))=31),F499=EOMONTH($F$24,0)-1,F499=EOMONTH($F$24,0)),SUM(OFFSET(Q499,-E499+1,0):Q499),SUM(OFFSET(Q499,-E499+1,0):Q499)),IF('депозитный калькулятор'!$G$10="ежеквартальное",IF(F499&gt;'депозитный калькулятор'!$D$8," ",IF(AND(EOMONTH(F499,0)=F499,OR(MONTH(F499)=3,MONTH(F499)=6,MONTH(F499)=9,MONTH(F499)=12)),IF(EDATE(F499,-3)&lt;'депозитный калькулятор'!$D$7,SUM($H$23:H499),IF(MOD(YEAR(F499),4)=0,IF(AND(EOMONTH(F499,0)=F499,OR(MONTH(F499)=3,MONTH(F499)=6)),SUM(OFFSET(H499,-90,0):H499),IF(AND(EOMONTH(F499,0)=F499,OR(MONTH(F499)=9,MONTH(F499)=12)),SUM(OFFSET(H499,-91,0):H499))),IF(AND(EOMONTH(F499,0)=F499,MONTH(F499)=3),SUM(OFFSET(H499,-89,0):H499),IF(AND(EOMONTH(F499,0)=F499,MONTH(F499)=6),SUM(OFFSET(H499,-90,0):H499),IF(AND(EOMONTH(F499,0)=F499,OR(MONTH(F499)=9,MONTH(F499)=12)),SUM(OFFSET(H499,-91,0):H499)))))),IF(F499='депозитный калькулятор'!$D$8,SUM($H$23:H499)-SUM($I$23:I498),0))),IF('депозитный калькулятор'!$G$10="ежегодное",IF(F499&gt;'депозитный калькулятор'!$D$8," ",IF(F499='депозитный калькулятор'!$D$8,SUM($H$23:H499)-SUM($I$23:I498),IF(AND(EOMONTH(F499,0)=F499,MONTH(F499)=12),IF(MOD(YEAR(F498),4)=0,IF(F499-'депозитный калькулятор'!$D$7&lt;366,SUM($H$23:H499),SUM(OFFSET(H499,-365,0):H499)),IF(F499-'депозитный калькулятор'!$D$7&lt;365,SUM($H$23:H499),SUM(OFFSET(H499,-364,0):H499))),0))),IF(AND('депозитный калькулятор'!$G$10="в конце срока",'депозитный калькулятор'!$D$8=F499),SUM($H$23:H499),0))))))))))))))))))</f>
        <v xml:space="preserve"> </v>
      </c>
      <c r="J499" s="59" t="str">
        <f>IF(F499&gt;'депозитный калькулятор'!$D$8," ",IF('депозитный калькулятор'!$G$16="нет",0,IF(AND('депозитный калькулятор'!$G$17="разовая (в конце срока)",F499='депозитный калькулятор'!$D$8),'депозитный калькулятор'!$G$18,IF(AND('депозитный калькулятор'!$G$17="ежемесячная",EOMONTH(F498,0)=F498),'депозитный калькулятор'!$G$18,IF(AND('депозитный калькулятор'!$G$17="ежегодная",DAY(F498)=31,MONTH(F498)=12),'депозитный калькулятор'!$G$18,IF(AND('депозитный калькулятор'!$G$17="ежемесячная в зависимости от остатка",EOMONTH(F498,0)=F498,P498&gt;0),'депозитный калькулятор'!$G$18,IF(AND('депозитный калькулятор'!$G$17="ежегодная в зависимости от остатка",DAY(F498)=31,MONTH(F498)=12,P498&gt;0),'депозитный калькулятор'!$G$18,0)))))))</f>
        <v xml:space="preserve"> </v>
      </c>
      <c r="K499" s="135" t="str">
        <f>IF($F499=" "," ",IFERROR(VLOOKUP($F499,'депозитный калькулятор'!$B$26:$F$70,2,0),0))</f>
        <v xml:space="preserve"> </v>
      </c>
      <c r="L499" s="135" t="str">
        <f>IF($F499=" "," ",IFERROR(VLOOKUP($F499,'депозитный калькулятор'!$B$26:$F$70,3,0),0))</f>
        <v xml:space="preserve"> </v>
      </c>
      <c r="M499" s="135" t="str">
        <f>IF($F499=" "," ",IFERROR(VLOOKUP($F499,'депозитный калькулятор'!$B$26:$F$70,4,0),0))</f>
        <v xml:space="preserve"> </v>
      </c>
      <c r="N499" s="135" t="str">
        <f>IF($F499=" "," ",IFERROR(VLOOKUP($F499,'депозитный калькулятор'!$B$26:$F$70,5,0),0))</f>
        <v xml:space="preserve"> </v>
      </c>
      <c r="O499" s="146" t="str">
        <f>IF(F499&gt;'депозитный калькулятор'!$D$8," ",IF(F499='депозитный калькулятор'!$D$8,IF(AND($F$24='депозитный калькулятор'!$D$8,'депозитный калькулятор'!$G$13="нет"),-G499-IF(I499=" ",0,I499)-IF(AND(OR('депозитный калькулятор'!$G$7="30/365",'депозитный калькулятор'!$G$7="30/360"),'депозитный калькулятор'!$G$10="в начале срока"),I498,0)-L499+M499-N499,-G499-IF(I499=" ",0,I499)-L499+M499-N499),IF('депозитный калькулятор'!$G$13="есть",M499-N499+IF('депозитный калькулятор'!$G$14="есть",0,-L499),-IF(I499=" ",0,I499)-IF(AND(OR('депозитный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срока"),I498,0)+M499-N499+IF('депозитный калькулятор'!$G$14="есть",0,-L499))))</f>
        <v xml:space="preserve"> </v>
      </c>
      <c r="P499" s="147" t="str">
        <f>IF(F499&gt;'депозитный калькулятор'!$D$8," ",IF(EOMONTH(F498,0)=F498,0,IF(G499&gt;='депозитный калькулятор'!$G$19,P498,P498+1)))</f>
        <v xml:space="preserve"> </v>
      </c>
      <c r="Q499" s="138" t="str">
        <f>IF(F499=" "," ",IF(AND(OR('депозитный калькулятор'!$G$7="30/365",'депозитный калькулятор'!$G$7="30/360"),AND(MONTH(F499)=2,EOMONTH(F499,0)=F499)),IF(DAY(F499)=28,3,2),1)*IF(G499&gt;='депозитный калькулятор'!$G$11,IF(AND('депозитный калькулятор'!$G$7="факт/факт",MOD(YEAR(F499),4)=0),G499*'депозитный калькулятор'!$D$11/366,G499*'депозитный калькулятор'!$G$8),0))</f>
        <v xml:space="preserve"> </v>
      </c>
      <c r="R499" s="158"/>
      <c r="S499" s="62" t="str">
        <f t="shared" ca="1" si="37"/>
        <v xml:space="preserve"> </v>
      </c>
      <c r="T499" s="149" t="str">
        <f ca="1">IF(S499=" "," ",IF('депозитный калькулятор'!$G$7="30/360",DAYS360(U498,IF(DAY(U499)=31,U499-1,U499))+IF(AND(MONTH(U499)=2,U499=EOMONTH(U499,0)),30-DAY(EOMONTH(U499,0)))+T498,VLOOKUP(S499,$C$22:$F$1023,2,0)))</f>
        <v xml:space="preserve"> </v>
      </c>
      <c r="U499" s="64" t="str">
        <f t="shared" ca="1" si="35"/>
        <v xml:space="preserve"> </v>
      </c>
      <c r="V499" s="150" t="str">
        <f t="shared" ca="1" si="38"/>
        <v xml:space="preserve"> </v>
      </c>
      <c r="W499" s="62" t="str">
        <f t="shared" ca="1" si="39"/>
        <v xml:space="preserve"> </v>
      </c>
      <c r="X499" s="141" t="str">
        <f ca="1">IF(S499=" "," ",IFERROR(VLOOKUP(U499,$F$23:$N$1023,7)+VLOOKUP(U499,$F$23:$N$1023,9)+IF(AND('депозитный калькулятор'!$G$13="нет",U499&lt;&gt;'депозитный калькулятор'!$D$8),VLOOKUP(U499,$F$23:$N$1023,4),0),0)+IF(U499='депозитный калькулятор'!$D$8,VLOOKUP(U499,$F$23:$N$1023,2)+VLOOKUP(U499,$F$23:$N$1023,4),0))</f>
        <v xml:space="preserve"> </v>
      </c>
      <c r="Y499" s="142" t="str">
        <f ca="1">IF(S499=" "," ",W499/(1+'депозитный калькулятор'!$K$8)^(T499/IF('депозитный калькулятор'!$G$7="30/360",360,365)))</f>
        <v xml:space="preserve"> </v>
      </c>
      <c r="Z499" s="142" t="str">
        <f ca="1">IF(S499=" "," ",X499/(1+'депозитный калькулятор'!$K$8)^(T499/IF('депозитный калькулятор'!$G$7="30/360",360,365)))</f>
        <v xml:space="preserve"> </v>
      </c>
      <c r="AA499" s="151"/>
      <c r="AB499" s="151"/>
      <c r="AC499" s="155"/>
      <c r="AD499" s="155"/>
    </row>
    <row r="500" spans="1:30" s="2" customFormat="1" ht="15.5" x14ac:dyDescent="0.35">
      <c r="A500" s="41" t="str">
        <f>IF(F500=" "," ",IF(OR('депозитный калькулятор'!$G$7="30/365",'депозитный калькулятор'!$G$7="30/360"),IF(AND(MONTH(F500)=2,DAY(F500)=DAY(EOMONTH(F500,0))),30-DAY(EOMONTH(F500,0)),IF(DAY(F500)=31,1," "))," "))</f>
        <v xml:space="preserve"> </v>
      </c>
      <c r="B500" s="130" t="str">
        <f t="shared" si="36"/>
        <v xml:space="preserve"> </v>
      </c>
      <c r="C500" s="130" t="str">
        <f>IF(OR(B500=0,B500=" ")," ",SUM($B$23:B500))</f>
        <v xml:space="preserve"> </v>
      </c>
      <c r="D500" s="62" t="str">
        <f>IF(D499=" "," ",IF(OR(F499='депозитный калькулятор'!$D$8,F499=" ")," ",D499+1))</f>
        <v xml:space="preserve"> </v>
      </c>
      <c r="E500" s="130" t="str">
        <f>IF(OR(F499='депозитный калькулятор'!$D$8,F499=" ")," ",IF(EOMONTH(F499,0)=F499,1,E499+1))</f>
        <v xml:space="preserve"> </v>
      </c>
      <c r="F500" s="64" t="str">
        <f>IF(F499=" "," ",IF(F499='депозитный калькулятор'!$D$8," ",F499+1))</f>
        <v xml:space="preserve"> </v>
      </c>
      <c r="G500" s="145" t="str">
        <f xml:space="preserve"> IF(F500&gt;'депозитный калькулятор'!$D$8," ",IF('депозитный калькулятор'!$G$13="есть",IF('депозитный калькулятор'!$G$14="есть",G499+IF(I499=" ",0,I499)-J500-K500+L500+M500-N500,G499+IF(I499=" ",0,I499)-J500-K500+M500-N500),IF('депозитный калькулятор'!$G$14="есть",G499-J500-K500+L500+M500-N500,G499-J500-K500+M500-N500)))</f>
        <v xml:space="preserve"> </v>
      </c>
      <c r="H500" s="133" t="str">
        <f>IF(F500&gt;'депозитный калькулятор'!$D$8," ",IF(AND(OR('депозитный калькулятор'!$G$7="30/365",'депозитный калькулятор'!$G$7="30/360"),AND(MONTH(F500)=2,EOMONTH(F500,0)=F500)),IF(DAY(F500)=28,3*G500*'депозитный калькулятор'!$G$8,2*G500*'депозитный калькулятор'!$G$8),IF(AND(OR('депозитный калькулятор'!$G$7="30/365",'депозитный калькулятор'!$G$7="30/360"),DAY(F500)=31)," ",IF(AND('депозитный калькулятор'!$G$7="факт/факт",MOD(YEAR(F500),4)=0),G500*'депозитный калькулятор'!$D$11/366,G500*'депозитный калькулятор'!$G$8))))</f>
        <v xml:space="preserve"> </v>
      </c>
      <c r="I500" s="134" t="str">
        <f ca="1">IF(F500=" "," ",IF('депозитный калькулятор'!$G$10="ежедневное",H500,IF(AND('депозитный калькулятор'!$G$10="еженедельное",WEEKDAY(F500,2)=7),SUM(OFFSET(H500,-6,0):H500),IF(AND('депозитный калькулятор'!$G$10="еженедельное",F500='депозитный калькулятор'!$D$8),SUM($H$23:H500)-SUM($I$23:I499),IF(AND('депозитный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недели",WEEKDAY(F500,2)=7),MIN(OFFSET(H500,-6,0):H500)*(COUNTIF(OFFSET(H500,-6,0):H500,"&gt;0")+SUMIF(OFFSET(A500,-WEEKDAY(F500,2),0):A500,"=2",OFFSET(A500,-WEEKDAY(F500,2),0):A500)),IF(AND('депозитный калькулятор'!$G$10="еженедельное, на минимальную сумму зафиксированную в течение недели",F500='депозитный калькулятор'!$D$8,WEEKDAY(F500,2)&lt;&gt;7),MIN(OFFSET(H500,-WEEKDAY(F500,2),0):H500)*(COUNTIF(OFFSET(H500,-WEEKDAY(F500,2)+1,0):H500,"&gt;0")+SUM(OFFSET(A500,-WEEKDAY(F500,2),0):A500)),IF(AND('депозитный калькулятор'!$G$10="ежемесячное (в конце месяца)",F500='депозитный калькулятор'!$D$8,EOMONTH(F500,0)&lt;&gt;F500),IF('депозитный калькулятор'!$F$1=1,$H$24,SUM($H$23:H500)-SUM($I$23:I499)),IF(AND('депозитный калькулятор'!$G$10="ежемесячное (в конце месяца)",EOMONTH(F500,0)=F500),SUM($H$23:H500)-SUM($I$23:I499),IF(AND('депозитный калькулятор'!$G$10="ежемесячное (по дням открытия вклада)",F500='депозитный калькулятор'!$D$8,DAY('депозитный калькулятор'!$D$7)&lt;&gt;DAY(F500)),IF('депозитный калькулятор'!$F$1=1,$H$24,SUM($H$23:H500)-SUM($I$23:I499)),IF(AND('депозитный калькулятор'!$G$10="ежемесячное (по дням открытия вклада)",DAY('депозитный калькулятор'!$D$7)=DAY(F500)),SUM($H$23:H500)-SUM($I$23:I499),IF(AND('депозитный калькулятор'!$G$10="ежемесячное, на минимальную сумму зафиксированную в течение месяца",F500='депозитный калькулятор'!$D$8,EOMONTH(F500,0)&lt;&gt;F500),IF('депозитный калькулятор'!$F$1=1,$H$24,IF(AND(OR('депозитный калькулятор'!$G$7="30/365",'депозитный калькулятор'!$G$7="30/360"),DAY(F500)=31),0,MIN(OFFSET(H500,-E500+1,0):H500)*(E500+SUMIF(OFFSET(A500,-E500+1,0):A500,"=2",OFFSET(A500,-E500+1,0):A500)))),IF(AND('депозитный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калькулятор'!$G$7="30/360"),DAY(EOMONTH(F500,0))=31),EOMONTH(F500,0)-1=F500,EOMONTH(F500,0)=F500)),IF(IF(AND(OR('депозитный калькулятор'!$G$7="30/365",'депозитный калькулятор'!$G$7="30/360"),DAY(EOMONTH($F$23,0))=31),F500=EOMONTH($F$23,0)-1,F500=EOMONTH($F$23,0)),MIN(OFFSET(H500,-(DAY(F500)-DAY($F$23)),0):H500)*E500,MIN(OFFSET(H500,-(DAY(F500)-1),0):H500)*IF(AND(OR('депозитный калькулятор'!$G$7="30/365",'депозитный калькулятор'!$G$7="30/360"),DAY(F500)&lt;30),30,DAY(F500))),IF(AND('депозитный калькулятор'!$G$10="ежемесячное, на средний остаток в течение месяца, при условии что остаток больше чем ограничение",F500='депозитный калькулятор'!$D$8,EOMONTH(F500,0)&lt;&gt;F500),IF('депозитный калькулятор'!$F$1=1,$H$24,SUM(OFFSET(Q500,-E500+1,0):Q500)),IF(AND('депозитный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калькулятор'!$G$7="30/360"),DAY(EOMONTH(F500,0))=31),EOMONTH(F500,0)-1=F500,EOMONTH(F500,0)=F500)),IF(IF(AND(OR('депозитный калькулятор'!$G$7="30/365",'депозитный калькулятор'!$G$7="30/360"),DAY(EOMONTH($F$24,0))=31),F500=EOMONTH($F$24,0)-1,F500=EOMONTH($F$24,0)),SUM(OFFSET(Q500,-E500+1,0):Q500),SUM(OFFSET(Q500,-E500+1,0):Q500)),IF('депозитный калькулятор'!$G$10="ежеквартальное",IF(F500&gt;'депозитный калькулятор'!$D$8," ",IF(AND(EOMONTH(F500,0)=F500,OR(MONTH(F500)=3,MONTH(F500)=6,MONTH(F500)=9,MONTH(F500)=12)),IF(EDATE(F500,-3)&lt;'депозитный калькулятор'!$D$7,SUM($H$23:H500),IF(MOD(YEAR(F500),4)=0,IF(AND(EOMONTH(F500,0)=F500,OR(MONTH(F500)=3,MONTH(F500)=6)),SUM(OFFSET(H500,-90,0):H500),IF(AND(EOMONTH(F500,0)=F500,OR(MONTH(F500)=9,MONTH(F500)=12)),SUM(OFFSET(H500,-91,0):H500))),IF(AND(EOMONTH(F500,0)=F500,MONTH(F500)=3),SUM(OFFSET(H500,-89,0):H500),IF(AND(EOMONTH(F500,0)=F500,MONTH(F500)=6),SUM(OFFSET(H500,-90,0):H500),IF(AND(EOMONTH(F500,0)=F500,OR(MONTH(F500)=9,MONTH(F500)=12)),SUM(OFFSET(H500,-91,0):H500)))))),IF(F500='депозитный калькулятор'!$D$8,SUM($H$23:H500)-SUM($I$23:I499),0))),IF('депозитный калькулятор'!$G$10="ежегодное",IF(F500&gt;'депозитный калькулятор'!$D$8," ",IF(F500='депозитный калькулятор'!$D$8,SUM($H$23:H500)-SUM($I$23:I499),IF(AND(EOMONTH(F500,0)=F500,MONTH(F500)=12),IF(MOD(YEAR(F499),4)=0,IF(F500-'депозитный калькулятор'!$D$7&lt;366,SUM($H$23:H500),SUM(OFFSET(H500,-365,0):H500)),IF(F500-'депозитный калькулятор'!$D$7&lt;365,SUM($H$23:H500),SUM(OFFSET(H500,-364,0):H500))),0))),IF(AND('депозитный калькулятор'!$G$10="в конце срока",'депозитный калькулятор'!$D$8=F500),SUM($H$23:H500),0))))))))))))))))))</f>
        <v xml:space="preserve"> </v>
      </c>
      <c r="J500" s="59" t="str">
        <f>IF(F500&gt;'депозитный калькулятор'!$D$8," ",IF('депозитный калькулятор'!$G$16="нет",0,IF(AND('депозитный калькулятор'!$G$17="разовая (в конце срока)",F500='депозитный калькулятор'!$D$8),'депозитный калькулятор'!$G$18,IF(AND('депозитный калькулятор'!$G$17="ежемесячная",EOMONTH(F499,0)=F499),'депозитный калькулятор'!$G$18,IF(AND('депозитный калькулятор'!$G$17="ежегодная",DAY(F499)=31,MONTH(F499)=12),'депозитный калькулятор'!$G$18,IF(AND('депозитный калькулятор'!$G$17="ежемесячная в зависимости от остатка",EOMONTH(F499,0)=F499,P499&gt;0),'депозитный калькулятор'!$G$18,IF(AND('депозитный калькулятор'!$G$17="ежегодная в зависимости от остатка",DAY(F499)=31,MONTH(F499)=12,P499&gt;0),'депозитный калькулятор'!$G$18,0)))))))</f>
        <v xml:space="preserve"> </v>
      </c>
      <c r="K500" s="135" t="str">
        <f>IF($F500=" "," ",IFERROR(VLOOKUP($F500,'депозитный калькулятор'!$B$26:$F$70,2,0),0))</f>
        <v xml:space="preserve"> </v>
      </c>
      <c r="L500" s="135" t="str">
        <f>IF($F500=" "," ",IFERROR(VLOOKUP($F500,'депозитный калькулятор'!$B$26:$F$70,3,0),0))</f>
        <v xml:space="preserve"> </v>
      </c>
      <c r="M500" s="135" t="str">
        <f>IF($F500=" "," ",IFERROR(VLOOKUP($F500,'депозитный калькулятор'!$B$26:$F$70,4,0),0))</f>
        <v xml:space="preserve"> </v>
      </c>
      <c r="N500" s="135" t="str">
        <f>IF($F500=" "," ",IFERROR(VLOOKUP($F500,'депозитный калькулятор'!$B$26:$F$70,5,0),0))</f>
        <v xml:space="preserve"> </v>
      </c>
      <c r="O500" s="146" t="str">
        <f>IF(F500&gt;'депозитный калькулятор'!$D$8," ",IF(F500='депозитный калькулятор'!$D$8,IF(AND($F$24='депозитный калькулятор'!$D$8,'депозитный калькулятор'!$G$13="нет"),-G500-IF(I500=" ",0,I500)-IF(AND(OR('депозитный калькулятор'!$G$7="30/365",'депозитный калькулятор'!$G$7="30/360"),'депозитный калькулятор'!$G$10="в начале срока"),I499,0)-L500+M500-N500,-G500-IF(I500=" ",0,I500)-L500+M500-N500),IF('депозитный калькулятор'!$G$13="есть",M500-N500+IF('депозитный калькулятор'!$G$14="есть",0,-L500),-IF(I500=" ",0,I500)-IF(AND(OR('депозитный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срока"),I499,0)+M500-N500+IF('депозитный калькулятор'!$G$14="есть",0,-L500))))</f>
        <v xml:space="preserve"> </v>
      </c>
      <c r="P500" s="147" t="str">
        <f>IF(F500&gt;'депозитный калькулятор'!$D$8," ",IF(EOMONTH(F499,0)=F499,0,IF(G500&gt;='депозитный калькулятор'!$G$19,P499,P499+1)))</f>
        <v xml:space="preserve"> </v>
      </c>
      <c r="Q500" s="138" t="str">
        <f>IF(F500=" "," ",IF(AND(OR('депозитный калькулятор'!$G$7="30/365",'депозитный калькулятор'!$G$7="30/360"),AND(MONTH(F500)=2,EOMONTH(F500,0)=F500)),IF(DAY(F500)=28,3,2),1)*IF(G500&gt;='депозитный калькулятор'!$G$11,IF(AND('депозитный калькулятор'!$G$7="факт/факт",MOD(YEAR(F500),4)=0),G500*'депозитный калькулятор'!$D$11/366,G500*'депозитный калькулятор'!$G$8),0))</f>
        <v xml:space="preserve"> </v>
      </c>
      <c r="R500" s="158"/>
      <c r="S500" s="62" t="str">
        <f t="shared" ca="1" si="37"/>
        <v xml:space="preserve"> </v>
      </c>
      <c r="T500" s="149" t="str">
        <f ca="1">IF(S500=" "," ",IF('депозитный калькулятор'!$G$7="30/360",DAYS360(U499,IF(DAY(U500)=31,U500-1,U500))+IF(AND(MONTH(U500)=2,U500=EOMONTH(U500,0)),30-DAY(EOMONTH(U500,0)))+T499,VLOOKUP(S500,$C$22:$F$1023,2,0)))</f>
        <v xml:space="preserve"> </v>
      </c>
      <c r="U500" s="64" t="str">
        <f t="shared" ca="1" si="35"/>
        <v xml:space="preserve"> </v>
      </c>
      <c r="V500" s="150" t="str">
        <f t="shared" ca="1" si="38"/>
        <v xml:space="preserve"> </v>
      </c>
      <c r="W500" s="62" t="str">
        <f t="shared" ca="1" si="39"/>
        <v xml:space="preserve"> </v>
      </c>
      <c r="X500" s="141" t="str">
        <f ca="1">IF(S500=" "," ",IFERROR(VLOOKUP(U500,$F$23:$N$1023,7)+VLOOKUP(U500,$F$23:$N$1023,9)+IF(AND('депозитный калькулятор'!$G$13="нет",U500&lt;&gt;'депозитный калькулятор'!$D$8),VLOOKUP(U500,$F$23:$N$1023,4),0),0)+IF(U500='депозитный калькулятор'!$D$8,VLOOKUP(U500,$F$23:$N$1023,2)+VLOOKUP(U500,$F$23:$N$1023,4),0))</f>
        <v xml:space="preserve"> </v>
      </c>
      <c r="Y500" s="142" t="str">
        <f ca="1">IF(S500=" "," ",W500/(1+'депозитный калькулятор'!$K$8)^(T500/IF('депозитный калькулятор'!$G$7="30/360",360,365)))</f>
        <v xml:space="preserve"> </v>
      </c>
      <c r="Z500" s="142" t="str">
        <f ca="1">IF(S500=" "," ",X500/(1+'депозитный калькулятор'!$K$8)^(T500/IF('депозитный калькулятор'!$G$7="30/360",360,365)))</f>
        <v xml:space="preserve"> </v>
      </c>
      <c r="AA500" s="151"/>
      <c r="AB500" s="151"/>
      <c r="AC500" s="155"/>
      <c r="AD500" s="155"/>
    </row>
    <row r="501" spans="1:30" s="2" customFormat="1" ht="15.5" x14ac:dyDescent="0.35">
      <c r="A501" s="41" t="str">
        <f>IF(F501=" "," ",IF(OR('депозитный калькулятор'!$G$7="30/365",'депозитный калькулятор'!$G$7="30/360"),IF(AND(MONTH(F501)=2,DAY(F501)=DAY(EOMONTH(F501,0))),30-DAY(EOMONTH(F501,0)),IF(DAY(F501)=31,1," "))," "))</f>
        <v xml:space="preserve"> </v>
      </c>
      <c r="B501" s="130" t="str">
        <f t="shared" si="36"/>
        <v xml:space="preserve"> </v>
      </c>
      <c r="C501" s="130" t="str">
        <f>IF(OR(B501=0,B501=" ")," ",SUM($B$23:B501))</f>
        <v xml:space="preserve"> </v>
      </c>
      <c r="D501" s="62" t="str">
        <f>IF(D500=" "," ",IF(OR(F500='депозитный калькулятор'!$D$8,F500=" ")," ",D500+1))</f>
        <v xml:space="preserve"> </v>
      </c>
      <c r="E501" s="130" t="str">
        <f>IF(OR(F500='депозитный калькулятор'!$D$8,F500=" ")," ",IF(EOMONTH(F500,0)=F500,1,E500+1))</f>
        <v xml:space="preserve"> </v>
      </c>
      <c r="F501" s="64" t="str">
        <f>IF(F500=" "," ",IF(F500='депозитный калькулятор'!$D$8," ",F500+1))</f>
        <v xml:space="preserve"> </v>
      </c>
      <c r="G501" s="145" t="str">
        <f xml:space="preserve"> IF(F501&gt;'депозитный калькулятор'!$D$8," ",IF('депозитный калькулятор'!$G$13="есть",IF('депозитный калькулятор'!$G$14="есть",G500+IF(I500=" ",0,I500)-J501-K501+L501+M501-N501,G500+IF(I500=" ",0,I500)-J501-K501+M501-N501),IF('депозитный калькулятор'!$G$14="есть",G500-J501-K501+L501+M501-N501,G500-J501-K501+M501-N501)))</f>
        <v xml:space="preserve"> </v>
      </c>
      <c r="H501" s="133" t="str">
        <f>IF(F501&gt;'депозитный калькулятор'!$D$8," ",IF(AND(OR('депозитный калькулятор'!$G$7="30/365",'депозитный калькулятор'!$G$7="30/360"),AND(MONTH(F501)=2,EOMONTH(F501,0)=F501)),IF(DAY(F501)=28,3*G501*'депозитный калькулятор'!$G$8,2*G501*'депозитный калькулятор'!$G$8),IF(AND(OR('депозитный калькулятор'!$G$7="30/365",'депозитный калькулятор'!$G$7="30/360"),DAY(F501)=31)," ",IF(AND('депозитный калькулятор'!$G$7="факт/факт",MOD(YEAR(F501),4)=0),G501*'депозитный калькулятор'!$D$11/366,G501*'депозитный калькулятор'!$G$8))))</f>
        <v xml:space="preserve"> </v>
      </c>
      <c r="I501" s="134" t="str">
        <f ca="1">IF(F501=" "," ",IF('депозитный калькулятор'!$G$10="ежедневное",H501,IF(AND('депозитный калькулятор'!$G$10="еженедельное",WEEKDAY(F501,2)=7),SUM(OFFSET(H501,-6,0):H501),IF(AND('депозитный калькулятор'!$G$10="еженедельное",F501='депозитный калькулятор'!$D$8),SUM($H$23:H501)-SUM($I$23:I500),IF(AND('депозитный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недели",WEEKDAY(F501,2)=7),MIN(OFFSET(H501,-6,0):H501)*(COUNTIF(OFFSET(H501,-6,0):H501,"&gt;0")+SUMIF(OFFSET(A501,-WEEKDAY(F501,2),0):A501,"=2",OFFSET(A501,-WEEKDAY(F501,2),0):A501)),IF(AND('депозитный калькулятор'!$G$10="еженедельное, на минимальную сумму зафиксированную в течение недели",F501='депозитный калькулятор'!$D$8,WEEKDAY(F501,2)&lt;&gt;7),MIN(OFFSET(H501,-WEEKDAY(F501,2),0):H501)*(COUNTIF(OFFSET(H501,-WEEKDAY(F501,2)+1,0):H501,"&gt;0")+SUM(OFFSET(A501,-WEEKDAY(F501,2),0):A501)),IF(AND('депозитный калькулятор'!$G$10="ежемесячное (в конце месяца)",F501='депозитный калькулятор'!$D$8,EOMONTH(F501,0)&lt;&gt;F501),IF('депозитный калькулятор'!$F$1=1,$H$24,SUM($H$23:H501)-SUM($I$23:I500)),IF(AND('депозитный калькулятор'!$G$10="ежемесячное (в конце месяца)",EOMONTH(F501,0)=F501),SUM($H$23:H501)-SUM($I$23:I500),IF(AND('депозитный калькулятор'!$G$10="ежемесячное (по дням открытия вклада)",F501='депозитный калькулятор'!$D$8,DAY('депозитный калькулятор'!$D$7)&lt;&gt;DAY(F501)),IF('депозитный калькулятор'!$F$1=1,$H$24,SUM($H$23:H501)-SUM($I$23:I500)),IF(AND('депозитный калькулятор'!$G$10="ежемесячное (по дням открытия вклада)",DAY('депозитный калькулятор'!$D$7)=DAY(F501)),SUM($H$23:H501)-SUM($I$23:I500),IF(AND('депозитный калькулятор'!$G$10="ежемесячное, на минимальную сумму зафиксированную в течение месяца",F501='депозитный калькулятор'!$D$8,EOMONTH(F501,0)&lt;&gt;F501),IF('депозитный калькулятор'!$F$1=1,$H$24,IF(AND(OR('депозитный калькулятор'!$G$7="30/365",'депозитный калькулятор'!$G$7="30/360"),DAY(F501)=31),0,MIN(OFFSET(H501,-E501+1,0):H501)*(E501+SUMIF(OFFSET(A501,-E501+1,0):A501,"=2",OFFSET(A501,-E501+1,0):A501)))),IF(AND('депозитный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калькулятор'!$G$7="30/360"),DAY(EOMONTH(F501,0))=31),EOMONTH(F501,0)-1=F501,EOMONTH(F501,0)=F501)),IF(IF(AND(OR('депозитный калькулятор'!$G$7="30/365",'депозитный калькулятор'!$G$7="30/360"),DAY(EOMONTH($F$23,0))=31),F501=EOMONTH($F$23,0)-1,F501=EOMONTH($F$23,0)),MIN(OFFSET(H501,-(DAY(F501)-DAY($F$23)),0):H501)*E501,MIN(OFFSET(H501,-(DAY(F501)-1),0):H501)*IF(AND(OR('депозитный калькулятор'!$G$7="30/365",'депозитный калькулятор'!$G$7="30/360"),DAY(F501)&lt;30),30,DAY(F501))),IF(AND('депозитный калькулятор'!$G$10="ежемесячное, на средний остаток в течение месяца, при условии что остаток больше чем ограничение",F501='депозитный калькулятор'!$D$8,EOMONTH(F501,0)&lt;&gt;F501),IF('депозитный калькулятор'!$F$1=1,$H$24,SUM(OFFSET(Q501,-E501+1,0):Q501)),IF(AND('депозитный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калькулятор'!$G$7="30/360"),DAY(EOMONTH(F501,0))=31),EOMONTH(F501,0)-1=F501,EOMONTH(F501,0)=F501)),IF(IF(AND(OR('депозитный калькулятор'!$G$7="30/365",'депозитный калькулятор'!$G$7="30/360"),DAY(EOMONTH($F$24,0))=31),F501=EOMONTH($F$24,0)-1,F501=EOMONTH($F$24,0)),SUM(OFFSET(Q501,-E501+1,0):Q501),SUM(OFFSET(Q501,-E501+1,0):Q501)),IF('депозитный калькулятор'!$G$10="ежеквартальное",IF(F501&gt;'депозитный калькулятор'!$D$8," ",IF(AND(EOMONTH(F501,0)=F501,OR(MONTH(F501)=3,MONTH(F501)=6,MONTH(F501)=9,MONTH(F501)=12)),IF(EDATE(F501,-3)&lt;'депозитный калькулятор'!$D$7,SUM($H$23:H501),IF(MOD(YEAR(F501),4)=0,IF(AND(EOMONTH(F501,0)=F501,OR(MONTH(F501)=3,MONTH(F501)=6)),SUM(OFFSET(H501,-90,0):H501),IF(AND(EOMONTH(F501,0)=F501,OR(MONTH(F501)=9,MONTH(F501)=12)),SUM(OFFSET(H501,-91,0):H501))),IF(AND(EOMONTH(F501,0)=F501,MONTH(F501)=3),SUM(OFFSET(H501,-89,0):H501),IF(AND(EOMONTH(F501,0)=F501,MONTH(F501)=6),SUM(OFFSET(H501,-90,0):H501),IF(AND(EOMONTH(F501,0)=F501,OR(MONTH(F501)=9,MONTH(F501)=12)),SUM(OFFSET(H501,-91,0):H501)))))),IF(F501='депозитный калькулятор'!$D$8,SUM($H$23:H501)-SUM($I$23:I500),0))),IF('депозитный калькулятор'!$G$10="ежегодное",IF(F501&gt;'депозитный калькулятор'!$D$8," ",IF(F501='депозитный калькулятор'!$D$8,SUM($H$23:H501)-SUM($I$23:I500),IF(AND(EOMONTH(F501,0)=F501,MONTH(F501)=12),IF(MOD(YEAR(F500),4)=0,IF(F501-'депозитный калькулятор'!$D$7&lt;366,SUM($H$23:H501),SUM(OFFSET(H501,-365,0):H501)),IF(F501-'депозитный калькулятор'!$D$7&lt;365,SUM($H$23:H501),SUM(OFFSET(H501,-364,0):H501))),0))),IF(AND('депозитный калькулятор'!$G$10="в конце срока",'депозитный калькулятор'!$D$8=F501),SUM($H$23:H501),0))))))))))))))))))</f>
        <v xml:space="preserve"> </v>
      </c>
      <c r="J501" s="59" t="str">
        <f>IF(F501&gt;'депозитный калькулятор'!$D$8," ",IF('депозитный калькулятор'!$G$16="нет",0,IF(AND('депозитный калькулятор'!$G$17="разовая (в конце срока)",F501='депозитный калькулятор'!$D$8),'депозитный калькулятор'!$G$18,IF(AND('депозитный калькулятор'!$G$17="ежемесячная",EOMONTH(F500,0)=F500),'депозитный калькулятор'!$G$18,IF(AND('депозитный калькулятор'!$G$17="ежегодная",DAY(F500)=31,MONTH(F500)=12),'депозитный калькулятор'!$G$18,IF(AND('депозитный калькулятор'!$G$17="ежемесячная в зависимости от остатка",EOMONTH(F500,0)=F500,P500&gt;0),'депозитный калькулятор'!$G$18,IF(AND('депозитный калькулятор'!$G$17="ежегодная в зависимости от остатка",DAY(F500)=31,MONTH(F500)=12,P500&gt;0),'депозитный калькулятор'!$G$18,0)))))))</f>
        <v xml:space="preserve"> </v>
      </c>
      <c r="K501" s="135" t="str">
        <f>IF($F501=" "," ",IFERROR(VLOOKUP($F501,'депозитный калькулятор'!$B$26:$F$70,2,0),0))</f>
        <v xml:space="preserve"> </v>
      </c>
      <c r="L501" s="135" t="str">
        <f>IF($F501=" "," ",IFERROR(VLOOKUP($F501,'депозитный калькулятор'!$B$26:$F$70,3,0),0))</f>
        <v xml:space="preserve"> </v>
      </c>
      <c r="M501" s="135" t="str">
        <f>IF($F501=" "," ",IFERROR(VLOOKUP($F501,'депозитный калькулятор'!$B$26:$F$70,4,0),0))</f>
        <v xml:space="preserve"> </v>
      </c>
      <c r="N501" s="135" t="str">
        <f>IF($F501=" "," ",IFERROR(VLOOKUP($F501,'депозитный калькулятор'!$B$26:$F$70,5,0),0))</f>
        <v xml:space="preserve"> </v>
      </c>
      <c r="O501" s="146" t="str">
        <f>IF(F501&gt;'депозитный калькулятор'!$D$8," ",IF(F501='депозитный калькулятор'!$D$8,IF(AND($F$24='депозитный калькулятор'!$D$8,'депозитный калькулятор'!$G$13="нет"),-G501-IF(I501=" ",0,I501)-IF(AND(OR('депозитный калькулятор'!$G$7="30/365",'депозитный калькулятор'!$G$7="30/360"),'депозитный калькулятор'!$G$10="в начале срока"),I500,0)-L501+M501-N501,-G501-IF(I501=" ",0,I501)-L501+M501-N501),IF('депозитный калькулятор'!$G$13="есть",M501-N501+IF('депозитный калькулятор'!$G$14="есть",0,-L501),-IF(I501=" ",0,I501)-IF(AND(OR('депозитный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срока"),I500,0)+M501-N501+IF('депозитный калькулятор'!$G$14="есть",0,-L501))))</f>
        <v xml:space="preserve"> </v>
      </c>
      <c r="P501" s="147" t="str">
        <f>IF(F501&gt;'депозитный калькулятор'!$D$8," ",IF(EOMONTH(F500,0)=F500,0,IF(G501&gt;='депозитный калькулятор'!$G$19,P500,P500+1)))</f>
        <v xml:space="preserve"> </v>
      </c>
      <c r="Q501" s="138" t="str">
        <f>IF(F501=" "," ",IF(AND(OR('депозитный калькулятор'!$G$7="30/365",'депозитный калькулятор'!$G$7="30/360"),AND(MONTH(F501)=2,EOMONTH(F501,0)=F501)),IF(DAY(F501)=28,3,2),1)*IF(G501&gt;='депозитный калькулятор'!$G$11,IF(AND('депозитный калькулятор'!$G$7="факт/факт",MOD(YEAR(F501),4)=0),G501*'депозитный калькулятор'!$D$11/366,G501*'депозитный калькулятор'!$G$8),0))</f>
        <v xml:space="preserve"> </v>
      </c>
      <c r="R501" s="158"/>
      <c r="S501" s="62" t="str">
        <f t="shared" ca="1" si="37"/>
        <v xml:space="preserve"> </v>
      </c>
      <c r="T501" s="149" t="str">
        <f ca="1">IF(S501=" "," ",IF('депозитный калькулятор'!$G$7="30/360",DAYS360(U500,IF(DAY(U501)=31,U501-1,U501))+IF(AND(MONTH(U501)=2,U501=EOMONTH(U501,0)),30-DAY(EOMONTH(U501,0)))+T500,VLOOKUP(S501,$C$22:$F$1023,2,0)))</f>
        <v xml:space="preserve"> </v>
      </c>
      <c r="U501" s="64" t="str">
        <f t="shared" ca="1" si="35"/>
        <v xml:space="preserve"> </v>
      </c>
      <c r="V501" s="150" t="str">
        <f t="shared" ca="1" si="38"/>
        <v xml:space="preserve"> </v>
      </c>
      <c r="W501" s="62" t="str">
        <f t="shared" ca="1" si="39"/>
        <v xml:space="preserve"> </v>
      </c>
      <c r="X501" s="141" t="str">
        <f ca="1">IF(S501=" "," ",IFERROR(VLOOKUP(U501,$F$23:$N$1023,7)+VLOOKUP(U501,$F$23:$N$1023,9)+IF(AND('депозитный калькулятор'!$G$13="нет",U501&lt;&gt;'депозитный калькулятор'!$D$8),VLOOKUP(U501,$F$23:$N$1023,4),0),0)+IF(U501='депозитный калькулятор'!$D$8,VLOOKUP(U501,$F$23:$N$1023,2)+VLOOKUP(U501,$F$23:$N$1023,4),0))</f>
        <v xml:space="preserve"> </v>
      </c>
      <c r="Y501" s="142" t="str">
        <f ca="1">IF(S501=" "," ",W501/(1+'депозитный калькулятор'!$K$8)^(T501/IF('депозитный калькулятор'!$G$7="30/360",360,365)))</f>
        <v xml:space="preserve"> </v>
      </c>
      <c r="Z501" s="142" t="str">
        <f ca="1">IF(S501=" "," ",X501/(1+'депозитный калькулятор'!$K$8)^(T501/IF('депозитный калькулятор'!$G$7="30/360",360,365)))</f>
        <v xml:space="preserve"> </v>
      </c>
      <c r="AA501" s="151"/>
      <c r="AB501" s="151"/>
      <c r="AC501" s="155"/>
      <c r="AD501" s="155"/>
    </row>
    <row r="502" spans="1:30" s="2" customFormat="1" ht="15.5" x14ac:dyDescent="0.35">
      <c r="A502" s="41" t="str">
        <f>IF(F502=" "," ",IF(OR('депозитный калькулятор'!$G$7="30/365",'депозитный калькулятор'!$G$7="30/360"),IF(AND(MONTH(F502)=2,DAY(F502)=DAY(EOMONTH(F502,0))),30-DAY(EOMONTH(F502,0)),IF(DAY(F502)=31,1," "))," "))</f>
        <v xml:space="preserve"> </v>
      </c>
      <c r="B502" s="130" t="str">
        <f t="shared" si="36"/>
        <v xml:space="preserve"> </v>
      </c>
      <c r="C502" s="130" t="str">
        <f>IF(OR(B502=0,B502=" ")," ",SUM($B$23:B502))</f>
        <v xml:space="preserve"> </v>
      </c>
      <c r="D502" s="62" t="str">
        <f>IF(D501=" "," ",IF(OR(F501='депозитный калькулятор'!$D$8,F501=" ")," ",D501+1))</f>
        <v xml:space="preserve"> </v>
      </c>
      <c r="E502" s="130" t="str">
        <f>IF(OR(F501='депозитный калькулятор'!$D$8,F501=" ")," ",IF(EOMONTH(F501,0)=F501,1,E501+1))</f>
        <v xml:space="preserve"> </v>
      </c>
      <c r="F502" s="64" t="str">
        <f>IF(F501=" "," ",IF(F501='депозитный калькулятор'!$D$8," ",F501+1))</f>
        <v xml:space="preserve"> </v>
      </c>
      <c r="G502" s="145" t="str">
        <f xml:space="preserve"> IF(F502&gt;'депозитный калькулятор'!$D$8," ",IF('депозитный калькулятор'!$G$13="есть",IF('депозитный калькулятор'!$G$14="есть",G501+IF(I501=" ",0,I501)-J502-K502+L502+M502-N502,G501+IF(I501=" ",0,I501)-J502-K502+M502-N502),IF('депозитный калькулятор'!$G$14="есть",G501-J502-K502+L502+M502-N502,G501-J502-K502+M502-N502)))</f>
        <v xml:space="preserve"> </v>
      </c>
      <c r="H502" s="133" t="str">
        <f>IF(F502&gt;'депозитный калькулятор'!$D$8," ",IF(AND(OR('депозитный калькулятор'!$G$7="30/365",'депозитный калькулятор'!$G$7="30/360"),AND(MONTH(F502)=2,EOMONTH(F502,0)=F502)),IF(DAY(F502)=28,3*G502*'депозитный калькулятор'!$G$8,2*G502*'депозитный калькулятор'!$G$8),IF(AND(OR('депозитный калькулятор'!$G$7="30/365",'депозитный калькулятор'!$G$7="30/360"),DAY(F502)=31)," ",IF(AND('депозитный калькулятор'!$G$7="факт/факт",MOD(YEAR(F502),4)=0),G502*'депозитный калькулятор'!$D$11/366,G502*'депозитный калькулятор'!$G$8))))</f>
        <v xml:space="preserve"> </v>
      </c>
      <c r="I502" s="134" t="str">
        <f ca="1">IF(F502=" "," ",IF('депозитный калькулятор'!$G$10="ежедневное",H502,IF(AND('депозитный калькулятор'!$G$10="еженедельное",WEEKDAY(F502,2)=7),SUM(OFFSET(H502,-6,0):H502),IF(AND('депозитный калькулятор'!$G$10="еженедельное",F502='депозитный калькулятор'!$D$8),SUM($H$23:H502)-SUM($I$23:I501),IF(AND('депозитный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недели",WEEKDAY(F502,2)=7),MIN(OFFSET(H502,-6,0):H502)*(COUNTIF(OFFSET(H502,-6,0):H502,"&gt;0")+SUMIF(OFFSET(A502,-WEEKDAY(F502,2),0):A502,"=2",OFFSET(A502,-WEEKDAY(F502,2),0):A502)),IF(AND('депозитный калькулятор'!$G$10="еженедельное, на минимальную сумму зафиксированную в течение недели",F502='депозитный калькулятор'!$D$8,WEEKDAY(F502,2)&lt;&gt;7),MIN(OFFSET(H502,-WEEKDAY(F502,2),0):H502)*(COUNTIF(OFFSET(H502,-WEEKDAY(F502,2)+1,0):H502,"&gt;0")+SUM(OFFSET(A502,-WEEKDAY(F502,2),0):A502)),IF(AND('депозитный калькулятор'!$G$10="ежемесячное (в конце месяца)",F502='депозитный калькулятор'!$D$8,EOMONTH(F502,0)&lt;&gt;F502),IF('депозитный калькулятор'!$F$1=1,$H$24,SUM($H$23:H502)-SUM($I$23:I501)),IF(AND('депозитный калькулятор'!$G$10="ежемесячное (в конце месяца)",EOMONTH(F502,0)=F502),SUM($H$23:H502)-SUM($I$23:I501),IF(AND('депозитный калькулятор'!$G$10="ежемесячное (по дням открытия вклада)",F502='депозитный калькулятор'!$D$8,DAY('депозитный калькулятор'!$D$7)&lt;&gt;DAY(F502)),IF('депозитный калькулятор'!$F$1=1,$H$24,SUM($H$23:H502)-SUM($I$23:I501)),IF(AND('депозитный калькулятор'!$G$10="ежемесячное (по дням открытия вклада)",DAY('депозитный калькулятор'!$D$7)=DAY(F502)),SUM($H$23:H502)-SUM($I$23:I501),IF(AND('депозитный калькулятор'!$G$10="ежемесячное, на минимальную сумму зафиксированную в течение месяца",F502='депозитный калькулятор'!$D$8,EOMONTH(F502,0)&lt;&gt;F502),IF('депозитный калькулятор'!$F$1=1,$H$24,IF(AND(OR('депозитный калькулятор'!$G$7="30/365",'депозитный калькулятор'!$G$7="30/360"),DAY(F502)=31),0,MIN(OFFSET(H502,-E502+1,0):H502)*(E502+SUMIF(OFFSET(A502,-E502+1,0):A502,"=2",OFFSET(A502,-E502+1,0):A502)))),IF(AND('депозитный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калькулятор'!$G$7="30/360"),DAY(EOMONTH(F502,0))=31),EOMONTH(F502,0)-1=F502,EOMONTH(F502,0)=F502)),IF(IF(AND(OR('депозитный калькулятор'!$G$7="30/365",'депозитный калькулятор'!$G$7="30/360"),DAY(EOMONTH($F$23,0))=31),F502=EOMONTH($F$23,0)-1,F502=EOMONTH($F$23,0)),MIN(OFFSET(H502,-(DAY(F502)-DAY($F$23)),0):H502)*E502,MIN(OFFSET(H502,-(DAY(F502)-1),0):H502)*IF(AND(OR('депозитный калькулятор'!$G$7="30/365",'депозитный калькулятор'!$G$7="30/360"),DAY(F502)&lt;30),30,DAY(F502))),IF(AND('депозитный калькулятор'!$G$10="ежемесячное, на средний остаток в течение месяца, при условии что остаток больше чем ограничение",F502='депозитный калькулятор'!$D$8,EOMONTH(F502,0)&lt;&gt;F502),IF('депозитный калькулятор'!$F$1=1,$H$24,SUM(OFFSET(Q502,-E502+1,0):Q502)),IF(AND('депозитный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калькулятор'!$G$7="30/360"),DAY(EOMONTH(F502,0))=31),EOMONTH(F502,0)-1=F502,EOMONTH(F502,0)=F502)),IF(IF(AND(OR('депозитный калькулятор'!$G$7="30/365",'депозитный калькулятор'!$G$7="30/360"),DAY(EOMONTH($F$24,0))=31),F502=EOMONTH($F$24,0)-1,F502=EOMONTH($F$24,0)),SUM(OFFSET(Q502,-E502+1,0):Q502),SUM(OFFSET(Q502,-E502+1,0):Q502)),IF('депозитный калькулятор'!$G$10="ежеквартальное",IF(F502&gt;'депозитный калькулятор'!$D$8," ",IF(AND(EOMONTH(F502,0)=F502,OR(MONTH(F502)=3,MONTH(F502)=6,MONTH(F502)=9,MONTH(F502)=12)),IF(EDATE(F502,-3)&lt;'депозитный калькулятор'!$D$7,SUM($H$23:H502),IF(MOD(YEAR(F502),4)=0,IF(AND(EOMONTH(F502,0)=F502,OR(MONTH(F502)=3,MONTH(F502)=6)),SUM(OFFSET(H502,-90,0):H502),IF(AND(EOMONTH(F502,0)=F502,OR(MONTH(F502)=9,MONTH(F502)=12)),SUM(OFFSET(H502,-91,0):H502))),IF(AND(EOMONTH(F502,0)=F502,MONTH(F502)=3),SUM(OFFSET(H502,-89,0):H502),IF(AND(EOMONTH(F502,0)=F502,MONTH(F502)=6),SUM(OFFSET(H502,-90,0):H502),IF(AND(EOMONTH(F502,0)=F502,OR(MONTH(F502)=9,MONTH(F502)=12)),SUM(OFFSET(H502,-91,0):H502)))))),IF(F502='депозитный калькулятор'!$D$8,SUM($H$23:H502)-SUM($I$23:I501),0))),IF('депозитный калькулятор'!$G$10="ежегодное",IF(F502&gt;'депозитный калькулятор'!$D$8," ",IF(F502='депозитный калькулятор'!$D$8,SUM($H$23:H502)-SUM($I$23:I501),IF(AND(EOMONTH(F502,0)=F502,MONTH(F502)=12),IF(MOD(YEAR(F501),4)=0,IF(F502-'депозитный калькулятор'!$D$7&lt;366,SUM($H$23:H502),SUM(OFFSET(H502,-365,0):H502)),IF(F502-'депозитный калькулятор'!$D$7&lt;365,SUM($H$23:H502),SUM(OFFSET(H502,-364,0):H502))),0))),IF(AND('депозитный калькулятор'!$G$10="в конце срока",'депозитный калькулятор'!$D$8=F502),SUM($H$23:H502),0))))))))))))))))))</f>
        <v xml:space="preserve"> </v>
      </c>
      <c r="J502" s="59" t="str">
        <f>IF(F502&gt;'депозитный калькулятор'!$D$8," ",IF('депозитный калькулятор'!$G$16="нет",0,IF(AND('депозитный калькулятор'!$G$17="разовая (в конце срока)",F502='депозитный калькулятор'!$D$8),'депозитный калькулятор'!$G$18,IF(AND('депозитный калькулятор'!$G$17="ежемесячная",EOMONTH(F501,0)=F501),'депозитный калькулятор'!$G$18,IF(AND('депозитный калькулятор'!$G$17="ежегодная",DAY(F501)=31,MONTH(F501)=12),'депозитный калькулятор'!$G$18,IF(AND('депозитный калькулятор'!$G$17="ежемесячная в зависимости от остатка",EOMONTH(F501,0)=F501,P501&gt;0),'депозитный калькулятор'!$G$18,IF(AND('депозитный калькулятор'!$G$17="ежегодная в зависимости от остатка",DAY(F501)=31,MONTH(F501)=12,P501&gt;0),'депозитный калькулятор'!$G$18,0)))))))</f>
        <v xml:space="preserve"> </v>
      </c>
      <c r="K502" s="135" t="str">
        <f>IF($F502=" "," ",IFERROR(VLOOKUP($F502,'депозитный калькулятор'!$B$26:$F$70,2,0),0))</f>
        <v xml:space="preserve"> </v>
      </c>
      <c r="L502" s="135" t="str">
        <f>IF($F502=" "," ",IFERROR(VLOOKUP($F502,'депозитный калькулятор'!$B$26:$F$70,3,0),0))</f>
        <v xml:space="preserve"> </v>
      </c>
      <c r="M502" s="135" t="str">
        <f>IF($F502=" "," ",IFERROR(VLOOKUP($F502,'депозитный калькулятор'!$B$26:$F$70,4,0),0))</f>
        <v xml:space="preserve"> </v>
      </c>
      <c r="N502" s="135" t="str">
        <f>IF($F502=" "," ",IFERROR(VLOOKUP($F502,'депозитный калькулятор'!$B$26:$F$70,5,0),0))</f>
        <v xml:space="preserve"> </v>
      </c>
      <c r="O502" s="146" t="str">
        <f>IF(F502&gt;'депозитный калькулятор'!$D$8," ",IF(F502='депозитный калькулятор'!$D$8,IF(AND($F$24='депозитный калькулятор'!$D$8,'депозитный калькулятор'!$G$13="нет"),-G502-IF(I502=" ",0,I502)-IF(AND(OR('депозитный калькулятор'!$G$7="30/365",'депозитный калькулятор'!$G$7="30/360"),'депозитный калькулятор'!$G$10="в начале срока"),I501,0)-L502+M502-N502,-G502-IF(I502=" ",0,I502)-L502+M502-N502),IF('депозитный калькулятор'!$G$13="есть",M502-N502+IF('депозитный калькулятор'!$G$14="есть",0,-L502),-IF(I502=" ",0,I502)-IF(AND(OR('депозитный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срока"),I501,0)+M502-N502+IF('депозитный калькулятор'!$G$14="есть",0,-L502))))</f>
        <v xml:space="preserve"> </v>
      </c>
      <c r="P502" s="147" t="str">
        <f>IF(F502&gt;'депозитный калькулятор'!$D$8," ",IF(EOMONTH(F501,0)=F501,0,IF(G502&gt;='депозитный калькулятор'!$G$19,P501,P501+1)))</f>
        <v xml:space="preserve"> </v>
      </c>
      <c r="Q502" s="138" t="str">
        <f>IF(F502=" "," ",IF(AND(OR('депозитный калькулятор'!$G$7="30/365",'депозитный калькулятор'!$G$7="30/360"),AND(MONTH(F502)=2,EOMONTH(F502,0)=F502)),IF(DAY(F502)=28,3,2),1)*IF(G502&gt;='депозитный калькулятор'!$G$11,IF(AND('депозитный калькулятор'!$G$7="факт/факт",MOD(YEAR(F502),4)=0),G502*'депозитный калькулятор'!$D$11/366,G502*'депозитный калькулятор'!$G$8),0))</f>
        <v xml:space="preserve"> </v>
      </c>
      <c r="R502" s="158"/>
      <c r="S502" s="62" t="str">
        <f t="shared" ca="1" si="37"/>
        <v xml:space="preserve"> </v>
      </c>
      <c r="T502" s="149" t="str">
        <f ca="1">IF(S502=" "," ",IF('депозитный калькулятор'!$G$7="30/360",DAYS360(U501,IF(DAY(U502)=31,U502-1,U502))+IF(AND(MONTH(U502)=2,U502=EOMONTH(U502,0)),30-DAY(EOMONTH(U502,0)))+T501,VLOOKUP(S502,$C$22:$F$1023,2,0)))</f>
        <v xml:space="preserve"> </v>
      </c>
      <c r="U502" s="64" t="str">
        <f t="shared" ca="1" si="35"/>
        <v xml:space="preserve"> </v>
      </c>
      <c r="V502" s="150" t="str">
        <f t="shared" ca="1" si="38"/>
        <v xml:space="preserve"> </v>
      </c>
      <c r="W502" s="62" t="str">
        <f t="shared" ca="1" si="39"/>
        <v xml:space="preserve"> </v>
      </c>
      <c r="X502" s="141" t="str">
        <f ca="1">IF(S502=" "," ",IFERROR(VLOOKUP(U502,$F$23:$N$1023,7)+VLOOKUP(U502,$F$23:$N$1023,9)+IF(AND('депозитный калькулятор'!$G$13="нет",U502&lt;&gt;'депозитный калькулятор'!$D$8),VLOOKUP(U502,$F$23:$N$1023,4),0),0)+IF(U502='депозитный калькулятор'!$D$8,VLOOKUP(U502,$F$23:$N$1023,2)+VLOOKUP(U502,$F$23:$N$1023,4),0))</f>
        <v xml:space="preserve"> </v>
      </c>
      <c r="Y502" s="142" t="str">
        <f ca="1">IF(S502=" "," ",W502/(1+'депозитный калькулятор'!$K$8)^(T502/IF('депозитный калькулятор'!$G$7="30/360",360,365)))</f>
        <v xml:space="preserve"> </v>
      </c>
      <c r="Z502" s="142" t="str">
        <f ca="1">IF(S502=" "," ",X502/(1+'депозитный калькулятор'!$K$8)^(T502/IF('депозитный калькулятор'!$G$7="30/360",360,365)))</f>
        <v xml:space="preserve"> </v>
      </c>
      <c r="AA502" s="151"/>
      <c r="AB502" s="151"/>
      <c r="AC502" s="155"/>
      <c r="AD502" s="155"/>
    </row>
    <row r="503" spans="1:30" s="2" customFormat="1" ht="15.5" x14ac:dyDescent="0.35">
      <c r="A503" s="41" t="str">
        <f>IF(F503=" "," ",IF(OR('депозитный калькулятор'!$G$7="30/365",'депозитный калькулятор'!$G$7="30/360"),IF(AND(MONTH(F503)=2,DAY(F503)=DAY(EOMONTH(F503,0))),30-DAY(EOMONTH(F503,0)),IF(DAY(F503)=31,1," "))," "))</f>
        <v xml:space="preserve"> </v>
      </c>
      <c r="B503" s="130" t="str">
        <f t="shared" si="36"/>
        <v xml:space="preserve"> </v>
      </c>
      <c r="C503" s="130" t="str">
        <f>IF(OR(B503=0,B503=" ")," ",SUM($B$23:B503))</f>
        <v xml:space="preserve"> </v>
      </c>
      <c r="D503" s="62" t="str">
        <f>IF(D502=" "," ",IF(OR(F502='депозитный калькулятор'!$D$8,F502=" ")," ",D502+1))</f>
        <v xml:space="preserve"> </v>
      </c>
      <c r="E503" s="130" t="str">
        <f>IF(OR(F502='депозитный калькулятор'!$D$8,F502=" ")," ",IF(EOMONTH(F502,0)=F502,1,E502+1))</f>
        <v xml:space="preserve"> </v>
      </c>
      <c r="F503" s="64" t="str">
        <f>IF(F502=" "," ",IF(F502='депозитный калькулятор'!$D$8," ",F502+1))</f>
        <v xml:space="preserve"> </v>
      </c>
      <c r="G503" s="145" t="str">
        <f xml:space="preserve"> IF(F503&gt;'депозитный калькулятор'!$D$8," ",IF('депозитный калькулятор'!$G$13="есть",IF('депозитный калькулятор'!$G$14="есть",G502+IF(I502=" ",0,I502)-J503-K503+L503+M503-N503,G502+IF(I502=" ",0,I502)-J503-K503+M503-N503),IF('депозитный калькулятор'!$G$14="есть",G502-J503-K503+L503+M503-N503,G502-J503-K503+M503-N503)))</f>
        <v xml:space="preserve"> </v>
      </c>
      <c r="H503" s="133" t="str">
        <f>IF(F503&gt;'депозитный калькулятор'!$D$8," ",IF(AND(OR('депозитный калькулятор'!$G$7="30/365",'депозитный калькулятор'!$G$7="30/360"),AND(MONTH(F503)=2,EOMONTH(F503,0)=F503)),IF(DAY(F503)=28,3*G503*'депозитный калькулятор'!$G$8,2*G503*'депозитный калькулятор'!$G$8),IF(AND(OR('депозитный калькулятор'!$G$7="30/365",'депозитный калькулятор'!$G$7="30/360"),DAY(F503)=31)," ",IF(AND('депозитный калькулятор'!$G$7="факт/факт",MOD(YEAR(F503),4)=0),G503*'депозитный калькулятор'!$D$11/366,G503*'депозитный калькулятор'!$G$8))))</f>
        <v xml:space="preserve"> </v>
      </c>
      <c r="I503" s="134" t="str">
        <f ca="1">IF(F503=" "," ",IF('депозитный калькулятор'!$G$10="ежедневное",H503,IF(AND('депозитный калькулятор'!$G$10="еженедельное",WEEKDAY(F503,2)=7),SUM(OFFSET(H503,-6,0):H503),IF(AND('депозитный калькулятор'!$G$10="еженедельное",F503='депозитный калькулятор'!$D$8),SUM($H$23:H503)-SUM($I$23:I502),IF(AND('депозитный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недели",WEEKDAY(F503,2)=7),MIN(OFFSET(H503,-6,0):H503)*(COUNTIF(OFFSET(H503,-6,0):H503,"&gt;0")+SUMIF(OFFSET(A503,-WEEKDAY(F503,2),0):A503,"=2",OFFSET(A503,-WEEKDAY(F503,2),0):A503)),IF(AND('депозитный калькулятор'!$G$10="еженедельное, на минимальную сумму зафиксированную в течение недели",F503='депозитный калькулятор'!$D$8,WEEKDAY(F503,2)&lt;&gt;7),MIN(OFFSET(H503,-WEEKDAY(F503,2),0):H503)*(COUNTIF(OFFSET(H503,-WEEKDAY(F503,2)+1,0):H503,"&gt;0")+SUM(OFFSET(A503,-WEEKDAY(F503,2),0):A503)),IF(AND('депозитный калькулятор'!$G$10="ежемесячное (в конце месяца)",F503='депозитный калькулятор'!$D$8,EOMONTH(F503,0)&lt;&gt;F503),IF('депозитный калькулятор'!$F$1=1,$H$24,SUM($H$23:H503)-SUM($I$23:I502)),IF(AND('депозитный калькулятор'!$G$10="ежемесячное (в конце месяца)",EOMONTH(F503,0)=F503),SUM($H$23:H503)-SUM($I$23:I502),IF(AND('депозитный калькулятор'!$G$10="ежемесячное (по дням открытия вклада)",F503='депозитный калькулятор'!$D$8,DAY('депозитный калькулятор'!$D$7)&lt;&gt;DAY(F503)),IF('депозитный калькулятор'!$F$1=1,$H$24,SUM($H$23:H503)-SUM($I$23:I502)),IF(AND('депозитный калькулятор'!$G$10="ежемесячное (по дням открытия вклада)",DAY('депозитный калькулятор'!$D$7)=DAY(F503)),SUM($H$23:H503)-SUM($I$23:I502),IF(AND('депозитный калькулятор'!$G$10="ежемесячное, на минимальную сумму зафиксированную в течение месяца",F503='депозитный калькулятор'!$D$8,EOMONTH(F503,0)&lt;&gt;F503),IF('депозитный калькулятор'!$F$1=1,$H$24,IF(AND(OR('депозитный калькулятор'!$G$7="30/365",'депозитный калькулятор'!$G$7="30/360"),DAY(F503)=31),0,MIN(OFFSET(H503,-E503+1,0):H503)*(E503+SUMIF(OFFSET(A503,-E503+1,0):A503,"=2",OFFSET(A503,-E503+1,0):A503)))),IF(AND('депозитный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калькулятор'!$G$7="30/360"),DAY(EOMONTH(F503,0))=31),EOMONTH(F503,0)-1=F503,EOMONTH(F503,0)=F503)),IF(IF(AND(OR('депозитный калькулятор'!$G$7="30/365",'депозитный калькулятор'!$G$7="30/360"),DAY(EOMONTH($F$23,0))=31),F503=EOMONTH($F$23,0)-1,F503=EOMONTH($F$23,0)),MIN(OFFSET(H503,-(DAY(F503)-DAY($F$23)),0):H503)*E503,MIN(OFFSET(H503,-(DAY(F503)-1),0):H503)*IF(AND(OR('депозитный калькулятор'!$G$7="30/365",'депозитный калькулятор'!$G$7="30/360"),DAY(F503)&lt;30),30,DAY(F503))),IF(AND('депозитный калькулятор'!$G$10="ежемесячное, на средний остаток в течение месяца, при условии что остаток больше чем ограничение",F503='депозитный калькулятор'!$D$8,EOMONTH(F503,0)&lt;&gt;F503),IF('депозитный калькулятор'!$F$1=1,$H$24,SUM(OFFSET(Q503,-E503+1,0):Q503)),IF(AND('депозитный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калькулятор'!$G$7="30/360"),DAY(EOMONTH(F503,0))=31),EOMONTH(F503,0)-1=F503,EOMONTH(F503,0)=F503)),IF(IF(AND(OR('депозитный калькулятор'!$G$7="30/365",'депозитный калькулятор'!$G$7="30/360"),DAY(EOMONTH($F$24,0))=31),F503=EOMONTH($F$24,0)-1,F503=EOMONTH($F$24,0)),SUM(OFFSET(Q503,-E503+1,0):Q503),SUM(OFFSET(Q503,-E503+1,0):Q503)),IF('депозитный калькулятор'!$G$10="ежеквартальное",IF(F503&gt;'депозитный калькулятор'!$D$8," ",IF(AND(EOMONTH(F503,0)=F503,OR(MONTH(F503)=3,MONTH(F503)=6,MONTH(F503)=9,MONTH(F503)=12)),IF(EDATE(F503,-3)&lt;'депозитный калькулятор'!$D$7,SUM($H$23:H503),IF(MOD(YEAR(F503),4)=0,IF(AND(EOMONTH(F503,0)=F503,OR(MONTH(F503)=3,MONTH(F503)=6)),SUM(OFFSET(H503,-90,0):H503),IF(AND(EOMONTH(F503,0)=F503,OR(MONTH(F503)=9,MONTH(F503)=12)),SUM(OFFSET(H503,-91,0):H503))),IF(AND(EOMONTH(F503,0)=F503,MONTH(F503)=3),SUM(OFFSET(H503,-89,0):H503),IF(AND(EOMONTH(F503,0)=F503,MONTH(F503)=6),SUM(OFFSET(H503,-90,0):H503),IF(AND(EOMONTH(F503,0)=F503,OR(MONTH(F503)=9,MONTH(F503)=12)),SUM(OFFSET(H503,-91,0):H503)))))),IF(F503='депозитный калькулятор'!$D$8,SUM($H$23:H503)-SUM($I$23:I502),0))),IF('депозитный калькулятор'!$G$10="ежегодное",IF(F503&gt;'депозитный калькулятор'!$D$8," ",IF(F503='депозитный калькулятор'!$D$8,SUM($H$23:H503)-SUM($I$23:I502),IF(AND(EOMONTH(F503,0)=F503,MONTH(F503)=12),IF(MOD(YEAR(F502),4)=0,IF(F503-'депозитный калькулятор'!$D$7&lt;366,SUM($H$23:H503),SUM(OFFSET(H503,-365,0):H503)),IF(F503-'депозитный калькулятор'!$D$7&lt;365,SUM($H$23:H503),SUM(OFFSET(H503,-364,0):H503))),0))),IF(AND('депозитный калькулятор'!$G$10="в конце срока",'депозитный калькулятор'!$D$8=F503),SUM($H$23:H503),0))))))))))))))))))</f>
        <v xml:space="preserve"> </v>
      </c>
      <c r="J503" s="59" t="str">
        <f>IF(F503&gt;'депозитный калькулятор'!$D$8," ",IF('депозитный калькулятор'!$G$16="нет",0,IF(AND('депозитный калькулятор'!$G$17="разовая (в конце срока)",F503='депозитный калькулятор'!$D$8),'депозитный калькулятор'!$G$18,IF(AND('депозитный калькулятор'!$G$17="ежемесячная",EOMONTH(F502,0)=F502),'депозитный калькулятор'!$G$18,IF(AND('депозитный калькулятор'!$G$17="ежегодная",DAY(F502)=31,MONTH(F502)=12),'депозитный калькулятор'!$G$18,IF(AND('депозитный калькулятор'!$G$17="ежемесячная в зависимости от остатка",EOMONTH(F502,0)=F502,P502&gt;0),'депозитный калькулятор'!$G$18,IF(AND('депозитный калькулятор'!$G$17="ежегодная в зависимости от остатка",DAY(F502)=31,MONTH(F502)=12,P502&gt;0),'депозитный калькулятор'!$G$18,0)))))))</f>
        <v xml:space="preserve"> </v>
      </c>
      <c r="K503" s="135" t="str">
        <f>IF($F503=" "," ",IFERROR(VLOOKUP($F503,'депозитный калькулятор'!$B$26:$F$70,2,0),0))</f>
        <v xml:space="preserve"> </v>
      </c>
      <c r="L503" s="135" t="str">
        <f>IF($F503=" "," ",IFERROR(VLOOKUP($F503,'депозитный калькулятор'!$B$26:$F$70,3,0),0))</f>
        <v xml:space="preserve"> </v>
      </c>
      <c r="M503" s="135" t="str">
        <f>IF($F503=" "," ",IFERROR(VLOOKUP($F503,'депозитный калькулятор'!$B$26:$F$70,4,0),0))</f>
        <v xml:space="preserve"> </v>
      </c>
      <c r="N503" s="135" t="str">
        <f>IF($F503=" "," ",IFERROR(VLOOKUP($F503,'депозитный калькулятор'!$B$26:$F$70,5,0),0))</f>
        <v xml:space="preserve"> </v>
      </c>
      <c r="O503" s="146" t="str">
        <f>IF(F503&gt;'депозитный калькулятор'!$D$8," ",IF(F503='депозитный калькулятор'!$D$8,IF(AND($F$24='депозитный калькулятор'!$D$8,'депозитный калькулятор'!$G$13="нет"),-G503-IF(I503=" ",0,I503)-IF(AND(OR('депозитный калькулятор'!$G$7="30/365",'депозитный калькулятор'!$G$7="30/360"),'депозитный калькулятор'!$G$10="в начале срока"),I502,0)-L503+M503-N503,-G503-IF(I503=" ",0,I503)-L503+M503-N503),IF('депозитный калькулятор'!$G$13="есть",M503-N503+IF('депозитный калькулятор'!$G$14="есть",0,-L503),-IF(I503=" ",0,I503)-IF(AND(OR('депозитный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срока"),I502,0)+M503-N503+IF('депозитный калькулятор'!$G$14="есть",0,-L503))))</f>
        <v xml:space="preserve"> </v>
      </c>
      <c r="P503" s="147" t="str">
        <f>IF(F503&gt;'депозитный калькулятор'!$D$8," ",IF(EOMONTH(F502,0)=F502,0,IF(G503&gt;='депозитный калькулятор'!$G$19,P502,P502+1)))</f>
        <v xml:space="preserve"> </v>
      </c>
      <c r="Q503" s="138" t="str">
        <f>IF(F503=" "," ",IF(AND(OR('депозитный калькулятор'!$G$7="30/365",'депозитный калькулятор'!$G$7="30/360"),AND(MONTH(F503)=2,EOMONTH(F503,0)=F503)),IF(DAY(F503)=28,3,2),1)*IF(G503&gt;='депозитный калькулятор'!$G$11,IF(AND('депозитный калькулятор'!$G$7="факт/факт",MOD(YEAR(F503),4)=0),G503*'депозитный калькулятор'!$D$11/366,G503*'депозитный калькулятор'!$G$8),0))</f>
        <v xml:space="preserve"> </v>
      </c>
      <c r="R503" s="158"/>
      <c r="S503" s="62" t="str">
        <f t="shared" ca="1" si="37"/>
        <v xml:space="preserve"> </v>
      </c>
      <c r="T503" s="149" t="str">
        <f ca="1">IF(S503=" "," ",IF('депозитный калькулятор'!$G$7="30/360",DAYS360(U502,IF(DAY(U503)=31,U503-1,U503))+IF(AND(MONTH(U503)=2,U503=EOMONTH(U503,0)),30-DAY(EOMONTH(U503,0)))+T502,VLOOKUP(S503,$C$22:$F$1023,2,0)))</f>
        <v xml:space="preserve"> </v>
      </c>
      <c r="U503" s="64" t="str">
        <f t="shared" ca="1" si="35"/>
        <v xml:space="preserve"> </v>
      </c>
      <c r="V503" s="150" t="str">
        <f t="shared" ca="1" si="38"/>
        <v xml:space="preserve"> </v>
      </c>
      <c r="W503" s="62" t="str">
        <f t="shared" ca="1" si="39"/>
        <v xml:space="preserve"> </v>
      </c>
      <c r="X503" s="141" t="str">
        <f ca="1">IF(S503=" "," ",IFERROR(VLOOKUP(U503,$F$23:$N$1023,7)+VLOOKUP(U503,$F$23:$N$1023,9)+IF(AND('депозитный калькулятор'!$G$13="нет",U503&lt;&gt;'депозитный калькулятор'!$D$8),VLOOKUP(U503,$F$23:$N$1023,4),0),0)+IF(U503='депозитный калькулятор'!$D$8,VLOOKUP(U503,$F$23:$N$1023,2)+VLOOKUP(U503,$F$23:$N$1023,4),0))</f>
        <v xml:space="preserve"> </v>
      </c>
      <c r="Y503" s="142" t="str">
        <f ca="1">IF(S503=" "," ",W503/(1+'депозитный калькулятор'!$K$8)^(T503/IF('депозитный калькулятор'!$G$7="30/360",360,365)))</f>
        <v xml:space="preserve"> </v>
      </c>
      <c r="Z503" s="142" t="str">
        <f ca="1">IF(S503=" "," ",X503/(1+'депозитный калькулятор'!$K$8)^(T503/IF('депозитный калькулятор'!$G$7="30/360",360,365)))</f>
        <v xml:space="preserve"> </v>
      </c>
      <c r="AA503" s="151"/>
      <c r="AB503" s="151"/>
      <c r="AC503" s="155"/>
      <c r="AD503" s="155"/>
    </row>
    <row r="504" spans="1:30" s="2" customFormat="1" ht="15.5" x14ac:dyDescent="0.35">
      <c r="A504" s="41" t="str">
        <f>IF(F504=" "," ",IF(OR('депозитный калькулятор'!$G$7="30/365",'депозитный калькулятор'!$G$7="30/360"),IF(AND(MONTH(F504)=2,DAY(F504)=DAY(EOMONTH(F504,0))),30-DAY(EOMONTH(F504,0)),IF(DAY(F504)=31,1," "))," "))</f>
        <v xml:space="preserve"> </v>
      </c>
      <c r="B504" s="130" t="str">
        <f t="shared" si="36"/>
        <v xml:space="preserve"> </v>
      </c>
      <c r="C504" s="130" t="str">
        <f>IF(OR(B504=0,B504=" ")," ",SUM($B$23:B504))</f>
        <v xml:space="preserve"> </v>
      </c>
      <c r="D504" s="62" t="str">
        <f>IF(D503=" "," ",IF(OR(F503='депозитный калькулятор'!$D$8,F503=" ")," ",D503+1))</f>
        <v xml:space="preserve"> </v>
      </c>
      <c r="E504" s="130" t="str">
        <f>IF(OR(F503='депозитный калькулятор'!$D$8,F503=" ")," ",IF(EOMONTH(F503,0)=F503,1,E503+1))</f>
        <v xml:space="preserve"> </v>
      </c>
      <c r="F504" s="64" t="str">
        <f>IF(F503=" "," ",IF(F503='депозитный калькулятор'!$D$8," ",F503+1))</f>
        <v xml:space="preserve"> </v>
      </c>
      <c r="G504" s="145" t="str">
        <f xml:space="preserve"> IF(F504&gt;'депозитный калькулятор'!$D$8," ",IF('депозитный калькулятор'!$G$13="есть",IF('депозитный калькулятор'!$G$14="есть",G503+IF(I503=" ",0,I503)-J504-K504+L504+M504-N504,G503+IF(I503=" ",0,I503)-J504-K504+M504-N504),IF('депозитный калькулятор'!$G$14="есть",G503-J504-K504+L504+M504-N504,G503-J504-K504+M504-N504)))</f>
        <v xml:space="preserve"> </v>
      </c>
      <c r="H504" s="133" t="str">
        <f>IF(F504&gt;'депозитный калькулятор'!$D$8," ",IF(AND(OR('депозитный калькулятор'!$G$7="30/365",'депозитный калькулятор'!$G$7="30/360"),AND(MONTH(F504)=2,EOMONTH(F504,0)=F504)),IF(DAY(F504)=28,3*G504*'депозитный калькулятор'!$G$8,2*G504*'депозитный калькулятор'!$G$8),IF(AND(OR('депозитный калькулятор'!$G$7="30/365",'депозитный калькулятор'!$G$7="30/360"),DAY(F504)=31)," ",IF(AND('депозитный калькулятор'!$G$7="факт/факт",MOD(YEAR(F504),4)=0),G504*'депозитный калькулятор'!$D$11/366,G504*'депозитный калькулятор'!$G$8))))</f>
        <v xml:space="preserve"> </v>
      </c>
      <c r="I504" s="134" t="str">
        <f ca="1">IF(F504=" "," ",IF('депозитный калькулятор'!$G$10="ежедневное",H504,IF(AND('депозитный калькулятор'!$G$10="еженедельное",WEEKDAY(F504,2)=7),SUM(OFFSET(H504,-6,0):H504),IF(AND('депозитный калькулятор'!$G$10="еженедельное",F504='депозитный калькулятор'!$D$8),SUM($H$23:H504)-SUM($I$23:I503),IF(AND('депозитный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недели",WEEKDAY(F504,2)=7),MIN(OFFSET(H504,-6,0):H504)*(COUNTIF(OFFSET(H504,-6,0):H504,"&gt;0")+SUMIF(OFFSET(A504,-WEEKDAY(F504,2),0):A504,"=2",OFFSET(A504,-WEEKDAY(F504,2),0):A504)),IF(AND('депозитный калькулятор'!$G$10="еженедельное, на минимальную сумму зафиксированную в течение недели",F504='депозитный калькулятор'!$D$8,WEEKDAY(F504,2)&lt;&gt;7),MIN(OFFSET(H504,-WEEKDAY(F504,2),0):H504)*(COUNTIF(OFFSET(H504,-WEEKDAY(F504,2)+1,0):H504,"&gt;0")+SUM(OFFSET(A504,-WEEKDAY(F504,2),0):A504)),IF(AND('депозитный калькулятор'!$G$10="ежемесячное (в конце месяца)",F504='депозитный калькулятор'!$D$8,EOMONTH(F504,0)&lt;&gt;F504),IF('депозитный калькулятор'!$F$1=1,$H$24,SUM($H$23:H504)-SUM($I$23:I503)),IF(AND('депозитный калькулятор'!$G$10="ежемесячное (в конце месяца)",EOMONTH(F504,0)=F504),SUM($H$23:H504)-SUM($I$23:I503),IF(AND('депозитный калькулятор'!$G$10="ежемесячное (по дням открытия вклада)",F504='депозитный калькулятор'!$D$8,DAY('депозитный калькулятор'!$D$7)&lt;&gt;DAY(F504)),IF('депозитный калькулятор'!$F$1=1,$H$24,SUM($H$23:H504)-SUM($I$23:I503)),IF(AND('депозитный калькулятор'!$G$10="ежемесячное (по дням открытия вклада)",DAY('депозитный калькулятор'!$D$7)=DAY(F504)),SUM($H$23:H504)-SUM($I$23:I503),IF(AND('депозитный калькулятор'!$G$10="ежемесячное, на минимальную сумму зафиксированную в течение месяца",F504='депозитный калькулятор'!$D$8,EOMONTH(F504,0)&lt;&gt;F504),IF('депозитный калькулятор'!$F$1=1,$H$24,IF(AND(OR('депозитный калькулятор'!$G$7="30/365",'депозитный калькулятор'!$G$7="30/360"),DAY(F504)=31),0,MIN(OFFSET(H504,-E504+1,0):H504)*(E504+SUMIF(OFFSET(A504,-E504+1,0):A504,"=2",OFFSET(A504,-E504+1,0):A504)))),IF(AND('депозитный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калькулятор'!$G$7="30/360"),DAY(EOMONTH(F504,0))=31),EOMONTH(F504,0)-1=F504,EOMONTH(F504,0)=F504)),IF(IF(AND(OR('депозитный калькулятор'!$G$7="30/365",'депозитный калькулятор'!$G$7="30/360"),DAY(EOMONTH($F$23,0))=31),F504=EOMONTH($F$23,0)-1,F504=EOMONTH($F$23,0)),MIN(OFFSET(H504,-(DAY(F504)-DAY($F$23)),0):H504)*E504,MIN(OFFSET(H504,-(DAY(F504)-1),0):H504)*IF(AND(OR('депозитный калькулятор'!$G$7="30/365",'депозитный калькулятор'!$G$7="30/360"),DAY(F504)&lt;30),30,DAY(F504))),IF(AND('депозитный калькулятор'!$G$10="ежемесячное, на средний остаток в течение месяца, при условии что остаток больше чем ограничение",F504='депозитный калькулятор'!$D$8,EOMONTH(F504,0)&lt;&gt;F504),IF('депозитный калькулятор'!$F$1=1,$H$24,SUM(OFFSET(Q504,-E504+1,0):Q504)),IF(AND('депозитный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калькулятор'!$G$7="30/360"),DAY(EOMONTH(F504,0))=31),EOMONTH(F504,0)-1=F504,EOMONTH(F504,0)=F504)),IF(IF(AND(OR('депозитный калькулятор'!$G$7="30/365",'депозитный калькулятор'!$G$7="30/360"),DAY(EOMONTH($F$24,0))=31),F504=EOMONTH($F$24,0)-1,F504=EOMONTH($F$24,0)),SUM(OFFSET(Q504,-E504+1,0):Q504),SUM(OFFSET(Q504,-E504+1,0):Q504)),IF('депозитный калькулятор'!$G$10="ежеквартальное",IF(F504&gt;'депозитный калькулятор'!$D$8," ",IF(AND(EOMONTH(F504,0)=F504,OR(MONTH(F504)=3,MONTH(F504)=6,MONTH(F504)=9,MONTH(F504)=12)),IF(EDATE(F504,-3)&lt;'депозитный калькулятор'!$D$7,SUM($H$23:H504),IF(MOD(YEAR(F504),4)=0,IF(AND(EOMONTH(F504,0)=F504,OR(MONTH(F504)=3,MONTH(F504)=6)),SUM(OFFSET(H504,-90,0):H504),IF(AND(EOMONTH(F504,0)=F504,OR(MONTH(F504)=9,MONTH(F504)=12)),SUM(OFFSET(H504,-91,0):H504))),IF(AND(EOMONTH(F504,0)=F504,MONTH(F504)=3),SUM(OFFSET(H504,-89,0):H504),IF(AND(EOMONTH(F504,0)=F504,MONTH(F504)=6),SUM(OFFSET(H504,-90,0):H504),IF(AND(EOMONTH(F504,0)=F504,OR(MONTH(F504)=9,MONTH(F504)=12)),SUM(OFFSET(H504,-91,0):H504)))))),IF(F504='депозитный калькулятор'!$D$8,SUM($H$23:H504)-SUM($I$23:I503),0))),IF('депозитный калькулятор'!$G$10="ежегодное",IF(F504&gt;'депозитный калькулятор'!$D$8," ",IF(F504='депозитный калькулятор'!$D$8,SUM($H$23:H504)-SUM($I$23:I503),IF(AND(EOMONTH(F504,0)=F504,MONTH(F504)=12),IF(MOD(YEAR(F503),4)=0,IF(F504-'депозитный калькулятор'!$D$7&lt;366,SUM($H$23:H504),SUM(OFFSET(H504,-365,0):H504)),IF(F504-'депозитный калькулятор'!$D$7&lt;365,SUM($H$23:H504),SUM(OFFSET(H504,-364,0):H504))),0))),IF(AND('депозитный калькулятор'!$G$10="в конце срока",'депозитный калькулятор'!$D$8=F504),SUM($H$23:H504),0))))))))))))))))))</f>
        <v xml:space="preserve"> </v>
      </c>
      <c r="J504" s="59" t="str">
        <f>IF(F504&gt;'депозитный калькулятор'!$D$8," ",IF('депозитный калькулятор'!$G$16="нет",0,IF(AND('депозитный калькулятор'!$G$17="разовая (в конце срока)",F504='депозитный калькулятор'!$D$8),'депозитный калькулятор'!$G$18,IF(AND('депозитный калькулятор'!$G$17="ежемесячная",EOMONTH(F503,0)=F503),'депозитный калькулятор'!$G$18,IF(AND('депозитный калькулятор'!$G$17="ежегодная",DAY(F503)=31,MONTH(F503)=12),'депозитный калькулятор'!$G$18,IF(AND('депозитный калькулятор'!$G$17="ежемесячная в зависимости от остатка",EOMONTH(F503,0)=F503,P503&gt;0),'депозитный калькулятор'!$G$18,IF(AND('депозитный калькулятор'!$G$17="ежегодная в зависимости от остатка",DAY(F503)=31,MONTH(F503)=12,P503&gt;0),'депозитный калькулятор'!$G$18,0)))))))</f>
        <v xml:space="preserve"> </v>
      </c>
      <c r="K504" s="135" t="str">
        <f>IF($F504=" "," ",IFERROR(VLOOKUP($F504,'депозитный калькулятор'!$B$26:$F$70,2,0),0))</f>
        <v xml:space="preserve"> </v>
      </c>
      <c r="L504" s="135" t="str">
        <f>IF($F504=" "," ",IFERROR(VLOOKUP($F504,'депозитный калькулятор'!$B$26:$F$70,3,0),0))</f>
        <v xml:space="preserve"> </v>
      </c>
      <c r="M504" s="135" t="str">
        <f>IF($F504=" "," ",IFERROR(VLOOKUP($F504,'депозитный калькулятор'!$B$26:$F$70,4,0),0))</f>
        <v xml:space="preserve"> </v>
      </c>
      <c r="N504" s="135" t="str">
        <f>IF($F504=" "," ",IFERROR(VLOOKUP($F504,'депозитный калькулятор'!$B$26:$F$70,5,0),0))</f>
        <v xml:space="preserve"> </v>
      </c>
      <c r="O504" s="146" t="str">
        <f>IF(F504&gt;'депозитный калькулятор'!$D$8," ",IF(F504='депозитный калькулятор'!$D$8,IF(AND($F$24='депозитный калькулятор'!$D$8,'депозитный калькулятор'!$G$13="нет"),-G504-IF(I504=" ",0,I504)-IF(AND(OR('депозитный калькулятор'!$G$7="30/365",'депозитный калькулятор'!$G$7="30/360"),'депозитный калькулятор'!$G$10="в начале срока"),I503,0)-L504+M504-N504,-G504-IF(I504=" ",0,I504)-L504+M504-N504),IF('депозитный калькулятор'!$G$13="есть",M504-N504+IF('депозитный калькулятор'!$G$14="есть",0,-L504),-IF(I504=" ",0,I504)-IF(AND(OR('депозитный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срока"),I503,0)+M504-N504+IF('депозитный калькулятор'!$G$14="есть",0,-L504))))</f>
        <v xml:space="preserve"> </v>
      </c>
      <c r="P504" s="147" t="str">
        <f>IF(F504&gt;'депозитный калькулятор'!$D$8," ",IF(EOMONTH(F503,0)=F503,0,IF(G504&gt;='депозитный калькулятор'!$G$19,P503,P503+1)))</f>
        <v xml:space="preserve"> </v>
      </c>
      <c r="Q504" s="138" t="str">
        <f>IF(F504=" "," ",IF(AND(OR('депозитный калькулятор'!$G$7="30/365",'депозитный калькулятор'!$G$7="30/360"),AND(MONTH(F504)=2,EOMONTH(F504,0)=F504)),IF(DAY(F504)=28,3,2),1)*IF(G504&gt;='депозитный калькулятор'!$G$11,IF(AND('депозитный калькулятор'!$G$7="факт/факт",MOD(YEAR(F504),4)=0),G504*'депозитный калькулятор'!$D$11/366,G504*'депозитный калькулятор'!$G$8),0))</f>
        <v xml:space="preserve"> </v>
      </c>
      <c r="R504" s="158"/>
      <c r="S504" s="62" t="str">
        <f t="shared" ca="1" si="37"/>
        <v xml:space="preserve"> </v>
      </c>
      <c r="T504" s="149" t="str">
        <f ca="1">IF(S504=" "," ",IF('депозитный калькулятор'!$G$7="30/360",DAYS360(U503,IF(DAY(U504)=31,U504-1,U504))+IF(AND(MONTH(U504)=2,U504=EOMONTH(U504,0)),30-DAY(EOMONTH(U504,0)))+T503,VLOOKUP(S504,$C$22:$F$1023,2,0)))</f>
        <v xml:space="preserve"> </v>
      </c>
      <c r="U504" s="64" t="str">
        <f t="shared" ca="1" si="35"/>
        <v xml:space="preserve"> </v>
      </c>
      <c r="V504" s="150" t="str">
        <f t="shared" ca="1" si="38"/>
        <v xml:space="preserve"> </v>
      </c>
      <c r="W504" s="62" t="str">
        <f t="shared" ca="1" si="39"/>
        <v xml:space="preserve"> </v>
      </c>
      <c r="X504" s="141" t="str">
        <f ca="1">IF(S504=" "," ",IFERROR(VLOOKUP(U504,$F$23:$N$1023,7)+VLOOKUP(U504,$F$23:$N$1023,9)+IF(AND('депозитный калькулятор'!$G$13="нет",U504&lt;&gt;'депозитный калькулятор'!$D$8),VLOOKUP(U504,$F$23:$N$1023,4),0),0)+IF(U504='депозитный калькулятор'!$D$8,VLOOKUP(U504,$F$23:$N$1023,2)+VLOOKUP(U504,$F$23:$N$1023,4),0))</f>
        <v xml:space="preserve"> </v>
      </c>
      <c r="Y504" s="142" t="str">
        <f ca="1">IF(S504=" "," ",W504/(1+'депозитный калькулятор'!$K$8)^(T504/IF('депозитный калькулятор'!$G$7="30/360",360,365)))</f>
        <v xml:space="preserve"> </v>
      </c>
      <c r="Z504" s="142" t="str">
        <f ca="1">IF(S504=" "," ",X504/(1+'депозитный калькулятор'!$K$8)^(T504/IF('депозитный калькулятор'!$G$7="30/360",360,365)))</f>
        <v xml:space="preserve"> </v>
      </c>
      <c r="AA504" s="151"/>
      <c r="AB504" s="151"/>
      <c r="AC504" s="155"/>
      <c r="AD504" s="155"/>
    </row>
    <row r="505" spans="1:30" s="2" customFormat="1" ht="15.5" x14ac:dyDescent="0.35">
      <c r="A505" s="41" t="str">
        <f>IF(F505=" "," ",IF(OR('депозитный калькулятор'!$G$7="30/365",'депозитный калькулятор'!$G$7="30/360"),IF(AND(MONTH(F505)=2,DAY(F505)=DAY(EOMONTH(F505,0))),30-DAY(EOMONTH(F505,0)),IF(DAY(F505)=31,1," "))," "))</f>
        <v xml:space="preserve"> </v>
      </c>
      <c r="B505" s="130" t="str">
        <f t="shared" si="36"/>
        <v xml:space="preserve"> </v>
      </c>
      <c r="C505" s="130" t="str">
        <f>IF(OR(B505=0,B505=" ")," ",SUM($B$23:B505))</f>
        <v xml:space="preserve"> </v>
      </c>
      <c r="D505" s="62" t="str">
        <f>IF(D504=" "," ",IF(OR(F504='депозитный калькулятор'!$D$8,F504=" ")," ",D504+1))</f>
        <v xml:space="preserve"> </v>
      </c>
      <c r="E505" s="130" t="str">
        <f>IF(OR(F504='депозитный калькулятор'!$D$8,F504=" ")," ",IF(EOMONTH(F504,0)=F504,1,E504+1))</f>
        <v xml:space="preserve"> </v>
      </c>
      <c r="F505" s="64" t="str">
        <f>IF(F504=" "," ",IF(F504='депозитный калькулятор'!$D$8," ",F504+1))</f>
        <v xml:space="preserve"> </v>
      </c>
      <c r="G505" s="145" t="str">
        <f xml:space="preserve"> IF(F505&gt;'депозитный калькулятор'!$D$8," ",IF('депозитный калькулятор'!$G$13="есть",IF('депозитный калькулятор'!$G$14="есть",G504+IF(I504=" ",0,I504)-J505-K505+L505+M505-N505,G504+IF(I504=" ",0,I504)-J505-K505+M505-N505),IF('депозитный калькулятор'!$G$14="есть",G504-J505-K505+L505+M505-N505,G504-J505-K505+M505-N505)))</f>
        <v xml:space="preserve"> </v>
      </c>
      <c r="H505" s="133" t="str">
        <f>IF(F505&gt;'депозитный калькулятор'!$D$8," ",IF(AND(OR('депозитный калькулятор'!$G$7="30/365",'депозитный калькулятор'!$G$7="30/360"),AND(MONTH(F505)=2,EOMONTH(F505,0)=F505)),IF(DAY(F505)=28,3*G505*'депозитный калькулятор'!$G$8,2*G505*'депозитный калькулятор'!$G$8),IF(AND(OR('депозитный калькулятор'!$G$7="30/365",'депозитный калькулятор'!$G$7="30/360"),DAY(F505)=31)," ",IF(AND('депозитный калькулятор'!$G$7="факт/факт",MOD(YEAR(F505),4)=0),G505*'депозитный калькулятор'!$D$11/366,G505*'депозитный калькулятор'!$G$8))))</f>
        <v xml:space="preserve"> </v>
      </c>
      <c r="I505" s="134" t="str">
        <f ca="1">IF(F505=" "," ",IF('депозитный калькулятор'!$G$10="ежедневное",H505,IF(AND('депозитный калькулятор'!$G$10="еженедельное",WEEKDAY(F505,2)=7),SUM(OFFSET(H505,-6,0):H505),IF(AND('депозитный калькулятор'!$G$10="еженедельное",F505='депозитный калькулятор'!$D$8),SUM($H$23:H505)-SUM($I$23:I504),IF(AND('депозитный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недели",WEEKDAY(F505,2)=7),MIN(OFFSET(H505,-6,0):H505)*(COUNTIF(OFFSET(H505,-6,0):H505,"&gt;0")+SUMIF(OFFSET(A505,-WEEKDAY(F505,2),0):A505,"=2",OFFSET(A505,-WEEKDAY(F505,2),0):A505)),IF(AND('депозитный калькулятор'!$G$10="еженедельное, на минимальную сумму зафиксированную в течение недели",F505='депозитный калькулятор'!$D$8,WEEKDAY(F505,2)&lt;&gt;7),MIN(OFFSET(H505,-WEEKDAY(F505,2),0):H505)*(COUNTIF(OFFSET(H505,-WEEKDAY(F505,2)+1,0):H505,"&gt;0")+SUM(OFFSET(A505,-WEEKDAY(F505,2),0):A505)),IF(AND('депозитный калькулятор'!$G$10="ежемесячное (в конце месяца)",F505='депозитный калькулятор'!$D$8,EOMONTH(F505,0)&lt;&gt;F505),IF('депозитный калькулятор'!$F$1=1,$H$24,SUM($H$23:H505)-SUM($I$23:I504)),IF(AND('депозитный калькулятор'!$G$10="ежемесячное (в конце месяца)",EOMONTH(F505,0)=F505),SUM($H$23:H505)-SUM($I$23:I504),IF(AND('депозитный калькулятор'!$G$10="ежемесячное (по дням открытия вклада)",F505='депозитный калькулятор'!$D$8,DAY('депозитный калькулятор'!$D$7)&lt;&gt;DAY(F505)),IF('депозитный калькулятор'!$F$1=1,$H$24,SUM($H$23:H505)-SUM($I$23:I504)),IF(AND('депозитный калькулятор'!$G$10="ежемесячное (по дням открытия вклада)",DAY('депозитный калькулятор'!$D$7)=DAY(F505)),SUM($H$23:H505)-SUM($I$23:I504),IF(AND('депозитный калькулятор'!$G$10="ежемесячное, на минимальную сумму зафиксированную в течение месяца",F505='депозитный калькулятор'!$D$8,EOMONTH(F505,0)&lt;&gt;F505),IF('депозитный калькулятор'!$F$1=1,$H$24,IF(AND(OR('депозитный калькулятор'!$G$7="30/365",'депозитный калькулятор'!$G$7="30/360"),DAY(F505)=31),0,MIN(OFFSET(H505,-E505+1,0):H505)*(E505+SUMIF(OFFSET(A505,-E505+1,0):A505,"=2",OFFSET(A505,-E505+1,0):A505)))),IF(AND('депозитный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калькулятор'!$G$7="30/360"),DAY(EOMONTH(F505,0))=31),EOMONTH(F505,0)-1=F505,EOMONTH(F505,0)=F505)),IF(IF(AND(OR('депозитный калькулятор'!$G$7="30/365",'депозитный калькулятор'!$G$7="30/360"),DAY(EOMONTH($F$23,0))=31),F505=EOMONTH($F$23,0)-1,F505=EOMONTH($F$23,0)),MIN(OFFSET(H505,-(DAY(F505)-DAY($F$23)),0):H505)*E505,MIN(OFFSET(H505,-(DAY(F505)-1),0):H505)*IF(AND(OR('депозитный калькулятор'!$G$7="30/365",'депозитный калькулятор'!$G$7="30/360"),DAY(F505)&lt;30),30,DAY(F505))),IF(AND('депозитный калькулятор'!$G$10="ежемесячное, на средний остаток в течение месяца, при условии что остаток больше чем ограничение",F505='депозитный калькулятор'!$D$8,EOMONTH(F505,0)&lt;&gt;F505),IF('депозитный калькулятор'!$F$1=1,$H$24,SUM(OFFSET(Q505,-E505+1,0):Q505)),IF(AND('депозитный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калькулятор'!$G$7="30/360"),DAY(EOMONTH(F505,0))=31),EOMONTH(F505,0)-1=F505,EOMONTH(F505,0)=F505)),IF(IF(AND(OR('депозитный калькулятор'!$G$7="30/365",'депозитный калькулятор'!$G$7="30/360"),DAY(EOMONTH($F$24,0))=31),F505=EOMONTH($F$24,0)-1,F505=EOMONTH($F$24,0)),SUM(OFFSET(Q505,-E505+1,0):Q505),SUM(OFFSET(Q505,-E505+1,0):Q505)),IF('депозитный калькулятор'!$G$10="ежеквартальное",IF(F505&gt;'депозитный калькулятор'!$D$8," ",IF(AND(EOMONTH(F505,0)=F505,OR(MONTH(F505)=3,MONTH(F505)=6,MONTH(F505)=9,MONTH(F505)=12)),IF(EDATE(F505,-3)&lt;'депозитный калькулятор'!$D$7,SUM($H$23:H505),IF(MOD(YEAR(F505),4)=0,IF(AND(EOMONTH(F505,0)=F505,OR(MONTH(F505)=3,MONTH(F505)=6)),SUM(OFFSET(H505,-90,0):H505),IF(AND(EOMONTH(F505,0)=F505,OR(MONTH(F505)=9,MONTH(F505)=12)),SUM(OFFSET(H505,-91,0):H505))),IF(AND(EOMONTH(F505,0)=F505,MONTH(F505)=3),SUM(OFFSET(H505,-89,0):H505),IF(AND(EOMONTH(F505,0)=F505,MONTH(F505)=6),SUM(OFFSET(H505,-90,0):H505),IF(AND(EOMONTH(F505,0)=F505,OR(MONTH(F505)=9,MONTH(F505)=12)),SUM(OFFSET(H505,-91,0):H505)))))),IF(F505='депозитный калькулятор'!$D$8,SUM($H$23:H505)-SUM($I$23:I504),0))),IF('депозитный калькулятор'!$G$10="ежегодное",IF(F505&gt;'депозитный калькулятор'!$D$8," ",IF(F505='депозитный калькулятор'!$D$8,SUM($H$23:H505)-SUM($I$23:I504),IF(AND(EOMONTH(F505,0)=F505,MONTH(F505)=12),IF(MOD(YEAR(F504),4)=0,IF(F505-'депозитный калькулятор'!$D$7&lt;366,SUM($H$23:H505),SUM(OFFSET(H505,-365,0):H505)),IF(F505-'депозитный калькулятор'!$D$7&lt;365,SUM($H$23:H505),SUM(OFFSET(H505,-364,0):H505))),0))),IF(AND('депозитный калькулятор'!$G$10="в конце срока",'депозитный калькулятор'!$D$8=F505),SUM($H$23:H505),0))))))))))))))))))</f>
        <v xml:space="preserve"> </v>
      </c>
      <c r="J505" s="59" t="str">
        <f>IF(F505&gt;'депозитный калькулятор'!$D$8," ",IF('депозитный калькулятор'!$G$16="нет",0,IF(AND('депозитный калькулятор'!$G$17="разовая (в конце срока)",F505='депозитный калькулятор'!$D$8),'депозитный калькулятор'!$G$18,IF(AND('депозитный калькулятор'!$G$17="ежемесячная",EOMONTH(F504,0)=F504),'депозитный калькулятор'!$G$18,IF(AND('депозитный калькулятор'!$G$17="ежегодная",DAY(F504)=31,MONTH(F504)=12),'депозитный калькулятор'!$G$18,IF(AND('депозитный калькулятор'!$G$17="ежемесячная в зависимости от остатка",EOMONTH(F504,0)=F504,P504&gt;0),'депозитный калькулятор'!$G$18,IF(AND('депозитный калькулятор'!$G$17="ежегодная в зависимости от остатка",DAY(F504)=31,MONTH(F504)=12,P504&gt;0),'депозитный калькулятор'!$G$18,0)))))))</f>
        <v xml:space="preserve"> </v>
      </c>
      <c r="K505" s="135" t="str">
        <f>IF($F505=" "," ",IFERROR(VLOOKUP($F505,'депозитный калькулятор'!$B$26:$F$70,2,0),0))</f>
        <v xml:space="preserve"> </v>
      </c>
      <c r="L505" s="135" t="str">
        <f>IF($F505=" "," ",IFERROR(VLOOKUP($F505,'депозитный калькулятор'!$B$26:$F$70,3,0),0))</f>
        <v xml:space="preserve"> </v>
      </c>
      <c r="M505" s="135" t="str">
        <f>IF($F505=" "," ",IFERROR(VLOOKUP($F505,'депозитный калькулятор'!$B$26:$F$70,4,0),0))</f>
        <v xml:space="preserve"> </v>
      </c>
      <c r="N505" s="135" t="str">
        <f>IF($F505=" "," ",IFERROR(VLOOKUP($F505,'депозитный калькулятор'!$B$26:$F$70,5,0),0))</f>
        <v xml:space="preserve"> </v>
      </c>
      <c r="O505" s="146" t="str">
        <f>IF(F505&gt;'депозитный калькулятор'!$D$8," ",IF(F505='депозитный калькулятор'!$D$8,IF(AND($F$24='депозитный калькулятор'!$D$8,'депозитный калькулятор'!$G$13="нет"),-G505-IF(I505=" ",0,I505)-IF(AND(OR('депозитный калькулятор'!$G$7="30/365",'депозитный калькулятор'!$G$7="30/360"),'депозитный калькулятор'!$G$10="в начале срока"),I504,0)-L505+M505-N505,-G505-IF(I505=" ",0,I505)-L505+M505-N505),IF('депозитный калькулятор'!$G$13="есть",M505-N505+IF('депозитный калькулятор'!$G$14="есть",0,-L505),-IF(I505=" ",0,I505)-IF(AND(OR('депозитный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срока"),I504,0)+M505-N505+IF('депозитный калькулятор'!$G$14="есть",0,-L505))))</f>
        <v xml:space="preserve"> </v>
      </c>
      <c r="P505" s="147" t="str">
        <f>IF(F505&gt;'депозитный калькулятор'!$D$8," ",IF(EOMONTH(F504,0)=F504,0,IF(G505&gt;='депозитный калькулятор'!$G$19,P504,P504+1)))</f>
        <v xml:space="preserve"> </v>
      </c>
      <c r="Q505" s="138" t="str">
        <f>IF(F505=" "," ",IF(AND(OR('депозитный калькулятор'!$G$7="30/365",'депозитный калькулятор'!$G$7="30/360"),AND(MONTH(F505)=2,EOMONTH(F505,0)=F505)),IF(DAY(F505)=28,3,2),1)*IF(G505&gt;='депозитный калькулятор'!$G$11,IF(AND('депозитный калькулятор'!$G$7="факт/факт",MOD(YEAR(F505),4)=0),G505*'депозитный калькулятор'!$D$11/366,G505*'депозитный калькулятор'!$G$8),0))</f>
        <v xml:space="preserve"> </v>
      </c>
      <c r="R505" s="158"/>
      <c r="S505" s="62" t="str">
        <f t="shared" ca="1" si="37"/>
        <v xml:space="preserve"> </v>
      </c>
      <c r="T505" s="149" t="str">
        <f ca="1">IF(S505=" "," ",IF('депозитный калькулятор'!$G$7="30/360",DAYS360(U504,IF(DAY(U505)=31,U505-1,U505))+IF(AND(MONTH(U505)=2,U505=EOMONTH(U505,0)),30-DAY(EOMONTH(U505,0)))+T504,VLOOKUP(S505,$C$22:$F$1023,2,0)))</f>
        <v xml:space="preserve"> </v>
      </c>
      <c r="U505" s="64" t="str">
        <f t="shared" ca="1" si="35"/>
        <v xml:space="preserve"> </v>
      </c>
      <c r="V505" s="150" t="str">
        <f t="shared" ca="1" si="38"/>
        <v xml:space="preserve"> </v>
      </c>
      <c r="W505" s="62" t="str">
        <f t="shared" ca="1" si="39"/>
        <v xml:space="preserve"> </v>
      </c>
      <c r="X505" s="141" t="str">
        <f ca="1">IF(S505=" "," ",IFERROR(VLOOKUP(U505,$F$23:$N$1023,7)+VLOOKUP(U505,$F$23:$N$1023,9)+IF(AND('депозитный калькулятор'!$G$13="нет",U505&lt;&gt;'депозитный калькулятор'!$D$8),VLOOKUP(U505,$F$23:$N$1023,4),0),0)+IF(U505='депозитный калькулятор'!$D$8,VLOOKUP(U505,$F$23:$N$1023,2)+VLOOKUP(U505,$F$23:$N$1023,4),0))</f>
        <v xml:space="preserve"> </v>
      </c>
      <c r="Y505" s="142" t="str">
        <f ca="1">IF(S505=" "," ",W505/(1+'депозитный калькулятор'!$K$8)^(T505/IF('депозитный калькулятор'!$G$7="30/360",360,365)))</f>
        <v xml:space="preserve"> </v>
      </c>
      <c r="Z505" s="142" t="str">
        <f ca="1">IF(S505=" "," ",X505/(1+'депозитный калькулятор'!$K$8)^(T505/IF('депозитный калькулятор'!$G$7="30/360",360,365)))</f>
        <v xml:space="preserve"> </v>
      </c>
      <c r="AA505" s="151"/>
      <c r="AB505" s="151"/>
      <c r="AC505" s="155"/>
      <c r="AD505" s="155"/>
    </row>
    <row r="506" spans="1:30" s="2" customFormat="1" ht="15.5" x14ac:dyDescent="0.35">
      <c r="A506" s="41" t="str">
        <f>IF(F506=" "," ",IF(OR('депозитный калькулятор'!$G$7="30/365",'депозитный калькулятор'!$G$7="30/360"),IF(AND(MONTH(F506)=2,DAY(F506)=DAY(EOMONTH(F506,0))),30-DAY(EOMONTH(F506,0)),IF(DAY(F506)=31,1," "))," "))</f>
        <v xml:space="preserve"> </v>
      </c>
      <c r="B506" s="130" t="str">
        <f t="shared" si="36"/>
        <v xml:space="preserve"> </v>
      </c>
      <c r="C506" s="130" t="str">
        <f>IF(OR(B506=0,B506=" ")," ",SUM($B$23:B506))</f>
        <v xml:space="preserve"> </v>
      </c>
      <c r="D506" s="62" t="str">
        <f>IF(D505=" "," ",IF(OR(F505='депозитный калькулятор'!$D$8,F505=" ")," ",D505+1))</f>
        <v xml:space="preserve"> </v>
      </c>
      <c r="E506" s="130" t="str">
        <f>IF(OR(F505='депозитный калькулятор'!$D$8,F505=" ")," ",IF(EOMONTH(F505,0)=F505,1,E505+1))</f>
        <v xml:space="preserve"> </v>
      </c>
      <c r="F506" s="64" t="str">
        <f>IF(F505=" "," ",IF(F505='депозитный калькулятор'!$D$8," ",F505+1))</f>
        <v xml:space="preserve"> </v>
      </c>
      <c r="G506" s="145" t="str">
        <f xml:space="preserve"> IF(F506&gt;'депозитный калькулятор'!$D$8," ",IF('депозитный калькулятор'!$G$13="есть",IF('депозитный калькулятор'!$G$14="есть",G505+IF(I505=" ",0,I505)-J506-K506+L506+M506-N506,G505+IF(I505=" ",0,I505)-J506-K506+M506-N506),IF('депозитный калькулятор'!$G$14="есть",G505-J506-K506+L506+M506-N506,G505-J506-K506+M506-N506)))</f>
        <v xml:space="preserve"> </v>
      </c>
      <c r="H506" s="133" t="str">
        <f>IF(F506&gt;'депозитный калькулятор'!$D$8," ",IF(AND(OR('депозитный калькулятор'!$G$7="30/365",'депозитный калькулятор'!$G$7="30/360"),AND(MONTH(F506)=2,EOMONTH(F506,0)=F506)),IF(DAY(F506)=28,3*G506*'депозитный калькулятор'!$G$8,2*G506*'депозитный калькулятор'!$G$8),IF(AND(OR('депозитный калькулятор'!$G$7="30/365",'депозитный калькулятор'!$G$7="30/360"),DAY(F506)=31)," ",IF(AND('депозитный калькулятор'!$G$7="факт/факт",MOD(YEAR(F506),4)=0),G506*'депозитный калькулятор'!$D$11/366,G506*'депозитный калькулятор'!$G$8))))</f>
        <v xml:space="preserve"> </v>
      </c>
      <c r="I506" s="134" t="str">
        <f ca="1">IF(F506=" "," ",IF('депозитный калькулятор'!$G$10="ежедневное",H506,IF(AND('депозитный калькулятор'!$G$10="еженедельное",WEEKDAY(F506,2)=7),SUM(OFFSET(H506,-6,0):H506),IF(AND('депозитный калькулятор'!$G$10="еженедельное",F506='депозитный калькулятор'!$D$8),SUM($H$23:H506)-SUM($I$23:I505),IF(AND('депозитный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недели",WEEKDAY(F506,2)=7),MIN(OFFSET(H506,-6,0):H506)*(COUNTIF(OFFSET(H506,-6,0):H506,"&gt;0")+SUMIF(OFFSET(A506,-WEEKDAY(F506,2),0):A506,"=2",OFFSET(A506,-WEEKDAY(F506,2),0):A506)),IF(AND('депозитный калькулятор'!$G$10="еженедельное, на минимальную сумму зафиксированную в течение недели",F506='депозитный калькулятор'!$D$8,WEEKDAY(F506,2)&lt;&gt;7),MIN(OFFSET(H506,-WEEKDAY(F506,2),0):H506)*(COUNTIF(OFFSET(H506,-WEEKDAY(F506,2)+1,0):H506,"&gt;0")+SUM(OFFSET(A506,-WEEKDAY(F506,2),0):A506)),IF(AND('депозитный калькулятор'!$G$10="ежемесячное (в конце месяца)",F506='депозитный калькулятор'!$D$8,EOMONTH(F506,0)&lt;&gt;F506),IF('депозитный калькулятор'!$F$1=1,$H$24,SUM($H$23:H506)-SUM($I$23:I505)),IF(AND('депозитный калькулятор'!$G$10="ежемесячное (в конце месяца)",EOMONTH(F506,0)=F506),SUM($H$23:H506)-SUM($I$23:I505),IF(AND('депозитный калькулятор'!$G$10="ежемесячное (по дням открытия вклада)",F506='депозитный калькулятор'!$D$8,DAY('депозитный калькулятор'!$D$7)&lt;&gt;DAY(F506)),IF('депозитный калькулятор'!$F$1=1,$H$24,SUM($H$23:H506)-SUM($I$23:I505)),IF(AND('депозитный калькулятор'!$G$10="ежемесячное (по дням открытия вклада)",DAY('депозитный калькулятор'!$D$7)=DAY(F506)),SUM($H$23:H506)-SUM($I$23:I505),IF(AND('депозитный калькулятор'!$G$10="ежемесячное, на минимальную сумму зафиксированную в течение месяца",F506='депозитный калькулятор'!$D$8,EOMONTH(F506,0)&lt;&gt;F506),IF('депозитный калькулятор'!$F$1=1,$H$24,IF(AND(OR('депозитный калькулятор'!$G$7="30/365",'депозитный калькулятор'!$G$7="30/360"),DAY(F506)=31),0,MIN(OFFSET(H506,-E506+1,0):H506)*(E506+SUMIF(OFFSET(A506,-E506+1,0):A506,"=2",OFFSET(A506,-E506+1,0):A506)))),IF(AND('депозитный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калькулятор'!$G$7="30/360"),DAY(EOMONTH(F506,0))=31),EOMONTH(F506,0)-1=F506,EOMONTH(F506,0)=F506)),IF(IF(AND(OR('депозитный калькулятор'!$G$7="30/365",'депозитный калькулятор'!$G$7="30/360"),DAY(EOMONTH($F$23,0))=31),F506=EOMONTH($F$23,0)-1,F506=EOMONTH($F$23,0)),MIN(OFFSET(H506,-(DAY(F506)-DAY($F$23)),0):H506)*E506,MIN(OFFSET(H506,-(DAY(F506)-1),0):H506)*IF(AND(OR('депозитный калькулятор'!$G$7="30/365",'депозитный калькулятор'!$G$7="30/360"),DAY(F506)&lt;30),30,DAY(F506))),IF(AND('депозитный калькулятор'!$G$10="ежемесячное, на средний остаток в течение месяца, при условии что остаток больше чем ограничение",F506='депозитный калькулятор'!$D$8,EOMONTH(F506,0)&lt;&gt;F506),IF('депозитный калькулятор'!$F$1=1,$H$24,SUM(OFFSET(Q506,-E506+1,0):Q506)),IF(AND('депозитный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калькулятор'!$G$7="30/360"),DAY(EOMONTH(F506,0))=31),EOMONTH(F506,0)-1=F506,EOMONTH(F506,0)=F506)),IF(IF(AND(OR('депозитный калькулятор'!$G$7="30/365",'депозитный калькулятор'!$G$7="30/360"),DAY(EOMONTH($F$24,0))=31),F506=EOMONTH($F$24,0)-1,F506=EOMONTH($F$24,0)),SUM(OFFSET(Q506,-E506+1,0):Q506),SUM(OFFSET(Q506,-E506+1,0):Q506)),IF('депозитный калькулятор'!$G$10="ежеквартальное",IF(F506&gt;'депозитный калькулятор'!$D$8," ",IF(AND(EOMONTH(F506,0)=F506,OR(MONTH(F506)=3,MONTH(F506)=6,MONTH(F506)=9,MONTH(F506)=12)),IF(EDATE(F506,-3)&lt;'депозитный калькулятор'!$D$7,SUM($H$23:H506),IF(MOD(YEAR(F506),4)=0,IF(AND(EOMONTH(F506,0)=F506,OR(MONTH(F506)=3,MONTH(F506)=6)),SUM(OFFSET(H506,-90,0):H506),IF(AND(EOMONTH(F506,0)=F506,OR(MONTH(F506)=9,MONTH(F506)=12)),SUM(OFFSET(H506,-91,0):H506))),IF(AND(EOMONTH(F506,0)=F506,MONTH(F506)=3),SUM(OFFSET(H506,-89,0):H506),IF(AND(EOMONTH(F506,0)=F506,MONTH(F506)=6),SUM(OFFSET(H506,-90,0):H506),IF(AND(EOMONTH(F506,0)=F506,OR(MONTH(F506)=9,MONTH(F506)=12)),SUM(OFFSET(H506,-91,0):H506)))))),IF(F506='депозитный калькулятор'!$D$8,SUM($H$23:H506)-SUM($I$23:I505),0))),IF('депозитный калькулятор'!$G$10="ежегодное",IF(F506&gt;'депозитный калькулятор'!$D$8," ",IF(F506='депозитный калькулятор'!$D$8,SUM($H$23:H506)-SUM($I$23:I505),IF(AND(EOMONTH(F506,0)=F506,MONTH(F506)=12),IF(MOD(YEAR(F505),4)=0,IF(F506-'депозитный калькулятор'!$D$7&lt;366,SUM($H$23:H506),SUM(OFFSET(H506,-365,0):H506)),IF(F506-'депозитный калькулятор'!$D$7&lt;365,SUM($H$23:H506),SUM(OFFSET(H506,-364,0):H506))),0))),IF(AND('депозитный калькулятор'!$G$10="в конце срока",'депозитный калькулятор'!$D$8=F506),SUM($H$23:H506),0))))))))))))))))))</f>
        <v xml:space="preserve"> </v>
      </c>
      <c r="J506" s="59" t="str">
        <f>IF(F506&gt;'депозитный калькулятор'!$D$8," ",IF('депозитный калькулятор'!$G$16="нет",0,IF(AND('депозитный калькулятор'!$G$17="разовая (в конце срока)",F506='депозитный калькулятор'!$D$8),'депозитный калькулятор'!$G$18,IF(AND('депозитный калькулятор'!$G$17="ежемесячная",EOMONTH(F505,0)=F505),'депозитный калькулятор'!$G$18,IF(AND('депозитный калькулятор'!$G$17="ежегодная",DAY(F505)=31,MONTH(F505)=12),'депозитный калькулятор'!$G$18,IF(AND('депозитный калькулятор'!$G$17="ежемесячная в зависимости от остатка",EOMONTH(F505,0)=F505,P505&gt;0),'депозитный калькулятор'!$G$18,IF(AND('депозитный калькулятор'!$G$17="ежегодная в зависимости от остатка",DAY(F505)=31,MONTH(F505)=12,P505&gt;0),'депозитный калькулятор'!$G$18,0)))))))</f>
        <v xml:space="preserve"> </v>
      </c>
      <c r="K506" s="135" t="str">
        <f>IF($F506=" "," ",IFERROR(VLOOKUP($F506,'депозитный калькулятор'!$B$26:$F$70,2,0),0))</f>
        <v xml:space="preserve"> </v>
      </c>
      <c r="L506" s="135" t="str">
        <f>IF($F506=" "," ",IFERROR(VLOOKUP($F506,'депозитный калькулятор'!$B$26:$F$70,3,0),0))</f>
        <v xml:space="preserve"> </v>
      </c>
      <c r="M506" s="135" t="str">
        <f>IF($F506=" "," ",IFERROR(VLOOKUP($F506,'депозитный калькулятор'!$B$26:$F$70,4,0),0))</f>
        <v xml:space="preserve"> </v>
      </c>
      <c r="N506" s="135" t="str">
        <f>IF($F506=" "," ",IFERROR(VLOOKUP($F506,'депозитный калькулятор'!$B$26:$F$70,5,0),0))</f>
        <v xml:space="preserve"> </v>
      </c>
      <c r="O506" s="146" t="str">
        <f>IF(F506&gt;'депозитный калькулятор'!$D$8," ",IF(F506='депозитный калькулятор'!$D$8,IF(AND($F$24='депозитный калькулятор'!$D$8,'депозитный калькулятор'!$G$13="нет"),-G506-IF(I506=" ",0,I506)-IF(AND(OR('депозитный калькулятор'!$G$7="30/365",'депозитный калькулятор'!$G$7="30/360"),'депозитный калькулятор'!$G$10="в начале срока"),I505,0)-L506+M506-N506,-G506-IF(I506=" ",0,I506)-L506+M506-N506),IF('депозитный калькулятор'!$G$13="есть",M506-N506+IF('депозитный калькулятор'!$G$14="есть",0,-L506),-IF(I506=" ",0,I506)-IF(AND(OR('депозитный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срока"),I505,0)+M506-N506+IF('депозитный калькулятор'!$G$14="есть",0,-L506))))</f>
        <v xml:space="preserve"> </v>
      </c>
      <c r="P506" s="147" t="str">
        <f>IF(F506&gt;'депозитный калькулятор'!$D$8," ",IF(EOMONTH(F505,0)=F505,0,IF(G506&gt;='депозитный калькулятор'!$G$19,P505,P505+1)))</f>
        <v xml:space="preserve"> </v>
      </c>
      <c r="Q506" s="138" t="str">
        <f>IF(F506=" "," ",IF(AND(OR('депозитный калькулятор'!$G$7="30/365",'депозитный калькулятор'!$G$7="30/360"),AND(MONTH(F506)=2,EOMONTH(F506,0)=F506)),IF(DAY(F506)=28,3,2),1)*IF(G506&gt;='депозитный калькулятор'!$G$11,IF(AND('депозитный калькулятор'!$G$7="факт/факт",MOD(YEAR(F506),4)=0),G506*'депозитный калькулятор'!$D$11/366,G506*'депозитный калькулятор'!$G$8),0))</f>
        <v xml:space="preserve"> </v>
      </c>
      <c r="R506" s="158"/>
      <c r="S506" s="62" t="str">
        <f t="shared" ca="1" si="37"/>
        <v xml:space="preserve"> </v>
      </c>
      <c r="T506" s="149" t="str">
        <f ca="1">IF(S506=" "," ",IF('депозитный калькулятор'!$G$7="30/360",DAYS360(U505,IF(DAY(U506)=31,U506-1,U506))+IF(AND(MONTH(U506)=2,U506=EOMONTH(U506,0)),30-DAY(EOMONTH(U506,0)))+T505,VLOOKUP(S506,$C$22:$F$1023,2,0)))</f>
        <v xml:space="preserve"> </v>
      </c>
      <c r="U506" s="64" t="str">
        <f t="shared" ca="1" si="35"/>
        <v xml:space="preserve"> </v>
      </c>
      <c r="V506" s="150" t="str">
        <f t="shared" ca="1" si="38"/>
        <v xml:space="preserve"> </v>
      </c>
      <c r="W506" s="62" t="str">
        <f t="shared" ca="1" si="39"/>
        <v xml:space="preserve"> </v>
      </c>
      <c r="X506" s="141" t="str">
        <f ca="1">IF(S506=" "," ",IFERROR(VLOOKUP(U506,$F$23:$N$1023,7)+VLOOKUP(U506,$F$23:$N$1023,9)+IF(AND('депозитный калькулятор'!$G$13="нет",U506&lt;&gt;'депозитный калькулятор'!$D$8),VLOOKUP(U506,$F$23:$N$1023,4),0),0)+IF(U506='депозитный калькулятор'!$D$8,VLOOKUP(U506,$F$23:$N$1023,2)+VLOOKUP(U506,$F$23:$N$1023,4),0))</f>
        <v xml:space="preserve"> </v>
      </c>
      <c r="Y506" s="142" t="str">
        <f ca="1">IF(S506=" "," ",W506/(1+'депозитный калькулятор'!$K$8)^(T506/IF('депозитный калькулятор'!$G$7="30/360",360,365)))</f>
        <v xml:space="preserve"> </v>
      </c>
      <c r="Z506" s="142" t="str">
        <f ca="1">IF(S506=" "," ",X506/(1+'депозитный калькулятор'!$K$8)^(T506/IF('депозитный калькулятор'!$G$7="30/360",360,365)))</f>
        <v xml:space="preserve"> </v>
      </c>
      <c r="AA506" s="151"/>
      <c r="AB506" s="151"/>
      <c r="AC506" s="155"/>
      <c r="AD506" s="155"/>
    </row>
    <row r="507" spans="1:30" s="2" customFormat="1" ht="15.5" x14ac:dyDescent="0.35">
      <c r="A507" s="41" t="str">
        <f>IF(F507=" "," ",IF(OR('депозитный калькулятор'!$G$7="30/365",'депозитный калькулятор'!$G$7="30/360"),IF(AND(MONTH(F507)=2,DAY(F507)=DAY(EOMONTH(F507,0))),30-DAY(EOMONTH(F507,0)),IF(DAY(F507)=31,1," "))," "))</f>
        <v xml:space="preserve"> </v>
      </c>
      <c r="B507" s="130" t="str">
        <f t="shared" si="36"/>
        <v xml:space="preserve"> </v>
      </c>
      <c r="C507" s="130" t="str">
        <f>IF(OR(B507=0,B507=" ")," ",SUM($B$23:B507))</f>
        <v xml:space="preserve"> </v>
      </c>
      <c r="D507" s="62" t="str">
        <f>IF(D506=" "," ",IF(OR(F506='депозитный калькулятор'!$D$8,F506=" ")," ",D506+1))</f>
        <v xml:space="preserve"> </v>
      </c>
      <c r="E507" s="130" t="str">
        <f>IF(OR(F506='депозитный калькулятор'!$D$8,F506=" ")," ",IF(EOMONTH(F506,0)=F506,1,E506+1))</f>
        <v xml:space="preserve"> </v>
      </c>
      <c r="F507" s="64" t="str">
        <f>IF(F506=" "," ",IF(F506='депозитный калькулятор'!$D$8," ",F506+1))</f>
        <v xml:space="preserve"> </v>
      </c>
      <c r="G507" s="145" t="str">
        <f xml:space="preserve"> IF(F507&gt;'депозитный калькулятор'!$D$8," ",IF('депозитный калькулятор'!$G$13="есть",IF('депозитный калькулятор'!$G$14="есть",G506+IF(I506=" ",0,I506)-J507-K507+L507+M507-N507,G506+IF(I506=" ",0,I506)-J507-K507+M507-N507),IF('депозитный калькулятор'!$G$14="есть",G506-J507-K507+L507+M507-N507,G506-J507-K507+M507-N507)))</f>
        <v xml:space="preserve"> </v>
      </c>
      <c r="H507" s="133" t="str">
        <f>IF(F507&gt;'депозитный калькулятор'!$D$8," ",IF(AND(OR('депозитный калькулятор'!$G$7="30/365",'депозитный калькулятор'!$G$7="30/360"),AND(MONTH(F507)=2,EOMONTH(F507,0)=F507)),IF(DAY(F507)=28,3*G507*'депозитный калькулятор'!$G$8,2*G507*'депозитный калькулятор'!$G$8),IF(AND(OR('депозитный калькулятор'!$G$7="30/365",'депозитный калькулятор'!$G$7="30/360"),DAY(F507)=31)," ",IF(AND('депозитный калькулятор'!$G$7="факт/факт",MOD(YEAR(F507),4)=0),G507*'депозитный калькулятор'!$D$11/366,G507*'депозитный калькулятор'!$G$8))))</f>
        <v xml:space="preserve"> </v>
      </c>
      <c r="I507" s="134" t="str">
        <f ca="1">IF(F507=" "," ",IF('депозитный калькулятор'!$G$10="ежедневное",H507,IF(AND('депозитный калькулятор'!$G$10="еженедельное",WEEKDAY(F507,2)=7),SUM(OFFSET(H507,-6,0):H507),IF(AND('депозитный калькулятор'!$G$10="еженедельное",F507='депозитный калькулятор'!$D$8),SUM($H$23:H507)-SUM($I$23:I506),IF(AND('депозитный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недели",WEEKDAY(F507,2)=7),MIN(OFFSET(H507,-6,0):H507)*(COUNTIF(OFFSET(H507,-6,0):H507,"&gt;0")+SUMIF(OFFSET(A507,-WEEKDAY(F507,2),0):A507,"=2",OFFSET(A507,-WEEKDAY(F507,2),0):A507)),IF(AND('депозитный калькулятор'!$G$10="еженедельное, на минимальную сумму зафиксированную в течение недели",F507='депозитный калькулятор'!$D$8,WEEKDAY(F507,2)&lt;&gt;7),MIN(OFFSET(H507,-WEEKDAY(F507,2),0):H507)*(COUNTIF(OFFSET(H507,-WEEKDAY(F507,2)+1,0):H507,"&gt;0")+SUM(OFFSET(A507,-WEEKDAY(F507,2),0):A507)),IF(AND('депозитный калькулятор'!$G$10="ежемесячное (в конце месяца)",F507='депозитный калькулятор'!$D$8,EOMONTH(F507,0)&lt;&gt;F507),IF('депозитный калькулятор'!$F$1=1,$H$24,SUM($H$23:H507)-SUM($I$23:I506)),IF(AND('депозитный калькулятор'!$G$10="ежемесячное (в конце месяца)",EOMONTH(F507,0)=F507),SUM($H$23:H507)-SUM($I$23:I506),IF(AND('депозитный калькулятор'!$G$10="ежемесячное (по дням открытия вклада)",F507='депозитный калькулятор'!$D$8,DAY('депозитный калькулятор'!$D$7)&lt;&gt;DAY(F507)),IF('депозитный калькулятор'!$F$1=1,$H$24,SUM($H$23:H507)-SUM($I$23:I506)),IF(AND('депозитный калькулятор'!$G$10="ежемесячное (по дням открытия вклада)",DAY('депозитный калькулятор'!$D$7)=DAY(F507)),SUM($H$23:H507)-SUM($I$23:I506),IF(AND('депозитный калькулятор'!$G$10="ежемесячное, на минимальную сумму зафиксированную в течение месяца",F507='депозитный калькулятор'!$D$8,EOMONTH(F507,0)&lt;&gt;F507),IF('депозитный калькулятор'!$F$1=1,$H$24,IF(AND(OR('депозитный калькулятор'!$G$7="30/365",'депозитный калькулятор'!$G$7="30/360"),DAY(F507)=31),0,MIN(OFFSET(H507,-E507+1,0):H507)*(E507+SUMIF(OFFSET(A507,-E507+1,0):A507,"=2",OFFSET(A507,-E507+1,0):A507)))),IF(AND('депозитный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калькулятор'!$G$7="30/360"),DAY(EOMONTH(F507,0))=31),EOMONTH(F507,0)-1=F507,EOMONTH(F507,0)=F507)),IF(IF(AND(OR('депозитный калькулятор'!$G$7="30/365",'депозитный калькулятор'!$G$7="30/360"),DAY(EOMONTH($F$23,0))=31),F507=EOMONTH($F$23,0)-1,F507=EOMONTH($F$23,0)),MIN(OFFSET(H507,-(DAY(F507)-DAY($F$23)),0):H507)*E507,MIN(OFFSET(H507,-(DAY(F507)-1),0):H507)*IF(AND(OR('депозитный калькулятор'!$G$7="30/365",'депозитный калькулятор'!$G$7="30/360"),DAY(F507)&lt;30),30,DAY(F507))),IF(AND('депозитный калькулятор'!$G$10="ежемесячное, на средний остаток в течение месяца, при условии что остаток больше чем ограничение",F507='депозитный калькулятор'!$D$8,EOMONTH(F507,0)&lt;&gt;F507),IF('депозитный калькулятор'!$F$1=1,$H$24,SUM(OFFSET(Q507,-E507+1,0):Q507)),IF(AND('депозитный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калькулятор'!$G$7="30/360"),DAY(EOMONTH(F507,0))=31),EOMONTH(F507,0)-1=F507,EOMONTH(F507,0)=F507)),IF(IF(AND(OR('депозитный калькулятор'!$G$7="30/365",'депозитный калькулятор'!$G$7="30/360"),DAY(EOMONTH($F$24,0))=31),F507=EOMONTH($F$24,0)-1,F507=EOMONTH($F$24,0)),SUM(OFFSET(Q507,-E507+1,0):Q507),SUM(OFFSET(Q507,-E507+1,0):Q507)),IF('депозитный калькулятор'!$G$10="ежеквартальное",IF(F507&gt;'депозитный калькулятор'!$D$8," ",IF(AND(EOMONTH(F507,0)=F507,OR(MONTH(F507)=3,MONTH(F507)=6,MONTH(F507)=9,MONTH(F507)=12)),IF(EDATE(F507,-3)&lt;'депозитный калькулятор'!$D$7,SUM($H$23:H507),IF(MOD(YEAR(F507),4)=0,IF(AND(EOMONTH(F507,0)=F507,OR(MONTH(F507)=3,MONTH(F507)=6)),SUM(OFFSET(H507,-90,0):H507),IF(AND(EOMONTH(F507,0)=F507,OR(MONTH(F507)=9,MONTH(F507)=12)),SUM(OFFSET(H507,-91,0):H507))),IF(AND(EOMONTH(F507,0)=F507,MONTH(F507)=3),SUM(OFFSET(H507,-89,0):H507),IF(AND(EOMONTH(F507,0)=F507,MONTH(F507)=6),SUM(OFFSET(H507,-90,0):H507),IF(AND(EOMONTH(F507,0)=F507,OR(MONTH(F507)=9,MONTH(F507)=12)),SUM(OFFSET(H507,-91,0):H507)))))),IF(F507='депозитный калькулятор'!$D$8,SUM($H$23:H507)-SUM($I$23:I506),0))),IF('депозитный калькулятор'!$G$10="ежегодное",IF(F507&gt;'депозитный калькулятор'!$D$8," ",IF(F507='депозитный калькулятор'!$D$8,SUM($H$23:H507)-SUM($I$23:I506),IF(AND(EOMONTH(F507,0)=F507,MONTH(F507)=12),IF(MOD(YEAR(F506),4)=0,IF(F507-'депозитный калькулятор'!$D$7&lt;366,SUM($H$23:H507),SUM(OFFSET(H507,-365,0):H507)),IF(F507-'депозитный калькулятор'!$D$7&lt;365,SUM($H$23:H507),SUM(OFFSET(H507,-364,0):H507))),0))),IF(AND('депозитный калькулятор'!$G$10="в конце срока",'депозитный калькулятор'!$D$8=F507),SUM($H$23:H507),0))))))))))))))))))</f>
        <v xml:space="preserve"> </v>
      </c>
      <c r="J507" s="59" t="str">
        <f>IF(F507&gt;'депозитный калькулятор'!$D$8," ",IF('депозитный калькулятор'!$G$16="нет",0,IF(AND('депозитный калькулятор'!$G$17="разовая (в конце срока)",F507='депозитный калькулятор'!$D$8),'депозитный калькулятор'!$G$18,IF(AND('депозитный калькулятор'!$G$17="ежемесячная",EOMONTH(F506,0)=F506),'депозитный калькулятор'!$G$18,IF(AND('депозитный калькулятор'!$G$17="ежегодная",DAY(F506)=31,MONTH(F506)=12),'депозитный калькулятор'!$G$18,IF(AND('депозитный калькулятор'!$G$17="ежемесячная в зависимости от остатка",EOMONTH(F506,0)=F506,P506&gt;0),'депозитный калькулятор'!$G$18,IF(AND('депозитный калькулятор'!$G$17="ежегодная в зависимости от остатка",DAY(F506)=31,MONTH(F506)=12,P506&gt;0),'депозитный калькулятор'!$G$18,0)))))))</f>
        <v xml:space="preserve"> </v>
      </c>
      <c r="K507" s="135" t="str">
        <f>IF($F507=" "," ",IFERROR(VLOOKUP($F507,'депозитный калькулятор'!$B$26:$F$70,2,0),0))</f>
        <v xml:space="preserve"> </v>
      </c>
      <c r="L507" s="135" t="str">
        <f>IF($F507=" "," ",IFERROR(VLOOKUP($F507,'депозитный калькулятор'!$B$26:$F$70,3,0),0))</f>
        <v xml:space="preserve"> </v>
      </c>
      <c r="M507" s="135" t="str">
        <f>IF($F507=" "," ",IFERROR(VLOOKUP($F507,'депозитный калькулятор'!$B$26:$F$70,4,0),0))</f>
        <v xml:space="preserve"> </v>
      </c>
      <c r="N507" s="135" t="str">
        <f>IF($F507=" "," ",IFERROR(VLOOKUP($F507,'депозитный калькулятор'!$B$26:$F$70,5,0),0))</f>
        <v xml:space="preserve"> </v>
      </c>
      <c r="O507" s="146" t="str">
        <f>IF(F507&gt;'депозитный калькулятор'!$D$8," ",IF(F507='депозитный калькулятор'!$D$8,IF(AND($F$24='депозитный калькулятор'!$D$8,'депозитный калькулятор'!$G$13="нет"),-G507-IF(I507=" ",0,I507)-IF(AND(OR('депозитный калькулятор'!$G$7="30/365",'депозитный калькулятор'!$G$7="30/360"),'депозитный калькулятор'!$G$10="в начале срока"),I506,0)-L507+M507-N507,-G507-IF(I507=" ",0,I507)-L507+M507-N507),IF('депозитный калькулятор'!$G$13="есть",M507-N507+IF('депозитный калькулятор'!$G$14="есть",0,-L507),-IF(I507=" ",0,I507)-IF(AND(OR('депозитный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срока"),I506,0)+M507-N507+IF('депозитный калькулятор'!$G$14="есть",0,-L507))))</f>
        <v xml:space="preserve"> </v>
      </c>
      <c r="P507" s="147" t="str">
        <f>IF(F507&gt;'депозитный калькулятор'!$D$8," ",IF(EOMONTH(F506,0)=F506,0,IF(G507&gt;='депозитный калькулятор'!$G$19,P506,P506+1)))</f>
        <v xml:space="preserve"> </v>
      </c>
      <c r="Q507" s="138" t="str">
        <f>IF(F507=" "," ",IF(AND(OR('депозитный калькулятор'!$G$7="30/365",'депозитный калькулятор'!$G$7="30/360"),AND(MONTH(F507)=2,EOMONTH(F507,0)=F507)),IF(DAY(F507)=28,3,2),1)*IF(G507&gt;='депозитный калькулятор'!$G$11,IF(AND('депозитный калькулятор'!$G$7="факт/факт",MOD(YEAR(F507),4)=0),G507*'депозитный калькулятор'!$D$11/366,G507*'депозитный калькулятор'!$G$8),0))</f>
        <v xml:space="preserve"> </v>
      </c>
      <c r="R507" s="158"/>
      <c r="S507" s="62" t="str">
        <f t="shared" ca="1" si="37"/>
        <v xml:space="preserve"> </v>
      </c>
      <c r="T507" s="149" t="str">
        <f ca="1">IF(S507=" "," ",IF('депозитный калькулятор'!$G$7="30/360",DAYS360(U506,IF(DAY(U507)=31,U507-1,U507))+IF(AND(MONTH(U507)=2,U507=EOMONTH(U507,0)),30-DAY(EOMONTH(U507,0)))+T506,VLOOKUP(S507,$C$22:$F$1023,2,0)))</f>
        <v xml:space="preserve"> </v>
      </c>
      <c r="U507" s="64" t="str">
        <f t="shared" ca="1" si="35"/>
        <v xml:space="preserve"> </v>
      </c>
      <c r="V507" s="150" t="str">
        <f t="shared" ca="1" si="38"/>
        <v xml:space="preserve"> </v>
      </c>
      <c r="W507" s="62" t="str">
        <f t="shared" ca="1" si="39"/>
        <v xml:space="preserve"> </v>
      </c>
      <c r="X507" s="141" t="str">
        <f ca="1">IF(S507=" "," ",IFERROR(VLOOKUP(U507,$F$23:$N$1023,7)+VLOOKUP(U507,$F$23:$N$1023,9)+IF(AND('депозитный калькулятор'!$G$13="нет",U507&lt;&gt;'депозитный калькулятор'!$D$8),VLOOKUP(U507,$F$23:$N$1023,4),0),0)+IF(U507='депозитный калькулятор'!$D$8,VLOOKUP(U507,$F$23:$N$1023,2)+VLOOKUP(U507,$F$23:$N$1023,4),0))</f>
        <v xml:space="preserve"> </v>
      </c>
      <c r="Y507" s="142" t="str">
        <f ca="1">IF(S507=" "," ",W507/(1+'депозитный калькулятор'!$K$8)^(T507/IF('депозитный калькулятор'!$G$7="30/360",360,365)))</f>
        <v xml:space="preserve"> </v>
      </c>
      <c r="Z507" s="142" t="str">
        <f ca="1">IF(S507=" "," ",X507/(1+'депозитный калькулятор'!$K$8)^(T507/IF('депозитный калькулятор'!$G$7="30/360",360,365)))</f>
        <v xml:space="preserve"> </v>
      </c>
      <c r="AA507" s="151"/>
      <c r="AB507" s="151"/>
      <c r="AC507" s="155"/>
      <c r="AD507" s="155"/>
    </row>
    <row r="508" spans="1:30" s="2" customFormat="1" ht="15.5" x14ac:dyDescent="0.35">
      <c r="A508" s="41" t="str">
        <f>IF(F508=" "," ",IF(OR('депозитный калькулятор'!$G$7="30/365",'депозитный калькулятор'!$G$7="30/360"),IF(AND(MONTH(F508)=2,DAY(F508)=DAY(EOMONTH(F508,0))),30-DAY(EOMONTH(F508,0)),IF(DAY(F508)=31,1," "))," "))</f>
        <v xml:space="preserve"> </v>
      </c>
      <c r="B508" s="130" t="str">
        <f t="shared" si="36"/>
        <v xml:space="preserve"> </v>
      </c>
      <c r="C508" s="130" t="str">
        <f>IF(OR(B508=0,B508=" ")," ",SUM($B$23:B508))</f>
        <v xml:space="preserve"> </v>
      </c>
      <c r="D508" s="62" t="str">
        <f>IF(D507=" "," ",IF(OR(F507='депозитный калькулятор'!$D$8,F507=" ")," ",D507+1))</f>
        <v xml:space="preserve"> </v>
      </c>
      <c r="E508" s="130" t="str">
        <f>IF(OR(F507='депозитный калькулятор'!$D$8,F507=" ")," ",IF(EOMONTH(F507,0)=F507,1,E507+1))</f>
        <v xml:space="preserve"> </v>
      </c>
      <c r="F508" s="64" t="str">
        <f>IF(F507=" "," ",IF(F507='депозитный калькулятор'!$D$8," ",F507+1))</f>
        <v xml:space="preserve"> </v>
      </c>
      <c r="G508" s="145" t="str">
        <f xml:space="preserve"> IF(F508&gt;'депозитный калькулятор'!$D$8," ",IF('депозитный калькулятор'!$G$13="есть",IF('депозитный калькулятор'!$G$14="есть",G507+IF(I507=" ",0,I507)-J508-K508+L508+M508-N508,G507+IF(I507=" ",0,I507)-J508-K508+M508-N508),IF('депозитный калькулятор'!$G$14="есть",G507-J508-K508+L508+M508-N508,G507-J508-K508+M508-N508)))</f>
        <v xml:space="preserve"> </v>
      </c>
      <c r="H508" s="133" t="str">
        <f>IF(F508&gt;'депозитный калькулятор'!$D$8," ",IF(AND(OR('депозитный калькулятор'!$G$7="30/365",'депозитный калькулятор'!$G$7="30/360"),AND(MONTH(F508)=2,EOMONTH(F508,0)=F508)),IF(DAY(F508)=28,3*G508*'депозитный калькулятор'!$G$8,2*G508*'депозитный калькулятор'!$G$8),IF(AND(OR('депозитный калькулятор'!$G$7="30/365",'депозитный калькулятор'!$G$7="30/360"),DAY(F508)=31)," ",IF(AND('депозитный калькулятор'!$G$7="факт/факт",MOD(YEAR(F508),4)=0),G508*'депозитный калькулятор'!$D$11/366,G508*'депозитный калькулятор'!$G$8))))</f>
        <v xml:space="preserve"> </v>
      </c>
      <c r="I508" s="134" t="str">
        <f ca="1">IF(F508=" "," ",IF('депозитный калькулятор'!$G$10="ежедневное",H508,IF(AND('депозитный калькулятор'!$G$10="еженедельное",WEEKDAY(F508,2)=7),SUM(OFFSET(H508,-6,0):H508),IF(AND('депозитный калькулятор'!$G$10="еженедельное",F508='депозитный калькулятор'!$D$8),SUM($H$23:H508)-SUM($I$23:I507),IF(AND('депозитный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недели",WEEKDAY(F508,2)=7),MIN(OFFSET(H508,-6,0):H508)*(COUNTIF(OFFSET(H508,-6,0):H508,"&gt;0")+SUMIF(OFFSET(A508,-WEEKDAY(F508,2),0):A508,"=2",OFFSET(A508,-WEEKDAY(F508,2),0):A508)),IF(AND('депозитный калькулятор'!$G$10="еженедельное, на минимальную сумму зафиксированную в течение недели",F508='депозитный калькулятор'!$D$8,WEEKDAY(F508,2)&lt;&gt;7),MIN(OFFSET(H508,-WEEKDAY(F508,2),0):H508)*(COUNTIF(OFFSET(H508,-WEEKDAY(F508,2)+1,0):H508,"&gt;0")+SUM(OFFSET(A508,-WEEKDAY(F508,2),0):A508)),IF(AND('депозитный калькулятор'!$G$10="ежемесячное (в конце месяца)",F508='депозитный калькулятор'!$D$8,EOMONTH(F508,0)&lt;&gt;F508),IF('депозитный калькулятор'!$F$1=1,$H$24,SUM($H$23:H508)-SUM($I$23:I507)),IF(AND('депозитный калькулятор'!$G$10="ежемесячное (в конце месяца)",EOMONTH(F508,0)=F508),SUM($H$23:H508)-SUM($I$23:I507),IF(AND('депозитный калькулятор'!$G$10="ежемесячное (по дням открытия вклада)",F508='депозитный калькулятор'!$D$8,DAY('депозитный калькулятор'!$D$7)&lt;&gt;DAY(F508)),IF('депозитный калькулятор'!$F$1=1,$H$24,SUM($H$23:H508)-SUM($I$23:I507)),IF(AND('депозитный калькулятор'!$G$10="ежемесячное (по дням открытия вклада)",DAY('депозитный калькулятор'!$D$7)=DAY(F508)),SUM($H$23:H508)-SUM($I$23:I507),IF(AND('депозитный калькулятор'!$G$10="ежемесячное, на минимальную сумму зафиксированную в течение месяца",F508='депозитный калькулятор'!$D$8,EOMONTH(F508,0)&lt;&gt;F508),IF('депозитный калькулятор'!$F$1=1,$H$24,IF(AND(OR('депозитный калькулятор'!$G$7="30/365",'депозитный калькулятор'!$G$7="30/360"),DAY(F508)=31),0,MIN(OFFSET(H508,-E508+1,0):H508)*(E508+SUMIF(OFFSET(A508,-E508+1,0):A508,"=2",OFFSET(A508,-E508+1,0):A508)))),IF(AND('депозитный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калькулятор'!$G$7="30/360"),DAY(EOMONTH(F508,0))=31),EOMONTH(F508,0)-1=F508,EOMONTH(F508,0)=F508)),IF(IF(AND(OR('депозитный калькулятор'!$G$7="30/365",'депозитный калькулятор'!$G$7="30/360"),DAY(EOMONTH($F$23,0))=31),F508=EOMONTH($F$23,0)-1,F508=EOMONTH($F$23,0)),MIN(OFFSET(H508,-(DAY(F508)-DAY($F$23)),0):H508)*E508,MIN(OFFSET(H508,-(DAY(F508)-1),0):H508)*IF(AND(OR('депозитный калькулятор'!$G$7="30/365",'депозитный калькулятор'!$G$7="30/360"),DAY(F508)&lt;30),30,DAY(F508))),IF(AND('депозитный калькулятор'!$G$10="ежемесячное, на средний остаток в течение месяца, при условии что остаток больше чем ограничение",F508='депозитный калькулятор'!$D$8,EOMONTH(F508,0)&lt;&gt;F508),IF('депозитный калькулятор'!$F$1=1,$H$24,SUM(OFFSET(Q508,-E508+1,0):Q508)),IF(AND('депозитный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калькулятор'!$G$7="30/360"),DAY(EOMONTH(F508,0))=31),EOMONTH(F508,0)-1=F508,EOMONTH(F508,0)=F508)),IF(IF(AND(OR('депозитный калькулятор'!$G$7="30/365",'депозитный калькулятор'!$G$7="30/360"),DAY(EOMONTH($F$24,0))=31),F508=EOMONTH($F$24,0)-1,F508=EOMONTH($F$24,0)),SUM(OFFSET(Q508,-E508+1,0):Q508),SUM(OFFSET(Q508,-E508+1,0):Q508)),IF('депозитный калькулятор'!$G$10="ежеквартальное",IF(F508&gt;'депозитный калькулятор'!$D$8," ",IF(AND(EOMONTH(F508,0)=F508,OR(MONTH(F508)=3,MONTH(F508)=6,MONTH(F508)=9,MONTH(F508)=12)),IF(EDATE(F508,-3)&lt;'депозитный калькулятор'!$D$7,SUM($H$23:H508),IF(MOD(YEAR(F508),4)=0,IF(AND(EOMONTH(F508,0)=F508,OR(MONTH(F508)=3,MONTH(F508)=6)),SUM(OFFSET(H508,-90,0):H508),IF(AND(EOMONTH(F508,0)=F508,OR(MONTH(F508)=9,MONTH(F508)=12)),SUM(OFFSET(H508,-91,0):H508))),IF(AND(EOMONTH(F508,0)=F508,MONTH(F508)=3),SUM(OFFSET(H508,-89,0):H508),IF(AND(EOMONTH(F508,0)=F508,MONTH(F508)=6),SUM(OFFSET(H508,-90,0):H508),IF(AND(EOMONTH(F508,0)=F508,OR(MONTH(F508)=9,MONTH(F508)=12)),SUM(OFFSET(H508,-91,0):H508)))))),IF(F508='депозитный калькулятор'!$D$8,SUM($H$23:H508)-SUM($I$23:I507),0))),IF('депозитный калькулятор'!$G$10="ежегодное",IF(F508&gt;'депозитный калькулятор'!$D$8," ",IF(F508='депозитный калькулятор'!$D$8,SUM($H$23:H508)-SUM($I$23:I507),IF(AND(EOMONTH(F508,0)=F508,MONTH(F508)=12),IF(MOD(YEAR(F507),4)=0,IF(F508-'депозитный калькулятор'!$D$7&lt;366,SUM($H$23:H508),SUM(OFFSET(H508,-365,0):H508)),IF(F508-'депозитный калькулятор'!$D$7&lt;365,SUM($H$23:H508),SUM(OFFSET(H508,-364,0):H508))),0))),IF(AND('депозитный калькулятор'!$G$10="в конце срока",'депозитный калькулятор'!$D$8=F508),SUM($H$23:H508),0))))))))))))))))))</f>
        <v xml:space="preserve"> </v>
      </c>
      <c r="J508" s="59" t="str">
        <f>IF(F508&gt;'депозитный калькулятор'!$D$8," ",IF('депозитный калькулятор'!$G$16="нет",0,IF(AND('депозитный калькулятор'!$G$17="разовая (в конце срока)",F508='депозитный калькулятор'!$D$8),'депозитный калькулятор'!$G$18,IF(AND('депозитный калькулятор'!$G$17="ежемесячная",EOMONTH(F507,0)=F507),'депозитный калькулятор'!$G$18,IF(AND('депозитный калькулятор'!$G$17="ежегодная",DAY(F507)=31,MONTH(F507)=12),'депозитный калькулятор'!$G$18,IF(AND('депозитный калькулятор'!$G$17="ежемесячная в зависимости от остатка",EOMONTH(F507,0)=F507,P507&gt;0),'депозитный калькулятор'!$G$18,IF(AND('депозитный калькулятор'!$G$17="ежегодная в зависимости от остатка",DAY(F507)=31,MONTH(F507)=12,P507&gt;0),'депозитный калькулятор'!$G$18,0)))))))</f>
        <v xml:space="preserve"> </v>
      </c>
      <c r="K508" s="135" t="str">
        <f>IF($F508=" "," ",IFERROR(VLOOKUP($F508,'депозитный калькулятор'!$B$26:$F$70,2,0),0))</f>
        <v xml:space="preserve"> </v>
      </c>
      <c r="L508" s="135" t="str">
        <f>IF($F508=" "," ",IFERROR(VLOOKUP($F508,'депозитный калькулятор'!$B$26:$F$70,3,0),0))</f>
        <v xml:space="preserve"> </v>
      </c>
      <c r="M508" s="135" t="str">
        <f>IF($F508=" "," ",IFERROR(VLOOKUP($F508,'депозитный калькулятор'!$B$26:$F$70,4,0),0))</f>
        <v xml:space="preserve"> </v>
      </c>
      <c r="N508" s="135" t="str">
        <f>IF($F508=" "," ",IFERROR(VLOOKUP($F508,'депозитный калькулятор'!$B$26:$F$70,5,0),0))</f>
        <v xml:space="preserve"> </v>
      </c>
      <c r="O508" s="146" t="str">
        <f>IF(F508&gt;'депозитный калькулятор'!$D$8," ",IF(F508='депозитный калькулятор'!$D$8,IF(AND($F$24='депозитный калькулятор'!$D$8,'депозитный калькулятор'!$G$13="нет"),-G508-IF(I508=" ",0,I508)-IF(AND(OR('депозитный калькулятор'!$G$7="30/365",'депозитный калькулятор'!$G$7="30/360"),'депозитный калькулятор'!$G$10="в начале срока"),I507,0)-L508+M508-N508,-G508-IF(I508=" ",0,I508)-L508+M508-N508),IF('депозитный калькулятор'!$G$13="есть",M508-N508+IF('депозитный калькулятор'!$G$14="есть",0,-L508),-IF(I508=" ",0,I508)-IF(AND(OR('депозитный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срока"),I507,0)+M508-N508+IF('депозитный калькулятор'!$G$14="есть",0,-L508))))</f>
        <v xml:space="preserve"> </v>
      </c>
      <c r="P508" s="147" t="str">
        <f>IF(F508&gt;'депозитный калькулятор'!$D$8," ",IF(EOMONTH(F507,0)=F507,0,IF(G508&gt;='депозитный калькулятор'!$G$19,P507,P507+1)))</f>
        <v xml:space="preserve"> </v>
      </c>
      <c r="Q508" s="138" t="str">
        <f>IF(F508=" "," ",IF(AND(OR('депозитный калькулятор'!$G$7="30/365",'депозитный калькулятор'!$G$7="30/360"),AND(MONTH(F508)=2,EOMONTH(F508,0)=F508)),IF(DAY(F508)=28,3,2),1)*IF(G508&gt;='депозитный калькулятор'!$G$11,IF(AND('депозитный калькулятор'!$G$7="факт/факт",MOD(YEAR(F508),4)=0),G508*'депозитный калькулятор'!$D$11/366,G508*'депозитный калькулятор'!$G$8),0))</f>
        <v xml:space="preserve"> </v>
      </c>
      <c r="R508" s="158"/>
      <c r="S508" s="62" t="str">
        <f t="shared" ca="1" si="37"/>
        <v xml:space="preserve"> </v>
      </c>
      <c r="T508" s="149" t="str">
        <f ca="1">IF(S508=" "," ",IF('депозитный калькулятор'!$G$7="30/360",DAYS360(U507,IF(DAY(U508)=31,U508-1,U508))+IF(AND(MONTH(U508)=2,U508=EOMONTH(U508,0)),30-DAY(EOMONTH(U508,0)))+T507,VLOOKUP(S508,$C$22:$F$1023,2,0)))</f>
        <v xml:space="preserve"> </v>
      </c>
      <c r="U508" s="64" t="str">
        <f t="shared" ca="1" si="35"/>
        <v xml:space="preserve"> </v>
      </c>
      <c r="V508" s="150" t="str">
        <f t="shared" ca="1" si="38"/>
        <v xml:space="preserve"> </v>
      </c>
      <c r="W508" s="62" t="str">
        <f t="shared" ca="1" si="39"/>
        <v xml:space="preserve"> </v>
      </c>
      <c r="X508" s="141" t="str">
        <f ca="1">IF(S508=" "," ",IFERROR(VLOOKUP(U508,$F$23:$N$1023,7)+VLOOKUP(U508,$F$23:$N$1023,9)+IF(AND('депозитный калькулятор'!$G$13="нет",U508&lt;&gt;'депозитный калькулятор'!$D$8),VLOOKUP(U508,$F$23:$N$1023,4),0),0)+IF(U508='депозитный калькулятор'!$D$8,VLOOKUP(U508,$F$23:$N$1023,2)+VLOOKUP(U508,$F$23:$N$1023,4),0))</f>
        <v xml:space="preserve"> </v>
      </c>
      <c r="Y508" s="142" t="str">
        <f ca="1">IF(S508=" "," ",W508/(1+'депозитный калькулятор'!$K$8)^(T508/IF('депозитный калькулятор'!$G$7="30/360",360,365)))</f>
        <v xml:space="preserve"> </v>
      </c>
      <c r="Z508" s="142" t="str">
        <f ca="1">IF(S508=" "," ",X508/(1+'депозитный калькулятор'!$K$8)^(T508/IF('депозитный калькулятор'!$G$7="30/360",360,365)))</f>
        <v xml:space="preserve"> </v>
      </c>
      <c r="AA508" s="151"/>
      <c r="AB508" s="151"/>
      <c r="AC508" s="155"/>
      <c r="AD508" s="155"/>
    </row>
    <row r="509" spans="1:30" s="2" customFormat="1" ht="15.5" x14ac:dyDescent="0.35">
      <c r="A509" s="41" t="str">
        <f>IF(F509=" "," ",IF(OR('депозитный калькулятор'!$G$7="30/365",'депозитный калькулятор'!$G$7="30/360"),IF(AND(MONTH(F509)=2,DAY(F509)=DAY(EOMONTH(F509,0))),30-DAY(EOMONTH(F509,0)),IF(DAY(F509)=31,1," "))," "))</f>
        <v xml:space="preserve"> </v>
      </c>
      <c r="B509" s="130" t="str">
        <f t="shared" si="36"/>
        <v xml:space="preserve"> </v>
      </c>
      <c r="C509" s="130" t="str">
        <f>IF(OR(B509=0,B509=" ")," ",SUM($B$23:B509))</f>
        <v xml:space="preserve"> </v>
      </c>
      <c r="D509" s="62" t="str">
        <f>IF(D508=" "," ",IF(OR(F508='депозитный калькулятор'!$D$8,F508=" ")," ",D508+1))</f>
        <v xml:space="preserve"> </v>
      </c>
      <c r="E509" s="130" t="str">
        <f>IF(OR(F508='депозитный калькулятор'!$D$8,F508=" ")," ",IF(EOMONTH(F508,0)=F508,1,E508+1))</f>
        <v xml:space="preserve"> </v>
      </c>
      <c r="F509" s="64" t="str">
        <f>IF(F508=" "," ",IF(F508='депозитный калькулятор'!$D$8," ",F508+1))</f>
        <v xml:space="preserve"> </v>
      </c>
      <c r="G509" s="145" t="str">
        <f xml:space="preserve"> IF(F509&gt;'депозитный калькулятор'!$D$8," ",IF('депозитный калькулятор'!$G$13="есть",IF('депозитный калькулятор'!$G$14="есть",G508+IF(I508=" ",0,I508)-J509-K509+L509+M509-N509,G508+IF(I508=" ",0,I508)-J509-K509+M509-N509),IF('депозитный калькулятор'!$G$14="есть",G508-J509-K509+L509+M509-N509,G508-J509-K509+M509-N509)))</f>
        <v xml:space="preserve"> </v>
      </c>
      <c r="H509" s="133" t="str">
        <f>IF(F509&gt;'депозитный калькулятор'!$D$8," ",IF(AND(OR('депозитный калькулятор'!$G$7="30/365",'депозитный калькулятор'!$G$7="30/360"),AND(MONTH(F509)=2,EOMONTH(F509,0)=F509)),IF(DAY(F509)=28,3*G509*'депозитный калькулятор'!$G$8,2*G509*'депозитный калькулятор'!$G$8),IF(AND(OR('депозитный калькулятор'!$G$7="30/365",'депозитный калькулятор'!$G$7="30/360"),DAY(F509)=31)," ",IF(AND('депозитный калькулятор'!$G$7="факт/факт",MOD(YEAR(F509),4)=0),G509*'депозитный калькулятор'!$D$11/366,G509*'депозитный калькулятор'!$G$8))))</f>
        <v xml:space="preserve"> </v>
      </c>
      <c r="I509" s="134" t="str">
        <f ca="1">IF(F509=" "," ",IF('депозитный калькулятор'!$G$10="ежедневное",H509,IF(AND('депозитный калькулятор'!$G$10="еженедельное",WEEKDAY(F509,2)=7),SUM(OFFSET(H509,-6,0):H509),IF(AND('депозитный калькулятор'!$G$10="еженедельное",F509='депозитный калькулятор'!$D$8),SUM($H$23:H509)-SUM($I$23:I508),IF(AND('депозитный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недели",WEEKDAY(F509,2)=7),MIN(OFFSET(H509,-6,0):H509)*(COUNTIF(OFFSET(H509,-6,0):H509,"&gt;0")+SUMIF(OFFSET(A509,-WEEKDAY(F509,2),0):A509,"=2",OFFSET(A509,-WEEKDAY(F509,2),0):A509)),IF(AND('депозитный калькулятор'!$G$10="еженедельное, на минимальную сумму зафиксированную в течение недели",F509='депозитный калькулятор'!$D$8,WEEKDAY(F509,2)&lt;&gt;7),MIN(OFFSET(H509,-WEEKDAY(F509,2),0):H509)*(COUNTIF(OFFSET(H509,-WEEKDAY(F509,2)+1,0):H509,"&gt;0")+SUM(OFFSET(A509,-WEEKDAY(F509,2),0):A509)),IF(AND('депозитный калькулятор'!$G$10="ежемесячное (в конце месяца)",F509='депозитный калькулятор'!$D$8,EOMONTH(F509,0)&lt;&gt;F509),IF('депозитный калькулятор'!$F$1=1,$H$24,SUM($H$23:H509)-SUM($I$23:I508)),IF(AND('депозитный калькулятор'!$G$10="ежемесячное (в конце месяца)",EOMONTH(F509,0)=F509),SUM($H$23:H509)-SUM($I$23:I508),IF(AND('депозитный калькулятор'!$G$10="ежемесячное (по дням открытия вклада)",F509='депозитный калькулятор'!$D$8,DAY('депозитный калькулятор'!$D$7)&lt;&gt;DAY(F509)),IF('депозитный калькулятор'!$F$1=1,$H$24,SUM($H$23:H509)-SUM($I$23:I508)),IF(AND('депозитный калькулятор'!$G$10="ежемесячное (по дням открытия вклада)",DAY('депозитный калькулятор'!$D$7)=DAY(F509)),SUM($H$23:H509)-SUM($I$23:I508),IF(AND('депозитный калькулятор'!$G$10="ежемесячное, на минимальную сумму зафиксированную в течение месяца",F509='депозитный калькулятор'!$D$8,EOMONTH(F509,0)&lt;&gt;F509),IF('депозитный калькулятор'!$F$1=1,$H$24,IF(AND(OR('депозитный калькулятор'!$G$7="30/365",'депозитный калькулятор'!$G$7="30/360"),DAY(F509)=31),0,MIN(OFFSET(H509,-E509+1,0):H509)*(E509+SUMIF(OFFSET(A509,-E509+1,0):A509,"=2",OFFSET(A509,-E509+1,0):A509)))),IF(AND('депозитный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калькулятор'!$G$7="30/360"),DAY(EOMONTH(F509,0))=31),EOMONTH(F509,0)-1=F509,EOMONTH(F509,0)=F509)),IF(IF(AND(OR('депозитный калькулятор'!$G$7="30/365",'депозитный калькулятор'!$G$7="30/360"),DAY(EOMONTH($F$23,0))=31),F509=EOMONTH($F$23,0)-1,F509=EOMONTH($F$23,0)),MIN(OFFSET(H509,-(DAY(F509)-DAY($F$23)),0):H509)*E509,MIN(OFFSET(H509,-(DAY(F509)-1),0):H509)*IF(AND(OR('депозитный калькулятор'!$G$7="30/365",'депозитный калькулятор'!$G$7="30/360"),DAY(F509)&lt;30),30,DAY(F509))),IF(AND('депозитный калькулятор'!$G$10="ежемесячное, на средний остаток в течение месяца, при условии что остаток больше чем ограничение",F509='депозитный калькулятор'!$D$8,EOMONTH(F509,0)&lt;&gt;F509),IF('депозитный калькулятор'!$F$1=1,$H$24,SUM(OFFSET(Q509,-E509+1,0):Q509)),IF(AND('депозитный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калькулятор'!$G$7="30/360"),DAY(EOMONTH(F509,0))=31),EOMONTH(F509,0)-1=F509,EOMONTH(F509,0)=F509)),IF(IF(AND(OR('депозитный калькулятор'!$G$7="30/365",'депозитный калькулятор'!$G$7="30/360"),DAY(EOMONTH($F$24,0))=31),F509=EOMONTH($F$24,0)-1,F509=EOMONTH($F$24,0)),SUM(OFFSET(Q509,-E509+1,0):Q509),SUM(OFFSET(Q509,-E509+1,0):Q509)),IF('депозитный калькулятор'!$G$10="ежеквартальное",IF(F509&gt;'депозитный калькулятор'!$D$8," ",IF(AND(EOMONTH(F509,0)=F509,OR(MONTH(F509)=3,MONTH(F509)=6,MONTH(F509)=9,MONTH(F509)=12)),IF(EDATE(F509,-3)&lt;'депозитный калькулятор'!$D$7,SUM($H$23:H509),IF(MOD(YEAR(F509),4)=0,IF(AND(EOMONTH(F509,0)=F509,OR(MONTH(F509)=3,MONTH(F509)=6)),SUM(OFFSET(H509,-90,0):H509),IF(AND(EOMONTH(F509,0)=F509,OR(MONTH(F509)=9,MONTH(F509)=12)),SUM(OFFSET(H509,-91,0):H509))),IF(AND(EOMONTH(F509,0)=F509,MONTH(F509)=3),SUM(OFFSET(H509,-89,0):H509),IF(AND(EOMONTH(F509,0)=F509,MONTH(F509)=6),SUM(OFFSET(H509,-90,0):H509),IF(AND(EOMONTH(F509,0)=F509,OR(MONTH(F509)=9,MONTH(F509)=12)),SUM(OFFSET(H509,-91,0):H509)))))),IF(F509='депозитный калькулятор'!$D$8,SUM($H$23:H509)-SUM($I$23:I508),0))),IF('депозитный калькулятор'!$G$10="ежегодное",IF(F509&gt;'депозитный калькулятор'!$D$8," ",IF(F509='депозитный калькулятор'!$D$8,SUM($H$23:H509)-SUM($I$23:I508),IF(AND(EOMONTH(F509,0)=F509,MONTH(F509)=12),IF(MOD(YEAR(F508),4)=0,IF(F509-'депозитный калькулятор'!$D$7&lt;366,SUM($H$23:H509),SUM(OFFSET(H509,-365,0):H509)),IF(F509-'депозитный калькулятор'!$D$7&lt;365,SUM($H$23:H509),SUM(OFFSET(H509,-364,0):H509))),0))),IF(AND('депозитный калькулятор'!$G$10="в конце срока",'депозитный калькулятор'!$D$8=F509),SUM($H$23:H509),0))))))))))))))))))</f>
        <v xml:space="preserve"> </v>
      </c>
      <c r="J509" s="59" t="str">
        <f>IF(F509&gt;'депозитный калькулятор'!$D$8," ",IF('депозитный калькулятор'!$G$16="нет",0,IF(AND('депозитный калькулятор'!$G$17="разовая (в конце срока)",F509='депозитный калькулятор'!$D$8),'депозитный калькулятор'!$G$18,IF(AND('депозитный калькулятор'!$G$17="ежемесячная",EOMONTH(F508,0)=F508),'депозитный калькулятор'!$G$18,IF(AND('депозитный калькулятор'!$G$17="ежегодная",DAY(F508)=31,MONTH(F508)=12),'депозитный калькулятор'!$G$18,IF(AND('депозитный калькулятор'!$G$17="ежемесячная в зависимости от остатка",EOMONTH(F508,0)=F508,P508&gt;0),'депозитный калькулятор'!$G$18,IF(AND('депозитный калькулятор'!$G$17="ежегодная в зависимости от остатка",DAY(F508)=31,MONTH(F508)=12,P508&gt;0),'депозитный калькулятор'!$G$18,0)))))))</f>
        <v xml:space="preserve"> </v>
      </c>
      <c r="K509" s="135" t="str">
        <f>IF($F509=" "," ",IFERROR(VLOOKUP($F509,'депозитный калькулятор'!$B$26:$F$70,2,0),0))</f>
        <v xml:space="preserve"> </v>
      </c>
      <c r="L509" s="135" t="str">
        <f>IF($F509=" "," ",IFERROR(VLOOKUP($F509,'депозитный калькулятор'!$B$26:$F$70,3,0),0))</f>
        <v xml:space="preserve"> </v>
      </c>
      <c r="M509" s="135" t="str">
        <f>IF($F509=" "," ",IFERROR(VLOOKUP($F509,'депозитный калькулятор'!$B$26:$F$70,4,0),0))</f>
        <v xml:space="preserve"> </v>
      </c>
      <c r="N509" s="135" t="str">
        <f>IF($F509=" "," ",IFERROR(VLOOKUP($F509,'депозитный калькулятор'!$B$26:$F$70,5,0),0))</f>
        <v xml:space="preserve"> </v>
      </c>
      <c r="O509" s="146" t="str">
        <f>IF(F509&gt;'депозитный калькулятор'!$D$8," ",IF(F509='депозитный калькулятор'!$D$8,IF(AND($F$24='депозитный калькулятор'!$D$8,'депозитный калькулятор'!$G$13="нет"),-G509-IF(I509=" ",0,I509)-IF(AND(OR('депозитный калькулятор'!$G$7="30/365",'депозитный калькулятор'!$G$7="30/360"),'депозитный калькулятор'!$G$10="в начале срока"),I508,0)-L509+M509-N509,-G509-IF(I509=" ",0,I509)-L509+M509-N509),IF('депозитный калькулятор'!$G$13="есть",M509-N509+IF('депозитный калькулятор'!$G$14="есть",0,-L509),-IF(I509=" ",0,I509)-IF(AND(OR('депозитный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срока"),I508,0)+M509-N509+IF('депозитный калькулятор'!$G$14="есть",0,-L509))))</f>
        <v xml:space="preserve"> </v>
      </c>
      <c r="P509" s="147" t="str">
        <f>IF(F509&gt;'депозитный калькулятор'!$D$8," ",IF(EOMONTH(F508,0)=F508,0,IF(G509&gt;='депозитный калькулятор'!$G$19,P508,P508+1)))</f>
        <v xml:space="preserve"> </v>
      </c>
      <c r="Q509" s="138" t="str">
        <f>IF(F509=" "," ",IF(AND(OR('депозитный калькулятор'!$G$7="30/365",'депозитный калькулятор'!$G$7="30/360"),AND(MONTH(F509)=2,EOMONTH(F509,0)=F509)),IF(DAY(F509)=28,3,2),1)*IF(G509&gt;='депозитный калькулятор'!$G$11,IF(AND('депозитный калькулятор'!$G$7="факт/факт",MOD(YEAR(F509),4)=0),G509*'депозитный калькулятор'!$D$11/366,G509*'депозитный калькулятор'!$G$8),0))</f>
        <v xml:space="preserve"> </v>
      </c>
      <c r="R509" s="158"/>
      <c r="S509" s="62" t="str">
        <f t="shared" ca="1" si="37"/>
        <v xml:space="preserve"> </v>
      </c>
      <c r="T509" s="149" t="str">
        <f ca="1">IF(S509=" "," ",IF('депозитный калькулятор'!$G$7="30/360",DAYS360(U508,IF(DAY(U509)=31,U509-1,U509))+IF(AND(MONTH(U509)=2,U509=EOMONTH(U509,0)),30-DAY(EOMONTH(U509,0)))+T508,VLOOKUP(S509,$C$22:$F$1023,2,0)))</f>
        <v xml:space="preserve"> </v>
      </c>
      <c r="U509" s="64" t="str">
        <f t="shared" ca="1" si="35"/>
        <v xml:space="preserve"> </v>
      </c>
      <c r="V509" s="150" t="str">
        <f t="shared" ca="1" si="38"/>
        <v xml:space="preserve"> </v>
      </c>
      <c r="W509" s="62" t="str">
        <f t="shared" ca="1" si="39"/>
        <v xml:space="preserve"> </v>
      </c>
      <c r="X509" s="141" t="str">
        <f ca="1">IF(S509=" "," ",IFERROR(VLOOKUP(U509,$F$23:$N$1023,7)+VLOOKUP(U509,$F$23:$N$1023,9)+IF(AND('депозитный калькулятор'!$G$13="нет",U509&lt;&gt;'депозитный калькулятор'!$D$8),VLOOKUP(U509,$F$23:$N$1023,4),0),0)+IF(U509='депозитный калькулятор'!$D$8,VLOOKUP(U509,$F$23:$N$1023,2)+VLOOKUP(U509,$F$23:$N$1023,4),0))</f>
        <v xml:space="preserve"> </v>
      </c>
      <c r="Y509" s="142" t="str">
        <f ca="1">IF(S509=" "," ",W509/(1+'депозитный калькулятор'!$K$8)^(T509/IF('депозитный калькулятор'!$G$7="30/360",360,365)))</f>
        <v xml:space="preserve"> </v>
      </c>
      <c r="Z509" s="142" t="str">
        <f ca="1">IF(S509=" "," ",X509/(1+'депозитный калькулятор'!$K$8)^(T509/IF('депозитный калькулятор'!$G$7="30/360",360,365)))</f>
        <v xml:space="preserve"> </v>
      </c>
      <c r="AA509" s="151"/>
      <c r="AB509" s="151"/>
      <c r="AC509" s="155"/>
      <c r="AD509" s="155"/>
    </row>
    <row r="510" spans="1:30" s="2" customFormat="1" ht="15.5" x14ac:dyDescent="0.35">
      <c r="A510" s="41" t="str">
        <f>IF(F510=" "," ",IF(OR('депозитный калькулятор'!$G$7="30/365",'депозитный калькулятор'!$G$7="30/360"),IF(AND(MONTH(F510)=2,DAY(F510)=DAY(EOMONTH(F510,0))),30-DAY(EOMONTH(F510,0)),IF(DAY(F510)=31,1," "))," "))</f>
        <v xml:space="preserve"> </v>
      </c>
      <c r="B510" s="130" t="str">
        <f t="shared" si="36"/>
        <v xml:space="preserve"> </v>
      </c>
      <c r="C510" s="130" t="str">
        <f>IF(OR(B510=0,B510=" ")," ",SUM($B$23:B510))</f>
        <v xml:space="preserve"> </v>
      </c>
      <c r="D510" s="62" t="str">
        <f>IF(D509=" "," ",IF(OR(F509='депозитный калькулятор'!$D$8,F509=" ")," ",D509+1))</f>
        <v xml:space="preserve"> </v>
      </c>
      <c r="E510" s="130" t="str">
        <f>IF(OR(F509='депозитный калькулятор'!$D$8,F509=" ")," ",IF(EOMONTH(F509,0)=F509,1,E509+1))</f>
        <v xml:space="preserve"> </v>
      </c>
      <c r="F510" s="64" t="str">
        <f>IF(F509=" "," ",IF(F509='депозитный калькулятор'!$D$8," ",F509+1))</f>
        <v xml:space="preserve"> </v>
      </c>
      <c r="G510" s="145" t="str">
        <f xml:space="preserve"> IF(F510&gt;'депозитный калькулятор'!$D$8," ",IF('депозитный калькулятор'!$G$13="есть",IF('депозитный калькулятор'!$G$14="есть",G509+IF(I509=" ",0,I509)-J510-K510+L510+M510-N510,G509+IF(I509=" ",0,I509)-J510-K510+M510-N510),IF('депозитный калькулятор'!$G$14="есть",G509-J510-K510+L510+M510-N510,G509-J510-K510+M510-N510)))</f>
        <v xml:space="preserve"> </v>
      </c>
      <c r="H510" s="133" t="str">
        <f>IF(F510&gt;'депозитный калькулятор'!$D$8," ",IF(AND(OR('депозитный калькулятор'!$G$7="30/365",'депозитный калькулятор'!$G$7="30/360"),AND(MONTH(F510)=2,EOMONTH(F510,0)=F510)),IF(DAY(F510)=28,3*G510*'депозитный калькулятор'!$G$8,2*G510*'депозитный калькулятор'!$G$8),IF(AND(OR('депозитный калькулятор'!$G$7="30/365",'депозитный калькулятор'!$G$7="30/360"),DAY(F510)=31)," ",IF(AND('депозитный калькулятор'!$G$7="факт/факт",MOD(YEAR(F510),4)=0),G510*'депозитный калькулятор'!$D$11/366,G510*'депозитный калькулятор'!$G$8))))</f>
        <v xml:space="preserve"> </v>
      </c>
      <c r="I510" s="134" t="str">
        <f ca="1">IF(F510=" "," ",IF('депозитный калькулятор'!$G$10="ежедневное",H510,IF(AND('депозитный калькулятор'!$G$10="еженедельное",WEEKDAY(F510,2)=7),SUM(OFFSET(H510,-6,0):H510),IF(AND('депозитный калькулятор'!$G$10="еженедельное",F510='депозитный калькулятор'!$D$8),SUM($H$23:H510)-SUM($I$23:I509),IF(AND('депозитный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недели",WEEKDAY(F510,2)=7),MIN(OFFSET(H510,-6,0):H510)*(COUNTIF(OFFSET(H510,-6,0):H510,"&gt;0")+SUMIF(OFFSET(A510,-WEEKDAY(F510,2),0):A510,"=2",OFFSET(A510,-WEEKDAY(F510,2),0):A510)),IF(AND('депозитный калькулятор'!$G$10="еженедельное, на минимальную сумму зафиксированную в течение недели",F510='депозитный калькулятор'!$D$8,WEEKDAY(F510,2)&lt;&gt;7),MIN(OFFSET(H510,-WEEKDAY(F510,2),0):H510)*(COUNTIF(OFFSET(H510,-WEEKDAY(F510,2)+1,0):H510,"&gt;0")+SUM(OFFSET(A510,-WEEKDAY(F510,2),0):A510)),IF(AND('депозитный калькулятор'!$G$10="ежемесячное (в конце месяца)",F510='депозитный калькулятор'!$D$8,EOMONTH(F510,0)&lt;&gt;F510),IF('депозитный калькулятор'!$F$1=1,$H$24,SUM($H$23:H510)-SUM($I$23:I509)),IF(AND('депозитный калькулятор'!$G$10="ежемесячное (в конце месяца)",EOMONTH(F510,0)=F510),SUM($H$23:H510)-SUM($I$23:I509),IF(AND('депозитный калькулятор'!$G$10="ежемесячное (по дням открытия вклада)",F510='депозитный калькулятор'!$D$8,DAY('депозитный калькулятор'!$D$7)&lt;&gt;DAY(F510)),IF('депозитный калькулятор'!$F$1=1,$H$24,SUM($H$23:H510)-SUM($I$23:I509)),IF(AND('депозитный калькулятор'!$G$10="ежемесячное (по дням открытия вклада)",DAY('депозитный калькулятор'!$D$7)=DAY(F510)),SUM($H$23:H510)-SUM($I$23:I509),IF(AND('депозитный калькулятор'!$G$10="ежемесячное, на минимальную сумму зафиксированную в течение месяца",F510='депозитный калькулятор'!$D$8,EOMONTH(F510,0)&lt;&gt;F510),IF('депозитный калькулятор'!$F$1=1,$H$24,IF(AND(OR('депозитный калькулятор'!$G$7="30/365",'депозитный калькулятор'!$G$7="30/360"),DAY(F510)=31),0,MIN(OFFSET(H510,-E510+1,0):H510)*(E510+SUMIF(OFFSET(A510,-E510+1,0):A510,"=2",OFFSET(A510,-E510+1,0):A510)))),IF(AND('депозитный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калькулятор'!$G$7="30/360"),DAY(EOMONTH(F510,0))=31),EOMONTH(F510,0)-1=F510,EOMONTH(F510,0)=F510)),IF(IF(AND(OR('депозитный калькулятор'!$G$7="30/365",'депозитный калькулятор'!$G$7="30/360"),DAY(EOMONTH($F$23,0))=31),F510=EOMONTH($F$23,0)-1,F510=EOMONTH($F$23,0)),MIN(OFFSET(H510,-(DAY(F510)-DAY($F$23)),0):H510)*E510,MIN(OFFSET(H510,-(DAY(F510)-1),0):H510)*IF(AND(OR('депозитный калькулятор'!$G$7="30/365",'депозитный калькулятор'!$G$7="30/360"),DAY(F510)&lt;30),30,DAY(F510))),IF(AND('депозитный калькулятор'!$G$10="ежемесячное, на средний остаток в течение месяца, при условии что остаток больше чем ограничение",F510='депозитный калькулятор'!$D$8,EOMONTH(F510,0)&lt;&gt;F510),IF('депозитный калькулятор'!$F$1=1,$H$24,SUM(OFFSET(Q510,-E510+1,0):Q510)),IF(AND('депозитный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калькулятор'!$G$7="30/360"),DAY(EOMONTH(F510,0))=31),EOMONTH(F510,0)-1=F510,EOMONTH(F510,0)=F510)),IF(IF(AND(OR('депозитный калькулятор'!$G$7="30/365",'депозитный калькулятор'!$G$7="30/360"),DAY(EOMONTH($F$24,0))=31),F510=EOMONTH($F$24,0)-1,F510=EOMONTH($F$24,0)),SUM(OFFSET(Q510,-E510+1,0):Q510),SUM(OFFSET(Q510,-E510+1,0):Q510)),IF('депозитный калькулятор'!$G$10="ежеквартальное",IF(F510&gt;'депозитный калькулятор'!$D$8," ",IF(AND(EOMONTH(F510,0)=F510,OR(MONTH(F510)=3,MONTH(F510)=6,MONTH(F510)=9,MONTH(F510)=12)),IF(EDATE(F510,-3)&lt;'депозитный калькулятор'!$D$7,SUM($H$23:H510),IF(MOD(YEAR(F510),4)=0,IF(AND(EOMONTH(F510,0)=F510,OR(MONTH(F510)=3,MONTH(F510)=6)),SUM(OFFSET(H510,-90,0):H510),IF(AND(EOMONTH(F510,0)=F510,OR(MONTH(F510)=9,MONTH(F510)=12)),SUM(OFFSET(H510,-91,0):H510))),IF(AND(EOMONTH(F510,0)=F510,MONTH(F510)=3),SUM(OFFSET(H510,-89,0):H510),IF(AND(EOMONTH(F510,0)=F510,MONTH(F510)=6),SUM(OFFSET(H510,-90,0):H510),IF(AND(EOMONTH(F510,0)=F510,OR(MONTH(F510)=9,MONTH(F510)=12)),SUM(OFFSET(H510,-91,0):H510)))))),IF(F510='депозитный калькулятор'!$D$8,SUM($H$23:H510)-SUM($I$23:I509),0))),IF('депозитный калькулятор'!$G$10="ежегодное",IF(F510&gt;'депозитный калькулятор'!$D$8," ",IF(F510='депозитный калькулятор'!$D$8,SUM($H$23:H510)-SUM($I$23:I509),IF(AND(EOMONTH(F510,0)=F510,MONTH(F510)=12),IF(MOD(YEAR(F509),4)=0,IF(F510-'депозитный калькулятор'!$D$7&lt;366,SUM($H$23:H510),SUM(OFFSET(H510,-365,0):H510)),IF(F510-'депозитный калькулятор'!$D$7&lt;365,SUM($H$23:H510),SUM(OFFSET(H510,-364,0):H510))),0))),IF(AND('депозитный калькулятор'!$G$10="в конце срока",'депозитный калькулятор'!$D$8=F510),SUM($H$23:H510),0))))))))))))))))))</f>
        <v xml:space="preserve"> </v>
      </c>
      <c r="J510" s="59" t="str">
        <f>IF(F510&gt;'депозитный калькулятор'!$D$8," ",IF('депозитный калькулятор'!$G$16="нет",0,IF(AND('депозитный калькулятор'!$G$17="разовая (в конце срока)",F510='депозитный калькулятор'!$D$8),'депозитный калькулятор'!$G$18,IF(AND('депозитный калькулятор'!$G$17="ежемесячная",EOMONTH(F509,0)=F509),'депозитный калькулятор'!$G$18,IF(AND('депозитный калькулятор'!$G$17="ежегодная",DAY(F509)=31,MONTH(F509)=12),'депозитный калькулятор'!$G$18,IF(AND('депозитный калькулятор'!$G$17="ежемесячная в зависимости от остатка",EOMONTH(F509,0)=F509,P509&gt;0),'депозитный калькулятор'!$G$18,IF(AND('депозитный калькулятор'!$G$17="ежегодная в зависимости от остатка",DAY(F509)=31,MONTH(F509)=12,P509&gt;0),'депозитный калькулятор'!$G$18,0)))))))</f>
        <v xml:space="preserve"> </v>
      </c>
      <c r="K510" s="135" t="str">
        <f>IF($F510=" "," ",IFERROR(VLOOKUP($F510,'депозитный калькулятор'!$B$26:$F$70,2,0),0))</f>
        <v xml:space="preserve"> </v>
      </c>
      <c r="L510" s="135" t="str">
        <f>IF($F510=" "," ",IFERROR(VLOOKUP($F510,'депозитный калькулятор'!$B$26:$F$70,3,0),0))</f>
        <v xml:space="preserve"> </v>
      </c>
      <c r="M510" s="135" t="str">
        <f>IF($F510=" "," ",IFERROR(VLOOKUP($F510,'депозитный калькулятор'!$B$26:$F$70,4,0),0))</f>
        <v xml:space="preserve"> </v>
      </c>
      <c r="N510" s="135" t="str">
        <f>IF($F510=" "," ",IFERROR(VLOOKUP($F510,'депозитный калькулятор'!$B$26:$F$70,5,0),0))</f>
        <v xml:space="preserve"> </v>
      </c>
      <c r="O510" s="146" t="str">
        <f>IF(F510&gt;'депозитный калькулятор'!$D$8," ",IF(F510='депозитный калькулятор'!$D$8,IF(AND($F$24='депозитный калькулятор'!$D$8,'депозитный калькулятор'!$G$13="нет"),-G510-IF(I510=" ",0,I510)-IF(AND(OR('депозитный калькулятор'!$G$7="30/365",'депозитный калькулятор'!$G$7="30/360"),'депозитный калькулятор'!$G$10="в начале срока"),I509,0)-L510+M510-N510,-G510-IF(I510=" ",0,I510)-L510+M510-N510),IF('депозитный калькулятор'!$G$13="есть",M510-N510+IF('депозитный калькулятор'!$G$14="есть",0,-L510),-IF(I510=" ",0,I510)-IF(AND(OR('депозитный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срока"),I509,0)+M510-N510+IF('депозитный калькулятор'!$G$14="есть",0,-L510))))</f>
        <v xml:space="preserve"> </v>
      </c>
      <c r="P510" s="147" t="str">
        <f>IF(F510&gt;'депозитный калькулятор'!$D$8," ",IF(EOMONTH(F509,0)=F509,0,IF(G510&gt;='депозитный калькулятор'!$G$19,P509,P509+1)))</f>
        <v xml:space="preserve"> </v>
      </c>
      <c r="Q510" s="138" t="str">
        <f>IF(F510=" "," ",IF(AND(OR('депозитный калькулятор'!$G$7="30/365",'депозитный калькулятор'!$G$7="30/360"),AND(MONTH(F510)=2,EOMONTH(F510,0)=F510)),IF(DAY(F510)=28,3,2),1)*IF(G510&gt;='депозитный калькулятор'!$G$11,IF(AND('депозитный калькулятор'!$G$7="факт/факт",MOD(YEAR(F510),4)=0),G510*'депозитный калькулятор'!$D$11/366,G510*'депозитный калькулятор'!$G$8),0))</f>
        <v xml:space="preserve"> </v>
      </c>
      <c r="R510" s="158"/>
      <c r="S510" s="62" t="str">
        <f t="shared" ca="1" si="37"/>
        <v xml:space="preserve"> </v>
      </c>
      <c r="T510" s="149" t="str">
        <f ca="1">IF(S510=" "," ",IF('депозитный калькулятор'!$G$7="30/360",DAYS360(U509,IF(DAY(U510)=31,U510-1,U510))+IF(AND(MONTH(U510)=2,U510=EOMONTH(U510,0)),30-DAY(EOMONTH(U510,0)))+T509,VLOOKUP(S510,$C$22:$F$1023,2,0)))</f>
        <v xml:space="preserve"> </v>
      </c>
      <c r="U510" s="64" t="str">
        <f t="shared" ca="1" si="35"/>
        <v xml:space="preserve"> </v>
      </c>
      <c r="V510" s="150" t="str">
        <f t="shared" ca="1" si="38"/>
        <v xml:space="preserve"> </v>
      </c>
      <c r="W510" s="62" t="str">
        <f t="shared" ca="1" si="39"/>
        <v xml:space="preserve"> </v>
      </c>
      <c r="X510" s="141" t="str">
        <f ca="1">IF(S510=" "," ",IFERROR(VLOOKUP(U510,$F$23:$N$1023,7)+VLOOKUP(U510,$F$23:$N$1023,9)+IF(AND('депозитный калькулятор'!$G$13="нет",U510&lt;&gt;'депозитный калькулятор'!$D$8),VLOOKUP(U510,$F$23:$N$1023,4),0),0)+IF(U510='депозитный калькулятор'!$D$8,VLOOKUP(U510,$F$23:$N$1023,2)+VLOOKUP(U510,$F$23:$N$1023,4),0))</f>
        <v xml:space="preserve"> </v>
      </c>
      <c r="Y510" s="142" t="str">
        <f ca="1">IF(S510=" "," ",W510/(1+'депозитный калькулятор'!$K$8)^(T510/IF('депозитный калькулятор'!$G$7="30/360",360,365)))</f>
        <v xml:space="preserve"> </v>
      </c>
      <c r="Z510" s="142" t="str">
        <f ca="1">IF(S510=" "," ",X510/(1+'депозитный калькулятор'!$K$8)^(T510/IF('депозитный калькулятор'!$G$7="30/360",360,365)))</f>
        <v xml:space="preserve"> </v>
      </c>
      <c r="AA510" s="151"/>
      <c r="AB510" s="151"/>
      <c r="AC510" s="155"/>
      <c r="AD510" s="155"/>
    </row>
    <row r="511" spans="1:30" s="2" customFormat="1" ht="15.5" x14ac:dyDescent="0.35">
      <c r="A511" s="41" t="str">
        <f>IF(F511=" "," ",IF(OR('депозитный калькулятор'!$G$7="30/365",'депозитный калькулятор'!$G$7="30/360"),IF(AND(MONTH(F511)=2,DAY(F511)=DAY(EOMONTH(F511,0))),30-DAY(EOMONTH(F511,0)),IF(DAY(F511)=31,1," "))," "))</f>
        <v xml:space="preserve"> </v>
      </c>
      <c r="B511" s="130" t="str">
        <f t="shared" si="36"/>
        <v xml:space="preserve"> </v>
      </c>
      <c r="C511" s="130" t="str">
        <f>IF(OR(B511=0,B511=" ")," ",SUM($B$23:B511))</f>
        <v xml:space="preserve"> </v>
      </c>
      <c r="D511" s="62" t="str">
        <f>IF(D510=" "," ",IF(OR(F510='депозитный калькулятор'!$D$8,F510=" ")," ",D510+1))</f>
        <v xml:space="preserve"> </v>
      </c>
      <c r="E511" s="130" t="str">
        <f>IF(OR(F510='депозитный калькулятор'!$D$8,F510=" ")," ",IF(EOMONTH(F510,0)=F510,1,E510+1))</f>
        <v xml:space="preserve"> </v>
      </c>
      <c r="F511" s="64" t="str">
        <f>IF(F510=" "," ",IF(F510='депозитный калькулятор'!$D$8," ",F510+1))</f>
        <v xml:space="preserve"> </v>
      </c>
      <c r="G511" s="145" t="str">
        <f xml:space="preserve"> IF(F511&gt;'депозитный калькулятор'!$D$8," ",IF('депозитный калькулятор'!$G$13="есть",IF('депозитный калькулятор'!$G$14="есть",G510+IF(I510=" ",0,I510)-J511-K511+L511+M511-N511,G510+IF(I510=" ",0,I510)-J511-K511+M511-N511),IF('депозитный калькулятор'!$G$14="есть",G510-J511-K511+L511+M511-N511,G510-J511-K511+M511-N511)))</f>
        <v xml:space="preserve"> </v>
      </c>
      <c r="H511" s="133" t="str">
        <f>IF(F511&gt;'депозитный калькулятор'!$D$8," ",IF(AND(OR('депозитный калькулятор'!$G$7="30/365",'депозитный калькулятор'!$G$7="30/360"),AND(MONTH(F511)=2,EOMONTH(F511,0)=F511)),IF(DAY(F511)=28,3*G511*'депозитный калькулятор'!$G$8,2*G511*'депозитный калькулятор'!$G$8),IF(AND(OR('депозитный калькулятор'!$G$7="30/365",'депозитный калькулятор'!$G$7="30/360"),DAY(F511)=31)," ",IF(AND('депозитный калькулятор'!$G$7="факт/факт",MOD(YEAR(F511),4)=0),G511*'депозитный калькулятор'!$D$11/366,G511*'депозитный калькулятор'!$G$8))))</f>
        <v xml:space="preserve"> </v>
      </c>
      <c r="I511" s="134" t="str">
        <f ca="1">IF(F511=" "," ",IF('депозитный калькулятор'!$G$10="ежедневное",H511,IF(AND('депозитный калькулятор'!$G$10="еженедельное",WEEKDAY(F511,2)=7),SUM(OFFSET(H511,-6,0):H511),IF(AND('депозитный калькулятор'!$G$10="еженедельное",F511='депозитный калькулятор'!$D$8),SUM($H$23:H511)-SUM($I$23:I510),IF(AND('депозитный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недели",WEEKDAY(F511,2)=7),MIN(OFFSET(H511,-6,0):H511)*(COUNTIF(OFFSET(H511,-6,0):H511,"&gt;0")+SUMIF(OFFSET(A511,-WEEKDAY(F511,2),0):A511,"=2",OFFSET(A511,-WEEKDAY(F511,2),0):A511)),IF(AND('депозитный калькулятор'!$G$10="еженедельное, на минимальную сумму зафиксированную в течение недели",F511='депозитный калькулятор'!$D$8,WEEKDAY(F511,2)&lt;&gt;7),MIN(OFFSET(H511,-WEEKDAY(F511,2),0):H511)*(COUNTIF(OFFSET(H511,-WEEKDAY(F511,2)+1,0):H511,"&gt;0")+SUM(OFFSET(A511,-WEEKDAY(F511,2),0):A511)),IF(AND('депозитный калькулятор'!$G$10="ежемесячное (в конце месяца)",F511='депозитный калькулятор'!$D$8,EOMONTH(F511,0)&lt;&gt;F511),IF('депозитный калькулятор'!$F$1=1,$H$24,SUM($H$23:H511)-SUM($I$23:I510)),IF(AND('депозитный калькулятор'!$G$10="ежемесячное (в конце месяца)",EOMONTH(F511,0)=F511),SUM($H$23:H511)-SUM($I$23:I510),IF(AND('депозитный калькулятор'!$G$10="ежемесячное (по дням открытия вклада)",F511='депозитный калькулятор'!$D$8,DAY('депозитный калькулятор'!$D$7)&lt;&gt;DAY(F511)),IF('депозитный калькулятор'!$F$1=1,$H$24,SUM($H$23:H511)-SUM($I$23:I510)),IF(AND('депозитный калькулятор'!$G$10="ежемесячное (по дням открытия вклада)",DAY('депозитный калькулятор'!$D$7)=DAY(F511)),SUM($H$23:H511)-SUM($I$23:I510),IF(AND('депозитный калькулятор'!$G$10="ежемесячное, на минимальную сумму зафиксированную в течение месяца",F511='депозитный калькулятор'!$D$8,EOMONTH(F511,0)&lt;&gt;F511),IF('депозитный калькулятор'!$F$1=1,$H$24,IF(AND(OR('депозитный калькулятор'!$G$7="30/365",'депозитный калькулятор'!$G$7="30/360"),DAY(F511)=31),0,MIN(OFFSET(H511,-E511+1,0):H511)*(E511+SUMIF(OFFSET(A511,-E511+1,0):A511,"=2",OFFSET(A511,-E511+1,0):A511)))),IF(AND('депозитный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калькулятор'!$G$7="30/360"),DAY(EOMONTH(F511,0))=31),EOMONTH(F511,0)-1=F511,EOMONTH(F511,0)=F511)),IF(IF(AND(OR('депозитный калькулятор'!$G$7="30/365",'депозитный калькулятор'!$G$7="30/360"),DAY(EOMONTH($F$23,0))=31),F511=EOMONTH($F$23,0)-1,F511=EOMONTH($F$23,0)),MIN(OFFSET(H511,-(DAY(F511)-DAY($F$23)),0):H511)*E511,MIN(OFFSET(H511,-(DAY(F511)-1),0):H511)*IF(AND(OR('депозитный калькулятор'!$G$7="30/365",'депозитный калькулятор'!$G$7="30/360"),DAY(F511)&lt;30),30,DAY(F511))),IF(AND('депозитный калькулятор'!$G$10="ежемесячное, на средний остаток в течение месяца, при условии что остаток больше чем ограничение",F511='депозитный калькулятор'!$D$8,EOMONTH(F511,0)&lt;&gt;F511),IF('депозитный калькулятор'!$F$1=1,$H$24,SUM(OFFSET(Q511,-E511+1,0):Q511)),IF(AND('депозитный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калькулятор'!$G$7="30/360"),DAY(EOMONTH(F511,0))=31),EOMONTH(F511,0)-1=F511,EOMONTH(F511,0)=F511)),IF(IF(AND(OR('депозитный калькулятор'!$G$7="30/365",'депозитный калькулятор'!$G$7="30/360"),DAY(EOMONTH($F$24,0))=31),F511=EOMONTH($F$24,0)-1,F511=EOMONTH($F$24,0)),SUM(OFFSET(Q511,-E511+1,0):Q511),SUM(OFFSET(Q511,-E511+1,0):Q511)),IF('депозитный калькулятор'!$G$10="ежеквартальное",IF(F511&gt;'депозитный калькулятор'!$D$8," ",IF(AND(EOMONTH(F511,0)=F511,OR(MONTH(F511)=3,MONTH(F511)=6,MONTH(F511)=9,MONTH(F511)=12)),IF(EDATE(F511,-3)&lt;'депозитный калькулятор'!$D$7,SUM($H$23:H511),IF(MOD(YEAR(F511),4)=0,IF(AND(EOMONTH(F511,0)=F511,OR(MONTH(F511)=3,MONTH(F511)=6)),SUM(OFFSET(H511,-90,0):H511),IF(AND(EOMONTH(F511,0)=F511,OR(MONTH(F511)=9,MONTH(F511)=12)),SUM(OFFSET(H511,-91,0):H511))),IF(AND(EOMONTH(F511,0)=F511,MONTH(F511)=3),SUM(OFFSET(H511,-89,0):H511),IF(AND(EOMONTH(F511,0)=F511,MONTH(F511)=6),SUM(OFFSET(H511,-90,0):H511),IF(AND(EOMONTH(F511,0)=F511,OR(MONTH(F511)=9,MONTH(F511)=12)),SUM(OFFSET(H511,-91,0):H511)))))),IF(F511='депозитный калькулятор'!$D$8,SUM($H$23:H511)-SUM($I$23:I510),0))),IF('депозитный калькулятор'!$G$10="ежегодное",IF(F511&gt;'депозитный калькулятор'!$D$8," ",IF(F511='депозитный калькулятор'!$D$8,SUM($H$23:H511)-SUM($I$23:I510),IF(AND(EOMONTH(F511,0)=F511,MONTH(F511)=12),IF(MOD(YEAR(F510),4)=0,IF(F511-'депозитный калькулятор'!$D$7&lt;366,SUM($H$23:H511),SUM(OFFSET(H511,-365,0):H511)),IF(F511-'депозитный калькулятор'!$D$7&lt;365,SUM($H$23:H511),SUM(OFFSET(H511,-364,0):H511))),0))),IF(AND('депозитный калькулятор'!$G$10="в конце срока",'депозитный калькулятор'!$D$8=F511),SUM($H$23:H511),0))))))))))))))))))</f>
        <v xml:space="preserve"> </v>
      </c>
      <c r="J511" s="59" t="str">
        <f>IF(F511&gt;'депозитный калькулятор'!$D$8," ",IF('депозитный калькулятор'!$G$16="нет",0,IF(AND('депозитный калькулятор'!$G$17="разовая (в конце срока)",F511='депозитный калькулятор'!$D$8),'депозитный калькулятор'!$G$18,IF(AND('депозитный калькулятор'!$G$17="ежемесячная",EOMONTH(F510,0)=F510),'депозитный калькулятор'!$G$18,IF(AND('депозитный калькулятор'!$G$17="ежегодная",DAY(F510)=31,MONTH(F510)=12),'депозитный калькулятор'!$G$18,IF(AND('депозитный калькулятор'!$G$17="ежемесячная в зависимости от остатка",EOMONTH(F510,0)=F510,P510&gt;0),'депозитный калькулятор'!$G$18,IF(AND('депозитный калькулятор'!$G$17="ежегодная в зависимости от остатка",DAY(F510)=31,MONTH(F510)=12,P510&gt;0),'депозитный калькулятор'!$G$18,0)))))))</f>
        <v xml:space="preserve"> </v>
      </c>
      <c r="K511" s="135" t="str">
        <f>IF($F511=" "," ",IFERROR(VLOOKUP($F511,'депозитный калькулятор'!$B$26:$F$70,2,0),0))</f>
        <v xml:space="preserve"> </v>
      </c>
      <c r="L511" s="135" t="str">
        <f>IF($F511=" "," ",IFERROR(VLOOKUP($F511,'депозитный калькулятор'!$B$26:$F$70,3,0),0))</f>
        <v xml:space="preserve"> </v>
      </c>
      <c r="M511" s="135" t="str">
        <f>IF($F511=" "," ",IFERROR(VLOOKUP($F511,'депозитный калькулятор'!$B$26:$F$70,4,0),0))</f>
        <v xml:space="preserve"> </v>
      </c>
      <c r="N511" s="135" t="str">
        <f>IF($F511=" "," ",IFERROR(VLOOKUP($F511,'депозитный калькулятор'!$B$26:$F$70,5,0),0))</f>
        <v xml:space="preserve"> </v>
      </c>
      <c r="O511" s="146" t="str">
        <f>IF(F511&gt;'депозитный калькулятор'!$D$8," ",IF(F511='депозитный калькулятор'!$D$8,IF(AND($F$24='депозитный калькулятор'!$D$8,'депозитный калькулятор'!$G$13="нет"),-G511-IF(I511=" ",0,I511)-IF(AND(OR('депозитный калькулятор'!$G$7="30/365",'депозитный калькулятор'!$G$7="30/360"),'депозитный калькулятор'!$G$10="в начале срока"),I510,0)-L511+M511-N511,-G511-IF(I511=" ",0,I511)-L511+M511-N511),IF('депозитный калькулятор'!$G$13="есть",M511-N511+IF('депозитный калькулятор'!$G$14="есть",0,-L511),-IF(I511=" ",0,I511)-IF(AND(OR('депозитный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срока"),I510,0)+M511-N511+IF('депозитный калькулятор'!$G$14="есть",0,-L511))))</f>
        <v xml:space="preserve"> </v>
      </c>
      <c r="P511" s="147" t="str">
        <f>IF(F511&gt;'депозитный калькулятор'!$D$8," ",IF(EOMONTH(F510,0)=F510,0,IF(G511&gt;='депозитный калькулятор'!$G$19,P510,P510+1)))</f>
        <v xml:space="preserve"> </v>
      </c>
      <c r="Q511" s="138" t="str">
        <f>IF(F511=" "," ",IF(AND(OR('депозитный калькулятор'!$G$7="30/365",'депозитный калькулятор'!$G$7="30/360"),AND(MONTH(F511)=2,EOMONTH(F511,0)=F511)),IF(DAY(F511)=28,3,2),1)*IF(G511&gt;='депозитный калькулятор'!$G$11,IF(AND('депозитный калькулятор'!$G$7="факт/факт",MOD(YEAR(F511),4)=0),G511*'депозитный калькулятор'!$D$11/366,G511*'депозитный калькулятор'!$G$8),0))</f>
        <v xml:space="preserve"> </v>
      </c>
      <c r="R511" s="158"/>
      <c r="S511" s="62" t="str">
        <f t="shared" ca="1" si="37"/>
        <v xml:space="preserve"> </v>
      </c>
      <c r="T511" s="149" t="str">
        <f ca="1">IF(S511=" "," ",IF('депозитный калькулятор'!$G$7="30/360",DAYS360(U510,IF(DAY(U511)=31,U511-1,U511))+IF(AND(MONTH(U511)=2,U511=EOMONTH(U511,0)),30-DAY(EOMONTH(U511,0)))+T510,VLOOKUP(S511,$C$22:$F$1023,2,0)))</f>
        <v xml:space="preserve"> </v>
      </c>
      <c r="U511" s="64" t="str">
        <f t="shared" ca="1" si="35"/>
        <v xml:space="preserve"> </v>
      </c>
      <c r="V511" s="150" t="str">
        <f t="shared" ca="1" si="38"/>
        <v xml:space="preserve"> </v>
      </c>
      <c r="W511" s="62" t="str">
        <f t="shared" ca="1" si="39"/>
        <v xml:space="preserve"> </v>
      </c>
      <c r="X511" s="141" t="str">
        <f ca="1">IF(S511=" "," ",IFERROR(VLOOKUP(U511,$F$23:$N$1023,7)+VLOOKUP(U511,$F$23:$N$1023,9)+IF(AND('депозитный калькулятор'!$G$13="нет",U511&lt;&gt;'депозитный калькулятор'!$D$8),VLOOKUP(U511,$F$23:$N$1023,4),0),0)+IF(U511='депозитный калькулятор'!$D$8,VLOOKUP(U511,$F$23:$N$1023,2)+VLOOKUP(U511,$F$23:$N$1023,4),0))</f>
        <v xml:space="preserve"> </v>
      </c>
      <c r="Y511" s="142" t="str">
        <f ca="1">IF(S511=" "," ",W511/(1+'депозитный калькулятор'!$K$8)^(T511/IF('депозитный калькулятор'!$G$7="30/360",360,365)))</f>
        <v xml:space="preserve"> </v>
      </c>
      <c r="Z511" s="142" t="str">
        <f ca="1">IF(S511=" "," ",X511/(1+'депозитный калькулятор'!$K$8)^(T511/IF('депозитный калькулятор'!$G$7="30/360",360,365)))</f>
        <v xml:space="preserve"> </v>
      </c>
      <c r="AA511" s="151"/>
      <c r="AB511" s="151"/>
      <c r="AC511" s="155"/>
      <c r="AD511" s="155"/>
    </row>
    <row r="512" spans="1:30" s="2" customFormat="1" ht="15.5" x14ac:dyDescent="0.35">
      <c r="A512" s="41" t="str">
        <f>IF(F512=" "," ",IF(OR('депозитный калькулятор'!$G$7="30/365",'депозитный калькулятор'!$G$7="30/360"),IF(AND(MONTH(F512)=2,DAY(F512)=DAY(EOMONTH(F512,0))),30-DAY(EOMONTH(F512,0)),IF(DAY(F512)=31,1," "))," "))</f>
        <v xml:space="preserve"> </v>
      </c>
      <c r="B512" s="130" t="str">
        <f t="shared" si="36"/>
        <v xml:space="preserve"> </v>
      </c>
      <c r="C512" s="130" t="str">
        <f>IF(OR(B512=0,B512=" ")," ",SUM($B$23:B512))</f>
        <v xml:space="preserve"> </v>
      </c>
      <c r="D512" s="62" t="str">
        <f>IF(D511=" "," ",IF(OR(F511='депозитный калькулятор'!$D$8,F511=" ")," ",D511+1))</f>
        <v xml:space="preserve"> </v>
      </c>
      <c r="E512" s="130" t="str">
        <f>IF(OR(F511='депозитный калькулятор'!$D$8,F511=" ")," ",IF(EOMONTH(F511,0)=F511,1,E511+1))</f>
        <v xml:space="preserve"> </v>
      </c>
      <c r="F512" s="64" t="str">
        <f>IF(F511=" "," ",IF(F511='депозитный калькулятор'!$D$8," ",F511+1))</f>
        <v xml:space="preserve"> </v>
      </c>
      <c r="G512" s="145" t="str">
        <f xml:space="preserve"> IF(F512&gt;'депозитный калькулятор'!$D$8," ",IF('депозитный калькулятор'!$G$13="есть",IF('депозитный калькулятор'!$G$14="есть",G511+IF(I511=" ",0,I511)-J512-K512+L512+M512-N512,G511+IF(I511=" ",0,I511)-J512-K512+M512-N512),IF('депозитный калькулятор'!$G$14="есть",G511-J512-K512+L512+M512-N512,G511-J512-K512+M512-N512)))</f>
        <v xml:space="preserve"> </v>
      </c>
      <c r="H512" s="133" t="str">
        <f>IF(F512&gt;'депозитный калькулятор'!$D$8," ",IF(AND(OR('депозитный калькулятор'!$G$7="30/365",'депозитный калькулятор'!$G$7="30/360"),AND(MONTH(F512)=2,EOMONTH(F512,0)=F512)),IF(DAY(F512)=28,3*G512*'депозитный калькулятор'!$G$8,2*G512*'депозитный калькулятор'!$G$8),IF(AND(OR('депозитный калькулятор'!$G$7="30/365",'депозитный калькулятор'!$G$7="30/360"),DAY(F512)=31)," ",IF(AND('депозитный калькулятор'!$G$7="факт/факт",MOD(YEAR(F512),4)=0),G512*'депозитный калькулятор'!$D$11/366,G512*'депозитный калькулятор'!$G$8))))</f>
        <v xml:space="preserve"> </v>
      </c>
      <c r="I512" s="134" t="str">
        <f ca="1">IF(F512=" "," ",IF('депозитный калькулятор'!$G$10="ежедневное",H512,IF(AND('депозитный калькулятор'!$G$10="еженедельное",WEEKDAY(F512,2)=7),SUM(OFFSET(H512,-6,0):H512),IF(AND('депозитный калькулятор'!$G$10="еженедельное",F512='депозитный калькулятор'!$D$8),SUM($H$23:H512)-SUM($I$23:I511),IF(AND('депозитный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недели",WEEKDAY(F512,2)=7),MIN(OFFSET(H512,-6,0):H512)*(COUNTIF(OFFSET(H512,-6,0):H512,"&gt;0")+SUMIF(OFFSET(A512,-WEEKDAY(F512,2),0):A512,"=2",OFFSET(A512,-WEEKDAY(F512,2),0):A512)),IF(AND('депозитный калькулятор'!$G$10="еженедельное, на минимальную сумму зафиксированную в течение недели",F512='депозитный калькулятор'!$D$8,WEEKDAY(F512,2)&lt;&gt;7),MIN(OFFSET(H512,-WEEKDAY(F512,2),0):H512)*(COUNTIF(OFFSET(H512,-WEEKDAY(F512,2)+1,0):H512,"&gt;0")+SUM(OFFSET(A512,-WEEKDAY(F512,2),0):A512)),IF(AND('депозитный калькулятор'!$G$10="ежемесячное (в конце месяца)",F512='депозитный калькулятор'!$D$8,EOMONTH(F512,0)&lt;&gt;F512),IF('депозитный калькулятор'!$F$1=1,$H$24,SUM($H$23:H512)-SUM($I$23:I511)),IF(AND('депозитный калькулятор'!$G$10="ежемесячное (в конце месяца)",EOMONTH(F512,0)=F512),SUM($H$23:H512)-SUM($I$23:I511),IF(AND('депозитный калькулятор'!$G$10="ежемесячное (по дням открытия вклада)",F512='депозитный калькулятор'!$D$8,DAY('депозитный калькулятор'!$D$7)&lt;&gt;DAY(F512)),IF('депозитный калькулятор'!$F$1=1,$H$24,SUM($H$23:H512)-SUM($I$23:I511)),IF(AND('депозитный калькулятор'!$G$10="ежемесячное (по дням открытия вклада)",DAY('депозитный калькулятор'!$D$7)=DAY(F512)),SUM($H$23:H512)-SUM($I$23:I511),IF(AND('депозитный калькулятор'!$G$10="ежемесячное, на минимальную сумму зафиксированную в течение месяца",F512='депозитный калькулятор'!$D$8,EOMONTH(F512,0)&lt;&gt;F512),IF('депозитный калькулятор'!$F$1=1,$H$24,IF(AND(OR('депозитный калькулятор'!$G$7="30/365",'депозитный калькулятор'!$G$7="30/360"),DAY(F512)=31),0,MIN(OFFSET(H512,-E512+1,0):H512)*(E512+SUMIF(OFFSET(A512,-E512+1,0):A512,"=2",OFFSET(A512,-E512+1,0):A512)))),IF(AND('депозитный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калькулятор'!$G$7="30/360"),DAY(EOMONTH(F512,0))=31),EOMONTH(F512,0)-1=F512,EOMONTH(F512,0)=F512)),IF(IF(AND(OR('депозитный калькулятор'!$G$7="30/365",'депозитный калькулятор'!$G$7="30/360"),DAY(EOMONTH($F$23,0))=31),F512=EOMONTH($F$23,0)-1,F512=EOMONTH($F$23,0)),MIN(OFFSET(H512,-(DAY(F512)-DAY($F$23)),0):H512)*E512,MIN(OFFSET(H512,-(DAY(F512)-1),0):H512)*IF(AND(OR('депозитный калькулятор'!$G$7="30/365",'депозитный калькулятор'!$G$7="30/360"),DAY(F512)&lt;30),30,DAY(F512))),IF(AND('депозитный калькулятор'!$G$10="ежемесячное, на средний остаток в течение месяца, при условии что остаток больше чем ограничение",F512='депозитный калькулятор'!$D$8,EOMONTH(F512,0)&lt;&gt;F512),IF('депозитный калькулятор'!$F$1=1,$H$24,SUM(OFFSET(Q512,-E512+1,0):Q512)),IF(AND('депозитный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калькулятор'!$G$7="30/360"),DAY(EOMONTH(F512,0))=31),EOMONTH(F512,0)-1=F512,EOMONTH(F512,0)=F512)),IF(IF(AND(OR('депозитный калькулятор'!$G$7="30/365",'депозитный калькулятор'!$G$7="30/360"),DAY(EOMONTH($F$24,0))=31),F512=EOMONTH($F$24,0)-1,F512=EOMONTH($F$24,0)),SUM(OFFSET(Q512,-E512+1,0):Q512),SUM(OFFSET(Q512,-E512+1,0):Q512)),IF('депозитный калькулятор'!$G$10="ежеквартальное",IF(F512&gt;'депозитный калькулятор'!$D$8," ",IF(AND(EOMONTH(F512,0)=F512,OR(MONTH(F512)=3,MONTH(F512)=6,MONTH(F512)=9,MONTH(F512)=12)),IF(EDATE(F512,-3)&lt;'депозитный калькулятор'!$D$7,SUM($H$23:H512),IF(MOD(YEAR(F512),4)=0,IF(AND(EOMONTH(F512,0)=F512,OR(MONTH(F512)=3,MONTH(F512)=6)),SUM(OFFSET(H512,-90,0):H512),IF(AND(EOMONTH(F512,0)=F512,OR(MONTH(F512)=9,MONTH(F512)=12)),SUM(OFFSET(H512,-91,0):H512))),IF(AND(EOMONTH(F512,0)=F512,MONTH(F512)=3),SUM(OFFSET(H512,-89,0):H512),IF(AND(EOMONTH(F512,0)=F512,MONTH(F512)=6),SUM(OFFSET(H512,-90,0):H512),IF(AND(EOMONTH(F512,0)=F512,OR(MONTH(F512)=9,MONTH(F512)=12)),SUM(OFFSET(H512,-91,0):H512)))))),IF(F512='депозитный калькулятор'!$D$8,SUM($H$23:H512)-SUM($I$23:I511),0))),IF('депозитный калькулятор'!$G$10="ежегодное",IF(F512&gt;'депозитный калькулятор'!$D$8," ",IF(F512='депозитный калькулятор'!$D$8,SUM($H$23:H512)-SUM($I$23:I511),IF(AND(EOMONTH(F512,0)=F512,MONTH(F512)=12),IF(MOD(YEAR(F511),4)=0,IF(F512-'депозитный калькулятор'!$D$7&lt;366,SUM($H$23:H512),SUM(OFFSET(H512,-365,0):H512)),IF(F512-'депозитный калькулятор'!$D$7&lt;365,SUM($H$23:H512),SUM(OFFSET(H512,-364,0):H512))),0))),IF(AND('депозитный калькулятор'!$G$10="в конце срока",'депозитный калькулятор'!$D$8=F512),SUM($H$23:H512),0))))))))))))))))))</f>
        <v xml:space="preserve"> </v>
      </c>
      <c r="J512" s="59" t="str">
        <f>IF(F512&gt;'депозитный калькулятор'!$D$8," ",IF('депозитный калькулятор'!$G$16="нет",0,IF(AND('депозитный калькулятор'!$G$17="разовая (в конце срока)",F512='депозитный калькулятор'!$D$8),'депозитный калькулятор'!$G$18,IF(AND('депозитный калькулятор'!$G$17="ежемесячная",EOMONTH(F511,0)=F511),'депозитный калькулятор'!$G$18,IF(AND('депозитный калькулятор'!$G$17="ежегодная",DAY(F511)=31,MONTH(F511)=12),'депозитный калькулятор'!$G$18,IF(AND('депозитный калькулятор'!$G$17="ежемесячная в зависимости от остатка",EOMONTH(F511,0)=F511,P511&gt;0),'депозитный калькулятор'!$G$18,IF(AND('депозитный калькулятор'!$G$17="ежегодная в зависимости от остатка",DAY(F511)=31,MONTH(F511)=12,P511&gt;0),'депозитный калькулятор'!$G$18,0)))))))</f>
        <v xml:space="preserve"> </v>
      </c>
      <c r="K512" s="135" t="str">
        <f>IF($F512=" "," ",IFERROR(VLOOKUP($F512,'депозитный калькулятор'!$B$26:$F$70,2,0),0))</f>
        <v xml:space="preserve"> </v>
      </c>
      <c r="L512" s="135" t="str">
        <f>IF($F512=" "," ",IFERROR(VLOOKUP($F512,'депозитный калькулятор'!$B$26:$F$70,3,0),0))</f>
        <v xml:space="preserve"> </v>
      </c>
      <c r="M512" s="135" t="str">
        <f>IF($F512=" "," ",IFERROR(VLOOKUP($F512,'депозитный калькулятор'!$B$26:$F$70,4,0),0))</f>
        <v xml:space="preserve"> </v>
      </c>
      <c r="N512" s="135" t="str">
        <f>IF($F512=" "," ",IFERROR(VLOOKUP($F512,'депозитный калькулятор'!$B$26:$F$70,5,0),0))</f>
        <v xml:space="preserve"> </v>
      </c>
      <c r="O512" s="146" t="str">
        <f>IF(F512&gt;'депозитный калькулятор'!$D$8," ",IF(F512='депозитный калькулятор'!$D$8,IF(AND($F$24='депозитный калькулятор'!$D$8,'депозитный калькулятор'!$G$13="нет"),-G512-IF(I512=" ",0,I512)-IF(AND(OR('депозитный калькулятор'!$G$7="30/365",'депозитный калькулятор'!$G$7="30/360"),'депозитный калькулятор'!$G$10="в начале срока"),I511,0)-L512+M512-N512,-G512-IF(I512=" ",0,I512)-L512+M512-N512),IF('депозитный калькулятор'!$G$13="есть",M512-N512+IF('депозитный калькулятор'!$G$14="есть",0,-L512),-IF(I512=" ",0,I512)-IF(AND(OR('депозитный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срока"),I511,0)+M512-N512+IF('депозитный калькулятор'!$G$14="есть",0,-L512))))</f>
        <v xml:space="preserve"> </v>
      </c>
      <c r="P512" s="147" t="str">
        <f>IF(F512&gt;'депозитный калькулятор'!$D$8," ",IF(EOMONTH(F511,0)=F511,0,IF(G512&gt;='депозитный калькулятор'!$G$19,P511,P511+1)))</f>
        <v xml:space="preserve"> </v>
      </c>
      <c r="Q512" s="138" t="str">
        <f>IF(F512=" "," ",IF(AND(OR('депозитный калькулятор'!$G$7="30/365",'депозитный калькулятор'!$G$7="30/360"),AND(MONTH(F512)=2,EOMONTH(F512,0)=F512)),IF(DAY(F512)=28,3,2),1)*IF(G512&gt;='депозитный калькулятор'!$G$11,IF(AND('депозитный калькулятор'!$G$7="факт/факт",MOD(YEAR(F512),4)=0),G512*'депозитный калькулятор'!$D$11/366,G512*'депозитный калькулятор'!$G$8),0))</f>
        <v xml:space="preserve"> </v>
      </c>
      <c r="R512" s="158"/>
      <c r="S512" s="62" t="str">
        <f t="shared" ca="1" si="37"/>
        <v xml:space="preserve"> </v>
      </c>
      <c r="T512" s="149" t="str">
        <f ca="1">IF(S512=" "," ",IF('депозитный калькулятор'!$G$7="30/360",DAYS360(U511,IF(DAY(U512)=31,U512-1,U512))+IF(AND(MONTH(U512)=2,U512=EOMONTH(U512,0)),30-DAY(EOMONTH(U512,0)))+T511,VLOOKUP(S512,$C$22:$F$1023,2,0)))</f>
        <v xml:space="preserve"> </v>
      </c>
      <c r="U512" s="64" t="str">
        <f t="shared" ca="1" si="35"/>
        <v xml:space="preserve"> </v>
      </c>
      <c r="V512" s="150" t="str">
        <f t="shared" ca="1" si="38"/>
        <v xml:space="preserve"> </v>
      </c>
      <c r="W512" s="62" t="str">
        <f t="shared" ca="1" si="39"/>
        <v xml:space="preserve"> </v>
      </c>
      <c r="X512" s="141" t="str">
        <f ca="1">IF(S512=" "," ",IFERROR(VLOOKUP(U512,$F$23:$N$1023,7)+VLOOKUP(U512,$F$23:$N$1023,9)+IF(AND('депозитный калькулятор'!$G$13="нет",U512&lt;&gt;'депозитный калькулятор'!$D$8),VLOOKUP(U512,$F$23:$N$1023,4),0),0)+IF(U512='депозитный калькулятор'!$D$8,VLOOKUP(U512,$F$23:$N$1023,2)+VLOOKUP(U512,$F$23:$N$1023,4),0))</f>
        <v xml:space="preserve"> </v>
      </c>
      <c r="Y512" s="142" t="str">
        <f ca="1">IF(S512=" "," ",W512/(1+'депозитный калькулятор'!$K$8)^(T512/IF('депозитный калькулятор'!$G$7="30/360",360,365)))</f>
        <v xml:space="preserve"> </v>
      </c>
      <c r="Z512" s="142" t="str">
        <f ca="1">IF(S512=" "," ",X512/(1+'депозитный калькулятор'!$K$8)^(T512/IF('депозитный калькулятор'!$G$7="30/360",360,365)))</f>
        <v xml:space="preserve"> </v>
      </c>
      <c r="AA512" s="151"/>
      <c r="AB512" s="151"/>
      <c r="AC512" s="155"/>
      <c r="AD512" s="155"/>
    </row>
    <row r="513" spans="1:30" s="2" customFormat="1" ht="15.5" x14ac:dyDescent="0.35">
      <c r="A513" s="41" t="str">
        <f>IF(F513=" "," ",IF(OR('депозитный калькулятор'!$G$7="30/365",'депозитный калькулятор'!$G$7="30/360"),IF(AND(MONTH(F513)=2,DAY(F513)=DAY(EOMONTH(F513,0))),30-DAY(EOMONTH(F513,0)),IF(DAY(F513)=31,1," "))," "))</f>
        <v xml:space="preserve"> </v>
      </c>
      <c r="B513" s="130" t="str">
        <f t="shared" si="36"/>
        <v xml:space="preserve"> </v>
      </c>
      <c r="C513" s="130" t="str">
        <f>IF(OR(B513=0,B513=" ")," ",SUM($B$23:B513))</f>
        <v xml:space="preserve"> </v>
      </c>
      <c r="D513" s="62" t="str">
        <f>IF(D512=" "," ",IF(OR(F512='депозитный калькулятор'!$D$8,F512=" ")," ",D512+1))</f>
        <v xml:space="preserve"> </v>
      </c>
      <c r="E513" s="130" t="str">
        <f>IF(OR(F512='депозитный калькулятор'!$D$8,F512=" ")," ",IF(EOMONTH(F512,0)=F512,1,E512+1))</f>
        <v xml:space="preserve"> </v>
      </c>
      <c r="F513" s="64" t="str">
        <f>IF(F512=" "," ",IF(F512='депозитный калькулятор'!$D$8," ",F512+1))</f>
        <v xml:space="preserve"> </v>
      </c>
      <c r="G513" s="145" t="str">
        <f xml:space="preserve"> IF(F513&gt;'депозитный калькулятор'!$D$8," ",IF('депозитный калькулятор'!$G$13="есть",IF('депозитный калькулятор'!$G$14="есть",G512+IF(I512=" ",0,I512)-J513-K513+L513+M513-N513,G512+IF(I512=" ",0,I512)-J513-K513+M513-N513),IF('депозитный калькулятор'!$G$14="есть",G512-J513-K513+L513+M513-N513,G512-J513-K513+M513-N513)))</f>
        <v xml:space="preserve"> </v>
      </c>
      <c r="H513" s="133" t="str">
        <f>IF(F513&gt;'депозитный калькулятор'!$D$8," ",IF(AND(OR('депозитный калькулятор'!$G$7="30/365",'депозитный калькулятор'!$G$7="30/360"),AND(MONTH(F513)=2,EOMONTH(F513,0)=F513)),IF(DAY(F513)=28,3*G513*'депозитный калькулятор'!$G$8,2*G513*'депозитный калькулятор'!$G$8),IF(AND(OR('депозитный калькулятор'!$G$7="30/365",'депозитный калькулятор'!$G$7="30/360"),DAY(F513)=31)," ",IF(AND('депозитный калькулятор'!$G$7="факт/факт",MOD(YEAR(F513),4)=0),G513*'депозитный калькулятор'!$D$11/366,G513*'депозитный калькулятор'!$G$8))))</f>
        <v xml:space="preserve"> </v>
      </c>
      <c r="I513" s="134" t="str">
        <f ca="1">IF(F513=" "," ",IF('депозитный калькулятор'!$G$10="ежедневное",H513,IF(AND('депозитный калькулятор'!$G$10="еженедельное",WEEKDAY(F513,2)=7),SUM(OFFSET(H513,-6,0):H513),IF(AND('депозитный калькулятор'!$G$10="еженедельное",F513='депозитный калькулятор'!$D$8),SUM($H$23:H513)-SUM($I$23:I512),IF(AND('депозитный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недели",WEEKDAY(F513,2)=7),MIN(OFFSET(H513,-6,0):H513)*(COUNTIF(OFFSET(H513,-6,0):H513,"&gt;0")+SUMIF(OFFSET(A513,-WEEKDAY(F513,2),0):A513,"=2",OFFSET(A513,-WEEKDAY(F513,2),0):A513)),IF(AND('депозитный калькулятор'!$G$10="еженедельное, на минимальную сумму зафиксированную в течение недели",F513='депозитный калькулятор'!$D$8,WEEKDAY(F513,2)&lt;&gt;7),MIN(OFFSET(H513,-WEEKDAY(F513,2),0):H513)*(COUNTIF(OFFSET(H513,-WEEKDAY(F513,2)+1,0):H513,"&gt;0")+SUM(OFFSET(A513,-WEEKDAY(F513,2),0):A513)),IF(AND('депозитный калькулятор'!$G$10="ежемесячное (в конце месяца)",F513='депозитный калькулятор'!$D$8,EOMONTH(F513,0)&lt;&gt;F513),IF('депозитный калькулятор'!$F$1=1,$H$24,SUM($H$23:H513)-SUM($I$23:I512)),IF(AND('депозитный калькулятор'!$G$10="ежемесячное (в конце месяца)",EOMONTH(F513,0)=F513),SUM($H$23:H513)-SUM($I$23:I512),IF(AND('депозитный калькулятор'!$G$10="ежемесячное (по дням открытия вклада)",F513='депозитный калькулятор'!$D$8,DAY('депозитный калькулятор'!$D$7)&lt;&gt;DAY(F513)),IF('депозитный калькулятор'!$F$1=1,$H$24,SUM($H$23:H513)-SUM($I$23:I512)),IF(AND('депозитный калькулятор'!$G$10="ежемесячное (по дням открытия вклада)",DAY('депозитный калькулятор'!$D$7)=DAY(F513)),SUM($H$23:H513)-SUM($I$23:I512),IF(AND('депозитный калькулятор'!$G$10="ежемесячное, на минимальную сумму зафиксированную в течение месяца",F513='депозитный калькулятор'!$D$8,EOMONTH(F513,0)&lt;&gt;F513),IF('депозитный калькулятор'!$F$1=1,$H$24,IF(AND(OR('депозитный калькулятор'!$G$7="30/365",'депозитный калькулятор'!$G$7="30/360"),DAY(F513)=31),0,MIN(OFFSET(H513,-E513+1,0):H513)*(E513+SUMIF(OFFSET(A513,-E513+1,0):A513,"=2",OFFSET(A513,-E513+1,0):A513)))),IF(AND('депозитный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калькулятор'!$G$7="30/360"),DAY(EOMONTH(F513,0))=31),EOMONTH(F513,0)-1=F513,EOMONTH(F513,0)=F513)),IF(IF(AND(OR('депозитный калькулятор'!$G$7="30/365",'депозитный калькулятор'!$G$7="30/360"),DAY(EOMONTH($F$23,0))=31),F513=EOMONTH($F$23,0)-1,F513=EOMONTH($F$23,0)),MIN(OFFSET(H513,-(DAY(F513)-DAY($F$23)),0):H513)*E513,MIN(OFFSET(H513,-(DAY(F513)-1),0):H513)*IF(AND(OR('депозитный калькулятор'!$G$7="30/365",'депозитный калькулятор'!$G$7="30/360"),DAY(F513)&lt;30),30,DAY(F513))),IF(AND('депозитный калькулятор'!$G$10="ежемесячное, на средний остаток в течение месяца, при условии что остаток больше чем ограничение",F513='депозитный калькулятор'!$D$8,EOMONTH(F513,0)&lt;&gt;F513),IF('депозитный калькулятор'!$F$1=1,$H$24,SUM(OFFSET(Q513,-E513+1,0):Q513)),IF(AND('депозитный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калькулятор'!$G$7="30/360"),DAY(EOMONTH(F513,0))=31),EOMONTH(F513,0)-1=F513,EOMONTH(F513,0)=F513)),IF(IF(AND(OR('депозитный калькулятор'!$G$7="30/365",'депозитный калькулятор'!$G$7="30/360"),DAY(EOMONTH($F$24,0))=31),F513=EOMONTH($F$24,0)-1,F513=EOMONTH($F$24,0)),SUM(OFFSET(Q513,-E513+1,0):Q513),SUM(OFFSET(Q513,-E513+1,0):Q513)),IF('депозитный калькулятор'!$G$10="ежеквартальное",IF(F513&gt;'депозитный калькулятор'!$D$8," ",IF(AND(EOMONTH(F513,0)=F513,OR(MONTH(F513)=3,MONTH(F513)=6,MONTH(F513)=9,MONTH(F513)=12)),IF(EDATE(F513,-3)&lt;'депозитный калькулятор'!$D$7,SUM($H$23:H513),IF(MOD(YEAR(F513),4)=0,IF(AND(EOMONTH(F513,0)=F513,OR(MONTH(F513)=3,MONTH(F513)=6)),SUM(OFFSET(H513,-90,0):H513),IF(AND(EOMONTH(F513,0)=F513,OR(MONTH(F513)=9,MONTH(F513)=12)),SUM(OFFSET(H513,-91,0):H513))),IF(AND(EOMONTH(F513,0)=F513,MONTH(F513)=3),SUM(OFFSET(H513,-89,0):H513),IF(AND(EOMONTH(F513,0)=F513,MONTH(F513)=6),SUM(OFFSET(H513,-90,0):H513),IF(AND(EOMONTH(F513,0)=F513,OR(MONTH(F513)=9,MONTH(F513)=12)),SUM(OFFSET(H513,-91,0):H513)))))),IF(F513='депозитный калькулятор'!$D$8,SUM($H$23:H513)-SUM($I$23:I512),0))),IF('депозитный калькулятор'!$G$10="ежегодное",IF(F513&gt;'депозитный калькулятор'!$D$8," ",IF(F513='депозитный калькулятор'!$D$8,SUM($H$23:H513)-SUM($I$23:I512),IF(AND(EOMONTH(F513,0)=F513,MONTH(F513)=12),IF(MOD(YEAR(F512),4)=0,IF(F513-'депозитный калькулятор'!$D$7&lt;366,SUM($H$23:H513),SUM(OFFSET(H513,-365,0):H513)),IF(F513-'депозитный калькулятор'!$D$7&lt;365,SUM($H$23:H513),SUM(OFFSET(H513,-364,0):H513))),0))),IF(AND('депозитный калькулятор'!$G$10="в конце срока",'депозитный калькулятор'!$D$8=F513),SUM($H$23:H513),0))))))))))))))))))</f>
        <v xml:space="preserve"> </v>
      </c>
      <c r="J513" s="59" t="str">
        <f>IF(F513&gt;'депозитный калькулятор'!$D$8," ",IF('депозитный калькулятор'!$G$16="нет",0,IF(AND('депозитный калькулятор'!$G$17="разовая (в конце срока)",F513='депозитный калькулятор'!$D$8),'депозитный калькулятор'!$G$18,IF(AND('депозитный калькулятор'!$G$17="ежемесячная",EOMONTH(F512,0)=F512),'депозитный калькулятор'!$G$18,IF(AND('депозитный калькулятор'!$G$17="ежегодная",DAY(F512)=31,MONTH(F512)=12),'депозитный калькулятор'!$G$18,IF(AND('депозитный калькулятор'!$G$17="ежемесячная в зависимости от остатка",EOMONTH(F512,0)=F512,P512&gt;0),'депозитный калькулятор'!$G$18,IF(AND('депозитный калькулятор'!$G$17="ежегодная в зависимости от остатка",DAY(F512)=31,MONTH(F512)=12,P512&gt;0),'депозитный калькулятор'!$G$18,0)))))))</f>
        <v xml:space="preserve"> </v>
      </c>
      <c r="K513" s="135" t="str">
        <f>IF($F513=" "," ",IFERROR(VLOOKUP($F513,'депозитный калькулятор'!$B$26:$F$70,2,0),0))</f>
        <v xml:space="preserve"> </v>
      </c>
      <c r="L513" s="135" t="str">
        <f>IF($F513=" "," ",IFERROR(VLOOKUP($F513,'депозитный калькулятор'!$B$26:$F$70,3,0),0))</f>
        <v xml:space="preserve"> </v>
      </c>
      <c r="M513" s="135" t="str">
        <f>IF($F513=" "," ",IFERROR(VLOOKUP($F513,'депозитный калькулятор'!$B$26:$F$70,4,0),0))</f>
        <v xml:space="preserve"> </v>
      </c>
      <c r="N513" s="135" t="str">
        <f>IF($F513=" "," ",IFERROR(VLOOKUP($F513,'депозитный калькулятор'!$B$26:$F$70,5,0),0))</f>
        <v xml:space="preserve"> </v>
      </c>
      <c r="O513" s="146" t="str">
        <f>IF(F513&gt;'депозитный калькулятор'!$D$8," ",IF(F513='депозитный калькулятор'!$D$8,IF(AND($F$24='депозитный калькулятор'!$D$8,'депозитный калькулятор'!$G$13="нет"),-G513-IF(I513=" ",0,I513)-IF(AND(OR('депозитный калькулятор'!$G$7="30/365",'депозитный калькулятор'!$G$7="30/360"),'депозитный калькулятор'!$G$10="в начале срока"),I512,0)-L513+M513-N513,-G513-IF(I513=" ",0,I513)-L513+M513-N513),IF('депозитный калькулятор'!$G$13="есть",M513-N513+IF('депозитный калькулятор'!$G$14="есть",0,-L513),-IF(I513=" ",0,I513)-IF(AND(OR('депозитный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срока"),I512,0)+M513-N513+IF('депозитный калькулятор'!$G$14="есть",0,-L513))))</f>
        <v xml:space="preserve"> </v>
      </c>
      <c r="P513" s="147" t="str">
        <f>IF(F513&gt;'депозитный калькулятор'!$D$8," ",IF(EOMONTH(F512,0)=F512,0,IF(G513&gt;='депозитный калькулятор'!$G$19,P512,P512+1)))</f>
        <v xml:space="preserve"> </v>
      </c>
      <c r="Q513" s="138" t="str">
        <f>IF(F513=" "," ",IF(AND(OR('депозитный калькулятор'!$G$7="30/365",'депозитный калькулятор'!$G$7="30/360"),AND(MONTH(F513)=2,EOMONTH(F513,0)=F513)),IF(DAY(F513)=28,3,2),1)*IF(G513&gt;='депозитный калькулятор'!$G$11,IF(AND('депозитный калькулятор'!$G$7="факт/факт",MOD(YEAR(F513),4)=0),G513*'депозитный калькулятор'!$D$11/366,G513*'депозитный калькулятор'!$G$8),0))</f>
        <v xml:space="preserve"> </v>
      </c>
      <c r="R513" s="158"/>
      <c r="S513" s="62" t="str">
        <f t="shared" ca="1" si="37"/>
        <v xml:space="preserve"> </v>
      </c>
      <c r="T513" s="149" t="str">
        <f ca="1">IF(S513=" "," ",IF('депозитный калькулятор'!$G$7="30/360",DAYS360(U512,IF(DAY(U513)=31,U513-1,U513))+IF(AND(MONTH(U513)=2,U513=EOMONTH(U513,0)),30-DAY(EOMONTH(U513,0)))+T512,VLOOKUP(S513,$C$22:$F$1023,2,0)))</f>
        <v xml:space="preserve"> </v>
      </c>
      <c r="U513" s="64" t="str">
        <f t="shared" ca="1" si="35"/>
        <v xml:space="preserve"> </v>
      </c>
      <c r="V513" s="150" t="str">
        <f t="shared" ca="1" si="38"/>
        <v xml:space="preserve"> </v>
      </c>
      <c r="W513" s="62" t="str">
        <f t="shared" ca="1" si="39"/>
        <v xml:space="preserve"> </v>
      </c>
      <c r="X513" s="141" t="str">
        <f ca="1">IF(S513=" "," ",IFERROR(VLOOKUP(U513,$F$23:$N$1023,7)+VLOOKUP(U513,$F$23:$N$1023,9)+IF(AND('депозитный калькулятор'!$G$13="нет",U513&lt;&gt;'депозитный калькулятор'!$D$8),VLOOKUP(U513,$F$23:$N$1023,4),0),0)+IF(U513='депозитный калькулятор'!$D$8,VLOOKUP(U513,$F$23:$N$1023,2)+VLOOKUP(U513,$F$23:$N$1023,4),0))</f>
        <v xml:space="preserve"> </v>
      </c>
      <c r="Y513" s="142" t="str">
        <f ca="1">IF(S513=" "," ",W513/(1+'депозитный калькулятор'!$K$8)^(T513/IF('депозитный калькулятор'!$G$7="30/360",360,365)))</f>
        <v xml:space="preserve"> </v>
      </c>
      <c r="Z513" s="142" t="str">
        <f ca="1">IF(S513=" "," ",X513/(1+'депозитный калькулятор'!$K$8)^(T513/IF('депозитный калькулятор'!$G$7="30/360",360,365)))</f>
        <v xml:space="preserve"> </v>
      </c>
      <c r="AA513" s="151"/>
      <c r="AB513" s="151"/>
      <c r="AC513" s="155"/>
      <c r="AD513" s="155"/>
    </row>
    <row r="514" spans="1:30" s="2" customFormat="1" ht="15.5" x14ac:dyDescent="0.35">
      <c r="A514" s="41" t="str">
        <f>IF(F514=" "," ",IF(OR('депозитный калькулятор'!$G$7="30/365",'депозитный калькулятор'!$G$7="30/360"),IF(AND(MONTH(F514)=2,DAY(F514)=DAY(EOMONTH(F514,0))),30-DAY(EOMONTH(F514,0)),IF(DAY(F514)=31,1," "))," "))</f>
        <v xml:space="preserve"> </v>
      </c>
      <c r="B514" s="130" t="str">
        <f t="shared" si="36"/>
        <v xml:space="preserve"> </v>
      </c>
      <c r="C514" s="130" t="str">
        <f>IF(OR(B514=0,B514=" ")," ",SUM($B$23:B514))</f>
        <v xml:space="preserve"> </v>
      </c>
      <c r="D514" s="62" t="str">
        <f>IF(D513=" "," ",IF(OR(F513='депозитный калькулятор'!$D$8,F513=" ")," ",D513+1))</f>
        <v xml:space="preserve"> </v>
      </c>
      <c r="E514" s="130" t="str">
        <f>IF(OR(F513='депозитный калькулятор'!$D$8,F513=" ")," ",IF(EOMONTH(F513,0)=F513,1,E513+1))</f>
        <v xml:space="preserve"> </v>
      </c>
      <c r="F514" s="64" t="str">
        <f>IF(F513=" "," ",IF(F513='депозитный калькулятор'!$D$8," ",F513+1))</f>
        <v xml:space="preserve"> </v>
      </c>
      <c r="G514" s="145" t="str">
        <f xml:space="preserve"> IF(F514&gt;'депозитный калькулятор'!$D$8," ",IF('депозитный калькулятор'!$G$13="есть",IF('депозитный калькулятор'!$G$14="есть",G513+IF(I513=" ",0,I513)-J514-K514+L514+M514-N514,G513+IF(I513=" ",0,I513)-J514-K514+M514-N514),IF('депозитный калькулятор'!$G$14="есть",G513-J514-K514+L514+M514-N514,G513-J514-K514+M514-N514)))</f>
        <v xml:space="preserve"> </v>
      </c>
      <c r="H514" s="133" t="str">
        <f>IF(F514&gt;'депозитный калькулятор'!$D$8," ",IF(AND(OR('депозитный калькулятор'!$G$7="30/365",'депозитный калькулятор'!$G$7="30/360"),AND(MONTH(F514)=2,EOMONTH(F514,0)=F514)),IF(DAY(F514)=28,3*G514*'депозитный калькулятор'!$G$8,2*G514*'депозитный калькулятор'!$G$8),IF(AND(OR('депозитный калькулятор'!$G$7="30/365",'депозитный калькулятор'!$G$7="30/360"),DAY(F514)=31)," ",IF(AND('депозитный калькулятор'!$G$7="факт/факт",MOD(YEAR(F514),4)=0),G514*'депозитный калькулятор'!$D$11/366,G514*'депозитный калькулятор'!$G$8))))</f>
        <v xml:space="preserve"> </v>
      </c>
      <c r="I514" s="134" t="str">
        <f ca="1">IF(F514=" "," ",IF('депозитный калькулятор'!$G$10="ежедневное",H514,IF(AND('депозитный калькулятор'!$G$10="еженедельное",WEEKDAY(F514,2)=7),SUM(OFFSET(H514,-6,0):H514),IF(AND('депозитный калькулятор'!$G$10="еженедельное",F514='депозитный калькулятор'!$D$8),SUM($H$23:H514)-SUM($I$23:I513),IF(AND('депозитный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недели",WEEKDAY(F514,2)=7),MIN(OFFSET(H514,-6,0):H514)*(COUNTIF(OFFSET(H514,-6,0):H514,"&gt;0")+SUMIF(OFFSET(A514,-WEEKDAY(F514,2),0):A514,"=2",OFFSET(A514,-WEEKDAY(F514,2),0):A514)),IF(AND('депозитный калькулятор'!$G$10="еженедельное, на минимальную сумму зафиксированную в течение недели",F514='депозитный калькулятор'!$D$8,WEEKDAY(F514,2)&lt;&gt;7),MIN(OFFSET(H514,-WEEKDAY(F514,2),0):H514)*(COUNTIF(OFFSET(H514,-WEEKDAY(F514,2)+1,0):H514,"&gt;0")+SUM(OFFSET(A514,-WEEKDAY(F514,2),0):A514)),IF(AND('депозитный калькулятор'!$G$10="ежемесячное (в конце месяца)",F514='депозитный калькулятор'!$D$8,EOMONTH(F514,0)&lt;&gt;F514),IF('депозитный калькулятор'!$F$1=1,$H$24,SUM($H$23:H514)-SUM($I$23:I513)),IF(AND('депозитный калькулятор'!$G$10="ежемесячное (в конце месяца)",EOMONTH(F514,0)=F514),SUM($H$23:H514)-SUM($I$23:I513),IF(AND('депозитный калькулятор'!$G$10="ежемесячное (по дням открытия вклада)",F514='депозитный калькулятор'!$D$8,DAY('депозитный калькулятор'!$D$7)&lt;&gt;DAY(F514)),IF('депозитный калькулятор'!$F$1=1,$H$24,SUM($H$23:H514)-SUM($I$23:I513)),IF(AND('депозитный калькулятор'!$G$10="ежемесячное (по дням открытия вклада)",DAY('депозитный калькулятор'!$D$7)=DAY(F514)),SUM($H$23:H514)-SUM($I$23:I513),IF(AND('депозитный калькулятор'!$G$10="ежемесячное, на минимальную сумму зафиксированную в течение месяца",F514='депозитный калькулятор'!$D$8,EOMONTH(F514,0)&lt;&gt;F514),IF('депозитный калькулятор'!$F$1=1,$H$24,IF(AND(OR('депозитный калькулятор'!$G$7="30/365",'депозитный калькулятор'!$G$7="30/360"),DAY(F514)=31),0,MIN(OFFSET(H514,-E514+1,0):H514)*(E514+SUMIF(OFFSET(A514,-E514+1,0):A514,"=2",OFFSET(A514,-E514+1,0):A514)))),IF(AND('депозитный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калькулятор'!$G$7="30/360"),DAY(EOMONTH(F514,0))=31),EOMONTH(F514,0)-1=F514,EOMONTH(F514,0)=F514)),IF(IF(AND(OR('депозитный калькулятор'!$G$7="30/365",'депозитный калькулятор'!$G$7="30/360"),DAY(EOMONTH($F$23,0))=31),F514=EOMONTH($F$23,0)-1,F514=EOMONTH($F$23,0)),MIN(OFFSET(H514,-(DAY(F514)-DAY($F$23)),0):H514)*E514,MIN(OFFSET(H514,-(DAY(F514)-1),0):H514)*IF(AND(OR('депозитный калькулятор'!$G$7="30/365",'депозитный калькулятор'!$G$7="30/360"),DAY(F514)&lt;30),30,DAY(F514))),IF(AND('депозитный калькулятор'!$G$10="ежемесячное, на средний остаток в течение месяца, при условии что остаток больше чем ограничение",F514='депозитный калькулятор'!$D$8,EOMONTH(F514,0)&lt;&gt;F514),IF('депозитный калькулятор'!$F$1=1,$H$24,SUM(OFFSET(Q514,-E514+1,0):Q514)),IF(AND('депозитный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калькулятор'!$G$7="30/360"),DAY(EOMONTH(F514,0))=31),EOMONTH(F514,0)-1=F514,EOMONTH(F514,0)=F514)),IF(IF(AND(OR('депозитный калькулятор'!$G$7="30/365",'депозитный калькулятор'!$G$7="30/360"),DAY(EOMONTH($F$24,0))=31),F514=EOMONTH($F$24,0)-1,F514=EOMONTH($F$24,0)),SUM(OFFSET(Q514,-E514+1,0):Q514),SUM(OFFSET(Q514,-E514+1,0):Q514)),IF('депозитный калькулятор'!$G$10="ежеквартальное",IF(F514&gt;'депозитный калькулятор'!$D$8," ",IF(AND(EOMONTH(F514,0)=F514,OR(MONTH(F514)=3,MONTH(F514)=6,MONTH(F514)=9,MONTH(F514)=12)),IF(EDATE(F514,-3)&lt;'депозитный калькулятор'!$D$7,SUM($H$23:H514),IF(MOD(YEAR(F514),4)=0,IF(AND(EOMONTH(F514,0)=F514,OR(MONTH(F514)=3,MONTH(F514)=6)),SUM(OFFSET(H514,-90,0):H514),IF(AND(EOMONTH(F514,0)=F514,OR(MONTH(F514)=9,MONTH(F514)=12)),SUM(OFFSET(H514,-91,0):H514))),IF(AND(EOMONTH(F514,0)=F514,MONTH(F514)=3),SUM(OFFSET(H514,-89,0):H514),IF(AND(EOMONTH(F514,0)=F514,MONTH(F514)=6),SUM(OFFSET(H514,-90,0):H514),IF(AND(EOMONTH(F514,0)=F514,OR(MONTH(F514)=9,MONTH(F514)=12)),SUM(OFFSET(H514,-91,0):H514)))))),IF(F514='депозитный калькулятор'!$D$8,SUM($H$23:H514)-SUM($I$23:I513),0))),IF('депозитный калькулятор'!$G$10="ежегодное",IF(F514&gt;'депозитный калькулятор'!$D$8," ",IF(F514='депозитный калькулятор'!$D$8,SUM($H$23:H514)-SUM($I$23:I513),IF(AND(EOMONTH(F514,0)=F514,MONTH(F514)=12),IF(MOD(YEAR(F513),4)=0,IF(F514-'депозитный калькулятор'!$D$7&lt;366,SUM($H$23:H514),SUM(OFFSET(H514,-365,0):H514)),IF(F514-'депозитный калькулятор'!$D$7&lt;365,SUM($H$23:H514),SUM(OFFSET(H514,-364,0):H514))),0))),IF(AND('депозитный калькулятор'!$G$10="в конце срока",'депозитный калькулятор'!$D$8=F514),SUM($H$23:H514),0))))))))))))))))))</f>
        <v xml:space="preserve"> </v>
      </c>
      <c r="J514" s="59" t="str">
        <f>IF(F514&gt;'депозитный калькулятор'!$D$8," ",IF('депозитный калькулятор'!$G$16="нет",0,IF(AND('депозитный калькулятор'!$G$17="разовая (в конце срока)",F514='депозитный калькулятор'!$D$8),'депозитный калькулятор'!$G$18,IF(AND('депозитный калькулятор'!$G$17="ежемесячная",EOMONTH(F513,0)=F513),'депозитный калькулятор'!$G$18,IF(AND('депозитный калькулятор'!$G$17="ежегодная",DAY(F513)=31,MONTH(F513)=12),'депозитный калькулятор'!$G$18,IF(AND('депозитный калькулятор'!$G$17="ежемесячная в зависимости от остатка",EOMONTH(F513,0)=F513,P513&gt;0),'депозитный калькулятор'!$G$18,IF(AND('депозитный калькулятор'!$G$17="ежегодная в зависимости от остатка",DAY(F513)=31,MONTH(F513)=12,P513&gt;0),'депозитный калькулятор'!$G$18,0)))))))</f>
        <v xml:space="preserve"> </v>
      </c>
      <c r="K514" s="135" t="str">
        <f>IF($F514=" "," ",IFERROR(VLOOKUP($F514,'депозитный калькулятор'!$B$26:$F$70,2,0),0))</f>
        <v xml:space="preserve"> </v>
      </c>
      <c r="L514" s="135" t="str">
        <f>IF($F514=" "," ",IFERROR(VLOOKUP($F514,'депозитный калькулятор'!$B$26:$F$70,3,0),0))</f>
        <v xml:space="preserve"> </v>
      </c>
      <c r="M514" s="135" t="str">
        <f>IF($F514=" "," ",IFERROR(VLOOKUP($F514,'депозитный калькулятор'!$B$26:$F$70,4,0),0))</f>
        <v xml:space="preserve"> </v>
      </c>
      <c r="N514" s="135" t="str">
        <f>IF($F514=" "," ",IFERROR(VLOOKUP($F514,'депозитный калькулятор'!$B$26:$F$70,5,0),0))</f>
        <v xml:space="preserve"> </v>
      </c>
      <c r="O514" s="146" t="str">
        <f>IF(F514&gt;'депозитный калькулятор'!$D$8," ",IF(F514='депозитный калькулятор'!$D$8,IF(AND($F$24='депозитный калькулятор'!$D$8,'депозитный калькулятор'!$G$13="нет"),-G514-IF(I514=" ",0,I514)-IF(AND(OR('депозитный калькулятор'!$G$7="30/365",'депозитный калькулятор'!$G$7="30/360"),'депозитный калькулятор'!$G$10="в начале срока"),I513,0)-L514+M514-N514,-G514-IF(I514=" ",0,I514)-L514+M514-N514),IF('депозитный калькулятор'!$G$13="есть",M514-N514+IF('депозитный калькулятор'!$G$14="есть",0,-L514),-IF(I514=" ",0,I514)-IF(AND(OR('депозитный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срока"),I513,0)+M514-N514+IF('депозитный калькулятор'!$G$14="есть",0,-L514))))</f>
        <v xml:space="preserve"> </v>
      </c>
      <c r="P514" s="147" t="str">
        <f>IF(F514&gt;'депозитный калькулятор'!$D$8," ",IF(EOMONTH(F513,0)=F513,0,IF(G514&gt;='депозитный калькулятор'!$G$19,P513,P513+1)))</f>
        <v xml:space="preserve"> </v>
      </c>
      <c r="Q514" s="138" t="str">
        <f>IF(F514=" "," ",IF(AND(OR('депозитный калькулятор'!$G$7="30/365",'депозитный калькулятор'!$G$7="30/360"),AND(MONTH(F514)=2,EOMONTH(F514,0)=F514)),IF(DAY(F514)=28,3,2),1)*IF(G514&gt;='депозитный калькулятор'!$G$11,IF(AND('депозитный калькулятор'!$G$7="факт/факт",MOD(YEAR(F514),4)=0),G514*'депозитный калькулятор'!$D$11/366,G514*'депозитный калькулятор'!$G$8),0))</f>
        <v xml:space="preserve"> </v>
      </c>
      <c r="R514" s="158"/>
      <c r="S514" s="62" t="str">
        <f t="shared" ca="1" si="37"/>
        <v xml:space="preserve"> </v>
      </c>
      <c r="T514" s="149" t="str">
        <f ca="1">IF(S514=" "," ",IF('депозитный калькулятор'!$G$7="30/360",DAYS360(U513,IF(DAY(U514)=31,U514-1,U514))+IF(AND(MONTH(U514)=2,U514=EOMONTH(U514,0)),30-DAY(EOMONTH(U514,0)))+T513,VLOOKUP(S514,$C$22:$F$1023,2,0)))</f>
        <v xml:space="preserve"> </v>
      </c>
      <c r="U514" s="64" t="str">
        <f t="shared" ca="1" si="35"/>
        <v xml:space="preserve"> </v>
      </c>
      <c r="V514" s="150" t="str">
        <f t="shared" ca="1" si="38"/>
        <v xml:space="preserve"> </v>
      </c>
      <c r="W514" s="62" t="str">
        <f t="shared" ca="1" si="39"/>
        <v xml:space="preserve"> </v>
      </c>
      <c r="X514" s="141" t="str">
        <f ca="1">IF(S514=" "," ",IFERROR(VLOOKUP(U514,$F$23:$N$1023,7)+VLOOKUP(U514,$F$23:$N$1023,9)+IF(AND('депозитный калькулятор'!$G$13="нет",U514&lt;&gt;'депозитный калькулятор'!$D$8),VLOOKUP(U514,$F$23:$N$1023,4),0),0)+IF(U514='депозитный калькулятор'!$D$8,VLOOKUP(U514,$F$23:$N$1023,2)+VLOOKUP(U514,$F$23:$N$1023,4),0))</f>
        <v xml:space="preserve"> </v>
      </c>
      <c r="Y514" s="142" t="str">
        <f ca="1">IF(S514=" "," ",W514/(1+'депозитный калькулятор'!$K$8)^(T514/IF('депозитный калькулятор'!$G$7="30/360",360,365)))</f>
        <v xml:space="preserve"> </v>
      </c>
      <c r="Z514" s="142" t="str">
        <f ca="1">IF(S514=" "," ",X514/(1+'депозитный калькулятор'!$K$8)^(T514/IF('депозитный калькулятор'!$G$7="30/360",360,365)))</f>
        <v xml:space="preserve"> </v>
      </c>
      <c r="AA514" s="151"/>
      <c r="AB514" s="151"/>
      <c r="AC514" s="155"/>
      <c r="AD514" s="155"/>
    </row>
    <row r="515" spans="1:30" s="2" customFormat="1" ht="15.5" x14ac:dyDescent="0.35">
      <c r="A515" s="41" t="str">
        <f>IF(F515=" "," ",IF(OR('депозитный калькулятор'!$G$7="30/365",'депозитный калькулятор'!$G$7="30/360"),IF(AND(MONTH(F515)=2,DAY(F515)=DAY(EOMONTH(F515,0))),30-DAY(EOMONTH(F515,0)),IF(DAY(F515)=31,1," "))," "))</f>
        <v xml:space="preserve"> </v>
      </c>
      <c r="B515" s="130" t="str">
        <f t="shared" si="36"/>
        <v xml:space="preserve"> </v>
      </c>
      <c r="C515" s="130" t="str">
        <f>IF(OR(B515=0,B515=" ")," ",SUM($B$23:B515))</f>
        <v xml:space="preserve"> </v>
      </c>
      <c r="D515" s="62" t="str">
        <f>IF(D514=" "," ",IF(OR(F514='депозитный калькулятор'!$D$8,F514=" ")," ",D514+1))</f>
        <v xml:space="preserve"> </v>
      </c>
      <c r="E515" s="130" t="str">
        <f>IF(OR(F514='депозитный калькулятор'!$D$8,F514=" ")," ",IF(EOMONTH(F514,0)=F514,1,E514+1))</f>
        <v xml:space="preserve"> </v>
      </c>
      <c r="F515" s="64" t="str">
        <f>IF(F514=" "," ",IF(F514='депозитный калькулятор'!$D$8," ",F514+1))</f>
        <v xml:space="preserve"> </v>
      </c>
      <c r="G515" s="145" t="str">
        <f xml:space="preserve"> IF(F515&gt;'депозитный калькулятор'!$D$8," ",IF('депозитный калькулятор'!$G$13="есть",IF('депозитный калькулятор'!$G$14="есть",G514+IF(I514=" ",0,I514)-J515-K515+L515+M515-N515,G514+IF(I514=" ",0,I514)-J515-K515+M515-N515),IF('депозитный калькулятор'!$G$14="есть",G514-J515-K515+L515+M515-N515,G514-J515-K515+M515-N515)))</f>
        <v xml:space="preserve"> </v>
      </c>
      <c r="H515" s="133" t="str">
        <f>IF(F515&gt;'депозитный калькулятор'!$D$8," ",IF(AND(OR('депозитный калькулятор'!$G$7="30/365",'депозитный калькулятор'!$G$7="30/360"),AND(MONTH(F515)=2,EOMONTH(F515,0)=F515)),IF(DAY(F515)=28,3*G515*'депозитный калькулятор'!$G$8,2*G515*'депозитный калькулятор'!$G$8),IF(AND(OR('депозитный калькулятор'!$G$7="30/365",'депозитный калькулятор'!$G$7="30/360"),DAY(F515)=31)," ",IF(AND('депозитный калькулятор'!$G$7="факт/факт",MOD(YEAR(F515),4)=0),G515*'депозитный калькулятор'!$D$11/366,G515*'депозитный калькулятор'!$G$8))))</f>
        <v xml:space="preserve"> </v>
      </c>
      <c r="I515" s="134" t="str">
        <f ca="1">IF(F515=" "," ",IF('депозитный калькулятор'!$G$10="ежедневное",H515,IF(AND('депозитный калькулятор'!$G$10="еженедельное",WEEKDAY(F515,2)=7),SUM(OFFSET(H515,-6,0):H515),IF(AND('депозитный калькулятор'!$G$10="еженедельное",F515='депозитный калькулятор'!$D$8),SUM($H$23:H515)-SUM($I$23:I514),IF(AND('депозитный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недели",WEEKDAY(F515,2)=7),MIN(OFFSET(H515,-6,0):H515)*(COUNTIF(OFFSET(H515,-6,0):H515,"&gt;0")+SUMIF(OFFSET(A515,-WEEKDAY(F515,2),0):A515,"=2",OFFSET(A515,-WEEKDAY(F515,2),0):A515)),IF(AND('депозитный калькулятор'!$G$10="еженедельное, на минимальную сумму зафиксированную в течение недели",F515='депозитный калькулятор'!$D$8,WEEKDAY(F515,2)&lt;&gt;7),MIN(OFFSET(H515,-WEEKDAY(F515,2),0):H515)*(COUNTIF(OFFSET(H515,-WEEKDAY(F515,2)+1,0):H515,"&gt;0")+SUM(OFFSET(A515,-WEEKDAY(F515,2),0):A515)),IF(AND('депозитный калькулятор'!$G$10="ежемесячное (в конце месяца)",F515='депозитный калькулятор'!$D$8,EOMONTH(F515,0)&lt;&gt;F515),IF('депозитный калькулятор'!$F$1=1,$H$24,SUM($H$23:H515)-SUM($I$23:I514)),IF(AND('депозитный калькулятор'!$G$10="ежемесячное (в конце месяца)",EOMONTH(F515,0)=F515),SUM($H$23:H515)-SUM($I$23:I514),IF(AND('депозитный калькулятор'!$G$10="ежемесячное (по дням открытия вклада)",F515='депозитный калькулятор'!$D$8,DAY('депозитный калькулятор'!$D$7)&lt;&gt;DAY(F515)),IF('депозитный калькулятор'!$F$1=1,$H$24,SUM($H$23:H515)-SUM($I$23:I514)),IF(AND('депозитный калькулятор'!$G$10="ежемесячное (по дням открытия вклада)",DAY('депозитный калькулятор'!$D$7)=DAY(F515)),SUM($H$23:H515)-SUM($I$23:I514),IF(AND('депозитный калькулятор'!$G$10="ежемесячное, на минимальную сумму зафиксированную в течение месяца",F515='депозитный калькулятор'!$D$8,EOMONTH(F515,0)&lt;&gt;F515),IF('депозитный калькулятор'!$F$1=1,$H$24,IF(AND(OR('депозитный калькулятор'!$G$7="30/365",'депозитный калькулятор'!$G$7="30/360"),DAY(F515)=31),0,MIN(OFFSET(H515,-E515+1,0):H515)*(E515+SUMIF(OFFSET(A515,-E515+1,0):A515,"=2",OFFSET(A515,-E515+1,0):A515)))),IF(AND('депозитный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калькулятор'!$G$7="30/360"),DAY(EOMONTH(F515,0))=31),EOMONTH(F515,0)-1=F515,EOMONTH(F515,0)=F515)),IF(IF(AND(OR('депозитный калькулятор'!$G$7="30/365",'депозитный калькулятор'!$G$7="30/360"),DAY(EOMONTH($F$23,0))=31),F515=EOMONTH($F$23,0)-1,F515=EOMONTH($F$23,0)),MIN(OFFSET(H515,-(DAY(F515)-DAY($F$23)),0):H515)*E515,MIN(OFFSET(H515,-(DAY(F515)-1),0):H515)*IF(AND(OR('депозитный калькулятор'!$G$7="30/365",'депозитный калькулятор'!$G$7="30/360"),DAY(F515)&lt;30),30,DAY(F515))),IF(AND('депозитный калькулятор'!$G$10="ежемесячное, на средний остаток в течение месяца, при условии что остаток больше чем ограничение",F515='депозитный калькулятор'!$D$8,EOMONTH(F515,0)&lt;&gt;F515),IF('депозитный калькулятор'!$F$1=1,$H$24,SUM(OFFSET(Q515,-E515+1,0):Q515)),IF(AND('депозитный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калькулятор'!$G$7="30/360"),DAY(EOMONTH(F515,0))=31),EOMONTH(F515,0)-1=F515,EOMONTH(F515,0)=F515)),IF(IF(AND(OR('депозитный калькулятор'!$G$7="30/365",'депозитный калькулятор'!$G$7="30/360"),DAY(EOMONTH($F$24,0))=31),F515=EOMONTH($F$24,0)-1,F515=EOMONTH($F$24,0)),SUM(OFFSET(Q515,-E515+1,0):Q515),SUM(OFFSET(Q515,-E515+1,0):Q515)),IF('депозитный калькулятор'!$G$10="ежеквартальное",IF(F515&gt;'депозитный калькулятор'!$D$8," ",IF(AND(EOMONTH(F515,0)=F515,OR(MONTH(F515)=3,MONTH(F515)=6,MONTH(F515)=9,MONTH(F515)=12)),IF(EDATE(F515,-3)&lt;'депозитный калькулятор'!$D$7,SUM($H$23:H515),IF(MOD(YEAR(F515),4)=0,IF(AND(EOMONTH(F515,0)=F515,OR(MONTH(F515)=3,MONTH(F515)=6)),SUM(OFFSET(H515,-90,0):H515),IF(AND(EOMONTH(F515,0)=F515,OR(MONTH(F515)=9,MONTH(F515)=12)),SUM(OFFSET(H515,-91,0):H515))),IF(AND(EOMONTH(F515,0)=F515,MONTH(F515)=3),SUM(OFFSET(H515,-89,0):H515),IF(AND(EOMONTH(F515,0)=F515,MONTH(F515)=6),SUM(OFFSET(H515,-90,0):H515),IF(AND(EOMONTH(F515,0)=F515,OR(MONTH(F515)=9,MONTH(F515)=12)),SUM(OFFSET(H515,-91,0):H515)))))),IF(F515='депозитный калькулятор'!$D$8,SUM($H$23:H515)-SUM($I$23:I514),0))),IF('депозитный калькулятор'!$G$10="ежегодное",IF(F515&gt;'депозитный калькулятор'!$D$8," ",IF(F515='депозитный калькулятор'!$D$8,SUM($H$23:H515)-SUM($I$23:I514),IF(AND(EOMONTH(F515,0)=F515,MONTH(F515)=12),IF(MOD(YEAR(F514),4)=0,IF(F515-'депозитный калькулятор'!$D$7&lt;366,SUM($H$23:H515),SUM(OFFSET(H515,-365,0):H515)),IF(F515-'депозитный калькулятор'!$D$7&lt;365,SUM($H$23:H515),SUM(OFFSET(H515,-364,0):H515))),0))),IF(AND('депозитный калькулятор'!$G$10="в конце срока",'депозитный калькулятор'!$D$8=F515),SUM($H$23:H515),0))))))))))))))))))</f>
        <v xml:space="preserve"> </v>
      </c>
      <c r="J515" s="59" t="str">
        <f>IF(F515&gt;'депозитный калькулятор'!$D$8," ",IF('депозитный калькулятор'!$G$16="нет",0,IF(AND('депозитный калькулятор'!$G$17="разовая (в конце срока)",F515='депозитный калькулятор'!$D$8),'депозитный калькулятор'!$G$18,IF(AND('депозитный калькулятор'!$G$17="ежемесячная",EOMONTH(F514,0)=F514),'депозитный калькулятор'!$G$18,IF(AND('депозитный калькулятор'!$G$17="ежегодная",DAY(F514)=31,MONTH(F514)=12),'депозитный калькулятор'!$G$18,IF(AND('депозитный калькулятор'!$G$17="ежемесячная в зависимости от остатка",EOMONTH(F514,0)=F514,P514&gt;0),'депозитный калькулятор'!$G$18,IF(AND('депозитный калькулятор'!$G$17="ежегодная в зависимости от остатка",DAY(F514)=31,MONTH(F514)=12,P514&gt;0),'депозитный калькулятор'!$G$18,0)))))))</f>
        <v xml:space="preserve"> </v>
      </c>
      <c r="K515" s="135" t="str">
        <f>IF($F515=" "," ",IFERROR(VLOOKUP($F515,'депозитный калькулятор'!$B$26:$F$70,2,0),0))</f>
        <v xml:space="preserve"> </v>
      </c>
      <c r="L515" s="135" t="str">
        <f>IF($F515=" "," ",IFERROR(VLOOKUP($F515,'депозитный калькулятор'!$B$26:$F$70,3,0),0))</f>
        <v xml:space="preserve"> </v>
      </c>
      <c r="M515" s="135" t="str">
        <f>IF($F515=" "," ",IFERROR(VLOOKUP($F515,'депозитный калькулятор'!$B$26:$F$70,4,0),0))</f>
        <v xml:space="preserve"> </v>
      </c>
      <c r="N515" s="135" t="str">
        <f>IF($F515=" "," ",IFERROR(VLOOKUP($F515,'депозитный калькулятор'!$B$26:$F$70,5,0),0))</f>
        <v xml:space="preserve"> </v>
      </c>
      <c r="O515" s="146" t="str">
        <f>IF(F515&gt;'депозитный калькулятор'!$D$8," ",IF(F515='депозитный калькулятор'!$D$8,IF(AND($F$24='депозитный калькулятор'!$D$8,'депозитный калькулятор'!$G$13="нет"),-G515-IF(I515=" ",0,I515)-IF(AND(OR('депозитный калькулятор'!$G$7="30/365",'депозитный калькулятор'!$G$7="30/360"),'депозитный калькулятор'!$G$10="в начале срока"),I514,0)-L515+M515-N515,-G515-IF(I515=" ",0,I515)-L515+M515-N515),IF('депозитный калькулятор'!$G$13="есть",M515-N515+IF('депозитный калькулятор'!$G$14="есть",0,-L515),-IF(I515=" ",0,I515)-IF(AND(OR('депозитный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срока"),I514,0)+M515-N515+IF('депозитный калькулятор'!$G$14="есть",0,-L515))))</f>
        <v xml:space="preserve"> </v>
      </c>
      <c r="P515" s="147" t="str">
        <f>IF(F515&gt;'депозитный калькулятор'!$D$8," ",IF(EOMONTH(F514,0)=F514,0,IF(G515&gt;='депозитный калькулятор'!$G$19,P514,P514+1)))</f>
        <v xml:space="preserve"> </v>
      </c>
      <c r="Q515" s="138" t="str">
        <f>IF(F515=" "," ",IF(AND(OR('депозитный калькулятор'!$G$7="30/365",'депозитный калькулятор'!$G$7="30/360"),AND(MONTH(F515)=2,EOMONTH(F515,0)=F515)),IF(DAY(F515)=28,3,2),1)*IF(G515&gt;='депозитный калькулятор'!$G$11,IF(AND('депозитный калькулятор'!$G$7="факт/факт",MOD(YEAR(F515),4)=0),G515*'депозитный калькулятор'!$D$11/366,G515*'депозитный калькулятор'!$G$8),0))</f>
        <v xml:space="preserve"> </v>
      </c>
      <c r="R515" s="158"/>
      <c r="S515" s="62" t="str">
        <f t="shared" ca="1" si="37"/>
        <v xml:space="preserve"> </v>
      </c>
      <c r="T515" s="149" t="str">
        <f ca="1">IF(S515=" "," ",IF('депозитный калькулятор'!$G$7="30/360",DAYS360(U514,IF(DAY(U515)=31,U515-1,U515))+IF(AND(MONTH(U515)=2,U515=EOMONTH(U515,0)),30-DAY(EOMONTH(U515,0)))+T514,VLOOKUP(S515,$C$22:$F$1023,2,0)))</f>
        <v xml:space="preserve"> </v>
      </c>
      <c r="U515" s="64" t="str">
        <f t="shared" ca="1" si="35"/>
        <v xml:space="preserve"> </v>
      </c>
      <c r="V515" s="150" t="str">
        <f t="shared" ca="1" si="38"/>
        <v xml:space="preserve"> </v>
      </c>
      <c r="W515" s="62" t="str">
        <f t="shared" ca="1" si="39"/>
        <v xml:space="preserve"> </v>
      </c>
      <c r="X515" s="141" t="str">
        <f ca="1">IF(S515=" "," ",IFERROR(VLOOKUP(U515,$F$23:$N$1023,7)+VLOOKUP(U515,$F$23:$N$1023,9)+IF(AND('депозитный калькулятор'!$G$13="нет",U515&lt;&gt;'депозитный калькулятор'!$D$8),VLOOKUP(U515,$F$23:$N$1023,4),0),0)+IF(U515='депозитный калькулятор'!$D$8,VLOOKUP(U515,$F$23:$N$1023,2)+VLOOKUP(U515,$F$23:$N$1023,4),0))</f>
        <v xml:space="preserve"> </v>
      </c>
      <c r="Y515" s="142" t="str">
        <f ca="1">IF(S515=" "," ",W515/(1+'депозитный калькулятор'!$K$8)^(T515/IF('депозитный калькулятор'!$G$7="30/360",360,365)))</f>
        <v xml:space="preserve"> </v>
      </c>
      <c r="Z515" s="142" t="str">
        <f ca="1">IF(S515=" "," ",X515/(1+'депозитный калькулятор'!$K$8)^(T515/IF('депозитный калькулятор'!$G$7="30/360",360,365)))</f>
        <v xml:space="preserve"> </v>
      </c>
      <c r="AA515" s="151"/>
      <c r="AB515" s="151"/>
      <c r="AC515" s="155"/>
      <c r="AD515" s="155"/>
    </row>
    <row r="516" spans="1:30" s="2" customFormat="1" ht="15.5" x14ac:dyDescent="0.35">
      <c r="A516" s="41" t="str">
        <f>IF(F516=" "," ",IF(OR('депозитный калькулятор'!$G$7="30/365",'депозитный калькулятор'!$G$7="30/360"),IF(AND(MONTH(F516)=2,DAY(F516)=DAY(EOMONTH(F516,0))),30-DAY(EOMONTH(F516,0)),IF(DAY(F516)=31,1," "))," "))</f>
        <v xml:space="preserve"> </v>
      </c>
      <c r="B516" s="130" t="str">
        <f t="shared" si="36"/>
        <v xml:space="preserve"> </v>
      </c>
      <c r="C516" s="130" t="str">
        <f>IF(OR(B516=0,B516=" ")," ",SUM($B$23:B516))</f>
        <v xml:space="preserve"> </v>
      </c>
      <c r="D516" s="62" t="str">
        <f>IF(D515=" "," ",IF(OR(F515='депозитный калькулятор'!$D$8,F515=" ")," ",D515+1))</f>
        <v xml:space="preserve"> </v>
      </c>
      <c r="E516" s="130" t="str">
        <f>IF(OR(F515='депозитный калькулятор'!$D$8,F515=" ")," ",IF(EOMONTH(F515,0)=F515,1,E515+1))</f>
        <v xml:space="preserve"> </v>
      </c>
      <c r="F516" s="64" t="str">
        <f>IF(F515=" "," ",IF(F515='депозитный калькулятор'!$D$8," ",F515+1))</f>
        <v xml:space="preserve"> </v>
      </c>
      <c r="G516" s="145" t="str">
        <f xml:space="preserve"> IF(F516&gt;'депозитный калькулятор'!$D$8," ",IF('депозитный калькулятор'!$G$13="есть",IF('депозитный калькулятор'!$G$14="есть",G515+IF(I515=" ",0,I515)-J516-K516+L516+M516-N516,G515+IF(I515=" ",0,I515)-J516-K516+M516-N516),IF('депозитный калькулятор'!$G$14="есть",G515-J516-K516+L516+M516-N516,G515-J516-K516+M516-N516)))</f>
        <v xml:space="preserve"> </v>
      </c>
      <c r="H516" s="133" t="str">
        <f>IF(F516&gt;'депозитный калькулятор'!$D$8," ",IF(AND(OR('депозитный калькулятор'!$G$7="30/365",'депозитный калькулятор'!$G$7="30/360"),AND(MONTH(F516)=2,EOMONTH(F516,0)=F516)),IF(DAY(F516)=28,3*G516*'депозитный калькулятор'!$G$8,2*G516*'депозитный калькулятор'!$G$8),IF(AND(OR('депозитный калькулятор'!$G$7="30/365",'депозитный калькулятор'!$G$7="30/360"),DAY(F516)=31)," ",IF(AND('депозитный калькулятор'!$G$7="факт/факт",MOD(YEAR(F516),4)=0),G516*'депозитный калькулятор'!$D$11/366,G516*'депозитный калькулятор'!$G$8))))</f>
        <v xml:space="preserve"> </v>
      </c>
      <c r="I516" s="134" t="str">
        <f ca="1">IF(F516=" "," ",IF('депозитный калькулятор'!$G$10="ежедневное",H516,IF(AND('депозитный калькулятор'!$G$10="еженедельное",WEEKDAY(F516,2)=7),SUM(OFFSET(H516,-6,0):H516),IF(AND('депозитный калькулятор'!$G$10="еженедельное",F516='депозитный калькулятор'!$D$8),SUM($H$23:H516)-SUM($I$23:I515),IF(AND('депозитный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недели",WEEKDAY(F516,2)=7),MIN(OFFSET(H516,-6,0):H516)*(COUNTIF(OFFSET(H516,-6,0):H516,"&gt;0")+SUMIF(OFFSET(A516,-WEEKDAY(F516,2),0):A516,"=2",OFFSET(A516,-WEEKDAY(F516,2),0):A516)),IF(AND('депозитный калькулятор'!$G$10="еженедельное, на минимальную сумму зафиксированную в течение недели",F516='депозитный калькулятор'!$D$8,WEEKDAY(F516,2)&lt;&gt;7),MIN(OFFSET(H516,-WEEKDAY(F516,2),0):H516)*(COUNTIF(OFFSET(H516,-WEEKDAY(F516,2)+1,0):H516,"&gt;0")+SUM(OFFSET(A516,-WEEKDAY(F516,2),0):A516)),IF(AND('депозитный калькулятор'!$G$10="ежемесячное (в конце месяца)",F516='депозитный калькулятор'!$D$8,EOMONTH(F516,0)&lt;&gt;F516),IF('депозитный калькулятор'!$F$1=1,$H$24,SUM($H$23:H516)-SUM($I$23:I515)),IF(AND('депозитный калькулятор'!$G$10="ежемесячное (в конце месяца)",EOMONTH(F516,0)=F516),SUM($H$23:H516)-SUM($I$23:I515),IF(AND('депозитный калькулятор'!$G$10="ежемесячное (по дням открытия вклада)",F516='депозитный калькулятор'!$D$8,DAY('депозитный калькулятор'!$D$7)&lt;&gt;DAY(F516)),IF('депозитный калькулятор'!$F$1=1,$H$24,SUM($H$23:H516)-SUM($I$23:I515)),IF(AND('депозитный калькулятор'!$G$10="ежемесячное (по дням открытия вклада)",DAY('депозитный калькулятор'!$D$7)=DAY(F516)),SUM($H$23:H516)-SUM($I$23:I515),IF(AND('депозитный калькулятор'!$G$10="ежемесячное, на минимальную сумму зафиксированную в течение месяца",F516='депозитный калькулятор'!$D$8,EOMONTH(F516,0)&lt;&gt;F516),IF('депозитный калькулятор'!$F$1=1,$H$24,IF(AND(OR('депозитный калькулятор'!$G$7="30/365",'депозитный калькулятор'!$G$7="30/360"),DAY(F516)=31),0,MIN(OFFSET(H516,-E516+1,0):H516)*(E516+SUMIF(OFFSET(A516,-E516+1,0):A516,"=2",OFFSET(A516,-E516+1,0):A516)))),IF(AND('депозитный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калькулятор'!$G$7="30/360"),DAY(EOMONTH(F516,0))=31),EOMONTH(F516,0)-1=F516,EOMONTH(F516,0)=F516)),IF(IF(AND(OR('депозитный калькулятор'!$G$7="30/365",'депозитный калькулятор'!$G$7="30/360"),DAY(EOMONTH($F$23,0))=31),F516=EOMONTH($F$23,0)-1,F516=EOMONTH($F$23,0)),MIN(OFFSET(H516,-(DAY(F516)-DAY($F$23)),0):H516)*E516,MIN(OFFSET(H516,-(DAY(F516)-1),0):H516)*IF(AND(OR('депозитный калькулятор'!$G$7="30/365",'депозитный калькулятор'!$G$7="30/360"),DAY(F516)&lt;30),30,DAY(F516))),IF(AND('депозитный калькулятор'!$G$10="ежемесячное, на средний остаток в течение месяца, при условии что остаток больше чем ограничение",F516='депозитный калькулятор'!$D$8,EOMONTH(F516,0)&lt;&gt;F516),IF('депозитный калькулятор'!$F$1=1,$H$24,SUM(OFFSET(Q516,-E516+1,0):Q516)),IF(AND('депозитный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калькулятор'!$G$7="30/360"),DAY(EOMONTH(F516,0))=31),EOMONTH(F516,0)-1=F516,EOMONTH(F516,0)=F516)),IF(IF(AND(OR('депозитный калькулятор'!$G$7="30/365",'депозитный калькулятор'!$G$7="30/360"),DAY(EOMONTH($F$24,0))=31),F516=EOMONTH($F$24,0)-1,F516=EOMONTH($F$24,0)),SUM(OFFSET(Q516,-E516+1,0):Q516),SUM(OFFSET(Q516,-E516+1,0):Q516)),IF('депозитный калькулятор'!$G$10="ежеквартальное",IF(F516&gt;'депозитный калькулятор'!$D$8," ",IF(AND(EOMONTH(F516,0)=F516,OR(MONTH(F516)=3,MONTH(F516)=6,MONTH(F516)=9,MONTH(F516)=12)),IF(EDATE(F516,-3)&lt;'депозитный калькулятор'!$D$7,SUM($H$23:H516),IF(MOD(YEAR(F516),4)=0,IF(AND(EOMONTH(F516,0)=F516,OR(MONTH(F516)=3,MONTH(F516)=6)),SUM(OFFSET(H516,-90,0):H516),IF(AND(EOMONTH(F516,0)=F516,OR(MONTH(F516)=9,MONTH(F516)=12)),SUM(OFFSET(H516,-91,0):H516))),IF(AND(EOMONTH(F516,0)=F516,MONTH(F516)=3),SUM(OFFSET(H516,-89,0):H516),IF(AND(EOMONTH(F516,0)=F516,MONTH(F516)=6),SUM(OFFSET(H516,-90,0):H516),IF(AND(EOMONTH(F516,0)=F516,OR(MONTH(F516)=9,MONTH(F516)=12)),SUM(OFFSET(H516,-91,0):H516)))))),IF(F516='депозитный калькулятор'!$D$8,SUM($H$23:H516)-SUM($I$23:I515),0))),IF('депозитный калькулятор'!$G$10="ежегодное",IF(F516&gt;'депозитный калькулятор'!$D$8," ",IF(F516='депозитный калькулятор'!$D$8,SUM($H$23:H516)-SUM($I$23:I515),IF(AND(EOMONTH(F516,0)=F516,MONTH(F516)=12),IF(MOD(YEAR(F515),4)=0,IF(F516-'депозитный калькулятор'!$D$7&lt;366,SUM($H$23:H516),SUM(OFFSET(H516,-365,0):H516)),IF(F516-'депозитный калькулятор'!$D$7&lt;365,SUM($H$23:H516),SUM(OFFSET(H516,-364,0):H516))),0))),IF(AND('депозитный калькулятор'!$G$10="в конце срока",'депозитный калькулятор'!$D$8=F516),SUM($H$23:H516),0))))))))))))))))))</f>
        <v xml:space="preserve"> </v>
      </c>
      <c r="J516" s="59" t="str">
        <f>IF(F516&gt;'депозитный калькулятор'!$D$8," ",IF('депозитный калькулятор'!$G$16="нет",0,IF(AND('депозитный калькулятор'!$G$17="разовая (в конце срока)",F516='депозитный калькулятор'!$D$8),'депозитный калькулятор'!$G$18,IF(AND('депозитный калькулятор'!$G$17="ежемесячная",EOMONTH(F515,0)=F515),'депозитный калькулятор'!$G$18,IF(AND('депозитный калькулятор'!$G$17="ежегодная",DAY(F515)=31,MONTH(F515)=12),'депозитный калькулятор'!$G$18,IF(AND('депозитный калькулятор'!$G$17="ежемесячная в зависимости от остатка",EOMONTH(F515,0)=F515,P515&gt;0),'депозитный калькулятор'!$G$18,IF(AND('депозитный калькулятор'!$G$17="ежегодная в зависимости от остатка",DAY(F515)=31,MONTH(F515)=12,P515&gt;0),'депозитный калькулятор'!$G$18,0)))))))</f>
        <v xml:space="preserve"> </v>
      </c>
      <c r="K516" s="135" t="str">
        <f>IF($F516=" "," ",IFERROR(VLOOKUP($F516,'депозитный калькулятор'!$B$26:$F$70,2,0),0))</f>
        <v xml:space="preserve"> </v>
      </c>
      <c r="L516" s="135" t="str">
        <f>IF($F516=" "," ",IFERROR(VLOOKUP($F516,'депозитный калькулятор'!$B$26:$F$70,3,0),0))</f>
        <v xml:space="preserve"> </v>
      </c>
      <c r="M516" s="135" t="str">
        <f>IF($F516=" "," ",IFERROR(VLOOKUP($F516,'депозитный калькулятор'!$B$26:$F$70,4,0),0))</f>
        <v xml:space="preserve"> </v>
      </c>
      <c r="N516" s="135" t="str">
        <f>IF($F516=" "," ",IFERROR(VLOOKUP($F516,'депозитный калькулятор'!$B$26:$F$70,5,0),0))</f>
        <v xml:space="preserve"> </v>
      </c>
      <c r="O516" s="146" t="str">
        <f>IF(F516&gt;'депозитный калькулятор'!$D$8," ",IF(F516='депозитный калькулятор'!$D$8,IF(AND($F$24='депозитный калькулятор'!$D$8,'депозитный калькулятор'!$G$13="нет"),-G516-IF(I516=" ",0,I516)-IF(AND(OR('депозитный калькулятор'!$G$7="30/365",'депозитный калькулятор'!$G$7="30/360"),'депозитный калькулятор'!$G$10="в начале срока"),I515,0)-L516+M516-N516,-G516-IF(I516=" ",0,I516)-L516+M516-N516),IF('депозитный калькулятор'!$G$13="есть",M516-N516+IF('депозитный калькулятор'!$G$14="есть",0,-L516),-IF(I516=" ",0,I516)-IF(AND(OR('депозитный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срока"),I515,0)+M516-N516+IF('депозитный калькулятор'!$G$14="есть",0,-L516))))</f>
        <v xml:space="preserve"> </v>
      </c>
      <c r="P516" s="147" t="str">
        <f>IF(F516&gt;'депозитный калькулятор'!$D$8," ",IF(EOMONTH(F515,0)=F515,0,IF(G516&gt;='депозитный калькулятор'!$G$19,P515,P515+1)))</f>
        <v xml:space="preserve"> </v>
      </c>
      <c r="Q516" s="138" t="str">
        <f>IF(F516=" "," ",IF(AND(OR('депозитный калькулятор'!$G$7="30/365",'депозитный калькулятор'!$G$7="30/360"),AND(MONTH(F516)=2,EOMONTH(F516,0)=F516)),IF(DAY(F516)=28,3,2),1)*IF(G516&gt;='депозитный калькулятор'!$G$11,IF(AND('депозитный калькулятор'!$G$7="факт/факт",MOD(YEAR(F516),4)=0),G516*'депозитный калькулятор'!$D$11/366,G516*'депозитный калькулятор'!$G$8),0))</f>
        <v xml:space="preserve"> </v>
      </c>
      <c r="R516" s="158"/>
      <c r="S516" s="62" t="str">
        <f t="shared" ca="1" si="37"/>
        <v xml:space="preserve"> </v>
      </c>
      <c r="T516" s="149" t="str">
        <f ca="1">IF(S516=" "," ",IF('депозитный калькулятор'!$G$7="30/360",DAYS360(U515,IF(DAY(U516)=31,U516-1,U516))+IF(AND(MONTH(U516)=2,U516=EOMONTH(U516,0)),30-DAY(EOMONTH(U516,0)))+T515,VLOOKUP(S516,$C$22:$F$1023,2,0)))</f>
        <v xml:space="preserve"> </v>
      </c>
      <c r="U516" s="64" t="str">
        <f t="shared" ca="1" si="35"/>
        <v xml:space="preserve"> </v>
      </c>
      <c r="V516" s="150" t="str">
        <f t="shared" ca="1" si="38"/>
        <v xml:space="preserve"> </v>
      </c>
      <c r="W516" s="62" t="str">
        <f t="shared" ca="1" si="39"/>
        <v xml:space="preserve"> </v>
      </c>
      <c r="X516" s="141" t="str">
        <f ca="1">IF(S516=" "," ",IFERROR(VLOOKUP(U516,$F$23:$N$1023,7)+VLOOKUP(U516,$F$23:$N$1023,9)+IF(AND('депозитный калькулятор'!$G$13="нет",U516&lt;&gt;'депозитный калькулятор'!$D$8),VLOOKUP(U516,$F$23:$N$1023,4),0),0)+IF(U516='депозитный калькулятор'!$D$8,VLOOKUP(U516,$F$23:$N$1023,2)+VLOOKUP(U516,$F$23:$N$1023,4),0))</f>
        <v xml:space="preserve"> </v>
      </c>
      <c r="Y516" s="142" t="str">
        <f ca="1">IF(S516=" "," ",W516/(1+'депозитный калькулятор'!$K$8)^(T516/IF('депозитный калькулятор'!$G$7="30/360",360,365)))</f>
        <v xml:space="preserve"> </v>
      </c>
      <c r="Z516" s="142" t="str">
        <f ca="1">IF(S516=" "," ",X516/(1+'депозитный калькулятор'!$K$8)^(T516/IF('депозитный калькулятор'!$G$7="30/360",360,365)))</f>
        <v xml:space="preserve"> </v>
      </c>
      <c r="AA516" s="151"/>
      <c r="AB516" s="151"/>
      <c r="AC516" s="155"/>
      <c r="AD516" s="155"/>
    </row>
    <row r="517" spans="1:30" s="2" customFormat="1" ht="15.5" x14ac:dyDescent="0.35">
      <c r="A517" s="41" t="str">
        <f>IF(F517=" "," ",IF(OR('депозитный калькулятор'!$G$7="30/365",'депозитный калькулятор'!$G$7="30/360"),IF(AND(MONTH(F517)=2,DAY(F517)=DAY(EOMONTH(F517,0))),30-DAY(EOMONTH(F517,0)),IF(DAY(F517)=31,1," "))," "))</f>
        <v xml:space="preserve"> </v>
      </c>
      <c r="B517" s="130" t="str">
        <f t="shared" si="36"/>
        <v xml:space="preserve"> </v>
      </c>
      <c r="C517" s="130" t="str">
        <f>IF(OR(B517=0,B517=" ")," ",SUM($B$23:B517))</f>
        <v xml:space="preserve"> </v>
      </c>
      <c r="D517" s="62" t="str">
        <f>IF(D516=" "," ",IF(OR(F516='депозитный калькулятор'!$D$8,F516=" ")," ",D516+1))</f>
        <v xml:space="preserve"> </v>
      </c>
      <c r="E517" s="130" t="str">
        <f>IF(OR(F516='депозитный калькулятор'!$D$8,F516=" ")," ",IF(EOMONTH(F516,0)=F516,1,E516+1))</f>
        <v xml:space="preserve"> </v>
      </c>
      <c r="F517" s="64" t="str">
        <f>IF(F516=" "," ",IF(F516='депозитный калькулятор'!$D$8," ",F516+1))</f>
        <v xml:space="preserve"> </v>
      </c>
      <c r="G517" s="145" t="str">
        <f xml:space="preserve"> IF(F517&gt;'депозитный калькулятор'!$D$8," ",IF('депозитный калькулятор'!$G$13="есть",IF('депозитный калькулятор'!$G$14="есть",G516+IF(I516=" ",0,I516)-J517-K517+L517+M517-N517,G516+IF(I516=" ",0,I516)-J517-K517+M517-N517),IF('депозитный калькулятор'!$G$14="есть",G516-J517-K517+L517+M517-N517,G516-J517-K517+M517-N517)))</f>
        <v xml:space="preserve"> </v>
      </c>
      <c r="H517" s="133" t="str">
        <f>IF(F517&gt;'депозитный калькулятор'!$D$8," ",IF(AND(OR('депозитный калькулятор'!$G$7="30/365",'депозитный калькулятор'!$G$7="30/360"),AND(MONTH(F517)=2,EOMONTH(F517,0)=F517)),IF(DAY(F517)=28,3*G517*'депозитный калькулятор'!$G$8,2*G517*'депозитный калькулятор'!$G$8),IF(AND(OR('депозитный калькулятор'!$G$7="30/365",'депозитный калькулятор'!$G$7="30/360"),DAY(F517)=31)," ",IF(AND('депозитный калькулятор'!$G$7="факт/факт",MOD(YEAR(F517),4)=0),G517*'депозитный калькулятор'!$D$11/366,G517*'депозитный калькулятор'!$G$8))))</f>
        <v xml:space="preserve"> </v>
      </c>
      <c r="I517" s="134" t="str">
        <f ca="1">IF(F517=" "," ",IF('депозитный калькулятор'!$G$10="ежедневное",H517,IF(AND('депозитный калькулятор'!$G$10="еженедельное",WEEKDAY(F517,2)=7),SUM(OFFSET(H517,-6,0):H517),IF(AND('депозитный калькулятор'!$G$10="еженедельное",F517='депозитный калькулятор'!$D$8),SUM($H$23:H517)-SUM($I$23:I516),IF(AND('депозитный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недели",WEEKDAY(F517,2)=7),MIN(OFFSET(H517,-6,0):H517)*(COUNTIF(OFFSET(H517,-6,0):H517,"&gt;0")+SUMIF(OFFSET(A517,-WEEKDAY(F517,2),0):A517,"=2",OFFSET(A517,-WEEKDAY(F517,2),0):A517)),IF(AND('депозитный калькулятор'!$G$10="еженедельное, на минимальную сумму зафиксированную в течение недели",F517='депозитный калькулятор'!$D$8,WEEKDAY(F517,2)&lt;&gt;7),MIN(OFFSET(H517,-WEEKDAY(F517,2),0):H517)*(COUNTIF(OFFSET(H517,-WEEKDAY(F517,2)+1,0):H517,"&gt;0")+SUM(OFFSET(A517,-WEEKDAY(F517,2),0):A517)),IF(AND('депозитный калькулятор'!$G$10="ежемесячное (в конце месяца)",F517='депозитный калькулятор'!$D$8,EOMONTH(F517,0)&lt;&gt;F517),IF('депозитный калькулятор'!$F$1=1,$H$24,SUM($H$23:H517)-SUM($I$23:I516)),IF(AND('депозитный калькулятор'!$G$10="ежемесячное (в конце месяца)",EOMONTH(F517,0)=F517),SUM($H$23:H517)-SUM($I$23:I516),IF(AND('депозитный калькулятор'!$G$10="ежемесячное (по дням открытия вклада)",F517='депозитный калькулятор'!$D$8,DAY('депозитный калькулятор'!$D$7)&lt;&gt;DAY(F517)),IF('депозитный калькулятор'!$F$1=1,$H$24,SUM($H$23:H517)-SUM($I$23:I516)),IF(AND('депозитный калькулятор'!$G$10="ежемесячное (по дням открытия вклада)",DAY('депозитный калькулятор'!$D$7)=DAY(F517)),SUM($H$23:H517)-SUM($I$23:I516),IF(AND('депозитный калькулятор'!$G$10="ежемесячное, на минимальную сумму зафиксированную в течение месяца",F517='депозитный калькулятор'!$D$8,EOMONTH(F517,0)&lt;&gt;F517),IF('депозитный калькулятор'!$F$1=1,$H$24,IF(AND(OR('депозитный калькулятор'!$G$7="30/365",'депозитный калькулятор'!$G$7="30/360"),DAY(F517)=31),0,MIN(OFFSET(H517,-E517+1,0):H517)*(E517+SUMIF(OFFSET(A517,-E517+1,0):A517,"=2",OFFSET(A517,-E517+1,0):A517)))),IF(AND('депозитный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калькулятор'!$G$7="30/360"),DAY(EOMONTH(F517,0))=31),EOMONTH(F517,0)-1=F517,EOMONTH(F517,0)=F517)),IF(IF(AND(OR('депозитный калькулятор'!$G$7="30/365",'депозитный калькулятор'!$G$7="30/360"),DAY(EOMONTH($F$23,0))=31),F517=EOMONTH($F$23,0)-1,F517=EOMONTH($F$23,0)),MIN(OFFSET(H517,-(DAY(F517)-DAY($F$23)),0):H517)*E517,MIN(OFFSET(H517,-(DAY(F517)-1),0):H517)*IF(AND(OR('депозитный калькулятор'!$G$7="30/365",'депозитный калькулятор'!$G$7="30/360"),DAY(F517)&lt;30),30,DAY(F517))),IF(AND('депозитный калькулятор'!$G$10="ежемесячное, на средний остаток в течение месяца, при условии что остаток больше чем ограничение",F517='депозитный калькулятор'!$D$8,EOMONTH(F517,0)&lt;&gt;F517),IF('депозитный калькулятор'!$F$1=1,$H$24,SUM(OFFSET(Q517,-E517+1,0):Q517)),IF(AND('депозитный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калькулятор'!$G$7="30/360"),DAY(EOMONTH(F517,0))=31),EOMONTH(F517,0)-1=F517,EOMONTH(F517,0)=F517)),IF(IF(AND(OR('депозитный калькулятор'!$G$7="30/365",'депозитный калькулятор'!$G$7="30/360"),DAY(EOMONTH($F$24,0))=31),F517=EOMONTH($F$24,0)-1,F517=EOMONTH($F$24,0)),SUM(OFFSET(Q517,-E517+1,0):Q517),SUM(OFFSET(Q517,-E517+1,0):Q517)),IF('депозитный калькулятор'!$G$10="ежеквартальное",IF(F517&gt;'депозитный калькулятор'!$D$8," ",IF(AND(EOMONTH(F517,0)=F517,OR(MONTH(F517)=3,MONTH(F517)=6,MONTH(F517)=9,MONTH(F517)=12)),IF(EDATE(F517,-3)&lt;'депозитный калькулятор'!$D$7,SUM($H$23:H517),IF(MOD(YEAR(F517),4)=0,IF(AND(EOMONTH(F517,0)=F517,OR(MONTH(F517)=3,MONTH(F517)=6)),SUM(OFFSET(H517,-90,0):H517),IF(AND(EOMONTH(F517,0)=F517,OR(MONTH(F517)=9,MONTH(F517)=12)),SUM(OFFSET(H517,-91,0):H517))),IF(AND(EOMONTH(F517,0)=F517,MONTH(F517)=3),SUM(OFFSET(H517,-89,0):H517),IF(AND(EOMONTH(F517,0)=F517,MONTH(F517)=6),SUM(OFFSET(H517,-90,0):H517),IF(AND(EOMONTH(F517,0)=F517,OR(MONTH(F517)=9,MONTH(F517)=12)),SUM(OFFSET(H517,-91,0):H517)))))),IF(F517='депозитный калькулятор'!$D$8,SUM($H$23:H517)-SUM($I$23:I516),0))),IF('депозитный калькулятор'!$G$10="ежегодное",IF(F517&gt;'депозитный калькулятор'!$D$8," ",IF(F517='депозитный калькулятор'!$D$8,SUM($H$23:H517)-SUM($I$23:I516),IF(AND(EOMONTH(F517,0)=F517,MONTH(F517)=12),IF(MOD(YEAR(F516),4)=0,IF(F517-'депозитный калькулятор'!$D$7&lt;366,SUM($H$23:H517),SUM(OFFSET(H517,-365,0):H517)),IF(F517-'депозитный калькулятор'!$D$7&lt;365,SUM($H$23:H517),SUM(OFFSET(H517,-364,0):H517))),0))),IF(AND('депозитный калькулятор'!$G$10="в конце срока",'депозитный калькулятор'!$D$8=F517),SUM($H$23:H517),0))))))))))))))))))</f>
        <v xml:space="preserve"> </v>
      </c>
      <c r="J517" s="59" t="str">
        <f>IF(F517&gt;'депозитный калькулятор'!$D$8," ",IF('депозитный калькулятор'!$G$16="нет",0,IF(AND('депозитный калькулятор'!$G$17="разовая (в конце срока)",F517='депозитный калькулятор'!$D$8),'депозитный калькулятор'!$G$18,IF(AND('депозитный калькулятор'!$G$17="ежемесячная",EOMONTH(F516,0)=F516),'депозитный калькулятор'!$G$18,IF(AND('депозитный калькулятор'!$G$17="ежегодная",DAY(F516)=31,MONTH(F516)=12),'депозитный калькулятор'!$G$18,IF(AND('депозитный калькулятор'!$G$17="ежемесячная в зависимости от остатка",EOMONTH(F516,0)=F516,P516&gt;0),'депозитный калькулятор'!$G$18,IF(AND('депозитный калькулятор'!$G$17="ежегодная в зависимости от остатка",DAY(F516)=31,MONTH(F516)=12,P516&gt;0),'депозитный калькулятор'!$G$18,0)))))))</f>
        <v xml:space="preserve"> </v>
      </c>
      <c r="K517" s="135" t="str">
        <f>IF($F517=" "," ",IFERROR(VLOOKUP($F517,'депозитный калькулятор'!$B$26:$F$70,2,0),0))</f>
        <v xml:space="preserve"> </v>
      </c>
      <c r="L517" s="135" t="str">
        <f>IF($F517=" "," ",IFERROR(VLOOKUP($F517,'депозитный калькулятор'!$B$26:$F$70,3,0),0))</f>
        <v xml:space="preserve"> </v>
      </c>
      <c r="M517" s="135" t="str">
        <f>IF($F517=" "," ",IFERROR(VLOOKUP($F517,'депозитный калькулятор'!$B$26:$F$70,4,0),0))</f>
        <v xml:space="preserve"> </v>
      </c>
      <c r="N517" s="135" t="str">
        <f>IF($F517=" "," ",IFERROR(VLOOKUP($F517,'депозитный калькулятор'!$B$26:$F$70,5,0),0))</f>
        <v xml:space="preserve"> </v>
      </c>
      <c r="O517" s="146" t="str">
        <f>IF(F517&gt;'депозитный калькулятор'!$D$8," ",IF(F517='депозитный калькулятор'!$D$8,IF(AND($F$24='депозитный калькулятор'!$D$8,'депозитный калькулятор'!$G$13="нет"),-G517-IF(I517=" ",0,I517)-IF(AND(OR('депозитный калькулятор'!$G$7="30/365",'депозитный калькулятор'!$G$7="30/360"),'депозитный калькулятор'!$G$10="в начале срока"),I516,0)-L517+M517-N517,-G517-IF(I517=" ",0,I517)-L517+M517-N517),IF('депозитный калькулятор'!$G$13="есть",M517-N517+IF('депозитный калькулятор'!$G$14="есть",0,-L517),-IF(I517=" ",0,I517)-IF(AND(OR('депозитный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срока"),I516,0)+M517-N517+IF('депозитный калькулятор'!$G$14="есть",0,-L517))))</f>
        <v xml:space="preserve"> </v>
      </c>
      <c r="P517" s="147" t="str">
        <f>IF(F517&gt;'депозитный калькулятор'!$D$8," ",IF(EOMONTH(F516,0)=F516,0,IF(G517&gt;='депозитный калькулятор'!$G$19,P516,P516+1)))</f>
        <v xml:space="preserve"> </v>
      </c>
      <c r="Q517" s="138" t="str">
        <f>IF(F517=" "," ",IF(AND(OR('депозитный калькулятор'!$G$7="30/365",'депозитный калькулятор'!$G$7="30/360"),AND(MONTH(F517)=2,EOMONTH(F517,0)=F517)),IF(DAY(F517)=28,3,2),1)*IF(G517&gt;='депозитный калькулятор'!$G$11,IF(AND('депозитный калькулятор'!$G$7="факт/факт",MOD(YEAR(F517),4)=0),G517*'депозитный калькулятор'!$D$11/366,G517*'депозитный калькулятор'!$G$8),0))</f>
        <v xml:space="preserve"> </v>
      </c>
      <c r="R517" s="158"/>
      <c r="S517" s="62" t="str">
        <f t="shared" ca="1" si="37"/>
        <v xml:space="preserve"> </v>
      </c>
      <c r="T517" s="149" t="str">
        <f ca="1">IF(S517=" "," ",IF('депозитный калькулятор'!$G$7="30/360",DAYS360(U516,IF(DAY(U517)=31,U517-1,U517))+IF(AND(MONTH(U517)=2,U517=EOMONTH(U517,0)),30-DAY(EOMONTH(U517,0)))+T516,VLOOKUP(S517,$C$22:$F$1023,2,0)))</f>
        <v xml:space="preserve"> </v>
      </c>
      <c r="U517" s="64" t="str">
        <f t="shared" ca="1" si="35"/>
        <v xml:space="preserve"> </v>
      </c>
      <c r="V517" s="150" t="str">
        <f t="shared" ca="1" si="38"/>
        <v xml:space="preserve"> </v>
      </c>
      <c r="W517" s="62" t="str">
        <f t="shared" ca="1" si="39"/>
        <v xml:space="preserve"> </v>
      </c>
      <c r="X517" s="141" t="str">
        <f ca="1">IF(S517=" "," ",IFERROR(VLOOKUP(U517,$F$23:$N$1023,7)+VLOOKUP(U517,$F$23:$N$1023,9)+IF(AND('депозитный калькулятор'!$G$13="нет",U517&lt;&gt;'депозитный калькулятор'!$D$8),VLOOKUP(U517,$F$23:$N$1023,4),0),0)+IF(U517='депозитный калькулятор'!$D$8,VLOOKUP(U517,$F$23:$N$1023,2)+VLOOKUP(U517,$F$23:$N$1023,4),0))</f>
        <v xml:space="preserve"> </v>
      </c>
      <c r="Y517" s="142" t="str">
        <f ca="1">IF(S517=" "," ",W517/(1+'депозитный калькулятор'!$K$8)^(T517/IF('депозитный калькулятор'!$G$7="30/360",360,365)))</f>
        <v xml:space="preserve"> </v>
      </c>
      <c r="Z517" s="142" t="str">
        <f ca="1">IF(S517=" "," ",X517/(1+'депозитный калькулятор'!$K$8)^(T517/IF('депозитный калькулятор'!$G$7="30/360",360,365)))</f>
        <v xml:space="preserve"> </v>
      </c>
      <c r="AA517" s="151"/>
      <c r="AB517" s="151"/>
      <c r="AC517" s="155"/>
      <c r="AD517" s="155"/>
    </row>
    <row r="518" spans="1:30" s="2" customFormat="1" ht="15.5" x14ac:dyDescent="0.35">
      <c r="A518" s="41" t="str">
        <f>IF(F518=" "," ",IF(OR('депозитный калькулятор'!$G$7="30/365",'депозитный калькулятор'!$G$7="30/360"),IF(AND(MONTH(F518)=2,DAY(F518)=DAY(EOMONTH(F518,0))),30-DAY(EOMONTH(F518,0)),IF(DAY(F518)=31,1," "))," "))</f>
        <v xml:space="preserve"> </v>
      </c>
      <c r="B518" s="130" t="str">
        <f t="shared" si="36"/>
        <v xml:space="preserve"> </v>
      </c>
      <c r="C518" s="130" t="str">
        <f>IF(OR(B518=0,B518=" ")," ",SUM($B$23:B518))</f>
        <v xml:space="preserve"> </v>
      </c>
      <c r="D518" s="62" t="str">
        <f>IF(D517=" "," ",IF(OR(F517='депозитный калькулятор'!$D$8,F517=" ")," ",D517+1))</f>
        <v xml:space="preserve"> </v>
      </c>
      <c r="E518" s="130" t="str">
        <f>IF(OR(F517='депозитный калькулятор'!$D$8,F517=" ")," ",IF(EOMONTH(F517,0)=F517,1,E517+1))</f>
        <v xml:space="preserve"> </v>
      </c>
      <c r="F518" s="64" t="str">
        <f>IF(F517=" "," ",IF(F517='депозитный калькулятор'!$D$8," ",F517+1))</f>
        <v xml:space="preserve"> </v>
      </c>
      <c r="G518" s="145" t="str">
        <f xml:space="preserve"> IF(F518&gt;'депозитный калькулятор'!$D$8," ",IF('депозитный калькулятор'!$G$13="есть",IF('депозитный калькулятор'!$G$14="есть",G517+IF(I517=" ",0,I517)-J518-K518+L518+M518-N518,G517+IF(I517=" ",0,I517)-J518-K518+M518-N518),IF('депозитный калькулятор'!$G$14="есть",G517-J518-K518+L518+M518-N518,G517-J518-K518+M518-N518)))</f>
        <v xml:space="preserve"> </v>
      </c>
      <c r="H518" s="133" t="str">
        <f>IF(F518&gt;'депозитный калькулятор'!$D$8," ",IF(AND(OR('депозитный калькулятор'!$G$7="30/365",'депозитный калькулятор'!$G$7="30/360"),AND(MONTH(F518)=2,EOMONTH(F518,0)=F518)),IF(DAY(F518)=28,3*G518*'депозитный калькулятор'!$G$8,2*G518*'депозитный калькулятор'!$G$8),IF(AND(OR('депозитный калькулятор'!$G$7="30/365",'депозитный калькулятор'!$G$7="30/360"),DAY(F518)=31)," ",IF(AND('депозитный калькулятор'!$G$7="факт/факт",MOD(YEAR(F518),4)=0),G518*'депозитный калькулятор'!$D$11/366,G518*'депозитный калькулятор'!$G$8))))</f>
        <v xml:space="preserve"> </v>
      </c>
      <c r="I518" s="134" t="str">
        <f ca="1">IF(F518=" "," ",IF('депозитный калькулятор'!$G$10="ежедневное",H518,IF(AND('депозитный калькулятор'!$G$10="еженедельное",WEEKDAY(F518,2)=7),SUM(OFFSET(H518,-6,0):H518),IF(AND('депозитный калькулятор'!$G$10="еженедельное",F518='депозитный калькулятор'!$D$8),SUM($H$23:H518)-SUM($I$23:I517),IF(AND('депозитный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недели",WEEKDAY(F518,2)=7),MIN(OFFSET(H518,-6,0):H518)*(COUNTIF(OFFSET(H518,-6,0):H518,"&gt;0")+SUMIF(OFFSET(A518,-WEEKDAY(F518,2),0):A518,"=2",OFFSET(A518,-WEEKDAY(F518,2),0):A518)),IF(AND('депозитный калькулятор'!$G$10="еженедельное, на минимальную сумму зафиксированную в течение недели",F518='депозитный калькулятор'!$D$8,WEEKDAY(F518,2)&lt;&gt;7),MIN(OFFSET(H518,-WEEKDAY(F518,2),0):H518)*(COUNTIF(OFFSET(H518,-WEEKDAY(F518,2)+1,0):H518,"&gt;0")+SUM(OFFSET(A518,-WEEKDAY(F518,2),0):A518)),IF(AND('депозитный калькулятор'!$G$10="ежемесячное (в конце месяца)",F518='депозитный калькулятор'!$D$8,EOMONTH(F518,0)&lt;&gt;F518),IF('депозитный калькулятор'!$F$1=1,$H$24,SUM($H$23:H518)-SUM($I$23:I517)),IF(AND('депозитный калькулятор'!$G$10="ежемесячное (в конце месяца)",EOMONTH(F518,0)=F518),SUM($H$23:H518)-SUM($I$23:I517),IF(AND('депозитный калькулятор'!$G$10="ежемесячное (по дням открытия вклада)",F518='депозитный калькулятор'!$D$8,DAY('депозитный калькулятор'!$D$7)&lt;&gt;DAY(F518)),IF('депозитный калькулятор'!$F$1=1,$H$24,SUM($H$23:H518)-SUM($I$23:I517)),IF(AND('депозитный калькулятор'!$G$10="ежемесячное (по дням открытия вклада)",DAY('депозитный калькулятор'!$D$7)=DAY(F518)),SUM($H$23:H518)-SUM($I$23:I517),IF(AND('депозитный калькулятор'!$G$10="ежемесячное, на минимальную сумму зафиксированную в течение месяца",F518='депозитный калькулятор'!$D$8,EOMONTH(F518,0)&lt;&gt;F518),IF('депозитный калькулятор'!$F$1=1,$H$24,IF(AND(OR('депозитный калькулятор'!$G$7="30/365",'депозитный калькулятор'!$G$7="30/360"),DAY(F518)=31),0,MIN(OFFSET(H518,-E518+1,0):H518)*(E518+SUMIF(OFFSET(A518,-E518+1,0):A518,"=2",OFFSET(A518,-E518+1,0):A518)))),IF(AND('депозитный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калькулятор'!$G$7="30/360"),DAY(EOMONTH(F518,0))=31),EOMONTH(F518,0)-1=F518,EOMONTH(F518,0)=F518)),IF(IF(AND(OR('депозитный калькулятор'!$G$7="30/365",'депозитный калькулятор'!$G$7="30/360"),DAY(EOMONTH($F$23,0))=31),F518=EOMONTH($F$23,0)-1,F518=EOMONTH($F$23,0)),MIN(OFFSET(H518,-(DAY(F518)-DAY($F$23)),0):H518)*E518,MIN(OFFSET(H518,-(DAY(F518)-1),0):H518)*IF(AND(OR('депозитный калькулятор'!$G$7="30/365",'депозитный калькулятор'!$G$7="30/360"),DAY(F518)&lt;30),30,DAY(F518))),IF(AND('депозитный калькулятор'!$G$10="ежемесячное, на средний остаток в течение месяца, при условии что остаток больше чем ограничение",F518='депозитный калькулятор'!$D$8,EOMONTH(F518,0)&lt;&gt;F518),IF('депозитный калькулятор'!$F$1=1,$H$24,SUM(OFFSET(Q518,-E518+1,0):Q518)),IF(AND('депозитный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калькулятор'!$G$7="30/360"),DAY(EOMONTH(F518,0))=31),EOMONTH(F518,0)-1=F518,EOMONTH(F518,0)=F518)),IF(IF(AND(OR('депозитный калькулятор'!$G$7="30/365",'депозитный калькулятор'!$G$7="30/360"),DAY(EOMONTH($F$24,0))=31),F518=EOMONTH($F$24,0)-1,F518=EOMONTH($F$24,0)),SUM(OFFSET(Q518,-E518+1,0):Q518),SUM(OFFSET(Q518,-E518+1,0):Q518)),IF('депозитный калькулятор'!$G$10="ежеквартальное",IF(F518&gt;'депозитный калькулятор'!$D$8," ",IF(AND(EOMONTH(F518,0)=F518,OR(MONTH(F518)=3,MONTH(F518)=6,MONTH(F518)=9,MONTH(F518)=12)),IF(EDATE(F518,-3)&lt;'депозитный калькулятор'!$D$7,SUM($H$23:H518),IF(MOD(YEAR(F518),4)=0,IF(AND(EOMONTH(F518,0)=F518,OR(MONTH(F518)=3,MONTH(F518)=6)),SUM(OFFSET(H518,-90,0):H518),IF(AND(EOMONTH(F518,0)=F518,OR(MONTH(F518)=9,MONTH(F518)=12)),SUM(OFFSET(H518,-91,0):H518))),IF(AND(EOMONTH(F518,0)=F518,MONTH(F518)=3),SUM(OFFSET(H518,-89,0):H518),IF(AND(EOMONTH(F518,0)=F518,MONTH(F518)=6),SUM(OFFSET(H518,-90,0):H518),IF(AND(EOMONTH(F518,0)=F518,OR(MONTH(F518)=9,MONTH(F518)=12)),SUM(OFFSET(H518,-91,0):H518)))))),IF(F518='депозитный калькулятор'!$D$8,SUM($H$23:H518)-SUM($I$23:I517),0))),IF('депозитный калькулятор'!$G$10="ежегодное",IF(F518&gt;'депозитный калькулятор'!$D$8," ",IF(F518='депозитный калькулятор'!$D$8,SUM($H$23:H518)-SUM($I$23:I517),IF(AND(EOMONTH(F518,0)=F518,MONTH(F518)=12),IF(MOD(YEAR(F517),4)=0,IF(F518-'депозитный калькулятор'!$D$7&lt;366,SUM($H$23:H518),SUM(OFFSET(H518,-365,0):H518)),IF(F518-'депозитный калькулятор'!$D$7&lt;365,SUM($H$23:H518),SUM(OFFSET(H518,-364,0):H518))),0))),IF(AND('депозитный калькулятор'!$G$10="в конце срока",'депозитный калькулятор'!$D$8=F518),SUM($H$23:H518),0))))))))))))))))))</f>
        <v xml:space="preserve"> </v>
      </c>
      <c r="J518" s="59" t="str">
        <f>IF(F518&gt;'депозитный калькулятор'!$D$8," ",IF('депозитный калькулятор'!$G$16="нет",0,IF(AND('депозитный калькулятор'!$G$17="разовая (в конце срока)",F518='депозитный калькулятор'!$D$8),'депозитный калькулятор'!$G$18,IF(AND('депозитный калькулятор'!$G$17="ежемесячная",EOMONTH(F517,0)=F517),'депозитный калькулятор'!$G$18,IF(AND('депозитный калькулятор'!$G$17="ежегодная",DAY(F517)=31,MONTH(F517)=12),'депозитный калькулятор'!$G$18,IF(AND('депозитный калькулятор'!$G$17="ежемесячная в зависимости от остатка",EOMONTH(F517,0)=F517,P517&gt;0),'депозитный калькулятор'!$G$18,IF(AND('депозитный калькулятор'!$G$17="ежегодная в зависимости от остатка",DAY(F517)=31,MONTH(F517)=12,P517&gt;0),'депозитный калькулятор'!$G$18,0)))))))</f>
        <v xml:space="preserve"> </v>
      </c>
      <c r="K518" s="135" t="str">
        <f>IF($F518=" "," ",IFERROR(VLOOKUP($F518,'депозитный калькулятор'!$B$26:$F$70,2,0),0))</f>
        <v xml:space="preserve"> </v>
      </c>
      <c r="L518" s="135" t="str">
        <f>IF($F518=" "," ",IFERROR(VLOOKUP($F518,'депозитный калькулятор'!$B$26:$F$70,3,0),0))</f>
        <v xml:space="preserve"> </v>
      </c>
      <c r="M518" s="135" t="str">
        <f>IF($F518=" "," ",IFERROR(VLOOKUP($F518,'депозитный калькулятор'!$B$26:$F$70,4,0),0))</f>
        <v xml:space="preserve"> </v>
      </c>
      <c r="N518" s="135" t="str">
        <f>IF($F518=" "," ",IFERROR(VLOOKUP($F518,'депозитный калькулятор'!$B$26:$F$70,5,0),0))</f>
        <v xml:space="preserve"> </v>
      </c>
      <c r="O518" s="146" t="str">
        <f>IF(F518&gt;'депозитный калькулятор'!$D$8," ",IF(F518='депозитный калькулятор'!$D$8,IF(AND($F$24='депозитный калькулятор'!$D$8,'депозитный калькулятор'!$G$13="нет"),-G518-IF(I518=" ",0,I518)-IF(AND(OR('депозитный калькулятор'!$G$7="30/365",'депозитный калькулятор'!$G$7="30/360"),'депозитный калькулятор'!$G$10="в начале срока"),I517,0)-L518+M518-N518,-G518-IF(I518=" ",0,I518)-L518+M518-N518),IF('депозитный калькулятор'!$G$13="есть",M518-N518+IF('депозитный калькулятор'!$G$14="есть",0,-L518),-IF(I518=" ",0,I518)-IF(AND(OR('депозитный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срока"),I517,0)+M518-N518+IF('депозитный калькулятор'!$G$14="есть",0,-L518))))</f>
        <v xml:space="preserve"> </v>
      </c>
      <c r="P518" s="147" t="str">
        <f>IF(F518&gt;'депозитный калькулятор'!$D$8," ",IF(EOMONTH(F517,0)=F517,0,IF(G518&gt;='депозитный калькулятор'!$G$19,P517,P517+1)))</f>
        <v xml:space="preserve"> </v>
      </c>
      <c r="Q518" s="138" t="str">
        <f>IF(F518=" "," ",IF(AND(OR('депозитный калькулятор'!$G$7="30/365",'депозитный калькулятор'!$G$7="30/360"),AND(MONTH(F518)=2,EOMONTH(F518,0)=F518)),IF(DAY(F518)=28,3,2),1)*IF(G518&gt;='депозитный калькулятор'!$G$11,IF(AND('депозитный калькулятор'!$G$7="факт/факт",MOD(YEAR(F518),4)=0),G518*'депозитный калькулятор'!$D$11/366,G518*'депозитный калькулятор'!$G$8),0))</f>
        <v xml:space="preserve"> </v>
      </c>
      <c r="R518" s="158"/>
      <c r="S518" s="62" t="str">
        <f t="shared" ca="1" si="37"/>
        <v xml:space="preserve"> </v>
      </c>
      <c r="T518" s="149" t="str">
        <f ca="1">IF(S518=" "," ",IF('депозитный калькулятор'!$G$7="30/360",DAYS360(U517,IF(DAY(U518)=31,U518-1,U518))+IF(AND(MONTH(U518)=2,U518=EOMONTH(U518,0)),30-DAY(EOMONTH(U518,0)))+T517,VLOOKUP(S518,$C$22:$F$1023,2,0)))</f>
        <v xml:space="preserve"> </v>
      </c>
      <c r="U518" s="64" t="str">
        <f t="shared" ca="1" si="35"/>
        <v xml:space="preserve"> </v>
      </c>
      <c r="V518" s="150" t="str">
        <f t="shared" ca="1" si="38"/>
        <v xml:space="preserve"> </v>
      </c>
      <c r="W518" s="62" t="str">
        <f t="shared" ca="1" si="39"/>
        <v xml:space="preserve"> </v>
      </c>
      <c r="X518" s="141" t="str">
        <f ca="1">IF(S518=" "," ",IFERROR(VLOOKUP(U518,$F$23:$N$1023,7)+VLOOKUP(U518,$F$23:$N$1023,9)+IF(AND('депозитный калькулятор'!$G$13="нет",U518&lt;&gt;'депозитный калькулятор'!$D$8),VLOOKUP(U518,$F$23:$N$1023,4),0),0)+IF(U518='депозитный калькулятор'!$D$8,VLOOKUP(U518,$F$23:$N$1023,2)+VLOOKUP(U518,$F$23:$N$1023,4),0))</f>
        <v xml:space="preserve"> </v>
      </c>
      <c r="Y518" s="142" t="str">
        <f ca="1">IF(S518=" "," ",W518/(1+'депозитный калькулятор'!$K$8)^(T518/IF('депозитный калькулятор'!$G$7="30/360",360,365)))</f>
        <v xml:space="preserve"> </v>
      </c>
      <c r="Z518" s="142" t="str">
        <f ca="1">IF(S518=" "," ",X518/(1+'депозитный калькулятор'!$K$8)^(T518/IF('депозитный калькулятор'!$G$7="30/360",360,365)))</f>
        <v xml:space="preserve"> </v>
      </c>
      <c r="AA518" s="151"/>
      <c r="AB518" s="151"/>
      <c r="AC518" s="155"/>
      <c r="AD518" s="155"/>
    </row>
    <row r="519" spans="1:30" s="2" customFormat="1" ht="15.5" x14ac:dyDescent="0.35">
      <c r="A519" s="41" t="str">
        <f>IF(F519=" "," ",IF(OR('депозитный калькулятор'!$G$7="30/365",'депозитный калькулятор'!$G$7="30/360"),IF(AND(MONTH(F519)=2,DAY(F519)=DAY(EOMONTH(F519,0))),30-DAY(EOMONTH(F519,0)),IF(DAY(F519)=31,1," "))," "))</f>
        <v xml:space="preserve"> </v>
      </c>
      <c r="B519" s="130" t="str">
        <f t="shared" si="36"/>
        <v xml:space="preserve"> </v>
      </c>
      <c r="C519" s="130" t="str">
        <f>IF(OR(B519=0,B519=" ")," ",SUM($B$23:B519))</f>
        <v xml:space="preserve"> </v>
      </c>
      <c r="D519" s="62" t="str">
        <f>IF(D518=" "," ",IF(OR(F518='депозитный калькулятор'!$D$8,F518=" ")," ",D518+1))</f>
        <v xml:space="preserve"> </v>
      </c>
      <c r="E519" s="130" t="str">
        <f>IF(OR(F518='депозитный калькулятор'!$D$8,F518=" ")," ",IF(EOMONTH(F518,0)=F518,1,E518+1))</f>
        <v xml:space="preserve"> </v>
      </c>
      <c r="F519" s="64" t="str">
        <f>IF(F518=" "," ",IF(F518='депозитный калькулятор'!$D$8," ",F518+1))</f>
        <v xml:space="preserve"> </v>
      </c>
      <c r="G519" s="145" t="str">
        <f xml:space="preserve"> IF(F519&gt;'депозитный калькулятор'!$D$8," ",IF('депозитный калькулятор'!$G$13="есть",IF('депозитный калькулятор'!$G$14="есть",G518+IF(I518=" ",0,I518)-J519-K519+L519+M519-N519,G518+IF(I518=" ",0,I518)-J519-K519+M519-N519),IF('депозитный калькулятор'!$G$14="есть",G518-J519-K519+L519+M519-N519,G518-J519-K519+M519-N519)))</f>
        <v xml:space="preserve"> </v>
      </c>
      <c r="H519" s="133" t="str">
        <f>IF(F519&gt;'депозитный калькулятор'!$D$8," ",IF(AND(OR('депозитный калькулятор'!$G$7="30/365",'депозитный калькулятор'!$G$7="30/360"),AND(MONTH(F519)=2,EOMONTH(F519,0)=F519)),IF(DAY(F519)=28,3*G519*'депозитный калькулятор'!$G$8,2*G519*'депозитный калькулятор'!$G$8),IF(AND(OR('депозитный калькулятор'!$G$7="30/365",'депозитный калькулятор'!$G$7="30/360"),DAY(F519)=31)," ",IF(AND('депозитный калькулятор'!$G$7="факт/факт",MOD(YEAR(F519),4)=0),G519*'депозитный калькулятор'!$D$11/366,G519*'депозитный калькулятор'!$G$8))))</f>
        <v xml:space="preserve"> </v>
      </c>
      <c r="I519" s="134" t="str">
        <f ca="1">IF(F519=" "," ",IF('депозитный калькулятор'!$G$10="ежедневное",H519,IF(AND('депозитный калькулятор'!$G$10="еженедельное",WEEKDAY(F519,2)=7),SUM(OFFSET(H519,-6,0):H519),IF(AND('депозитный калькулятор'!$G$10="еженедельное",F519='депозитный калькулятор'!$D$8),SUM($H$23:H519)-SUM($I$23:I518),IF(AND('депозитный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недели",WEEKDAY(F519,2)=7),MIN(OFFSET(H519,-6,0):H519)*(COUNTIF(OFFSET(H519,-6,0):H519,"&gt;0")+SUMIF(OFFSET(A519,-WEEKDAY(F519,2),0):A519,"=2",OFFSET(A519,-WEEKDAY(F519,2),0):A519)),IF(AND('депозитный калькулятор'!$G$10="еженедельное, на минимальную сумму зафиксированную в течение недели",F519='депозитный калькулятор'!$D$8,WEEKDAY(F519,2)&lt;&gt;7),MIN(OFFSET(H519,-WEEKDAY(F519,2),0):H519)*(COUNTIF(OFFSET(H519,-WEEKDAY(F519,2)+1,0):H519,"&gt;0")+SUM(OFFSET(A519,-WEEKDAY(F519,2),0):A519)),IF(AND('депозитный калькулятор'!$G$10="ежемесячное (в конце месяца)",F519='депозитный калькулятор'!$D$8,EOMONTH(F519,0)&lt;&gt;F519),IF('депозитный калькулятор'!$F$1=1,$H$24,SUM($H$23:H519)-SUM($I$23:I518)),IF(AND('депозитный калькулятор'!$G$10="ежемесячное (в конце месяца)",EOMONTH(F519,0)=F519),SUM($H$23:H519)-SUM($I$23:I518),IF(AND('депозитный калькулятор'!$G$10="ежемесячное (по дням открытия вклада)",F519='депозитный калькулятор'!$D$8,DAY('депозитный калькулятор'!$D$7)&lt;&gt;DAY(F519)),IF('депозитный калькулятор'!$F$1=1,$H$24,SUM($H$23:H519)-SUM($I$23:I518)),IF(AND('депозитный калькулятор'!$G$10="ежемесячное (по дням открытия вклада)",DAY('депозитный калькулятор'!$D$7)=DAY(F519)),SUM($H$23:H519)-SUM($I$23:I518),IF(AND('депозитный калькулятор'!$G$10="ежемесячное, на минимальную сумму зафиксированную в течение месяца",F519='депозитный калькулятор'!$D$8,EOMONTH(F519,0)&lt;&gt;F519),IF('депозитный калькулятор'!$F$1=1,$H$24,IF(AND(OR('депозитный калькулятор'!$G$7="30/365",'депозитный калькулятор'!$G$7="30/360"),DAY(F519)=31),0,MIN(OFFSET(H519,-E519+1,0):H519)*(E519+SUMIF(OFFSET(A519,-E519+1,0):A519,"=2",OFFSET(A519,-E519+1,0):A519)))),IF(AND('депозитный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калькулятор'!$G$7="30/360"),DAY(EOMONTH(F519,0))=31),EOMONTH(F519,0)-1=F519,EOMONTH(F519,0)=F519)),IF(IF(AND(OR('депозитный калькулятор'!$G$7="30/365",'депозитный калькулятор'!$G$7="30/360"),DAY(EOMONTH($F$23,0))=31),F519=EOMONTH($F$23,0)-1,F519=EOMONTH($F$23,0)),MIN(OFFSET(H519,-(DAY(F519)-DAY($F$23)),0):H519)*E519,MIN(OFFSET(H519,-(DAY(F519)-1),0):H519)*IF(AND(OR('депозитный калькулятор'!$G$7="30/365",'депозитный калькулятор'!$G$7="30/360"),DAY(F519)&lt;30),30,DAY(F519))),IF(AND('депозитный калькулятор'!$G$10="ежемесячное, на средний остаток в течение месяца, при условии что остаток больше чем ограничение",F519='депозитный калькулятор'!$D$8,EOMONTH(F519,0)&lt;&gt;F519),IF('депозитный калькулятор'!$F$1=1,$H$24,SUM(OFFSET(Q519,-E519+1,0):Q519)),IF(AND('депозитный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калькулятор'!$G$7="30/360"),DAY(EOMONTH(F519,0))=31),EOMONTH(F519,0)-1=F519,EOMONTH(F519,0)=F519)),IF(IF(AND(OR('депозитный калькулятор'!$G$7="30/365",'депозитный калькулятор'!$G$7="30/360"),DAY(EOMONTH($F$24,0))=31),F519=EOMONTH($F$24,0)-1,F519=EOMONTH($F$24,0)),SUM(OFFSET(Q519,-E519+1,0):Q519),SUM(OFFSET(Q519,-E519+1,0):Q519)),IF('депозитный калькулятор'!$G$10="ежеквартальное",IF(F519&gt;'депозитный калькулятор'!$D$8," ",IF(AND(EOMONTH(F519,0)=F519,OR(MONTH(F519)=3,MONTH(F519)=6,MONTH(F519)=9,MONTH(F519)=12)),IF(EDATE(F519,-3)&lt;'депозитный калькулятор'!$D$7,SUM($H$23:H519),IF(MOD(YEAR(F519),4)=0,IF(AND(EOMONTH(F519,0)=F519,OR(MONTH(F519)=3,MONTH(F519)=6)),SUM(OFFSET(H519,-90,0):H519),IF(AND(EOMONTH(F519,0)=F519,OR(MONTH(F519)=9,MONTH(F519)=12)),SUM(OFFSET(H519,-91,0):H519))),IF(AND(EOMONTH(F519,0)=F519,MONTH(F519)=3),SUM(OFFSET(H519,-89,0):H519),IF(AND(EOMONTH(F519,0)=F519,MONTH(F519)=6),SUM(OFFSET(H519,-90,0):H519),IF(AND(EOMONTH(F519,0)=F519,OR(MONTH(F519)=9,MONTH(F519)=12)),SUM(OFFSET(H519,-91,0):H519)))))),IF(F519='депозитный калькулятор'!$D$8,SUM($H$23:H519)-SUM($I$23:I518),0))),IF('депозитный калькулятор'!$G$10="ежегодное",IF(F519&gt;'депозитный калькулятор'!$D$8," ",IF(F519='депозитный калькулятор'!$D$8,SUM($H$23:H519)-SUM($I$23:I518),IF(AND(EOMONTH(F519,0)=F519,MONTH(F519)=12),IF(MOD(YEAR(F518),4)=0,IF(F519-'депозитный калькулятор'!$D$7&lt;366,SUM($H$23:H519),SUM(OFFSET(H519,-365,0):H519)),IF(F519-'депозитный калькулятор'!$D$7&lt;365,SUM($H$23:H519),SUM(OFFSET(H519,-364,0):H519))),0))),IF(AND('депозитный калькулятор'!$G$10="в конце срока",'депозитный калькулятор'!$D$8=F519),SUM($H$23:H519),0))))))))))))))))))</f>
        <v xml:space="preserve"> </v>
      </c>
      <c r="J519" s="59" t="str">
        <f>IF(F519&gt;'депозитный калькулятор'!$D$8," ",IF('депозитный калькулятор'!$G$16="нет",0,IF(AND('депозитный калькулятор'!$G$17="разовая (в конце срока)",F519='депозитный калькулятор'!$D$8),'депозитный калькулятор'!$G$18,IF(AND('депозитный калькулятор'!$G$17="ежемесячная",EOMONTH(F518,0)=F518),'депозитный калькулятор'!$G$18,IF(AND('депозитный калькулятор'!$G$17="ежегодная",DAY(F518)=31,MONTH(F518)=12),'депозитный калькулятор'!$G$18,IF(AND('депозитный калькулятор'!$G$17="ежемесячная в зависимости от остатка",EOMONTH(F518,0)=F518,P518&gt;0),'депозитный калькулятор'!$G$18,IF(AND('депозитный калькулятор'!$G$17="ежегодная в зависимости от остатка",DAY(F518)=31,MONTH(F518)=12,P518&gt;0),'депозитный калькулятор'!$G$18,0)))))))</f>
        <v xml:space="preserve"> </v>
      </c>
      <c r="K519" s="135" t="str">
        <f>IF($F519=" "," ",IFERROR(VLOOKUP($F519,'депозитный калькулятор'!$B$26:$F$70,2,0),0))</f>
        <v xml:space="preserve"> </v>
      </c>
      <c r="L519" s="135" t="str">
        <f>IF($F519=" "," ",IFERROR(VLOOKUP($F519,'депозитный калькулятор'!$B$26:$F$70,3,0),0))</f>
        <v xml:space="preserve"> </v>
      </c>
      <c r="M519" s="135" t="str">
        <f>IF($F519=" "," ",IFERROR(VLOOKUP($F519,'депозитный калькулятор'!$B$26:$F$70,4,0),0))</f>
        <v xml:space="preserve"> </v>
      </c>
      <c r="N519" s="135" t="str">
        <f>IF($F519=" "," ",IFERROR(VLOOKUP($F519,'депозитный калькулятор'!$B$26:$F$70,5,0),0))</f>
        <v xml:space="preserve"> </v>
      </c>
      <c r="O519" s="146" t="str">
        <f>IF(F519&gt;'депозитный калькулятор'!$D$8," ",IF(F519='депозитный калькулятор'!$D$8,IF(AND($F$24='депозитный калькулятор'!$D$8,'депозитный калькулятор'!$G$13="нет"),-G519-IF(I519=" ",0,I519)-IF(AND(OR('депозитный калькулятор'!$G$7="30/365",'депозитный калькулятор'!$G$7="30/360"),'депозитный калькулятор'!$G$10="в начале срока"),I518,0)-L519+M519-N519,-G519-IF(I519=" ",0,I519)-L519+M519-N519),IF('депозитный калькулятор'!$G$13="есть",M519-N519+IF('депозитный калькулятор'!$G$14="есть",0,-L519),-IF(I519=" ",0,I519)-IF(AND(OR('депозитный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срока"),I518,0)+M519-N519+IF('депозитный калькулятор'!$G$14="есть",0,-L519))))</f>
        <v xml:space="preserve"> </v>
      </c>
      <c r="P519" s="147" t="str">
        <f>IF(F519&gt;'депозитный калькулятор'!$D$8," ",IF(EOMONTH(F518,0)=F518,0,IF(G519&gt;='депозитный калькулятор'!$G$19,P518,P518+1)))</f>
        <v xml:space="preserve"> </v>
      </c>
      <c r="Q519" s="138" t="str">
        <f>IF(F519=" "," ",IF(AND(OR('депозитный калькулятор'!$G$7="30/365",'депозитный калькулятор'!$G$7="30/360"),AND(MONTH(F519)=2,EOMONTH(F519,0)=F519)),IF(DAY(F519)=28,3,2),1)*IF(G519&gt;='депозитный калькулятор'!$G$11,IF(AND('депозитный калькулятор'!$G$7="факт/факт",MOD(YEAR(F519),4)=0),G519*'депозитный калькулятор'!$D$11/366,G519*'депозитный калькулятор'!$G$8),0))</f>
        <v xml:space="preserve"> </v>
      </c>
      <c r="R519" s="158"/>
      <c r="S519" s="62" t="str">
        <f t="shared" ca="1" si="37"/>
        <v xml:space="preserve"> </v>
      </c>
      <c r="T519" s="149" t="str">
        <f ca="1">IF(S519=" "," ",IF('депозитный калькулятор'!$G$7="30/360",DAYS360(U518,IF(DAY(U519)=31,U519-1,U519))+IF(AND(MONTH(U519)=2,U519=EOMONTH(U519,0)),30-DAY(EOMONTH(U519,0)))+T518,VLOOKUP(S519,$C$22:$F$1023,2,0)))</f>
        <v xml:space="preserve"> </v>
      </c>
      <c r="U519" s="64" t="str">
        <f t="shared" ca="1" si="35"/>
        <v xml:space="preserve"> </v>
      </c>
      <c r="V519" s="150" t="str">
        <f t="shared" ca="1" si="38"/>
        <v xml:space="preserve"> </v>
      </c>
      <c r="W519" s="62" t="str">
        <f t="shared" ca="1" si="39"/>
        <v xml:space="preserve"> </v>
      </c>
      <c r="X519" s="141" t="str">
        <f ca="1">IF(S519=" "," ",IFERROR(VLOOKUP(U519,$F$23:$N$1023,7)+VLOOKUP(U519,$F$23:$N$1023,9)+IF(AND('депозитный калькулятор'!$G$13="нет",U519&lt;&gt;'депозитный калькулятор'!$D$8),VLOOKUP(U519,$F$23:$N$1023,4),0),0)+IF(U519='депозитный калькулятор'!$D$8,VLOOKUP(U519,$F$23:$N$1023,2)+VLOOKUP(U519,$F$23:$N$1023,4),0))</f>
        <v xml:space="preserve"> </v>
      </c>
      <c r="Y519" s="142" t="str">
        <f ca="1">IF(S519=" "," ",W519/(1+'депозитный калькулятор'!$K$8)^(T519/IF('депозитный калькулятор'!$G$7="30/360",360,365)))</f>
        <v xml:space="preserve"> </v>
      </c>
      <c r="Z519" s="142" t="str">
        <f ca="1">IF(S519=" "," ",X519/(1+'депозитный калькулятор'!$K$8)^(T519/IF('депозитный калькулятор'!$G$7="30/360",360,365)))</f>
        <v xml:space="preserve"> </v>
      </c>
      <c r="AA519" s="151"/>
      <c r="AB519" s="151"/>
      <c r="AC519" s="155"/>
      <c r="AD519" s="155"/>
    </row>
    <row r="520" spans="1:30" s="2" customFormat="1" ht="15.5" x14ac:dyDescent="0.35">
      <c r="A520" s="41" t="str">
        <f>IF(F520=" "," ",IF(OR('депозитный калькулятор'!$G$7="30/365",'депозитный калькулятор'!$G$7="30/360"),IF(AND(MONTH(F520)=2,DAY(F520)=DAY(EOMONTH(F520,0))),30-DAY(EOMONTH(F520,0)),IF(DAY(F520)=31,1," "))," "))</f>
        <v xml:space="preserve"> </v>
      </c>
      <c r="B520" s="130" t="str">
        <f t="shared" si="36"/>
        <v xml:space="preserve"> </v>
      </c>
      <c r="C520" s="130" t="str">
        <f>IF(OR(B520=0,B520=" ")," ",SUM($B$23:B520))</f>
        <v xml:space="preserve"> </v>
      </c>
      <c r="D520" s="62" t="str">
        <f>IF(D519=" "," ",IF(OR(F519='депозитный калькулятор'!$D$8,F519=" ")," ",D519+1))</f>
        <v xml:space="preserve"> </v>
      </c>
      <c r="E520" s="130" t="str">
        <f>IF(OR(F519='депозитный калькулятор'!$D$8,F519=" ")," ",IF(EOMONTH(F519,0)=F519,1,E519+1))</f>
        <v xml:space="preserve"> </v>
      </c>
      <c r="F520" s="64" t="str">
        <f>IF(F519=" "," ",IF(F519='депозитный калькулятор'!$D$8," ",F519+1))</f>
        <v xml:space="preserve"> </v>
      </c>
      <c r="G520" s="145" t="str">
        <f xml:space="preserve"> IF(F520&gt;'депозитный калькулятор'!$D$8," ",IF('депозитный калькулятор'!$G$13="есть",IF('депозитный калькулятор'!$G$14="есть",G519+IF(I519=" ",0,I519)-J520-K520+L520+M520-N520,G519+IF(I519=" ",0,I519)-J520-K520+M520-N520),IF('депозитный калькулятор'!$G$14="есть",G519-J520-K520+L520+M520-N520,G519-J520-K520+M520-N520)))</f>
        <v xml:space="preserve"> </v>
      </c>
      <c r="H520" s="133" t="str">
        <f>IF(F520&gt;'депозитный калькулятор'!$D$8," ",IF(AND(OR('депозитный калькулятор'!$G$7="30/365",'депозитный калькулятор'!$G$7="30/360"),AND(MONTH(F520)=2,EOMONTH(F520,0)=F520)),IF(DAY(F520)=28,3*G520*'депозитный калькулятор'!$G$8,2*G520*'депозитный калькулятор'!$G$8),IF(AND(OR('депозитный калькулятор'!$G$7="30/365",'депозитный калькулятор'!$G$7="30/360"),DAY(F520)=31)," ",IF(AND('депозитный калькулятор'!$G$7="факт/факт",MOD(YEAR(F520),4)=0),G520*'депозитный калькулятор'!$D$11/366,G520*'депозитный калькулятор'!$G$8))))</f>
        <v xml:space="preserve"> </v>
      </c>
      <c r="I520" s="134" t="str">
        <f ca="1">IF(F520=" "," ",IF('депозитный калькулятор'!$G$10="ежедневное",H520,IF(AND('депозитный калькулятор'!$G$10="еженедельное",WEEKDAY(F520,2)=7),SUM(OFFSET(H520,-6,0):H520),IF(AND('депозитный калькулятор'!$G$10="еженедельное",F520='депозитный калькулятор'!$D$8),SUM($H$23:H520)-SUM($I$23:I519),IF(AND('депозитный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недели",WEEKDAY(F520,2)=7),MIN(OFFSET(H520,-6,0):H520)*(COUNTIF(OFFSET(H520,-6,0):H520,"&gt;0")+SUMIF(OFFSET(A520,-WEEKDAY(F520,2),0):A520,"=2",OFFSET(A520,-WEEKDAY(F520,2),0):A520)),IF(AND('депозитный калькулятор'!$G$10="еженедельное, на минимальную сумму зафиксированную в течение недели",F520='депозитный калькулятор'!$D$8,WEEKDAY(F520,2)&lt;&gt;7),MIN(OFFSET(H520,-WEEKDAY(F520,2),0):H520)*(COUNTIF(OFFSET(H520,-WEEKDAY(F520,2)+1,0):H520,"&gt;0")+SUM(OFFSET(A520,-WEEKDAY(F520,2),0):A520)),IF(AND('депозитный калькулятор'!$G$10="ежемесячное (в конце месяца)",F520='депозитный калькулятор'!$D$8,EOMONTH(F520,0)&lt;&gt;F520),IF('депозитный калькулятор'!$F$1=1,$H$24,SUM($H$23:H520)-SUM($I$23:I519)),IF(AND('депозитный калькулятор'!$G$10="ежемесячное (в конце месяца)",EOMONTH(F520,0)=F520),SUM($H$23:H520)-SUM($I$23:I519),IF(AND('депозитный калькулятор'!$G$10="ежемесячное (по дням открытия вклада)",F520='депозитный калькулятор'!$D$8,DAY('депозитный калькулятор'!$D$7)&lt;&gt;DAY(F520)),IF('депозитный калькулятор'!$F$1=1,$H$24,SUM($H$23:H520)-SUM($I$23:I519)),IF(AND('депозитный калькулятор'!$G$10="ежемесячное (по дням открытия вклада)",DAY('депозитный калькулятор'!$D$7)=DAY(F520)),SUM($H$23:H520)-SUM($I$23:I519),IF(AND('депозитный калькулятор'!$G$10="ежемесячное, на минимальную сумму зафиксированную в течение месяца",F520='депозитный калькулятор'!$D$8,EOMONTH(F520,0)&lt;&gt;F520),IF('депозитный калькулятор'!$F$1=1,$H$24,IF(AND(OR('депозитный калькулятор'!$G$7="30/365",'депозитный калькулятор'!$G$7="30/360"),DAY(F520)=31),0,MIN(OFFSET(H520,-E520+1,0):H520)*(E520+SUMIF(OFFSET(A520,-E520+1,0):A520,"=2",OFFSET(A520,-E520+1,0):A520)))),IF(AND('депозитный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калькулятор'!$G$7="30/360"),DAY(EOMONTH(F520,0))=31),EOMONTH(F520,0)-1=F520,EOMONTH(F520,0)=F520)),IF(IF(AND(OR('депозитный калькулятор'!$G$7="30/365",'депозитный калькулятор'!$G$7="30/360"),DAY(EOMONTH($F$23,0))=31),F520=EOMONTH($F$23,0)-1,F520=EOMONTH($F$23,0)),MIN(OFFSET(H520,-(DAY(F520)-DAY($F$23)),0):H520)*E520,MIN(OFFSET(H520,-(DAY(F520)-1),0):H520)*IF(AND(OR('депозитный калькулятор'!$G$7="30/365",'депозитный калькулятор'!$G$7="30/360"),DAY(F520)&lt;30),30,DAY(F520))),IF(AND('депозитный калькулятор'!$G$10="ежемесячное, на средний остаток в течение месяца, при условии что остаток больше чем ограничение",F520='депозитный калькулятор'!$D$8,EOMONTH(F520,0)&lt;&gt;F520),IF('депозитный калькулятор'!$F$1=1,$H$24,SUM(OFFSET(Q520,-E520+1,0):Q520)),IF(AND('депозитный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калькулятор'!$G$7="30/360"),DAY(EOMONTH(F520,0))=31),EOMONTH(F520,0)-1=F520,EOMONTH(F520,0)=F520)),IF(IF(AND(OR('депозитный калькулятор'!$G$7="30/365",'депозитный калькулятор'!$G$7="30/360"),DAY(EOMONTH($F$24,0))=31),F520=EOMONTH($F$24,0)-1,F520=EOMONTH($F$24,0)),SUM(OFFSET(Q520,-E520+1,0):Q520),SUM(OFFSET(Q520,-E520+1,0):Q520)),IF('депозитный калькулятор'!$G$10="ежеквартальное",IF(F520&gt;'депозитный калькулятор'!$D$8," ",IF(AND(EOMONTH(F520,0)=F520,OR(MONTH(F520)=3,MONTH(F520)=6,MONTH(F520)=9,MONTH(F520)=12)),IF(EDATE(F520,-3)&lt;'депозитный калькулятор'!$D$7,SUM($H$23:H520),IF(MOD(YEAR(F520),4)=0,IF(AND(EOMONTH(F520,0)=F520,OR(MONTH(F520)=3,MONTH(F520)=6)),SUM(OFFSET(H520,-90,0):H520),IF(AND(EOMONTH(F520,0)=F520,OR(MONTH(F520)=9,MONTH(F520)=12)),SUM(OFFSET(H520,-91,0):H520))),IF(AND(EOMONTH(F520,0)=F520,MONTH(F520)=3),SUM(OFFSET(H520,-89,0):H520),IF(AND(EOMONTH(F520,0)=F520,MONTH(F520)=6),SUM(OFFSET(H520,-90,0):H520),IF(AND(EOMONTH(F520,0)=F520,OR(MONTH(F520)=9,MONTH(F520)=12)),SUM(OFFSET(H520,-91,0):H520)))))),IF(F520='депозитный калькулятор'!$D$8,SUM($H$23:H520)-SUM($I$23:I519),0))),IF('депозитный калькулятор'!$G$10="ежегодное",IF(F520&gt;'депозитный калькулятор'!$D$8," ",IF(F520='депозитный калькулятор'!$D$8,SUM($H$23:H520)-SUM($I$23:I519),IF(AND(EOMONTH(F520,0)=F520,MONTH(F520)=12),IF(MOD(YEAR(F519),4)=0,IF(F520-'депозитный калькулятор'!$D$7&lt;366,SUM($H$23:H520),SUM(OFFSET(H520,-365,0):H520)),IF(F520-'депозитный калькулятор'!$D$7&lt;365,SUM($H$23:H520),SUM(OFFSET(H520,-364,0):H520))),0))),IF(AND('депозитный калькулятор'!$G$10="в конце срока",'депозитный калькулятор'!$D$8=F520),SUM($H$23:H520),0))))))))))))))))))</f>
        <v xml:space="preserve"> </v>
      </c>
      <c r="J520" s="59" t="str">
        <f>IF(F520&gt;'депозитный калькулятор'!$D$8," ",IF('депозитный калькулятор'!$G$16="нет",0,IF(AND('депозитный калькулятор'!$G$17="разовая (в конце срока)",F520='депозитный калькулятор'!$D$8),'депозитный калькулятор'!$G$18,IF(AND('депозитный калькулятор'!$G$17="ежемесячная",EOMONTH(F519,0)=F519),'депозитный калькулятор'!$G$18,IF(AND('депозитный калькулятор'!$G$17="ежегодная",DAY(F519)=31,MONTH(F519)=12),'депозитный калькулятор'!$G$18,IF(AND('депозитный калькулятор'!$G$17="ежемесячная в зависимости от остатка",EOMONTH(F519,0)=F519,P519&gt;0),'депозитный калькулятор'!$G$18,IF(AND('депозитный калькулятор'!$G$17="ежегодная в зависимости от остатка",DAY(F519)=31,MONTH(F519)=12,P519&gt;0),'депозитный калькулятор'!$G$18,0)))))))</f>
        <v xml:space="preserve"> </v>
      </c>
      <c r="K520" s="135" t="str">
        <f>IF($F520=" "," ",IFERROR(VLOOKUP($F520,'депозитный калькулятор'!$B$26:$F$70,2,0),0))</f>
        <v xml:space="preserve"> </v>
      </c>
      <c r="L520" s="135" t="str">
        <f>IF($F520=" "," ",IFERROR(VLOOKUP($F520,'депозитный калькулятор'!$B$26:$F$70,3,0),0))</f>
        <v xml:space="preserve"> </v>
      </c>
      <c r="M520" s="135" t="str">
        <f>IF($F520=" "," ",IFERROR(VLOOKUP($F520,'депозитный калькулятор'!$B$26:$F$70,4,0),0))</f>
        <v xml:space="preserve"> </v>
      </c>
      <c r="N520" s="135" t="str">
        <f>IF($F520=" "," ",IFERROR(VLOOKUP($F520,'депозитный калькулятор'!$B$26:$F$70,5,0),0))</f>
        <v xml:space="preserve"> </v>
      </c>
      <c r="O520" s="146" t="str">
        <f>IF(F520&gt;'депозитный калькулятор'!$D$8," ",IF(F520='депозитный калькулятор'!$D$8,IF(AND($F$24='депозитный калькулятор'!$D$8,'депозитный калькулятор'!$G$13="нет"),-G520-IF(I520=" ",0,I520)-IF(AND(OR('депозитный калькулятор'!$G$7="30/365",'депозитный калькулятор'!$G$7="30/360"),'депозитный калькулятор'!$G$10="в начале срока"),I519,0)-L520+M520-N520,-G520-IF(I520=" ",0,I520)-L520+M520-N520),IF('депозитный калькулятор'!$G$13="есть",M520-N520+IF('депозитный калькулятор'!$G$14="есть",0,-L520),-IF(I520=" ",0,I520)-IF(AND(OR('депозитный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срока"),I519,0)+M520-N520+IF('депозитный калькулятор'!$G$14="есть",0,-L520))))</f>
        <v xml:space="preserve"> </v>
      </c>
      <c r="P520" s="147" t="str">
        <f>IF(F520&gt;'депозитный калькулятор'!$D$8," ",IF(EOMONTH(F519,0)=F519,0,IF(G520&gt;='депозитный калькулятор'!$G$19,P519,P519+1)))</f>
        <v xml:space="preserve"> </v>
      </c>
      <c r="Q520" s="138" t="str">
        <f>IF(F520=" "," ",IF(AND(OR('депозитный калькулятор'!$G$7="30/365",'депозитный калькулятор'!$G$7="30/360"),AND(MONTH(F520)=2,EOMONTH(F520,0)=F520)),IF(DAY(F520)=28,3,2),1)*IF(G520&gt;='депозитный калькулятор'!$G$11,IF(AND('депозитный калькулятор'!$G$7="факт/факт",MOD(YEAR(F520),4)=0),G520*'депозитный калькулятор'!$D$11/366,G520*'депозитный калькулятор'!$G$8),0))</f>
        <v xml:space="preserve"> </v>
      </c>
      <c r="R520" s="158"/>
      <c r="S520" s="62" t="str">
        <f t="shared" ca="1" si="37"/>
        <v xml:space="preserve"> </v>
      </c>
      <c r="T520" s="149" t="str">
        <f ca="1">IF(S520=" "," ",IF('депозитный калькулятор'!$G$7="30/360",DAYS360(U519,IF(DAY(U520)=31,U520-1,U520))+IF(AND(MONTH(U520)=2,U520=EOMONTH(U520,0)),30-DAY(EOMONTH(U520,0)))+T519,VLOOKUP(S520,$C$22:$F$1023,2,0)))</f>
        <v xml:space="preserve"> </v>
      </c>
      <c r="U520" s="64" t="str">
        <f t="shared" ca="1" si="35"/>
        <v xml:space="preserve"> </v>
      </c>
      <c r="V520" s="150" t="str">
        <f t="shared" ca="1" si="38"/>
        <v xml:space="preserve"> </v>
      </c>
      <c r="W520" s="62" t="str">
        <f t="shared" ca="1" si="39"/>
        <v xml:space="preserve"> </v>
      </c>
      <c r="X520" s="141" t="str">
        <f ca="1">IF(S520=" "," ",IFERROR(VLOOKUP(U520,$F$23:$N$1023,7)+VLOOKUP(U520,$F$23:$N$1023,9)+IF(AND('депозитный калькулятор'!$G$13="нет",U520&lt;&gt;'депозитный калькулятор'!$D$8),VLOOKUP(U520,$F$23:$N$1023,4),0),0)+IF(U520='депозитный калькулятор'!$D$8,VLOOKUP(U520,$F$23:$N$1023,2)+VLOOKUP(U520,$F$23:$N$1023,4),0))</f>
        <v xml:space="preserve"> </v>
      </c>
      <c r="Y520" s="142" t="str">
        <f ca="1">IF(S520=" "," ",W520/(1+'депозитный калькулятор'!$K$8)^(T520/IF('депозитный калькулятор'!$G$7="30/360",360,365)))</f>
        <v xml:space="preserve"> </v>
      </c>
      <c r="Z520" s="142" t="str">
        <f ca="1">IF(S520=" "," ",X520/(1+'депозитный калькулятор'!$K$8)^(T520/IF('депозитный калькулятор'!$G$7="30/360",360,365)))</f>
        <v xml:space="preserve"> </v>
      </c>
      <c r="AA520" s="151"/>
      <c r="AB520" s="151"/>
      <c r="AC520" s="155"/>
      <c r="AD520" s="155"/>
    </row>
    <row r="521" spans="1:30" s="2" customFormat="1" ht="15.5" x14ac:dyDescent="0.35">
      <c r="A521" s="41" t="str">
        <f>IF(F521=" "," ",IF(OR('депозитный калькулятор'!$G$7="30/365",'депозитный калькулятор'!$G$7="30/360"),IF(AND(MONTH(F521)=2,DAY(F521)=DAY(EOMONTH(F521,0))),30-DAY(EOMONTH(F521,0)),IF(DAY(F521)=31,1," "))," "))</f>
        <v xml:space="preserve"> </v>
      </c>
      <c r="B521" s="130" t="str">
        <f t="shared" si="36"/>
        <v xml:space="preserve"> </v>
      </c>
      <c r="C521" s="130" t="str">
        <f>IF(OR(B521=0,B521=" ")," ",SUM($B$23:B521))</f>
        <v xml:space="preserve"> </v>
      </c>
      <c r="D521" s="62" t="str">
        <f>IF(D520=" "," ",IF(OR(F520='депозитный калькулятор'!$D$8,F520=" ")," ",D520+1))</f>
        <v xml:space="preserve"> </v>
      </c>
      <c r="E521" s="130" t="str">
        <f>IF(OR(F520='депозитный калькулятор'!$D$8,F520=" ")," ",IF(EOMONTH(F520,0)=F520,1,E520+1))</f>
        <v xml:space="preserve"> </v>
      </c>
      <c r="F521" s="64" t="str">
        <f>IF(F520=" "," ",IF(F520='депозитный калькулятор'!$D$8," ",F520+1))</f>
        <v xml:space="preserve"> </v>
      </c>
      <c r="G521" s="145" t="str">
        <f xml:space="preserve"> IF(F521&gt;'депозитный калькулятор'!$D$8," ",IF('депозитный калькулятор'!$G$13="есть",IF('депозитный калькулятор'!$G$14="есть",G520+IF(I520=" ",0,I520)-J521-K521+L521+M521-N521,G520+IF(I520=" ",0,I520)-J521-K521+M521-N521),IF('депозитный калькулятор'!$G$14="есть",G520-J521-K521+L521+M521-N521,G520-J521-K521+M521-N521)))</f>
        <v xml:space="preserve"> </v>
      </c>
      <c r="H521" s="133" t="str">
        <f>IF(F521&gt;'депозитный калькулятор'!$D$8," ",IF(AND(OR('депозитный калькулятор'!$G$7="30/365",'депозитный калькулятор'!$G$7="30/360"),AND(MONTH(F521)=2,EOMONTH(F521,0)=F521)),IF(DAY(F521)=28,3*G521*'депозитный калькулятор'!$G$8,2*G521*'депозитный калькулятор'!$G$8),IF(AND(OR('депозитный калькулятор'!$G$7="30/365",'депозитный калькулятор'!$G$7="30/360"),DAY(F521)=31)," ",IF(AND('депозитный калькулятор'!$G$7="факт/факт",MOD(YEAR(F521),4)=0),G521*'депозитный калькулятор'!$D$11/366,G521*'депозитный калькулятор'!$G$8))))</f>
        <v xml:space="preserve"> </v>
      </c>
      <c r="I521" s="134" t="str">
        <f ca="1">IF(F521=" "," ",IF('депозитный калькулятор'!$G$10="ежедневное",H521,IF(AND('депозитный калькулятор'!$G$10="еженедельное",WEEKDAY(F521,2)=7),SUM(OFFSET(H521,-6,0):H521),IF(AND('депозитный калькулятор'!$G$10="еженедельное",F521='депозитный калькулятор'!$D$8),SUM($H$23:H521)-SUM($I$23:I520),IF(AND('депозитный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недели",WEEKDAY(F521,2)=7),MIN(OFFSET(H521,-6,0):H521)*(COUNTIF(OFFSET(H521,-6,0):H521,"&gt;0")+SUMIF(OFFSET(A521,-WEEKDAY(F521,2),0):A521,"=2",OFFSET(A521,-WEEKDAY(F521,2),0):A521)),IF(AND('депозитный калькулятор'!$G$10="еженедельное, на минимальную сумму зафиксированную в течение недели",F521='депозитный калькулятор'!$D$8,WEEKDAY(F521,2)&lt;&gt;7),MIN(OFFSET(H521,-WEEKDAY(F521,2),0):H521)*(COUNTIF(OFFSET(H521,-WEEKDAY(F521,2)+1,0):H521,"&gt;0")+SUM(OFFSET(A521,-WEEKDAY(F521,2),0):A521)),IF(AND('депозитный калькулятор'!$G$10="ежемесячное (в конце месяца)",F521='депозитный калькулятор'!$D$8,EOMONTH(F521,0)&lt;&gt;F521),IF('депозитный калькулятор'!$F$1=1,$H$24,SUM($H$23:H521)-SUM($I$23:I520)),IF(AND('депозитный калькулятор'!$G$10="ежемесячное (в конце месяца)",EOMONTH(F521,0)=F521),SUM($H$23:H521)-SUM($I$23:I520),IF(AND('депозитный калькулятор'!$G$10="ежемесячное (по дням открытия вклада)",F521='депозитный калькулятор'!$D$8,DAY('депозитный калькулятор'!$D$7)&lt;&gt;DAY(F521)),IF('депозитный калькулятор'!$F$1=1,$H$24,SUM($H$23:H521)-SUM($I$23:I520)),IF(AND('депозитный калькулятор'!$G$10="ежемесячное (по дням открытия вклада)",DAY('депозитный калькулятор'!$D$7)=DAY(F521)),SUM($H$23:H521)-SUM($I$23:I520),IF(AND('депозитный калькулятор'!$G$10="ежемесячное, на минимальную сумму зафиксированную в течение месяца",F521='депозитный калькулятор'!$D$8,EOMONTH(F521,0)&lt;&gt;F521),IF('депозитный калькулятор'!$F$1=1,$H$24,IF(AND(OR('депозитный калькулятор'!$G$7="30/365",'депозитный калькулятор'!$G$7="30/360"),DAY(F521)=31),0,MIN(OFFSET(H521,-E521+1,0):H521)*(E521+SUMIF(OFFSET(A521,-E521+1,0):A521,"=2",OFFSET(A521,-E521+1,0):A521)))),IF(AND('депозитный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калькулятор'!$G$7="30/360"),DAY(EOMONTH(F521,0))=31),EOMONTH(F521,0)-1=F521,EOMONTH(F521,0)=F521)),IF(IF(AND(OR('депозитный калькулятор'!$G$7="30/365",'депозитный калькулятор'!$G$7="30/360"),DAY(EOMONTH($F$23,0))=31),F521=EOMONTH($F$23,0)-1,F521=EOMONTH($F$23,0)),MIN(OFFSET(H521,-(DAY(F521)-DAY($F$23)),0):H521)*E521,MIN(OFFSET(H521,-(DAY(F521)-1),0):H521)*IF(AND(OR('депозитный калькулятор'!$G$7="30/365",'депозитный калькулятор'!$G$7="30/360"),DAY(F521)&lt;30),30,DAY(F521))),IF(AND('депозитный калькулятор'!$G$10="ежемесячное, на средний остаток в течение месяца, при условии что остаток больше чем ограничение",F521='депозитный калькулятор'!$D$8,EOMONTH(F521,0)&lt;&gt;F521),IF('депозитный калькулятор'!$F$1=1,$H$24,SUM(OFFSET(Q521,-E521+1,0):Q521)),IF(AND('депозитный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калькулятор'!$G$7="30/360"),DAY(EOMONTH(F521,0))=31),EOMONTH(F521,0)-1=F521,EOMONTH(F521,0)=F521)),IF(IF(AND(OR('депозитный калькулятор'!$G$7="30/365",'депозитный калькулятор'!$G$7="30/360"),DAY(EOMONTH($F$24,0))=31),F521=EOMONTH($F$24,0)-1,F521=EOMONTH($F$24,0)),SUM(OFFSET(Q521,-E521+1,0):Q521),SUM(OFFSET(Q521,-E521+1,0):Q521)),IF('депозитный калькулятор'!$G$10="ежеквартальное",IF(F521&gt;'депозитный калькулятор'!$D$8," ",IF(AND(EOMONTH(F521,0)=F521,OR(MONTH(F521)=3,MONTH(F521)=6,MONTH(F521)=9,MONTH(F521)=12)),IF(EDATE(F521,-3)&lt;'депозитный калькулятор'!$D$7,SUM($H$23:H521),IF(MOD(YEAR(F521),4)=0,IF(AND(EOMONTH(F521,0)=F521,OR(MONTH(F521)=3,MONTH(F521)=6)),SUM(OFFSET(H521,-90,0):H521),IF(AND(EOMONTH(F521,0)=F521,OR(MONTH(F521)=9,MONTH(F521)=12)),SUM(OFFSET(H521,-91,0):H521))),IF(AND(EOMONTH(F521,0)=F521,MONTH(F521)=3),SUM(OFFSET(H521,-89,0):H521),IF(AND(EOMONTH(F521,0)=F521,MONTH(F521)=6),SUM(OFFSET(H521,-90,0):H521),IF(AND(EOMONTH(F521,0)=F521,OR(MONTH(F521)=9,MONTH(F521)=12)),SUM(OFFSET(H521,-91,0):H521)))))),IF(F521='депозитный калькулятор'!$D$8,SUM($H$23:H521)-SUM($I$23:I520),0))),IF('депозитный калькулятор'!$G$10="ежегодное",IF(F521&gt;'депозитный калькулятор'!$D$8," ",IF(F521='депозитный калькулятор'!$D$8,SUM($H$23:H521)-SUM($I$23:I520),IF(AND(EOMONTH(F521,0)=F521,MONTH(F521)=12),IF(MOD(YEAR(F520),4)=0,IF(F521-'депозитный калькулятор'!$D$7&lt;366,SUM($H$23:H521),SUM(OFFSET(H521,-365,0):H521)),IF(F521-'депозитный калькулятор'!$D$7&lt;365,SUM($H$23:H521),SUM(OFFSET(H521,-364,0):H521))),0))),IF(AND('депозитный калькулятор'!$G$10="в конце срока",'депозитный калькулятор'!$D$8=F521),SUM($H$23:H521),0))))))))))))))))))</f>
        <v xml:space="preserve"> </v>
      </c>
      <c r="J521" s="59" t="str">
        <f>IF(F521&gt;'депозитный калькулятор'!$D$8," ",IF('депозитный калькулятор'!$G$16="нет",0,IF(AND('депозитный калькулятор'!$G$17="разовая (в конце срока)",F521='депозитный калькулятор'!$D$8),'депозитный калькулятор'!$G$18,IF(AND('депозитный калькулятор'!$G$17="ежемесячная",EOMONTH(F520,0)=F520),'депозитный калькулятор'!$G$18,IF(AND('депозитный калькулятор'!$G$17="ежегодная",DAY(F520)=31,MONTH(F520)=12),'депозитный калькулятор'!$G$18,IF(AND('депозитный калькулятор'!$G$17="ежемесячная в зависимости от остатка",EOMONTH(F520,0)=F520,P520&gt;0),'депозитный калькулятор'!$G$18,IF(AND('депозитный калькулятор'!$G$17="ежегодная в зависимости от остатка",DAY(F520)=31,MONTH(F520)=12,P520&gt;0),'депозитный калькулятор'!$G$18,0)))))))</f>
        <v xml:space="preserve"> </v>
      </c>
      <c r="K521" s="135" t="str">
        <f>IF($F521=" "," ",IFERROR(VLOOKUP($F521,'депозитный калькулятор'!$B$26:$F$70,2,0),0))</f>
        <v xml:space="preserve"> </v>
      </c>
      <c r="L521" s="135" t="str">
        <f>IF($F521=" "," ",IFERROR(VLOOKUP($F521,'депозитный калькулятор'!$B$26:$F$70,3,0),0))</f>
        <v xml:space="preserve"> </v>
      </c>
      <c r="M521" s="135" t="str">
        <f>IF($F521=" "," ",IFERROR(VLOOKUP($F521,'депозитный калькулятор'!$B$26:$F$70,4,0),0))</f>
        <v xml:space="preserve"> </v>
      </c>
      <c r="N521" s="135" t="str">
        <f>IF($F521=" "," ",IFERROR(VLOOKUP($F521,'депозитный калькулятор'!$B$26:$F$70,5,0),0))</f>
        <v xml:space="preserve"> </v>
      </c>
      <c r="O521" s="146" t="str">
        <f>IF(F521&gt;'депозитный калькулятор'!$D$8," ",IF(F521='депозитный калькулятор'!$D$8,IF(AND($F$24='депозитный калькулятор'!$D$8,'депозитный калькулятор'!$G$13="нет"),-G521-IF(I521=" ",0,I521)-IF(AND(OR('депозитный калькулятор'!$G$7="30/365",'депозитный калькулятор'!$G$7="30/360"),'депозитный калькулятор'!$G$10="в начале срока"),I520,0)-L521+M521-N521,-G521-IF(I521=" ",0,I521)-L521+M521-N521),IF('депозитный калькулятор'!$G$13="есть",M521-N521+IF('депозитный калькулятор'!$G$14="есть",0,-L521),-IF(I521=" ",0,I521)-IF(AND(OR('депозитный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срока"),I520,0)+M521-N521+IF('депозитный калькулятор'!$G$14="есть",0,-L521))))</f>
        <v xml:space="preserve"> </v>
      </c>
      <c r="P521" s="147" t="str">
        <f>IF(F521&gt;'депозитный калькулятор'!$D$8," ",IF(EOMONTH(F520,0)=F520,0,IF(G521&gt;='депозитный калькулятор'!$G$19,P520,P520+1)))</f>
        <v xml:space="preserve"> </v>
      </c>
      <c r="Q521" s="138" t="str">
        <f>IF(F521=" "," ",IF(AND(OR('депозитный калькулятор'!$G$7="30/365",'депозитный калькулятор'!$G$7="30/360"),AND(MONTH(F521)=2,EOMONTH(F521,0)=F521)),IF(DAY(F521)=28,3,2),1)*IF(G521&gt;='депозитный калькулятор'!$G$11,IF(AND('депозитный калькулятор'!$G$7="факт/факт",MOD(YEAR(F521),4)=0),G521*'депозитный калькулятор'!$D$11/366,G521*'депозитный калькулятор'!$G$8),0))</f>
        <v xml:space="preserve"> </v>
      </c>
      <c r="R521" s="158"/>
      <c r="S521" s="62" t="str">
        <f t="shared" ca="1" si="37"/>
        <v xml:space="preserve"> </v>
      </c>
      <c r="T521" s="149" t="str">
        <f ca="1">IF(S521=" "," ",IF('депозитный калькулятор'!$G$7="30/360",DAYS360(U520,IF(DAY(U521)=31,U521-1,U521))+IF(AND(MONTH(U521)=2,U521=EOMONTH(U521,0)),30-DAY(EOMONTH(U521,0)))+T520,VLOOKUP(S521,$C$22:$F$1023,2,0)))</f>
        <v xml:space="preserve"> </v>
      </c>
      <c r="U521" s="64" t="str">
        <f t="shared" ca="1" si="35"/>
        <v xml:space="preserve"> </v>
      </c>
      <c r="V521" s="150" t="str">
        <f t="shared" ca="1" si="38"/>
        <v xml:space="preserve"> </v>
      </c>
      <c r="W521" s="62" t="str">
        <f t="shared" ca="1" si="39"/>
        <v xml:space="preserve"> </v>
      </c>
      <c r="X521" s="141" t="str">
        <f ca="1">IF(S521=" "," ",IFERROR(VLOOKUP(U521,$F$23:$N$1023,7)+VLOOKUP(U521,$F$23:$N$1023,9)+IF(AND('депозитный калькулятор'!$G$13="нет",U521&lt;&gt;'депозитный калькулятор'!$D$8),VLOOKUP(U521,$F$23:$N$1023,4),0),0)+IF(U521='депозитный калькулятор'!$D$8,VLOOKUP(U521,$F$23:$N$1023,2)+VLOOKUP(U521,$F$23:$N$1023,4),0))</f>
        <v xml:space="preserve"> </v>
      </c>
      <c r="Y521" s="142" t="str">
        <f ca="1">IF(S521=" "," ",W521/(1+'депозитный калькулятор'!$K$8)^(T521/IF('депозитный калькулятор'!$G$7="30/360",360,365)))</f>
        <v xml:space="preserve"> </v>
      </c>
      <c r="Z521" s="142" t="str">
        <f ca="1">IF(S521=" "," ",X521/(1+'депозитный калькулятор'!$K$8)^(T521/IF('депозитный калькулятор'!$G$7="30/360",360,365)))</f>
        <v xml:space="preserve"> </v>
      </c>
      <c r="AA521" s="151"/>
      <c r="AB521" s="151"/>
      <c r="AC521" s="155"/>
      <c r="AD521" s="155"/>
    </row>
    <row r="522" spans="1:30" s="2" customFormat="1" ht="15.5" x14ac:dyDescent="0.35">
      <c r="A522" s="41" t="str">
        <f>IF(F522=" "," ",IF(OR('депозитный калькулятор'!$G$7="30/365",'депозитный калькулятор'!$G$7="30/360"),IF(AND(MONTH(F522)=2,DAY(F522)=DAY(EOMONTH(F522,0))),30-DAY(EOMONTH(F522,0)),IF(DAY(F522)=31,1," "))," "))</f>
        <v xml:space="preserve"> </v>
      </c>
      <c r="B522" s="130" t="str">
        <f t="shared" si="36"/>
        <v xml:space="preserve"> </v>
      </c>
      <c r="C522" s="130" t="str">
        <f>IF(OR(B522=0,B522=" ")," ",SUM($B$23:B522))</f>
        <v xml:space="preserve"> </v>
      </c>
      <c r="D522" s="62" t="str">
        <f>IF(D521=" "," ",IF(OR(F521='депозитный калькулятор'!$D$8,F521=" ")," ",D521+1))</f>
        <v xml:space="preserve"> </v>
      </c>
      <c r="E522" s="130" t="str">
        <f>IF(OR(F521='депозитный калькулятор'!$D$8,F521=" ")," ",IF(EOMONTH(F521,0)=F521,1,E521+1))</f>
        <v xml:space="preserve"> </v>
      </c>
      <c r="F522" s="64" t="str">
        <f>IF(F521=" "," ",IF(F521='депозитный калькулятор'!$D$8," ",F521+1))</f>
        <v xml:space="preserve"> </v>
      </c>
      <c r="G522" s="145" t="str">
        <f xml:space="preserve"> IF(F522&gt;'депозитный калькулятор'!$D$8," ",IF('депозитный калькулятор'!$G$13="есть",IF('депозитный калькулятор'!$G$14="есть",G521+IF(I521=" ",0,I521)-J522-K522+L522+M522-N522,G521+IF(I521=" ",0,I521)-J522-K522+M522-N522),IF('депозитный калькулятор'!$G$14="есть",G521-J522-K522+L522+M522-N522,G521-J522-K522+M522-N522)))</f>
        <v xml:space="preserve"> </v>
      </c>
      <c r="H522" s="133" t="str">
        <f>IF(F522&gt;'депозитный калькулятор'!$D$8," ",IF(AND(OR('депозитный калькулятор'!$G$7="30/365",'депозитный калькулятор'!$G$7="30/360"),AND(MONTH(F522)=2,EOMONTH(F522,0)=F522)),IF(DAY(F522)=28,3*G522*'депозитный калькулятор'!$G$8,2*G522*'депозитный калькулятор'!$G$8),IF(AND(OR('депозитный калькулятор'!$G$7="30/365",'депозитный калькулятор'!$G$7="30/360"),DAY(F522)=31)," ",IF(AND('депозитный калькулятор'!$G$7="факт/факт",MOD(YEAR(F522),4)=0),G522*'депозитный калькулятор'!$D$11/366,G522*'депозитный калькулятор'!$G$8))))</f>
        <v xml:space="preserve"> </v>
      </c>
      <c r="I522" s="134" t="str">
        <f ca="1">IF(F522=" "," ",IF('депозитный калькулятор'!$G$10="ежедневное",H522,IF(AND('депозитный калькулятор'!$G$10="еженедельное",WEEKDAY(F522,2)=7),SUM(OFFSET(H522,-6,0):H522),IF(AND('депозитный калькулятор'!$G$10="еженедельное",F522='депозитный калькулятор'!$D$8),SUM($H$23:H522)-SUM($I$23:I521),IF(AND('депозитный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недели",WEEKDAY(F522,2)=7),MIN(OFFSET(H522,-6,0):H522)*(COUNTIF(OFFSET(H522,-6,0):H522,"&gt;0")+SUMIF(OFFSET(A522,-WEEKDAY(F522,2),0):A522,"=2",OFFSET(A522,-WEEKDAY(F522,2),0):A522)),IF(AND('депозитный калькулятор'!$G$10="еженедельное, на минимальную сумму зафиксированную в течение недели",F522='депозитный калькулятор'!$D$8,WEEKDAY(F522,2)&lt;&gt;7),MIN(OFFSET(H522,-WEEKDAY(F522,2),0):H522)*(COUNTIF(OFFSET(H522,-WEEKDAY(F522,2)+1,0):H522,"&gt;0")+SUM(OFFSET(A522,-WEEKDAY(F522,2),0):A522)),IF(AND('депозитный калькулятор'!$G$10="ежемесячное (в конце месяца)",F522='депозитный калькулятор'!$D$8,EOMONTH(F522,0)&lt;&gt;F522),IF('депозитный калькулятор'!$F$1=1,$H$24,SUM($H$23:H522)-SUM($I$23:I521)),IF(AND('депозитный калькулятор'!$G$10="ежемесячное (в конце месяца)",EOMONTH(F522,0)=F522),SUM($H$23:H522)-SUM($I$23:I521),IF(AND('депозитный калькулятор'!$G$10="ежемесячное (по дням открытия вклада)",F522='депозитный калькулятор'!$D$8,DAY('депозитный калькулятор'!$D$7)&lt;&gt;DAY(F522)),IF('депозитный калькулятор'!$F$1=1,$H$24,SUM($H$23:H522)-SUM($I$23:I521)),IF(AND('депозитный калькулятор'!$G$10="ежемесячное (по дням открытия вклада)",DAY('депозитный калькулятор'!$D$7)=DAY(F522)),SUM($H$23:H522)-SUM($I$23:I521),IF(AND('депозитный калькулятор'!$G$10="ежемесячное, на минимальную сумму зафиксированную в течение месяца",F522='депозитный калькулятор'!$D$8,EOMONTH(F522,0)&lt;&gt;F522),IF('депозитный калькулятор'!$F$1=1,$H$24,IF(AND(OR('депозитный калькулятор'!$G$7="30/365",'депозитный калькулятор'!$G$7="30/360"),DAY(F522)=31),0,MIN(OFFSET(H522,-E522+1,0):H522)*(E522+SUMIF(OFFSET(A522,-E522+1,0):A522,"=2",OFFSET(A522,-E522+1,0):A522)))),IF(AND('депозитный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калькулятор'!$G$7="30/360"),DAY(EOMONTH(F522,0))=31),EOMONTH(F522,0)-1=F522,EOMONTH(F522,0)=F522)),IF(IF(AND(OR('депозитный калькулятор'!$G$7="30/365",'депозитный калькулятор'!$G$7="30/360"),DAY(EOMONTH($F$23,0))=31),F522=EOMONTH($F$23,0)-1,F522=EOMONTH($F$23,0)),MIN(OFFSET(H522,-(DAY(F522)-DAY($F$23)),0):H522)*E522,MIN(OFFSET(H522,-(DAY(F522)-1),0):H522)*IF(AND(OR('депозитный калькулятор'!$G$7="30/365",'депозитный калькулятор'!$G$7="30/360"),DAY(F522)&lt;30),30,DAY(F522))),IF(AND('депозитный калькулятор'!$G$10="ежемесячное, на средний остаток в течение месяца, при условии что остаток больше чем ограничение",F522='депозитный калькулятор'!$D$8,EOMONTH(F522,0)&lt;&gt;F522),IF('депозитный калькулятор'!$F$1=1,$H$24,SUM(OFFSET(Q522,-E522+1,0):Q522)),IF(AND('депозитный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калькулятор'!$G$7="30/360"),DAY(EOMONTH(F522,0))=31),EOMONTH(F522,0)-1=F522,EOMONTH(F522,0)=F522)),IF(IF(AND(OR('депозитный калькулятор'!$G$7="30/365",'депозитный калькулятор'!$G$7="30/360"),DAY(EOMONTH($F$24,0))=31),F522=EOMONTH($F$24,0)-1,F522=EOMONTH($F$24,0)),SUM(OFFSET(Q522,-E522+1,0):Q522),SUM(OFFSET(Q522,-E522+1,0):Q522)),IF('депозитный калькулятор'!$G$10="ежеквартальное",IF(F522&gt;'депозитный калькулятор'!$D$8," ",IF(AND(EOMONTH(F522,0)=F522,OR(MONTH(F522)=3,MONTH(F522)=6,MONTH(F522)=9,MONTH(F522)=12)),IF(EDATE(F522,-3)&lt;'депозитный калькулятор'!$D$7,SUM($H$23:H522),IF(MOD(YEAR(F522),4)=0,IF(AND(EOMONTH(F522,0)=F522,OR(MONTH(F522)=3,MONTH(F522)=6)),SUM(OFFSET(H522,-90,0):H522),IF(AND(EOMONTH(F522,0)=F522,OR(MONTH(F522)=9,MONTH(F522)=12)),SUM(OFFSET(H522,-91,0):H522))),IF(AND(EOMONTH(F522,0)=F522,MONTH(F522)=3),SUM(OFFSET(H522,-89,0):H522),IF(AND(EOMONTH(F522,0)=F522,MONTH(F522)=6),SUM(OFFSET(H522,-90,0):H522),IF(AND(EOMONTH(F522,0)=F522,OR(MONTH(F522)=9,MONTH(F522)=12)),SUM(OFFSET(H522,-91,0):H522)))))),IF(F522='депозитный калькулятор'!$D$8,SUM($H$23:H522)-SUM($I$23:I521),0))),IF('депозитный калькулятор'!$G$10="ежегодное",IF(F522&gt;'депозитный калькулятор'!$D$8," ",IF(F522='депозитный калькулятор'!$D$8,SUM($H$23:H522)-SUM($I$23:I521),IF(AND(EOMONTH(F522,0)=F522,MONTH(F522)=12),IF(MOD(YEAR(F521),4)=0,IF(F522-'депозитный калькулятор'!$D$7&lt;366,SUM($H$23:H522),SUM(OFFSET(H522,-365,0):H522)),IF(F522-'депозитный калькулятор'!$D$7&lt;365,SUM($H$23:H522),SUM(OFFSET(H522,-364,0):H522))),0))),IF(AND('депозитный калькулятор'!$G$10="в конце срока",'депозитный калькулятор'!$D$8=F522),SUM($H$23:H522),0))))))))))))))))))</f>
        <v xml:space="preserve"> </v>
      </c>
      <c r="J522" s="59" t="str">
        <f>IF(F522&gt;'депозитный калькулятор'!$D$8," ",IF('депозитный калькулятор'!$G$16="нет",0,IF(AND('депозитный калькулятор'!$G$17="разовая (в конце срока)",F522='депозитный калькулятор'!$D$8),'депозитный калькулятор'!$G$18,IF(AND('депозитный калькулятор'!$G$17="ежемесячная",EOMONTH(F521,0)=F521),'депозитный калькулятор'!$G$18,IF(AND('депозитный калькулятор'!$G$17="ежегодная",DAY(F521)=31,MONTH(F521)=12),'депозитный калькулятор'!$G$18,IF(AND('депозитный калькулятор'!$G$17="ежемесячная в зависимости от остатка",EOMONTH(F521,0)=F521,P521&gt;0),'депозитный калькулятор'!$G$18,IF(AND('депозитный калькулятор'!$G$17="ежегодная в зависимости от остатка",DAY(F521)=31,MONTH(F521)=12,P521&gt;0),'депозитный калькулятор'!$G$18,0)))))))</f>
        <v xml:space="preserve"> </v>
      </c>
      <c r="K522" s="135" t="str">
        <f>IF($F522=" "," ",IFERROR(VLOOKUP($F522,'депозитный калькулятор'!$B$26:$F$70,2,0),0))</f>
        <v xml:space="preserve"> </v>
      </c>
      <c r="L522" s="135" t="str">
        <f>IF($F522=" "," ",IFERROR(VLOOKUP($F522,'депозитный калькулятор'!$B$26:$F$70,3,0),0))</f>
        <v xml:space="preserve"> </v>
      </c>
      <c r="M522" s="135" t="str">
        <f>IF($F522=" "," ",IFERROR(VLOOKUP($F522,'депозитный калькулятор'!$B$26:$F$70,4,0),0))</f>
        <v xml:space="preserve"> </v>
      </c>
      <c r="N522" s="135" t="str">
        <f>IF($F522=" "," ",IFERROR(VLOOKUP($F522,'депозитный калькулятор'!$B$26:$F$70,5,0),0))</f>
        <v xml:space="preserve"> </v>
      </c>
      <c r="O522" s="146" t="str">
        <f>IF(F522&gt;'депозитный калькулятор'!$D$8," ",IF(F522='депозитный калькулятор'!$D$8,IF(AND($F$24='депозитный калькулятор'!$D$8,'депозитный калькулятор'!$G$13="нет"),-G522-IF(I522=" ",0,I522)-IF(AND(OR('депозитный калькулятор'!$G$7="30/365",'депозитный калькулятор'!$G$7="30/360"),'депозитный калькулятор'!$G$10="в начале срока"),I521,0)-L522+M522-N522,-G522-IF(I522=" ",0,I522)-L522+M522-N522),IF('депозитный калькулятор'!$G$13="есть",M522-N522+IF('депозитный калькулятор'!$G$14="есть",0,-L522),-IF(I522=" ",0,I522)-IF(AND(OR('депозитный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срока"),I521,0)+M522-N522+IF('депозитный калькулятор'!$G$14="есть",0,-L522))))</f>
        <v xml:space="preserve"> </v>
      </c>
      <c r="P522" s="147" t="str">
        <f>IF(F522&gt;'депозитный калькулятор'!$D$8," ",IF(EOMONTH(F521,0)=F521,0,IF(G522&gt;='депозитный калькулятор'!$G$19,P521,P521+1)))</f>
        <v xml:space="preserve"> </v>
      </c>
      <c r="Q522" s="138" t="str">
        <f>IF(F522=" "," ",IF(AND(OR('депозитный калькулятор'!$G$7="30/365",'депозитный калькулятор'!$G$7="30/360"),AND(MONTH(F522)=2,EOMONTH(F522,0)=F522)),IF(DAY(F522)=28,3,2),1)*IF(G522&gt;='депозитный калькулятор'!$G$11,IF(AND('депозитный калькулятор'!$G$7="факт/факт",MOD(YEAR(F522),4)=0),G522*'депозитный калькулятор'!$D$11/366,G522*'депозитный калькулятор'!$G$8),0))</f>
        <v xml:space="preserve"> </v>
      </c>
      <c r="R522" s="158"/>
      <c r="S522" s="62" t="str">
        <f t="shared" ca="1" si="37"/>
        <v xml:space="preserve"> </v>
      </c>
      <c r="T522" s="149" t="str">
        <f ca="1">IF(S522=" "," ",IF('депозитный калькулятор'!$G$7="30/360",DAYS360(U521,IF(DAY(U522)=31,U522-1,U522))+IF(AND(MONTH(U522)=2,U522=EOMONTH(U522,0)),30-DAY(EOMONTH(U522,0)))+T521,VLOOKUP(S522,$C$22:$F$1023,2,0)))</f>
        <v xml:space="preserve"> </v>
      </c>
      <c r="U522" s="64" t="str">
        <f t="shared" ca="1" si="35"/>
        <v xml:space="preserve"> </v>
      </c>
      <c r="V522" s="150" t="str">
        <f t="shared" ca="1" si="38"/>
        <v xml:space="preserve"> </v>
      </c>
      <c r="W522" s="62" t="str">
        <f t="shared" ca="1" si="39"/>
        <v xml:space="preserve"> </v>
      </c>
      <c r="X522" s="141" t="str">
        <f ca="1">IF(S522=" "," ",IFERROR(VLOOKUP(U522,$F$23:$N$1023,7)+VLOOKUP(U522,$F$23:$N$1023,9)+IF(AND('депозитный калькулятор'!$G$13="нет",U522&lt;&gt;'депозитный калькулятор'!$D$8),VLOOKUP(U522,$F$23:$N$1023,4),0),0)+IF(U522='депозитный калькулятор'!$D$8,VLOOKUP(U522,$F$23:$N$1023,2)+VLOOKUP(U522,$F$23:$N$1023,4),0))</f>
        <v xml:space="preserve"> </v>
      </c>
      <c r="Y522" s="142" t="str">
        <f ca="1">IF(S522=" "," ",W522/(1+'депозитный калькулятор'!$K$8)^(T522/IF('депозитный калькулятор'!$G$7="30/360",360,365)))</f>
        <v xml:space="preserve"> </v>
      </c>
      <c r="Z522" s="142" t="str">
        <f ca="1">IF(S522=" "," ",X522/(1+'депозитный калькулятор'!$K$8)^(T522/IF('депозитный калькулятор'!$G$7="30/360",360,365)))</f>
        <v xml:space="preserve"> </v>
      </c>
      <c r="AA522" s="151"/>
      <c r="AB522" s="151"/>
      <c r="AC522" s="155"/>
      <c r="AD522" s="155"/>
    </row>
    <row r="523" spans="1:30" s="2" customFormat="1" ht="15.5" x14ac:dyDescent="0.35">
      <c r="A523" s="41" t="str">
        <f>IF(F523=" "," ",IF(OR('депозитный калькулятор'!$G$7="30/365",'депозитный калькулятор'!$G$7="30/360"),IF(AND(MONTH(F523)=2,DAY(F523)=DAY(EOMONTH(F523,0))),30-DAY(EOMONTH(F523,0)),IF(DAY(F523)=31,1," "))," "))</f>
        <v xml:space="preserve"> </v>
      </c>
      <c r="B523" s="130" t="str">
        <f t="shared" si="36"/>
        <v xml:space="preserve"> </v>
      </c>
      <c r="C523" s="130" t="str">
        <f>IF(OR(B523=0,B523=" ")," ",SUM($B$23:B523))</f>
        <v xml:space="preserve"> </v>
      </c>
      <c r="D523" s="62" t="str">
        <f>IF(D522=" "," ",IF(OR(F522='депозитный калькулятор'!$D$8,F522=" ")," ",D522+1))</f>
        <v xml:space="preserve"> </v>
      </c>
      <c r="E523" s="130" t="str">
        <f>IF(OR(F522='депозитный калькулятор'!$D$8,F522=" ")," ",IF(EOMONTH(F522,0)=F522,1,E522+1))</f>
        <v xml:space="preserve"> </v>
      </c>
      <c r="F523" s="64" t="str">
        <f>IF(F522=" "," ",IF(F522='депозитный калькулятор'!$D$8," ",F522+1))</f>
        <v xml:space="preserve"> </v>
      </c>
      <c r="G523" s="145" t="str">
        <f xml:space="preserve"> IF(F523&gt;'депозитный калькулятор'!$D$8," ",IF('депозитный калькулятор'!$G$13="есть",IF('депозитный калькулятор'!$G$14="есть",G522+IF(I522=" ",0,I522)-J523-K523+L523+M523-N523,G522+IF(I522=" ",0,I522)-J523-K523+M523-N523),IF('депозитный калькулятор'!$G$14="есть",G522-J523-K523+L523+M523-N523,G522-J523-K523+M523-N523)))</f>
        <v xml:space="preserve"> </v>
      </c>
      <c r="H523" s="133" t="str">
        <f>IF(F523&gt;'депозитный калькулятор'!$D$8," ",IF(AND(OR('депозитный калькулятор'!$G$7="30/365",'депозитный калькулятор'!$G$7="30/360"),AND(MONTH(F523)=2,EOMONTH(F523,0)=F523)),IF(DAY(F523)=28,3*G523*'депозитный калькулятор'!$G$8,2*G523*'депозитный калькулятор'!$G$8),IF(AND(OR('депозитный калькулятор'!$G$7="30/365",'депозитный калькулятор'!$G$7="30/360"),DAY(F523)=31)," ",IF(AND('депозитный калькулятор'!$G$7="факт/факт",MOD(YEAR(F523),4)=0),G523*'депозитный калькулятор'!$D$11/366,G523*'депозитный калькулятор'!$G$8))))</f>
        <v xml:space="preserve"> </v>
      </c>
      <c r="I523" s="134" t="str">
        <f ca="1">IF(F523=" "," ",IF('депозитный калькулятор'!$G$10="ежедневное",H523,IF(AND('депозитный калькулятор'!$G$10="еженедельное",WEEKDAY(F523,2)=7),SUM(OFFSET(H523,-6,0):H523),IF(AND('депозитный калькулятор'!$G$10="еженедельное",F523='депозитный калькулятор'!$D$8),SUM($H$23:H523)-SUM($I$23:I522),IF(AND('депозитный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недели",WEEKDAY(F523,2)=7),MIN(OFFSET(H523,-6,0):H523)*(COUNTIF(OFFSET(H523,-6,0):H523,"&gt;0")+SUMIF(OFFSET(A523,-WEEKDAY(F523,2),0):A523,"=2",OFFSET(A523,-WEEKDAY(F523,2),0):A523)),IF(AND('депозитный калькулятор'!$G$10="еженедельное, на минимальную сумму зафиксированную в течение недели",F523='депозитный калькулятор'!$D$8,WEEKDAY(F523,2)&lt;&gt;7),MIN(OFFSET(H523,-WEEKDAY(F523,2),0):H523)*(COUNTIF(OFFSET(H523,-WEEKDAY(F523,2)+1,0):H523,"&gt;0")+SUM(OFFSET(A523,-WEEKDAY(F523,2),0):A523)),IF(AND('депозитный калькулятор'!$G$10="ежемесячное (в конце месяца)",F523='депозитный калькулятор'!$D$8,EOMONTH(F523,0)&lt;&gt;F523),IF('депозитный калькулятор'!$F$1=1,$H$24,SUM($H$23:H523)-SUM($I$23:I522)),IF(AND('депозитный калькулятор'!$G$10="ежемесячное (в конце месяца)",EOMONTH(F523,0)=F523),SUM($H$23:H523)-SUM($I$23:I522),IF(AND('депозитный калькулятор'!$G$10="ежемесячное (по дням открытия вклада)",F523='депозитный калькулятор'!$D$8,DAY('депозитный калькулятор'!$D$7)&lt;&gt;DAY(F523)),IF('депозитный калькулятор'!$F$1=1,$H$24,SUM($H$23:H523)-SUM($I$23:I522)),IF(AND('депозитный калькулятор'!$G$10="ежемесячное (по дням открытия вклада)",DAY('депозитный калькулятор'!$D$7)=DAY(F523)),SUM($H$23:H523)-SUM($I$23:I522),IF(AND('депозитный калькулятор'!$G$10="ежемесячное, на минимальную сумму зафиксированную в течение месяца",F523='депозитный калькулятор'!$D$8,EOMONTH(F523,0)&lt;&gt;F523),IF('депозитный калькулятор'!$F$1=1,$H$24,IF(AND(OR('депозитный калькулятор'!$G$7="30/365",'депозитный калькулятор'!$G$7="30/360"),DAY(F523)=31),0,MIN(OFFSET(H523,-E523+1,0):H523)*(E523+SUMIF(OFFSET(A523,-E523+1,0):A523,"=2",OFFSET(A523,-E523+1,0):A523)))),IF(AND('депозитный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калькулятор'!$G$7="30/360"),DAY(EOMONTH(F523,0))=31),EOMONTH(F523,0)-1=F523,EOMONTH(F523,0)=F523)),IF(IF(AND(OR('депозитный калькулятор'!$G$7="30/365",'депозитный калькулятор'!$G$7="30/360"),DAY(EOMONTH($F$23,0))=31),F523=EOMONTH($F$23,0)-1,F523=EOMONTH($F$23,0)),MIN(OFFSET(H523,-(DAY(F523)-DAY($F$23)),0):H523)*E523,MIN(OFFSET(H523,-(DAY(F523)-1),0):H523)*IF(AND(OR('депозитный калькулятор'!$G$7="30/365",'депозитный калькулятор'!$G$7="30/360"),DAY(F523)&lt;30),30,DAY(F523))),IF(AND('депозитный калькулятор'!$G$10="ежемесячное, на средний остаток в течение месяца, при условии что остаток больше чем ограничение",F523='депозитный калькулятор'!$D$8,EOMONTH(F523,0)&lt;&gt;F523),IF('депозитный калькулятор'!$F$1=1,$H$24,SUM(OFFSET(Q523,-E523+1,0):Q523)),IF(AND('депозитный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калькулятор'!$G$7="30/360"),DAY(EOMONTH(F523,0))=31),EOMONTH(F523,0)-1=F523,EOMONTH(F523,0)=F523)),IF(IF(AND(OR('депозитный калькулятор'!$G$7="30/365",'депозитный калькулятор'!$G$7="30/360"),DAY(EOMONTH($F$24,0))=31),F523=EOMONTH($F$24,0)-1,F523=EOMONTH($F$24,0)),SUM(OFFSET(Q523,-E523+1,0):Q523),SUM(OFFSET(Q523,-E523+1,0):Q523)),IF('депозитный калькулятор'!$G$10="ежеквартальное",IF(F523&gt;'депозитный калькулятор'!$D$8," ",IF(AND(EOMONTH(F523,0)=F523,OR(MONTH(F523)=3,MONTH(F523)=6,MONTH(F523)=9,MONTH(F523)=12)),IF(EDATE(F523,-3)&lt;'депозитный калькулятор'!$D$7,SUM($H$23:H523),IF(MOD(YEAR(F523),4)=0,IF(AND(EOMONTH(F523,0)=F523,OR(MONTH(F523)=3,MONTH(F523)=6)),SUM(OFFSET(H523,-90,0):H523),IF(AND(EOMONTH(F523,0)=F523,OR(MONTH(F523)=9,MONTH(F523)=12)),SUM(OFFSET(H523,-91,0):H523))),IF(AND(EOMONTH(F523,0)=F523,MONTH(F523)=3),SUM(OFFSET(H523,-89,0):H523),IF(AND(EOMONTH(F523,0)=F523,MONTH(F523)=6),SUM(OFFSET(H523,-90,0):H523),IF(AND(EOMONTH(F523,0)=F523,OR(MONTH(F523)=9,MONTH(F523)=12)),SUM(OFFSET(H523,-91,0):H523)))))),IF(F523='депозитный калькулятор'!$D$8,SUM($H$23:H523)-SUM($I$23:I522),0))),IF('депозитный калькулятор'!$G$10="ежегодное",IF(F523&gt;'депозитный калькулятор'!$D$8," ",IF(F523='депозитный калькулятор'!$D$8,SUM($H$23:H523)-SUM($I$23:I522),IF(AND(EOMONTH(F523,0)=F523,MONTH(F523)=12),IF(MOD(YEAR(F522),4)=0,IF(F523-'депозитный калькулятор'!$D$7&lt;366,SUM($H$23:H523),SUM(OFFSET(H523,-365,0):H523)),IF(F523-'депозитный калькулятор'!$D$7&lt;365,SUM($H$23:H523),SUM(OFFSET(H523,-364,0):H523))),0))),IF(AND('депозитный калькулятор'!$G$10="в конце срока",'депозитный калькулятор'!$D$8=F523),SUM($H$23:H523),0))))))))))))))))))</f>
        <v xml:space="preserve"> </v>
      </c>
      <c r="J523" s="59" t="str">
        <f>IF(F523&gt;'депозитный калькулятор'!$D$8," ",IF('депозитный калькулятор'!$G$16="нет",0,IF(AND('депозитный калькулятор'!$G$17="разовая (в конце срока)",F523='депозитный калькулятор'!$D$8),'депозитный калькулятор'!$G$18,IF(AND('депозитный калькулятор'!$G$17="ежемесячная",EOMONTH(F522,0)=F522),'депозитный калькулятор'!$G$18,IF(AND('депозитный калькулятор'!$G$17="ежегодная",DAY(F522)=31,MONTH(F522)=12),'депозитный калькулятор'!$G$18,IF(AND('депозитный калькулятор'!$G$17="ежемесячная в зависимости от остатка",EOMONTH(F522,0)=F522,P522&gt;0),'депозитный калькулятор'!$G$18,IF(AND('депозитный калькулятор'!$G$17="ежегодная в зависимости от остатка",DAY(F522)=31,MONTH(F522)=12,P522&gt;0),'депозитный калькулятор'!$G$18,0)))))))</f>
        <v xml:space="preserve"> </v>
      </c>
      <c r="K523" s="135" t="str">
        <f>IF($F523=" "," ",IFERROR(VLOOKUP($F523,'депозитный калькулятор'!$B$26:$F$70,2,0),0))</f>
        <v xml:space="preserve"> </v>
      </c>
      <c r="L523" s="135" t="str">
        <f>IF($F523=" "," ",IFERROR(VLOOKUP($F523,'депозитный калькулятор'!$B$26:$F$70,3,0),0))</f>
        <v xml:space="preserve"> </v>
      </c>
      <c r="M523" s="135" t="str">
        <f>IF($F523=" "," ",IFERROR(VLOOKUP($F523,'депозитный калькулятор'!$B$26:$F$70,4,0),0))</f>
        <v xml:space="preserve"> </v>
      </c>
      <c r="N523" s="135" t="str">
        <f>IF($F523=" "," ",IFERROR(VLOOKUP($F523,'депозитный калькулятор'!$B$26:$F$70,5,0),0))</f>
        <v xml:space="preserve"> </v>
      </c>
      <c r="O523" s="146" t="str">
        <f>IF(F523&gt;'депозитный калькулятор'!$D$8," ",IF(F523='депозитный калькулятор'!$D$8,IF(AND($F$24='депозитный калькулятор'!$D$8,'депозитный калькулятор'!$G$13="нет"),-G523-IF(I523=" ",0,I523)-IF(AND(OR('депозитный калькулятор'!$G$7="30/365",'депозитный калькулятор'!$G$7="30/360"),'депозитный калькулятор'!$G$10="в начале срока"),I522,0)-L523+M523-N523,-G523-IF(I523=" ",0,I523)-L523+M523-N523),IF('депозитный калькулятор'!$G$13="есть",M523-N523+IF('депозитный калькулятор'!$G$14="есть",0,-L523),-IF(I523=" ",0,I523)-IF(AND(OR('депозитный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срока"),I522,0)+M523-N523+IF('депозитный калькулятор'!$G$14="есть",0,-L523))))</f>
        <v xml:space="preserve"> </v>
      </c>
      <c r="P523" s="147" t="str">
        <f>IF(F523&gt;'депозитный калькулятор'!$D$8," ",IF(EOMONTH(F522,0)=F522,0,IF(G523&gt;='депозитный калькулятор'!$G$19,P522,P522+1)))</f>
        <v xml:space="preserve"> </v>
      </c>
      <c r="Q523" s="138" t="str">
        <f>IF(F523=" "," ",IF(AND(OR('депозитный калькулятор'!$G$7="30/365",'депозитный калькулятор'!$G$7="30/360"),AND(MONTH(F523)=2,EOMONTH(F523,0)=F523)),IF(DAY(F523)=28,3,2),1)*IF(G523&gt;='депозитный калькулятор'!$G$11,IF(AND('депозитный калькулятор'!$G$7="факт/факт",MOD(YEAR(F523),4)=0),G523*'депозитный калькулятор'!$D$11/366,G523*'депозитный калькулятор'!$G$8),0))</f>
        <v xml:space="preserve"> </v>
      </c>
      <c r="R523" s="158"/>
      <c r="S523" s="62" t="str">
        <f t="shared" ca="1" si="37"/>
        <v xml:space="preserve"> </v>
      </c>
      <c r="T523" s="149" t="str">
        <f ca="1">IF(S523=" "," ",IF('депозитный калькулятор'!$G$7="30/360",DAYS360(U522,IF(DAY(U523)=31,U523-1,U523))+IF(AND(MONTH(U523)=2,U523=EOMONTH(U523,0)),30-DAY(EOMONTH(U523,0)))+T522,VLOOKUP(S523,$C$22:$F$1023,2,0)))</f>
        <v xml:space="preserve"> </v>
      </c>
      <c r="U523" s="64" t="str">
        <f t="shared" ca="1" si="35"/>
        <v xml:space="preserve"> </v>
      </c>
      <c r="V523" s="150" t="str">
        <f t="shared" ca="1" si="38"/>
        <v xml:space="preserve"> </v>
      </c>
      <c r="W523" s="62" t="str">
        <f t="shared" ca="1" si="39"/>
        <v xml:space="preserve"> </v>
      </c>
      <c r="X523" s="141" t="str">
        <f ca="1">IF(S523=" "," ",IFERROR(VLOOKUP(U523,$F$23:$N$1023,7)+VLOOKUP(U523,$F$23:$N$1023,9)+IF(AND('депозитный калькулятор'!$G$13="нет",U523&lt;&gt;'депозитный калькулятор'!$D$8),VLOOKUP(U523,$F$23:$N$1023,4),0),0)+IF(U523='депозитный калькулятор'!$D$8,VLOOKUP(U523,$F$23:$N$1023,2)+VLOOKUP(U523,$F$23:$N$1023,4),0))</f>
        <v xml:space="preserve"> </v>
      </c>
      <c r="Y523" s="142" t="str">
        <f ca="1">IF(S523=" "," ",W523/(1+'депозитный калькулятор'!$K$8)^(T523/IF('депозитный калькулятор'!$G$7="30/360",360,365)))</f>
        <v xml:space="preserve"> </v>
      </c>
      <c r="Z523" s="142" t="str">
        <f ca="1">IF(S523=" "," ",X523/(1+'депозитный калькулятор'!$K$8)^(T523/IF('депозитный калькулятор'!$G$7="30/360",360,365)))</f>
        <v xml:space="preserve"> </v>
      </c>
      <c r="AA523" s="151"/>
      <c r="AB523" s="151"/>
      <c r="AC523" s="155"/>
      <c r="AD523" s="155"/>
    </row>
    <row r="524" spans="1:30" s="2" customFormat="1" ht="15.5" x14ac:dyDescent="0.35">
      <c r="A524" s="41" t="str">
        <f>IF(F524=" "," ",IF(OR('депозитный калькулятор'!$G$7="30/365",'депозитный калькулятор'!$G$7="30/360"),IF(AND(MONTH(F524)=2,DAY(F524)=DAY(EOMONTH(F524,0))),30-DAY(EOMONTH(F524,0)),IF(DAY(F524)=31,1," "))," "))</f>
        <v xml:space="preserve"> </v>
      </c>
      <c r="B524" s="130" t="str">
        <f t="shared" si="36"/>
        <v xml:space="preserve"> </v>
      </c>
      <c r="C524" s="130" t="str">
        <f>IF(OR(B524=0,B524=" ")," ",SUM($B$23:B524))</f>
        <v xml:space="preserve"> </v>
      </c>
      <c r="D524" s="62" t="str">
        <f>IF(D523=" "," ",IF(OR(F523='депозитный калькулятор'!$D$8,F523=" ")," ",D523+1))</f>
        <v xml:space="preserve"> </v>
      </c>
      <c r="E524" s="130" t="str">
        <f>IF(OR(F523='депозитный калькулятор'!$D$8,F523=" ")," ",IF(EOMONTH(F523,0)=F523,1,E523+1))</f>
        <v xml:space="preserve"> </v>
      </c>
      <c r="F524" s="64" t="str">
        <f>IF(F523=" "," ",IF(F523='депозитный калькулятор'!$D$8," ",F523+1))</f>
        <v xml:space="preserve"> </v>
      </c>
      <c r="G524" s="145" t="str">
        <f xml:space="preserve"> IF(F524&gt;'депозитный калькулятор'!$D$8," ",IF('депозитный калькулятор'!$G$13="есть",IF('депозитный калькулятор'!$G$14="есть",G523+IF(I523=" ",0,I523)-J524-K524+L524+M524-N524,G523+IF(I523=" ",0,I523)-J524-K524+M524-N524),IF('депозитный калькулятор'!$G$14="есть",G523-J524-K524+L524+M524-N524,G523-J524-K524+M524-N524)))</f>
        <v xml:space="preserve"> </v>
      </c>
      <c r="H524" s="133" t="str">
        <f>IF(F524&gt;'депозитный калькулятор'!$D$8," ",IF(AND(OR('депозитный калькулятор'!$G$7="30/365",'депозитный калькулятор'!$G$7="30/360"),AND(MONTH(F524)=2,EOMONTH(F524,0)=F524)),IF(DAY(F524)=28,3*G524*'депозитный калькулятор'!$G$8,2*G524*'депозитный калькулятор'!$G$8),IF(AND(OR('депозитный калькулятор'!$G$7="30/365",'депозитный калькулятор'!$G$7="30/360"),DAY(F524)=31)," ",IF(AND('депозитный калькулятор'!$G$7="факт/факт",MOD(YEAR(F524),4)=0),G524*'депозитный калькулятор'!$D$11/366,G524*'депозитный калькулятор'!$G$8))))</f>
        <v xml:space="preserve"> </v>
      </c>
      <c r="I524" s="134" t="str">
        <f ca="1">IF(F524=" "," ",IF('депозитный калькулятор'!$G$10="ежедневное",H524,IF(AND('депозитный калькулятор'!$G$10="еженедельное",WEEKDAY(F524,2)=7),SUM(OFFSET(H524,-6,0):H524),IF(AND('депозитный калькулятор'!$G$10="еженедельное",F524='депозитный калькулятор'!$D$8),SUM($H$23:H524)-SUM($I$23:I523),IF(AND('депозитный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недели",WEEKDAY(F524,2)=7),MIN(OFFSET(H524,-6,0):H524)*(COUNTIF(OFFSET(H524,-6,0):H524,"&gt;0")+SUMIF(OFFSET(A524,-WEEKDAY(F524,2),0):A524,"=2",OFFSET(A524,-WEEKDAY(F524,2),0):A524)),IF(AND('депозитный калькулятор'!$G$10="еженедельное, на минимальную сумму зафиксированную в течение недели",F524='депозитный калькулятор'!$D$8,WEEKDAY(F524,2)&lt;&gt;7),MIN(OFFSET(H524,-WEEKDAY(F524,2),0):H524)*(COUNTIF(OFFSET(H524,-WEEKDAY(F524,2)+1,0):H524,"&gt;0")+SUM(OFFSET(A524,-WEEKDAY(F524,2),0):A524)),IF(AND('депозитный калькулятор'!$G$10="ежемесячное (в конце месяца)",F524='депозитный калькулятор'!$D$8,EOMONTH(F524,0)&lt;&gt;F524),IF('депозитный калькулятор'!$F$1=1,$H$24,SUM($H$23:H524)-SUM($I$23:I523)),IF(AND('депозитный калькулятор'!$G$10="ежемесячное (в конце месяца)",EOMONTH(F524,0)=F524),SUM($H$23:H524)-SUM($I$23:I523),IF(AND('депозитный калькулятор'!$G$10="ежемесячное (по дням открытия вклада)",F524='депозитный калькулятор'!$D$8,DAY('депозитный калькулятор'!$D$7)&lt;&gt;DAY(F524)),IF('депозитный калькулятор'!$F$1=1,$H$24,SUM($H$23:H524)-SUM($I$23:I523)),IF(AND('депозитный калькулятор'!$G$10="ежемесячное (по дням открытия вклада)",DAY('депозитный калькулятор'!$D$7)=DAY(F524)),SUM($H$23:H524)-SUM($I$23:I523),IF(AND('депозитный калькулятор'!$G$10="ежемесячное, на минимальную сумму зафиксированную в течение месяца",F524='депозитный калькулятор'!$D$8,EOMONTH(F524,0)&lt;&gt;F524),IF('депозитный калькулятор'!$F$1=1,$H$24,IF(AND(OR('депозитный калькулятор'!$G$7="30/365",'депозитный калькулятор'!$G$7="30/360"),DAY(F524)=31),0,MIN(OFFSET(H524,-E524+1,0):H524)*(E524+SUMIF(OFFSET(A524,-E524+1,0):A524,"=2",OFFSET(A524,-E524+1,0):A524)))),IF(AND('депозитный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калькулятор'!$G$7="30/360"),DAY(EOMONTH(F524,0))=31),EOMONTH(F524,0)-1=F524,EOMONTH(F524,0)=F524)),IF(IF(AND(OR('депозитный калькулятор'!$G$7="30/365",'депозитный калькулятор'!$G$7="30/360"),DAY(EOMONTH($F$23,0))=31),F524=EOMONTH($F$23,0)-1,F524=EOMONTH($F$23,0)),MIN(OFFSET(H524,-(DAY(F524)-DAY($F$23)),0):H524)*E524,MIN(OFFSET(H524,-(DAY(F524)-1),0):H524)*IF(AND(OR('депозитный калькулятор'!$G$7="30/365",'депозитный калькулятор'!$G$7="30/360"),DAY(F524)&lt;30),30,DAY(F524))),IF(AND('депозитный калькулятор'!$G$10="ежемесячное, на средний остаток в течение месяца, при условии что остаток больше чем ограничение",F524='депозитный калькулятор'!$D$8,EOMONTH(F524,0)&lt;&gt;F524),IF('депозитный калькулятор'!$F$1=1,$H$24,SUM(OFFSET(Q524,-E524+1,0):Q524)),IF(AND('депозитный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калькулятор'!$G$7="30/360"),DAY(EOMONTH(F524,0))=31),EOMONTH(F524,0)-1=F524,EOMONTH(F524,0)=F524)),IF(IF(AND(OR('депозитный калькулятор'!$G$7="30/365",'депозитный калькулятор'!$G$7="30/360"),DAY(EOMONTH($F$24,0))=31),F524=EOMONTH($F$24,0)-1,F524=EOMONTH($F$24,0)),SUM(OFFSET(Q524,-E524+1,0):Q524),SUM(OFFSET(Q524,-E524+1,0):Q524)),IF('депозитный калькулятор'!$G$10="ежеквартальное",IF(F524&gt;'депозитный калькулятор'!$D$8," ",IF(AND(EOMONTH(F524,0)=F524,OR(MONTH(F524)=3,MONTH(F524)=6,MONTH(F524)=9,MONTH(F524)=12)),IF(EDATE(F524,-3)&lt;'депозитный калькулятор'!$D$7,SUM($H$23:H524),IF(MOD(YEAR(F524),4)=0,IF(AND(EOMONTH(F524,0)=F524,OR(MONTH(F524)=3,MONTH(F524)=6)),SUM(OFFSET(H524,-90,0):H524),IF(AND(EOMONTH(F524,0)=F524,OR(MONTH(F524)=9,MONTH(F524)=12)),SUM(OFFSET(H524,-91,0):H524))),IF(AND(EOMONTH(F524,0)=F524,MONTH(F524)=3),SUM(OFFSET(H524,-89,0):H524),IF(AND(EOMONTH(F524,0)=F524,MONTH(F524)=6),SUM(OFFSET(H524,-90,0):H524),IF(AND(EOMONTH(F524,0)=F524,OR(MONTH(F524)=9,MONTH(F524)=12)),SUM(OFFSET(H524,-91,0):H524)))))),IF(F524='депозитный калькулятор'!$D$8,SUM($H$23:H524)-SUM($I$23:I523),0))),IF('депозитный калькулятор'!$G$10="ежегодное",IF(F524&gt;'депозитный калькулятор'!$D$8," ",IF(F524='депозитный калькулятор'!$D$8,SUM($H$23:H524)-SUM($I$23:I523),IF(AND(EOMONTH(F524,0)=F524,MONTH(F524)=12),IF(MOD(YEAR(F523),4)=0,IF(F524-'депозитный калькулятор'!$D$7&lt;366,SUM($H$23:H524),SUM(OFFSET(H524,-365,0):H524)),IF(F524-'депозитный калькулятор'!$D$7&lt;365,SUM($H$23:H524),SUM(OFFSET(H524,-364,0):H524))),0))),IF(AND('депозитный калькулятор'!$G$10="в конце срока",'депозитный калькулятор'!$D$8=F524),SUM($H$23:H524),0))))))))))))))))))</f>
        <v xml:space="preserve"> </v>
      </c>
      <c r="J524" s="59" t="str">
        <f>IF(F524&gt;'депозитный калькулятор'!$D$8," ",IF('депозитный калькулятор'!$G$16="нет",0,IF(AND('депозитный калькулятор'!$G$17="разовая (в конце срока)",F524='депозитный калькулятор'!$D$8),'депозитный калькулятор'!$G$18,IF(AND('депозитный калькулятор'!$G$17="ежемесячная",EOMONTH(F523,0)=F523),'депозитный калькулятор'!$G$18,IF(AND('депозитный калькулятор'!$G$17="ежегодная",DAY(F523)=31,MONTH(F523)=12),'депозитный калькулятор'!$G$18,IF(AND('депозитный калькулятор'!$G$17="ежемесячная в зависимости от остатка",EOMONTH(F523,0)=F523,P523&gt;0),'депозитный калькулятор'!$G$18,IF(AND('депозитный калькулятор'!$G$17="ежегодная в зависимости от остатка",DAY(F523)=31,MONTH(F523)=12,P523&gt;0),'депозитный калькулятор'!$G$18,0)))))))</f>
        <v xml:space="preserve"> </v>
      </c>
      <c r="K524" s="135" t="str">
        <f>IF($F524=" "," ",IFERROR(VLOOKUP($F524,'депозитный калькулятор'!$B$26:$F$70,2,0),0))</f>
        <v xml:space="preserve"> </v>
      </c>
      <c r="L524" s="135" t="str">
        <f>IF($F524=" "," ",IFERROR(VLOOKUP($F524,'депозитный калькулятор'!$B$26:$F$70,3,0),0))</f>
        <v xml:space="preserve"> </v>
      </c>
      <c r="M524" s="135" t="str">
        <f>IF($F524=" "," ",IFERROR(VLOOKUP($F524,'депозитный калькулятор'!$B$26:$F$70,4,0),0))</f>
        <v xml:space="preserve"> </v>
      </c>
      <c r="N524" s="135" t="str">
        <f>IF($F524=" "," ",IFERROR(VLOOKUP($F524,'депозитный калькулятор'!$B$26:$F$70,5,0),0))</f>
        <v xml:space="preserve"> </v>
      </c>
      <c r="O524" s="146" t="str">
        <f>IF(F524&gt;'депозитный калькулятор'!$D$8," ",IF(F524='депозитный калькулятор'!$D$8,IF(AND($F$24='депозитный калькулятор'!$D$8,'депозитный калькулятор'!$G$13="нет"),-G524-IF(I524=" ",0,I524)-IF(AND(OR('депозитный калькулятор'!$G$7="30/365",'депозитный калькулятор'!$G$7="30/360"),'депозитный калькулятор'!$G$10="в начале срока"),I523,0)-L524+M524-N524,-G524-IF(I524=" ",0,I524)-L524+M524-N524),IF('депозитный калькулятор'!$G$13="есть",M524-N524+IF('депозитный калькулятор'!$G$14="есть",0,-L524),-IF(I524=" ",0,I524)-IF(AND(OR('депозитный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срока"),I523,0)+M524-N524+IF('депозитный калькулятор'!$G$14="есть",0,-L524))))</f>
        <v xml:space="preserve"> </v>
      </c>
      <c r="P524" s="147" t="str">
        <f>IF(F524&gt;'депозитный калькулятор'!$D$8," ",IF(EOMONTH(F523,0)=F523,0,IF(G524&gt;='депозитный калькулятор'!$G$19,P523,P523+1)))</f>
        <v xml:space="preserve"> </v>
      </c>
      <c r="Q524" s="138" t="str">
        <f>IF(F524=" "," ",IF(AND(OR('депозитный калькулятор'!$G$7="30/365",'депозитный калькулятор'!$G$7="30/360"),AND(MONTH(F524)=2,EOMONTH(F524,0)=F524)),IF(DAY(F524)=28,3,2),1)*IF(G524&gt;='депозитный калькулятор'!$G$11,IF(AND('депозитный калькулятор'!$G$7="факт/факт",MOD(YEAR(F524),4)=0),G524*'депозитный калькулятор'!$D$11/366,G524*'депозитный калькулятор'!$G$8),0))</f>
        <v xml:space="preserve"> </v>
      </c>
      <c r="R524" s="158"/>
      <c r="S524" s="62" t="str">
        <f t="shared" ca="1" si="37"/>
        <v xml:space="preserve"> </v>
      </c>
      <c r="T524" s="149" t="str">
        <f ca="1">IF(S524=" "," ",IF('депозитный калькулятор'!$G$7="30/360",DAYS360(U523,IF(DAY(U524)=31,U524-1,U524))+IF(AND(MONTH(U524)=2,U524=EOMONTH(U524,0)),30-DAY(EOMONTH(U524,0)))+T523,VLOOKUP(S524,$C$22:$F$1023,2,0)))</f>
        <v xml:space="preserve"> </v>
      </c>
      <c r="U524" s="64" t="str">
        <f t="shared" ca="1" si="35"/>
        <v xml:space="preserve"> </v>
      </c>
      <c r="V524" s="150" t="str">
        <f t="shared" ca="1" si="38"/>
        <v xml:space="preserve"> </v>
      </c>
      <c r="W524" s="62" t="str">
        <f t="shared" ca="1" si="39"/>
        <v xml:space="preserve"> </v>
      </c>
      <c r="X524" s="141" t="str">
        <f ca="1">IF(S524=" "," ",IFERROR(VLOOKUP(U524,$F$23:$N$1023,7)+VLOOKUP(U524,$F$23:$N$1023,9)+IF(AND('депозитный калькулятор'!$G$13="нет",U524&lt;&gt;'депозитный калькулятор'!$D$8),VLOOKUP(U524,$F$23:$N$1023,4),0),0)+IF(U524='депозитный калькулятор'!$D$8,VLOOKUP(U524,$F$23:$N$1023,2)+VLOOKUP(U524,$F$23:$N$1023,4),0))</f>
        <v xml:space="preserve"> </v>
      </c>
      <c r="Y524" s="142" t="str">
        <f ca="1">IF(S524=" "," ",W524/(1+'депозитный калькулятор'!$K$8)^(T524/IF('депозитный калькулятор'!$G$7="30/360",360,365)))</f>
        <v xml:space="preserve"> </v>
      </c>
      <c r="Z524" s="142" t="str">
        <f ca="1">IF(S524=" "," ",X524/(1+'депозитный калькулятор'!$K$8)^(T524/IF('депозитный калькулятор'!$G$7="30/360",360,365)))</f>
        <v xml:space="preserve"> </v>
      </c>
      <c r="AA524" s="151"/>
      <c r="AB524" s="151"/>
      <c r="AC524" s="155"/>
      <c r="AD524" s="155"/>
    </row>
    <row r="525" spans="1:30" s="2" customFormat="1" ht="15.5" x14ac:dyDescent="0.35">
      <c r="A525" s="41" t="str">
        <f>IF(F525=" "," ",IF(OR('депозитный калькулятор'!$G$7="30/365",'депозитный калькулятор'!$G$7="30/360"),IF(AND(MONTH(F525)=2,DAY(F525)=DAY(EOMONTH(F525,0))),30-DAY(EOMONTH(F525,0)),IF(DAY(F525)=31,1," "))," "))</f>
        <v xml:space="preserve"> </v>
      </c>
      <c r="B525" s="130" t="str">
        <f t="shared" si="36"/>
        <v xml:space="preserve"> </v>
      </c>
      <c r="C525" s="130" t="str">
        <f>IF(OR(B525=0,B525=" ")," ",SUM($B$23:B525))</f>
        <v xml:space="preserve"> </v>
      </c>
      <c r="D525" s="62" t="str">
        <f>IF(D524=" "," ",IF(OR(F524='депозитный калькулятор'!$D$8,F524=" ")," ",D524+1))</f>
        <v xml:space="preserve"> </v>
      </c>
      <c r="E525" s="130" t="str">
        <f>IF(OR(F524='депозитный калькулятор'!$D$8,F524=" ")," ",IF(EOMONTH(F524,0)=F524,1,E524+1))</f>
        <v xml:space="preserve"> </v>
      </c>
      <c r="F525" s="64" t="str">
        <f>IF(F524=" "," ",IF(F524='депозитный калькулятор'!$D$8," ",F524+1))</f>
        <v xml:space="preserve"> </v>
      </c>
      <c r="G525" s="145" t="str">
        <f xml:space="preserve"> IF(F525&gt;'депозитный калькулятор'!$D$8," ",IF('депозитный калькулятор'!$G$13="есть",IF('депозитный калькулятор'!$G$14="есть",G524+IF(I524=" ",0,I524)-J525-K525+L525+M525-N525,G524+IF(I524=" ",0,I524)-J525-K525+M525-N525),IF('депозитный калькулятор'!$G$14="есть",G524-J525-K525+L525+M525-N525,G524-J525-K525+M525-N525)))</f>
        <v xml:space="preserve"> </v>
      </c>
      <c r="H525" s="133" t="str">
        <f>IF(F525&gt;'депозитный калькулятор'!$D$8," ",IF(AND(OR('депозитный калькулятор'!$G$7="30/365",'депозитный калькулятор'!$G$7="30/360"),AND(MONTH(F525)=2,EOMONTH(F525,0)=F525)),IF(DAY(F525)=28,3*G525*'депозитный калькулятор'!$G$8,2*G525*'депозитный калькулятор'!$G$8),IF(AND(OR('депозитный калькулятор'!$G$7="30/365",'депозитный калькулятор'!$G$7="30/360"),DAY(F525)=31)," ",IF(AND('депозитный калькулятор'!$G$7="факт/факт",MOD(YEAR(F525),4)=0),G525*'депозитный калькулятор'!$D$11/366,G525*'депозитный калькулятор'!$G$8))))</f>
        <v xml:space="preserve"> </v>
      </c>
      <c r="I525" s="134" t="str">
        <f ca="1">IF(F525=" "," ",IF('депозитный калькулятор'!$G$10="ежедневное",H525,IF(AND('депозитный калькулятор'!$G$10="еженедельное",WEEKDAY(F525,2)=7),SUM(OFFSET(H525,-6,0):H525),IF(AND('депозитный калькулятор'!$G$10="еженедельное",F525='депозитный калькулятор'!$D$8),SUM($H$23:H525)-SUM($I$23:I524),IF(AND('депозитный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недели",WEEKDAY(F525,2)=7),MIN(OFFSET(H525,-6,0):H525)*(COUNTIF(OFFSET(H525,-6,0):H525,"&gt;0")+SUMIF(OFFSET(A525,-WEEKDAY(F525,2),0):A525,"=2",OFFSET(A525,-WEEKDAY(F525,2),0):A525)),IF(AND('депозитный калькулятор'!$G$10="еженедельное, на минимальную сумму зафиксированную в течение недели",F525='депозитный калькулятор'!$D$8,WEEKDAY(F525,2)&lt;&gt;7),MIN(OFFSET(H525,-WEEKDAY(F525,2),0):H525)*(COUNTIF(OFFSET(H525,-WEEKDAY(F525,2)+1,0):H525,"&gt;0")+SUM(OFFSET(A525,-WEEKDAY(F525,2),0):A525)),IF(AND('депозитный калькулятор'!$G$10="ежемесячное (в конце месяца)",F525='депозитный калькулятор'!$D$8,EOMONTH(F525,0)&lt;&gt;F525),IF('депозитный калькулятор'!$F$1=1,$H$24,SUM($H$23:H525)-SUM($I$23:I524)),IF(AND('депозитный калькулятор'!$G$10="ежемесячное (в конце месяца)",EOMONTH(F525,0)=F525),SUM($H$23:H525)-SUM($I$23:I524),IF(AND('депозитный калькулятор'!$G$10="ежемесячное (по дням открытия вклада)",F525='депозитный калькулятор'!$D$8,DAY('депозитный калькулятор'!$D$7)&lt;&gt;DAY(F525)),IF('депозитный калькулятор'!$F$1=1,$H$24,SUM($H$23:H525)-SUM($I$23:I524)),IF(AND('депозитный калькулятор'!$G$10="ежемесячное (по дням открытия вклада)",DAY('депозитный калькулятор'!$D$7)=DAY(F525)),SUM($H$23:H525)-SUM($I$23:I524),IF(AND('депозитный калькулятор'!$G$10="ежемесячное, на минимальную сумму зафиксированную в течение месяца",F525='депозитный калькулятор'!$D$8,EOMONTH(F525,0)&lt;&gt;F525),IF('депозитный калькулятор'!$F$1=1,$H$24,IF(AND(OR('депозитный калькулятор'!$G$7="30/365",'депозитный калькулятор'!$G$7="30/360"),DAY(F525)=31),0,MIN(OFFSET(H525,-E525+1,0):H525)*(E525+SUMIF(OFFSET(A525,-E525+1,0):A525,"=2",OFFSET(A525,-E525+1,0):A525)))),IF(AND('депозитный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калькулятор'!$G$7="30/360"),DAY(EOMONTH(F525,0))=31),EOMONTH(F525,0)-1=F525,EOMONTH(F525,0)=F525)),IF(IF(AND(OR('депозитный калькулятор'!$G$7="30/365",'депозитный калькулятор'!$G$7="30/360"),DAY(EOMONTH($F$23,0))=31),F525=EOMONTH($F$23,0)-1,F525=EOMONTH($F$23,0)),MIN(OFFSET(H525,-(DAY(F525)-DAY($F$23)),0):H525)*E525,MIN(OFFSET(H525,-(DAY(F525)-1),0):H525)*IF(AND(OR('депозитный калькулятор'!$G$7="30/365",'депозитный калькулятор'!$G$7="30/360"),DAY(F525)&lt;30),30,DAY(F525))),IF(AND('депозитный калькулятор'!$G$10="ежемесячное, на средний остаток в течение месяца, при условии что остаток больше чем ограничение",F525='депозитный калькулятор'!$D$8,EOMONTH(F525,0)&lt;&gt;F525),IF('депозитный калькулятор'!$F$1=1,$H$24,SUM(OFFSET(Q525,-E525+1,0):Q525)),IF(AND('депозитный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калькулятор'!$G$7="30/360"),DAY(EOMONTH(F525,0))=31),EOMONTH(F525,0)-1=F525,EOMONTH(F525,0)=F525)),IF(IF(AND(OR('депозитный калькулятор'!$G$7="30/365",'депозитный калькулятор'!$G$7="30/360"),DAY(EOMONTH($F$24,0))=31),F525=EOMONTH($F$24,0)-1,F525=EOMONTH($F$24,0)),SUM(OFFSET(Q525,-E525+1,0):Q525),SUM(OFFSET(Q525,-E525+1,0):Q525)),IF('депозитный калькулятор'!$G$10="ежеквартальное",IF(F525&gt;'депозитный калькулятор'!$D$8," ",IF(AND(EOMONTH(F525,0)=F525,OR(MONTH(F525)=3,MONTH(F525)=6,MONTH(F525)=9,MONTH(F525)=12)),IF(EDATE(F525,-3)&lt;'депозитный калькулятор'!$D$7,SUM($H$23:H525),IF(MOD(YEAR(F525),4)=0,IF(AND(EOMONTH(F525,0)=F525,OR(MONTH(F525)=3,MONTH(F525)=6)),SUM(OFFSET(H525,-90,0):H525),IF(AND(EOMONTH(F525,0)=F525,OR(MONTH(F525)=9,MONTH(F525)=12)),SUM(OFFSET(H525,-91,0):H525))),IF(AND(EOMONTH(F525,0)=F525,MONTH(F525)=3),SUM(OFFSET(H525,-89,0):H525),IF(AND(EOMONTH(F525,0)=F525,MONTH(F525)=6),SUM(OFFSET(H525,-90,0):H525),IF(AND(EOMONTH(F525,0)=F525,OR(MONTH(F525)=9,MONTH(F525)=12)),SUM(OFFSET(H525,-91,0):H525)))))),IF(F525='депозитный калькулятор'!$D$8,SUM($H$23:H525)-SUM($I$23:I524),0))),IF('депозитный калькулятор'!$G$10="ежегодное",IF(F525&gt;'депозитный калькулятор'!$D$8," ",IF(F525='депозитный калькулятор'!$D$8,SUM($H$23:H525)-SUM($I$23:I524),IF(AND(EOMONTH(F525,0)=F525,MONTH(F525)=12),IF(MOD(YEAR(F524),4)=0,IF(F525-'депозитный калькулятор'!$D$7&lt;366,SUM($H$23:H525),SUM(OFFSET(H525,-365,0):H525)),IF(F525-'депозитный калькулятор'!$D$7&lt;365,SUM($H$23:H525),SUM(OFFSET(H525,-364,0):H525))),0))),IF(AND('депозитный калькулятор'!$G$10="в конце срока",'депозитный калькулятор'!$D$8=F525),SUM($H$23:H525),0))))))))))))))))))</f>
        <v xml:space="preserve"> </v>
      </c>
      <c r="J525" s="59" t="str">
        <f>IF(F525&gt;'депозитный калькулятор'!$D$8," ",IF('депозитный калькулятор'!$G$16="нет",0,IF(AND('депозитный калькулятор'!$G$17="разовая (в конце срока)",F525='депозитный калькулятор'!$D$8),'депозитный калькулятор'!$G$18,IF(AND('депозитный калькулятор'!$G$17="ежемесячная",EOMONTH(F524,0)=F524),'депозитный калькулятор'!$G$18,IF(AND('депозитный калькулятор'!$G$17="ежегодная",DAY(F524)=31,MONTH(F524)=12),'депозитный калькулятор'!$G$18,IF(AND('депозитный калькулятор'!$G$17="ежемесячная в зависимости от остатка",EOMONTH(F524,0)=F524,P524&gt;0),'депозитный калькулятор'!$G$18,IF(AND('депозитный калькулятор'!$G$17="ежегодная в зависимости от остатка",DAY(F524)=31,MONTH(F524)=12,P524&gt;0),'депозитный калькулятор'!$G$18,0)))))))</f>
        <v xml:space="preserve"> </v>
      </c>
      <c r="K525" s="135" t="str">
        <f>IF($F525=" "," ",IFERROR(VLOOKUP($F525,'депозитный калькулятор'!$B$26:$F$70,2,0),0))</f>
        <v xml:space="preserve"> </v>
      </c>
      <c r="L525" s="135" t="str">
        <f>IF($F525=" "," ",IFERROR(VLOOKUP($F525,'депозитный калькулятор'!$B$26:$F$70,3,0),0))</f>
        <v xml:space="preserve"> </v>
      </c>
      <c r="M525" s="135" t="str">
        <f>IF($F525=" "," ",IFERROR(VLOOKUP($F525,'депозитный калькулятор'!$B$26:$F$70,4,0),0))</f>
        <v xml:space="preserve"> </v>
      </c>
      <c r="N525" s="135" t="str">
        <f>IF($F525=" "," ",IFERROR(VLOOKUP($F525,'депозитный калькулятор'!$B$26:$F$70,5,0),0))</f>
        <v xml:space="preserve"> </v>
      </c>
      <c r="O525" s="146" t="str">
        <f>IF(F525&gt;'депозитный калькулятор'!$D$8," ",IF(F525='депозитный калькулятор'!$D$8,IF(AND($F$24='депозитный калькулятор'!$D$8,'депозитный калькулятор'!$G$13="нет"),-G525-IF(I525=" ",0,I525)-IF(AND(OR('депозитный калькулятор'!$G$7="30/365",'депозитный калькулятор'!$G$7="30/360"),'депозитный калькулятор'!$G$10="в начале срока"),I524,0)-L525+M525-N525,-G525-IF(I525=" ",0,I525)-L525+M525-N525),IF('депозитный калькулятор'!$G$13="есть",M525-N525+IF('депозитный калькулятор'!$G$14="есть",0,-L525),-IF(I525=" ",0,I525)-IF(AND(OR('депозитный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срока"),I524,0)+M525-N525+IF('депозитный калькулятор'!$G$14="есть",0,-L525))))</f>
        <v xml:space="preserve"> </v>
      </c>
      <c r="P525" s="147" t="str">
        <f>IF(F525&gt;'депозитный калькулятор'!$D$8," ",IF(EOMONTH(F524,0)=F524,0,IF(G525&gt;='депозитный калькулятор'!$G$19,P524,P524+1)))</f>
        <v xml:space="preserve"> </v>
      </c>
      <c r="Q525" s="138" t="str">
        <f>IF(F525=" "," ",IF(AND(OR('депозитный калькулятор'!$G$7="30/365",'депозитный калькулятор'!$G$7="30/360"),AND(MONTH(F525)=2,EOMONTH(F525,0)=F525)),IF(DAY(F525)=28,3,2),1)*IF(G525&gt;='депозитный калькулятор'!$G$11,IF(AND('депозитный калькулятор'!$G$7="факт/факт",MOD(YEAR(F525),4)=0),G525*'депозитный калькулятор'!$D$11/366,G525*'депозитный калькулятор'!$G$8),0))</f>
        <v xml:space="preserve"> </v>
      </c>
      <c r="R525" s="158"/>
      <c r="S525" s="62" t="str">
        <f t="shared" ca="1" si="37"/>
        <v xml:space="preserve"> </v>
      </c>
      <c r="T525" s="149" t="str">
        <f ca="1">IF(S525=" "," ",IF('депозитный калькулятор'!$G$7="30/360",DAYS360(U524,IF(DAY(U525)=31,U525-1,U525))+IF(AND(MONTH(U525)=2,U525=EOMONTH(U525,0)),30-DAY(EOMONTH(U525,0)))+T524,VLOOKUP(S525,$C$22:$F$1023,2,0)))</f>
        <v xml:space="preserve"> </v>
      </c>
      <c r="U525" s="64" t="str">
        <f t="shared" ca="1" si="35"/>
        <v xml:space="preserve"> </v>
      </c>
      <c r="V525" s="150" t="str">
        <f t="shared" ca="1" si="38"/>
        <v xml:space="preserve"> </v>
      </c>
      <c r="W525" s="62" t="str">
        <f t="shared" ca="1" si="39"/>
        <v xml:space="preserve"> </v>
      </c>
      <c r="X525" s="141" t="str">
        <f ca="1">IF(S525=" "," ",IFERROR(VLOOKUP(U525,$F$23:$N$1023,7)+VLOOKUP(U525,$F$23:$N$1023,9)+IF(AND('депозитный калькулятор'!$G$13="нет",U525&lt;&gt;'депозитный калькулятор'!$D$8),VLOOKUP(U525,$F$23:$N$1023,4),0),0)+IF(U525='депозитный калькулятор'!$D$8,VLOOKUP(U525,$F$23:$N$1023,2)+VLOOKUP(U525,$F$23:$N$1023,4),0))</f>
        <v xml:space="preserve"> </v>
      </c>
      <c r="Y525" s="142" t="str">
        <f ca="1">IF(S525=" "," ",W525/(1+'депозитный калькулятор'!$K$8)^(T525/IF('депозитный калькулятор'!$G$7="30/360",360,365)))</f>
        <v xml:space="preserve"> </v>
      </c>
      <c r="Z525" s="142" t="str">
        <f ca="1">IF(S525=" "," ",X525/(1+'депозитный калькулятор'!$K$8)^(T525/IF('депозитный калькулятор'!$G$7="30/360",360,365)))</f>
        <v xml:space="preserve"> </v>
      </c>
      <c r="AA525" s="151"/>
      <c r="AB525" s="151"/>
      <c r="AC525" s="155"/>
      <c r="AD525" s="155"/>
    </row>
    <row r="526" spans="1:30" s="2" customFormat="1" ht="15.5" x14ac:dyDescent="0.35">
      <c r="A526" s="41" t="str">
        <f>IF(F526=" "," ",IF(OR('депозитный калькулятор'!$G$7="30/365",'депозитный калькулятор'!$G$7="30/360"),IF(AND(MONTH(F526)=2,DAY(F526)=DAY(EOMONTH(F526,0))),30-DAY(EOMONTH(F526,0)),IF(DAY(F526)=31,1," "))," "))</f>
        <v xml:space="preserve"> </v>
      </c>
      <c r="B526" s="130" t="str">
        <f t="shared" si="36"/>
        <v xml:space="preserve"> </v>
      </c>
      <c r="C526" s="130" t="str">
        <f>IF(OR(B526=0,B526=" ")," ",SUM($B$23:B526))</f>
        <v xml:space="preserve"> </v>
      </c>
      <c r="D526" s="62" t="str">
        <f>IF(D525=" "," ",IF(OR(F525='депозитный калькулятор'!$D$8,F525=" ")," ",D525+1))</f>
        <v xml:space="preserve"> </v>
      </c>
      <c r="E526" s="130" t="str">
        <f>IF(OR(F525='депозитный калькулятор'!$D$8,F525=" ")," ",IF(EOMONTH(F525,0)=F525,1,E525+1))</f>
        <v xml:space="preserve"> </v>
      </c>
      <c r="F526" s="64" t="str">
        <f>IF(F525=" "," ",IF(F525='депозитный калькулятор'!$D$8," ",F525+1))</f>
        <v xml:space="preserve"> </v>
      </c>
      <c r="G526" s="145" t="str">
        <f xml:space="preserve"> IF(F526&gt;'депозитный калькулятор'!$D$8," ",IF('депозитный калькулятор'!$G$13="есть",IF('депозитный калькулятор'!$G$14="есть",G525+IF(I525=" ",0,I525)-J526-K526+L526+M526-N526,G525+IF(I525=" ",0,I525)-J526-K526+M526-N526),IF('депозитный калькулятор'!$G$14="есть",G525-J526-K526+L526+M526-N526,G525-J526-K526+M526-N526)))</f>
        <v xml:space="preserve"> </v>
      </c>
      <c r="H526" s="133" t="str">
        <f>IF(F526&gt;'депозитный калькулятор'!$D$8," ",IF(AND(OR('депозитный калькулятор'!$G$7="30/365",'депозитный калькулятор'!$G$7="30/360"),AND(MONTH(F526)=2,EOMONTH(F526,0)=F526)),IF(DAY(F526)=28,3*G526*'депозитный калькулятор'!$G$8,2*G526*'депозитный калькулятор'!$G$8),IF(AND(OR('депозитный калькулятор'!$G$7="30/365",'депозитный калькулятор'!$G$7="30/360"),DAY(F526)=31)," ",IF(AND('депозитный калькулятор'!$G$7="факт/факт",MOD(YEAR(F526),4)=0),G526*'депозитный калькулятор'!$D$11/366,G526*'депозитный калькулятор'!$G$8))))</f>
        <v xml:space="preserve"> </v>
      </c>
      <c r="I526" s="134" t="str">
        <f ca="1">IF(F526=" "," ",IF('депозитный калькулятор'!$G$10="ежедневное",H526,IF(AND('депозитный калькулятор'!$G$10="еженедельное",WEEKDAY(F526,2)=7),SUM(OFFSET(H526,-6,0):H526),IF(AND('депозитный калькулятор'!$G$10="еженедельное",F526='депозитный калькулятор'!$D$8),SUM($H$23:H526)-SUM($I$23:I525),IF(AND('депозитный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недели",WEEKDAY(F526,2)=7),MIN(OFFSET(H526,-6,0):H526)*(COUNTIF(OFFSET(H526,-6,0):H526,"&gt;0")+SUMIF(OFFSET(A526,-WEEKDAY(F526,2),0):A526,"=2",OFFSET(A526,-WEEKDAY(F526,2),0):A526)),IF(AND('депозитный калькулятор'!$G$10="еженедельное, на минимальную сумму зафиксированную в течение недели",F526='депозитный калькулятор'!$D$8,WEEKDAY(F526,2)&lt;&gt;7),MIN(OFFSET(H526,-WEEKDAY(F526,2),0):H526)*(COUNTIF(OFFSET(H526,-WEEKDAY(F526,2)+1,0):H526,"&gt;0")+SUM(OFFSET(A526,-WEEKDAY(F526,2),0):A526)),IF(AND('депозитный калькулятор'!$G$10="ежемесячное (в конце месяца)",F526='депозитный калькулятор'!$D$8,EOMONTH(F526,0)&lt;&gt;F526),IF('депозитный калькулятор'!$F$1=1,$H$24,SUM($H$23:H526)-SUM($I$23:I525)),IF(AND('депозитный калькулятор'!$G$10="ежемесячное (в конце месяца)",EOMONTH(F526,0)=F526),SUM($H$23:H526)-SUM($I$23:I525),IF(AND('депозитный калькулятор'!$G$10="ежемесячное (по дням открытия вклада)",F526='депозитный калькулятор'!$D$8,DAY('депозитный калькулятор'!$D$7)&lt;&gt;DAY(F526)),IF('депозитный калькулятор'!$F$1=1,$H$24,SUM($H$23:H526)-SUM($I$23:I525)),IF(AND('депозитный калькулятор'!$G$10="ежемесячное (по дням открытия вклада)",DAY('депозитный калькулятор'!$D$7)=DAY(F526)),SUM($H$23:H526)-SUM($I$23:I525),IF(AND('депозитный калькулятор'!$G$10="ежемесячное, на минимальную сумму зафиксированную в течение месяца",F526='депозитный калькулятор'!$D$8,EOMONTH(F526,0)&lt;&gt;F526),IF('депозитный калькулятор'!$F$1=1,$H$24,IF(AND(OR('депозитный калькулятор'!$G$7="30/365",'депозитный калькулятор'!$G$7="30/360"),DAY(F526)=31),0,MIN(OFFSET(H526,-E526+1,0):H526)*(E526+SUMIF(OFFSET(A526,-E526+1,0):A526,"=2",OFFSET(A526,-E526+1,0):A526)))),IF(AND('депозитный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калькулятор'!$G$7="30/360"),DAY(EOMONTH(F526,0))=31),EOMONTH(F526,0)-1=F526,EOMONTH(F526,0)=F526)),IF(IF(AND(OR('депозитный калькулятор'!$G$7="30/365",'депозитный калькулятор'!$G$7="30/360"),DAY(EOMONTH($F$23,0))=31),F526=EOMONTH($F$23,0)-1,F526=EOMONTH($F$23,0)),MIN(OFFSET(H526,-(DAY(F526)-DAY($F$23)),0):H526)*E526,MIN(OFFSET(H526,-(DAY(F526)-1),0):H526)*IF(AND(OR('депозитный калькулятор'!$G$7="30/365",'депозитный калькулятор'!$G$7="30/360"),DAY(F526)&lt;30),30,DAY(F526))),IF(AND('депозитный калькулятор'!$G$10="ежемесячное, на средний остаток в течение месяца, при условии что остаток больше чем ограничение",F526='депозитный калькулятор'!$D$8,EOMONTH(F526,0)&lt;&gt;F526),IF('депозитный калькулятор'!$F$1=1,$H$24,SUM(OFFSET(Q526,-E526+1,0):Q526)),IF(AND('депозитный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калькулятор'!$G$7="30/360"),DAY(EOMONTH(F526,0))=31),EOMONTH(F526,0)-1=F526,EOMONTH(F526,0)=F526)),IF(IF(AND(OR('депозитный калькулятор'!$G$7="30/365",'депозитный калькулятор'!$G$7="30/360"),DAY(EOMONTH($F$24,0))=31),F526=EOMONTH($F$24,0)-1,F526=EOMONTH($F$24,0)),SUM(OFFSET(Q526,-E526+1,0):Q526),SUM(OFFSET(Q526,-E526+1,0):Q526)),IF('депозитный калькулятор'!$G$10="ежеквартальное",IF(F526&gt;'депозитный калькулятор'!$D$8," ",IF(AND(EOMONTH(F526,0)=F526,OR(MONTH(F526)=3,MONTH(F526)=6,MONTH(F526)=9,MONTH(F526)=12)),IF(EDATE(F526,-3)&lt;'депозитный калькулятор'!$D$7,SUM($H$23:H526),IF(MOD(YEAR(F526),4)=0,IF(AND(EOMONTH(F526,0)=F526,OR(MONTH(F526)=3,MONTH(F526)=6)),SUM(OFFSET(H526,-90,0):H526),IF(AND(EOMONTH(F526,0)=F526,OR(MONTH(F526)=9,MONTH(F526)=12)),SUM(OFFSET(H526,-91,0):H526))),IF(AND(EOMONTH(F526,0)=F526,MONTH(F526)=3),SUM(OFFSET(H526,-89,0):H526),IF(AND(EOMONTH(F526,0)=F526,MONTH(F526)=6),SUM(OFFSET(H526,-90,0):H526),IF(AND(EOMONTH(F526,0)=F526,OR(MONTH(F526)=9,MONTH(F526)=12)),SUM(OFFSET(H526,-91,0):H526)))))),IF(F526='депозитный калькулятор'!$D$8,SUM($H$23:H526)-SUM($I$23:I525),0))),IF('депозитный калькулятор'!$G$10="ежегодное",IF(F526&gt;'депозитный калькулятор'!$D$8," ",IF(F526='депозитный калькулятор'!$D$8,SUM($H$23:H526)-SUM($I$23:I525),IF(AND(EOMONTH(F526,0)=F526,MONTH(F526)=12),IF(MOD(YEAR(F525),4)=0,IF(F526-'депозитный калькулятор'!$D$7&lt;366,SUM($H$23:H526),SUM(OFFSET(H526,-365,0):H526)),IF(F526-'депозитный калькулятор'!$D$7&lt;365,SUM($H$23:H526),SUM(OFFSET(H526,-364,0):H526))),0))),IF(AND('депозитный калькулятор'!$G$10="в конце срока",'депозитный калькулятор'!$D$8=F526),SUM($H$23:H526),0))))))))))))))))))</f>
        <v xml:space="preserve"> </v>
      </c>
      <c r="J526" s="59" t="str">
        <f>IF(F526&gt;'депозитный калькулятор'!$D$8," ",IF('депозитный калькулятор'!$G$16="нет",0,IF(AND('депозитный калькулятор'!$G$17="разовая (в конце срока)",F526='депозитный калькулятор'!$D$8),'депозитный калькулятор'!$G$18,IF(AND('депозитный калькулятор'!$G$17="ежемесячная",EOMONTH(F525,0)=F525),'депозитный калькулятор'!$G$18,IF(AND('депозитный калькулятор'!$G$17="ежегодная",DAY(F525)=31,MONTH(F525)=12),'депозитный калькулятор'!$G$18,IF(AND('депозитный калькулятор'!$G$17="ежемесячная в зависимости от остатка",EOMONTH(F525,0)=F525,P525&gt;0),'депозитный калькулятор'!$G$18,IF(AND('депозитный калькулятор'!$G$17="ежегодная в зависимости от остатка",DAY(F525)=31,MONTH(F525)=12,P525&gt;0),'депозитный калькулятор'!$G$18,0)))))))</f>
        <v xml:space="preserve"> </v>
      </c>
      <c r="K526" s="135" t="str">
        <f>IF($F526=" "," ",IFERROR(VLOOKUP($F526,'депозитный калькулятор'!$B$26:$F$70,2,0),0))</f>
        <v xml:space="preserve"> </v>
      </c>
      <c r="L526" s="135" t="str">
        <f>IF($F526=" "," ",IFERROR(VLOOKUP($F526,'депозитный калькулятор'!$B$26:$F$70,3,0),0))</f>
        <v xml:space="preserve"> </v>
      </c>
      <c r="M526" s="135" t="str">
        <f>IF($F526=" "," ",IFERROR(VLOOKUP($F526,'депозитный калькулятор'!$B$26:$F$70,4,0),0))</f>
        <v xml:space="preserve"> </v>
      </c>
      <c r="N526" s="135" t="str">
        <f>IF($F526=" "," ",IFERROR(VLOOKUP($F526,'депозитный калькулятор'!$B$26:$F$70,5,0),0))</f>
        <v xml:space="preserve"> </v>
      </c>
      <c r="O526" s="146" t="str">
        <f>IF(F526&gt;'депозитный калькулятор'!$D$8," ",IF(F526='депозитный калькулятор'!$D$8,IF(AND($F$24='депозитный калькулятор'!$D$8,'депозитный калькулятор'!$G$13="нет"),-G526-IF(I526=" ",0,I526)-IF(AND(OR('депозитный калькулятор'!$G$7="30/365",'депозитный калькулятор'!$G$7="30/360"),'депозитный калькулятор'!$G$10="в начале срока"),I525,0)-L526+M526-N526,-G526-IF(I526=" ",0,I526)-L526+M526-N526),IF('депозитный калькулятор'!$G$13="есть",M526-N526+IF('депозитный калькулятор'!$G$14="есть",0,-L526),-IF(I526=" ",0,I526)-IF(AND(OR('депозитный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срока"),I525,0)+M526-N526+IF('депозитный калькулятор'!$G$14="есть",0,-L526))))</f>
        <v xml:space="preserve"> </v>
      </c>
      <c r="P526" s="147" t="str">
        <f>IF(F526&gt;'депозитный калькулятор'!$D$8," ",IF(EOMONTH(F525,0)=F525,0,IF(G526&gt;='депозитный калькулятор'!$G$19,P525,P525+1)))</f>
        <v xml:space="preserve"> </v>
      </c>
      <c r="Q526" s="138" t="str">
        <f>IF(F526=" "," ",IF(AND(OR('депозитный калькулятор'!$G$7="30/365",'депозитный калькулятор'!$G$7="30/360"),AND(MONTH(F526)=2,EOMONTH(F526,0)=F526)),IF(DAY(F526)=28,3,2),1)*IF(G526&gt;='депозитный калькулятор'!$G$11,IF(AND('депозитный калькулятор'!$G$7="факт/факт",MOD(YEAR(F526),4)=0),G526*'депозитный калькулятор'!$D$11/366,G526*'депозитный калькулятор'!$G$8),0))</f>
        <v xml:space="preserve"> </v>
      </c>
      <c r="R526" s="158"/>
      <c r="S526" s="62" t="str">
        <f t="shared" ca="1" si="37"/>
        <v xml:space="preserve"> </v>
      </c>
      <c r="T526" s="149" t="str">
        <f ca="1">IF(S526=" "," ",IF('депозитный калькулятор'!$G$7="30/360",DAYS360(U525,IF(DAY(U526)=31,U526-1,U526))+IF(AND(MONTH(U526)=2,U526=EOMONTH(U526,0)),30-DAY(EOMONTH(U526,0)))+T525,VLOOKUP(S526,$C$22:$F$1023,2,0)))</f>
        <v xml:space="preserve"> </v>
      </c>
      <c r="U526" s="64" t="str">
        <f t="shared" ca="1" si="35"/>
        <v xml:space="preserve"> </v>
      </c>
      <c r="V526" s="150" t="str">
        <f t="shared" ca="1" si="38"/>
        <v xml:space="preserve"> </v>
      </c>
      <c r="W526" s="62" t="str">
        <f t="shared" ca="1" si="39"/>
        <v xml:space="preserve"> </v>
      </c>
      <c r="X526" s="141" t="str">
        <f ca="1">IF(S526=" "," ",IFERROR(VLOOKUP(U526,$F$23:$N$1023,7)+VLOOKUP(U526,$F$23:$N$1023,9)+IF(AND('депозитный калькулятор'!$G$13="нет",U526&lt;&gt;'депозитный калькулятор'!$D$8),VLOOKUP(U526,$F$23:$N$1023,4),0),0)+IF(U526='депозитный калькулятор'!$D$8,VLOOKUP(U526,$F$23:$N$1023,2)+VLOOKUP(U526,$F$23:$N$1023,4),0))</f>
        <v xml:space="preserve"> </v>
      </c>
      <c r="Y526" s="142" t="str">
        <f ca="1">IF(S526=" "," ",W526/(1+'депозитный калькулятор'!$K$8)^(T526/IF('депозитный калькулятор'!$G$7="30/360",360,365)))</f>
        <v xml:space="preserve"> </v>
      </c>
      <c r="Z526" s="142" t="str">
        <f ca="1">IF(S526=" "," ",X526/(1+'депозитный калькулятор'!$K$8)^(T526/IF('депозитный калькулятор'!$G$7="30/360",360,365)))</f>
        <v xml:space="preserve"> </v>
      </c>
      <c r="AA526" s="151"/>
      <c r="AB526" s="151"/>
      <c r="AC526" s="155"/>
      <c r="AD526" s="155"/>
    </row>
    <row r="527" spans="1:30" s="2" customFormat="1" ht="15.5" x14ac:dyDescent="0.35">
      <c r="A527" s="41" t="str">
        <f>IF(F527=" "," ",IF(OR('депозитный калькулятор'!$G$7="30/365",'депозитный калькулятор'!$G$7="30/360"),IF(AND(MONTH(F527)=2,DAY(F527)=DAY(EOMONTH(F527,0))),30-DAY(EOMONTH(F527,0)),IF(DAY(F527)=31,1," "))," "))</f>
        <v xml:space="preserve"> </v>
      </c>
      <c r="B527" s="130" t="str">
        <f t="shared" si="36"/>
        <v xml:space="preserve"> </v>
      </c>
      <c r="C527" s="130" t="str">
        <f>IF(OR(B527=0,B527=" ")," ",SUM($B$23:B527))</f>
        <v xml:space="preserve"> </v>
      </c>
      <c r="D527" s="62" t="str">
        <f>IF(D526=" "," ",IF(OR(F526='депозитный калькулятор'!$D$8,F526=" ")," ",D526+1))</f>
        <v xml:space="preserve"> </v>
      </c>
      <c r="E527" s="130" t="str">
        <f>IF(OR(F526='депозитный калькулятор'!$D$8,F526=" ")," ",IF(EOMONTH(F526,0)=F526,1,E526+1))</f>
        <v xml:space="preserve"> </v>
      </c>
      <c r="F527" s="64" t="str">
        <f>IF(F526=" "," ",IF(F526='депозитный калькулятор'!$D$8," ",F526+1))</f>
        <v xml:space="preserve"> </v>
      </c>
      <c r="G527" s="145" t="str">
        <f xml:space="preserve"> IF(F527&gt;'депозитный калькулятор'!$D$8," ",IF('депозитный калькулятор'!$G$13="есть",IF('депозитный калькулятор'!$G$14="есть",G526+IF(I526=" ",0,I526)-J527-K527+L527+M527-N527,G526+IF(I526=" ",0,I526)-J527-K527+M527-N527),IF('депозитный калькулятор'!$G$14="есть",G526-J527-K527+L527+M527-N527,G526-J527-K527+M527-N527)))</f>
        <v xml:space="preserve"> </v>
      </c>
      <c r="H527" s="133" t="str">
        <f>IF(F527&gt;'депозитный калькулятор'!$D$8," ",IF(AND(OR('депозитный калькулятор'!$G$7="30/365",'депозитный калькулятор'!$G$7="30/360"),AND(MONTH(F527)=2,EOMONTH(F527,0)=F527)),IF(DAY(F527)=28,3*G527*'депозитный калькулятор'!$G$8,2*G527*'депозитный калькулятор'!$G$8),IF(AND(OR('депозитный калькулятор'!$G$7="30/365",'депозитный калькулятор'!$G$7="30/360"),DAY(F527)=31)," ",IF(AND('депозитный калькулятор'!$G$7="факт/факт",MOD(YEAR(F527),4)=0),G527*'депозитный калькулятор'!$D$11/366,G527*'депозитный калькулятор'!$G$8))))</f>
        <v xml:space="preserve"> </v>
      </c>
      <c r="I527" s="134" t="str">
        <f ca="1">IF(F527=" "," ",IF('депозитный калькулятор'!$G$10="ежедневное",H527,IF(AND('депозитный калькулятор'!$G$10="еженедельное",WEEKDAY(F527,2)=7),SUM(OFFSET(H527,-6,0):H527),IF(AND('депозитный калькулятор'!$G$10="еженедельное",F527='депозитный калькулятор'!$D$8),SUM($H$23:H527)-SUM($I$23:I526),IF(AND('депозитный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недели",WEEKDAY(F527,2)=7),MIN(OFFSET(H527,-6,0):H527)*(COUNTIF(OFFSET(H527,-6,0):H527,"&gt;0")+SUMIF(OFFSET(A527,-WEEKDAY(F527,2),0):A527,"=2",OFFSET(A527,-WEEKDAY(F527,2),0):A527)),IF(AND('депозитный калькулятор'!$G$10="еженедельное, на минимальную сумму зафиксированную в течение недели",F527='депозитный калькулятор'!$D$8,WEEKDAY(F527,2)&lt;&gt;7),MIN(OFFSET(H527,-WEEKDAY(F527,2),0):H527)*(COUNTIF(OFFSET(H527,-WEEKDAY(F527,2)+1,0):H527,"&gt;0")+SUM(OFFSET(A527,-WEEKDAY(F527,2),0):A527)),IF(AND('депозитный калькулятор'!$G$10="ежемесячное (в конце месяца)",F527='депозитный калькулятор'!$D$8,EOMONTH(F527,0)&lt;&gt;F527),IF('депозитный калькулятор'!$F$1=1,$H$24,SUM($H$23:H527)-SUM($I$23:I526)),IF(AND('депозитный калькулятор'!$G$10="ежемесячное (в конце месяца)",EOMONTH(F527,0)=F527),SUM($H$23:H527)-SUM($I$23:I526),IF(AND('депозитный калькулятор'!$G$10="ежемесячное (по дням открытия вклада)",F527='депозитный калькулятор'!$D$8,DAY('депозитный калькулятор'!$D$7)&lt;&gt;DAY(F527)),IF('депозитный калькулятор'!$F$1=1,$H$24,SUM($H$23:H527)-SUM($I$23:I526)),IF(AND('депозитный калькулятор'!$G$10="ежемесячное (по дням открытия вклада)",DAY('депозитный калькулятор'!$D$7)=DAY(F527)),SUM($H$23:H527)-SUM($I$23:I526),IF(AND('депозитный калькулятор'!$G$10="ежемесячное, на минимальную сумму зафиксированную в течение месяца",F527='депозитный калькулятор'!$D$8,EOMONTH(F527,0)&lt;&gt;F527),IF('депозитный калькулятор'!$F$1=1,$H$24,IF(AND(OR('депозитный калькулятор'!$G$7="30/365",'депозитный калькулятор'!$G$7="30/360"),DAY(F527)=31),0,MIN(OFFSET(H527,-E527+1,0):H527)*(E527+SUMIF(OFFSET(A527,-E527+1,0):A527,"=2",OFFSET(A527,-E527+1,0):A527)))),IF(AND('депозитный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калькулятор'!$G$7="30/360"),DAY(EOMONTH(F527,0))=31),EOMONTH(F527,0)-1=F527,EOMONTH(F527,0)=F527)),IF(IF(AND(OR('депозитный калькулятор'!$G$7="30/365",'депозитный калькулятор'!$G$7="30/360"),DAY(EOMONTH($F$23,0))=31),F527=EOMONTH($F$23,0)-1,F527=EOMONTH($F$23,0)),MIN(OFFSET(H527,-(DAY(F527)-DAY($F$23)),0):H527)*E527,MIN(OFFSET(H527,-(DAY(F527)-1),0):H527)*IF(AND(OR('депозитный калькулятор'!$G$7="30/365",'депозитный калькулятор'!$G$7="30/360"),DAY(F527)&lt;30),30,DAY(F527))),IF(AND('депозитный калькулятор'!$G$10="ежемесячное, на средний остаток в течение месяца, при условии что остаток больше чем ограничение",F527='депозитный калькулятор'!$D$8,EOMONTH(F527,0)&lt;&gt;F527),IF('депозитный калькулятор'!$F$1=1,$H$24,SUM(OFFSET(Q527,-E527+1,0):Q527)),IF(AND('депозитный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калькулятор'!$G$7="30/360"),DAY(EOMONTH(F527,0))=31),EOMONTH(F527,0)-1=F527,EOMONTH(F527,0)=F527)),IF(IF(AND(OR('депозитный калькулятор'!$G$7="30/365",'депозитный калькулятор'!$G$7="30/360"),DAY(EOMONTH($F$24,0))=31),F527=EOMONTH($F$24,0)-1,F527=EOMONTH($F$24,0)),SUM(OFFSET(Q527,-E527+1,0):Q527),SUM(OFFSET(Q527,-E527+1,0):Q527)),IF('депозитный калькулятор'!$G$10="ежеквартальное",IF(F527&gt;'депозитный калькулятор'!$D$8," ",IF(AND(EOMONTH(F527,0)=F527,OR(MONTH(F527)=3,MONTH(F527)=6,MONTH(F527)=9,MONTH(F527)=12)),IF(EDATE(F527,-3)&lt;'депозитный калькулятор'!$D$7,SUM($H$23:H527),IF(MOD(YEAR(F527),4)=0,IF(AND(EOMONTH(F527,0)=F527,OR(MONTH(F527)=3,MONTH(F527)=6)),SUM(OFFSET(H527,-90,0):H527),IF(AND(EOMONTH(F527,0)=F527,OR(MONTH(F527)=9,MONTH(F527)=12)),SUM(OFFSET(H527,-91,0):H527))),IF(AND(EOMONTH(F527,0)=F527,MONTH(F527)=3),SUM(OFFSET(H527,-89,0):H527),IF(AND(EOMONTH(F527,0)=F527,MONTH(F527)=6),SUM(OFFSET(H527,-90,0):H527),IF(AND(EOMONTH(F527,0)=F527,OR(MONTH(F527)=9,MONTH(F527)=12)),SUM(OFFSET(H527,-91,0):H527)))))),IF(F527='депозитный калькулятор'!$D$8,SUM($H$23:H527)-SUM($I$23:I526),0))),IF('депозитный калькулятор'!$G$10="ежегодное",IF(F527&gt;'депозитный калькулятор'!$D$8," ",IF(F527='депозитный калькулятор'!$D$8,SUM($H$23:H527)-SUM($I$23:I526),IF(AND(EOMONTH(F527,0)=F527,MONTH(F527)=12),IF(MOD(YEAR(F526),4)=0,IF(F527-'депозитный калькулятор'!$D$7&lt;366,SUM($H$23:H527),SUM(OFFSET(H527,-365,0):H527)),IF(F527-'депозитный калькулятор'!$D$7&lt;365,SUM($H$23:H527),SUM(OFFSET(H527,-364,0):H527))),0))),IF(AND('депозитный калькулятор'!$G$10="в конце срока",'депозитный калькулятор'!$D$8=F527),SUM($H$23:H527),0))))))))))))))))))</f>
        <v xml:space="preserve"> </v>
      </c>
      <c r="J527" s="59" t="str">
        <f>IF(F527&gt;'депозитный калькулятор'!$D$8," ",IF('депозитный калькулятор'!$G$16="нет",0,IF(AND('депозитный калькулятор'!$G$17="разовая (в конце срока)",F527='депозитный калькулятор'!$D$8),'депозитный калькулятор'!$G$18,IF(AND('депозитный калькулятор'!$G$17="ежемесячная",EOMONTH(F526,0)=F526),'депозитный калькулятор'!$G$18,IF(AND('депозитный калькулятор'!$G$17="ежегодная",DAY(F526)=31,MONTH(F526)=12),'депозитный калькулятор'!$G$18,IF(AND('депозитный калькулятор'!$G$17="ежемесячная в зависимости от остатка",EOMONTH(F526,0)=F526,P526&gt;0),'депозитный калькулятор'!$G$18,IF(AND('депозитный калькулятор'!$G$17="ежегодная в зависимости от остатка",DAY(F526)=31,MONTH(F526)=12,P526&gt;0),'депозитный калькулятор'!$G$18,0)))))))</f>
        <v xml:space="preserve"> </v>
      </c>
      <c r="K527" s="135" t="str">
        <f>IF($F527=" "," ",IFERROR(VLOOKUP($F527,'депозитный калькулятор'!$B$26:$F$70,2,0),0))</f>
        <v xml:space="preserve"> </v>
      </c>
      <c r="L527" s="135" t="str">
        <f>IF($F527=" "," ",IFERROR(VLOOKUP($F527,'депозитный калькулятор'!$B$26:$F$70,3,0),0))</f>
        <v xml:space="preserve"> </v>
      </c>
      <c r="M527" s="135" t="str">
        <f>IF($F527=" "," ",IFERROR(VLOOKUP($F527,'депозитный калькулятор'!$B$26:$F$70,4,0),0))</f>
        <v xml:space="preserve"> </v>
      </c>
      <c r="N527" s="135" t="str">
        <f>IF($F527=" "," ",IFERROR(VLOOKUP($F527,'депозитный калькулятор'!$B$26:$F$70,5,0),0))</f>
        <v xml:space="preserve"> </v>
      </c>
      <c r="O527" s="146" t="str">
        <f>IF(F527&gt;'депозитный калькулятор'!$D$8," ",IF(F527='депозитный калькулятор'!$D$8,IF(AND($F$24='депозитный калькулятор'!$D$8,'депозитный калькулятор'!$G$13="нет"),-G527-IF(I527=" ",0,I527)-IF(AND(OR('депозитный калькулятор'!$G$7="30/365",'депозитный калькулятор'!$G$7="30/360"),'депозитный калькулятор'!$G$10="в начале срока"),I526,0)-L527+M527-N527,-G527-IF(I527=" ",0,I527)-L527+M527-N527),IF('депозитный калькулятор'!$G$13="есть",M527-N527+IF('депозитный калькулятор'!$G$14="есть",0,-L527),-IF(I527=" ",0,I527)-IF(AND(OR('депозитный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срока"),I526,0)+M527-N527+IF('депозитный калькулятор'!$G$14="есть",0,-L527))))</f>
        <v xml:space="preserve"> </v>
      </c>
      <c r="P527" s="147" t="str">
        <f>IF(F527&gt;'депозитный калькулятор'!$D$8," ",IF(EOMONTH(F526,0)=F526,0,IF(G527&gt;='депозитный калькулятор'!$G$19,P526,P526+1)))</f>
        <v xml:space="preserve"> </v>
      </c>
      <c r="Q527" s="138" t="str">
        <f>IF(F527=" "," ",IF(AND(OR('депозитный калькулятор'!$G$7="30/365",'депозитный калькулятор'!$G$7="30/360"),AND(MONTH(F527)=2,EOMONTH(F527,0)=F527)),IF(DAY(F527)=28,3,2),1)*IF(G527&gt;='депозитный калькулятор'!$G$11,IF(AND('депозитный калькулятор'!$G$7="факт/факт",MOD(YEAR(F527),4)=0),G527*'депозитный калькулятор'!$D$11/366,G527*'депозитный калькулятор'!$G$8),0))</f>
        <v xml:space="preserve"> </v>
      </c>
      <c r="R527" s="158"/>
      <c r="S527" s="62" t="str">
        <f t="shared" ca="1" si="37"/>
        <v xml:space="preserve"> </v>
      </c>
      <c r="T527" s="149" t="str">
        <f ca="1">IF(S527=" "," ",IF('депозитный калькулятор'!$G$7="30/360",DAYS360(U526,IF(DAY(U527)=31,U527-1,U527))+IF(AND(MONTH(U527)=2,U527=EOMONTH(U527,0)),30-DAY(EOMONTH(U527,0)))+T526,VLOOKUP(S527,$C$22:$F$1023,2,0)))</f>
        <v xml:space="preserve"> </v>
      </c>
      <c r="U527" s="64" t="str">
        <f t="shared" ca="1" si="35"/>
        <v xml:space="preserve"> </v>
      </c>
      <c r="V527" s="150" t="str">
        <f t="shared" ca="1" si="38"/>
        <v xml:space="preserve"> </v>
      </c>
      <c r="W527" s="62" t="str">
        <f t="shared" ca="1" si="39"/>
        <v xml:space="preserve"> </v>
      </c>
      <c r="X527" s="141" t="str">
        <f ca="1">IF(S527=" "," ",IFERROR(VLOOKUP(U527,$F$23:$N$1023,7)+VLOOKUP(U527,$F$23:$N$1023,9)+IF(AND('депозитный калькулятор'!$G$13="нет",U527&lt;&gt;'депозитный калькулятор'!$D$8),VLOOKUP(U527,$F$23:$N$1023,4),0),0)+IF(U527='депозитный калькулятор'!$D$8,VLOOKUP(U527,$F$23:$N$1023,2)+VLOOKUP(U527,$F$23:$N$1023,4),0))</f>
        <v xml:space="preserve"> </v>
      </c>
      <c r="Y527" s="142" t="str">
        <f ca="1">IF(S527=" "," ",W527/(1+'депозитный калькулятор'!$K$8)^(T527/IF('депозитный калькулятор'!$G$7="30/360",360,365)))</f>
        <v xml:space="preserve"> </v>
      </c>
      <c r="Z527" s="142" t="str">
        <f ca="1">IF(S527=" "," ",X527/(1+'депозитный калькулятор'!$K$8)^(T527/IF('депозитный калькулятор'!$G$7="30/360",360,365)))</f>
        <v xml:space="preserve"> </v>
      </c>
      <c r="AA527" s="151"/>
      <c r="AB527" s="151"/>
      <c r="AC527" s="155"/>
      <c r="AD527" s="155"/>
    </row>
    <row r="528" spans="1:30" s="2" customFormat="1" ht="15.5" x14ac:dyDescent="0.35">
      <c r="A528" s="41" t="str">
        <f>IF(F528=" "," ",IF(OR('депозитный калькулятор'!$G$7="30/365",'депозитный калькулятор'!$G$7="30/360"),IF(AND(MONTH(F528)=2,DAY(F528)=DAY(EOMONTH(F528,0))),30-DAY(EOMONTH(F528,0)),IF(DAY(F528)=31,1," "))," "))</f>
        <v xml:space="preserve"> </v>
      </c>
      <c r="B528" s="130" t="str">
        <f t="shared" si="36"/>
        <v xml:space="preserve"> </v>
      </c>
      <c r="C528" s="130" t="str">
        <f>IF(OR(B528=0,B528=" ")," ",SUM($B$23:B528))</f>
        <v xml:space="preserve"> </v>
      </c>
      <c r="D528" s="62" t="str">
        <f>IF(D527=" "," ",IF(OR(F527='депозитный калькулятор'!$D$8,F527=" ")," ",D527+1))</f>
        <v xml:space="preserve"> </v>
      </c>
      <c r="E528" s="130" t="str">
        <f>IF(OR(F527='депозитный калькулятор'!$D$8,F527=" ")," ",IF(EOMONTH(F527,0)=F527,1,E527+1))</f>
        <v xml:space="preserve"> </v>
      </c>
      <c r="F528" s="64" t="str">
        <f>IF(F527=" "," ",IF(F527='депозитный калькулятор'!$D$8," ",F527+1))</f>
        <v xml:space="preserve"> </v>
      </c>
      <c r="G528" s="145" t="str">
        <f xml:space="preserve"> IF(F528&gt;'депозитный калькулятор'!$D$8," ",IF('депозитный калькулятор'!$G$13="есть",IF('депозитный калькулятор'!$G$14="есть",G527+IF(I527=" ",0,I527)-J528-K528+L528+M528-N528,G527+IF(I527=" ",0,I527)-J528-K528+M528-N528),IF('депозитный калькулятор'!$G$14="есть",G527-J528-K528+L528+M528-N528,G527-J528-K528+M528-N528)))</f>
        <v xml:space="preserve"> </v>
      </c>
      <c r="H528" s="133" t="str">
        <f>IF(F528&gt;'депозитный калькулятор'!$D$8," ",IF(AND(OR('депозитный калькулятор'!$G$7="30/365",'депозитный калькулятор'!$G$7="30/360"),AND(MONTH(F528)=2,EOMONTH(F528,0)=F528)),IF(DAY(F528)=28,3*G528*'депозитный калькулятор'!$G$8,2*G528*'депозитный калькулятор'!$G$8),IF(AND(OR('депозитный калькулятор'!$G$7="30/365",'депозитный калькулятор'!$G$7="30/360"),DAY(F528)=31)," ",IF(AND('депозитный калькулятор'!$G$7="факт/факт",MOD(YEAR(F528),4)=0),G528*'депозитный калькулятор'!$D$11/366,G528*'депозитный калькулятор'!$G$8))))</f>
        <v xml:space="preserve"> </v>
      </c>
      <c r="I528" s="134" t="str">
        <f ca="1">IF(F528=" "," ",IF('депозитный калькулятор'!$G$10="ежедневное",H528,IF(AND('депозитный калькулятор'!$G$10="еженедельное",WEEKDAY(F528,2)=7),SUM(OFFSET(H528,-6,0):H528),IF(AND('депозитный калькулятор'!$G$10="еженедельное",F528='депозитный калькулятор'!$D$8),SUM($H$23:H528)-SUM($I$23:I527),IF(AND('депозитный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недели",WEEKDAY(F528,2)=7),MIN(OFFSET(H528,-6,0):H528)*(COUNTIF(OFFSET(H528,-6,0):H528,"&gt;0")+SUMIF(OFFSET(A528,-WEEKDAY(F528,2),0):A528,"=2",OFFSET(A528,-WEEKDAY(F528,2),0):A528)),IF(AND('депозитный калькулятор'!$G$10="еженедельное, на минимальную сумму зафиксированную в течение недели",F528='депозитный калькулятор'!$D$8,WEEKDAY(F528,2)&lt;&gt;7),MIN(OFFSET(H528,-WEEKDAY(F528,2),0):H528)*(COUNTIF(OFFSET(H528,-WEEKDAY(F528,2)+1,0):H528,"&gt;0")+SUM(OFFSET(A528,-WEEKDAY(F528,2),0):A528)),IF(AND('депозитный калькулятор'!$G$10="ежемесячное (в конце месяца)",F528='депозитный калькулятор'!$D$8,EOMONTH(F528,0)&lt;&gt;F528),IF('депозитный калькулятор'!$F$1=1,$H$24,SUM($H$23:H528)-SUM($I$23:I527)),IF(AND('депозитный калькулятор'!$G$10="ежемесячное (в конце месяца)",EOMONTH(F528,0)=F528),SUM($H$23:H528)-SUM($I$23:I527),IF(AND('депозитный калькулятор'!$G$10="ежемесячное (по дням открытия вклада)",F528='депозитный калькулятор'!$D$8,DAY('депозитный калькулятор'!$D$7)&lt;&gt;DAY(F528)),IF('депозитный калькулятор'!$F$1=1,$H$24,SUM($H$23:H528)-SUM($I$23:I527)),IF(AND('депозитный калькулятор'!$G$10="ежемесячное (по дням открытия вклада)",DAY('депозитный калькулятор'!$D$7)=DAY(F528)),SUM($H$23:H528)-SUM($I$23:I527),IF(AND('депозитный калькулятор'!$G$10="ежемесячное, на минимальную сумму зафиксированную в течение месяца",F528='депозитный калькулятор'!$D$8,EOMONTH(F528,0)&lt;&gt;F528),IF('депозитный калькулятор'!$F$1=1,$H$24,IF(AND(OR('депозитный калькулятор'!$G$7="30/365",'депозитный калькулятор'!$G$7="30/360"),DAY(F528)=31),0,MIN(OFFSET(H528,-E528+1,0):H528)*(E528+SUMIF(OFFSET(A528,-E528+1,0):A528,"=2",OFFSET(A528,-E528+1,0):A528)))),IF(AND('депозитный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калькулятор'!$G$7="30/360"),DAY(EOMONTH(F528,0))=31),EOMONTH(F528,0)-1=F528,EOMONTH(F528,0)=F528)),IF(IF(AND(OR('депозитный калькулятор'!$G$7="30/365",'депозитный калькулятор'!$G$7="30/360"),DAY(EOMONTH($F$23,0))=31),F528=EOMONTH($F$23,0)-1,F528=EOMONTH($F$23,0)),MIN(OFFSET(H528,-(DAY(F528)-DAY($F$23)),0):H528)*E528,MIN(OFFSET(H528,-(DAY(F528)-1),0):H528)*IF(AND(OR('депозитный калькулятор'!$G$7="30/365",'депозитный калькулятор'!$G$7="30/360"),DAY(F528)&lt;30),30,DAY(F528))),IF(AND('депозитный калькулятор'!$G$10="ежемесячное, на средний остаток в течение месяца, при условии что остаток больше чем ограничение",F528='депозитный калькулятор'!$D$8,EOMONTH(F528,0)&lt;&gt;F528),IF('депозитный калькулятор'!$F$1=1,$H$24,SUM(OFFSET(Q528,-E528+1,0):Q528)),IF(AND('депозитный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калькулятор'!$G$7="30/360"),DAY(EOMONTH(F528,0))=31),EOMONTH(F528,0)-1=F528,EOMONTH(F528,0)=F528)),IF(IF(AND(OR('депозитный калькулятор'!$G$7="30/365",'депозитный калькулятор'!$G$7="30/360"),DAY(EOMONTH($F$24,0))=31),F528=EOMONTH($F$24,0)-1,F528=EOMONTH($F$24,0)),SUM(OFFSET(Q528,-E528+1,0):Q528),SUM(OFFSET(Q528,-E528+1,0):Q528)),IF('депозитный калькулятор'!$G$10="ежеквартальное",IF(F528&gt;'депозитный калькулятор'!$D$8," ",IF(AND(EOMONTH(F528,0)=F528,OR(MONTH(F528)=3,MONTH(F528)=6,MONTH(F528)=9,MONTH(F528)=12)),IF(EDATE(F528,-3)&lt;'депозитный калькулятор'!$D$7,SUM($H$23:H528),IF(MOD(YEAR(F528),4)=0,IF(AND(EOMONTH(F528,0)=F528,OR(MONTH(F528)=3,MONTH(F528)=6)),SUM(OFFSET(H528,-90,0):H528),IF(AND(EOMONTH(F528,0)=F528,OR(MONTH(F528)=9,MONTH(F528)=12)),SUM(OFFSET(H528,-91,0):H528))),IF(AND(EOMONTH(F528,0)=F528,MONTH(F528)=3),SUM(OFFSET(H528,-89,0):H528),IF(AND(EOMONTH(F528,0)=F528,MONTH(F528)=6),SUM(OFFSET(H528,-90,0):H528),IF(AND(EOMONTH(F528,0)=F528,OR(MONTH(F528)=9,MONTH(F528)=12)),SUM(OFFSET(H528,-91,0):H528)))))),IF(F528='депозитный калькулятор'!$D$8,SUM($H$23:H528)-SUM($I$23:I527),0))),IF('депозитный калькулятор'!$G$10="ежегодное",IF(F528&gt;'депозитный калькулятор'!$D$8," ",IF(F528='депозитный калькулятор'!$D$8,SUM($H$23:H528)-SUM($I$23:I527),IF(AND(EOMONTH(F528,0)=F528,MONTH(F528)=12),IF(MOD(YEAR(F527),4)=0,IF(F528-'депозитный калькулятор'!$D$7&lt;366,SUM($H$23:H528),SUM(OFFSET(H528,-365,0):H528)),IF(F528-'депозитный калькулятор'!$D$7&lt;365,SUM($H$23:H528),SUM(OFFSET(H528,-364,0):H528))),0))),IF(AND('депозитный калькулятор'!$G$10="в конце срока",'депозитный калькулятор'!$D$8=F528),SUM($H$23:H528),0))))))))))))))))))</f>
        <v xml:space="preserve"> </v>
      </c>
      <c r="J528" s="59" t="str">
        <f>IF(F528&gt;'депозитный калькулятор'!$D$8," ",IF('депозитный калькулятор'!$G$16="нет",0,IF(AND('депозитный калькулятор'!$G$17="разовая (в конце срока)",F528='депозитный калькулятор'!$D$8),'депозитный калькулятор'!$G$18,IF(AND('депозитный калькулятор'!$G$17="ежемесячная",EOMONTH(F527,0)=F527),'депозитный калькулятор'!$G$18,IF(AND('депозитный калькулятор'!$G$17="ежегодная",DAY(F527)=31,MONTH(F527)=12),'депозитный калькулятор'!$G$18,IF(AND('депозитный калькулятор'!$G$17="ежемесячная в зависимости от остатка",EOMONTH(F527,0)=F527,P527&gt;0),'депозитный калькулятор'!$G$18,IF(AND('депозитный калькулятор'!$G$17="ежегодная в зависимости от остатка",DAY(F527)=31,MONTH(F527)=12,P527&gt;0),'депозитный калькулятор'!$G$18,0)))))))</f>
        <v xml:space="preserve"> </v>
      </c>
      <c r="K528" s="135" t="str">
        <f>IF($F528=" "," ",IFERROR(VLOOKUP($F528,'депозитный калькулятор'!$B$26:$F$70,2,0),0))</f>
        <v xml:space="preserve"> </v>
      </c>
      <c r="L528" s="135" t="str">
        <f>IF($F528=" "," ",IFERROR(VLOOKUP($F528,'депозитный калькулятор'!$B$26:$F$70,3,0),0))</f>
        <v xml:space="preserve"> </v>
      </c>
      <c r="M528" s="135" t="str">
        <f>IF($F528=" "," ",IFERROR(VLOOKUP($F528,'депозитный калькулятор'!$B$26:$F$70,4,0),0))</f>
        <v xml:space="preserve"> </v>
      </c>
      <c r="N528" s="135" t="str">
        <f>IF($F528=" "," ",IFERROR(VLOOKUP($F528,'депозитный калькулятор'!$B$26:$F$70,5,0),0))</f>
        <v xml:space="preserve"> </v>
      </c>
      <c r="O528" s="146" t="str">
        <f>IF(F528&gt;'депозитный калькулятор'!$D$8," ",IF(F528='депозитный калькулятор'!$D$8,IF(AND($F$24='депозитный калькулятор'!$D$8,'депозитный калькулятор'!$G$13="нет"),-G528-IF(I528=" ",0,I528)-IF(AND(OR('депозитный калькулятор'!$G$7="30/365",'депозитный калькулятор'!$G$7="30/360"),'депозитный калькулятор'!$G$10="в начале срока"),I527,0)-L528+M528-N528,-G528-IF(I528=" ",0,I528)-L528+M528-N528),IF('депозитный калькулятор'!$G$13="есть",M528-N528+IF('депозитный калькулятор'!$G$14="есть",0,-L528),-IF(I528=" ",0,I528)-IF(AND(OR('депозитный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срока"),I527,0)+M528-N528+IF('депозитный калькулятор'!$G$14="есть",0,-L528))))</f>
        <v xml:space="preserve"> </v>
      </c>
      <c r="P528" s="147" t="str">
        <f>IF(F528&gt;'депозитный калькулятор'!$D$8," ",IF(EOMONTH(F527,0)=F527,0,IF(G528&gt;='депозитный калькулятор'!$G$19,P527,P527+1)))</f>
        <v xml:space="preserve"> </v>
      </c>
      <c r="Q528" s="138" t="str">
        <f>IF(F528=" "," ",IF(AND(OR('депозитный калькулятор'!$G$7="30/365",'депозитный калькулятор'!$G$7="30/360"),AND(MONTH(F528)=2,EOMONTH(F528,0)=F528)),IF(DAY(F528)=28,3,2),1)*IF(G528&gt;='депозитный калькулятор'!$G$11,IF(AND('депозитный калькулятор'!$G$7="факт/факт",MOD(YEAR(F528),4)=0),G528*'депозитный калькулятор'!$D$11/366,G528*'депозитный калькулятор'!$G$8),0))</f>
        <v xml:space="preserve"> </v>
      </c>
      <c r="R528" s="158"/>
      <c r="S528" s="62" t="str">
        <f t="shared" ca="1" si="37"/>
        <v xml:space="preserve"> </v>
      </c>
      <c r="T528" s="149" t="str">
        <f ca="1">IF(S528=" "," ",IF('депозитный калькулятор'!$G$7="30/360",DAYS360(U527,IF(DAY(U528)=31,U528-1,U528))+IF(AND(MONTH(U528)=2,U528=EOMONTH(U528,0)),30-DAY(EOMONTH(U528,0)))+T527,VLOOKUP(S528,$C$22:$F$1023,2,0)))</f>
        <v xml:space="preserve"> </v>
      </c>
      <c r="U528" s="64" t="str">
        <f t="shared" ca="1" si="35"/>
        <v xml:space="preserve"> </v>
      </c>
      <c r="V528" s="150" t="str">
        <f t="shared" ca="1" si="38"/>
        <v xml:space="preserve"> </v>
      </c>
      <c r="W528" s="62" t="str">
        <f t="shared" ca="1" si="39"/>
        <v xml:space="preserve"> </v>
      </c>
      <c r="X528" s="141" t="str">
        <f ca="1">IF(S528=" "," ",IFERROR(VLOOKUP(U528,$F$23:$N$1023,7)+VLOOKUP(U528,$F$23:$N$1023,9)+IF(AND('депозитный калькулятор'!$G$13="нет",U528&lt;&gt;'депозитный калькулятор'!$D$8),VLOOKUP(U528,$F$23:$N$1023,4),0),0)+IF(U528='депозитный калькулятор'!$D$8,VLOOKUP(U528,$F$23:$N$1023,2)+VLOOKUP(U528,$F$23:$N$1023,4),0))</f>
        <v xml:space="preserve"> </v>
      </c>
      <c r="Y528" s="142" t="str">
        <f ca="1">IF(S528=" "," ",W528/(1+'депозитный калькулятор'!$K$8)^(T528/IF('депозитный калькулятор'!$G$7="30/360",360,365)))</f>
        <v xml:space="preserve"> </v>
      </c>
      <c r="Z528" s="142" t="str">
        <f ca="1">IF(S528=" "," ",X528/(1+'депозитный калькулятор'!$K$8)^(T528/IF('депозитный калькулятор'!$G$7="30/360",360,365)))</f>
        <v xml:space="preserve"> </v>
      </c>
      <c r="AA528" s="151"/>
      <c r="AB528" s="151"/>
      <c r="AC528" s="155"/>
      <c r="AD528" s="155"/>
    </row>
    <row r="529" spans="1:30" s="2" customFormat="1" ht="15.5" x14ac:dyDescent="0.35">
      <c r="A529" s="41" t="str">
        <f>IF(F529=" "," ",IF(OR('депозитный калькулятор'!$G$7="30/365",'депозитный калькулятор'!$G$7="30/360"),IF(AND(MONTH(F529)=2,DAY(F529)=DAY(EOMONTH(F529,0))),30-DAY(EOMONTH(F529,0)),IF(DAY(F529)=31,1," "))," "))</f>
        <v xml:space="preserve"> </v>
      </c>
      <c r="B529" s="130" t="str">
        <f t="shared" si="36"/>
        <v xml:space="preserve"> </v>
      </c>
      <c r="C529" s="130" t="str">
        <f>IF(OR(B529=0,B529=" ")," ",SUM($B$23:B529))</f>
        <v xml:space="preserve"> </v>
      </c>
      <c r="D529" s="62" t="str">
        <f>IF(D528=" "," ",IF(OR(F528='депозитный калькулятор'!$D$8,F528=" ")," ",D528+1))</f>
        <v xml:space="preserve"> </v>
      </c>
      <c r="E529" s="130" t="str">
        <f>IF(OR(F528='депозитный калькулятор'!$D$8,F528=" ")," ",IF(EOMONTH(F528,0)=F528,1,E528+1))</f>
        <v xml:space="preserve"> </v>
      </c>
      <c r="F529" s="64" t="str">
        <f>IF(F528=" "," ",IF(F528='депозитный калькулятор'!$D$8," ",F528+1))</f>
        <v xml:space="preserve"> </v>
      </c>
      <c r="G529" s="145" t="str">
        <f xml:space="preserve"> IF(F529&gt;'депозитный калькулятор'!$D$8," ",IF('депозитный калькулятор'!$G$13="есть",IF('депозитный калькулятор'!$G$14="есть",G528+IF(I528=" ",0,I528)-J529-K529+L529+M529-N529,G528+IF(I528=" ",0,I528)-J529-K529+M529-N529),IF('депозитный калькулятор'!$G$14="есть",G528-J529-K529+L529+M529-N529,G528-J529-K529+M529-N529)))</f>
        <v xml:space="preserve"> </v>
      </c>
      <c r="H529" s="133" t="str">
        <f>IF(F529&gt;'депозитный калькулятор'!$D$8," ",IF(AND(OR('депозитный калькулятор'!$G$7="30/365",'депозитный калькулятор'!$G$7="30/360"),AND(MONTH(F529)=2,EOMONTH(F529,0)=F529)),IF(DAY(F529)=28,3*G529*'депозитный калькулятор'!$G$8,2*G529*'депозитный калькулятор'!$G$8),IF(AND(OR('депозитный калькулятор'!$G$7="30/365",'депозитный калькулятор'!$G$7="30/360"),DAY(F529)=31)," ",IF(AND('депозитный калькулятор'!$G$7="факт/факт",MOD(YEAR(F529),4)=0),G529*'депозитный калькулятор'!$D$11/366,G529*'депозитный калькулятор'!$G$8))))</f>
        <v xml:space="preserve"> </v>
      </c>
      <c r="I529" s="134" t="str">
        <f ca="1">IF(F529=" "," ",IF('депозитный калькулятор'!$G$10="ежедневное",H529,IF(AND('депозитный калькулятор'!$G$10="еженедельное",WEEKDAY(F529,2)=7),SUM(OFFSET(H529,-6,0):H529),IF(AND('депозитный калькулятор'!$G$10="еженедельное",F529='депозитный калькулятор'!$D$8),SUM($H$23:H529)-SUM($I$23:I528),IF(AND('депозитный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недели",WEEKDAY(F529,2)=7),MIN(OFFSET(H529,-6,0):H529)*(COUNTIF(OFFSET(H529,-6,0):H529,"&gt;0")+SUMIF(OFFSET(A529,-WEEKDAY(F529,2),0):A529,"=2",OFFSET(A529,-WEEKDAY(F529,2),0):A529)),IF(AND('депозитный калькулятор'!$G$10="еженедельное, на минимальную сумму зафиксированную в течение недели",F529='депозитный калькулятор'!$D$8,WEEKDAY(F529,2)&lt;&gt;7),MIN(OFFSET(H529,-WEEKDAY(F529,2),0):H529)*(COUNTIF(OFFSET(H529,-WEEKDAY(F529,2)+1,0):H529,"&gt;0")+SUM(OFFSET(A529,-WEEKDAY(F529,2),0):A529)),IF(AND('депозитный калькулятор'!$G$10="ежемесячное (в конце месяца)",F529='депозитный калькулятор'!$D$8,EOMONTH(F529,0)&lt;&gt;F529),IF('депозитный калькулятор'!$F$1=1,$H$24,SUM($H$23:H529)-SUM($I$23:I528)),IF(AND('депозитный калькулятор'!$G$10="ежемесячное (в конце месяца)",EOMONTH(F529,0)=F529),SUM($H$23:H529)-SUM($I$23:I528),IF(AND('депозитный калькулятор'!$G$10="ежемесячное (по дням открытия вклада)",F529='депозитный калькулятор'!$D$8,DAY('депозитный калькулятор'!$D$7)&lt;&gt;DAY(F529)),IF('депозитный калькулятор'!$F$1=1,$H$24,SUM($H$23:H529)-SUM($I$23:I528)),IF(AND('депозитный калькулятор'!$G$10="ежемесячное (по дням открытия вклада)",DAY('депозитный калькулятор'!$D$7)=DAY(F529)),SUM($H$23:H529)-SUM($I$23:I528),IF(AND('депозитный калькулятор'!$G$10="ежемесячное, на минимальную сумму зафиксированную в течение месяца",F529='депозитный калькулятор'!$D$8,EOMONTH(F529,0)&lt;&gt;F529),IF('депозитный калькулятор'!$F$1=1,$H$24,IF(AND(OR('депозитный калькулятор'!$G$7="30/365",'депозитный калькулятор'!$G$7="30/360"),DAY(F529)=31),0,MIN(OFFSET(H529,-E529+1,0):H529)*(E529+SUMIF(OFFSET(A529,-E529+1,0):A529,"=2",OFFSET(A529,-E529+1,0):A529)))),IF(AND('депозитный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калькулятор'!$G$7="30/360"),DAY(EOMONTH(F529,0))=31),EOMONTH(F529,0)-1=F529,EOMONTH(F529,0)=F529)),IF(IF(AND(OR('депозитный калькулятор'!$G$7="30/365",'депозитный калькулятор'!$G$7="30/360"),DAY(EOMONTH($F$23,0))=31),F529=EOMONTH($F$23,0)-1,F529=EOMONTH($F$23,0)),MIN(OFFSET(H529,-(DAY(F529)-DAY($F$23)),0):H529)*E529,MIN(OFFSET(H529,-(DAY(F529)-1),0):H529)*IF(AND(OR('депозитный калькулятор'!$G$7="30/365",'депозитный калькулятор'!$G$7="30/360"),DAY(F529)&lt;30),30,DAY(F529))),IF(AND('депозитный калькулятор'!$G$10="ежемесячное, на средний остаток в течение месяца, при условии что остаток больше чем ограничение",F529='депозитный калькулятор'!$D$8,EOMONTH(F529,0)&lt;&gt;F529),IF('депозитный калькулятор'!$F$1=1,$H$24,SUM(OFFSET(Q529,-E529+1,0):Q529)),IF(AND('депозитный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калькулятор'!$G$7="30/360"),DAY(EOMONTH(F529,0))=31),EOMONTH(F529,0)-1=F529,EOMONTH(F529,0)=F529)),IF(IF(AND(OR('депозитный калькулятор'!$G$7="30/365",'депозитный калькулятор'!$G$7="30/360"),DAY(EOMONTH($F$24,0))=31),F529=EOMONTH($F$24,0)-1,F529=EOMONTH($F$24,0)),SUM(OFFSET(Q529,-E529+1,0):Q529),SUM(OFFSET(Q529,-E529+1,0):Q529)),IF('депозитный калькулятор'!$G$10="ежеквартальное",IF(F529&gt;'депозитный калькулятор'!$D$8," ",IF(AND(EOMONTH(F529,0)=F529,OR(MONTH(F529)=3,MONTH(F529)=6,MONTH(F529)=9,MONTH(F529)=12)),IF(EDATE(F529,-3)&lt;'депозитный калькулятор'!$D$7,SUM($H$23:H529),IF(MOD(YEAR(F529),4)=0,IF(AND(EOMONTH(F529,0)=F529,OR(MONTH(F529)=3,MONTH(F529)=6)),SUM(OFFSET(H529,-90,0):H529),IF(AND(EOMONTH(F529,0)=F529,OR(MONTH(F529)=9,MONTH(F529)=12)),SUM(OFFSET(H529,-91,0):H529))),IF(AND(EOMONTH(F529,0)=F529,MONTH(F529)=3),SUM(OFFSET(H529,-89,0):H529),IF(AND(EOMONTH(F529,0)=F529,MONTH(F529)=6),SUM(OFFSET(H529,-90,0):H529),IF(AND(EOMONTH(F529,0)=F529,OR(MONTH(F529)=9,MONTH(F529)=12)),SUM(OFFSET(H529,-91,0):H529)))))),IF(F529='депозитный калькулятор'!$D$8,SUM($H$23:H529)-SUM($I$23:I528),0))),IF('депозитный калькулятор'!$G$10="ежегодное",IF(F529&gt;'депозитный калькулятор'!$D$8," ",IF(F529='депозитный калькулятор'!$D$8,SUM($H$23:H529)-SUM($I$23:I528),IF(AND(EOMONTH(F529,0)=F529,MONTH(F529)=12),IF(MOD(YEAR(F528),4)=0,IF(F529-'депозитный калькулятор'!$D$7&lt;366,SUM($H$23:H529),SUM(OFFSET(H529,-365,0):H529)),IF(F529-'депозитный калькулятор'!$D$7&lt;365,SUM($H$23:H529),SUM(OFFSET(H529,-364,0):H529))),0))),IF(AND('депозитный калькулятор'!$G$10="в конце срока",'депозитный калькулятор'!$D$8=F529),SUM($H$23:H529),0))))))))))))))))))</f>
        <v xml:space="preserve"> </v>
      </c>
      <c r="J529" s="59" t="str">
        <f>IF(F529&gt;'депозитный калькулятор'!$D$8," ",IF('депозитный калькулятор'!$G$16="нет",0,IF(AND('депозитный калькулятор'!$G$17="разовая (в конце срока)",F529='депозитный калькулятор'!$D$8),'депозитный калькулятор'!$G$18,IF(AND('депозитный калькулятор'!$G$17="ежемесячная",EOMONTH(F528,0)=F528),'депозитный калькулятор'!$G$18,IF(AND('депозитный калькулятор'!$G$17="ежегодная",DAY(F528)=31,MONTH(F528)=12),'депозитный калькулятор'!$G$18,IF(AND('депозитный калькулятор'!$G$17="ежемесячная в зависимости от остатка",EOMONTH(F528,0)=F528,P528&gt;0),'депозитный калькулятор'!$G$18,IF(AND('депозитный калькулятор'!$G$17="ежегодная в зависимости от остатка",DAY(F528)=31,MONTH(F528)=12,P528&gt;0),'депозитный калькулятор'!$G$18,0)))))))</f>
        <v xml:space="preserve"> </v>
      </c>
      <c r="K529" s="135" t="str">
        <f>IF($F529=" "," ",IFERROR(VLOOKUP($F529,'депозитный калькулятор'!$B$26:$F$70,2,0),0))</f>
        <v xml:space="preserve"> </v>
      </c>
      <c r="L529" s="135" t="str">
        <f>IF($F529=" "," ",IFERROR(VLOOKUP($F529,'депозитный калькулятор'!$B$26:$F$70,3,0),0))</f>
        <v xml:space="preserve"> </v>
      </c>
      <c r="M529" s="135" t="str">
        <f>IF($F529=" "," ",IFERROR(VLOOKUP($F529,'депозитный калькулятор'!$B$26:$F$70,4,0),0))</f>
        <v xml:space="preserve"> </v>
      </c>
      <c r="N529" s="135" t="str">
        <f>IF($F529=" "," ",IFERROR(VLOOKUP($F529,'депозитный калькулятор'!$B$26:$F$70,5,0),0))</f>
        <v xml:space="preserve"> </v>
      </c>
      <c r="O529" s="146" t="str">
        <f>IF(F529&gt;'депозитный калькулятор'!$D$8," ",IF(F529='депозитный калькулятор'!$D$8,IF(AND($F$24='депозитный калькулятор'!$D$8,'депозитный калькулятор'!$G$13="нет"),-G529-IF(I529=" ",0,I529)-IF(AND(OR('депозитный калькулятор'!$G$7="30/365",'депозитный калькулятор'!$G$7="30/360"),'депозитный калькулятор'!$G$10="в начале срока"),I528,0)-L529+M529-N529,-G529-IF(I529=" ",0,I529)-L529+M529-N529),IF('депозитный калькулятор'!$G$13="есть",M529-N529+IF('депозитный калькулятор'!$G$14="есть",0,-L529),-IF(I529=" ",0,I529)-IF(AND(OR('депозитный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срока"),I528,0)+M529-N529+IF('депозитный калькулятор'!$G$14="есть",0,-L529))))</f>
        <v xml:space="preserve"> </v>
      </c>
      <c r="P529" s="147" t="str">
        <f>IF(F529&gt;'депозитный калькулятор'!$D$8," ",IF(EOMONTH(F528,0)=F528,0,IF(G529&gt;='депозитный калькулятор'!$G$19,P528,P528+1)))</f>
        <v xml:space="preserve"> </v>
      </c>
      <c r="Q529" s="138" t="str">
        <f>IF(F529=" "," ",IF(AND(OR('депозитный калькулятор'!$G$7="30/365",'депозитный калькулятор'!$G$7="30/360"),AND(MONTH(F529)=2,EOMONTH(F529,0)=F529)),IF(DAY(F529)=28,3,2),1)*IF(G529&gt;='депозитный калькулятор'!$G$11,IF(AND('депозитный калькулятор'!$G$7="факт/факт",MOD(YEAR(F529),4)=0),G529*'депозитный калькулятор'!$D$11/366,G529*'депозитный калькулятор'!$G$8),0))</f>
        <v xml:space="preserve"> </v>
      </c>
      <c r="R529" s="158"/>
      <c r="S529" s="62" t="str">
        <f t="shared" ca="1" si="37"/>
        <v xml:space="preserve"> </v>
      </c>
      <c r="T529" s="149" t="str">
        <f ca="1">IF(S529=" "," ",IF('депозитный калькулятор'!$G$7="30/360",DAYS360(U528,IF(DAY(U529)=31,U529-1,U529))+IF(AND(MONTH(U529)=2,U529=EOMONTH(U529,0)),30-DAY(EOMONTH(U529,0)))+T528,VLOOKUP(S529,$C$22:$F$1023,2,0)))</f>
        <v xml:space="preserve"> </v>
      </c>
      <c r="U529" s="64" t="str">
        <f t="shared" ca="1" si="35"/>
        <v xml:space="preserve"> </v>
      </c>
      <c r="V529" s="150" t="str">
        <f t="shared" ca="1" si="38"/>
        <v xml:space="preserve"> </v>
      </c>
      <c r="W529" s="62" t="str">
        <f t="shared" ca="1" si="39"/>
        <v xml:space="preserve"> </v>
      </c>
      <c r="X529" s="141" t="str">
        <f ca="1">IF(S529=" "," ",IFERROR(VLOOKUP(U529,$F$23:$N$1023,7)+VLOOKUP(U529,$F$23:$N$1023,9)+IF(AND('депозитный калькулятор'!$G$13="нет",U529&lt;&gt;'депозитный калькулятор'!$D$8),VLOOKUP(U529,$F$23:$N$1023,4),0),0)+IF(U529='депозитный калькулятор'!$D$8,VLOOKUP(U529,$F$23:$N$1023,2)+VLOOKUP(U529,$F$23:$N$1023,4),0))</f>
        <v xml:space="preserve"> </v>
      </c>
      <c r="Y529" s="142" t="str">
        <f ca="1">IF(S529=" "," ",W529/(1+'депозитный калькулятор'!$K$8)^(T529/IF('депозитный калькулятор'!$G$7="30/360",360,365)))</f>
        <v xml:space="preserve"> </v>
      </c>
      <c r="Z529" s="142" t="str">
        <f ca="1">IF(S529=" "," ",X529/(1+'депозитный калькулятор'!$K$8)^(T529/IF('депозитный калькулятор'!$G$7="30/360",360,365)))</f>
        <v xml:space="preserve"> </v>
      </c>
      <c r="AA529" s="151"/>
      <c r="AB529" s="151"/>
      <c r="AC529" s="155"/>
      <c r="AD529" s="155"/>
    </row>
    <row r="530" spans="1:30" s="2" customFormat="1" ht="15.5" x14ac:dyDescent="0.35">
      <c r="A530" s="41" t="str">
        <f>IF(F530=" "," ",IF(OR('депозитный калькулятор'!$G$7="30/365",'депозитный калькулятор'!$G$7="30/360"),IF(AND(MONTH(F530)=2,DAY(F530)=DAY(EOMONTH(F530,0))),30-DAY(EOMONTH(F530,0)),IF(DAY(F530)=31,1," "))," "))</f>
        <v xml:space="preserve"> </v>
      </c>
      <c r="B530" s="130" t="str">
        <f t="shared" si="36"/>
        <v xml:space="preserve"> </v>
      </c>
      <c r="C530" s="130" t="str">
        <f>IF(OR(B530=0,B530=" ")," ",SUM($B$23:B530))</f>
        <v xml:space="preserve"> </v>
      </c>
      <c r="D530" s="62" t="str">
        <f>IF(D529=" "," ",IF(OR(F529='депозитный калькулятор'!$D$8,F529=" ")," ",D529+1))</f>
        <v xml:space="preserve"> </v>
      </c>
      <c r="E530" s="130" t="str">
        <f>IF(OR(F529='депозитный калькулятор'!$D$8,F529=" ")," ",IF(EOMONTH(F529,0)=F529,1,E529+1))</f>
        <v xml:space="preserve"> </v>
      </c>
      <c r="F530" s="64" t="str">
        <f>IF(F529=" "," ",IF(F529='депозитный калькулятор'!$D$8," ",F529+1))</f>
        <v xml:space="preserve"> </v>
      </c>
      <c r="G530" s="145" t="str">
        <f xml:space="preserve"> IF(F530&gt;'депозитный калькулятор'!$D$8," ",IF('депозитный калькулятор'!$G$13="есть",IF('депозитный калькулятор'!$G$14="есть",G529+IF(I529=" ",0,I529)-J530-K530+L530+M530-N530,G529+IF(I529=" ",0,I529)-J530-K530+M530-N530),IF('депозитный калькулятор'!$G$14="есть",G529-J530-K530+L530+M530-N530,G529-J530-K530+M530-N530)))</f>
        <v xml:space="preserve"> </v>
      </c>
      <c r="H530" s="133" t="str">
        <f>IF(F530&gt;'депозитный калькулятор'!$D$8," ",IF(AND(OR('депозитный калькулятор'!$G$7="30/365",'депозитный калькулятор'!$G$7="30/360"),AND(MONTH(F530)=2,EOMONTH(F530,0)=F530)),IF(DAY(F530)=28,3*G530*'депозитный калькулятор'!$G$8,2*G530*'депозитный калькулятор'!$G$8),IF(AND(OR('депозитный калькулятор'!$G$7="30/365",'депозитный калькулятор'!$G$7="30/360"),DAY(F530)=31)," ",IF(AND('депозитный калькулятор'!$G$7="факт/факт",MOD(YEAR(F530),4)=0),G530*'депозитный калькулятор'!$D$11/366,G530*'депозитный калькулятор'!$G$8))))</f>
        <v xml:space="preserve"> </v>
      </c>
      <c r="I530" s="134" t="str">
        <f ca="1">IF(F530=" "," ",IF('депозитный калькулятор'!$G$10="ежедневное",H530,IF(AND('депозитный калькулятор'!$G$10="еженедельное",WEEKDAY(F530,2)=7),SUM(OFFSET(H530,-6,0):H530),IF(AND('депозитный калькулятор'!$G$10="еженедельное",F530='депозитный калькулятор'!$D$8),SUM($H$23:H530)-SUM($I$23:I529),IF(AND('депозитный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недели",WEEKDAY(F530,2)=7),MIN(OFFSET(H530,-6,0):H530)*(COUNTIF(OFFSET(H530,-6,0):H530,"&gt;0")+SUMIF(OFFSET(A530,-WEEKDAY(F530,2),0):A530,"=2",OFFSET(A530,-WEEKDAY(F530,2),0):A530)),IF(AND('депозитный калькулятор'!$G$10="еженедельное, на минимальную сумму зафиксированную в течение недели",F530='депозитный калькулятор'!$D$8,WEEKDAY(F530,2)&lt;&gt;7),MIN(OFFSET(H530,-WEEKDAY(F530,2),0):H530)*(COUNTIF(OFFSET(H530,-WEEKDAY(F530,2)+1,0):H530,"&gt;0")+SUM(OFFSET(A530,-WEEKDAY(F530,2),0):A530)),IF(AND('депозитный калькулятор'!$G$10="ежемесячное (в конце месяца)",F530='депозитный калькулятор'!$D$8,EOMONTH(F530,0)&lt;&gt;F530),IF('депозитный калькулятор'!$F$1=1,$H$24,SUM($H$23:H530)-SUM($I$23:I529)),IF(AND('депозитный калькулятор'!$G$10="ежемесячное (в конце месяца)",EOMONTH(F530,0)=F530),SUM($H$23:H530)-SUM($I$23:I529),IF(AND('депозитный калькулятор'!$G$10="ежемесячное (по дням открытия вклада)",F530='депозитный калькулятор'!$D$8,DAY('депозитный калькулятор'!$D$7)&lt;&gt;DAY(F530)),IF('депозитный калькулятор'!$F$1=1,$H$24,SUM($H$23:H530)-SUM($I$23:I529)),IF(AND('депозитный калькулятор'!$G$10="ежемесячное (по дням открытия вклада)",DAY('депозитный калькулятор'!$D$7)=DAY(F530)),SUM($H$23:H530)-SUM($I$23:I529),IF(AND('депозитный калькулятор'!$G$10="ежемесячное, на минимальную сумму зафиксированную в течение месяца",F530='депозитный калькулятор'!$D$8,EOMONTH(F530,0)&lt;&gt;F530),IF('депозитный калькулятор'!$F$1=1,$H$24,IF(AND(OR('депозитный калькулятор'!$G$7="30/365",'депозитный калькулятор'!$G$7="30/360"),DAY(F530)=31),0,MIN(OFFSET(H530,-E530+1,0):H530)*(E530+SUMIF(OFFSET(A530,-E530+1,0):A530,"=2",OFFSET(A530,-E530+1,0):A530)))),IF(AND('депозитный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калькулятор'!$G$7="30/360"),DAY(EOMONTH(F530,0))=31),EOMONTH(F530,0)-1=F530,EOMONTH(F530,0)=F530)),IF(IF(AND(OR('депозитный калькулятор'!$G$7="30/365",'депозитный калькулятор'!$G$7="30/360"),DAY(EOMONTH($F$23,0))=31),F530=EOMONTH($F$23,0)-1,F530=EOMONTH($F$23,0)),MIN(OFFSET(H530,-(DAY(F530)-DAY($F$23)),0):H530)*E530,MIN(OFFSET(H530,-(DAY(F530)-1),0):H530)*IF(AND(OR('депозитный калькулятор'!$G$7="30/365",'депозитный калькулятор'!$G$7="30/360"),DAY(F530)&lt;30),30,DAY(F530))),IF(AND('депозитный калькулятор'!$G$10="ежемесячное, на средний остаток в течение месяца, при условии что остаток больше чем ограничение",F530='депозитный калькулятор'!$D$8,EOMONTH(F530,0)&lt;&gt;F530),IF('депозитный калькулятор'!$F$1=1,$H$24,SUM(OFFSET(Q530,-E530+1,0):Q530)),IF(AND('депозитный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калькулятор'!$G$7="30/360"),DAY(EOMONTH(F530,0))=31),EOMONTH(F530,0)-1=F530,EOMONTH(F530,0)=F530)),IF(IF(AND(OR('депозитный калькулятор'!$G$7="30/365",'депозитный калькулятор'!$G$7="30/360"),DAY(EOMONTH($F$24,0))=31),F530=EOMONTH($F$24,0)-1,F530=EOMONTH($F$24,0)),SUM(OFFSET(Q530,-E530+1,0):Q530),SUM(OFFSET(Q530,-E530+1,0):Q530)),IF('депозитный калькулятор'!$G$10="ежеквартальное",IF(F530&gt;'депозитный калькулятор'!$D$8," ",IF(AND(EOMONTH(F530,0)=F530,OR(MONTH(F530)=3,MONTH(F530)=6,MONTH(F530)=9,MONTH(F530)=12)),IF(EDATE(F530,-3)&lt;'депозитный калькулятор'!$D$7,SUM($H$23:H530),IF(MOD(YEAR(F530),4)=0,IF(AND(EOMONTH(F530,0)=F530,OR(MONTH(F530)=3,MONTH(F530)=6)),SUM(OFFSET(H530,-90,0):H530),IF(AND(EOMONTH(F530,0)=F530,OR(MONTH(F530)=9,MONTH(F530)=12)),SUM(OFFSET(H530,-91,0):H530))),IF(AND(EOMONTH(F530,0)=F530,MONTH(F530)=3),SUM(OFFSET(H530,-89,0):H530),IF(AND(EOMONTH(F530,0)=F530,MONTH(F530)=6),SUM(OFFSET(H530,-90,0):H530),IF(AND(EOMONTH(F530,0)=F530,OR(MONTH(F530)=9,MONTH(F530)=12)),SUM(OFFSET(H530,-91,0):H530)))))),IF(F530='депозитный калькулятор'!$D$8,SUM($H$23:H530)-SUM($I$23:I529),0))),IF('депозитный калькулятор'!$G$10="ежегодное",IF(F530&gt;'депозитный калькулятор'!$D$8," ",IF(F530='депозитный калькулятор'!$D$8,SUM($H$23:H530)-SUM($I$23:I529),IF(AND(EOMONTH(F530,0)=F530,MONTH(F530)=12),IF(MOD(YEAR(F529),4)=0,IF(F530-'депозитный калькулятор'!$D$7&lt;366,SUM($H$23:H530),SUM(OFFSET(H530,-365,0):H530)),IF(F530-'депозитный калькулятор'!$D$7&lt;365,SUM($H$23:H530),SUM(OFFSET(H530,-364,0):H530))),0))),IF(AND('депозитный калькулятор'!$G$10="в конце срока",'депозитный калькулятор'!$D$8=F530),SUM($H$23:H530),0))))))))))))))))))</f>
        <v xml:space="preserve"> </v>
      </c>
      <c r="J530" s="59" t="str">
        <f>IF(F530&gt;'депозитный калькулятор'!$D$8," ",IF('депозитный калькулятор'!$G$16="нет",0,IF(AND('депозитный калькулятор'!$G$17="разовая (в конце срока)",F530='депозитный калькулятор'!$D$8),'депозитный калькулятор'!$G$18,IF(AND('депозитный калькулятор'!$G$17="ежемесячная",EOMONTH(F529,0)=F529),'депозитный калькулятор'!$G$18,IF(AND('депозитный калькулятор'!$G$17="ежегодная",DAY(F529)=31,MONTH(F529)=12),'депозитный калькулятор'!$G$18,IF(AND('депозитный калькулятор'!$G$17="ежемесячная в зависимости от остатка",EOMONTH(F529,0)=F529,P529&gt;0),'депозитный калькулятор'!$G$18,IF(AND('депозитный калькулятор'!$G$17="ежегодная в зависимости от остатка",DAY(F529)=31,MONTH(F529)=12,P529&gt;0),'депозитный калькулятор'!$G$18,0)))))))</f>
        <v xml:space="preserve"> </v>
      </c>
      <c r="K530" s="135" t="str">
        <f>IF($F530=" "," ",IFERROR(VLOOKUP($F530,'депозитный калькулятор'!$B$26:$F$70,2,0),0))</f>
        <v xml:space="preserve"> </v>
      </c>
      <c r="L530" s="135" t="str">
        <f>IF($F530=" "," ",IFERROR(VLOOKUP($F530,'депозитный калькулятор'!$B$26:$F$70,3,0),0))</f>
        <v xml:space="preserve"> </v>
      </c>
      <c r="M530" s="135" t="str">
        <f>IF($F530=" "," ",IFERROR(VLOOKUP($F530,'депозитный калькулятор'!$B$26:$F$70,4,0),0))</f>
        <v xml:space="preserve"> </v>
      </c>
      <c r="N530" s="135" t="str">
        <f>IF($F530=" "," ",IFERROR(VLOOKUP($F530,'депозитный калькулятор'!$B$26:$F$70,5,0),0))</f>
        <v xml:space="preserve"> </v>
      </c>
      <c r="O530" s="146" t="str">
        <f>IF(F530&gt;'депозитный калькулятор'!$D$8," ",IF(F530='депозитный калькулятор'!$D$8,IF(AND($F$24='депозитный калькулятор'!$D$8,'депозитный калькулятор'!$G$13="нет"),-G530-IF(I530=" ",0,I530)-IF(AND(OR('депозитный калькулятор'!$G$7="30/365",'депозитный калькулятор'!$G$7="30/360"),'депозитный калькулятор'!$G$10="в начале срока"),I529,0)-L530+M530-N530,-G530-IF(I530=" ",0,I530)-L530+M530-N530),IF('депозитный калькулятор'!$G$13="есть",M530-N530+IF('депозитный калькулятор'!$G$14="есть",0,-L530),-IF(I530=" ",0,I530)-IF(AND(OR('депозитный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срока"),I529,0)+M530-N530+IF('депозитный калькулятор'!$G$14="есть",0,-L530))))</f>
        <v xml:space="preserve"> </v>
      </c>
      <c r="P530" s="147" t="str">
        <f>IF(F530&gt;'депозитный калькулятор'!$D$8," ",IF(EOMONTH(F529,0)=F529,0,IF(G530&gt;='депозитный калькулятор'!$G$19,P529,P529+1)))</f>
        <v xml:space="preserve"> </v>
      </c>
      <c r="Q530" s="138" t="str">
        <f>IF(F530=" "," ",IF(AND(OR('депозитный калькулятор'!$G$7="30/365",'депозитный калькулятор'!$G$7="30/360"),AND(MONTH(F530)=2,EOMONTH(F530,0)=F530)),IF(DAY(F530)=28,3,2),1)*IF(G530&gt;='депозитный калькулятор'!$G$11,IF(AND('депозитный калькулятор'!$G$7="факт/факт",MOD(YEAR(F530),4)=0),G530*'депозитный калькулятор'!$D$11/366,G530*'депозитный калькулятор'!$G$8),0))</f>
        <v xml:space="preserve"> </v>
      </c>
      <c r="R530" s="158"/>
      <c r="S530" s="62" t="str">
        <f t="shared" ca="1" si="37"/>
        <v xml:space="preserve"> </v>
      </c>
      <c r="T530" s="149" t="str">
        <f ca="1">IF(S530=" "," ",IF('депозитный калькулятор'!$G$7="30/360",DAYS360(U529,IF(DAY(U530)=31,U530-1,U530))+IF(AND(MONTH(U530)=2,U530=EOMONTH(U530,0)),30-DAY(EOMONTH(U530,0)))+T529,VLOOKUP(S530,$C$22:$F$1023,2,0)))</f>
        <v xml:space="preserve"> </v>
      </c>
      <c r="U530" s="64" t="str">
        <f t="shared" ca="1" si="35"/>
        <v xml:space="preserve"> </v>
      </c>
      <c r="V530" s="150" t="str">
        <f t="shared" ca="1" si="38"/>
        <v xml:space="preserve"> </v>
      </c>
      <c r="W530" s="62" t="str">
        <f t="shared" ca="1" si="39"/>
        <v xml:space="preserve"> </v>
      </c>
      <c r="X530" s="141" t="str">
        <f ca="1">IF(S530=" "," ",IFERROR(VLOOKUP(U530,$F$23:$N$1023,7)+VLOOKUP(U530,$F$23:$N$1023,9)+IF(AND('депозитный калькулятор'!$G$13="нет",U530&lt;&gt;'депозитный калькулятор'!$D$8),VLOOKUP(U530,$F$23:$N$1023,4),0),0)+IF(U530='депозитный калькулятор'!$D$8,VLOOKUP(U530,$F$23:$N$1023,2)+VLOOKUP(U530,$F$23:$N$1023,4),0))</f>
        <v xml:space="preserve"> </v>
      </c>
      <c r="Y530" s="142" t="str">
        <f ca="1">IF(S530=" "," ",W530/(1+'депозитный калькулятор'!$K$8)^(T530/IF('депозитный калькулятор'!$G$7="30/360",360,365)))</f>
        <v xml:space="preserve"> </v>
      </c>
      <c r="Z530" s="142" t="str">
        <f ca="1">IF(S530=" "," ",X530/(1+'депозитный калькулятор'!$K$8)^(T530/IF('депозитный калькулятор'!$G$7="30/360",360,365)))</f>
        <v xml:space="preserve"> </v>
      </c>
      <c r="AA530" s="151"/>
      <c r="AB530" s="151"/>
      <c r="AC530" s="155"/>
      <c r="AD530" s="155"/>
    </row>
    <row r="531" spans="1:30" s="2" customFormat="1" ht="15.5" x14ac:dyDescent="0.35">
      <c r="A531" s="41" t="str">
        <f>IF(F531=" "," ",IF(OR('депозитный калькулятор'!$G$7="30/365",'депозитный калькулятор'!$G$7="30/360"),IF(AND(MONTH(F531)=2,DAY(F531)=DAY(EOMONTH(F531,0))),30-DAY(EOMONTH(F531,0)),IF(DAY(F531)=31,1," "))," "))</f>
        <v xml:space="preserve"> </v>
      </c>
      <c r="B531" s="130" t="str">
        <f t="shared" si="36"/>
        <v xml:space="preserve"> </v>
      </c>
      <c r="C531" s="130" t="str">
        <f>IF(OR(B531=0,B531=" ")," ",SUM($B$23:B531))</f>
        <v xml:space="preserve"> </v>
      </c>
      <c r="D531" s="62" t="str">
        <f>IF(D530=" "," ",IF(OR(F530='депозитный калькулятор'!$D$8,F530=" ")," ",D530+1))</f>
        <v xml:space="preserve"> </v>
      </c>
      <c r="E531" s="130" t="str">
        <f>IF(OR(F530='депозитный калькулятор'!$D$8,F530=" ")," ",IF(EOMONTH(F530,0)=F530,1,E530+1))</f>
        <v xml:space="preserve"> </v>
      </c>
      <c r="F531" s="64" t="str">
        <f>IF(F530=" "," ",IF(F530='депозитный калькулятор'!$D$8," ",F530+1))</f>
        <v xml:space="preserve"> </v>
      </c>
      <c r="G531" s="145" t="str">
        <f xml:space="preserve"> IF(F531&gt;'депозитный калькулятор'!$D$8," ",IF('депозитный калькулятор'!$G$13="есть",IF('депозитный калькулятор'!$G$14="есть",G530+IF(I530=" ",0,I530)-J531-K531+L531+M531-N531,G530+IF(I530=" ",0,I530)-J531-K531+M531-N531),IF('депозитный калькулятор'!$G$14="есть",G530-J531-K531+L531+M531-N531,G530-J531-K531+M531-N531)))</f>
        <v xml:space="preserve"> </v>
      </c>
      <c r="H531" s="133" t="str">
        <f>IF(F531&gt;'депозитный калькулятор'!$D$8," ",IF(AND(OR('депозитный калькулятор'!$G$7="30/365",'депозитный калькулятор'!$G$7="30/360"),AND(MONTH(F531)=2,EOMONTH(F531,0)=F531)),IF(DAY(F531)=28,3*G531*'депозитный калькулятор'!$G$8,2*G531*'депозитный калькулятор'!$G$8),IF(AND(OR('депозитный калькулятор'!$G$7="30/365",'депозитный калькулятор'!$G$7="30/360"),DAY(F531)=31)," ",IF(AND('депозитный калькулятор'!$G$7="факт/факт",MOD(YEAR(F531),4)=0),G531*'депозитный калькулятор'!$D$11/366,G531*'депозитный калькулятор'!$G$8))))</f>
        <v xml:space="preserve"> </v>
      </c>
      <c r="I531" s="134" t="str">
        <f ca="1">IF(F531=" "," ",IF('депозитный калькулятор'!$G$10="ежедневное",H531,IF(AND('депозитный калькулятор'!$G$10="еженедельное",WEEKDAY(F531,2)=7),SUM(OFFSET(H531,-6,0):H531),IF(AND('депозитный калькулятор'!$G$10="еженедельное",F531='депозитный калькулятор'!$D$8),SUM($H$23:H531)-SUM($I$23:I530),IF(AND('депозитный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недели",WEEKDAY(F531,2)=7),MIN(OFFSET(H531,-6,0):H531)*(COUNTIF(OFFSET(H531,-6,0):H531,"&gt;0")+SUMIF(OFFSET(A531,-WEEKDAY(F531,2),0):A531,"=2",OFFSET(A531,-WEEKDAY(F531,2),0):A531)),IF(AND('депозитный калькулятор'!$G$10="еженедельное, на минимальную сумму зафиксированную в течение недели",F531='депозитный калькулятор'!$D$8,WEEKDAY(F531,2)&lt;&gt;7),MIN(OFFSET(H531,-WEEKDAY(F531,2),0):H531)*(COUNTIF(OFFSET(H531,-WEEKDAY(F531,2)+1,0):H531,"&gt;0")+SUM(OFFSET(A531,-WEEKDAY(F531,2),0):A531)),IF(AND('депозитный калькулятор'!$G$10="ежемесячное (в конце месяца)",F531='депозитный калькулятор'!$D$8,EOMONTH(F531,0)&lt;&gt;F531),IF('депозитный калькулятор'!$F$1=1,$H$24,SUM($H$23:H531)-SUM($I$23:I530)),IF(AND('депозитный калькулятор'!$G$10="ежемесячное (в конце месяца)",EOMONTH(F531,0)=F531),SUM($H$23:H531)-SUM($I$23:I530),IF(AND('депозитный калькулятор'!$G$10="ежемесячное (по дням открытия вклада)",F531='депозитный калькулятор'!$D$8,DAY('депозитный калькулятор'!$D$7)&lt;&gt;DAY(F531)),IF('депозитный калькулятор'!$F$1=1,$H$24,SUM($H$23:H531)-SUM($I$23:I530)),IF(AND('депозитный калькулятор'!$G$10="ежемесячное (по дням открытия вклада)",DAY('депозитный калькулятор'!$D$7)=DAY(F531)),SUM($H$23:H531)-SUM($I$23:I530),IF(AND('депозитный калькулятор'!$G$10="ежемесячное, на минимальную сумму зафиксированную в течение месяца",F531='депозитный калькулятор'!$D$8,EOMONTH(F531,0)&lt;&gt;F531),IF('депозитный калькулятор'!$F$1=1,$H$24,IF(AND(OR('депозитный калькулятор'!$G$7="30/365",'депозитный калькулятор'!$G$7="30/360"),DAY(F531)=31),0,MIN(OFFSET(H531,-E531+1,0):H531)*(E531+SUMIF(OFFSET(A531,-E531+1,0):A531,"=2",OFFSET(A531,-E531+1,0):A531)))),IF(AND('депозитный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калькулятор'!$G$7="30/360"),DAY(EOMONTH(F531,0))=31),EOMONTH(F531,0)-1=F531,EOMONTH(F531,0)=F531)),IF(IF(AND(OR('депозитный калькулятор'!$G$7="30/365",'депозитный калькулятор'!$G$7="30/360"),DAY(EOMONTH($F$23,0))=31),F531=EOMONTH($F$23,0)-1,F531=EOMONTH($F$23,0)),MIN(OFFSET(H531,-(DAY(F531)-DAY($F$23)),0):H531)*E531,MIN(OFFSET(H531,-(DAY(F531)-1),0):H531)*IF(AND(OR('депозитный калькулятор'!$G$7="30/365",'депозитный калькулятор'!$G$7="30/360"),DAY(F531)&lt;30),30,DAY(F531))),IF(AND('депозитный калькулятор'!$G$10="ежемесячное, на средний остаток в течение месяца, при условии что остаток больше чем ограничение",F531='депозитный калькулятор'!$D$8,EOMONTH(F531,0)&lt;&gt;F531),IF('депозитный калькулятор'!$F$1=1,$H$24,SUM(OFFSET(Q531,-E531+1,0):Q531)),IF(AND('депозитный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калькулятор'!$G$7="30/360"),DAY(EOMONTH(F531,0))=31),EOMONTH(F531,0)-1=F531,EOMONTH(F531,0)=F531)),IF(IF(AND(OR('депозитный калькулятор'!$G$7="30/365",'депозитный калькулятор'!$G$7="30/360"),DAY(EOMONTH($F$24,0))=31),F531=EOMONTH($F$24,0)-1,F531=EOMONTH($F$24,0)),SUM(OFFSET(Q531,-E531+1,0):Q531),SUM(OFFSET(Q531,-E531+1,0):Q531)),IF('депозитный калькулятор'!$G$10="ежеквартальное",IF(F531&gt;'депозитный калькулятор'!$D$8," ",IF(AND(EOMONTH(F531,0)=F531,OR(MONTH(F531)=3,MONTH(F531)=6,MONTH(F531)=9,MONTH(F531)=12)),IF(EDATE(F531,-3)&lt;'депозитный калькулятор'!$D$7,SUM($H$23:H531),IF(MOD(YEAR(F531),4)=0,IF(AND(EOMONTH(F531,0)=F531,OR(MONTH(F531)=3,MONTH(F531)=6)),SUM(OFFSET(H531,-90,0):H531),IF(AND(EOMONTH(F531,0)=F531,OR(MONTH(F531)=9,MONTH(F531)=12)),SUM(OFFSET(H531,-91,0):H531))),IF(AND(EOMONTH(F531,0)=F531,MONTH(F531)=3),SUM(OFFSET(H531,-89,0):H531),IF(AND(EOMONTH(F531,0)=F531,MONTH(F531)=6),SUM(OFFSET(H531,-90,0):H531),IF(AND(EOMONTH(F531,0)=F531,OR(MONTH(F531)=9,MONTH(F531)=12)),SUM(OFFSET(H531,-91,0):H531)))))),IF(F531='депозитный калькулятор'!$D$8,SUM($H$23:H531)-SUM($I$23:I530),0))),IF('депозитный калькулятор'!$G$10="ежегодное",IF(F531&gt;'депозитный калькулятор'!$D$8," ",IF(F531='депозитный калькулятор'!$D$8,SUM($H$23:H531)-SUM($I$23:I530),IF(AND(EOMONTH(F531,0)=F531,MONTH(F531)=12),IF(MOD(YEAR(F530),4)=0,IF(F531-'депозитный калькулятор'!$D$7&lt;366,SUM($H$23:H531),SUM(OFFSET(H531,-365,0):H531)),IF(F531-'депозитный калькулятор'!$D$7&lt;365,SUM($H$23:H531),SUM(OFFSET(H531,-364,0):H531))),0))),IF(AND('депозитный калькулятор'!$G$10="в конце срока",'депозитный калькулятор'!$D$8=F531),SUM($H$23:H531),0))))))))))))))))))</f>
        <v xml:space="preserve"> </v>
      </c>
      <c r="J531" s="59" t="str">
        <f>IF(F531&gt;'депозитный калькулятор'!$D$8," ",IF('депозитный калькулятор'!$G$16="нет",0,IF(AND('депозитный калькулятор'!$G$17="разовая (в конце срока)",F531='депозитный калькулятор'!$D$8),'депозитный калькулятор'!$G$18,IF(AND('депозитный калькулятор'!$G$17="ежемесячная",EOMONTH(F530,0)=F530),'депозитный калькулятор'!$G$18,IF(AND('депозитный калькулятор'!$G$17="ежегодная",DAY(F530)=31,MONTH(F530)=12),'депозитный калькулятор'!$G$18,IF(AND('депозитный калькулятор'!$G$17="ежемесячная в зависимости от остатка",EOMONTH(F530,0)=F530,P530&gt;0),'депозитный калькулятор'!$G$18,IF(AND('депозитный калькулятор'!$G$17="ежегодная в зависимости от остатка",DAY(F530)=31,MONTH(F530)=12,P530&gt;0),'депозитный калькулятор'!$G$18,0)))))))</f>
        <v xml:space="preserve"> </v>
      </c>
      <c r="K531" s="135" t="str">
        <f>IF($F531=" "," ",IFERROR(VLOOKUP($F531,'депозитный калькулятор'!$B$26:$F$70,2,0),0))</f>
        <v xml:space="preserve"> </v>
      </c>
      <c r="L531" s="135" t="str">
        <f>IF($F531=" "," ",IFERROR(VLOOKUP($F531,'депозитный калькулятор'!$B$26:$F$70,3,0),0))</f>
        <v xml:space="preserve"> </v>
      </c>
      <c r="M531" s="135" t="str">
        <f>IF($F531=" "," ",IFERROR(VLOOKUP($F531,'депозитный калькулятор'!$B$26:$F$70,4,0),0))</f>
        <v xml:space="preserve"> </v>
      </c>
      <c r="N531" s="135" t="str">
        <f>IF($F531=" "," ",IFERROR(VLOOKUP($F531,'депозитный калькулятор'!$B$26:$F$70,5,0),0))</f>
        <v xml:space="preserve"> </v>
      </c>
      <c r="O531" s="146" t="str">
        <f>IF(F531&gt;'депозитный калькулятор'!$D$8," ",IF(F531='депозитный калькулятор'!$D$8,IF(AND($F$24='депозитный калькулятор'!$D$8,'депозитный калькулятор'!$G$13="нет"),-G531-IF(I531=" ",0,I531)-IF(AND(OR('депозитный калькулятор'!$G$7="30/365",'депозитный калькулятор'!$G$7="30/360"),'депозитный калькулятор'!$G$10="в начале срока"),I530,0)-L531+M531-N531,-G531-IF(I531=" ",0,I531)-L531+M531-N531),IF('депозитный калькулятор'!$G$13="есть",M531-N531+IF('депозитный калькулятор'!$G$14="есть",0,-L531),-IF(I531=" ",0,I531)-IF(AND(OR('депозитный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срока"),I530,0)+M531-N531+IF('депозитный калькулятор'!$G$14="есть",0,-L531))))</f>
        <v xml:space="preserve"> </v>
      </c>
      <c r="P531" s="147" t="str">
        <f>IF(F531&gt;'депозитный калькулятор'!$D$8," ",IF(EOMONTH(F530,0)=F530,0,IF(G531&gt;='депозитный калькулятор'!$G$19,P530,P530+1)))</f>
        <v xml:space="preserve"> </v>
      </c>
      <c r="Q531" s="138" t="str">
        <f>IF(F531=" "," ",IF(AND(OR('депозитный калькулятор'!$G$7="30/365",'депозитный калькулятор'!$G$7="30/360"),AND(MONTH(F531)=2,EOMONTH(F531,0)=F531)),IF(DAY(F531)=28,3,2),1)*IF(G531&gt;='депозитный калькулятор'!$G$11,IF(AND('депозитный калькулятор'!$G$7="факт/факт",MOD(YEAR(F531),4)=0),G531*'депозитный калькулятор'!$D$11/366,G531*'депозитный калькулятор'!$G$8),0))</f>
        <v xml:space="preserve"> </v>
      </c>
      <c r="R531" s="158"/>
      <c r="S531" s="62" t="str">
        <f t="shared" ca="1" si="37"/>
        <v xml:space="preserve"> </v>
      </c>
      <c r="T531" s="149" t="str">
        <f ca="1">IF(S531=" "," ",IF('депозитный калькулятор'!$G$7="30/360",DAYS360(U530,IF(DAY(U531)=31,U531-1,U531))+IF(AND(MONTH(U531)=2,U531=EOMONTH(U531,0)),30-DAY(EOMONTH(U531,0)))+T530,VLOOKUP(S531,$C$22:$F$1023,2,0)))</f>
        <v xml:space="preserve"> </v>
      </c>
      <c r="U531" s="64" t="str">
        <f t="shared" ca="1" si="35"/>
        <v xml:space="preserve"> </v>
      </c>
      <c r="V531" s="150" t="str">
        <f t="shared" ca="1" si="38"/>
        <v xml:space="preserve"> </v>
      </c>
      <c r="W531" s="62" t="str">
        <f t="shared" ca="1" si="39"/>
        <v xml:space="preserve"> </v>
      </c>
      <c r="X531" s="141" t="str">
        <f ca="1">IF(S531=" "," ",IFERROR(VLOOKUP(U531,$F$23:$N$1023,7)+VLOOKUP(U531,$F$23:$N$1023,9)+IF(AND('депозитный калькулятор'!$G$13="нет",U531&lt;&gt;'депозитный калькулятор'!$D$8),VLOOKUP(U531,$F$23:$N$1023,4),0),0)+IF(U531='депозитный калькулятор'!$D$8,VLOOKUP(U531,$F$23:$N$1023,2)+VLOOKUP(U531,$F$23:$N$1023,4),0))</f>
        <v xml:space="preserve"> </v>
      </c>
      <c r="Y531" s="142" t="str">
        <f ca="1">IF(S531=" "," ",W531/(1+'депозитный калькулятор'!$K$8)^(T531/IF('депозитный калькулятор'!$G$7="30/360",360,365)))</f>
        <v xml:space="preserve"> </v>
      </c>
      <c r="Z531" s="142" t="str">
        <f ca="1">IF(S531=" "," ",X531/(1+'депозитный калькулятор'!$K$8)^(T531/IF('депозитный калькулятор'!$G$7="30/360",360,365)))</f>
        <v xml:space="preserve"> </v>
      </c>
      <c r="AA531" s="151"/>
      <c r="AB531" s="151"/>
      <c r="AC531" s="155"/>
      <c r="AD531" s="155"/>
    </row>
    <row r="532" spans="1:30" s="2" customFormat="1" ht="15.5" x14ac:dyDescent="0.35">
      <c r="A532" s="41" t="str">
        <f>IF(F532=" "," ",IF(OR('депозитный калькулятор'!$G$7="30/365",'депозитный калькулятор'!$G$7="30/360"),IF(AND(MONTH(F532)=2,DAY(F532)=DAY(EOMONTH(F532,0))),30-DAY(EOMONTH(F532,0)),IF(DAY(F532)=31,1," "))," "))</f>
        <v xml:space="preserve"> </v>
      </c>
      <c r="B532" s="130" t="str">
        <f t="shared" si="36"/>
        <v xml:space="preserve"> </v>
      </c>
      <c r="C532" s="130" t="str">
        <f>IF(OR(B532=0,B532=" ")," ",SUM($B$23:B532))</f>
        <v xml:space="preserve"> </v>
      </c>
      <c r="D532" s="62" t="str">
        <f>IF(D531=" "," ",IF(OR(F531='депозитный калькулятор'!$D$8,F531=" ")," ",D531+1))</f>
        <v xml:space="preserve"> </v>
      </c>
      <c r="E532" s="130" t="str">
        <f>IF(OR(F531='депозитный калькулятор'!$D$8,F531=" ")," ",IF(EOMONTH(F531,0)=F531,1,E531+1))</f>
        <v xml:space="preserve"> </v>
      </c>
      <c r="F532" s="64" t="str">
        <f>IF(F531=" "," ",IF(F531='депозитный калькулятор'!$D$8," ",F531+1))</f>
        <v xml:space="preserve"> </v>
      </c>
      <c r="G532" s="145" t="str">
        <f xml:space="preserve"> IF(F532&gt;'депозитный калькулятор'!$D$8," ",IF('депозитный калькулятор'!$G$13="есть",IF('депозитный калькулятор'!$G$14="есть",G531+IF(I531=" ",0,I531)-J532-K532+L532+M532-N532,G531+IF(I531=" ",0,I531)-J532-K532+M532-N532),IF('депозитный калькулятор'!$G$14="есть",G531-J532-K532+L532+M532-N532,G531-J532-K532+M532-N532)))</f>
        <v xml:space="preserve"> </v>
      </c>
      <c r="H532" s="133" t="str">
        <f>IF(F532&gt;'депозитный калькулятор'!$D$8," ",IF(AND(OR('депозитный калькулятор'!$G$7="30/365",'депозитный калькулятор'!$G$7="30/360"),AND(MONTH(F532)=2,EOMONTH(F532,0)=F532)),IF(DAY(F532)=28,3*G532*'депозитный калькулятор'!$G$8,2*G532*'депозитный калькулятор'!$G$8),IF(AND(OR('депозитный калькулятор'!$G$7="30/365",'депозитный калькулятор'!$G$7="30/360"),DAY(F532)=31)," ",IF(AND('депозитный калькулятор'!$G$7="факт/факт",MOD(YEAR(F532),4)=0),G532*'депозитный калькулятор'!$D$11/366,G532*'депозитный калькулятор'!$G$8))))</f>
        <v xml:space="preserve"> </v>
      </c>
      <c r="I532" s="134" t="str">
        <f ca="1">IF(F532=" "," ",IF('депозитный калькулятор'!$G$10="ежедневное",H532,IF(AND('депозитный калькулятор'!$G$10="еженедельное",WEEKDAY(F532,2)=7),SUM(OFFSET(H532,-6,0):H532),IF(AND('депозитный калькулятор'!$G$10="еженедельное",F532='депозитный калькулятор'!$D$8),SUM($H$23:H532)-SUM($I$23:I531),IF(AND('депозитный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недели",WEEKDAY(F532,2)=7),MIN(OFFSET(H532,-6,0):H532)*(COUNTIF(OFFSET(H532,-6,0):H532,"&gt;0")+SUMIF(OFFSET(A532,-WEEKDAY(F532,2),0):A532,"=2",OFFSET(A532,-WEEKDAY(F532,2),0):A532)),IF(AND('депозитный калькулятор'!$G$10="еженедельное, на минимальную сумму зафиксированную в течение недели",F532='депозитный калькулятор'!$D$8,WEEKDAY(F532,2)&lt;&gt;7),MIN(OFFSET(H532,-WEEKDAY(F532,2),0):H532)*(COUNTIF(OFFSET(H532,-WEEKDAY(F532,2)+1,0):H532,"&gt;0")+SUM(OFFSET(A532,-WEEKDAY(F532,2),0):A532)),IF(AND('депозитный калькулятор'!$G$10="ежемесячное (в конце месяца)",F532='депозитный калькулятор'!$D$8,EOMONTH(F532,0)&lt;&gt;F532),IF('депозитный калькулятор'!$F$1=1,$H$24,SUM($H$23:H532)-SUM($I$23:I531)),IF(AND('депозитный калькулятор'!$G$10="ежемесячное (в конце месяца)",EOMONTH(F532,0)=F532),SUM($H$23:H532)-SUM($I$23:I531),IF(AND('депозитный калькулятор'!$G$10="ежемесячное (по дням открытия вклада)",F532='депозитный калькулятор'!$D$8,DAY('депозитный калькулятор'!$D$7)&lt;&gt;DAY(F532)),IF('депозитный калькулятор'!$F$1=1,$H$24,SUM($H$23:H532)-SUM($I$23:I531)),IF(AND('депозитный калькулятор'!$G$10="ежемесячное (по дням открытия вклада)",DAY('депозитный калькулятор'!$D$7)=DAY(F532)),SUM($H$23:H532)-SUM($I$23:I531),IF(AND('депозитный калькулятор'!$G$10="ежемесячное, на минимальную сумму зафиксированную в течение месяца",F532='депозитный калькулятор'!$D$8,EOMONTH(F532,0)&lt;&gt;F532),IF('депозитный калькулятор'!$F$1=1,$H$24,IF(AND(OR('депозитный калькулятор'!$G$7="30/365",'депозитный калькулятор'!$G$7="30/360"),DAY(F532)=31),0,MIN(OFFSET(H532,-E532+1,0):H532)*(E532+SUMIF(OFFSET(A532,-E532+1,0):A532,"=2",OFFSET(A532,-E532+1,0):A532)))),IF(AND('депозитный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калькулятор'!$G$7="30/360"),DAY(EOMONTH(F532,0))=31),EOMONTH(F532,0)-1=F532,EOMONTH(F532,0)=F532)),IF(IF(AND(OR('депозитный калькулятор'!$G$7="30/365",'депозитный калькулятор'!$G$7="30/360"),DAY(EOMONTH($F$23,0))=31),F532=EOMONTH($F$23,0)-1,F532=EOMONTH($F$23,0)),MIN(OFFSET(H532,-(DAY(F532)-DAY($F$23)),0):H532)*E532,MIN(OFFSET(H532,-(DAY(F532)-1),0):H532)*IF(AND(OR('депозитный калькулятор'!$G$7="30/365",'депозитный калькулятор'!$G$7="30/360"),DAY(F532)&lt;30),30,DAY(F532))),IF(AND('депозитный калькулятор'!$G$10="ежемесячное, на средний остаток в течение месяца, при условии что остаток больше чем ограничение",F532='депозитный калькулятор'!$D$8,EOMONTH(F532,0)&lt;&gt;F532),IF('депозитный калькулятор'!$F$1=1,$H$24,SUM(OFFSET(Q532,-E532+1,0):Q532)),IF(AND('депозитный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калькулятор'!$G$7="30/360"),DAY(EOMONTH(F532,0))=31),EOMONTH(F532,0)-1=F532,EOMONTH(F532,0)=F532)),IF(IF(AND(OR('депозитный калькулятор'!$G$7="30/365",'депозитный калькулятор'!$G$7="30/360"),DAY(EOMONTH($F$24,0))=31),F532=EOMONTH($F$24,0)-1,F532=EOMONTH($F$24,0)),SUM(OFFSET(Q532,-E532+1,0):Q532),SUM(OFFSET(Q532,-E532+1,0):Q532)),IF('депозитный калькулятор'!$G$10="ежеквартальное",IF(F532&gt;'депозитный калькулятор'!$D$8," ",IF(AND(EOMONTH(F532,0)=F532,OR(MONTH(F532)=3,MONTH(F532)=6,MONTH(F532)=9,MONTH(F532)=12)),IF(EDATE(F532,-3)&lt;'депозитный калькулятор'!$D$7,SUM($H$23:H532),IF(MOD(YEAR(F532),4)=0,IF(AND(EOMONTH(F532,0)=F532,OR(MONTH(F532)=3,MONTH(F532)=6)),SUM(OFFSET(H532,-90,0):H532),IF(AND(EOMONTH(F532,0)=F532,OR(MONTH(F532)=9,MONTH(F532)=12)),SUM(OFFSET(H532,-91,0):H532))),IF(AND(EOMONTH(F532,0)=F532,MONTH(F532)=3),SUM(OFFSET(H532,-89,0):H532),IF(AND(EOMONTH(F532,0)=F532,MONTH(F532)=6),SUM(OFFSET(H532,-90,0):H532),IF(AND(EOMONTH(F532,0)=F532,OR(MONTH(F532)=9,MONTH(F532)=12)),SUM(OFFSET(H532,-91,0):H532)))))),IF(F532='депозитный калькулятор'!$D$8,SUM($H$23:H532)-SUM($I$23:I531),0))),IF('депозитный калькулятор'!$G$10="ежегодное",IF(F532&gt;'депозитный калькулятор'!$D$8," ",IF(F532='депозитный калькулятор'!$D$8,SUM($H$23:H532)-SUM($I$23:I531),IF(AND(EOMONTH(F532,0)=F532,MONTH(F532)=12),IF(MOD(YEAR(F531),4)=0,IF(F532-'депозитный калькулятор'!$D$7&lt;366,SUM($H$23:H532),SUM(OFFSET(H532,-365,0):H532)),IF(F532-'депозитный калькулятор'!$D$7&lt;365,SUM($H$23:H532),SUM(OFFSET(H532,-364,0):H532))),0))),IF(AND('депозитный калькулятор'!$G$10="в конце срока",'депозитный калькулятор'!$D$8=F532),SUM($H$23:H532),0))))))))))))))))))</f>
        <v xml:space="preserve"> </v>
      </c>
      <c r="J532" s="59" t="str">
        <f>IF(F532&gt;'депозитный калькулятор'!$D$8," ",IF('депозитный калькулятор'!$G$16="нет",0,IF(AND('депозитный калькулятор'!$G$17="разовая (в конце срока)",F532='депозитный калькулятор'!$D$8),'депозитный калькулятор'!$G$18,IF(AND('депозитный калькулятор'!$G$17="ежемесячная",EOMONTH(F531,0)=F531),'депозитный калькулятор'!$G$18,IF(AND('депозитный калькулятор'!$G$17="ежегодная",DAY(F531)=31,MONTH(F531)=12),'депозитный калькулятор'!$G$18,IF(AND('депозитный калькулятор'!$G$17="ежемесячная в зависимости от остатка",EOMONTH(F531,0)=F531,P531&gt;0),'депозитный калькулятор'!$G$18,IF(AND('депозитный калькулятор'!$G$17="ежегодная в зависимости от остатка",DAY(F531)=31,MONTH(F531)=12,P531&gt;0),'депозитный калькулятор'!$G$18,0)))))))</f>
        <v xml:space="preserve"> </v>
      </c>
      <c r="K532" s="135" t="str">
        <f>IF($F532=" "," ",IFERROR(VLOOKUP($F532,'депозитный калькулятор'!$B$26:$F$70,2,0),0))</f>
        <v xml:space="preserve"> </v>
      </c>
      <c r="L532" s="135" t="str">
        <f>IF($F532=" "," ",IFERROR(VLOOKUP($F532,'депозитный калькулятор'!$B$26:$F$70,3,0),0))</f>
        <v xml:space="preserve"> </v>
      </c>
      <c r="M532" s="135" t="str">
        <f>IF($F532=" "," ",IFERROR(VLOOKUP($F532,'депозитный калькулятор'!$B$26:$F$70,4,0),0))</f>
        <v xml:space="preserve"> </v>
      </c>
      <c r="N532" s="135" t="str">
        <f>IF($F532=" "," ",IFERROR(VLOOKUP($F532,'депозитный калькулятор'!$B$26:$F$70,5,0),0))</f>
        <v xml:space="preserve"> </v>
      </c>
      <c r="O532" s="146" t="str">
        <f>IF(F532&gt;'депозитный калькулятор'!$D$8," ",IF(F532='депозитный калькулятор'!$D$8,IF(AND($F$24='депозитный калькулятор'!$D$8,'депозитный калькулятор'!$G$13="нет"),-G532-IF(I532=" ",0,I532)-IF(AND(OR('депозитный калькулятор'!$G$7="30/365",'депозитный калькулятор'!$G$7="30/360"),'депозитный калькулятор'!$G$10="в начале срока"),I531,0)-L532+M532-N532,-G532-IF(I532=" ",0,I532)-L532+M532-N532),IF('депозитный калькулятор'!$G$13="есть",M532-N532+IF('депозитный калькулятор'!$G$14="есть",0,-L532),-IF(I532=" ",0,I532)-IF(AND(OR('депозитный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срока"),I531,0)+M532-N532+IF('депозитный калькулятор'!$G$14="есть",0,-L532))))</f>
        <v xml:space="preserve"> </v>
      </c>
      <c r="P532" s="147" t="str">
        <f>IF(F532&gt;'депозитный калькулятор'!$D$8," ",IF(EOMONTH(F531,0)=F531,0,IF(G532&gt;='депозитный калькулятор'!$G$19,P531,P531+1)))</f>
        <v xml:space="preserve"> </v>
      </c>
      <c r="Q532" s="138" t="str">
        <f>IF(F532=" "," ",IF(AND(OR('депозитный калькулятор'!$G$7="30/365",'депозитный калькулятор'!$G$7="30/360"),AND(MONTH(F532)=2,EOMONTH(F532,0)=F532)),IF(DAY(F532)=28,3,2),1)*IF(G532&gt;='депозитный калькулятор'!$G$11,IF(AND('депозитный калькулятор'!$G$7="факт/факт",MOD(YEAR(F532),4)=0),G532*'депозитный калькулятор'!$D$11/366,G532*'депозитный калькулятор'!$G$8),0))</f>
        <v xml:space="preserve"> </v>
      </c>
      <c r="R532" s="158"/>
      <c r="S532" s="62" t="str">
        <f t="shared" ca="1" si="37"/>
        <v xml:space="preserve"> </v>
      </c>
      <c r="T532" s="149" t="str">
        <f ca="1">IF(S532=" "," ",IF('депозитный калькулятор'!$G$7="30/360",DAYS360(U531,IF(DAY(U532)=31,U532-1,U532))+IF(AND(MONTH(U532)=2,U532=EOMONTH(U532,0)),30-DAY(EOMONTH(U532,0)))+T531,VLOOKUP(S532,$C$22:$F$1023,2,0)))</f>
        <v xml:space="preserve"> </v>
      </c>
      <c r="U532" s="64" t="str">
        <f t="shared" ca="1" si="35"/>
        <v xml:space="preserve"> </v>
      </c>
      <c r="V532" s="150" t="str">
        <f t="shared" ca="1" si="38"/>
        <v xml:space="preserve"> </v>
      </c>
      <c r="W532" s="62" t="str">
        <f t="shared" ca="1" si="39"/>
        <v xml:space="preserve"> </v>
      </c>
      <c r="X532" s="141" t="str">
        <f ca="1">IF(S532=" "," ",IFERROR(VLOOKUP(U532,$F$23:$N$1023,7)+VLOOKUP(U532,$F$23:$N$1023,9)+IF(AND('депозитный калькулятор'!$G$13="нет",U532&lt;&gt;'депозитный калькулятор'!$D$8),VLOOKUP(U532,$F$23:$N$1023,4),0),0)+IF(U532='депозитный калькулятор'!$D$8,VLOOKUP(U532,$F$23:$N$1023,2)+VLOOKUP(U532,$F$23:$N$1023,4),0))</f>
        <v xml:space="preserve"> </v>
      </c>
      <c r="Y532" s="142" t="str">
        <f ca="1">IF(S532=" "," ",W532/(1+'депозитный калькулятор'!$K$8)^(T532/IF('депозитный калькулятор'!$G$7="30/360",360,365)))</f>
        <v xml:space="preserve"> </v>
      </c>
      <c r="Z532" s="142" t="str">
        <f ca="1">IF(S532=" "," ",X532/(1+'депозитный калькулятор'!$K$8)^(T532/IF('депозитный калькулятор'!$G$7="30/360",360,365)))</f>
        <v xml:space="preserve"> </v>
      </c>
      <c r="AA532" s="151"/>
      <c r="AB532" s="151"/>
      <c r="AC532" s="155"/>
      <c r="AD532" s="155"/>
    </row>
    <row r="533" spans="1:30" s="2" customFormat="1" ht="15.5" x14ac:dyDescent="0.35">
      <c r="A533" s="41" t="str">
        <f>IF(F533=" "," ",IF(OR('депозитный калькулятор'!$G$7="30/365",'депозитный калькулятор'!$G$7="30/360"),IF(AND(MONTH(F533)=2,DAY(F533)=DAY(EOMONTH(F533,0))),30-DAY(EOMONTH(F533,0)),IF(DAY(F533)=31,1," "))," "))</f>
        <v xml:space="preserve"> </v>
      </c>
      <c r="B533" s="130" t="str">
        <f t="shared" si="36"/>
        <v xml:space="preserve"> </v>
      </c>
      <c r="C533" s="130" t="str">
        <f>IF(OR(B533=0,B533=" ")," ",SUM($B$23:B533))</f>
        <v xml:space="preserve"> </v>
      </c>
      <c r="D533" s="62" t="str">
        <f>IF(D532=" "," ",IF(OR(F532='депозитный калькулятор'!$D$8,F532=" ")," ",D532+1))</f>
        <v xml:space="preserve"> </v>
      </c>
      <c r="E533" s="130" t="str">
        <f>IF(OR(F532='депозитный калькулятор'!$D$8,F532=" ")," ",IF(EOMONTH(F532,0)=F532,1,E532+1))</f>
        <v xml:space="preserve"> </v>
      </c>
      <c r="F533" s="64" t="str">
        <f>IF(F532=" "," ",IF(F532='депозитный калькулятор'!$D$8," ",F532+1))</f>
        <v xml:space="preserve"> </v>
      </c>
      <c r="G533" s="145" t="str">
        <f xml:space="preserve"> IF(F533&gt;'депозитный калькулятор'!$D$8," ",IF('депозитный калькулятор'!$G$13="есть",IF('депозитный калькулятор'!$G$14="есть",G532+IF(I532=" ",0,I532)-J533-K533+L533+M533-N533,G532+IF(I532=" ",0,I532)-J533-K533+M533-N533),IF('депозитный калькулятор'!$G$14="есть",G532-J533-K533+L533+M533-N533,G532-J533-K533+M533-N533)))</f>
        <v xml:space="preserve"> </v>
      </c>
      <c r="H533" s="133" t="str">
        <f>IF(F533&gt;'депозитный калькулятор'!$D$8," ",IF(AND(OR('депозитный калькулятор'!$G$7="30/365",'депозитный калькулятор'!$G$7="30/360"),AND(MONTH(F533)=2,EOMONTH(F533,0)=F533)),IF(DAY(F533)=28,3*G533*'депозитный калькулятор'!$G$8,2*G533*'депозитный калькулятор'!$G$8),IF(AND(OR('депозитный калькулятор'!$G$7="30/365",'депозитный калькулятор'!$G$7="30/360"),DAY(F533)=31)," ",IF(AND('депозитный калькулятор'!$G$7="факт/факт",MOD(YEAR(F533),4)=0),G533*'депозитный калькулятор'!$D$11/366,G533*'депозитный калькулятор'!$G$8))))</f>
        <v xml:space="preserve"> </v>
      </c>
      <c r="I533" s="134" t="str">
        <f ca="1">IF(F533=" "," ",IF('депозитный калькулятор'!$G$10="ежедневное",H533,IF(AND('депозитный калькулятор'!$G$10="еженедельное",WEEKDAY(F533,2)=7),SUM(OFFSET(H533,-6,0):H533),IF(AND('депозитный калькулятор'!$G$10="еженедельное",F533='депозитный калькулятор'!$D$8),SUM($H$23:H533)-SUM($I$23:I532),IF(AND('депозитный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недели",WEEKDAY(F533,2)=7),MIN(OFFSET(H533,-6,0):H533)*(COUNTIF(OFFSET(H533,-6,0):H533,"&gt;0")+SUMIF(OFFSET(A533,-WEEKDAY(F533,2),0):A533,"=2",OFFSET(A533,-WEEKDAY(F533,2),0):A533)),IF(AND('депозитный калькулятор'!$G$10="еженедельное, на минимальную сумму зафиксированную в течение недели",F533='депозитный калькулятор'!$D$8,WEEKDAY(F533,2)&lt;&gt;7),MIN(OFFSET(H533,-WEEKDAY(F533,2),0):H533)*(COUNTIF(OFFSET(H533,-WEEKDAY(F533,2)+1,0):H533,"&gt;0")+SUM(OFFSET(A533,-WEEKDAY(F533,2),0):A533)),IF(AND('депозитный калькулятор'!$G$10="ежемесячное (в конце месяца)",F533='депозитный калькулятор'!$D$8,EOMONTH(F533,0)&lt;&gt;F533),IF('депозитный калькулятор'!$F$1=1,$H$24,SUM($H$23:H533)-SUM($I$23:I532)),IF(AND('депозитный калькулятор'!$G$10="ежемесячное (в конце месяца)",EOMONTH(F533,0)=F533),SUM($H$23:H533)-SUM($I$23:I532),IF(AND('депозитный калькулятор'!$G$10="ежемесячное (по дням открытия вклада)",F533='депозитный калькулятор'!$D$8,DAY('депозитный калькулятор'!$D$7)&lt;&gt;DAY(F533)),IF('депозитный калькулятор'!$F$1=1,$H$24,SUM($H$23:H533)-SUM($I$23:I532)),IF(AND('депозитный калькулятор'!$G$10="ежемесячное (по дням открытия вклада)",DAY('депозитный калькулятор'!$D$7)=DAY(F533)),SUM($H$23:H533)-SUM($I$23:I532),IF(AND('депозитный калькулятор'!$G$10="ежемесячное, на минимальную сумму зафиксированную в течение месяца",F533='депозитный калькулятор'!$D$8,EOMONTH(F533,0)&lt;&gt;F533),IF('депозитный калькулятор'!$F$1=1,$H$24,IF(AND(OR('депозитный калькулятор'!$G$7="30/365",'депозитный калькулятор'!$G$7="30/360"),DAY(F533)=31),0,MIN(OFFSET(H533,-E533+1,0):H533)*(E533+SUMIF(OFFSET(A533,-E533+1,0):A533,"=2",OFFSET(A533,-E533+1,0):A533)))),IF(AND('депозитный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калькулятор'!$G$7="30/360"),DAY(EOMONTH(F533,0))=31),EOMONTH(F533,0)-1=F533,EOMONTH(F533,0)=F533)),IF(IF(AND(OR('депозитный калькулятор'!$G$7="30/365",'депозитный калькулятор'!$G$7="30/360"),DAY(EOMONTH($F$23,0))=31),F533=EOMONTH($F$23,0)-1,F533=EOMONTH($F$23,0)),MIN(OFFSET(H533,-(DAY(F533)-DAY($F$23)),0):H533)*E533,MIN(OFFSET(H533,-(DAY(F533)-1),0):H533)*IF(AND(OR('депозитный калькулятор'!$G$7="30/365",'депозитный калькулятор'!$G$7="30/360"),DAY(F533)&lt;30),30,DAY(F533))),IF(AND('депозитный калькулятор'!$G$10="ежемесячное, на средний остаток в течение месяца, при условии что остаток больше чем ограничение",F533='депозитный калькулятор'!$D$8,EOMONTH(F533,0)&lt;&gt;F533),IF('депозитный калькулятор'!$F$1=1,$H$24,SUM(OFFSET(Q533,-E533+1,0):Q533)),IF(AND('депозитный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калькулятор'!$G$7="30/360"),DAY(EOMONTH(F533,0))=31),EOMONTH(F533,0)-1=F533,EOMONTH(F533,0)=F533)),IF(IF(AND(OR('депозитный калькулятор'!$G$7="30/365",'депозитный калькулятор'!$G$7="30/360"),DAY(EOMONTH($F$24,0))=31),F533=EOMONTH($F$24,0)-1,F533=EOMONTH($F$24,0)),SUM(OFFSET(Q533,-E533+1,0):Q533),SUM(OFFSET(Q533,-E533+1,0):Q533)),IF('депозитный калькулятор'!$G$10="ежеквартальное",IF(F533&gt;'депозитный калькулятор'!$D$8," ",IF(AND(EOMONTH(F533,0)=F533,OR(MONTH(F533)=3,MONTH(F533)=6,MONTH(F533)=9,MONTH(F533)=12)),IF(EDATE(F533,-3)&lt;'депозитный калькулятор'!$D$7,SUM($H$23:H533),IF(MOD(YEAR(F533),4)=0,IF(AND(EOMONTH(F533,0)=F533,OR(MONTH(F533)=3,MONTH(F533)=6)),SUM(OFFSET(H533,-90,0):H533),IF(AND(EOMONTH(F533,0)=F533,OR(MONTH(F533)=9,MONTH(F533)=12)),SUM(OFFSET(H533,-91,0):H533))),IF(AND(EOMONTH(F533,0)=F533,MONTH(F533)=3),SUM(OFFSET(H533,-89,0):H533),IF(AND(EOMONTH(F533,0)=F533,MONTH(F533)=6),SUM(OFFSET(H533,-90,0):H533),IF(AND(EOMONTH(F533,0)=F533,OR(MONTH(F533)=9,MONTH(F533)=12)),SUM(OFFSET(H533,-91,0):H533)))))),IF(F533='депозитный калькулятор'!$D$8,SUM($H$23:H533)-SUM($I$23:I532),0))),IF('депозитный калькулятор'!$G$10="ежегодное",IF(F533&gt;'депозитный калькулятор'!$D$8," ",IF(F533='депозитный калькулятор'!$D$8,SUM($H$23:H533)-SUM($I$23:I532),IF(AND(EOMONTH(F533,0)=F533,MONTH(F533)=12),IF(MOD(YEAR(F532),4)=0,IF(F533-'депозитный калькулятор'!$D$7&lt;366,SUM($H$23:H533),SUM(OFFSET(H533,-365,0):H533)),IF(F533-'депозитный калькулятор'!$D$7&lt;365,SUM($H$23:H533),SUM(OFFSET(H533,-364,0):H533))),0))),IF(AND('депозитный калькулятор'!$G$10="в конце срока",'депозитный калькулятор'!$D$8=F533),SUM($H$23:H533),0))))))))))))))))))</f>
        <v xml:space="preserve"> </v>
      </c>
      <c r="J533" s="59" t="str">
        <f>IF(F533&gt;'депозитный калькулятор'!$D$8," ",IF('депозитный калькулятор'!$G$16="нет",0,IF(AND('депозитный калькулятор'!$G$17="разовая (в конце срока)",F533='депозитный калькулятор'!$D$8),'депозитный калькулятор'!$G$18,IF(AND('депозитный калькулятор'!$G$17="ежемесячная",EOMONTH(F532,0)=F532),'депозитный калькулятор'!$G$18,IF(AND('депозитный калькулятор'!$G$17="ежегодная",DAY(F532)=31,MONTH(F532)=12),'депозитный калькулятор'!$G$18,IF(AND('депозитный калькулятор'!$G$17="ежемесячная в зависимости от остатка",EOMONTH(F532,0)=F532,P532&gt;0),'депозитный калькулятор'!$G$18,IF(AND('депозитный калькулятор'!$G$17="ежегодная в зависимости от остатка",DAY(F532)=31,MONTH(F532)=12,P532&gt;0),'депозитный калькулятор'!$G$18,0)))))))</f>
        <v xml:space="preserve"> </v>
      </c>
      <c r="K533" s="135" t="str">
        <f>IF($F533=" "," ",IFERROR(VLOOKUP($F533,'депозитный калькулятор'!$B$26:$F$70,2,0),0))</f>
        <v xml:space="preserve"> </v>
      </c>
      <c r="L533" s="135" t="str">
        <f>IF($F533=" "," ",IFERROR(VLOOKUP($F533,'депозитный калькулятор'!$B$26:$F$70,3,0),0))</f>
        <v xml:space="preserve"> </v>
      </c>
      <c r="M533" s="135" t="str">
        <f>IF($F533=" "," ",IFERROR(VLOOKUP($F533,'депозитный калькулятор'!$B$26:$F$70,4,0),0))</f>
        <v xml:space="preserve"> </v>
      </c>
      <c r="N533" s="135" t="str">
        <f>IF($F533=" "," ",IFERROR(VLOOKUP($F533,'депозитный калькулятор'!$B$26:$F$70,5,0),0))</f>
        <v xml:space="preserve"> </v>
      </c>
      <c r="O533" s="146" t="str">
        <f>IF(F533&gt;'депозитный калькулятор'!$D$8," ",IF(F533='депозитный калькулятор'!$D$8,IF(AND($F$24='депозитный калькулятор'!$D$8,'депозитный калькулятор'!$G$13="нет"),-G533-IF(I533=" ",0,I533)-IF(AND(OR('депозитный калькулятор'!$G$7="30/365",'депозитный калькулятор'!$G$7="30/360"),'депозитный калькулятор'!$G$10="в начале срока"),I532,0)-L533+M533-N533,-G533-IF(I533=" ",0,I533)-L533+M533-N533),IF('депозитный калькулятор'!$G$13="есть",M533-N533+IF('депозитный калькулятор'!$G$14="есть",0,-L533),-IF(I533=" ",0,I533)-IF(AND(OR('депозитный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срока"),I532,0)+M533-N533+IF('депозитный калькулятор'!$G$14="есть",0,-L533))))</f>
        <v xml:space="preserve"> </v>
      </c>
      <c r="P533" s="147" t="str">
        <f>IF(F533&gt;'депозитный калькулятор'!$D$8," ",IF(EOMONTH(F532,0)=F532,0,IF(G533&gt;='депозитный калькулятор'!$G$19,P532,P532+1)))</f>
        <v xml:space="preserve"> </v>
      </c>
      <c r="Q533" s="138" t="str">
        <f>IF(F533=" "," ",IF(AND(OR('депозитный калькулятор'!$G$7="30/365",'депозитный калькулятор'!$G$7="30/360"),AND(MONTH(F533)=2,EOMONTH(F533,0)=F533)),IF(DAY(F533)=28,3,2),1)*IF(G533&gt;='депозитный калькулятор'!$G$11,IF(AND('депозитный калькулятор'!$G$7="факт/факт",MOD(YEAR(F533),4)=0),G533*'депозитный калькулятор'!$D$11/366,G533*'депозитный калькулятор'!$G$8),0))</f>
        <v xml:space="preserve"> </v>
      </c>
      <c r="R533" s="158"/>
      <c r="S533" s="62" t="str">
        <f t="shared" ca="1" si="37"/>
        <v xml:space="preserve"> </v>
      </c>
      <c r="T533" s="149" t="str">
        <f ca="1">IF(S533=" "," ",IF('депозитный калькулятор'!$G$7="30/360",DAYS360(U532,IF(DAY(U533)=31,U533-1,U533))+IF(AND(MONTH(U533)=2,U533=EOMONTH(U533,0)),30-DAY(EOMONTH(U533,0)))+T532,VLOOKUP(S533,$C$22:$F$1023,2,0)))</f>
        <v xml:space="preserve"> </v>
      </c>
      <c r="U533" s="64" t="str">
        <f t="shared" ca="1" si="35"/>
        <v xml:space="preserve"> </v>
      </c>
      <c r="V533" s="150" t="str">
        <f t="shared" ca="1" si="38"/>
        <v xml:space="preserve"> </v>
      </c>
      <c r="W533" s="62" t="str">
        <f t="shared" ca="1" si="39"/>
        <v xml:space="preserve"> </v>
      </c>
      <c r="X533" s="141" t="str">
        <f ca="1">IF(S533=" "," ",IFERROR(VLOOKUP(U533,$F$23:$N$1023,7)+VLOOKUP(U533,$F$23:$N$1023,9)+IF(AND('депозитный калькулятор'!$G$13="нет",U533&lt;&gt;'депозитный калькулятор'!$D$8),VLOOKUP(U533,$F$23:$N$1023,4),0),0)+IF(U533='депозитный калькулятор'!$D$8,VLOOKUP(U533,$F$23:$N$1023,2)+VLOOKUP(U533,$F$23:$N$1023,4),0))</f>
        <v xml:space="preserve"> </v>
      </c>
      <c r="Y533" s="142" t="str">
        <f ca="1">IF(S533=" "," ",W533/(1+'депозитный калькулятор'!$K$8)^(T533/IF('депозитный калькулятор'!$G$7="30/360",360,365)))</f>
        <v xml:space="preserve"> </v>
      </c>
      <c r="Z533" s="142" t="str">
        <f ca="1">IF(S533=" "," ",X533/(1+'депозитный калькулятор'!$K$8)^(T533/IF('депозитный калькулятор'!$G$7="30/360",360,365)))</f>
        <v xml:space="preserve"> </v>
      </c>
      <c r="AA533" s="151"/>
      <c r="AB533" s="151"/>
      <c r="AC533" s="155"/>
      <c r="AD533" s="155"/>
    </row>
    <row r="534" spans="1:30" s="2" customFormat="1" ht="15.5" x14ac:dyDescent="0.35">
      <c r="A534" s="41" t="str">
        <f>IF(F534=" "," ",IF(OR('депозитный калькулятор'!$G$7="30/365",'депозитный калькулятор'!$G$7="30/360"),IF(AND(MONTH(F534)=2,DAY(F534)=DAY(EOMONTH(F534,0))),30-DAY(EOMONTH(F534,0)),IF(DAY(F534)=31,1," "))," "))</f>
        <v xml:space="preserve"> </v>
      </c>
      <c r="B534" s="130" t="str">
        <f t="shared" si="36"/>
        <v xml:space="preserve"> </v>
      </c>
      <c r="C534" s="130" t="str">
        <f>IF(OR(B534=0,B534=" ")," ",SUM($B$23:B534))</f>
        <v xml:space="preserve"> </v>
      </c>
      <c r="D534" s="62" t="str">
        <f>IF(D533=" "," ",IF(OR(F533='депозитный калькулятор'!$D$8,F533=" ")," ",D533+1))</f>
        <v xml:space="preserve"> </v>
      </c>
      <c r="E534" s="130" t="str">
        <f>IF(OR(F533='депозитный калькулятор'!$D$8,F533=" ")," ",IF(EOMONTH(F533,0)=F533,1,E533+1))</f>
        <v xml:space="preserve"> </v>
      </c>
      <c r="F534" s="64" t="str">
        <f>IF(F533=" "," ",IF(F533='депозитный калькулятор'!$D$8," ",F533+1))</f>
        <v xml:space="preserve"> </v>
      </c>
      <c r="G534" s="145" t="str">
        <f xml:space="preserve"> IF(F534&gt;'депозитный калькулятор'!$D$8," ",IF('депозитный калькулятор'!$G$13="есть",IF('депозитный калькулятор'!$G$14="есть",G533+IF(I533=" ",0,I533)-J534-K534+L534+M534-N534,G533+IF(I533=" ",0,I533)-J534-K534+M534-N534),IF('депозитный калькулятор'!$G$14="есть",G533-J534-K534+L534+M534-N534,G533-J534-K534+M534-N534)))</f>
        <v xml:space="preserve"> </v>
      </c>
      <c r="H534" s="133" t="str">
        <f>IF(F534&gt;'депозитный калькулятор'!$D$8," ",IF(AND(OR('депозитный калькулятор'!$G$7="30/365",'депозитный калькулятор'!$G$7="30/360"),AND(MONTH(F534)=2,EOMONTH(F534,0)=F534)),IF(DAY(F534)=28,3*G534*'депозитный калькулятор'!$G$8,2*G534*'депозитный калькулятор'!$G$8),IF(AND(OR('депозитный калькулятор'!$G$7="30/365",'депозитный калькулятор'!$G$7="30/360"),DAY(F534)=31)," ",IF(AND('депозитный калькулятор'!$G$7="факт/факт",MOD(YEAR(F534),4)=0),G534*'депозитный калькулятор'!$D$11/366,G534*'депозитный калькулятор'!$G$8))))</f>
        <v xml:space="preserve"> </v>
      </c>
      <c r="I534" s="134" t="str">
        <f ca="1">IF(F534=" "," ",IF('депозитный калькулятор'!$G$10="ежедневное",H534,IF(AND('депозитный калькулятор'!$G$10="еженедельное",WEEKDAY(F534,2)=7),SUM(OFFSET(H534,-6,0):H534),IF(AND('депозитный калькулятор'!$G$10="еженедельное",F534='депозитный калькулятор'!$D$8),SUM($H$23:H534)-SUM($I$23:I533),IF(AND('депозитный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недели",WEEKDAY(F534,2)=7),MIN(OFFSET(H534,-6,0):H534)*(COUNTIF(OFFSET(H534,-6,0):H534,"&gt;0")+SUMIF(OFFSET(A534,-WEEKDAY(F534,2),0):A534,"=2",OFFSET(A534,-WEEKDAY(F534,2),0):A534)),IF(AND('депозитный калькулятор'!$G$10="еженедельное, на минимальную сумму зафиксированную в течение недели",F534='депозитный калькулятор'!$D$8,WEEKDAY(F534,2)&lt;&gt;7),MIN(OFFSET(H534,-WEEKDAY(F534,2),0):H534)*(COUNTIF(OFFSET(H534,-WEEKDAY(F534,2)+1,0):H534,"&gt;0")+SUM(OFFSET(A534,-WEEKDAY(F534,2),0):A534)),IF(AND('депозитный калькулятор'!$G$10="ежемесячное (в конце месяца)",F534='депозитный калькулятор'!$D$8,EOMONTH(F534,0)&lt;&gt;F534),IF('депозитный калькулятор'!$F$1=1,$H$24,SUM($H$23:H534)-SUM($I$23:I533)),IF(AND('депозитный калькулятор'!$G$10="ежемесячное (в конце месяца)",EOMONTH(F534,0)=F534),SUM($H$23:H534)-SUM($I$23:I533),IF(AND('депозитный калькулятор'!$G$10="ежемесячное (по дням открытия вклада)",F534='депозитный калькулятор'!$D$8,DAY('депозитный калькулятор'!$D$7)&lt;&gt;DAY(F534)),IF('депозитный калькулятор'!$F$1=1,$H$24,SUM($H$23:H534)-SUM($I$23:I533)),IF(AND('депозитный калькулятор'!$G$10="ежемесячное (по дням открытия вклада)",DAY('депозитный калькулятор'!$D$7)=DAY(F534)),SUM($H$23:H534)-SUM($I$23:I533),IF(AND('депозитный калькулятор'!$G$10="ежемесячное, на минимальную сумму зафиксированную в течение месяца",F534='депозитный калькулятор'!$D$8,EOMONTH(F534,0)&lt;&gt;F534),IF('депозитный калькулятор'!$F$1=1,$H$24,IF(AND(OR('депозитный калькулятор'!$G$7="30/365",'депозитный калькулятор'!$G$7="30/360"),DAY(F534)=31),0,MIN(OFFSET(H534,-E534+1,0):H534)*(E534+SUMIF(OFFSET(A534,-E534+1,0):A534,"=2",OFFSET(A534,-E534+1,0):A534)))),IF(AND('депозитный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калькулятор'!$G$7="30/360"),DAY(EOMONTH(F534,0))=31),EOMONTH(F534,0)-1=F534,EOMONTH(F534,0)=F534)),IF(IF(AND(OR('депозитный калькулятор'!$G$7="30/365",'депозитный калькулятор'!$G$7="30/360"),DAY(EOMONTH($F$23,0))=31),F534=EOMONTH($F$23,0)-1,F534=EOMONTH($F$23,0)),MIN(OFFSET(H534,-(DAY(F534)-DAY($F$23)),0):H534)*E534,MIN(OFFSET(H534,-(DAY(F534)-1),0):H534)*IF(AND(OR('депозитный калькулятор'!$G$7="30/365",'депозитный калькулятор'!$G$7="30/360"),DAY(F534)&lt;30),30,DAY(F534))),IF(AND('депозитный калькулятор'!$G$10="ежемесячное, на средний остаток в течение месяца, при условии что остаток больше чем ограничение",F534='депозитный калькулятор'!$D$8,EOMONTH(F534,0)&lt;&gt;F534),IF('депозитный калькулятор'!$F$1=1,$H$24,SUM(OFFSET(Q534,-E534+1,0):Q534)),IF(AND('депозитный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калькулятор'!$G$7="30/360"),DAY(EOMONTH(F534,0))=31),EOMONTH(F534,0)-1=F534,EOMONTH(F534,0)=F534)),IF(IF(AND(OR('депозитный калькулятор'!$G$7="30/365",'депозитный калькулятор'!$G$7="30/360"),DAY(EOMONTH($F$24,0))=31),F534=EOMONTH($F$24,0)-1,F534=EOMONTH($F$24,0)),SUM(OFFSET(Q534,-E534+1,0):Q534),SUM(OFFSET(Q534,-E534+1,0):Q534)),IF('депозитный калькулятор'!$G$10="ежеквартальное",IF(F534&gt;'депозитный калькулятор'!$D$8," ",IF(AND(EOMONTH(F534,0)=F534,OR(MONTH(F534)=3,MONTH(F534)=6,MONTH(F534)=9,MONTH(F534)=12)),IF(EDATE(F534,-3)&lt;'депозитный калькулятор'!$D$7,SUM($H$23:H534),IF(MOD(YEAR(F534),4)=0,IF(AND(EOMONTH(F534,0)=F534,OR(MONTH(F534)=3,MONTH(F534)=6)),SUM(OFFSET(H534,-90,0):H534),IF(AND(EOMONTH(F534,0)=F534,OR(MONTH(F534)=9,MONTH(F534)=12)),SUM(OFFSET(H534,-91,0):H534))),IF(AND(EOMONTH(F534,0)=F534,MONTH(F534)=3),SUM(OFFSET(H534,-89,0):H534),IF(AND(EOMONTH(F534,0)=F534,MONTH(F534)=6),SUM(OFFSET(H534,-90,0):H534),IF(AND(EOMONTH(F534,0)=F534,OR(MONTH(F534)=9,MONTH(F534)=12)),SUM(OFFSET(H534,-91,0):H534)))))),IF(F534='депозитный калькулятор'!$D$8,SUM($H$23:H534)-SUM($I$23:I533),0))),IF('депозитный калькулятор'!$G$10="ежегодное",IF(F534&gt;'депозитный калькулятор'!$D$8," ",IF(F534='депозитный калькулятор'!$D$8,SUM($H$23:H534)-SUM($I$23:I533),IF(AND(EOMONTH(F534,0)=F534,MONTH(F534)=12),IF(MOD(YEAR(F533),4)=0,IF(F534-'депозитный калькулятор'!$D$7&lt;366,SUM($H$23:H534),SUM(OFFSET(H534,-365,0):H534)),IF(F534-'депозитный калькулятор'!$D$7&lt;365,SUM($H$23:H534),SUM(OFFSET(H534,-364,0):H534))),0))),IF(AND('депозитный калькулятор'!$G$10="в конце срока",'депозитный калькулятор'!$D$8=F534),SUM($H$23:H534),0))))))))))))))))))</f>
        <v xml:space="preserve"> </v>
      </c>
      <c r="J534" s="59" t="str">
        <f>IF(F534&gt;'депозитный калькулятор'!$D$8," ",IF('депозитный калькулятор'!$G$16="нет",0,IF(AND('депозитный калькулятор'!$G$17="разовая (в конце срока)",F534='депозитный калькулятор'!$D$8),'депозитный калькулятор'!$G$18,IF(AND('депозитный калькулятор'!$G$17="ежемесячная",EOMONTH(F533,0)=F533),'депозитный калькулятор'!$G$18,IF(AND('депозитный калькулятор'!$G$17="ежегодная",DAY(F533)=31,MONTH(F533)=12),'депозитный калькулятор'!$G$18,IF(AND('депозитный калькулятор'!$G$17="ежемесячная в зависимости от остатка",EOMONTH(F533,0)=F533,P533&gt;0),'депозитный калькулятор'!$G$18,IF(AND('депозитный калькулятор'!$G$17="ежегодная в зависимости от остатка",DAY(F533)=31,MONTH(F533)=12,P533&gt;0),'депозитный калькулятор'!$G$18,0)))))))</f>
        <v xml:space="preserve"> </v>
      </c>
      <c r="K534" s="135" t="str">
        <f>IF($F534=" "," ",IFERROR(VLOOKUP($F534,'депозитный калькулятор'!$B$26:$F$70,2,0),0))</f>
        <v xml:space="preserve"> </v>
      </c>
      <c r="L534" s="135" t="str">
        <f>IF($F534=" "," ",IFERROR(VLOOKUP($F534,'депозитный калькулятор'!$B$26:$F$70,3,0),0))</f>
        <v xml:space="preserve"> </v>
      </c>
      <c r="M534" s="135" t="str">
        <f>IF($F534=" "," ",IFERROR(VLOOKUP($F534,'депозитный калькулятор'!$B$26:$F$70,4,0),0))</f>
        <v xml:space="preserve"> </v>
      </c>
      <c r="N534" s="135" t="str">
        <f>IF($F534=" "," ",IFERROR(VLOOKUP($F534,'депозитный калькулятор'!$B$26:$F$70,5,0),0))</f>
        <v xml:space="preserve"> </v>
      </c>
      <c r="O534" s="146" t="str">
        <f>IF(F534&gt;'депозитный калькулятор'!$D$8," ",IF(F534='депозитный калькулятор'!$D$8,IF(AND($F$24='депозитный калькулятор'!$D$8,'депозитный калькулятор'!$G$13="нет"),-G534-IF(I534=" ",0,I534)-IF(AND(OR('депозитный калькулятор'!$G$7="30/365",'депозитный калькулятор'!$G$7="30/360"),'депозитный калькулятор'!$G$10="в начале срока"),I533,0)-L534+M534-N534,-G534-IF(I534=" ",0,I534)-L534+M534-N534),IF('депозитный калькулятор'!$G$13="есть",M534-N534+IF('депозитный калькулятор'!$G$14="есть",0,-L534),-IF(I534=" ",0,I534)-IF(AND(OR('депозитный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срока"),I533,0)+M534-N534+IF('депозитный калькулятор'!$G$14="есть",0,-L534))))</f>
        <v xml:space="preserve"> </v>
      </c>
      <c r="P534" s="147" t="str">
        <f>IF(F534&gt;'депозитный калькулятор'!$D$8," ",IF(EOMONTH(F533,0)=F533,0,IF(G534&gt;='депозитный калькулятор'!$G$19,P533,P533+1)))</f>
        <v xml:space="preserve"> </v>
      </c>
      <c r="Q534" s="138" t="str">
        <f>IF(F534=" "," ",IF(AND(OR('депозитный калькулятор'!$G$7="30/365",'депозитный калькулятор'!$G$7="30/360"),AND(MONTH(F534)=2,EOMONTH(F534,0)=F534)),IF(DAY(F534)=28,3,2),1)*IF(G534&gt;='депозитный калькулятор'!$G$11,IF(AND('депозитный калькулятор'!$G$7="факт/факт",MOD(YEAR(F534),4)=0),G534*'депозитный калькулятор'!$D$11/366,G534*'депозитный калькулятор'!$G$8),0))</f>
        <v xml:space="preserve"> </v>
      </c>
      <c r="R534" s="158"/>
      <c r="S534" s="62" t="str">
        <f t="shared" ca="1" si="37"/>
        <v xml:space="preserve"> </v>
      </c>
      <c r="T534" s="149" t="str">
        <f ca="1">IF(S534=" "," ",IF('депозитный калькулятор'!$G$7="30/360",DAYS360(U533,IF(DAY(U534)=31,U534-1,U534))+IF(AND(MONTH(U534)=2,U534=EOMONTH(U534,0)),30-DAY(EOMONTH(U534,0)))+T533,VLOOKUP(S534,$C$22:$F$1023,2,0)))</f>
        <v xml:space="preserve"> </v>
      </c>
      <c r="U534" s="64" t="str">
        <f t="shared" ca="1" si="35"/>
        <v xml:space="preserve"> </v>
      </c>
      <c r="V534" s="150" t="str">
        <f t="shared" ca="1" si="38"/>
        <v xml:space="preserve"> </v>
      </c>
      <c r="W534" s="62" t="str">
        <f t="shared" ca="1" si="39"/>
        <v xml:space="preserve"> </v>
      </c>
      <c r="X534" s="141" t="str">
        <f ca="1">IF(S534=" "," ",IFERROR(VLOOKUP(U534,$F$23:$N$1023,7)+VLOOKUP(U534,$F$23:$N$1023,9)+IF(AND('депозитный калькулятор'!$G$13="нет",U534&lt;&gt;'депозитный калькулятор'!$D$8),VLOOKUP(U534,$F$23:$N$1023,4),0),0)+IF(U534='депозитный калькулятор'!$D$8,VLOOKUP(U534,$F$23:$N$1023,2)+VLOOKUP(U534,$F$23:$N$1023,4),0))</f>
        <v xml:space="preserve"> </v>
      </c>
      <c r="Y534" s="142" t="str">
        <f ca="1">IF(S534=" "," ",W534/(1+'депозитный калькулятор'!$K$8)^(T534/IF('депозитный калькулятор'!$G$7="30/360",360,365)))</f>
        <v xml:space="preserve"> </v>
      </c>
      <c r="Z534" s="142" t="str">
        <f ca="1">IF(S534=" "," ",X534/(1+'депозитный калькулятор'!$K$8)^(T534/IF('депозитный калькулятор'!$G$7="30/360",360,365)))</f>
        <v xml:space="preserve"> </v>
      </c>
      <c r="AA534" s="151"/>
      <c r="AB534" s="151"/>
      <c r="AC534" s="155"/>
      <c r="AD534" s="155"/>
    </row>
    <row r="535" spans="1:30" s="2" customFormat="1" ht="15.5" x14ac:dyDescent="0.35">
      <c r="A535" s="41" t="str">
        <f>IF(F535=" "," ",IF(OR('депозитный калькулятор'!$G$7="30/365",'депозитный калькулятор'!$G$7="30/360"),IF(AND(MONTH(F535)=2,DAY(F535)=DAY(EOMONTH(F535,0))),30-DAY(EOMONTH(F535,0)),IF(DAY(F535)=31,1," "))," "))</f>
        <v xml:space="preserve"> </v>
      </c>
      <c r="B535" s="130" t="str">
        <f t="shared" si="36"/>
        <v xml:space="preserve"> </v>
      </c>
      <c r="C535" s="130" t="str">
        <f>IF(OR(B535=0,B535=" ")," ",SUM($B$23:B535))</f>
        <v xml:space="preserve"> </v>
      </c>
      <c r="D535" s="62" t="str">
        <f>IF(D534=" "," ",IF(OR(F534='депозитный калькулятор'!$D$8,F534=" ")," ",D534+1))</f>
        <v xml:space="preserve"> </v>
      </c>
      <c r="E535" s="130" t="str">
        <f>IF(OR(F534='депозитный калькулятор'!$D$8,F534=" ")," ",IF(EOMONTH(F534,0)=F534,1,E534+1))</f>
        <v xml:space="preserve"> </v>
      </c>
      <c r="F535" s="64" t="str">
        <f>IF(F534=" "," ",IF(F534='депозитный калькулятор'!$D$8," ",F534+1))</f>
        <v xml:space="preserve"> </v>
      </c>
      <c r="G535" s="145" t="str">
        <f xml:space="preserve"> IF(F535&gt;'депозитный калькулятор'!$D$8," ",IF('депозитный калькулятор'!$G$13="есть",IF('депозитный калькулятор'!$G$14="есть",G534+IF(I534=" ",0,I534)-J535-K535+L535+M535-N535,G534+IF(I534=" ",0,I534)-J535-K535+M535-N535),IF('депозитный калькулятор'!$G$14="есть",G534-J535-K535+L535+M535-N535,G534-J535-K535+M535-N535)))</f>
        <v xml:space="preserve"> </v>
      </c>
      <c r="H535" s="133" t="str">
        <f>IF(F535&gt;'депозитный калькулятор'!$D$8," ",IF(AND(OR('депозитный калькулятор'!$G$7="30/365",'депозитный калькулятор'!$G$7="30/360"),AND(MONTH(F535)=2,EOMONTH(F535,0)=F535)),IF(DAY(F535)=28,3*G535*'депозитный калькулятор'!$G$8,2*G535*'депозитный калькулятор'!$G$8),IF(AND(OR('депозитный калькулятор'!$G$7="30/365",'депозитный калькулятор'!$G$7="30/360"),DAY(F535)=31)," ",IF(AND('депозитный калькулятор'!$G$7="факт/факт",MOD(YEAR(F535),4)=0),G535*'депозитный калькулятор'!$D$11/366,G535*'депозитный калькулятор'!$G$8))))</f>
        <v xml:space="preserve"> </v>
      </c>
      <c r="I535" s="134" t="str">
        <f ca="1">IF(F535=" "," ",IF('депозитный калькулятор'!$G$10="ежедневное",H535,IF(AND('депозитный калькулятор'!$G$10="еженедельное",WEEKDAY(F535,2)=7),SUM(OFFSET(H535,-6,0):H535),IF(AND('депозитный калькулятор'!$G$10="еженедельное",F535='депозитный калькулятор'!$D$8),SUM($H$23:H535)-SUM($I$23:I534),IF(AND('депозитный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недели",WEEKDAY(F535,2)=7),MIN(OFFSET(H535,-6,0):H535)*(COUNTIF(OFFSET(H535,-6,0):H535,"&gt;0")+SUMIF(OFFSET(A535,-WEEKDAY(F535,2),0):A535,"=2",OFFSET(A535,-WEEKDAY(F535,2),0):A535)),IF(AND('депозитный калькулятор'!$G$10="еженедельное, на минимальную сумму зафиксированную в течение недели",F535='депозитный калькулятор'!$D$8,WEEKDAY(F535,2)&lt;&gt;7),MIN(OFFSET(H535,-WEEKDAY(F535,2),0):H535)*(COUNTIF(OFFSET(H535,-WEEKDAY(F535,2)+1,0):H535,"&gt;0")+SUM(OFFSET(A535,-WEEKDAY(F535,2),0):A535)),IF(AND('депозитный калькулятор'!$G$10="ежемесячное (в конце месяца)",F535='депозитный калькулятор'!$D$8,EOMONTH(F535,0)&lt;&gt;F535),IF('депозитный калькулятор'!$F$1=1,$H$24,SUM($H$23:H535)-SUM($I$23:I534)),IF(AND('депозитный калькулятор'!$G$10="ежемесячное (в конце месяца)",EOMONTH(F535,0)=F535),SUM($H$23:H535)-SUM($I$23:I534),IF(AND('депозитный калькулятор'!$G$10="ежемесячное (по дням открытия вклада)",F535='депозитный калькулятор'!$D$8,DAY('депозитный калькулятор'!$D$7)&lt;&gt;DAY(F535)),IF('депозитный калькулятор'!$F$1=1,$H$24,SUM($H$23:H535)-SUM($I$23:I534)),IF(AND('депозитный калькулятор'!$G$10="ежемесячное (по дням открытия вклада)",DAY('депозитный калькулятор'!$D$7)=DAY(F535)),SUM($H$23:H535)-SUM($I$23:I534),IF(AND('депозитный калькулятор'!$G$10="ежемесячное, на минимальную сумму зафиксированную в течение месяца",F535='депозитный калькулятор'!$D$8,EOMONTH(F535,0)&lt;&gt;F535),IF('депозитный калькулятор'!$F$1=1,$H$24,IF(AND(OR('депозитный калькулятор'!$G$7="30/365",'депозитный калькулятор'!$G$7="30/360"),DAY(F535)=31),0,MIN(OFFSET(H535,-E535+1,0):H535)*(E535+SUMIF(OFFSET(A535,-E535+1,0):A535,"=2",OFFSET(A535,-E535+1,0):A535)))),IF(AND('депозитный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калькулятор'!$G$7="30/360"),DAY(EOMONTH(F535,0))=31),EOMONTH(F535,0)-1=F535,EOMONTH(F535,0)=F535)),IF(IF(AND(OR('депозитный калькулятор'!$G$7="30/365",'депозитный калькулятор'!$G$7="30/360"),DAY(EOMONTH($F$23,0))=31),F535=EOMONTH($F$23,0)-1,F535=EOMONTH($F$23,0)),MIN(OFFSET(H535,-(DAY(F535)-DAY($F$23)),0):H535)*E535,MIN(OFFSET(H535,-(DAY(F535)-1),0):H535)*IF(AND(OR('депозитный калькулятор'!$G$7="30/365",'депозитный калькулятор'!$G$7="30/360"),DAY(F535)&lt;30),30,DAY(F535))),IF(AND('депозитный калькулятор'!$G$10="ежемесячное, на средний остаток в течение месяца, при условии что остаток больше чем ограничение",F535='депозитный калькулятор'!$D$8,EOMONTH(F535,0)&lt;&gt;F535),IF('депозитный калькулятор'!$F$1=1,$H$24,SUM(OFFSET(Q535,-E535+1,0):Q535)),IF(AND('депозитный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калькулятор'!$G$7="30/360"),DAY(EOMONTH(F535,0))=31),EOMONTH(F535,0)-1=F535,EOMONTH(F535,0)=F535)),IF(IF(AND(OR('депозитный калькулятор'!$G$7="30/365",'депозитный калькулятор'!$G$7="30/360"),DAY(EOMONTH($F$24,0))=31),F535=EOMONTH($F$24,0)-1,F535=EOMONTH($F$24,0)),SUM(OFFSET(Q535,-E535+1,0):Q535),SUM(OFFSET(Q535,-E535+1,0):Q535)),IF('депозитный калькулятор'!$G$10="ежеквартальное",IF(F535&gt;'депозитный калькулятор'!$D$8," ",IF(AND(EOMONTH(F535,0)=F535,OR(MONTH(F535)=3,MONTH(F535)=6,MONTH(F535)=9,MONTH(F535)=12)),IF(EDATE(F535,-3)&lt;'депозитный калькулятор'!$D$7,SUM($H$23:H535),IF(MOD(YEAR(F535),4)=0,IF(AND(EOMONTH(F535,0)=F535,OR(MONTH(F535)=3,MONTH(F535)=6)),SUM(OFFSET(H535,-90,0):H535),IF(AND(EOMONTH(F535,0)=F535,OR(MONTH(F535)=9,MONTH(F535)=12)),SUM(OFFSET(H535,-91,0):H535))),IF(AND(EOMONTH(F535,0)=F535,MONTH(F535)=3),SUM(OFFSET(H535,-89,0):H535),IF(AND(EOMONTH(F535,0)=F535,MONTH(F535)=6),SUM(OFFSET(H535,-90,0):H535),IF(AND(EOMONTH(F535,0)=F535,OR(MONTH(F535)=9,MONTH(F535)=12)),SUM(OFFSET(H535,-91,0):H535)))))),IF(F535='депозитный калькулятор'!$D$8,SUM($H$23:H535)-SUM($I$23:I534),0))),IF('депозитный калькулятор'!$G$10="ежегодное",IF(F535&gt;'депозитный калькулятор'!$D$8," ",IF(F535='депозитный калькулятор'!$D$8,SUM($H$23:H535)-SUM($I$23:I534),IF(AND(EOMONTH(F535,0)=F535,MONTH(F535)=12),IF(MOD(YEAR(F534),4)=0,IF(F535-'депозитный калькулятор'!$D$7&lt;366,SUM($H$23:H535),SUM(OFFSET(H535,-365,0):H535)),IF(F535-'депозитный калькулятор'!$D$7&lt;365,SUM($H$23:H535),SUM(OFFSET(H535,-364,0):H535))),0))),IF(AND('депозитный калькулятор'!$G$10="в конце срока",'депозитный калькулятор'!$D$8=F535),SUM($H$23:H535),0))))))))))))))))))</f>
        <v xml:space="preserve"> </v>
      </c>
      <c r="J535" s="59" t="str">
        <f>IF(F535&gt;'депозитный калькулятор'!$D$8," ",IF('депозитный калькулятор'!$G$16="нет",0,IF(AND('депозитный калькулятор'!$G$17="разовая (в конце срока)",F535='депозитный калькулятор'!$D$8),'депозитный калькулятор'!$G$18,IF(AND('депозитный калькулятор'!$G$17="ежемесячная",EOMONTH(F534,0)=F534),'депозитный калькулятор'!$G$18,IF(AND('депозитный калькулятор'!$G$17="ежегодная",DAY(F534)=31,MONTH(F534)=12),'депозитный калькулятор'!$G$18,IF(AND('депозитный калькулятор'!$G$17="ежемесячная в зависимости от остатка",EOMONTH(F534,0)=F534,P534&gt;0),'депозитный калькулятор'!$G$18,IF(AND('депозитный калькулятор'!$G$17="ежегодная в зависимости от остатка",DAY(F534)=31,MONTH(F534)=12,P534&gt;0),'депозитный калькулятор'!$G$18,0)))))))</f>
        <v xml:space="preserve"> </v>
      </c>
      <c r="K535" s="135" t="str">
        <f>IF($F535=" "," ",IFERROR(VLOOKUP($F535,'депозитный калькулятор'!$B$26:$F$70,2,0),0))</f>
        <v xml:space="preserve"> </v>
      </c>
      <c r="L535" s="135" t="str">
        <f>IF($F535=" "," ",IFERROR(VLOOKUP($F535,'депозитный калькулятор'!$B$26:$F$70,3,0),0))</f>
        <v xml:space="preserve"> </v>
      </c>
      <c r="M535" s="135" t="str">
        <f>IF($F535=" "," ",IFERROR(VLOOKUP($F535,'депозитный калькулятор'!$B$26:$F$70,4,0),0))</f>
        <v xml:space="preserve"> </v>
      </c>
      <c r="N535" s="135" t="str">
        <f>IF($F535=" "," ",IFERROR(VLOOKUP($F535,'депозитный калькулятор'!$B$26:$F$70,5,0),0))</f>
        <v xml:space="preserve"> </v>
      </c>
      <c r="O535" s="146" t="str">
        <f>IF(F535&gt;'депозитный калькулятор'!$D$8," ",IF(F535='депозитный калькулятор'!$D$8,IF(AND($F$24='депозитный калькулятор'!$D$8,'депозитный калькулятор'!$G$13="нет"),-G535-IF(I535=" ",0,I535)-IF(AND(OR('депозитный калькулятор'!$G$7="30/365",'депозитный калькулятор'!$G$7="30/360"),'депозитный калькулятор'!$G$10="в начале срока"),I534,0)-L535+M535-N535,-G535-IF(I535=" ",0,I535)-L535+M535-N535),IF('депозитный калькулятор'!$G$13="есть",M535-N535+IF('депозитный калькулятор'!$G$14="есть",0,-L535),-IF(I535=" ",0,I535)-IF(AND(OR('депозитный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срока"),I534,0)+M535-N535+IF('депозитный калькулятор'!$G$14="есть",0,-L535))))</f>
        <v xml:space="preserve"> </v>
      </c>
      <c r="P535" s="147" t="str">
        <f>IF(F535&gt;'депозитный калькулятор'!$D$8," ",IF(EOMONTH(F534,0)=F534,0,IF(G535&gt;='депозитный калькулятор'!$G$19,P534,P534+1)))</f>
        <v xml:space="preserve"> </v>
      </c>
      <c r="Q535" s="138" t="str">
        <f>IF(F535=" "," ",IF(AND(OR('депозитный калькулятор'!$G$7="30/365",'депозитный калькулятор'!$G$7="30/360"),AND(MONTH(F535)=2,EOMONTH(F535,0)=F535)),IF(DAY(F535)=28,3,2),1)*IF(G535&gt;='депозитный калькулятор'!$G$11,IF(AND('депозитный калькулятор'!$G$7="факт/факт",MOD(YEAR(F535),4)=0),G535*'депозитный калькулятор'!$D$11/366,G535*'депозитный калькулятор'!$G$8),0))</f>
        <v xml:space="preserve"> </v>
      </c>
      <c r="R535" s="158"/>
      <c r="S535" s="62" t="str">
        <f t="shared" ca="1" si="37"/>
        <v xml:space="preserve"> </v>
      </c>
      <c r="T535" s="149" t="str">
        <f ca="1">IF(S535=" "," ",IF('депозитный калькулятор'!$G$7="30/360",DAYS360(U534,IF(DAY(U535)=31,U535-1,U535))+IF(AND(MONTH(U535)=2,U535=EOMONTH(U535,0)),30-DAY(EOMONTH(U535,0)))+T534,VLOOKUP(S535,$C$22:$F$1023,2,0)))</f>
        <v xml:space="preserve"> </v>
      </c>
      <c r="U535" s="64" t="str">
        <f t="shared" ref="U535:U598" ca="1" si="40">IF(S535=" "," ",VLOOKUP(S535,$C$22:$F$1023,4,0))</f>
        <v xml:space="preserve"> </v>
      </c>
      <c r="V535" s="150" t="str">
        <f t="shared" ca="1" si="38"/>
        <v xml:space="preserve"> </v>
      </c>
      <c r="W535" s="62" t="str">
        <f t="shared" ca="1" si="39"/>
        <v xml:space="preserve"> </v>
      </c>
      <c r="X535" s="141" t="str">
        <f ca="1">IF(S535=" "," ",IFERROR(VLOOKUP(U535,$F$23:$N$1023,7)+VLOOKUP(U535,$F$23:$N$1023,9)+IF(AND('депозитный калькулятор'!$G$13="нет",U535&lt;&gt;'депозитный калькулятор'!$D$8),VLOOKUP(U535,$F$23:$N$1023,4),0),0)+IF(U535='депозитный калькулятор'!$D$8,VLOOKUP(U535,$F$23:$N$1023,2)+VLOOKUP(U535,$F$23:$N$1023,4),0))</f>
        <v xml:space="preserve"> </v>
      </c>
      <c r="Y535" s="142" t="str">
        <f ca="1">IF(S535=" "," ",W535/(1+'депозитный калькулятор'!$K$8)^(T535/IF('депозитный калькулятор'!$G$7="30/360",360,365)))</f>
        <v xml:space="preserve"> </v>
      </c>
      <c r="Z535" s="142" t="str">
        <f ca="1">IF(S535=" "," ",X535/(1+'депозитный калькулятор'!$K$8)^(T535/IF('депозитный калькулятор'!$G$7="30/360",360,365)))</f>
        <v xml:space="preserve"> </v>
      </c>
      <c r="AA535" s="151"/>
      <c r="AB535" s="151"/>
      <c r="AC535" s="155"/>
      <c r="AD535" s="155"/>
    </row>
    <row r="536" spans="1:30" s="2" customFormat="1" ht="15.5" x14ac:dyDescent="0.35">
      <c r="A536" s="41" t="str">
        <f>IF(F536=" "," ",IF(OR('депозитный калькулятор'!$G$7="30/365",'депозитный калькулятор'!$G$7="30/360"),IF(AND(MONTH(F536)=2,DAY(F536)=DAY(EOMONTH(F536,0))),30-DAY(EOMONTH(F536,0)),IF(DAY(F536)=31,1," "))," "))</f>
        <v xml:space="preserve"> </v>
      </c>
      <c r="B536" s="130" t="str">
        <f t="shared" ref="B536:B599" si="41">IF(F536=" "," ",IF(O536&lt;&gt;0,1,0))</f>
        <v xml:space="preserve"> </v>
      </c>
      <c r="C536" s="130" t="str">
        <f>IF(OR(B536=0,B536=" ")," ",SUM($B$23:B536))</f>
        <v xml:space="preserve"> </v>
      </c>
      <c r="D536" s="62" t="str">
        <f>IF(D535=" "," ",IF(OR(F535='депозитный калькулятор'!$D$8,F535=" ")," ",D535+1))</f>
        <v xml:space="preserve"> </v>
      </c>
      <c r="E536" s="130" t="str">
        <f>IF(OR(F535='депозитный калькулятор'!$D$8,F535=" ")," ",IF(EOMONTH(F535,0)=F535,1,E535+1))</f>
        <v xml:space="preserve"> </v>
      </c>
      <c r="F536" s="64" t="str">
        <f>IF(F535=" "," ",IF(F535='депозитный калькулятор'!$D$8," ",F535+1))</f>
        <v xml:space="preserve"> </v>
      </c>
      <c r="G536" s="145" t="str">
        <f xml:space="preserve"> IF(F536&gt;'депозитный калькулятор'!$D$8," ",IF('депозитный калькулятор'!$G$13="есть",IF('депозитный калькулятор'!$G$14="есть",G535+IF(I535=" ",0,I535)-J536-K536+L536+M536-N536,G535+IF(I535=" ",0,I535)-J536-K536+M536-N536),IF('депозитный калькулятор'!$G$14="есть",G535-J536-K536+L536+M536-N536,G535-J536-K536+M536-N536)))</f>
        <v xml:space="preserve"> </v>
      </c>
      <c r="H536" s="133" t="str">
        <f>IF(F536&gt;'депозитный калькулятор'!$D$8," ",IF(AND(OR('депозитный калькулятор'!$G$7="30/365",'депозитный калькулятор'!$G$7="30/360"),AND(MONTH(F536)=2,EOMONTH(F536,0)=F536)),IF(DAY(F536)=28,3*G536*'депозитный калькулятор'!$G$8,2*G536*'депозитный калькулятор'!$G$8),IF(AND(OR('депозитный калькулятор'!$G$7="30/365",'депозитный калькулятор'!$G$7="30/360"),DAY(F536)=31)," ",IF(AND('депозитный калькулятор'!$G$7="факт/факт",MOD(YEAR(F536),4)=0),G536*'депозитный калькулятор'!$D$11/366,G536*'депозитный калькулятор'!$G$8))))</f>
        <v xml:space="preserve"> </v>
      </c>
      <c r="I536" s="134" t="str">
        <f ca="1">IF(F536=" "," ",IF('депозитный калькулятор'!$G$10="ежедневное",H536,IF(AND('депозитный калькулятор'!$G$10="еженедельное",WEEKDAY(F536,2)=7),SUM(OFFSET(H536,-6,0):H536),IF(AND('депозитный калькулятор'!$G$10="еженедельное",F536='депозитный калькулятор'!$D$8),SUM($H$23:H536)-SUM($I$23:I535),IF(AND('депозитный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недели",WEEKDAY(F536,2)=7),MIN(OFFSET(H536,-6,0):H536)*(COUNTIF(OFFSET(H536,-6,0):H536,"&gt;0")+SUMIF(OFFSET(A536,-WEEKDAY(F536,2),0):A536,"=2",OFFSET(A536,-WEEKDAY(F536,2),0):A536)),IF(AND('депозитный калькулятор'!$G$10="еженедельное, на минимальную сумму зафиксированную в течение недели",F536='депозитный калькулятор'!$D$8,WEEKDAY(F536,2)&lt;&gt;7),MIN(OFFSET(H536,-WEEKDAY(F536,2),0):H536)*(COUNTIF(OFFSET(H536,-WEEKDAY(F536,2)+1,0):H536,"&gt;0")+SUM(OFFSET(A536,-WEEKDAY(F536,2),0):A536)),IF(AND('депозитный калькулятор'!$G$10="ежемесячное (в конце месяца)",F536='депозитный калькулятор'!$D$8,EOMONTH(F536,0)&lt;&gt;F536),IF('депозитный калькулятор'!$F$1=1,$H$24,SUM($H$23:H536)-SUM($I$23:I535)),IF(AND('депозитный калькулятор'!$G$10="ежемесячное (в конце месяца)",EOMONTH(F536,0)=F536),SUM($H$23:H536)-SUM($I$23:I535),IF(AND('депозитный калькулятор'!$G$10="ежемесячное (по дням открытия вклада)",F536='депозитный калькулятор'!$D$8,DAY('депозитный калькулятор'!$D$7)&lt;&gt;DAY(F536)),IF('депозитный калькулятор'!$F$1=1,$H$24,SUM($H$23:H536)-SUM($I$23:I535)),IF(AND('депозитный калькулятор'!$G$10="ежемесячное (по дням открытия вклада)",DAY('депозитный калькулятор'!$D$7)=DAY(F536)),SUM($H$23:H536)-SUM($I$23:I535),IF(AND('депозитный калькулятор'!$G$10="ежемесячное, на минимальную сумму зафиксированную в течение месяца",F536='депозитный калькулятор'!$D$8,EOMONTH(F536,0)&lt;&gt;F536),IF('депозитный калькулятор'!$F$1=1,$H$24,IF(AND(OR('депозитный калькулятор'!$G$7="30/365",'депозитный калькулятор'!$G$7="30/360"),DAY(F536)=31),0,MIN(OFFSET(H536,-E536+1,0):H536)*(E536+SUMIF(OFFSET(A536,-E536+1,0):A536,"=2",OFFSET(A536,-E536+1,0):A536)))),IF(AND('депозитный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калькулятор'!$G$7="30/360"),DAY(EOMONTH(F536,0))=31),EOMONTH(F536,0)-1=F536,EOMONTH(F536,0)=F536)),IF(IF(AND(OR('депозитный калькулятор'!$G$7="30/365",'депозитный калькулятор'!$G$7="30/360"),DAY(EOMONTH($F$23,0))=31),F536=EOMONTH($F$23,0)-1,F536=EOMONTH($F$23,0)),MIN(OFFSET(H536,-(DAY(F536)-DAY($F$23)),0):H536)*E536,MIN(OFFSET(H536,-(DAY(F536)-1),0):H536)*IF(AND(OR('депозитный калькулятор'!$G$7="30/365",'депозитный калькулятор'!$G$7="30/360"),DAY(F536)&lt;30),30,DAY(F536))),IF(AND('депозитный калькулятор'!$G$10="ежемесячное, на средний остаток в течение месяца, при условии что остаток больше чем ограничение",F536='депозитный калькулятор'!$D$8,EOMONTH(F536,0)&lt;&gt;F536),IF('депозитный калькулятор'!$F$1=1,$H$24,SUM(OFFSET(Q536,-E536+1,0):Q536)),IF(AND('депозитный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калькулятор'!$G$7="30/360"),DAY(EOMONTH(F536,0))=31),EOMONTH(F536,0)-1=F536,EOMONTH(F536,0)=F536)),IF(IF(AND(OR('депозитный калькулятор'!$G$7="30/365",'депозитный калькулятор'!$G$7="30/360"),DAY(EOMONTH($F$24,0))=31),F536=EOMONTH($F$24,0)-1,F536=EOMONTH($F$24,0)),SUM(OFFSET(Q536,-E536+1,0):Q536),SUM(OFFSET(Q536,-E536+1,0):Q536)),IF('депозитный калькулятор'!$G$10="ежеквартальное",IF(F536&gt;'депозитный калькулятор'!$D$8," ",IF(AND(EOMONTH(F536,0)=F536,OR(MONTH(F536)=3,MONTH(F536)=6,MONTH(F536)=9,MONTH(F536)=12)),IF(EDATE(F536,-3)&lt;'депозитный калькулятор'!$D$7,SUM($H$23:H536),IF(MOD(YEAR(F536),4)=0,IF(AND(EOMONTH(F536,0)=F536,OR(MONTH(F536)=3,MONTH(F536)=6)),SUM(OFFSET(H536,-90,0):H536),IF(AND(EOMONTH(F536,0)=F536,OR(MONTH(F536)=9,MONTH(F536)=12)),SUM(OFFSET(H536,-91,0):H536))),IF(AND(EOMONTH(F536,0)=F536,MONTH(F536)=3),SUM(OFFSET(H536,-89,0):H536),IF(AND(EOMONTH(F536,0)=F536,MONTH(F536)=6),SUM(OFFSET(H536,-90,0):H536),IF(AND(EOMONTH(F536,0)=F536,OR(MONTH(F536)=9,MONTH(F536)=12)),SUM(OFFSET(H536,-91,0):H536)))))),IF(F536='депозитный калькулятор'!$D$8,SUM($H$23:H536)-SUM($I$23:I535),0))),IF('депозитный калькулятор'!$G$10="ежегодное",IF(F536&gt;'депозитный калькулятор'!$D$8," ",IF(F536='депозитный калькулятор'!$D$8,SUM($H$23:H536)-SUM($I$23:I535),IF(AND(EOMONTH(F536,0)=F536,MONTH(F536)=12),IF(MOD(YEAR(F535),4)=0,IF(F536-'депозитный калькулятор'!$D$7&lt;366,SUM($H$23:H536),SUM(OFFSET(H536,-365,0):H536)),IF(F536-'депозитный калькулятор'!$D$7&lt;365,SUM($H$23:H536),SUM(OFFSET(H536,-364,0):H536))),0))),IF(AND('депозитный калькулятор'!$G$10="в конце срока",'депозитный калькулятор'!$D$8=F536),SUM($H$23:H536),0))))))))))))))))))</f>
        <v xml:space="preserve"> </v>
      </c>
      <c r="J536" s="59" t="str">
        <f>IF(F536&gt;'депозитный калькулятор'!$D$8," ",IF('депозитный калькулятор'!$G$16="нет",0,IF(AND('депозитный калькулятор'!$G$17="разовая (в конце срока)",F536='депозитный калькулятор'!$D$8),'депозитный калькулятор'!$G$18,IF(AND('депозитный калькулятор'!$G$17="ежемесячная",EOMONTH(F535,0)=F535),'депозитный калькулятор'!$G$18,IF(AND('депозитный калькулятор'!$G$17="ежегодная",DAY(F535)=31,MONTH(F535)=12),'депозитный калькулятор'!$G$18,IF(AND('депозитный калькулятор'!$G$17="ежемесячная в зависимости от остатка",EOMONTH(F535,0)=F535,P535&gt;0),'депозитный калькулятор'!$G$18,IF(AND('депозитный калькулятор'!$G$17="ежегодная в зависимости от остатка",DAY(F535)=31,MONTH(F535)=12,P535&gt;0),'депозитный калькулятор'!$G$18,0)))))))</f>
        <v xml:space="preserve"> </v>
      </c>
      <c r="K536" s="135" t="str">
        <f>IF($F536=" "," ",IFERROR(VLOOKUP($F536,'депозитный калькулятор'!$B$26:$F$70,2,0),0))</f>
        <v xml:space="preserve"> </v>
      </c>
      <c r="L536" s="135" t="str">
        <f>IF($F536=" "," ",IFERROR(VLOOKUP($F536,'депозитный калькулятор'!$B$26:$F$70,3,0),0))</f>
        <v xml:space="preserve"> </v>
      </c>
      <c r="M536" s="135" t="str">
        <f>IF($F536=" "," ",IFERROR(VLOOKUP($F536,'депозитный калькулятор'!$B$26:$F$70,4,0),0))</f>
        <v xml:space="preserve"> </v>
      </c>
      <c r="N536" s="135" t="str">
        <f>IF($F536=" "," ",IFERROR(VLOOKUP($F536,'депозитный калькулятор'!$B$26:$F$70,5,0),0))</f>
        <v xml:space="preserve"> </v>
      </c>
      <c r="O536" s="146" t="str">
        <f>IF(F536&gt;'депозитный калькулятор'!$D$8," ",IF(F536='депозитный калькулятор'!$D$8,IF(AND($F$24='депозитный калькулятор'!$D$8,'депозитный калькулятор'!$G$13="нет"),-G536-IF(I536=" ",0,I536)-IF(AND(OR('депозитный калькулятор'!$G$7="30/365",'депозитный калькулятор'!$G$7="30/360"),'депозитный калькулятор'!$G$10="в начале срока"),I535,0)-L536+M536-N536,-G536-IF(I536=" ",0,I536)-L536+M536-N536),IF('депозитный калькулятор'!$G$13="есть",M536-N536+IF('депозитный калькулятор'!$G$14="есть",0,-L536),-IF(I536=" ",0,I536)-IF(AND(OR('депозитный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срока"),I535,0)+M536-N536+IF('депозитный калькулятор'!$G$14="есть",0,-L536))))</f>
        <v xml:space="preserve"> </v>
      </c>
      <c r="P536" s="147" t="str">
        <f>IF(F536&gt;'депозитный калькулятор'!$D$8," ",IF(EOMONTH(F535,0)=F535,0,IF(G536&gt;='депозитный калькулятор'!$G$19,P535,P535+1)))</f>
        <v xml:space="preserve"> </v>
      </c>
      <c r="Q536" s="138" t="str">
        <f>IF(F536=" "," ",IF(AND(OR('депозитный калькулятор'!$G$7="30/365",'депозитный калькулятор'!$G$7="30/360"),AND(MONTH(F536)=2,EOMONTH(F536,0)=F536)),IF(DAY(F536)=28,3,2),1)*IF(G536&gt;='депозитный калькулятор'!$G$11,IF(AND('депозитный калькулятор'!$G$7="факт/факт",MOD(YEAR(F536),4)=0),G536*'депозитный калькулятор'!$D$11/366,G536*'депозитный калькулятор'!$G$8),0))</f>
        <v xml:space="preserve"> </v>
      </c>
      <c r="R536" s="158"/>
      <c r="S536" s="62" t="str">
        <f t="shared" ref="S536:S599" ca="1" si="42">IF(S535&lt;COUNTIFS($B$23:$B$1023,"&gt;0"),S535+1," ")</f>
        <v xml:space="preserve"> </v>
      </c>
      <c r="T536" s="149" t="str">
        <f ca="1">IF(S536=" "," ",IF('депозитный калькулятор'!$G$7="30/360",DAYS360(U535,IF(DAY(U536)=31,U536-1,U536))+IF(AND(MONTH(U536)=2,U536=EOMONTH(U536,0)),30-DAY(EOMONTH(U536,0)))+T535,VLOOKUP(S536,$C$22:$F$1023,2,0)))</f>
        <v xml:space="preserve"> </v>
      </c>
      <c r="U536" s="64" t="str">
        <f t="shared" ca="1" si="40"/>
        <v xml:space="preserve"> </v>
      </c>
      <c r="V536" s="150" t="str">
        <f t="shared" ref="V536:V599" ca="1" si="43">VLOOKUP(U536,$F$24:$O$1023,10)</f>
        <v xml:space="preserve"> </v>
      </c>
      <c r="W536" s="62" t="str">
        <f t="shared" ref="W536:W599" ca="1" si="44">IF(S536=" "," ",VLOOKUP(U536,$F$24:$N$1023,8))</f>
        <v xml:space="preserve"> </v>
      </c>
      <c r="X536" s="141" t="str">
        <f ca="1">IF(S536=" "," ",IFERROR(VLOOKUP(U536,$F$23:$N$1023,7)+VLOOKUP(U536,$F$23:$N$1023,9)+IF(AND('депозитный калькулятор'!$G$13="нет",U536&lt;&gt;'депозитный калькулятор'!$D$8),VLOOKUP(U536,$F$23:$N$1023,4),0),0)+IF(U536='депозитный калькулятор'!$D$8,VLOOKUP(U536,$F$23:$N$1023,2)+VLOOKUP(U536,$F$23:$N$1023,4),0))</f>
        <v xml:space="preserve"> </v>
      </c>
      <c r="Y536" s="142" t="str">
        <f ca="1">IF(S536=" "," ",W536/(1+'депозитный калькулятор'!$K$8)^(T536/IF('депозитный калькулятор'!$G$7="30/360",360,365)))</f>
        <v xml:space="preserve"> </v>
      </c>
      <c r="Z536" s="142" t="str">
        <f ca="1">IF(S536=" "," ",X536/(1+'депозитный калькулятор'!$K$8)^(T536/IF('депозитный калькулятор'!$G$7="30/360",360,365)))</f>
        <v xml:space="preserve"> </v>
      </c>
      <c r="AA536" s="151"/>
      <c r="AB536" s="151"/>
      <c r="AC536" s="155"/>
      <c r="AD536" s="155"/>
    </row>
    <row r="537" spans="1:30" s="2" customFormat="1" ht="15.5" x14ac:dyDescent="0.35">
      <c r="A537" s="41" t="str">
        <f>IF(F537=" "," ",IF(OR('депозитный калькулятор'!$G$7="30/365",'депозитный калькулятор'!$G$7="30/360"),IF(AND(MONTH(F537)=2,DAY(F537)=DAY(EOMONTH(F537,0))),30-DAY(EOMONTH(F537,0)),IF(DAY(F537)=31,1," "))," "))</f>
        <v xml:space="preserve"> </v>
      </c>
      <c r="B537" s="130" t="str">
        <f t="shared" si="41"/>
        <v xml:space="preserve"> </v>
      </c>
      <c r="C537" s="130" t="str">
        <f>IF(OR(B537=0,B537=" ")," ",SUM($B$23:B537))</f>
        <v xml:space="preserve"> </v>
      </c>
      <c r="D537" s="62" t="str">
        <f>IF(D536=" "," ",IF(OR(F536='депозитный калькулятор'!$D$8,F536=" ")," ",D536+1))</f>
        <v xml:space="preserve"> </v>
      </c>
      <c r="E537" s="130" t="str">
        <f>IF(OR(F536='депозитный калькулятор'!$D$8,F536=" ")," ",IF(EOMONTH(F536,0)=F536,1,E536+1))</f>
        <v xml:space="preserve"> </v>
      </c>
      <c r="F537" s="64" t="str">
        <f>IF(F536=" "," ",IF(F536='депозитный калькулятор'!$D$8," ",F536+1))</f>
        <v xml:space="preserve"> </v>
      </c>
      <c r="G537" s="145" t="str">
        <f xml:space="preserve"> IF(F537&gt;'депозитный калькулятор'!$D$8," ",IF('депозитный калькулятор'!$G$13="есть",IF('депозитный калькулятор'!$G$14="есть",G536+IF(I536=" ",0,I536)-J537-K537+L537+M537-N537,G536+IF(I536=" ",0,I536)-J537-K537+M537-N537),IF('депозитный калькулятор'!$G$14="есть",G536-J537-K537+L537+M537-N537,G536-J537-K537+M537-N537)))</f>
        <v xml:space="preserve"> </v>
      </c>
      <c r="H537" s="133" t="str">
        <f>IF(F537&gt;'депозитный калькулятор'!$D$8," ",IF(AND(OR('депозитный калькулятор'!$G$7="30/365",'депозитный калькулятор'!$G$7="30/360"),AND(MONTH(F537)=2,EOMONTH(F537,0)=F537)),IF(DAY(F537)=28,3*G537*'депозитный калькулятор'!$G$8,2*G537*'депозитный калькулятор'!$G$8),IF(AND(OR('депозитный калькулятор'!$G$7="30/365",'депозитный калькулятор'!$G$7="30/360"),DAY(F537)=31)," ",IF(AND('депозитный калькулятор'!$G$7="факт/факт",MOD(YEAR(F537),4)=0),G537*'депозитный калькулятор'!$D$11/366,G537*'депозитный калькулятор'!$G$8))))</f>
        <v xml:space="preserve"> </v>
      </c>
      <c r="I537" s="134" t="str">
        <f ca="1">IF(F537=" "," ",IF('депозитный калькулятор'!$G$10="ежедневное",H537,IF(AND('депозитный калькулятор'!$G$10="еженедельное",WEEKDAY(F537,2)=7),SUM(OFFSET(H537,-6,0):H537),IF(AND('депозитный калькулятор'!$G$10="еженедельное",F537='депозитный калькулятор'!$D$8),SUM($H$23:H537)-SUM($I$23:I536),IF(AND('депозитный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недели",WEEKDAY(F537,2)=7),MIN(OFFSET(H537,-6,0):H537)*(COUNTIF(OFFSET(H537,-6,0):H537,"&gt;0")+SUMIF(OFFSET(A537,-WEEKDAY(F537,2),0):A537,"=2",OFFSET(A537,-WEEKDAY(F537,2),0):A537)),IF(AND('депозитный калькулятор'!$G$10="еженедельное, на минимальную сумму зафиксированную в течение недели",F537='депозитный калькулятор'!$D$8,WEEKDAY(F537,2)&lt;&gt;7),MIN(OFFSET(H537,-WEEKDAY(F537,2),0):H537)*(COUNTIF(OFFSET(H537,-WEEKDAY(F537,2)+1,0):H537,"&gt;0")+SUM(OFFSET(A537,-WEEKDAY(F537,2),0):A537)),IF(AND('депозитный калькулятор'!$G$10="ежемесячное (в конце месяца)",F537='депозитный калькулятор'!$D$8,EOMONTH(F537,0)&lt;&gt;F537),IF('депозитный калькулятор'!$F$1=1,$H$24,SUM($H$23:H537)-SUM($I$23:I536)),IF(AND('депозитный калькулятор'!$G$10="ежемесячное (в конце месяца)",EOMONTH(F537,0)=F537),SUM($H$23:H537)-SUM($I$23:I536),IF(AND('депозитный калькулятор'!$G$10="ежемесячное (по дням открытия вклада)",F537='депозитный калькулятор'!$D$8,DAY('депозитный калькулятор'!$D$7)&lt;&gt;DAY(F537)),IF('депозитный калькулятор'!$F$1=1,$H$24,SUM($H$23:H537)-SUM($I$23:I536)),IF(AND('депозитный калькулятор'!$G$10="ежемесячное (по дням открытия вклада)",DAY('депозитный калькулятор'!$D$7)=DAY(F537)),SUM($H$23:H537)-SUM($I$23:I536),IF(AND('депозитный калькулятор'!$G$10="ежемесячное, на минимальную сумму зафиксированную в течение месяца",F537='депозитный калькулятор'!$D$8,EOMONTH(F537,0)&lt;&gt;F537),IF('депозитный калькулятор'!$F$1=1,$H$24,IF(AND(OR('депозитный калькулятор'!$G$7="30/365",'депозитный калькулятор'!$G$7="30/360"),DAY(F537)=31),0,MIN(OFFSET(H537,-E537+1,0):H537)*(E537+SUMIF(OFFSET(A537,-E537+1,0):A537,"=2",OFFSET(A537,-E537+1,0):A537)))),IF(AND('депозитный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калькулятор'!$G$7="30/360"),DAY(EOMONTH(F537,0))=31),EOMONTH(F537,0)-1=F537,EOMONTH(F537,0)=F537)),IF(IF(AND(OR('депозитный калькулятор'!$G$7="30/365",'депозитный калькулятор'!$G$7="30/360"),DAY(EOMONTH($F$23,0))=31),F537=EOMONTH($F$23,0)-1,F537=EOMONTH($F$23,0)),MIN(OFFSET(H537,-(DAY(F537)-DAY($F$23)),0):H537)*E537,MIN(OFFSET(H537,-(DAY(F537)-1),0):H537)*IF(AND(OR('депозитный калькулятор'!$G$7="30/365",'депозитный калькулятор'!$G$7="30/360"),DAY(F537)&lt;30),30,DAY(F537))),IF(AND('депозитный калькулятор'!$G$10="ежемесячное, на средний остаток в течение месяца, при условии что остаток больше чем ограничение",F537='депозитный калькулятор'!$D$8,EOMONTH(F537,0)&lt;&gt;F537),IF('депозитный калькулятор'!$F$1=1,$H$24,SUM(OFFSET(Q537,-E537+1,0):Q537)),IF(AND('депозитный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калькулятор'!$G$7="30/360"),DAY(EOMONTH(F537,0))=31),EOMONTH(F537,0)-1=F537,EOMONTH(F537,0)=F537)),IF(IF(AND(OR('депозитный калькулятор'!$G$7="30/365",'депозитный калькулятор'!$G$7="30/360"),DAY(EOMONTH($F$24,0))=31),F537=EOMONTH($F$24,0)-1,F537=EOMONTH($F$24,0)),SUM(OFFSET(Q537,-E537+1,0):Q537),SUM(OFFSET(Q537,-E537+1,0):Q537)),IF('депозитный калькулятор'!$G$10="ежеквартальное",IF(F537&gt;'депозитный калькулятор'!$D$8," ",IF(AND(EOMONTH(F537,0)=F537,OR(MONTH(F537)=3,MONTH(F537)=6,MONTH(F537)=9,MONTH(F537)=12)),IF(EDATE(F537,-3)&lt;'депозитный калькулятор'!$D$7,SUM($H$23:H537),IF(MOD(YEAR(F537),4)=0,IF(AND(EOMONTH(F537,0)=F537,OR(MONTH(F537)=3,MONTH(F537)=6)),SUM(OFFSET(H537,-90,0):H537),IF(AND(EOMONTH(F537,0)=F537,OR(MONTH(F537)=9,MONTH(F537)=12)),SUM(OFFSET(H537,-91,0):H537))),IF(AND(EOMONTH(F537,0)=F537,MONTH(F537)=3),SUM(OFFSET(H537,-89,0):H537),IF(AND(EOMONTH(F537,0)=F537,MONTH(F537)=6),SUM(OFFSET(H537,-90,0):H537),IF(AND(EOMONTH(F537,0)=F537,OR(MONTH(F537)=9,MONTH(F537)=12)),SUM(OFFSET(H537,-91,0):H537)))))),IF(F537='депозитный калькулятор'!$D$8,SUM($H$23:H537)-SUM($I$23:I536),0))),IF('депозитный калькулятор'!$G$10="ежегодное",IF(F537&gt;'депозитный калькулятор'!$D$8," ",IF(F537='депозитный калькулятор'!$D$8,SUM($H$23:H537)-SUM($I$23:I536),IF(AND(EOMONTH(F537,0)=F537,MONTH(F537)=12),IF(MOD(YEAR(F536),4)=0,IF(F537-'депозитный калькулятор'!$D$7&lt;366,SUM($H$23:H537),SUM(OFFSET(H537,-365,0):H537)),IF(F537-'депозитный калькулятор'!$D$7&lt;365,SUM($H$23:H537),SUM(OFFSET(H537,-364,0):H537))),0))),IF(AND('депозитный калькулятор'!$G$10="в конце срока",'депозитный калькулятор'!$D$8=F537),SUM($H$23:H537),0))))))))))))))))))</f>
        <v xml:space="preserve"> </v>
      </c>
      <c r="J537" s="59" t="str">
        <f>IF(F537&gt;'депозитный калькулятор'!$D$8," ",IF('депозитный калькулятор'!$G$16="нет",0,IF(AND('депозитный калькулятор'!$G$17="разовая (в конце срока)",F537='депозитный калькулятор'!$D$8),'депозитный калькулятор'!$G$18,IF(AND('депозитный калькулятор'!$G$17="ежемесячная",EOMONTH(F536,0)=F536),'депозитный калькулятор'!$G$18,IF(AND('депозитный калькулятор'!$G$17="ежегодная",DAY(F536)=31,MONTH(F536)=12),'депозитный калькулятор'!$G$18,IF(AND('депозитный калькулятор'!$G$17="ежемесячная в зависимости от остатка",EOMONTH(F536,0)=F536,P536&gt;0),'депозитный калькулятор'!$G$18,IF(AND('депозитный калькулятор'!$G$17="ежегодная в зависимости от остатка",DAY(F536)=31,MONTH(F536)=12,P536&gt;0),'депозитный калькулятор'!$G$18,0)))))))</f>
        <v xml:space="preserve"> </v>
      </c>
      <c r="K537" s="135" t="str">
        <f>IF($F537=" "," ",IFERROR(VLOOKUP($F537,'депозитный калькулятор'!$B$26:$F$70,2,0),0))</f>
        <v xml:space="preserve"> </v>
      </c>
      <c r="L537" s="135" t="str">
        <f>IF($F537=" "," ",IFERROR(VLOOKUP($F537,'депозитный калькулятор'!$B$26:$F$70,3,0),0))</f>
        <v xml:space="preserve"> </v>
      </c>
      <c r="M537" s="135" t="str">
        <f>IF($F537=" "," ",IFERROR(VLOOKUP($F537,'депозитный калькулятор'!$B$26:$F$70,4,0),0))</f>
        <v xml:space="preserve"> </v>
      </c>
      <c r="N537" s="135" t="str">
        <f>IF($F537=" "," ",IFERROR(VLOOKUP($F537,'депозитный калькулятор'!$B$26:$F$70,5,0),0))</f>
        <v xml:space="preserve"> </v>
      </c>
      <c r="O537" s="146" t="str">
        <f>IF(F537&gt;'депозитный калькулятор'!$D$8," ",IF(F537='депозитный калькулятор'!$D$8,IF(AND($F$24='депозитный калькулятор'!$D$8,'депозитный калькулятор'!$G$13="нет"),-G537-IF(I537=" ",0,I537)-IF(AND(OR('депозитный калькулятор'!$G$7="30/365",'депозитный калькулятор'!$G$7="30/360"),'депозитный калькулятор'!$G$10="в начале срока"),I536,0)-L537+M537-N537,-G537-IF(I537=" ",0,I537)-L537+M537-N537),IF('депозитный калькулятор'!$G$13="есть",M537-N537+IF('депозитный калькулятор'!$G$14="есть",0,-L537),-IF(I537=" ",0,I537)-IF(AND(OR('депозитный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срока"),I536,0)+M537-N537+IF('депозитный калькулятор'!$G$14="есть",0,-L537))))</f>
        <v xml:space="preserve"> </v>
      </c>
      <c r="P537" s="147" t="str">
        <f>IF(F537&gt;'депозитный калькулятор'!$D$8," ",IF(EOMONTH(F536,0)=F536,0,IF(G537&gt;='депозитный калькулятор'!$G$19,P536,P536+1)))</f>
        <v xml:space="preserve"> </v>
      </c>
      <c r="Q537" s="138" t="str">
        <f>IF(F537=" "," ",IF(AND(OR('депозитный калькулятор'!$G$7="30/365",'депозитный калькулятор'!$G$7="30/360"),AND(MONTH(F537)=2,EOMONTH(F537,0)=F537)),IF(DAY(F537)=28,3,2),1)*IF(G537&gt;='депозитный калькулятор'!$G$11,IF(AND('депозитный калькулятор'!$G$7="факт/факт",MOD(YEAR(F537),4)=0),G537*'депозитный калькулятор'!$D$11/366,G537*'депозитный калькулятор'!$G$8),0))</f>
        <v xml:space="preserve"> </v>
      </c>
      <c r="R537" s="158"/>
      <c r="S537" s="62" t="str">
        <f t="shared" ca="1" si="42"/>
        <v xml:space="preserve"> </v>
      </c>
      <c r="T537" s="149" t="str">
        <f ca="1">IF(S537=" "," ",IF('депозитный калькулятор'!$G$7="30/360",DAYS360(U536,IF(DAY(U537)=31,U537-1,U537))+IF(AND(MONTH(U537)=2,U537=EOMONTH(U537,0)),30-DAY(EOMONTH(U537,0)))+T536,VLOOKUP(S537,$C$22:$F$1023,2,0)))</f>
        <v xml:space="preserve"> </v>
      </c>
      <c r="U537" s="64" t="str">
        <f t="shared" ca="1" si="40"/>
        <v xml:space="preserve"> </v>
      </c>
      <c r="V537" s="150" t="str">
        <f t="shared" ca="1" si="43"/>
        <v xml:space="preserve"> </v>
      </c>
      <c r="W537" s="62" t="str">
        <f t="shared" ca="1" si="44"/>
        <v xml:space="preserve"> </v>
      </c>
      <c r="X537" s="141" t="str">
        <f ca="1">IF(S537=" "," ",IFERROR(VLOOKUP(U537,$F$23:$N$1023,7)+VLOOKUP(U537,$F$23:$N$1023,9)+IF(AND('депозитный калькулятор'!$G$13="нет",U537&lt;&gt;'депозитный калькулятор'!$D$8),VLOOKUP(U537,$F$23:$N$1023,4),0),0)+IF(U537='депозитный калькулятор'!$D$8,VLOOKUP(U537,$F$23:$N$1023,2)+VLOOKUP(U537,$F$23:$N$1023,4),0))</f>
        <v xml:space="preserve"> </v>
      </c>
      <c r="Y537" s="142" t="str">
        <f ca="1">IF(S537=" "," ",W537/(1+'депозитный калькулятор'!$K$8)^(T537/IF('депозитный калькулятор'!$G$7="30/360",360,365)))</f>
        <v xml:space="preserve"> </v>
      </c>
      <c r="Z537" s="142" t="str">
        <f ca="1">IF(S537=" "," ",X537/(1+'депозитный калькулятор'!$K$8)^(T537/IF('депозитный калькулятор'!$G$7="30/360",360,365)))</f>
        <v xml:space="preserve"> </v>
      </c>
      <c r="AA537" s="151"/>
      <c r="AB537" s="151"/>
      <c r="AC537" s="155"/>
      <c r="AD537" s="155"/>
    </row>
    <row r="538" spans="1:30" s="2" customFormat="1" ht="15.5" x14ac:dyDescent="0.35">
      <c r="A538" s="41" t="str">
        <f>IF(F538=" "," ",IF(OR('депозитный калькулятор'!$G$7="30/365",'депозитный калькулятор'!$G$7="30/360"),IF(AND(MONTH(F538)=2,DAY(F538)=DAY(EOMONTH(F538,0))),30-DAY(EOMONTH(F538,0)),IF(DAY(F538)=31,1," "))," "))</f>
        <v xml:space="preserve"> </v>
      </c>
      <c r="B538" s="130" t="str">
        <f t="shared" si="41"/>
        <v xml:space="preserve"> </v>
      </c>
      <c r="C538" s="130" t="str">
        <f>IF(OR(B538=0,B538=" ")," ",SUM($B$23:B538))</f>
        <v xml:space="preserve"> </v>
      </c>
      <c r="D538" s="62" t="str">
        <f>IF(D537=" "," ",IF(OR(F537='депозитный калькулятор'!$D$8,F537=" ")," ",D537+1))</f>
        <v xml:space="preserve"> </v>
      </c>
      <c r="E538" s="130" t="str">
        <f>IF(OR(F537='депозитный калькулятор'!$D$8,F537=" ")," ",IF(EOMONTH(F537,0)=F537,1,E537+1))</f>
        <v xml:space="preserve"> </v>
      </c>
      <c r="F538" s="64" t="str">
        <f>IF(F537=" "," ",IF(F537='депозитный калькулятор'!$D$8," ",F537+1))</f>
        <v xml:space="preserve"> </v>
      </c>
      <c r="G538" s="145" t="str">
        <f xml:space="preserve"> IF(F538&gt;'депозитный калькулятор'!$D$8," ",IF('депозитный калькулятор'!$G$13="есть",IF('депозитный калькулятор'!$G$14="есть",G537+IF(I537=" ",0,I537)-J538-K538+L538+M538-N538,G537+IF(I537=" ",0,I537)-J538-K538+M538-N538),IF('депозитный калькулятор'!$G$14="есть",G537-J538-K538+L538+M538-N538,G537-J538-K538+M538-N538)))</f>
        <v xml:space="preserve"> </v>
      </c>
      <c r="H538" s="133" t="str">
        <f>IF(F538&gt;'депозитный калькулятор'!$D$8," ",IF(AND(OR('депозитный калькулятор'!$G$7="30/365",'депозитный калькулятор'!$G$7="30/360"),AND(MONTH(F538)=2,EOMONTH(F538,0)=F538)),IF(DAY(F538)=28,3*G538*'депозитный калькулятор'!$G$8,2*G538*'депозитный калькулятор'!$G$8),IF(AND(OR('депозитный калькулятор'!$G$7="30/365",'депозитный калькулятор'!$G$7="30/360"),DAY(F538)=31)," ",IF(AND('депозитный калькулятор'!$G$7="факт/факт",MOD(YEAR(F538),4)=0),G538*'депозитный калькулятор'!$D$11/366,G538*'депозитный калькулятор'!$G$8))))</f>
        <v xml:space="preserve"> </v>
      </c>
      <c r="I538" s="134" t="str">
        <f ca="1">IF(F538=" "," ",IF('депозитный калькулятор'!$G$10="ежедневное",H538,IF(AND('депозитный калькулятор'!$G$10="еженедельное",WEEKDAY(F538,2)=7),SUM(OFFSET(H538,-6,0):H538),IF(AND('депозитный калькулятор'!$G$10="еженедельное",F538='депозитный калькулятор'!$D$8),SUM($H$23:H538)-SUM($I$23:I537),IF(AND('депозитный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недели",WEEKDAY(F538,2)=7),MIN(OFFSET(H538,-6,0):H538)*(COUNTIF(OFFSET(H538,-6,0):H538,"&gt;0")+SUMIF(OFFSET(A538,-WEEKDAY(F538,2),0):A538,"=2",OFFSET(A538,-WEEKDAY(F538,2),0):A538)),IF(AND('депозитный калькулятор'!$G$10="еженедельное, на минимальную сумму зафиксированную в течение недели",F538='депозитный калькулятор'!$D$8,WEEKDAY(F538,2)&lt;&gt;7),MIN(OFFSET(H538,-WEEKDAY(F538,2),0):H538)*(COUNTIF(OFFSET(H538,-WEEKDAY(F538,2)+1,0):H538,"&gt;0")+SUM(OFFSET(A538,-WEEKDAY(F538,2),0):A538)),IF(AND('депозитный калькулятор'!$G$10="ежемесячное (в конце месяца)",F538='депозитный калькулятор'!$D$8,EOMONTH(F538,0)&lt;&gt;F538),IF('депозитный калькулятор'!$F$1=1,$H$24,SUM($H$23:H538)-SUM($I$23:I537)),IF(AND('депозитный калькулятор'!$G$10="ежемесячное (в конце месяца)",EOMONTH(F538,0)=F538),SUM($H$23:H538)-SUM($I$23:I537),IF(AND('депозитный калькулятор'!$G$10="ежемесячное (по дням открытия вклада)",F538='депозитный калькулятор'!$D$8,DAY('депозитный калькулятор'!$D$7)&lt;&gt;DAY(F538)),IF('депозитный калькулятор'!$F$1=1,$H$24,SUM($H$23:H538)-SUM($I$23:I537)),IF(AND('депозитный калькулятор'!$G$10="ежемесячное (по дням открытия вклада)",DAY('депозитный калькулятор'!$D$7)=DAY(F538)),SUM($H$23:H538)-SUM($I$23:I537),IF(AND('депозитный калькулятор'!$G$10="ежемесячное, на минимальную сумму зафиксированную в течение месяца",F538='депозитный калькулятор'!$D$8,EOMONTH(F538,0)&lt;&gt;F538),IF('депозитный калькулятор'!$F$1=1,$H$24,IF(AND(OR('депозитный калькулятор'!$G$7="30/365",'депозитный калькулятор'!$G$7="30/360"),DAY(F538)=31),0,MIN(OFFSET(H538,-E538+1,0):H538)*(E538+SUMIF(OFFSET(A538,-E538+1,0):A538,"=2",OFFSET(A538,-E538+1,0):A538)))),IF(AND('депозитный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калькулятор'!$G$7="30/360"),DAY(EOMONTH(F538,0))=31),EOMONTH(F538,0)-1=F538,EOMONTH(F538,0)=F538)),IF(IF(AND(OR('депозитный калькулятор'!$G$7="30/365",'депозитный калькулятор'!$G$7="30/360"),DAY(EOMONTH($F$23,0))=31),F538=EOMONTH($F$23,0)-1,F538=EOMONTH($F$23,0)),MIN(OFFSET(H538,-(DAY(F538)-DAY($F$23)),0):H538)*E538,MIN(OFFSET(H538,-(DAY(F538)-1),0):H538)*IF(AND(OR('депозитный калькулятор'!$G$7="30/365",'депозитный калькулятор'!$G$7="30/360"),DAY(F538)&lt;30),30,DAY(F538))),IF(AND('депозитный калькулятор'!$G$10="ежемесячное, на средний остаток в течение месяца, при условии что остаток больше чем ограничение",F538='депозитный калькулятор'!$D$8,EOMONTH(F538,0)&lt;&gt;F538),IF('депозитный калькулятор'!$F$1=1,$H$24,SUM(OFFSET(Q538,-E538+1,0):Q538)),IF(AND('депозитный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калькулятор'!$G$7="30/360"),DAY(EOMONTH(F538,0))=31),EOMONTH(F538,0)-1=F538,EOMONTH(F538,0)=F538)),IF(IF(AND(OR('депозитный калькулятор'!$G$7="30/365",'депозитный калькулятор'!$G$7="30/360"),DAY(EOMONTH($F$24,0))=31),F538=EOMONTH($F$24,0)-1,F538=EOMONTH($F$24,0)),SUM(OFFSET(Q538,-E538+1,0):Q538),SUM(OFFSET(Q538,-E538+1,0):Q538)),IF('депозитный калькулятор'!$G$10="ежеквартальное",IF(F538&gt;'депозитный калькулятор'!$D$8," ",IF(AND(EOMONTH(F538,0)=F538,OR(MONTH(F538)=3,MONTH(F538)=6,MONTH(F538)=9,MONTH(F538)=12)),IF(EDATE(F538,-3)&lt;'депозитный калькулятор'!$D$7,SUM($H$23:H538),IF(MOD(YEAR(F538),4)=0,IF(AND(EOMONTH(F538,0)=F538,OR(MONTH(F538)=3,MONTH(F538)=6)),SUM(OFFSET(H538,-90,0):H538),IF(AND(EOMONTH(F538,0)=F538,OR(MONTH(F538)=9,MONTH(F538)=12)),SUM(OFFSET(H538,-91,0):H538))),IF(AND(EOMONTH(F538,0)=F538,MONTH(F538)=3),SUM(OFFSET(H538,-89,0):H538),IF(AND(EOMONTH(F538,0)=F538,MONTH(F538)=6),SUM(OFFSET(H538,-90,0):H538),IF(AND(EOMONTH(F538,0)=F538,OR(MONTH(F538)=9,MONTH(F538)=12)),SUM(OFFSET(H538,-91,0):H538)))))),IF(F538='депозитный калькулятор'!$D$8,SUM($H$23:H538)-SUM($I$23:I537),0))),IF('депозитный калькулятор'!$G$10="ежегодное",IF(F538&gt;'депозитный калькулятор'!$D$8," ",IF(F538='депозитный калькулятор'!$D$8,SUM($H$23:H538)-SUM($I$23:I537),IF(AND(EOMONTH(F538,0)=F538,MONTH(F538)=12),IF(MOD(YEAR(F537),4)=0,IF(F538-'депозитный калькулятор'!$D$7&lt;366,SUM($H$23:H538),SUM(OFFSET(H538,-365,0):H538)),IF(F538-'депозитный калькулятор'!$D$7&lt;365,SUM($H$23:H538),SUM(OFFSET(H538,-364,0):H538))),0))),IF(AND('депозитный калькулятор'!$G$10="в конце срока",'депозитный калькулятор'!$D$8=F538),SUM($H$23:H538),0))))))))))))))))))</f>
        <v xml:space="preserve"> </v>
      </c>
      <c r="J538" s="59" t="str">
        <f>IF(F538&gt;'депозитный калькулятор'!$D$8," ",IF('депозитный калькулятор'!$G$16="нет",0,IF(AND('депозитный калькулятор'!$G$17="разовая (в конце срока)",F538='депозитный калькулятор'!$D$8),'депозитный калькулятор'!$G$18,IF(AND('депозитный калькулятор'!$G$17="ежемесячная",EOMONTH(F537,0)=F537),'депозитный калькулятор'!$G$18,IF(AND('депозитный калькулятор'!$G$17="ежегодная",DAY(F537)=31,MONTH(F537)=12),'депозитный калькулятор'!$G$18,IF(AND('депозитный калькулятор'!$G$17="ежемесячная в зависимости от остатка",EOMONTH(F537,0)=F537,P537&gt;0),'депозитный калькулятор'!$G$18,IF(AND('депозитный калькулятор'!$G$17="ежегодная в зависимости от остатка",DAY(F537)=31,MONTH(F537)=12,P537&gt;0),'депозитный калькулятор'!$G$18,0)))))))</f>
        <v xml:space="preserve"> </v>
      </c>
      <c r="K538" s="135" t="str">
        <f>IF($F538=" "," ",IFERROR(VLOOKUP($F538,'депозитный калькулятор'!$B$26:$F$70,2,0),0))</f>
        <v xml:space="preserve"> </v>
      </c>
      <c r="L538" s="135" t="str">
        <f>IF($F538=" "," ",IFERROR(VLOOKUP($F538,'депозитный калькулятор'!$B$26:$F$70,3,0),0))</f>
        <v xml:space="preserve"> </v>
      </c>
      <c r="M538" s="135" t="str">
        <f>IF($F538=" "," ",IFERROR(VLOOKUP($F538,'депозитный калькулятор'!$B$26:$F$70,4,0),0))</f>
        <v xml:space="preserve"> </v>
      </c>
      <c r="N538" s="135" t="str">
        <f>IF($F538=" "," ",IFERROR(VLOOKUP($F538,'депозитный калькулятор'!$B$26:$F$70,5,0),0))</f>
        <v xml:space="preserve"> </v>
      </c>
      <c r="O538" s="146" t="str">
        <f>IF(F538&gt;'депозитный калькулятор'!$D$8," ",IF(F538='депозитный калькулятор'!$D$8,IF(AND($F$24='депозитный калькулятор'!$D$8,'депозитный калькулятор'!$G$13="нет"),-G538-IF(I538=" ",0,I538)-IF(AND(OR('депозитный калькулятор'!$G$7="30/365",'депозитный калькулятор'!$G$7="30/360"),'депозитный калькулятор'!$G$10="в начале срока"),I537,0)-L538+M538-N538,-G538-IF(I538=" ",0,I538)-L538+M538-N538),IF('депозитный калькулятор'!$G$13="есть",M538-N538+IF('депозитный калькулятор'!$G$14="есть",0,-L538),-IF(I538=" ",0,I538)-IF(AND(OR('депозитный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срока"),I537,0)+M538-N538+IF('депозитный калькулятор'!$G$14="есть",0,-L538))))</f>
        <v xml:space="preserve"> </v>
      </c>
      <c r="P538" s="147" t="str">
        <f>IF(F538&gt;'депозитный калькулятор'!$D$8," ",IF(EOMONTH(F537,0)=F537,0,IF(G538&gt;='депозитный калькулятор'!$G$19,P537,P537+1)))</f>
        <v xml:space="preserve"> </v>
      </c>
      <c r="Q538" s="138" t="str">
        <f>IF(F538=" "," ",IF(AND(OR('депозитный калькулятор'!$G$7="30/365",'депозитный калькулятор'!$G$7="30/360"),AND(MONTH(F538)=2,EOMONTH(F538,0)=F538)),IF(DAY(F538)=28,3,2),1)*IF(G538&gt;='депозитный калькулятор'!$G$11,IF(AND('депозитный калькулятор'!$G$7="факт/факт",MOD(YEAR(F538),4)=0),G538*'депозитный калькулятор'!$D$11/366,G538*'депозитный калькулятор'!$G$8),0))</f>
        <v xml:space="preserve"> </v>
      </c>
      <c r="R538" s="158"/>
      <c r="S538" s="62" t="str">
        <f t="shared" ca="1" si="42"/>
        <v xml:space="preserve"> </v>
      </c>
      <c r="T538" s="149" t="str">
        <f ca="1">IF(S538=" "," ",IF('депозитный калькулятор'!$G$7="30/360",DAYS360(U537,IF(DAY(U538)=31,U538-1,U538))+IF(AND(MONTH(U538)=2,U538=EOMONTH(U538,0)),30-DAY(EOMONTH(U538,0)))+T537,VLOOKUP(S538,$C$22:$F$1023,2,0)))</f>
        <v xml:space="preserve"> </v>
      </c>
      <c r="U538" s="64" t="str">
        <f t="shared" ca="1" si="40"/>
        <v xml:space="preserve"> </v>
      </c>
      <c r="V538" s="150" t="str">
        <f t="shared" ca="1" si="43"/>
        <v xml:space="preserve"> </v>
      </c>
      <c r="W538" s="62" t="str">
        <f t="shared" ca="1" si="44"/>
        <v xml:space="preserve"> </v>
      </c>
      <c r="X538" s="141" t="str">
        <f ca="1">IF(S538=" "," ",IFERROR(VLOOKUP(U538,$F$23:$N$1023,7)+VLOOKUP(U538,$F$23:$N$1023,9)+IF(AND('депозитный калькулятор'!$G$13="нет",U538&lt;&gt;'депозитный калькулятор'!$D$8),VLOOKUP(U538,$F$23:$N$1023,4),0),0)+IF(U538='депозитный калькулятор'!$D$8,VLOOKUP(U538,$F$23:$N$1023,2)+VLOOKUP(U538,$F$23:$N$1023,4),0))</f>
        <v xml:space="preserve"> </v>
      </c>
      <c r="Y538" s="142" t="str">
        <f ca="1">IF(S538=" "," ",W538/(1+'депозитный калькулятор'!$K$8)^(T538/IF('депозитный калькулятор'!$G$7="30/360",360,365)))</f>
        <v xml:space="preserve"> </v>
      </c>
      <c r="Z538" s="142" t="str">
        <f ca="1">IF(S538=" "," ",X538/(1+'депозитный калькулятор'!$K$8)^(T538/IF('депозитный калькулятор'!$G$7="30/360",360,365)))</f>
        <v xml:space="preserve"> </v>
      </c>
      <c r="AA538" s="151"/>
      <c r="AB538" s="151"/>
      <c r="AC538" s="155"/>
      <c r="AD538" s="155"/>
    </row>
    <row r="539" spans="1:30" s="2" customFormat="1" ht="15.5" x14ac:dyDescent="0.35">
      <c r="A539" s="41" t="str">
        <f>IF(F539=" "," ",IF(OR('депозитный калькулятор'!$G$7="30/365",'депозитный калькулятор'!$G$7="30/360"),IF(AND(MONTH(F539)=2,DAY(F539)=DAY(EOMONTH(F539,0))),30-DAY(EOMONTH(F539,0)),IF(DAY(F539)=31,1," "))," "))</f>
        <v xml:space="preserve"> </v>
      </c>
      <c r="B539" s="130" t="str">
        <f t="shared" si="41"/>
        <v xml:space="preserve"> </v>
      </c>
      <c r="C539" s="130" t="str">
        <f>IF(OR(B539=0,B539=" ")," ",SUM($B$23:B539))</f>
        <v xml:space="preserve"> </v>
      </c>
      <c r="D539" s="62" t="str">
        <f>IF(D538=" "," ",IF(OR(F538='депозитный калькулятор'!$D$8,F538=" ")," ",D538+1))</f>
        <v xml:space="preserve"> </v>
      </c>
      <c r="E539" s="130" t="str">
        <f>IF(OR(F538='депозитный калькулятор'!$D$8,F538=" ")," ",IF(EOMONTH(F538,0)=F538,1,E538+1))</f>
        <v xml:space="preserve"> </v>
      </c>
      <c r="F539" s="64" t="str">
        <f>IF(F538=" "," ",IF(F538='депозитный калькулятор'!$D$8," ",F538+1))</f>
        <v xml:space="preserve"> </v>
      </c>
      <c r="G539" s="145" t="str">
        <f xml:space="preserve"> IF(F539&gt;'депозитный калькулятор'!$D$8," ",IF('депозитный калькулятор'!$G$13="есть",IF('депозитный калькулятор'!$G$14="есть",G538+IF(I538=" ",0,I538)-J539-K539+L539+M539-N539,G538+IF(I538=" ",0,I538)-J539-K539+M539-N539),IF('депозитный калькулятор'!$G$14="есть",G538-J539-K539+L539+M539-N539,G538-J539-K539+M539-N539)))</f>
        <v xml:space="preserve"> </v>
      </c>
      <c r="H539" s="133" t="str">
        <f>IF(F539&gt;'депозитный калькулятор'!$D$8," ",IF(AND(OR('депозитный калькулятор'!$G$7="30/365",'депозитный калькулятор'!$G$7="30/360"),AND(MONTH(F539)=2,EOMONTH(F539,0)=F539)),IF(DAY(F539)=28,3*G539*'депозитный калькулятор'!$G$8,2*G539*'депозитный калькулятор'!$G$8),IF(AND(OR('депозитный калькулятор'!$G$7="30/365",'депозитный калькулятор'!$G$7="30/360"),DAY(F539)=31)," ",IF(AND('депозитный калькулятор'!$G$7="факт/факт",MOD(YEAR(F539),4)=0),G539*'депозитный калькулятор'!$D$11/366,G539*'депозитный калькулятор'!$G$8))))</f>
        <v xml:space="preserve"> </v>
      </c>
      <c r="I539" s="134" t="str">
        <f ca="1">IF(F539=" "," ",IF('депозитный калькулятор'!$G$10="ежедневное",H539,IF(AND('депозитный калькулятор'!$G$10="еженедельное",WEEKDAY(F539,2)=7),SUM(OFFSET(H539,-6,0):H539),IF(AND('депозитный калькулятор'!$G$10="еженедельное",F539='депозитный калькулятор'!$D$8),SUM($H$23:H539)-SUM($I$23:I538),IF(AND('депозитный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недели",WEEKDAY(F539,2)=7),MIN(OFFSET(H539,-6,0):H539)*(COUNTIF(OFFSET(H539,-6,0):H539,"&gt;0")+SUMIF(OFFSET(A539,-WEEKDAY(F539,2),0):A539,"=2",OFFSET(A539,-WEEKDAY(F539,2),0):A539)),IF(AND('депозитный калькулятор'!$G$10="еженедельное, на минимальную сумму зафиксированную в течение недели",F539='депозитный калькулятор'!$D$8,WEEKDAY(F539,2)&lt;&gt;7),MIN(OFFSET(H539,-WEEKDAY(F539,2),0):H539)*(COUNTIF(OFFSET(H539,-WEEKDAY(F539,2)+1,0):H539,"&gt;0")+SUM(OFFSET(A539,-WEEKDAY(F539,2),0):A539)),IF(AND('депозитный калькулятор'!$G$10="ежемесячное (в конце месяца)",F539='депозитный калькулятор'!$D$8,EOMONTH(F539,0)&lt;&gt;F539),IF('депозитный калькулятор'!$F$1=1,$H$24,SUM($H$23:H539)-SUM($I$23:I538)),IF(AND('депозитный калькулятор'!$G$10="ежемесячное (в конце месяца)",EOMONTH(F539,0)=F539),SUM($H$23:H539)-SUM($I$23:I538),IF(AND('депозитный калькулятор'!$G$10="ежемесячное (по дням открытия вклада)",F539='депозитный калькулятор'!$D$8,DAY('депозитный калькулятор'!$D$7)&lt;&gt;DAY(F539)),IF('депозитный калькулятор'!$F$1=1,$H$24,SUM($H$23:H539)-SUM($I$23:I538)),IF(AND('депозитный калькулятор'!$G$10="ежемесячное (по дням открытия вклада)",DAY('депозитный калькулятор'!$D$7)=DAY(F539)),SUM($H$23:H539)-SUM($I$23:I538),IF(AND('депозитный калькулятор'!$G$10="ежемесячное, на минимальную сумму зафиксированную в течение месяца",F539='депозитный калькулятор'!$D$8,EOMONTH(F539,0)&lt;&gt;F539),IF('депозитный калькулятор'!$F$1=1,$H$24,IF(AND(OR('депозитный калькулятор'!$G$7="30/365",'депозитный калькулятор'!$G$7="30/360"),DAY(F539)=31),0,MIN(OFFSET(H539,-E539+1,0):H539)*(E539+SUMIF(OFFSET(A539,-E539+1,0):A539,"=2",OFFSET(A539,-E539+1,0):A539)))),IF(AND('депозитный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калькулятор'!$G$7="30/360"),DAY(EOMONTH(F539,0))=31),EOMONTH(F539,0)-1=F539,EOMONTH(F539,0)=F539)),IF(IF(AND(OR('депозитный калькулятор'!$G$7="30/365",'депозитный калькулятор'!$G$7="30/360"),DAY(EOMONTH($F$23,0))=31),F539=EOMONTH($F$23,0)-1,F539=EOMONTH($F$23,0)),MIN(OFFSET(H539,-(DAY(F539)-DAY($F$23)),0):H539)*E539,MIN(OFFSET(H539,-(DAY(F539)-1),0):H539)*IF(AND(OR('депозитный калькулятор'!$G$7="30/365",'депозитный калькулятор'!$G$7="30/360"),DAY(F539)&lt;30),30,DAY(F539))),IF(AND('депозитный калькулятор'!$G$10="ежемесячное, на средний остаток в течение месяца, при условии что остаток больше чем ограничение",F539='депозитный калькулятор'!$D$8,EOMONTH(F539,0)&lt;&gt;F539),IF('депозитный калькулятор'!$F$1=1,$H$24,SUM(OFFSET(Q539,-E539+1,0):Q539)),IF(AND('депозитный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калькулятор'!$G$7="30/360"),DAY(EOMONTH(F539,0))=31),EOMONTH(F539,0)-1=F539,EOMONTH(F539,0)=F539)),IF(IF(AND(OR('депозитный калькулятор'!$G$7="30/365",'депозитный калькулятор'!$G$7="30/360"),DAY(EOMONTH($F$24,0))=31),F539=EOMONTH($F$24,0)-1,F539=EOMONTH($F$24,0)),SUM(OFFSET(Q539,-E539+1,0):Q539),SUM(OFFSET(Q539,-E539+1,0):Q539)),IF('депозитный калькулятор'!$G$10="ежеквартальное",IF(F539&gt;'депозитный калькулятор'!$D$8," ",IF(AND(EOMONTH(F539,0)=F539,OR(MONTH(F539)=3,MONTH(F539)=6,MONTH(F539)=9,MONTH(F539)=12)),IF(EDATE(F539,-3)&lt;'депозитный калькулятор'!$D$7,SUM($H$23:H539),IF(MOD(YEAR(F539),4)=0,IF(AND(EOMONTH(F539,0)=F539,OR(MONTH(F539)=3,MONTH(F539)=6)),SUM(OFFSET(H539,-90,0):H539),IF(AND(EOMONTH(F539,0)=F539,OR(MONTH(F539)=9,MONTH(F539)=12)),SUM(OFFSET(H539,-91,0):H539))),IF(AND(EOMONTH(F539,0)=F539,MONTH(F539)=3),SUM(OFFSET(H539,-89,0):H539),IF(AND(EOMONTH(F539,0)=F539,MONTH(F539)=6),SUM(OFFSET(H539,-90,0):H539),IF(AND(EOMONTH(F539,0)=F539,OR(MONTH(F539)=9,MONTH(F539)=12)),SUM(OFFSET(H539,-91,0):H539)))))),IF(F539='депозитный калькулятор'!$D$8,SUM($H$23:H539)-SUM($I$23:I538),0))),IF('депозитный калькулятор'!$G$10="ежегодное",IF(F539&gt;'депозитный калькулятор'!$D$8," ",IF(F539='депозитный калькулятор'!$D$8,SUM($H$23:H539)-SUM($I$23:I538),IF(AND(EOMONTH(F539,0)=F539,MONTH(F539)=12),IF(MOD(YEAR(F538),4)=0,IF(F539-'депозитный калькулятор'!$D$7&lt;366,SUM($H$23:H539),SUM(OFFSET(H539,-365,0):H539)),IF(F539-'депозитный калькулятор'!$D$7&lt;365,SUM($H$23:H539),SUM(OFFSET(H539,-364,0):H539))),0))),IF(AND('депозитный калькулятор'!$G$10="в конце срока",'депозитный калькулятор'!$D$8=F539),SUM($H$23:H539),0))))))))))))))))))</f>
        <v xml:space="preserve"> </v>
      </c>
      <c r="J539" s="59" t="str">
        <f>IF(F539&gt;'депозитный калькулятор'!$D$8," ",IF('депозитный калькулятор'!$G$16="нет",0,IF(AND('депозитный калькулятор'!$G$17="разовая (в конце срока)",F539='депозитный калькулятор'!$D$8),'депозитный калькулятор'!$G$18,IF(AND('депозитный калькулятор'!$G$17="ежемесячная",EOMONTH(F538,0)=F538),'депозитный калькулятор'!$G$18,IF(AND('депозитный калькулятор'!$G$17="ежегодная",DAY(F538)=31,MONTH(F538)=12),'депозитный калькулятор'!$G$18,IF(AND('депозитный калькулятор'!$G$17="ежемесячная в зависимости от остатка",EOMONTH(F538,0)=F538,P538&gt;0),'депозитный калькулятор'!$G$18,IF(AND('депозитный калькулятор'!$G$17="ежегодная в зависимости от остатка",DAY(F538)=31,MONTH(F538)=12,P538&gt;0),'депозитный калькулятор'!$G$18,0)))))))</f>
        <v xml:space="preserve"> </v>
      </c>
      <c r="K539" s="135" t="str">
        <f>IF($F539=" "," ",IFERROR(VLOOKUP($F539,'депозитный калькулятор'!$B$26:$F$70,2,0),0))</f>
        <v xml:space="preserve"> </v>
      </c>
      <c r="L539" s="135" t="str">
        <f>IF($F539=" "," ",IFERROR(VLOOKUP($F539,'депозитный калькулятор'!$B$26:$F$70,3,0),0))</f>
        <v xml:space="preserve"> </v>
      </c>
      <c r="M539" s="135" t="str">
        <f>IF($F539=" "," ",IFERROR(VLOOKUP($F539,'депозитный калькулятор'!$B$26:$F$70,4,0),0))</f>
        <v xml:space="preserve"> </v>
      </c>
      <c r="N539" s="135" t="str">
        <f>IF($F539=" "," ",IFERROR(VLOOKUP($F539,'депозитный калькулятор'!$B$26:$F$70,5,0),0))</f>
        <v xml:space="preserve"> </v>
      </c>
      <c r="O539" s="146" t="str">
        <f>IF(F539&gt;'депозитный калькулятор'!$D$8," ",IF(F539='депозитный калькулятор'!$D$8,IF(AND($F$24='депозитный калькулятор'!$D$8,'депозитный калькулятор'!$G$13="нет"),-G539-IF(I539=" ",0,I539)-IF(AND(OR('депозитный калькулятор'!$G$7="30/365",'депозитный калькулятор'!$G$7="30/360"),'депозитный калькулятор'!$G$10="в начале срока"),I538,0)-L539+M539-N539,-G539-IF(I539=" ",0,I539)-L539+M539-N539),IF('депозитный калькулятор'!$G$13="есть",M539-N539+IF('депозитный калькулятор'!$G$14="есть",0,-L539),-IF(I539=" ",0,I539)-IF(AND(OR('депозитный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срока"),I538,0)+M539-N539+IF('депозитный калькулятор'!$G$14="есть",0,-L539))))</f>
        <v xml:space="preserve"> </v>
      </c>
      <c r="P539" s="147" t="str">
        <f>IF(F539&gt;'депозитный калькулятор'!$D$8," ",IF(EOMONTH(F538,0)=F538,0,IF(G539&gt;='депозитный калькулятор'!$G$19,P538,P538+1)))</f>
        <v xml:space="preserve"> </v>
      </c>
      <c r="Q539" s="138" t="str">
        <f>IF(F539=" "," ",IF(AND(OR('депозитный калькулятор'!$G$7="30/365",'депозитный калькулятор'!$G$7="30/360"),AND(MONTH(F539)=2,EOMONTH(F539,0)=F539)),IF(DAY(F539)=28,3,2),1)*IF(G539&gt;='депозитный калькулятор'!$G$11,IF(AND('депозитный калькулятор'!$G$7="факт/факт",MOD(YEAR(F539),4)=0),G539*'депозитный калькулятор'!$D$11/366,G539*'депозитный калькулятор'!$G$8),0))</f>
        <v xml:space="preserve"> </v>
      </c>
      <c r="R539" s="158"/>
      <c r="S539" s="62" t="str">
        <f t="shared" ca="1" si="42"/>
        <v xml:space="preserve"> </v>
      </c>
      <c r="T539" s="149" t="str">
        <f ca="1">IF(S539=" "," ",IF('депозитный калькулятор'!$G$7="30/360",DAYS360(U538,IF(DAY(U539)=31,U539-1,U539))+IF(AND(MONTH(U539)=2,U539=EOMONTH(U539,0)),30-DAY(EOMONTH(U539,0)))+T538,VLOOKUP(S539,$C$22:$F$1023,2,0)))</f>
        <v xml:space="preserve"> </v>
      </c>
      <c r="U539" s="64" t="str">
        <f t="shared" ca="1" si="40"/>
        <v xml:space="preserve"> </v>
      </c>
      <c r="V539" s="150" t="str">
        <f t="shared" ca="1" si="43"/>
        <v xml:space="preserve"> </v>
      </c>
      <c r="W539" s="62" t="str">
        <f t="shared" ca="1" si="44"/>
        <v xml:space="preserve"> </v>
      </c>
      <c r="X539" s="141" t="str">
        <f ca="1">IF(S539=" "," ",IFERROR(VLOOKUP(U539,$F$23:$N$1023,7)+VLOOKUP(U539,$F$23:$N$1023,9)+IF(AND('депозитный калькулятор'!$G$13="нет",U539&lt;&gt;'депозитный калькулятор'!$D$8),VLOOKUP(U539,$F$23:$N$1023,4),0),0)+IF(U539='депозитный калькулятор'!$D$8,VLOOKUP(U539,$F$23:$N$1023,2)+VLOOKUP(U539,$F$23:$N$1023,4),0))</f>
        <v xml:space="preserve"> </v>
      </c>
      <c r="Y539" s="142" t="str">
        <f ca="1">IF(S539=" "," ",W539/(1+'депозитный калькулятор'!$K$8)^(T539/IF('депозитный калькулятор'!$G$7="30/360",360,365)))</f>
        <v xml:space="preserve"> </v>
      </c>
      <c r="Z539" s="142" t="str">
        <f ca="1">IF(S539=" "," ",X539/(1+'депозитный калькулятор'!$K$8)^(T539/IF('депозитный калькулятор'!$G$7="30/360",360,365)))</f>
        <v xml:space="preserve"> </v>
      </c>
      <c r="AA539" s="151"/>
      <c r="AB539" s="151"/>
      <c r="AC539" s="155"/>
      <c r="AD539" s="155"/>
    </row>
    <row r="540" spans="1:30" s="2" customFormat="1" ht="15.5" x14ac:dyDescent="0.35">
      <c r="A540" s="41" t="str">
        <f>IF(F540=" "," ",IF(OR('депозитный калькулятор'!$G$7="30/365",'депозитный калькулятор'!$G$7="30/360"),IF(AND(MONTH(F540)=2,DAY(F540)=DAY(EOMONTH(F540,0))),30-DAY(EOMONTH(F540,0)),IF(DAY(F540)=31,1," "))," "))</f>
        <v xml:space="preserve"> </v>
      </c>
      <c r="B540" s="130" t="str">
        <f t="shared" si="41"/>
        <v xml:space="preserve"> </v>
      </c>
      <c r="C540" s="130" t="str">
        <f>IF(OR(B540=0,B540=" ")," ",SUM($B$23:B540))</f>
        <v xml:space="preserve"> </v>
      </c>
      <c r="D540" s="62" t="str">
        <f>IF(D539=" "," ",IF(OR(F539='депозитный калькулятор'!$D$8,F539=" ")," ",D539+1))</f>
        <v xml:space="preserve"> </v>
      </c>
      <c r="E540" s="130" t="str">
        <f>IF(OR(F539='депозитный калькулятор'!$D$8,F539=" ")," ",IF(EOMONTH(F539,0)=F539,1,E539+1))</f>
        <v xml:space="preserve"> </v>
      </c>
      <c r="F540" s="64" t="str">
        <f>IF(F539=" "," ",IF(F539='депозитный калькулятор'!$D$8," ",F539+1))</f>
        <v xml:space="preserve"> </v>
      </c>
      <c r="G540" s="145" t="str">
        <f xml:space="preserve"> IF(F540&gt;'депозитный калькулятор'!$D$8," ",IF('депозитный калькулятор'!$G$13="есть",IF('депозитный калькулятор'!$G$14="есть",G539+IF(I539=" ",0,I539)-J540-K540+L540+M540-N540,G539+IF(I539=" ",0,I539)-J540-K540+M540-N540),IF('депозитный калькулятор'!$G$14="есть",G539-J540-K540+L540+M540-N540,G539-J540-K540+M540-N540)))</f>
        <v xml:space="preserve"> </v>
      </c>
      <c r="H540" s="133" t="str">
        <f>IF(F540&gt;'депозитный калькулятор'!$D$8," ",IF(AND(OR('депозитный калькулятор'!$G$7="30/365",'депозитный калькулятор'!$G$7="30/360"),AND(MONTH(F540)=2,EOMONTH(F540,0)=F540)),IF(DAY(F540)=28,3*G540*'депозитный калькулятор'!$G$8,2*G540*'депозитный калькулятор'!$G$8),IF(AND(OR('депозитный калькулятор'!$G$7="30/365",'депозитный калькулятор'!$G$7="30/360"),DAY(F540)=31)," ",IF(AND('депозитный калькулятор'!$G$7="факт/факт",MOD(YEAR(F540),4)=0),G540*'депозитный калькулятор'!$D$11/366,G540*'депозитный калькулятор'!$G$8))))</f>
        <v xml:space="preserve"> </v>
      </c>
      <c r="I540" s="134" t="str">
        <f ca="1">IF(F540=" "," ",IF('депозитный калькулятор'!$G$10="ежедневное",H540,IF(AND('депозитный калькулятор'!$G$10="еженедельное",WEEKDAY(F540,2)=7),SUM(OFFSET(H540,-6,0):H540),IF(AND('депозитный калькулятор'!$G$10="еженедельное",F540='депозитный калькулятор'!$D$8),SUM($H$23:H540)-SUM($I$23:I539),IF(AND('депозитный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недели",WEEKDAY(F540,2)=7),MIN(OFFSET(H540,-6,0):H540)*(COUNTIF(OFFSET(H540,-6,0):H540,"&gt;0")+SUMIF(OFFSET(A540,-WEEKDAY(F540,2),0):A540,"=2",OFFSET(A540,-WEEKDAY(F540,2),0):A540)),IF(AND('депозитный калькулятор'!$G$10="еженедельное, на минимальную сумму зафиксированную в течение недели",F540='депозитный калькулятор'!$D$8,WEEKDAY(F540,2)&lt;&gt;7),MIN(OFFSET(H540,-WEEKDAY(F540,2),0):H540)*(COUNTIF(OFFSET(H540,-WEEKDAY(F540,2)+1,0):H540,"&gt;0")+SUM(OFFSET(A540,-WEEKDAY(F540,2),0):A540)),IF(AND('депозитный калькулятор'!$G$10="ежемесячное (в конце месяца)",F540='депозитный калькулятор'!$D$8,EOMONTH(F540,0)&lt;&gt;F540),IF('депозитный калькулятор'!$F$1=1,$H$24,SUM($H$23:H540)-SUM($I$23:I539)),IF(AND('депозитный калькулятор'!$G$10="ежемесячное (в конце месяца)",EOMONTH(F540,0)=F540),SUM($H$23:H540)-SUM($I$23:I539),IF(AND('депозитный калькулятор'!$G$10="ежемесячное (по дням открытия вклада)",F540='депозитный калькулятор'!$D$8,DAY('депозитный калькулятор'!$D$7)&lt;&gt;DAY(F540)),IF('депозитный калькулятор'!$F$1=1,$H$24,SUM($H$23:H540)-SUM($I$23:I539)),IF(AND('депозитный калькулятор'!$G$10="ежемесячное (по дням открытия вклада)",DAY('депозитный калькулятор'!$D$7)=DAY(F540)),SUM($H$23:H540)-SUM($I$23:I539),IF(AND('депозитный калькулятор'!$G$10="ежемесячное, на минимальную сумму зафиксированную в течение месяца",F540='депозитный калькулятор'!$D$8,EOMONTH(F540,0)&lt;&gt;F540),IF('депозитный калькулятор'!$F$1=1,$H$24,IF(AND(OR('депозитный калькулятор'!$G$7="30/365",'депозитный калькулятор'!$G$7="30/360"),DAY(F540)=31),0,MIN(OFFSET(H540,-E540+1,0):H540)*(E540+SUMIF(OFFSET(A540,-E540+1,0):A540,"=2",OFFSET(A540,-E540+1,0):A540)))),IF(AND('депозитный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калькулятор'!$G$7="30/360"),DAY(EOMONTH(F540,0))=31),EOMONTH(F540,0)-1=F540,EOMONTH(F540,0)=F540)),IF(IF(AND(OR('депозитный калькулятор'!$G$7="30/365",'депозитный калькулятор'!$G$7="30/360"),DAY(EOMONTH($F$23,0))=31),F540=EOMONTH($F$23,0)-1,F540=EOMONTH($F$23,0)),MIN(OFFSET(H540,-(DAY(F540)-DAY($F$23)),0):H540)*E540,MIN(OFFSET(H540,-(DAY(F540)-1),0):H540)*IF(AND(OR('депозитный калькулятор'!$G$7="30/365",'депозитный калькулятор'!$G$7="30/360"),DAY(F540)&lt;30),30,DAY(F540))),IF(AND('депозитный калькулятор'!$G$10="ежемесячное, на средний остаток в течение месяца, при условии что остаток больше чем ограничение",F540='депозитный калькулятор'!$D$8,EOMONTH(F540,0)&lt;&gt;F540),IF('депозитный калькулятор'!$F$1=1,$H$24,SUM(OFFSET(Q540,-E540+1,0):Q540)),IF(AND('депозитный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калькулятор'!$G$7="30/360"),DAY(EOMONTH(F540,0))=31),EOMONTH(F540,0)-1=F540,EOMONTH(F540,0)=F540)),IF(IF(AND(OR('депозитный калькулятор'!$G$7="30/365",'депозитный калькулятор'!$G$7="30/360"),DAY(EOMONTH($F$24,0))=31),F540=EOMONTH($F$24,0)-1,F540=EOMONTH($F$24,0)),SUM(OFFSET(Q540,-E540+1,0):Q540),SUM(OFFSET(Q540,-E540+1,0):Q540)),IF('депозитный калькулятор'!$G$10="ежеквартальное",IF(F540&gt;'депозитный калькулятор'!$D$8," ",IF(AND(EOMONTH(F540,0)=F540,OR(MONTH(F540)=3,MONTH(F540)=6,MONTH(F540)=9,MONTH(F540)=12)),IF(EDATE(F540,-3)&lt;'депозитный калькулятор'!$D$7,SUM($H$23:H540),IF(MOD(YEAR(F540),4)=0,IF(AND(EOMONTH(F540,0)=F540,OR(MONTH(F540)=3,MONTH(F540)=6)),SUM(OFFSET(H540,-90,0):H540),IF(AND(EOMONTH(F540,0)=F540,OR(MONTH(F540)=9,MONTH(F540)=12)),SUM(OFFSET(H540,-91,0):H540))),IF(AND(EOMONTH(F540,0)=F540,MONTH(F540)=3),SUM(OFFSET(H540,-89,0):H540),IF(AND(EOMONTH(F540,0)=F540,MONTH(F540)=6),SUM(OFFSET(H540,-90,0):H540),IF(AND(EOMONTH(F540,0)=F540,OR(MONTH(F540)=9,MONTH(F540)=12)),SUM(OFFSET(H540,-91,0):H540)))))),IF(F540='депозитный калькулятор'!$D$8,SUM($H$23:H540)-SUM($I$23:I539),0))),IF('депозитный калькулятор'!$G$10="ежегодное",IF(F540&gt;'депозитный калькулятор'!$D$8," ",IF(F540='депозитный калькулятор'!$D$8,SUM($H$23:H540)-SUM($I$23:I539),IF(AND(EOMONTH(F540,0)=F540,MONTH(F540)=12),IF(MOD(YEAR(F539),4)=0,IF(F540-'депозитный калькулятор'!$D$7&lt;366,SUM($H$23:H540),SUM(OFFSET(H540,-365,0):H540)),IF(F540-'депозитный калькулятор'!$D$7&lt;365,SUM($H$23:H540),SUM(OFFSET(H540,-364,0):H540))),0))),IF(AND('депозитный калькулятор'!$G$10="в конце срока",'депозитный калькулятор'!$D$8=F540),SUM($H$23:H540),0))))))))))))))))))</f>
        <v xml:space="preserve"> </v>
      </c>
      <c r="J540" s="59" t="str">
        <f>IF(F540&gt;'депозитный калькулятор'!$D$8," ",IF('депозитный калькулятор'!$G$16="нет",0,IF(AND('депозитный калькулятор'!$G$17="разовая (в конце срока)",F540='депозитный калькулятор'!$D$8),'депозитный калькулятор'!$G$18,IF(AND('депозитный калькулятор'!$G$17="ежемесячная",EOMONTH(F539,0)=F539),'депозитный калькулятор'!$G$18,IF(AND('депозитный калькулятор'!$G$17="ежегодная",DAY(F539)=31,MONTH(F539)=12),'депозитный калькулятор'!$G$18,IF(AND('депозитный калькулятор'!$G$17="ежемесячная в зависимости от остатка",EOMONTH(F539,0)=F539,P539&gt;0),'депозитный калькулятор'!$G$18,IF(AND('депозитный калькулятор'!$G$17="ежегодная в зависимости от остатка",DAY(F539)=31,MONTH(F539)=12,P539&gt;0),'депозитный калькулятор'!$G$18,0)))))))</f>
        <v xml:space="preserve"> </v>
      </c>
      <c r="K540" s="135" t="str">
        <f>IF($F540=" "," ",IFERROR(VLOOKUP($F540,'депозитный калькулятор'!$B$26:$F$70,2,0),0))</f>
        <v xml:space="preserve"> </v>
      </c>
      <c r="L540" s="135" t="str">
        <f>IF($F540=" "," ",IFERROR(VLOOKUP($F540,'депозитный калькулятор'!$B$26:$F$70,3,0),0))</f>
        <v xml:space="preserve"> </v>
      </c>
      <c r="M540" s="135" t="str">
        <f>IF($F540=" "," ",IFERROR(VLOOKUP($F540,'депозитный калькулятор'!$B$26:$F$70,4,0),0))</f>
        <v xml:space="preserve"> </v>
      </c>
      <c r="N540" s="135" t="str">
        <f>IF($F540=" "," ",IFERROR(VLOOKUP($F540,'депозитный калькулятор'!$B$26:$F$70,5,0),0))</f>
        <v xml:space="preserve"> </v>
      </c>
      <c r="O540" s="146" t="str">
        <f>IF(F540&gt;'депозитный калькулятор'!$D$8," ",IF(F540='депозитный калькулятор'!$D$8,IF(AND($F$24='депозитный калькулятор'!$D$8,'депозитный калькулятор'!$G$13="нет"),-G540-IF(I540=" ",0,I540)-IF(AND(OR('депозитный калькулятор'!$G$7="30/365",'депозитный калькулятор'!$G$7="30/360"),'депозитный калькулятор'!$G$10="в начале срока"),I539,0)-L540+M540-N540,-G540-IF(I540=" ",0,I540)-L540+M540-N540),IF('депозитный калькулятор'!$G$13="есть",M540-N540+IF('депозитный калькулятор'!$G$14="есть",0,-L540),-IF(I540=" ",0,I540)-IF(AND(OR('депозитный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срока"),I539,0)+M540-N540+IF('депозитный калькулятор'!$G$14="есть",0,-L540))))</f>
        <v xml:space="preserve"> </v>
      </c>
      <c r="P540" s="147" t="str">
        <f>IF(F540&gt;'депозитный калькулятор'!$D$8," ",IF(EOMONTH(F539,0)=F539,0,IF(G540&gt;='депозитный калькулятор'!$G$19,P539,P539+1)))</f>
        <v xml:space="preserve"> </v>
      </c>
      <c r="Q540" s="138" t="str">
        <f>IF(F540=" "," ",IF(AND(OR('депозитный калькулятор'!$G$7="30/365",'депозитный калькулятор'!$G$7="30/360"),AND(MONTH(F540)=2,EOMONTH(F540,0)=F540)),IF(DAY(F540)=28,3,2),1)*IF(G540&gt;='депозитный калькулятор'!$G$11,IF(AND('депозитный калькулятор'!$G$7="факт/факт",MOD(YEAR(F540),4)=0),G540*'депозитный калькулятор'!$D$11/366,G540*'депозитный калькулятор'!$G$8),0))</f>
        <v xml:space="preserve"> </v>
      </c>
      <c r="R540" s="158"/>
      <c r="S540" s="62" t="str">
        <f t="shared" ca="1" si="42"/>
        <v xml:space="preserve"> </v>
      </c>
      <c r="T540" s="149" t="str">
        <f ca="1">IF(S540=" "," ",IF('депозитный калькулятор'!$G$7="30/360",DAYS360(U539,IF(DAY(U540)=31,U540-1,U540))+IF(AND(MONTH(U540)=2,U540=EOMONTH(U540,0)),30-DAY(EOMONTH(U540,0)))+T539,VLOOKUP(S540,$C$22:$F$1023,2,0)))</f>
        <v xml:space="preserve"> </v>
      </c>
      <c r="U540" s="64" t="str">
        <f t="shared" ca="1" si="40"/>
        <v xml:space="preserve"> </v>
      </c>
      <c r="V540" s="150" t="str">
        <f t="shared" ca="1" si="43"/>
        <v xml:space="preserve"> </v>
      </c>
      <c r="W540" s="62" t="str">
        <f t="shared" ca="1" si="44"/>
        <v xml:space="preserve"> </v>
      </c>
      <c r="X540" s="141" t="str">
        <f ca="1">IF(S540=" "," ",IFERROR(VLOOKUP(U540,$F$23:$N$1023,7)+VLOOKUP(U540,$F$23:$N$1023,9)+IF(AND('депозитный калькулятор'!$G$13="нет",U540&lt;&gt;'депозитный калькулятор'!$D$8),VLOOKUP(U540,$F$23:$N$1023,4),0),0)+IF(U540='депозитный калькулятор'!$D$8,VLOOKUP(U540,$F$23:$N$1023,2)+VLOOKUP(U540,$F$23:$N$1023,4),0))</f>
        <v xml:space="preserve"> </v>
      </c>
      <c r="Y540" s="142" t="str">
        <f ca="1">IF(S540=" "," ",W540/(1+'депозитный калькулятор'!$K$8)^(T540/IF('депозитный калькулятор'!$G$7="30/360",360,365)))</f>
        <v xml:space="preserve"> </v>
      </c>
      <c r="Z540" s="142" t="str">
        <f ca="1">IF(S540=" "," ",X540/(1+'депозитный калькулятор'!$K$8)^(T540/IF('депозитный калькулятор'!$G$7="30/360",360,365)))</f>
        <v xml:space="preserve"> </v>
      </c>
      <c r="AA540" s="151"/>
      <c r="AB540" s="151"/>
      <c r="AC540" s="155"/>
      <c r="AD540" s="155"/>
    </row>
    <row r="541" spans="1:30" s="2" customFormat="1" ht="15.5" x14ac:dyDescent="0.35">
      <c r="A541" s="41" t="str">
        <f>IF(F541=" "," ",IF(OR('депозитный калькулятор'!$G$7="30/365",'депозитный калькулятор'!$G$7="30/360"),IF(AND(MONTH(F541)=2,DAY(F541)=DAY(EOMONTH(F541,0))),30-DAY(EOMONTH(F541,0)),IF(DAY(F541)=31,1," "))," "))</f>
        <v xml:space="preserve"> </v>
      </c>
      <c r="B541" s="130" t="str">
        <f t="shared" si="41"/>
        <v xml:space="preserve"> </v>
      </c>
      <c r="C541" s="130" t="str">
        <f>IF(OR(B541=0,B541=" ")," ",SUM($B$23:B541))</f>
        <v xml:space="preserve"> </v>
      </c>
      <c r="D541" s="62" t="str">
        <f>IF(D540=" "," ",IF(OR(F540='депозитный калькулятор'!$D$8,F540=" ")," ",D540+1))</f>
        <v xml:space="preserve"> </v>
      </c>
      <c r="E541" s="130" t="str">
        <f>IF(OR(F540='депозитный калькулятор'!$D$8,F540=" ")," ",IF(EOMONTH(F540,0)=F540,1,E540+1))</f>
        <v xml:space="preserve"> </v>
      </c>
      <c r="F541" s="64" t="str">
        <f>IF(F540=" "," ",IF(F540='депозитный калькулятор'!$D$8," ",F540+1))</f>
        <v xml:space="preserve"> </v>
      </c>
      <c r="G541" s="145" t="str">
        <f xml:space="preserve"> IF(F541&gt;'депозитный калькулятор'!$D$8," ",IF('депозитный калькулятор'!$G$13="есть",IF('депозитный калькулятор'!$G$14="есть",G540+IF(I540=" ",0,I540)-J541-K541+L541+M541-N541,G540+IF(I540=" ",0,I540)-J541-K541+M541-N541),IF('депозитный калькулятор'!$G$14="есть",G540-J541-K541+L541+M541-N541,G540-J541-K541+M541-N541)))</f>
        <v xml:space="preserve"> </v>
      </c>
      <c r="H541" s="133" t="str">
        <f>IF(F541&gt;'депозитный калькулятор'!$D$8," ",IF(AND(OR('депозитный калькулятор'!$G$7="30/365",'депозитный калькулятор'!$G$7="30/360"),AND(MONTH(F541)=2,EOMONTH(F541,0)=F541)),IF(DAY(F541)=28,3*G541*'депозитный калькулятор'!$G$8,2*G541*'депозитный калькулятор'!$G$8),IF(AND(OR('депозитный калькулятор'!$G$7="30/365",'депозитный калькулятор'!$G$7="30/360"),DAY(F541)=31)," ",IF(AND('депозитный калькулятор'!$G$7="факт/факт",MOD(YEAR(F541),4)=0),G541*'депозитный калькулятор'!$D$11/366,G541*'депозитный калькулятор'!$G$8))))</f>
        <v xml:space="preserve"> </v>
      </c>
      <c r="I541" s="134" t="str">
        <f ca="1">IF(F541=" "," ",IF('депозитный калькулятор'!$G$10="ежедневное",H541,IF(AND('депозитный калькулятор'!$G$10="еженедельное",WEEKDAY(F541,2)=7),SUM(OFFSET(H541,-6,0):H541),IF(AND('депозитный калькулятор'!$G$10="еженедельное",F541='депозитный калькулятор'!$D$8),SUM($H$23:H541)-SUM($I$23:I540),IF(AND('депозитный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недели",WEEKDAY(F541,2)=7),MIN(OFFSET(H541,-6,0):H541)*(COUNTIF(OFFSET(H541,-6,0):H541,"&gt;0")+SUMIF(OFFSET(A541,-WEEKDAY(F541,2),0):A541,"=2",OFFSET(A541,-WEEKDAY(F541,2),0):A541)),IF(AND('депозитный калькулятор'!$G$10="еженедельное, на минимальную сумму зафиксированную в течение недели",F541='депозитный калькулятор'!$D$8,WEEKDAY(F541,2)&lt;&gt;7),MIN(OFFSET(H541,-WEEKDAY(F541,2),0):H541)*(COUNTIF(OFFSET(H541,-WEEKDAY(F541,2)+1,0):H541,"&gt;0")+SUM(OFFSET(A541,-WEEKDAY(F541,2),0):A541)),IF(AND('депозитный калькулятор'!$G$10="ежемесячное (в конце месяца)",F541='депозитный калькулятор'!$D$8,EOMONTH(F541,0)&lt;&gt;F541),IF('депозитный калькулятор'!$F$1=1,$H$24,SUM($H$23:H541)-SUM($I$23:I540)),IF(AND('депозитный калькулятор'!$G$10="ежемесячное (в конце месяца)",EOMONTH(F541,0)=F541),SUM($H$23:H541)-SUM($I$23:I540),IF(AND('депозитный калькулятор'!$G$10="ежемесячное (по дням открытия вклада)",F541='депозитный калькулятор'!$D$8,DAY('депозитный калькулятор'!$D$7)&lt;&gt;DAY(F541)),IF('депозитный калькулятор'!$F$1=1,$H$24,SUM($H$23:H541)-SUM($I$23:I540)),IF(AND('депозитный калькулятор'!$G$10="ежемесячное (по дням открытия вклада)",DAY('депозитный калькулятор'!$D$7)=DAY(F541)),SUM($H$23:H541)-SUM($I$23:I540),IF(AND('депозитный калькулятор'!$G$10="ежемесячное, на минимальную сумму зафиксированную в течение месяца",F541='депозитный калькулятор'!$D$8,EOMONTH(F541,0)&lt;&gt;F541),IF('депозитный калькулятор'!$F$1=1,$H$24,IF(AND(OR('депозитный калькулятор'!$G$7="30/365",'депозитный калькулятор'!$G$7="30/360"),DAY(F541)=31),0,MIN(OFFSET(H541,-E541+1,0):H541)*(E541+SUMIF(OFFSET(A541,-E541+1,0):A541,"=2",OFFSET(A541,-E541+1,0):A541)))),IF(AND('депозитный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калькулятор'!$G$7="30/360"),DAY(EOMONTH(F541,0))=31),EOMONTH(F541,0)-1=F541,EOMONTH(F541,0)=F541)),IF(IF(AND(OR('депозитный калькулятор'!$G$7="30/365",'депозитный калькулятор'!$G$7="30/360"),DAY(EOMONTH($F$23,0))=31),F541=EOMONTH($F$23,0)-1,F541=EOMONTH($F$23,0)),MIN(OFFSET(H541,-(DAY(F541)-DAY($F$23)),0):H541)*E541,MIN(OFFSET(H541,-(DAY(F541)-1),0):H541)*IF(AND(OR('депозитный калькулятор'!$G$7="30/365",'депозитный калькулятор'!$G$7="30/360"),DAY(F541)&lt;30),30,DAY(F541))),IF(AND('депозитный калькулятор'!$G$10="ежемесячное, на средний остаток в течение месяца, при условии что остаток больше чем ограничение",F541='депозитный калькулятор'!$D$8,EOMONTH(F541,0)&lt;&gt;F541),IF('депозитный калькулятор'!$F$1=1,$H$24,SUM(OFFSET(Q541,-E541+1,0):Q541)),IF(AND('депозитный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калькулятор'!$G$7="30/360"),DAY(EOMONTH(F541,0))=31),EOMONTH(F541,0)-1=F541,EOMONTH(F541,0)=F541)),IF(IF(AND(OR('депозитный калькулятор'!$G$7="30/365",'депозитный калькулятор'!$G$7="30/360"),DAY(EOMONTH($F$24,0))=31),F541=EOMONTH($F$24,0)-1,F541=EOMONTH($F$24,0)),SUM(OFFSET(Q541,-E541+1,0):Q541),SUM(OFFSET(Q541,-E541+1,0):Q541)),IF('депозитный калькулятор'!$G$10="ежеквартальное",IF(F541&gt;'депозитный калькулятор'!$D$8," ",IF(AND(EOMONTH(F541,0)=F541,OR(MONTH(F541)=3,MONTH(F541)=6,MONTH(F541)=9,MONTH(F541)=12)),IF(EDATE(F541,-3)&lt;'депозитный калькулятор'!$D$7,SUM($H$23:H541),IF(MOD(YEAR(F541),4)=0,IF(AND(EOMONTH(F541,0)=F541,OR(MONTH(F541)=3,MONTH(F541)=6)),SUM(OFFSET(H541,-90,0):H541),IF(AND(EOMONTH(F541,0)=F541,OR(MONTH(F541)=9,MONTH(F541)=12)),SUM(OFFSET(H541,-91,0):H541))),IF(AND(EOMONTH(F541,0)=F541,MONTH(F541)=3),SUM(OFFSET(H541,-89,0):H541),IF(AND(EOMONTH(F541,0)=F541,MONTH(F541)=6),SUM(OFFSET(H541,-90,0):H541),IF(AND(EOMONTH(F541,0)=F541,OR(MONTH(F541)=9,MONTH(F541)=12)),SUM(OFFSET(H541,-91,0):H541)))))),IF(F541='депозитный калькулятор'!$D$8,SUM($H$23:H541)-SUM($I$23:I540),0))),IF('депозитный калькулятор'!$G$10="ежегодное",IF(F541&gt;'депозитный калькулятор'!$D$8," ",IF(F541='депозитный калькулятор'!$D$8,SUM($H$23:H541)-SUM($I$23:I540),IF(AND(EOMONTH(F541,0)=F541,MONTH(F541)=12),IF(MOD(YEAR(F540),4)=0,IF(F541-'депозитный калькулятор'!$D$7&lt;366,SUM($H$23:H541),SUM(OFFSET(H541,-365,0):H541)),IF(F541-'депозитный калькулятор'!$D$7&lt;365,SUM($H$23:H541),SUM(OFFSET(H541,-364,0):H541))),0))),IF(AND('депозитный калькулятор'!$G$10="в конце срока",'депозитный калькулятор'!$D$8=F541),SUM($H$23:H541),0))))))))))))))))))</f>
        <v xml:space="preserve"> </v>
      </c>
      <c r="J541" s="59" t="str">
        <f>IF(F541&gt;'депозитный калькулятор'!$D$8," ",IF('депозитный калькулятор'!$G$16="нет",0,IF(AND('депозитный калькулятор'!$G$17="разовая (в конце срока)",F541='депозитный калькулятор'!$D$8),'депозитный калькулятор'!$G$18,IF(AND('депозитный калькулятор'!$G$17="ежемесячная",EOMONTH(F540,0)=F540),'депозитный калькулятор'!$G$18,IF(AND('депозитный калькулятор'!$G$17="ежегодная",DAY(F540)=31,MONTH(F540)=12),'депозитный калькулятор'!$G$18,IF(AND('депозитный калькулятор'!$G$17="ежемесячная в зависимости от остатка",EOMONTH(F540,0)=F540,P540&gt;0),'депозитный калькулятор'!$G$18,IF(AND('депозитный калькулятор'!$G$17="ежегодная в зависимости от остатка",DAY(F540)=31,MONTH(F540)=12,P540&gt;0),'депозитный калькулятор'!$G$18,0)))))))</f>
        <v xml:space="preserve"> </v>
      </c>
      <c r="K541" s="135" t="str">
        <f>IF($F541=" "," ",IFERROR(VLOOKUP($F541,'депозитный калькулятор'!$B$26:$F$70,2,0),0))</f>
        <v xml:space="preserve"> </v>
      </c>
      <c r="L541" s="135" t="str">
        <f>IF($F541=" "," ",IFERROR(VLOOKUP($F541,'депозитный калькулятор'!$B$26:$F$70,3,0),0))</f>
        <v xml:space="preserve"> </v>
      </c>
      <c r="M541" s="135" t="str">
        <f>IF($F541=" "," ",IFERROR(VLOOKUP($F541,'депозитный калькулятор'!$B$26:$F$70,4,0),0))</f>
        <v xml:space="preserve"> </v>
      </c>
      <c r="N541" s="135" t="str">
        <f>IF($F541=" "," ",IFERROR(VLOOKUP($F541,'депозитный калькулятор'!$B$26:$F$70,5,0),0))</f>
        <v xml:space="preserve"> </v>
      </c>
      <c r="O541" s="146" t="str">
        <f>IF(F541&gt;'депозитный калькулятор'!$D$8," ",IF(F541='депозитный калькулятор'!$D$8,IF(AND($F$24='депозитный калькулятор'!$D$8,'депозитный калькулятор'!$G$13="нет"),-G541-IF(I541=" ",0,I541)-IF(AND(OR('депозитный калькулятор'!$G$7="30/365",'депозитный калькулятор'!$G$7="30/360"),'депозитный калькулятор'!$G$10="в начале срока"),I540,0)-L541+M541-N541,-G541-IF(I541=" ",0,I541)-L541+M541-N541),IF('депозитный калькулятор'!$G$13="есть",M541-N541+IF('депозитный калькулятор'!$G$14="есть",0,-L541),-IF(I541=" ",0,I541)-IF(AND(OR('депозитный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срока"),I540,0)+M541-N541+IF('депозитный калькулятор'!$G$14="есть",0,-L541))))</f>
        <v xml:space="preserve"> </v>
      </c>
      <c r="P541" s="147" t="str">
        <f>IF(F541&gt;'депозитный калькулятор'!$D$8," ",IF(EOMONTH(F540,0)=F540,0,IF(G541&gt;='депозитный калькулятор'!$G$19,P540,P540+1)))</f>
        <v xml:space="preserve"> </v>
      </c>
      <c r="Q541" s="138" t="str">
        <f>IF(F541=" "," ",IF(AND(OR('депозитный калькулятор'!$G$7="30/365",'депозитный калькулятор'!$G$7="30/360"),AND(MONTH(F541)=2,EOMONTH(F541,0)=F541)),IF(DAY(F541)=28,3,2),1)*IF(G541&gt;='депозитный калькулятор'!$G$11,IF(AND('депозитный калькулятор'!$G$7="факт/факт",MOD(YEAR(F541),4)=0),G541*'депозитный калькулятор'!$D$11/366,G541*'депозитный калькулятор'!$G$8),0))</f>
        <v xml:space="preserve"> </v>
      </c>
      <c r="R541" s="158"/>
      <c r="S541" s="62" t="str">
        <f t="shared" ca="1" si="42"/>
        <v xml:space="preserve"> </v>
      </c>
      <c r="T541" s="149" t="str">
        <f ca="1">IF(S541=" "," ",IF('депозитный калькулятор'!$G$7="30/360",DAYS360(U540,IF(DAY(U541)=31,U541-1,U541))+IF(AND(MONTH(U541)=2,U541=EOMONTH(U541,0)),30-DAY(EOMONTH(U541,0)))+T540,VLOOKUP(S541,$C$22:$F$1023,2,0)))</f>
        <v xml:space="preserve"> </v>
      </c>
      <c r="U541" s="64" t="str">
        <f t="shared" ca="1" si="40"/>
        <v xml:space="preserve"> </v>
      </c>
      <c r="V541" s="150" t="str">
        <f t="shared" ca="1" si="43"/>
        <v xml:space="preserve"> </v>
      </c>
      <c r="W541" s="62" t="str">
        <f t="shared" ca="1" si="44"/>
        <v xml:space="preserve"> </v>
      </c>
      <c r="X541" s="141" t="str">
        <f ca="1">IF(S541=" "," ",IFERROR(VLOOKUP(U541,$F$23:$N$1023,7)+VLOOKUP(U541,$F$23:$N$1023,9)+IF(AND('депозитный калькулятор'!$G$13="нет",U541&lt;&gt;'депозитный калькулятор'!$D$8),VLOOKUP(U541,$F$23:$N$1023,4),0),0)+IF(U541='депозитный калькулятор'!$D$8,VLOOKUP(U541,$F$23:$N$1023,2)+VLOOKUP(U541,$F$23:$N$1023,4),0))</f>
        <v xml:space="preserve"> </v>
      </c>
      <c r="Y541" s="142" t="str">
        <f ca="1">IF(S541=" "," ",W541/(1+'депозитный калькулятор'!$K$8)^(T541/IF('депозитный калькулятор'!$G$7="30/360",360,365)))</f>
        <v xml:space="preserve"> </v>
      </c>
      <c r="Z541" s="142" t="str">
        <f ca="1">IF(S541=" "," ",X541/(1+'депозитный калькулятор'!$K$8)^(T541/IF('депозитный калькулятор'!$G$7="30/360",360,365)))</f>
        <v xml:space="preserve"> </v>
      </c>
      <c r="AA541" s="151"/>
      <c r="AB541" s="151"/>
      <c r="AC541" s="155"/>
      <c r="AD541" s="155"/>
    </row>
    <row r="542" spans="1:30" s="2" customFormat="1" ht="15.5" x14ac:dyDescent="0.35">
      <c r="A542" s="41" t="str">
        <f>IF(F542=" "," ",IF(OR('депозитный калькулятор'!$G$7="30/365",'депозитный калькулятор'!$G$7="30/360"),IF(AND(MONTH(F542)=2,DAY(F542)=DAY(EOMONTH(F542,0))),30-DAY(EOMONTH(F542,0)),IF(DAY(F542)=31,1," "))," "))</f>
        <v xml:space="preserve"> </v>
      </c>
      <c r="B542" s="130" t="str">
        <f t="shared" si="41"/>
        <v xml:space="preserve"> </v>
      </c>
      <c r="C542" s="130" t="str">
        <f>IF(OR(B542=0,B542=" ")," ",SUM($B$23:B542))</f>
        <v xml:space="preserve"> </v>
      </c>
      <c r="D542" s="62" t="str">
        <f>IF(D541=" "," ",IF(OR(F541='депозитный калькулятор'!$D$8,F541=" ")," ",D541+1))</f>
        <v xml:space="preserve"> </v>
      </c>
      <c r="E542" s="130" t="str">
        <f>IF(OR(F541='депозитный калькулятор'!$D$8,F541=" ")," ",IF(EOMONTH(F541,0)=F541,1,E541+1))</f>
        <v xml:space="preserve"> </v>
      </c>
      <c r="F542" s="64" t="str">
        <f>IF(F541=" "," ",IF(F541='депозитный калькулятор'!$D$8," ",F541+1))</f>
        <v xml:space="preserve"> </v>
      </c>
      <c r="G542" s="145" t="str">
        <f xml:space="preserve"> IF(F542&gt;'депозитный калькулятор'!$D$8," ",IF('депозитный калькулятор'!$G$13="есть",IF('депозитный калькулятор'!$G$14="есть",G541+IF(I541=" ",0,I541)-J542-K542+L542+M542-N542,G541+IF(I541=" ",0,I541)-J542-K542+M542-N542),IF('депозитный калькулятор'!$G$14="есть",G541-J542-K542+L542+M542-N542,G541-J542-K542+M542-N542)))</f>
        <v xml:space="preserve"> </v>
      </c>
      <c r="H542" s="133" t="str">
        <f>IF(F542&gt;'депозитный калькулятор'!$D$8," ",IF(AND(OR('депозитный калькулятор'!$G$7="30/365",'депозитный калькулятор'!$G$7="30/360"),AND(MONTH(F542)=2,EOMONTH(F542,0)=F542)),IF(DAY(F542)=28,3*G542*'депозитный калькулятор'!$G$8,2*G542*'депозитный калькулятор'!$G$8),IF(AND(OR('депозитный калькулятор'!$G$7="30/365",'депозитный калькулятор'!$G$7="30/360"),DAY(F542)=31)," ",IF(AND('депозитный калькулятор'!$G$7="факт/факт",MOD(YEAR(F542),4)=0),G542*'депозитный калькулятор'!$D$11/366,G542*'депозитный калькулятор'!$G$8))))</f>
        <v xml:space="preserve"> </v>
      </c>
      <c r="I542" s="134" t="str">
        <f ca="1">IF(F542=" "," ",IF('депозитный калькулятор'!$G$10="ежедневное",H542,IF(AND('депозитный калькулятор'!$G$10="еженедельное",WEEKDAY(F542,2)=7),SUM(OFFSET(H542,-6,0):H542),IF(AND('депозитный калькулятор'!$G$10="еженедельное",F542='депозитный калькулятор'!$D$8),SUM($H$23:H542)-SUM($I$23:I541),IF(AND('депозитный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недели",WEEKDAY(F542,2)=7),MIN(OFFSET(H542,-6,0):H542)*(COUNTIF(OFFSET(H542,-6,0):H542,"&gt;0")+SUMIF(OFFSET(A542,-WEEKDAY(F542,2),0):A542,"=2",OFFSET(A542,-WEEKDAY(F542,2),0):A542)),IF(AND('депозитный калькулятор'!$G$10="еженедельное, на минимальную сумму зафиксированную в течение недели",F542='депозитный калькулятор'!$D$8,WEEKDAY(F542,2)&lt;&gt;7),MIN(OFFSET(H542,-WEEKDAY(F542,2),0):H542)*(COUNTIF(OFFSET(H542,-WEEKDAY(F542,2)+1,0):H542,"&gt;0")+SUM(OFFSET(A542,-WEEKDAY(F542,2),0):A542)),IF(AND('депозитный калькулятор'!$G$10="ежемесячное (в конце месяца)",F542='депозитный калькулятор'!$D$8,EOMONTH(F542,0)&lt;&gt;F542),IF('депозитный калькулятор'!$F$1=1,$H$24,SUM($H$23:H542)-SUM($I$23:I541)),IF(AND('депозитный калькулятор'!$G$10="ежемесячное (в конце месяца)",EOMONTH(F542,0)=F542),SUM($H$23:H542)-SUM($I$23:I541),IF(AND('депозитный калькулятор'!$G$10="ежемесячное (по дням открытия вклада)",F542='депозитный калькулятор'!$D$8,DAY('депозитный калькулятор'!$D$7)&lt;&gt;DAY(F542)),IF('депозитный калькулятор'!$F$1=1,$H$24,SUM($H$23:H542)-SUM($I$23:I541)),IF(AND('депозитный калькулятор'!$G$10="ежемесячное (по дням открытия вклада)",DAY('депозитный калькулятор'!$D$7)=DAY(F542)),SUM($H$23:H542)-SUM($I$23:I541),IF(AND('депозитный калькулятор'!$G$10="ежемесячное, на минимальную сумму зафиксированную в течение месяца",F542='депозитный калькулятор'!$D$8,EOMONTH(F542,0)&lt;&gt;F542),IF('депозитный калькулятор'!$F$1=1,$H$24,IF(AND(OR('депозитный калькулятор'!$G$7="30/365",'депозитный калькулятор'!$G$7="30/360"),DAY(F542)=31),0,MIN(OFFSET(H542,-E542+1,0):H542)*(E542+SUMIF(OFFSET(A542,-E542+1,0):A542,"=2",OFFSET(A542,-E542+1,0):A542)))),IF(AND('депозитный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калькулятор'!$G$7="30/360"),DAY(EOMONTH(F542,0))=31),EOMONTH(F542,0)-1=F542,EOMONTH(F542,0)=F542)),IF(IF(AND(OR('депозитный калькулятор'!$G$7="30/365",'депозитный калькулятор'!$G$7="30/360"),DAY(EOMONTH($F$23,0))=31),F542=EOMONTH($F$23,0)-1,F542=EOMONTH($F$23,0)),MIN(OFFSET(H542,-(DAY(F542)-DAY($F$23)),0):H542)*E542,MIN(OFFSET(H542,-(DAY(F542)-1),0):H542)*IF(AND(OR('депозитный калькулятор'!$G$7="30/365",'депозитный калькулятор'!$G$7="30/360"),DAY(F542)&lt;30),30,DAY(F542))),IF(AND('депозитный калькулятор'!$G$10="ежемесячное, на средний остаток в течение месяца, при условии что остаток больше чем ограничение",F542='депозитный калькулятор'!$D$8,EOMONTH(F542,0)&lt;&gt;F542),IF('депозитный калькулятор'!$F$1=1,$H$24,SUM(OFFSET(Q542,-E542+1,0):Q542)),IF(AND('депозитный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калькулятор'!$G$7="30/360"),DAY(EOMONTH(F542,0))=31),EOMONTH(F542,0)-1=F542,EOMONTH(F542,0)=F542)),IF(IF(AND(OR('депозитный калькулятор'!$G$7="30/365",'депозитный калькулятор'!$G$7="30/360"),DAY(EOMONTH($F$24,0))=31),F542=EOMONTH($F$24,0)-1,F542=EOMONTH($F$24,0)),SUM(OFFSET(Q542,-E542+1,0):Q542),SUM(OFFSET(Q542,-E542+1,0):Q542)),IF('депозитный калькулятор'!$G$10="ежеквартальное",IF(F542&gt;'депозитный калькулятор'!$D$8," ",IF(AND(EOMONTH(F542,0)=F542,OR(MONTH(F542)=3,MONTH(F542)=6,MONTH(F542)=9,MONTH(F542)=12)),IF(EDATE(F542,-3)&lt;'депозитный калькулятор'!$D$7,SUM($H$23:H542),IF(MOD(YEAR(F542),4)=0,IF(AND(EOMONTH(F542,0)=F542,OR(MONTH(F542)=3,MONTH(F542)=6)),SUM(OFFSET(H542,-90,0):H542),IF(AND(EOMONTH(F542,0)=F542,OR(MONTH(F542)=9,MONTH(F542)=12)),SUM(OFFSET(H542,-91,0):H542))),IF(AND(EOMONTH(F542,0)=F542,MONTH(F542)=3),SUM(OFFSET(H542,-89,0):H542),IF(AND(EOMONTH(F542,0)=F542,MONTH(F542)=6),SUM(OFFSET(H542,-90,0):H542),IF(AND(EOMONTH(F542,0)=F542,OR(MONTH(F542)=9,MONTH(F542)=12)),SUM(OFFSET(H542,-91,0):H542)))))),IF(F542='депозитный калькулятор'!$D$8,SUM($H$23:H542)-SUM($I$23:I541),0))),IF('депозитный калькулятор'!$G$10="ежегодное",IF(F542&gt;'депозитный калькулятор'!$D$8," ",IF(F542='депозитный калькулятор'!$D$8,SUM($H$23:H542)-SUM($I$23:I541),IF(AND(EOMONTH(F542,0)=F542,MONTH(F542)=12),IF(MOD(YEAR(F541),4)=0,IF(F542-'депозитный калькулятор'!$D$7&lt;366,SUM($H$23:H542),SUM(OFFSET(H542,-365,0):H542)),IF(F542-'депозитный калькулятор'!$D$7&lt;365,SUM($H$23:H542),SUM(OFFSET(H542,-364,0):H542))),0))),IF(AND('депозитный калькулятор'!$G$10="в конце срока",'депозитный калькулятор'!$D$8=F542),SUM($H$23:H542),0))))))))))))))))))</f>
        <v xml:space="preserve"> </v>
      </c>
      <c r="J542" s="59" t="str">
        <f>IF(F542&gt;'депозитный калькулятор'!$D$8," ",IF('депозитный калькулятор'!$G$16="нет",0,IF(AND('депозитный калькулятор'!$G$17="разовая (в конце срока)",F542='депозитный калькулятор'!$D$8),'депозитный калькулятор'!$G$18,IF(AND('депозитный калькулятор'!$G$17="ежемесячная",EOMONTH(F541,0)=F541),'депозитный калькулятор'!$G$18,IF(AND('депозитный калькулятор'!$G$17="ежегодная",DAY(F541)=31,MONTH(F541)=12),'депозитный калькулятор'!$G$18,IF(AND('депозитный калькулятор'!$G$17="ежемесячная в зависимости от остатка",EOMONTH(F541,0)=F541,P541&gt;0),'депозитный калькулятор'!$G$18,IF(AND('депозитный калькулятор'!$G$17="ежегодная в зависимости от остатка",DAY(F541)=31,MONTH(F541)=12,P541&gt;0),'депозитный калькулятор'!$G$18,0)))))))</f>
        <v xml:space="preserve"> </v>
      </c>
      <c r="K542" s="135" t="str">
        <f>IF($F542=" "," ",IFERROR(VLOOKUP($F542,'депозитный калькулятор'!$B$26:$F$70,2,0),0))</f>
        <v xml:space="preserve"> </v>
      </c>
      <c r="L542" s="135" t="str">
        <f>IF($F542=" "," ",IFERROR(VLOOKUP($F542,'депозитный калькулятор'!$B$26:$F$70,3,0),0))</f>
        <v xml:space="preserve"> </v>
      </c>
      <c r="M542" s="135" t="str">
        <f>IF($F542=" "," ",IFERROR(VLOOKUP($F542,'депозитный калькулятор'!$B$26:$F$70,4,0),0))</f>
        <v xml:space="preserve"> </v>
      </c>
      <c r="N542" s="135" t="str">
        <f>IF($F542=" "," ",IFERROR(VLOOKUP($F542,'депозитный калькулятор'!$B$26:$F$70,5,0),0))</f>
        <v xml:space="preserve"> </v>
      </c>
      <c r="O542" s="146" t="str">
        <f>IF(F542&gt;'депозитный калькулятор'!$D$8," ",IF(F542='депозитный калькулятор'!$D$8,IF(AND($F$24='депозитный калькулятор'!$D$8,'депозитный калькулятор'!$G$13="нет"),-G542-IF(I542=" ",0,I542)-IF(AND(OR('депозитный калькулятор'!$G$7="30/365",'депозитный калькулятор'!$G$7="30/360"),'депозитный калькулятор'!$G$10="в начале срока"),I541,0)-L542+M542-N542,-G542-IF(I542=" ",0,I542)-L542+M542-N542),IF('депозитный калькулятор'!$G$13="есть",M542-N542+IF('депозитный калькулятор'!$G$14="есть",0,-L542),-IF(I542=" ",0,I542)-IF(AND(OR('депозитный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срока"),I541,0)+M542-N542+IF('депозитный калькулятор'!$G$14="есть",0,-L542))))</f>
        <v xml:space="preserve"> </v>
      </c>
      <c r="P542" s="147" t="str">
        <f>IF(F542&gt;'депозитный калькулятор'!$D$8," ",IF(EOMONTH(F541,0)=F541,0,IF(G542&gt;='депозитный калькулятор'!$G$19,P541,P541+1)))</f>
        <v xml:space="preserve"> </v>
      </c>
      <c r="Q542" s="138" t="str">
        <f>IF(F542=" "," ",IF(AND(OR('депозитный калькулятор'!$G$7="30/365",'депозитный калькулятор'!$G$7="30/360"),AND(MONTH(F542)=2,EOMONTH(F542,0)=F542)),IF(DAY(F542)=28,3,2),1)*IF(G542&gt;='депозитный калькулятор'!$G$11,IF(AND('депозитный калькулятор'!$G$7="факт/факт",MOD(YEAR(F542),4)=0),G542*'депозитный калькулятор'!$D$11/366,G542*'депозитный калькулятор'!$G$8),0))</f>
        <v xml:space="preserve"> </v>
      </c>
      <c r="R542" s="158"/>
      <c r="S542" s="62" t="str">
        <f t="shared" ca="1" si="42"/>
        <v xml:space="preserve"> </v>
      </c>
      <c r="T542" s="149" t="str">
        <f ca="1">IF(S542=" "," ",IF('депозитный калькулятор'!$G$7="30/360",DAYS360(U541,IF(DAY(U542)=31,U542-1,U542))+IF(AND(MONTH(U542)=2,U542=EOMONTH(U542,0)),30-DAY(EOMONTH(U542,0)))+T541,VLOOKUP(S542,$C$22:$F$1023,2,0)))</f>
        <v xml:space="preserve"> </v>
      </c>
      <c r="U542" s="64" t="str">
        <f t="shared" ca="1" si="40"/>
        <v xml:space="preserve"> </v>
      </c>
      <c r="V542" s="150" t="str">
        <f t="shared" ca="1" si="43"/>
        <v xml:space="preserve"> </v>
      </c>
      <c r="W542" s="62" t="str">
        <f t="shared" ca="1" si="44"/>
        <v xml:space="preserve"> </v>
      </c>
      <c r="X542" s="141" t="str">
        <f ca="1">IF(S542=" "," ",IFERROR(VLOOKUP(U542,$F$23:$N$1023,7)+VLOOKUP(U542,$F$23:$N$1023,9)+IF(AND('депозитный калькулятор'!$G$13="нет",U542&lt;&gt;'депозитный калькулятор'!$D$8),VLOOKUP(U542,$F$23:$N$1023,4),0),0)+IF(U542='депозитный калькулятор'!$D$8,VLOOKUP(U542,$F$23:$N$1023,2)+VLOOKUP(U542,$F$23:$N$1023,4),0))</f>
        <v xml:space="preserve"> </v>
      </c>
      <c r="Y542" s="142" t="str">
        <f ca="1">IF(S542=" "," ",W542/(1+'депозитный калькулятор'!$K$8)^(T542/IF('депозитный калькулятор'!$G$7="30/360",360,365)))</f>
        <v xml:space="preserve"> </v>
      </c>
      <c r="Z542" s="142" t="str">
        <f ca="1">IF(S542=" "," ",X542/(1+'депозитный калькулятор'!$K$8)^(T542/IF('депозитный калькулятор'!$G$7="30/360",360,365)))</f>
        <v xml:space="preserve"> </v>
      </c>
      <c r="AA542" s="151"/>
      <c r="AB542" s="151"/>
      <c r="AC542" s="155"/>
      <c r="AD542" s="155"/>
    </row>
    <row r="543" spans="1:30" s="2" customFormat="1" ht="15.5" x14ac:dyDescent="0.35">
      <c r="A543" s="41" t="str">
        <f>IF(F543=" "," ",IF(OR('депозитный калькулятор'!$G$7="30/365",'депозитный калькулятор'!$G$7="30/360"),IF(AND(MONTH(F543)=2,DAY(F543)=DAY(EOMONTH(F543,0))),30-DAY(EOMONTH(F543,0)),IF(DAY(F543)=31,1," "))," "))</f>
        <v xml:space="preserve"> </v>
      </c>
      <c r="B543" s="130" t="str">
        <f t="shared" si="41"/>
        <v xml:space="preserve"> </v>
      </c>
      <c r="C543" s="130" t="str">
        <f>IF(OR(B543=0,B543=" ")," ",SUM($B$23:B543))</f>
        <v xml:space="preserve"> </v>
      </c>
      <c r="D543" s="62" t="str">
        <f>IF(D542=" "," ",IF(OR(F542='депозитный калькулятор'!$D$8,F542=" ")," ",D542+1))</f>
        <v xml:space="preserve"> </v>
      </c>
      <c r="E543" s="130" t="str">
        <f>IF(OR(F542='депозитный калькулятор'!$D$8,F542=" ")," ",IF(EOMONTH(F542,0)=F542,1,E542+1))</f>
        <v xml:space="preserve"> </v>
      </c>
      <c r="F543" s="64" t="str">
        <f>IF(F542=" "," ",IF(F542='депозитный калькулятор'!$D$8," ",F542+1))</f>
        <v xml:space="preserve"> </v>
      </c>
      <c r="G543" s="145" t="str">
        <f xml:space="preserve"> IF(F543&gt;'депозитный калькулятор'!$D$8," ",IF('депозитный калькулятор'!$G$13="есть",IF('депозитный калькулятор'!$G$14="есть",G542+IF(I542=" ",0,I542)-J543-K543+L543+M543-N543,G542+IF(I542=" ",0,I542)-J543-K543+M543-N543),IF('депозитный калькулятор'!$G$14="есть",G542-J543-K543+L543+M543-N543,G542-J543-K543+M543-N543)))</f>
        <v xml:space="preserve"> </v>
      </c>
      <c r="H543" s="133" t="str">
        <f>IF(F543&gt;'депозитный калькулятор'!$D$8," ",IF(AND(OR('депозитный калькулятор'!$G$7="30/365",'депозитный калькулятор'!$G$7="30/360"),AND(MONTH(F543)=2,EOMONTH(F543,0)=F543)),IF(DAY(F543)=28,3*G543*'депозитный калькулятор'!$G$8,2*G543*'депозитный калькулятор'!$G$8),IF(AND(OR('депозитный калькулятор'!$G$7="30/365",'депозитный калькулятор'!$G$7="30/360"),DAY(F543)=31)," ",IF(AND('депозитный калькулятор'!$G$7="факт/факт",MOD(YEAR(F543),4)=0),G543*'депозитный калькулятор'!$D$11/366,G543*'депозитный калькулятор'!$G$8))))</f>
        <v xml:space="preserve"> </v>
      </c>
      <c r="I543" s="134" t="str">
        <f ca="1">IF(F543=" "," ",IF('депозитный калькулятор'!$G$10="ежедневное",H543,IF(AND('депозитный калькулятор'!$G$10="еженедельное",WEEKDAY(F543,2)=7),SUM(OFFSET(H543,-6,0):H543),IF(AND('депозитный калькулятор'!$G$10="еженедельное",F543='депозитный калькулятор'!$D$8),SUM($H$23:H543)-SUM($I$23:I542),IF(AND('депозитный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недели",WEEKDAY(F543,2)=7),MIN(OFFSET(H543,-6,0):H543)*(COUNTIF(OFFSET(H543,-6,0):H543,"&gt;0")+SUMIF(OFFSET(A543,-WEEKDAY(F543,2),0):A543,"=2",OFFSET(A543,-WEEKDAY(F543,2),0):A543)),IF(AND('депозитный калькулятор'!$G$10="еженедельное, на минимальную сумму зафиксированную в течение недели",F543='депозитный калькулятор'!$D$8,WEEKDAY(F543,2)&lt;&gt;7),MIN(OFFSET(H543,-WEEKDAY(F543,2),0):H543)*(COUNTIF(OFFSET(H543,-WEEKDAY(F543,2)+1,0):H543,"&gt;0")+SUM(OFFSET(A543,-WEEKDAY(F543,2),0):A543)),IF(AND('депозитный калькулятор'!$G$10="ежемесячное (в конце месяца)",F543='депозитный калькулятор'!$D$8,EOMONTH(F543,0)&lt;&gt;F543),IF('депозитный калькулятор'!$F$1=1,$H$24,SUM($H$23:H543)-SUM($I$23:I542)),IF(AND('депозитный калькулятор'!$G$10="ежемесячное (в конце месяца)",EOMONTH(F543,0)=F543),SUM($H$23:H543)-SUM($I$23:I542),IF(AND('депозитный калькулятор'!$G$10="ежемесячное (по дням открытия вклада)",F543='депозитный калькулятор'!$D$8,DAY('депозитный калькулятор'!$D$7)&lt;&gt;DAY(F543)),IF('депозитный калькулятор'!$F$1=1,$H$24,SUM($H$23:H543)-SUM($I$23:I542)),IF(AND('депозитный калькулятор'!$G$10="ежемесячное (по дням открытия вклада)",DAY('депозитный калькулятор'!$D$7)=DAY(F543)),SUM($H$23:H543)-SUM($I$23:I542),IF(AND('депозитный калькулятор'!$G$10="ежемесячное, на минимальную сумму зафиксированную в течение месяца",F543='депозитный калькулятор'!$D$8,EOMONTH(F543,0)&lt;&gt;F543),IF('депозитный калькулятор'!$F$1=1,$H$24,IF(AND(OR('депозитный калькулятор'!$G$7="30/365",'депозитный калькулятор'!$G$7="30/360"),DAY(F543)=31),0,MIN(OFFSET(H543,-E543+1,0):H543)*(E543+SUMIF(OFFSET(A543,-E543+1,0):A543,"=2",OFFSET(A543,-E543+1,0):A543)))),IF(AND('депозитный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калькулятор'!$G$7="30/360"),DAY(EOMONTH(F543,0))=31),EOMONTH(F543,0)-1=F543,EOMONTH(F543,0)=F543)),IF(IF(AND(OR('депозитный калькулятор'!$G$7="30/365",'депозитный калькулятор'!$G$7="30/360"),DAY(EOMONTH($F$23,0))=31),F543=EOMONTH($F$23,0)-1,F543=EOMONTH($F$23,0)),MIN(OFFSET(H543,-(DAY(F543)-DAY($F$23)),0):H543)*E543,MIN(OFFSET(H543,-(DAY(F543)-1),0):H543)*IF(AND(OR('депозитный калькулятор'!$G$7="30/365",'депозитный калькулятор'!$G$7="30/360"),DAY(F543)&lt;30),30,DAY(F543))),IF(AND('депозитный калькулятор'!$G$10="ежемесячное, на средний остаток в течение месяца, при условии что остаток больше чем ограничение",F543='депозитный калькулятор'!$D$8,EOMONTH(F543,0)&lt;&gt;F543),IF('депозитный калькулятор'!$F$1=1,$H$24,SUM(OFFSET(Q543,-E543+1,0):Q543)),IF(AND('депозитный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калькулятор'!$G$7="30/360"),DAY(EOMONTH(F543,0))=31),EOMONTH(F543,0)-1=F543,EOMONTH(F543,0)=F543)),IF(IF(AND(OR('депозитный калькулятор'!$G$7="30/365",'депозитный калькулятор'!$G$7="30/360"),DAY(EOMONTH($F$24,0))=31),F543=EOMONTH($F$24,0)-1,F543=EOMONTH($F$24,0)),SUM(OFFSET(Q543,-E543+1,0):Q543),SUM(OFFSET(Q543,-E543+1,0):Q543)),IF('депозитный калькулятор'!$G$10="ежеквартальное",IF(F543&gt;'депозитный калькулятор'!$D$8," ",IF(AND(EOMONTH(F543,0)=F543,OR(MONTH(F543)=3,MONTH(F543)=6,MONTH(F543)=9,MONTH(F543)=12)),IF(EDATE(F543,-3)&lt;'депозитный калькулятор'!$D$7,SUM($H$23:H543),IF(MOD(YEAR(F543),4)=0,IF(AND(EOMONTH(F543,0)=F543,OR(MONTH(F543)=3,MONTH(F543)=6)),SUM(OFFSET(H543,-90,0):H543),IF(AND(EOMONTH(F543,0)=F543,OR(MONTH(F543)=9,MONTH(F543)=12)),SUM(OFFSET(H543,-91,0):H543))),IF(AND(EOMONTH(F543,0)=F543,MONTH(F543)=3),SUM(OFFSET(H543,-89,0):H543),IF(AND(EOMONTH(F543,0)=F543,MONTH(F543)=6),SUM(OFFSET(H543,-90,0):H543),IF(AND(EOMONTH(F543,0)=F543,OR(MONTH(F543)=9,MONTH(F543)=12)),SUM(OFFSET(H543,-91,0):H543)))))),IF(F543='депозитный калькулятор'!$D$8,SUM($H$23:H543)-SUM($I$23:I542),0))),IF('депозитный калькулятор'!$G$10="ежегодное",IF(F543&gt;'депозитный калькулятор'!$D$8," ",IF(F543='депозитный калькулятор'!$D$8,SUM($H$23:H543)-SUM($I$23:I542),IF(AND(EOMONTH(F543,0)=F543,MONTH(F543)=12),IF(MOD(YEAR(F542),4)=0,IF(F543-'депозитный калькулятор'!$D$7&lt;366,SUM($H$23:H543),SUM(OFFSET(H543,-365,0):H543)),IF(F543-'депозитный калькулятор'!$D$7&lt;365,SUM($H$23:H543),SUM(OFFSET(H543,-364,0):H543))),0))),IF(AND('депозитный калькулятор'!$G$10="в конце срока",'депозитный калькулятор'!$D$8=F543),SUM($H$23:H543),0))))))))))))))))))</f>
        <v xml:space="preserve"> </v>
      </c>
      <c r="J543" s="59" t="str">
        <f>IF(F543&gt;'депозитный калькулятор'!$D$8," ",IF('депозитный калькулятор'!$G$16="нет",0,IF(AND('депозитный калькулятор'!$G$17="разовая (в конце срока)",F543='депозитный калькулятор'!$D$8),'депозитный калькулятор'!$G$18,IF(AND('депозитный калькулятор'!$G$17="ежемесячная",EOMONTH(F542,0)=F542),'депозитный калькулятор'!$G$18,IF(AND('депозитный калькулятор'!$G$17="ежегодная",DAY(F542)=31,MONTH(F542)=12),'депозитный калькулятор'!$G$18,IF(AND('депозитный калькулятор'!$G$17="ежемесячная в зависимости от остатка",EOMONTH(F542,0)=F542,P542&gt;0),'депозитный калькулятор'!$G$18,IF(AND('депозитный калькулятор'!$G$17="ежегодная в зависимости от остатка",DAY(F542)=31,MONTH(F542)=12,P542&gt;0),'депозитный калькулятор'!$G$18,0)))))))</f>
        <v xml:space="preserve"> </v>
      </c>
      <c r="K543" s="135" t="str">
        <f>IF($F543=" "," ",IFERROR(VLOOKUP($F543,'депозитный калькулятор'!$B$26:$F$70,2,0),0))</f>
        <v xml:space="preserve"> </v>
      </c>
      <c r="L543" s="135" t="str">
        <f>IF($F543=" "," ",IFERROR(VLOOKUP($F543,'депозитный калькулятор'!$B$26:$F$70,3,0),0))</f>
        <v xml:space="preserve"> </v>
      </c>
      <c r="M543" s="135" t="str">
        <f>IF($F543=" "," ",IFERROR(VLOOKUP($F543,'депозитный калькулятор'!$B$26:$F$70,4,0),0))</f>
        <v xml:space="preserve"> </v>
      </c>
      <c r="N543" s="135" t="str">
        <f>IF($F543=" "," ",IFERROR(VLOOKUP($F543,'депозитный калькулятор'!$B$26:$F$70,5,0),0))</f>
        <v xml:space="preserve"> </v>
      </c>
      <c r="O543" s="146" t="str">
        <f>IF(F543&gt;'депозитный калькулятор'!$D$8," ",IF(F543='депозитный калькулятор'!$D$8,IF(AND($F$24='депозитный калькулятор'!$D$8,'депозитный калькулятор'!$G$13="нет"),-G543-IF(I543=" ",0,I543)-IF(AND(OR('депозитный калькулятор'!$G$7="30/365",'депозитный калькулятор'!$G$7="30/360"),'депозитный калькулятор'!$G$10="в начале срока"),I542,0)-L543+M543-N543,-G543-IF(I543=" ",0,I543)-L543+M543-N543),IF('депозитный калькулятор'!$G$13="есть",M543-N543+IF('депозитный калькулятор'!$G$14="есть",0,-L543),-IF(I543=" ",0,I543)-IF(AND(OR('депозитный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срока"),I542,0)+M543-N543+IF('депозитный калькулятор'!$G$14="есть",0,-L543))))</f>
        <v xml:space="preserve"> </v>
      </c>
      <c r="P543" s="147" t="str">
        <f>IF(F543&gt;'депозитный калькулятор'!$D$8," ",IF(EOMONTH(F542,0)=F542,0,IF(G543&gt;='депозитный калькулятор'!$G$19,P542,P542+1)))</f>
        <v xml:space="preserve"> </v>
      </c>
      <c r="Q543" s="138" t="str">
        <f>IF(F543=" "," ",IF(AND(OR('депозитный калькулятор'!$G$7="30/365",'депозитный калькулятор'!$G$7="30/360"),AND(MONTH(F543)=2,EOMONTH(F543,0)=F543)),IF(DAY(F543)=28,3,2),1)*IF(G543&gt;='депозитный калькулятор'!$G$11,IF(AND('депозитный калькулятор'!$G$7="факт/факт",MOD(YEAR(F543),4)=0),G543*'депозитный калькулятор'!$D$11/366,G543*'депозитный калькулятор'!$G$8),0))</f>
        <v xml:space="preserve"> </v>
      </c>
      <c r="R543" s="158"/>
      <c r="S543" s="62" t="str">
        <f t="shared" ca="1" si="42"/>
        <v xml:space="preserve"> </v>
      </c>
      <c r="T543" s="149" t="str">
        <f ca="1">IF(S543=" "," ",IF('депозитный калькулятор'!$G$7="30/360",DAYS360(U542,IF(DAY(U543)=31,U543-1,U543))+IF(AND(MONTH(U543)=2,U543=EOMONTH(U543,0)),30-DAY(EOMONTH(U543,0)))+T542,VLOOKUP(S543,$C$22:$F$1023,2,0)))</f>
        <v xml:space="preserve"> </v>
      </c>
      <c r="U543" s="64" t="str">
        <f t="shared" ca="1" si="40"/>
        <v xml:space="preserve"> </v>
      </c>
      <c r="V543" s="150" t="str">
        <f t="shared" ca="1" si="43"/>
        <v xml:space="preserve"> </v>
      </c>
      <c r="W543" s="62" t="str">
        <f t="shared" ca="1" si="44"/>
        <v xml:space="preserve"> </v>
      </c>
      <c r="X543" s="141" t="str">
        <f ca="1">IF(S543=" "," ",IFERROR(VLOOKUP(U543,$F$23:$N$1023,7)+VLOOKUP(U543,$F$23:$N$1023,9)+IF(AND('депозитный калькулятор'!$G$13="нет",U543&lt;&gt;'депозитный калькулятор'!$D$8),VLOOKUP(U543,$F$23:$N$1023,4),0),0)+IF(U543='депозитный калькулятор'!$D$8,VLOOKUP(U543,$F$23:$N$1023,2)+VLOOKUP(U543,$F$23:$N$1023,4),0))</f>
        <v xml:space="preserve"> </v>
      </c>
      <c r="Y543" s="142" t="str">
        <f ca="1">IF(S543=" "," ",W543/(1+'депозитный калькулятор'!$K$8)^(T543/IF('депозитный калькулятор'!$G$7="30/360",360,365)))</f>
        <v xml:space="preserve"> </v>
      </c>
      <c r="Z543" s="142" t="str">
        <f ca="1">IF(S543=" "," ",X543/(1+'депозитный калькулятор'!$K$8)^(T543/IF('депозитный калькулятор'!$G$7="30/360",360,365)))</f>
        <v xml:space="preserve"> </v>
      </c>
      <c r="AA543" s="151"/>
      <c r="AB543" s="151"/>
      <c r="AC543" s="155"/>
      <c r="AD543" s="155"/>
    </row>
    <row r="544" spans="1:30" s="2" customFormat="1" ht="15.5" x14ac:dyDescent="0.35">
      <c r="A544" s="41" t="str">
        <f>IF(F544=" "," ",IF(OR('депозитный калькулятор'!$G$7="30/365",'депозитный калькулятор'!$G$7="30/360"),IF(AND(MONTH(F544)=2,DAY(F544)=DAY(EOMONTH(F544,0))),30-DAY(EOMONTH(F544,0)),IF(DAY(F544)=31,1," "))," "))</f>
        <v xml:space="preserve"> </v>
      </c>
      <c r="B544" s="130" t="str">
        <f t="shared" si="41"/>
        <v xml:space="preserve"> </v>
      </c>
      <c r="C544" s="130" t="str">
        <f>IF(OR(B544=0,B544=" ")," ",SUM($B$23:B544))</f>
        <v xml:space="preserve"> </v>
      </c>
      <c r="D544" s="62" t="str">
        <f>IF(D543=" "," ",IF(OR(F543='депозитный калькулятор'!$D$8,F543=" ")," ",D543+1))</f>
        <v xml:space="preserve"> </v>
      </c>
      <c r="E544" s="130" t="str">
        <f>IF(OR(F543='депозитный калькулятор'!$D$8,F543=" ")," ",IF(EOMONTH(F543,0)=F543,1,E543+1))</f>
        <v xml:space="preserve"> </v>
      </c>
      <c r="F544" s="64" t="str">
        <f>IF(F543=" "," ",IF(F543='депозитный калькулятор'!$D$8," ",F543+1))</f>
        <v xml:space="preserve"> </v>
      </c>
      <c r="G544" s="145" t="str">
        <f xml:space="preserve"> IF(F544&gt;'депозитный калькулятор'!$D$8," ",IF('депозитный калькулятор'!$G$13="есть",IF('депозитный калькулятор'!$G$14="есть",G543+IF(I543=" ",0,I543)-J544-K544+L544+M544-N544,G543+IF(I543=" ",0,I543)-J544-K544+M544-N544),IF('депозитный калькулятор'!$G$14="есть",G543-J544-K544+L544+M544-N544,G543-J544-K544+M544-N544)))</f>
        <v xml:space="preserve"> </v>
      </c>
      <c r="H544" s="133" t="str">
        <f>IF(F544&gt;'депозитный калькулятор'!$D$8," ",IF(AND(OR('депозитный калькулятор'!$G$7="30/365",'депозитный калькулятор'!$G$7="30/360"),AND(MONTH(F544)=2,EOMONTH(F544,0)=F544)),IF(DAY(F544)=28,3*G544*'депозитный калькулятор'!$G$8,2*G544*'депозитный калькулятор'!$G$8),IF(AND(OR('депозитный калькулятор'!$G$7="30/365",'депозитный калькулятор'!$G$7="30/360"),DAY(F544)=31)," ",IF(AND('депозитный калькулятор'!$G$7="факт/факт",MOD(YEAR(F544),4)=0),G544*'депозитный калькулятор'!$D$11/366,G544*'депозитный калькулятор'!$G$8))))</f>
        <v xml:space="preserve"> </v>
      </c>
      <c r="I544" s="134" t="str">
        <f ca="1">IF(F544=" "," ",IF('депозитный калькулятор'!$G$10="ежедневное",H544,IF(AND('депозитный калькулятор'!$G$10="еженедельное",WEEKDAY(F544,2)=7),SUM(OFFSET(H544,-6,0):H544),IF(AND('депозитный калькулятор'!$G$10="еженедельное",F544='депозитный калькулятор'!$D$8),SUM($H$23:H544)-SUM($I$23:I543),IF(AND('депозитный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недели",WEEKDAY(F544,2)=7),MIN(OFFSET(H544,-6,0):H544)*(COUNTIF(OFFSET(H544,-6,0):H544,"&gt;0")+SUMIF(OFFSET(A544,-WEEKDAY(F544,2),0):A544,"=2",OFFSET(A544,-WEEKDAY(F544,2),0):A544)),IF(AND('депозитный калькулятор'!$G$10="еженедельное, на минимальную сумму зафиксированную в течение недели",F544='депозитный калькулятор'!$D$8,WEEKDAY(F544,2)&lt;&gt;7),MIN(OFFSET(H544,-WEEKDAY(F544,2),0):H544)*(COUNTIF(OFFSET(H544,-WEEKDAY(F544,2)+1,0):H544,"&gt;0")+SUM(OFFSET(A544,-WEEKDAY(F544,2),0):A544)),IF(AND('депозитный калькулятор'!$G$10="ежемесячное (в конце месяца)",F544='депозитный калькулятор'!$D$8,EOMONTH(F544,0)&lt;&gt;F544),IF('депозитный калькулятор'!$F$1=1,$H$24,SUM($H$23:H544)-SUM($I$23:I543)),IF(AND('депозитный калькулятор'!$G$10="ежемесячное (в конце месяца)",EOMONTH(F544,0)=F544),SUM($H$23:H544)-SUM($I$23:I543),IF(AND('депозитный калькулятор'!$G$10="ежемесячное (по дням открытия вклада)",F544='депозитный калькулятор'!$D$8,DAY('депозитный калькулятор'!$D$7)&lt;&gt;DAY(F544)),IF('депозитный калькулятор'!$F$1=1,$H$24,SUM($H$23:H544)-SUM($I$23:I543)),IF(AND('депозитный калькулятор'!$G$10="ежемесячное (по дням открытия вклада)",DAY('депозитный калькулятор'!$D$7)=DAY(F544)),SUM($H$23:H544)-SUM($I$23:I543),IF(AND('депозитный калькулятор'!$G$10="ежемесячное, на минимальную сумму зафиксированную в течение месяца",F544='депозитный калькулятор'!$D$8,EOMONTH(F544,0)&lt;&gt;F544),IF('депозитный калькулятор'!$F$1=1,$H$24,IF(AND(OR('депозитный калькулятор'!$G$7="30/365",'депозитный калькулятор'!$G$7="30/360"),DAY(F544)=31),0,MIN(OFFSET(H544,-E544+1,0):H544)*(E544+SUMIF(OFFSET(A544,-E544+1,0):A544,"=2",OFFSET(A544,-E544+1,0):A544)))),IF(AND('депозитный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калькулятор'!$G$7="30/360"),DAY(EOMONTH(F544,0))=31),EOMONTH(F544,0)-1=F544,EOMONTH(F544,0)=F544)),IF(IF(AND(OR('депозитный калькулятор'!$G$7="30/365",'депозитный калькулятор'!$G$7="30/360"),DAY(EOMONTH($F$23,0))=31),F544=EOMONTH($F$23,0)-1,F544=EOMONTH($F$23,0)),MIN(OFFSET(H544,-(DAY(F544)-DAY($F$23)),0):H544)*E544,MIN(OFFSET(H544,-(DAY(F544)-1),0):H544)*IF(AND(OR('депозитный калькулятор'!$G$7="30/365",'депозитный калькулятор'!$G$7="30/360"),DAY(F544)&lt;30),30,DAY(F544))),IF(AND('депозитный калькулятор'!$G$10="ежемесячное, на средний остаток в течение месяца, при условии что остаток больше чем ограничение",F544='депозитный калькулятор'!$D$8,EOMONTH(F544,0)&lt;&gt;F544),IF('депозитный калькулятор'!$F$1=1,$H$24,SUM(OFFSET(Q544,-E544+1,0):Q544)),IF(AND('депозитный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калькулятор'!$G$7="30/360"),DAY(EOMONTH(F544,0))=31),EOMONTH(F544,0)-1=F544,EOMONTH(F544,0)=F544)),IF(IF(AND(OR('депозитный калькулятор'!$G$7="30/365",'депозитный калькулятор'!$G$7="30/360"),DAY(EOMONTH($F$24,0))=31),F544=EOMONTH($F$24,0)-1,F544=EOMONTH($F$24,0)),SUM(OFFSET(Q544,-E544+1,0):Q544),SUM(OFFSET(Q544,-E544+1,0):Q544)),IF('депозитный калькулятор'!$G$10="ежеквартальное",IF(F544&gt;'депозитный калькулятор'!$D$8," ",IF(AND(EOMONTH(F544,0)=F544,OR(MONTH(F544)=3,MONTH(F544)=6,MONTH(F544)=9,MONTH(F544)=12)),IF(EDATE(F544,-3)&lt;'депозитный калькулятор'!$D$7,SUM($H$23:H544),IF(MOD(YEAR(F544),4)=0,IF(AND(EOMONTH(F544,0)=F544,OR(MONTH(F544)=3,MONTH(F544)=6)),SUM(OFFSET(H544,-90,0):H544),IF(AND(EOMONTH(F544,0)=F544,OR(MONTH(F544)=9,MONTH(F544)=12)),SUM(OFFSET(H544,-91,0):H544))),IF(AND(EOMONTH(F544,0)=F544,MONTH(F544)=3),SUM(OFFSET(H544,-89,0):H544),IF(AND(EOMONTH(F544,0)=F544,MONTH(F544)=6),SUM(OFFSET(H544,-90,0):H544),IF(AND(EOMONTH(F544,0)=F544,OR(MONTH(F544)=9,MONTH(F544)=12)),SUM(OFFSET(H544,-91,0):H544)))))),IF(F544='депозитный калькулятор'!$D$8,SUM($H$23:H544)-SUM($I$23:I543),0))),IF('депозитный калькулятор'!$G$10="ежегодное",IF(F544&gt;'депозитный калькулятор'!$D$8," ",IF(F544='депозитный калькулятор'!$D$8,SUM($H$23:H544)-SUM($I$23:I543),IF(AND(EOMONTH(F544,0)=F544,MONTH(F544)=12),IF(MOD(YEAR(F543),4)=0,IF(F544-'депозитный калькулятор'!$D$7&lt;366,SUM($H$23:H544),SUM(OFFSET(H544,-365,0):H544)),IF(F544-'депозитный калькулятор'!$D$7&lt;365,SUM($H$23:H544),SUM(OFFSET(H544,-364,0):H544))),0))),IF(AND('депозитный калькулятор'!$G$10="в конце срока",'депозитный калькулятор'!$D$8=F544),SUM($H$23:H544),0))))))))))))))))))</f>
        <v xml:space="preserve"> </v>
      </c>
      <c r="J544" s="59" t="str">
        <f>IF(F544&gt;'депозитный калькулятор'!$D$8," ",IF('депозитный калькулятор'!$G$16="нет",0,IF(AND('депозитный калькулятор'!$G$17="разовая (в конце срока)",F544='депозитный калькулятор'!$D$8),'депозитный калькулятор'!$G$18,IF(AND('депозитный калькулятор'!$G$17="ежемесячная",EOMONTH(F543,0)=F543),'депозитный калькулятор'!$G$18,IF(AND('депозитный калькулятор'!$G$17="ежегодная",DAY(F543)=31,MONTH(F543)=12),'депозитный калькулятор'!$G$18,IF(AND('депозитный калькулятор'!$G$17="ежемесячная в зависимости от остатка",EOMONTH(F543,0)=F543,P543&gt;0),'депозитный калькулятор'!$G$18,IF(AND('депозитный калькулятор'!$G$17="ежегодная в зависимости от остатка",DAY(F543)=31,MONTH(F543)=12,P543&gt;0),'депозитный калькулятор'!$G$18,0)))))))</f>
        <v xml:space="preserve"> </v>
      </c>
      <c r="K544" s="135" t="str">
        <f>IF($F544=" "," ",IFERROR(VLOOKUP($F544,'депозитный калькулятор'!$B$26:$F$70,2,0),0))</f>
        <v xml:space="preserve"> </v>
      </c>
      <c r="L544" s="135" t="str">
        <f>IF($F544=" "," ",IFERROR(VLOOKUP($F544,'депозитный калькулятор'!$B$26:$F$70,3,0),0))</f>
        <v xml:space="preserve"> </v>
      </c>
      <c r="M544" s="135" t="str">
        <f>IF($F544=" "," ",IFERROR(VLOOKUP($F544,'депозитный калькулятор'!$B$26:$F$70,4,0),0))</f>
        <v xml:space="preserve"> </v>
      </c>
      <c r="N544" s="135" t="str">
        <f>IF($F544=" "," ",IFERROR(VLOOKUP($F544,'депозитный калькулятор'!$B$26:$F$70,5,0),0))</f>
        <v xml:space="preserve"> </v>
      </c>
      <c r="O544" s="146" t="str">
        <f>IF(F544&gt;'депозитный калькулятор'!$D$8," ",IF(F544='депозитный калькулятор'!$D$8,IF(AND($F$24='депозитный калькулятор'!$D$8,'депозитный калькулятор'!$G$13="нет"),-G544-IF(I544=" ",0,I544)-IF(AND(OR('депозитный калькулятор'!$G$7="30/365",'депозитный калькулятор'!$G$7="30/360"),'депозитный калькулятор'!$G$10="в начале срока"),I543,0)-L544+M544-N544,-G544-IF(I544=" ",0,I544)-L544+M544-N544),IF('депозитный калькулятор'!$G$13="есть",M544-N544+IF('депозитный калькулятор'!$G$14="есть",0,-L544),-IF(I544=" ",0,I544)-IF(AND(OR('депозитный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срока"),I543,0)+M544-N544+IF('депозитный калькулятор'!$G$14="есть",0,-L544))))</f>
        <v xml:space="preserve"> </v>
      </c>
      <c r="P544" s="147" t="str">
        <f>IF(F544&gt;'депозитный калькулятор'!$D$8," ",IF(EOMONTH(F543,0)=F543,0,IF(G544&gt;='депозитный калькулятор'!$G$19,P543,P543+1)))</f>
        <v xml:space="preserve"> </v>
      </c>
      <c r="Q544" s="138" t="str">
        <f>IF(F544=" "," ",IF(AND(OR('депозитный калькулятор'!$G$7="30/365",'депозитный калькулятор'!$G$7="30/360"),AND(MONTH(F544)=2,EOMONTH(F544,0)=F544)),IF(DAY(F544)=28,3,2),1)*IF(G544&gt;='депозитный калькулятор'!$G$11,IF(AND('депозитный калькулятор'!$G$7="факт/факт",MOD(YEAR(F544),4)=0),G544*'депозитный калькулятор'!$D$11/366,G544*'депозитный калькулятор'!$G$8),0))</f>
        <v xml:space="preserve"> </v>
      </c>
      <c r="R544" s="158"/>
      <c r="S544" s="62" t="str">
        <f t="shared" ca="1" si="42"/>
        <v xml:space="preserve"> </v>
      </c>
      <c r="T544" s="149" t="str">
        <f ca="1">IF(S544=" "," ",IF('депозитный калькулятор'!$G$7="30/360",DAYS360(U543,IF(DAY(U544)=31,U544-1,U544))+IF(AND(MONTH(U544)=2,U544=EOMONTH(U544,0)),30-DAY(EOMONTH(U544,0)))+T543,VLOOKUP(S544,$C$22:$F$1023,2,0)))</f>
        <v xml:space="preserve"> </v>
      </c>
      <c r="U544" s="64" t="str">
        <f t="shared" ca="1" si="40"/>
        <v xml:space="preserve"> </v>
      </c>
      <c r="V544" s="150" t="str">
        <f t="shared" ca="1" si="43"/>
        <v xml:space="preserve"> </v>
      </c>
      <c r="W544" s="62" t="str">
        <f t="shared" ca="1" si="44"/>
        <v xml:space="preserve"> </v>
      </c>
      <c r="X544" s="141" t="str">
        <f ca="1">IF(S544=" "," ",IFERROR(VLOOKUP(U544,$F$23:$N$1023,7)+VLOOKUP(U544,$F$23:$N$1023,9)+IF(AND('депозитный калькулятор'!$G$13="нет",U544&lt;&gt;'депозитный калькулятор'!$D$8),VLOOKUP(U544,$F$23:$N$1023,4),0),0)+IF(U544='депозитный калькулятор'!$D$8,VLOOKUP(U544,$F$23:$N$1023,2)+VLOOKUP(U544,$F$23:$N$1023,4),0))</f>
        <v xml:space="preserve"> </v>
      </c>
      <c r="Y544" s="142" t="str">
        <f ca="1">IF(S544=" "," ",W544/(1+'депозитный калькулятор'!$K$8)^(T544/IF('депозитный калькулятор'!$G$7="30/360",360,365)))</f>
        <v xml:space="preserve"> </v>
      </c>
      <c r="Z544" s="142" t="str">
        <f ca="1">IF(S544=" "," ",X544/(1+'депозитный калькулятор'!$K$8)^(T544/IF('депозитный калькулятор'!$G$7="30/360",360,365)))</f>
        <v xml:space="preserve"> </v>
      </c>
      <c r="AA544" s="151"/>
      <c r="AB544" s="151"/>
      <c r="AC544" s="155"/>
      <c r="AD544" s="155"/>
    </row>
    <row r="545" spans="1:30" s="2" customFormat="1" ht="15.5" x14ac:dyDescent="0.35">
      <c r="A545" s="41" t="str">
        <f>IF(F545=" "," ",IF(OR('депозитный калькулятор'!$G$7="30/365",'депозитный калькулятор'!$G$7="30/360"),IF(AND(MONTH(F545)=2,DAY(F545)=DAY(EOMONTH(F545,0))),30-DAY(EOMONTH(F545,0)),IF(DAY(F545)=31,1," "))," "))</f>
        <v xml:space="preserve"> </v>
      </c>
      <c r="B545" s="130" t="str">
        <f t="shared" si="41"/>
        <v xml:space="preserve"> </v>
      </c>
      <c r="C545" s="130" t="str">
        <f>IF(OR(B545=0,B545=" ")," ",SUM($B$23:B545))</f>
        <v xml:space="preserve"> </v>
      </c>
      <c r="D545" s="62" t="str">
        <f>IF(D544=" "," ",IF(OR(F544='депозитный калькулятор'!$D$8,F544=" ")," ",D544+1))</f>
        <v xml:space="preserve"> </v>
      </c>
      <c r="E545" s="130" t="str">
        <f>IF(OR(F544='депозитный калькулятор'!$D$8,F544=" ")," ",IF(EOMONTH(F544,0)=F544,1,E544+1))</f>
        <v xml:space="preserve"> </v>
      </c>
      <c r="F545" s="64" t="str">
        <f>IF(F544=" "," ",IF(F544='депозитный калькулятор'!$D$8," ",F544+1))</f>
        <v xml:space="preserve"> </v>
      </c>
      <c r="G545" s="145" t="str">
        <f xml:space="preserve"> IF(F545&gt;'депозитный калькулятор'!$D$8," ",IF('депозитный калькулятор'!$G$13="есть",IF('депозитный калькулятор'!$G$14="есть",G544+IF(I544=" ",0,I544)-J545-K545+L545+M545-N545,G544+IF(I544=" ",0,I544)-J545-K545+M545-N545),IF('депозитный калькулятор'!$G$14="есть",G544-J545-K545+L545+M545-N545,G544-J545-K545+M545-N545)))</f>
        <v xml:space="preserve"> </v>
      </c>
      <c r="H545" s="133" t="str">
        <f>IF(F545&gt;'депозитный калькулятор'!$D$8," ",IF(AND(OR('депозитный калькулятор'!$G$7="30/365",'депозитный калькулятор'!$G$7="30/360"),AND(MONTH(F545)=2,EOMONTH(F545,0)=F545)),IF(DAY(F545)=28,3*G545*'депозитный калькулятор'!$G$8,2*G545*'депозитный калькулятор'!$G$8),IF(AND(OR('депозитный калькулятор'!$G$7="30/365",'депозитный калькулятор'!$G$7="30/360"),DAY(F545)=31)," ",IF(AND('депозитный калькулятор'!$G$7="факт/факт",MOD(YEAR(F545),4)=0),G545*'депозитный калькулятор'!$D$11/366,G545*'депозитный калькулятор'!$G$8))))</f>
        <v xml:space="preserve"> </v>
      </c>
      <c r="I545" s="134" t="str">
        <f ca="1">IF(F545=" "," ",IF('депозитный калькулятор'!$G$10="ежедневное",H545,IF(AND('депозитный калькулятор'!$G$10="еженедельное",WEEKDAY(F545,2)=7),SUM(OFFSET(H545,-6,0):H545),IF(AND('депозитный калькулятор'!$G$10="еженедельное",F545='депозитный калькулятор'!$D$8),SUM($H$23:H545)-SUM($I$23:I544),IF(AND('депозитный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недели",WEEKDAY(F545,2)=7),MIN(OFFSET(H545,-6,0):H545)*(COUNTIF(OFFSET(H545,-6,0):H545,"&gt;0")+SUMIF(OFFSET(A545,-WEEKDAY(F545,2),0):A545,"=2",OFFSET(A545,-WEEKDAY(F545,2),0):A545)),IF(AND('депозитный калькулятор'!$G$10="еженедельное, на минимальную сумму зафиксированную в течение недели",F545='депозитный калькулятор'!$D$8,WEEKDAY(F545,2)&lt;&gt;7),MIN(OFFSET(H545,-WEEKDAY(F545,2),0):H545)*(COUNTIF(OFFSET(H545,-WEEKDAY(F545,2)+1,0):H545,"&gt;0")+SUM(OFFSET(A545,-WEEKDAY(F545,2),0):A545)),IF(AND('депозитный калькулятор'!$G$10="ежемесячное (в конце месяца)",F545='депозитный калькулятор'!$D$8,EOMONTH(F545,0)&lt;&gt;F545),IF('депозитный калькулятор'!$F$1=1,$H$24,SUM($H$23:H545)-SUM($I$23:I544)),IF(AND('депозитный калькулятор'!$G$10="ежемесячное (в конце месяца)",EOMONTH(F545,0)=F545),SUM($H$23:H545)-SUM($I$23:I544),IF(AND('депозитный калькулятор'!$G$10="ежемесячное (по дням открытия вклада)",F545='депозитный калькулятор'!$D$8,DAY('депозитный калькулятор'!$D$7)&lt;&gt;DAY(F545)),IF('депозитный калькулятор'!$F$1=1,$H$24,SUM($H$23:H545)-SUM($I$23:I544)),IF(AND('депозитный калькулятор'!$G$10="ежемесячное (по дням открытия вклада)",DAY('депозитный калькулятор'!$D$7)=DAY(F545)),SUM($H$23:H545)-SUM($I$23:I544),IF(AND('депозитный калькулятор'!$G$10="ежемесячное, на минимальную сумму зафиксированную в течение месяца",F545='депозитный калькулятор'!$D$8,EOMONTH(F545,0)&lt;&gt;F545),IF('депозитный калькулятор'!$F$1=1,$H$24,IF(AND(OR('депозитный калькулятор'!$G$7="30/365",'депозитный калькулятор'!$G$7="30/360"),DAY(F545)=31),0,MIN(OFFSET(H545,-E545+1,0):H545)*(E545+SUMIF(OFFSET(A545,-E545+1,0):A545,"=2",OFFSET(A545,-E545+1,0):A545)))),IF(AND('депозитный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калькулятор'!$G$7="30/360"),DAY(EOMONTH(F545,0))=31),EOMONTH(F545,0)-1=F545,EOMONTH(F545,0)=F545)),IF(IF(AND(OR('депозитный калькулятор'!$G$7="30/365",'депозитный калькулятор'!$G$7="30/360"),DAY(EOMONTH($F$23,0))=31),F545=EOMONTH($F$23,0)-1,F545=EOMONTH($F$23,0)),MIN(OFFSET(H545,-(DAY(F545)-DAY($F$23)),0):H545)*E545,MIN(OFFSET(H545,-(DAY(F545)-1),0):H545)*IF(AND(OR('депозитный калькулятор'!$G$7="30/365",'депозитный калькулятор'!$G$7="30/360"),DAY(F545)&lt;30),30,DAY(F545))),IF(AND('депозитный калькулятор'!$G$10="ежемесячное, на средний остаток в течение месяца, при условии что остаток больше чем ограничение",F545='депозитный калькулятор'!$D$8,EOMONTH(F545,0)&lt;&gt;F545),IF('депозитный калькулятор'!$F$1=1,$H$24,SUM(OFFSET(Q545,-E545+1,0):Q545)),IF(AND('депозитный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калькулятор'!$G$7="30/360"),DAY(EOMONTH(F545,0))=31),EOMONTH(F545,0)-1=F545,EOMONTH(F545,0)=F545)),IF(IF(AND(OR('депозитный калькулятор'!$G$7="30/365",'депозитный калькулятор'!$G$7="30/360"),DAY(EOMONTH($F$24,0))=31),F545=EOMONTH($F$24,0)-1,F545=EOMONTH($F$24,0)),SUM(OFFSET(Q545,-E545+1,0):Q545),SUM(OFFSET(Q545,-E545+1,0):Q545)),IF('депозитный калькулятор'!$G$10="ежеквартальное",IF(F545&gt;'депозитный калькулятор'!$D$8," ",IF(AND(EOMONTH(F545,0)=F545,OR(MONTH(F545)=3,MONTH(F545)=6,MONTH(F545)=9,MONTH(F545)=12)),IF(EDATE(F545,-3)&lt;'депозитный калькулятор'!$D$7,SUM($H$23:H545),IF(MOD(YEAR(F545),4)=0,IF(AND(EOMONTH(F545,0)=F545,OR(MONTH(F545)=3,MONTH(F545)=6)),SUM(OFFSET(H545,-90,0):H545),IF(AND(EOMONTH(F545,0)=F545,OR(MONTH(F545)=9,MONTH(F545)=12)),SUM(OFFSET(H545,-91,0):H545))),IF(AND(EOMONTH(F545,0)=F545,MONTH(F545)=3),SUM(OFFSET(H545,-89,0):H545),IF(AND(EOMONTH(F545,0)=F545,MONTH(F545)=6),SUM(OFFSET(H545,-90,0):H545),IF(AND(EOMONTH(F545,0)=F545,OR(MONTH(F545)=9,MONTH(F545)=12)),SUM(OFFSET(H545,-91,0):H545)))))),IF(F545='депозитный калькулятор'!$D$8,SUM($H$23:H545)-SUM($I$23:I544),0))),IF('депозитный калькулятор'!$G$10="ежегодное",IF(F545&gt;'депозитный калькулятор'!$D$8," ",IF(F545='депозитный калькулятор'!$D$8,SUM($H$23:H545)-SUM($I$23:I544),IF(AND(EOMONTH(F545,0)=F545,MONTH(F545)=12),IF(MOD(YEAR(F544),4)=0,IF(F545-'депозитный калькулятор'!$D$7&lt;366,SUM($H$23:H545),SUM(OFFSET(H545,-365,0):H545)),IF(F545-'депозитный калькулятор'!$D$7&lt;365,SUM($H$23:H545),SUM(OFFSET(H545,-364,0):H545))),0))),IF(AND('депозитный калькулятор'!$G$10="в конце срока",'депозитный калькулятор'!$D$8=F545),SUM($H$23:H545),0))))))))))))))))))</f>
        <v xml:space="preserve"> </v>
      </c>
      <c r="J545" s="59" t="str">
        <f>IF(F545&gt;'депозитный калькулятор'!$D$8," ",IF('депозитный калькулятор'!$G$16="нет",0,IF(AND('депозитный калькулятор'!$G$17="разовая (в конце срока)",F545='депозитный калькулятор'!$D$8),'депозитный калькулятор'!$G$18,IF(AND('депозитный калькулятор'!$G$17="ежемесячная",EOMONTH(F544,0)=F544),'депозитный калькулятор'!$G$18,IF(AND('депозитный калькулятор'!$G$17="ежегодная",DAY(F544)=31,MONTH(F544)=12),'депозитный калькулятор'!$G$18,IF(AND('депозитный калькулятор'!$G$17="ежемесячная в зависимости от остатка",EOMONTH(F544,0)=F544,P544&gt;0),'депозитный калькулятор'!$G$18,IF(AND('депозитный калькулятор'!$G$17="ежегодная в зависимости от остатка",DAY(F544)=31,MONTH(F544)=12,P544&gt;0),'депозитный калькулятор'!$G$18,0)))))))</f>
        <v xml:space="preserve"> </v>
      </c>
      <c r="K545" s="135" t="str">
        <f>IF($F545=" "," ",IFERROR(VLOOKUP($F545,'депозитный калькулятор'!$B$26:$F$70,2,0),0))</f>
        <v xml:space="preserve"> </v>
      </c>
      <c r="L545" s="135" t="str">
        <f>IF($F545=" "," ",IFERROR(VLOOKUP($F545,'депозитный калькулятор'!$B$26:$F$70,3,0),0))</f>
        <v xml:space="preserve"> </v>
      </c>
      <c r="M545" s="135" t="str">
        <f>IF($F545=" "," ",IFERROR(VLOOKUP($F545,'депозитный калькулятор'!$B$26:$F$70,4,0),0))</f>
        <v xml:space="preserve"> </v>
      </c>
      <c r="N545" s="135" t="str">
        <f>IF($F545=" "," ",IFERROR(VLOOKUP($F545,'депозитный калькулятор'!$B$26:$F$70,5,0),0))</f>
        <v xml:space="preserve"> </v>
      </c>
      <c r="O545" s="146" t="str">
        <f>IF(F545&gt;'депозитный калькулятор'!$D$8," ",IF(F545='депозитный калькулятор'!$D$8,IF(AND($F$24='депозитный калькулятор'!$D$8,'депозитный калькулятор'!$G$13="нет"),-G545-IF(I545=" ",0,I545)-IF(AND(OR('депозитный калькулятор'!$G$7="30/365",'депозитный калькулятор'!$G$7="30/360"),'депозитный калькулятор'!$G$10="в начале срока"),I544,0)-L545+M545-N545,-G545-IF(I545=" ",0,I545)-L545+M545-N545),IF('депозитный калькулятор'!$G$13="есть",M545-N545+IF('депозитный калькулятор'!$G$14="есть",0,-L545),-IF(I545=" ",0,I545)-IF(AND(OR('депозитный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срока"),I544,0)+M545-N545+IF('депозитный калькулятор'!$G$14="есть",0,-L545))))</f>
        <v xml:space="preserve"> </v>
      </c>
      <c r="P545" s="147" t="str">
        <f>IF(F545&gt;'депозитный калькулятор'!$D$8," ",IF(EOMONTH(F544,0)=F544,0,IF(G545&gt;='депозитный калькулятор'!$G$19,P544,P544+1)))</f>
        <v xml:space="preserve"> </v>
      </c>
      <c r="Q545" s="138" t="str">
        <f>IF(F545=" "," ",IF(AND(OR('депозитный калькулятор'!$G$7="30/365",'депозитный калькулятор'!$G$7="30/360"),AND(MONTH(F545)=2,EOMONTH(F545,0)=F545)),IF(DAY(F545)=28,3,2),1)*IF(G545&gt;='депозитный калькулятор'!$G$11,IF(AND('депозитный калькулятор'!$G$7="факт/факт",MOD(YEAR(F545),4)=0),G545*'депозитный калькулятор'!$D$11/366,G545*'депозитный калькулятор'!$G$8),0))</f>
        <v xml:space="preserve"> </v>
      </c>
      <c r="R545" s="158"/>
      <c r="S545" s="62" t="str">
        <f t="shared" ca="1" si="42"/>
        <v xml:space="preserve"> </v>
      </c>
      <c r="T545" s="149" t="str">
        <f ca="1">IF(S545=" "," ",IF('депозитный калькулятор'!$G$7="30/360",DAYS360(U544,IF(DAY(U545)=31,U545-1,U545))+IF(AND(MONTH(U545)=2,U545=EOMONTH(U545,0)),30-DAY(EOMONTH(U545,0)))+T544,VLOOKUP(S545,$C$22:$F$1023,2,0)))</f>
        <v xml:space="preserve"> </v>
      </c>
      <c r="U545" s="64" t="str">
        <f t="shared" ca="1" si="40"/>
        <v xml:space="preserve"> </v>
      </c>
      <c r="V545" s="150" t="str">
        <f t="shared" ca="1" si="43"/>
        <v xml:space="preserve"> </v>
      </c>
      <c r="W545" s="62" t="str">
        <f t="shared" ca="1" si="44"/>
        <v xml:space="preserve"> </v>
      </c>
      <c r="X545" s="141" t="str">
        <f ca="1">IF(S545=" "," ",IFERROR(VLOOKUP(U545,$F$23:$N$1023,7)+VLOOKUP(U545,$F$23:$N$1023,9)+IF(AND('депозитный калькулятор'!$G$13="нет",U545&lt;&gt;'депозитный калькулятор'!$D$8),VLOOKUP(U545,$F$23:$N$1023,4),0),0)+IF(U545='депозитный калькулятор'!$D$8,VLOOKUP(U545,$F$23:$N$1023,2)+VLOOKUP(U545,$F$23:$N$1023,4),0))</f>
        <v xml:space="preserve"> </v>
      </c>
      <c r="Y545" s="142" t="str">
        <f ca="1">IF(S545=" "," ",W545/(1+'депозитный калькулятор'!$K$8)^(T545/IF('депозитный калькулятор'!$G$7="30/360",360,365)))</f>
        <v xml:space="preserve"> </v>
      </c>
      <c r="Z545" s="142" t="str">
        <f ca="1">IF(S545=" "," ",X545/(1+'депозитный калькулятор'!$K$8)^(T545/IF('депозитный калькулятор'!$G$7="30/360",360,365)))</f>
        <v xml:space="preserve"> </v>
      </c>
      <c r="AA545" s="151"/>
      <c r="AB545" s="151"/>
      <c r="AC545" s="155"/>
      <c r="AD545" s="155"/>
    </row>
    <row r="546" spans="1:30" s="2" customFormat="1" ht="15.5" x14ac:dyDescent="0.35">
      <c r="A546" s="41" t="str">
        <f>IF(F546=" "," ",IF(OR('депозитный калькулятор'!$G$7="30/365",'депозитный калькулятор'!$G$7="30/360"),IF(AND(MONTH(F546)=2,DAY(F546)=DAY(EOMONTH(F546,0))),30-DAY(EOMONTH(F546,0)),IF(DAY(F546)=31,1," "))," "))</f>
        <v xml:space="preserve"> </v>
      </c>
      <c r="B546" s="130" t="str">
        <f t="shared" si="41"/>
        <v xml:space="preserve"> </v>
      </c>
      <c r="C546" s="130" t="str">
        <f>IF(OR(B546=0,B546=" ")," ",SUM($B$23:B546))</f>
        <v xml:space="preserve"> </v>
      </c>
      <c r="D546" s="62" t="str">
        <f>IF(D545=" "," ",IF(OR(F545='депозитный калькулятор'!$D$8,F545=" ")," ",D545+1))</f>
        <v xml:space="preserve"> </v>
      </c>
      <c r="E546" s="130" t="str">
        <f>IF(OR(F545='депозитный калькулятор'!$D$8,F545=" ")," ",IF(EOMONTH(F545,0)=F545,1,E545+1))</f>
        <v xml:space="preserve"> </v>
      </c>
      <c r="F546" s="64" t="str">
        <f>IF(F545=" "," ",IF(F545='депозитный калькулятор'!$D$8," ",F545+1))</f>
        <v xml:space="preserve"> </v>
      </c>
      <c r="G546" s="145" t="str">
        <f xml:space="preserve"> IF(F546&gt;'депозитный калькулятор'!$D$8," ",IF('депозитный калькулятор'!$G$13="есть",IF('депозитный калькулятор'!$G$14="есть",G545+IF(I545=" ",0,I545)-J546-K546+L546+M546-N546,G545+IF(I545=" ",0,I545)-J546-K546+M546-N546),IF('депозитный калькулятор'!$G$14="есть",G545-J546-K546+L546+M546-N546,G545-J546-K546+M546-N546)))</f>
        <v xml:space="preserve"> </v>
      </c>
      <c r="H546" s="133" t="str">
        <f>IF(F546&gt;'депозитный калькулятор'!$D$8," ",IF(AND(OR('депозитный калькулятор'!$G$7="30/365",'депозитный калькулятор'!$G$7="30/360"),AND(MONTH(F546)=2,EOMONTH(F546,0)=F546)),IF(DAY(F546)=28,3*G546*'депозитный калькулятор'!$G$8,2*G546*'депозитный калькулятор'!$G$8),IF(AND(OR('депозитный калькулятор'!$G$7="30/365",'депозитный калькулятор'!$G$7="30/360"),DAY(F546)=31)," ",IF(AND('депозитный калькулятор'!$G$7="факт/факт",MOD(YEAR(F546),4)=0),G546*'депозитный калькулятор'!$D$11/366,G546*'депозитный калькулятор'!$G$8))))</f>
        <v xml:space="preserve"> </v>
      </c>
      <c r="I546" s="134" t="str">
        <f ca="1">IF(F546=" "," ",IF('депозитный калькулятор'!$G$10="ежедневное",H546,IF(AND('депозитный калькулятор'!$G$10="еженедельное",WEEKDAY(F546,2)=7),SUM(OFFSET(H546,-6,0):H546),IF(AND('депозитный калькулятор'!$G$10="еженедельное",F546='депозитный калькулятор'!$D$8),SUM($H$23:H546)-SUM($I$23:I545),IF(AND('депозитный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недели",WEEKDAY(F546,2)=7),MIN(OFFSET(H546,-6,0):H546)*(COUNTIF(OFFSET(H546,-6,0):H546,"&gt;0")+SUMIF(OFFSET(A546,-WEEKDAY(F546,2),0):A546,"=2",OFFSET(A546,-WEEKDAY(F546,2),0):A546)),IF(AND('депозитный калькулятор'!$G$10="еженедельное, на минимальную сумму зафиксированную в течение недели",F546='депозитный калькулятор'!$D$8,WEEKDAY(F546,2)&lt;&gt;7),MIN(OFFSET(H546,-WEEKDAY(F546,2),0):H546)*(COUNTIF(OFFSET(H546,-WEEKDAY(F546,2)+1,0):H546,"&gt;0")+SUM(OFFSET(A546,-WEEKDAY(F546,2),0):A546)),IF(AND('депозитный калькулятор'!$G$10="ежемесячное (в конце месяца)",F546='депозитный калькулятор'!$D$8,EOMONTH(F546,0)&lt;&gt;F546),IF('депозитный калькулятор'!$F$1=1,$H$24,SUM($H$23:H546)-SUM($I$23:I545)),IF(AND('депозитный калькулятор'!$G$10="ежемесячное (в конце месяца)",EOMONTH(F546,0)=F546),SUM($H$23:H546)-SUM($I$23:I545),IF(AND('депозитный калькулятор'!$G$10="ежемесячное (по дням открытия вклада)",F546='депозитный калькулятор'!$D$8,DAY('депозитный калькулятор'!$D$7)&lt;&gt;DAY(F546)),IF('депозитный калькулятор'!$F$1=1,$H$24,SUM($H$23:H546)-SUM($I$23:I545)),IF(AND('депозитный калькулятор'!$G$10="ежемесячное (по дням открытия вклада)",DAY('депозитный калькулятор'!$D$7)=DAY(F546)),SUM($H$23:H546)-SUM($I$23:I545),IF(AND('депозитный калькулятор'!$G$10="ежемесячное, на минимальную сумму зафиксированную в течение месяца",F546='депозитный калькулятор'!$D$8,EOMONTH(F546,0)&lt;&gt;F546),IF('депозитный калькулятор'!$F$1=1,$H$24,IF(AND(OR('депозитный калькулятор'!$G$7="30/365",'депозитный калькулятор'!$G$7="30/360"),DAY(F546)=31),0,MIN(OFFSET(H546,-E546+1,0):H546)*(E546+SUMIF(OFFSET(A546,-E546+1,0):A546,"=2",OFFSET(A546,-E546+1,0):A546)))),IF(AND('депозитный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калькулятор'!$G$7="30/360"),DAY(EOMONTH(F546,0))=31),EOMONTH(F546,0)-1=F546,EOMONTH(F546,0)=F546)),IF(IF(AND(OR('депозитный калькулятор'!$G$7="30/365",'депозитный калькулятор'!$G$7="30/360"),DAY(EOMONTH($F$23,0))=31),F546=EOMONTH($F$23,0)-1,F546=EOMONTH($F$23,0)),MIN(OFFSET(H546,-(DAY(F546)-DAY($F$23)),0):H546)*E546,MIN(OFFSET(H546,-(DAY(F546)-1),0):H546)*IF(AND(OR('депозитный калькулятор'!$G$7="30/365",'депозитный калькулятор'!$G$7="30/360"),DAY(F546)&lt;30),30,DAY(F546))),IF(AND('депозитный калькулятор'!$G$10="ежемесячное, на средний остаток в течение месяца, при условии что остаток больше чем ограничение",F546='депозитный калькулятор'!$D$8,EOMONTH(F546,0)&lt;&gt;F546),IF('депозитный калькулятор'!$F$1=1,$H$24,SUM(OFFSET(Q546,-E546+1,0):Q546)),IF(AND('депозитный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калькулятор'!$G$7="30/360"),DAY(EOMONTH(F546,0))=31),EOMONTH(F546,0)-1=F546,EOMONTH(F546,0)=F546)),IF(IF(AND(OR('депозитный калькулятор'!$G$7="30/365",'депозитный калькулятор'!$G$7="30/360"),DAY(EOMONTH($F$24,0))=31),F546=EOMONTH($F$24,0)-1,F546=EOMONTH($F$24,0)),SUM(OFFSET(Q546,-E546+1,0):Q546),SUM(OFFSET(Q546,-E546+1,0):Q546)),IF('депозитный калькулятор'!$G$10="ежеквартальное",IF(F546&gt;'депозитный калькулятор'!$D$8," ",IF(AND(EOMONTH(F546,0)=F546,OR(MONTH(F546)=3,MONTH(F546)=6,MONTH(F546)=9,MONTH(F546)=12)),IF(EDATE(F546,-3)&lt;'депозитный калькулятор'!$D$7,SUM($H$23:H546),IF(MOD(YEAR(F546),4)=0,IF(AND(EOMONTH(F546,0)=F546,OR(MONTH(F546)=3,MONTH(F546)=6)),SUM(OFFSET(H546,-90,0):H546),IF(AND(EOMONTH(F546,0)=F546,OR(MONTH(F546)=9,MONTH(F546)=12)),SUM(OFFSET(H546,-91,0):H546))),IF(AND(EOMONTH(F546,0)=F546,MONTH(F546)=3),SUM(OFFSET(H546,-89,0):H546),IF(AND(EOMONTH(F546,0)=F546,MONTH(F546)=6),SUM(OFFSET(H546,-90,0):H546),IF(AND(EOMONTH(F546,0)=F546,OR(MONTH(F546)=9,MONTH(F546)=12)),SUM(OFFSET(H546,-91,0):H546)))))),IF(F546='депозитный калькулятор'!$D$8,SUM($H$23:H546)-SUM($I$23:I545),0))),IF('депозитный калькулятор'!$G$10="ежегодное",IF(F546&gt;'депозитный калькулятор'!$D$8," ",IF(F546='депозитный калькулятор'!$D$8,SUM($H$23:H546)-SUM($I$23:I545),IF(AND(EOMONTH(F546,0)=F546,MONTH(F546)=12),IF(MOD(YEAR(F545),4)=0,IF(F546-'депозитный калькулятор'!$D$7&lt;366,SUM($H$23:H546),SUM(OFFSET(H546,-365,0):H546)),IF(F546-'депозитный калькулятор'!$D$7&lt;365,SUM($H$23:H546),SUM(OFFSET(H546,-364,0):H546))),0))),IF(AND('депозитный калькулятор'!$G$10="в конце срока",'депозитный калькулятор'!$D$8=F546),SUM($H$23:H546),0))))))))))))))))))</f>
        <v xml:space="preserve"> </v>
      </c>
      <c r="J546" s="59" t="str">
        <f>IF(F546&gt;'депозитный калькулятор'!$D$8," ",IF('депозитный калькулятор'!$G$16="нет",0,IF(AND('депозитный калькулятор'!$G$17="разовая (в конце срока)",F546='депозитный калькулятор'!$D$8),'депозитный калькулятор'!$G$18,IF(AND('депозитный калькулятор'!$G$17="ежемесячная",EOMONTH(F545,0)=F545),'депозитный калькулятор'!$G$18,IF(AND('депозитный калькулятор'!$G$17="ежегодная",DAY(F545)=31,MONTH(F545)=12),'депозитный калькулятор'!$G$18,IF(AND('депозитный калькулятор'!$G$17="ежемесячная в зависимости от остатка",EOMONTH(F545,0)=F545,P545&gt;0),'депозитный калькулятор'!$G$18,IF(AND('депозитный калькулятор'!$G$17="ежегодная в зависимости от остатка",DAY(F545)=31,MONTH(F545)=12,P545&gt;0),'депозитный калькулятор'!$G$18,0)))))))</f>
        <v xml:space="preserve"> </v>
      </c>
      <c r="K546" s="135" t="str">
        <f>IF($F546=" "," ",IFERROR(VLOOKUP($F546,'депозитный калькулятор'!$B$26:$F$70,2,0),0))</f>
        <v xml:space="preserve"> </v>
      </c>
      <c r="L546" s="135" t="str">
        <f>IF($F546=" "," ",IFERROR(VLOOKUP($F546,'депозитный калькулятор'!$B$26:$F$70,3,0),0))</f>
        <v xml:space="preserve"> </v>
      </c>
      <c r="M546" s="135" t="str">
        <f>IF($F546=" "," ",IFERROR(VLOOKUP($F546,'депозитный калькулятор'!$B$26:$F$70,4,0),0))</f>
        <v xml:space="preserve"> </v>
      </c>
      <c r="N546" s="135" t="str">
        <f>IF($F546=" "," ",IFERROR(VLOOKUP($F546,'депозитный калькулятор'!$B$26:$F$70,5,0),0))</f>
        <v xml:space="preserve"> </v>
      </c>
      <c r="O546" s="146" t="str">
        <f>IF(F546&gt;'депозитный калькулятор'!$D$8," ",IF(F546='депозитный калькулятор'!$D$8,IF(AND($F$24='депозитный калькулятор'!$D$8,'депозитный калькулятор'!$G$13="нет"),-G546-IF(I546=" ",0,I546)-IF(AND(OR('депозитный калькулятор'!$G$7="30/365",'депозитный калькулятор'!$G$7="30/360"),'депозитный калькулятор'!$G$10="в начале срока"),I545,0)-L546+M546-N546,-G546-IF(I546=" ",0,I546)-L546+M546-N546),IF('депозитный калькулятор'!$G$13="есть",M546-N546+IF('депозитный калькулятор'!$G$14="есть",0,-L546),-IF(I546=" ",0,I546)-IF(AND(OR('депозитный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срока"),I545,0)+M546-N546+IF('депозитный калькулятор'!$G$14="есть",0,-L546))))</f>
        <v xml:space="preserve"> </v>
      </c>
      <c r="P546" s="147" t="str">
        <f>IF(F546&gt;'депозитный калькулятор'!$D$8," ",IF(EOMONTH(F545,0)=F545,0,IF(G546&gt;='депозитный калькулятор'!$G$19,P545,P545+1)))</f>
        <v xml:space="preserve"> </v>
      </c>
      <c r="Q546" s="138" t="str">
        <f>IF(F546=" "," ",IF(AND(OR('депозитный калькулятор'!$G$7="30/365",'депозитный калькулятор'!$G$7="30/360"),AND(MONTH(F546)=2,EOMONTH(F546,0)=F546)),IF(DAY(F546)=28,3,2),1)*IF(G546&gt;='депозитный калькулятор'!$G$11,IF(AND('депозитный калькулятор'!$G$7="факт/факт",MOD(YEAR(F546),4)=0),G546*'депозитный калькулятор'!$D$11/366,G546*'депозитный калькулятор'!$G$8),0))</f>
        <v xml:space="preserve"> </v>
      </c>
      <c r="R546" s="158"/>
      <c r="S546" s="62" t="str">
        <f t="shared" ca="1" si="42"/>
        <v xml:space="preserve"> </v>
      </c>
      <c r="T546" s="149" t="str">
        <f ca="1">IF(S546=" "," ",IF('депозитный калькулятор'!$G$7="30/360",DAYS360(U545,IF(DAY(U546)=31,U546-1,U546))+IF(AND(MONTH(U546)=2,U546=EOMONTH(U546,0)),30-DAY(EOMONTH(U546,0)))+T545,VLOOKUP(S546,$C$22:$F$1023,2,0)))</f>
        <v xml:space="preserve"> </v>
      </c>
      <c r="U546" s="64" t="str">
        <f t="shared" ca="1" si="40"/>
        <v xml:space="preserve"> </v>
      </c>
      <c r="V546" s="150" t="str">
        <f t="shared" ca="1" si="43"/>
        <v xml:space="preserve"> </v>
      </c>
      <c r="W546" s="62" t="str">
        <f t="shared" ca="1" si="44"/>
        <v xml:space="preserve"> </v>
      </c>
      <c r="X546" s="141" t="str">
        <f ca="1">IF(S546=" "," ",IFERROR(VLOOKUP(U546,$F$23:$N$1023,7)+VLOOKUP(U546,$F$23:$N$1023,9)+IF(AND('депозитный калькулятор'!$G$13="нет",U546&lt;&gt;'депозитный калькулятор'!$D$8),VLOOKUP(U546,$F$23:$N$1023,4),0),0)+IF(U546='депозитный калькулятор'!$D$8,VLOOKUP(U546,$F$23:$N$1023,2)+VLOOKUP(U546,$F$23:$N$1023,4),0))</f>
        <v xml:space="preserve"> </v>
      </c>
      <c r="Y546" s="142" t="str">
        <f ca="1">IF(S546=" "," ",W546/(1+'депозитный калькулятор'!$K$8)^(T546/IF('депозитный калькулятор'!$G$7="30/360",360,365)))</f>
        <v xml:space="preserve"> </v>
      </c>
      <c r="Z546" s="142" t="str">
        <f ca="1">IF(S546=" "," ",X546/(1+'депозитный калькулятор'!$K$8)^(T546/IF('депозитный калькулятор'!$G$7="30/360",360,365)))</f>
        <v xml:space="preserve"> </v>
      </c>
      <c r="AA546" s="151"/>
      <c r="AB546" s="151"/>
      <c r="AC546" s="155"/>
      <c r="AD546" s="155"/>
    </row>
    <row r="547" spans="1:30" s="2" customFormat="1" ht="15.5" x14ac:dyDescent="0.35">
      <c r="A547" s="41" t="str">
        <f>IF(F547=" "," ",IF(OR('депозитный калькулятор'!$G$7="30/365",'депозитный калькулятор'!$G$7="30/360"),IF(AND(MONTH(F547)=2,DAY(F547)=DAY(EOMONTH(F547,0))),30-DAY(EOMONTH(F547,0)),IF(DAY(F547)=31,1," "))," "))</f>
        <v xml:space="preserve"> </v>
      </c>
      <c r="B547" s="130" t="str">
        <f t="shared" si="41"/>
        <v xml:space="preserve"> </v>
      </c>
      <c r="C547" s="130" t="str">
        <f>IF(OR(B547=0,B547=" ")," ",SUM($B$23:B547))</f>
        <v xml:space="preserve"> </v>
      </c>
      <c r="D547" s="62" t="str">
        <f>IF(D546=" "," ",IF(OR(F546='депозитный калькулятор'!$D$8,F546=" ")," ",D546+1))</f>
        <v xml:space="preserve"> </v>
      </c>
      <c r="E547" s="130" t="str">
        <f>IF(OR(F546='депозитный калькулятор'!$D$8,F546=" ")," ",IF(EOMONTH(F546,0)=F546,1,E546+1))</f>
        <v xml:space="preserve"> </v>
      </c>
      <c r="F547" s="64" t="str">
        <f>IF(F546=" "," ",IF(F546='депозитный калькулятор'!$D$8," ",F546+1))</f>
        <v xml:space="preserve"> </v>
      </c>
      <c r="G547" s="145" t="str">
        <f xml:space="preserve"> IF(F547&gt;'депозитный калькулятор'!$D$8," ",IF('депозитный калькулятор'!$G$13="есть",IF('депозитный калькулятор'!$G$14="есть",G546+IF(I546=" ",0,I546)-J547-K547+L547+M547-N547,G546+IF(I546=" ",0,I546)-J547-K547+M547-N547),IF('депозитный калькулятор'!$G$14="есть",G546-J547-K547+L547+M547-N547,G546-J547-K547+M547-N547)))</f>
        <v xml:space="preserve"> </v>
      </c>
      <c r="H547" s="133" t="str">
        <f>IF(F547&gt;'депозитный калькулятор'!$D$8," ",IF(AND(OR('депозитный калькулятор'!$G$7="30/365",'депозитный калькулятор'!$G$7="30/360"),AND(MONTH(F547)=2,EOMONTH(F547,0)=F547)),IF(DAY(F547)=28,3*G547*'депозитный калькулятор'!$G$8,2*G547*'депозитный калькулятор'!$G$8),IF(AND(OR('депозитный калькулятор'!$G$7="30/365",'депозитный калькулятор'!$G$7="30/360"),DAY(F547)=31)," ",IF(AND('депозитный калькулятор'!$G$7="факт/факт",MOD(YEAR(F547),4)=0),G547*'депозитный калькулятор'!$D$11/366,G547*'депозитный калькулятор'!$G$8))))</f>
        <v xml:space="preserve"> </v>
      </c>
      <c r="I547" s="134" t="str">
        <f ca="1">IF(F547=" "," ",IF('депозитный калькулятор'!$G$10="ежедневное",H547,IF(AND('депозитный калькулятор'!$G$10="еженедельное",WEEKDAY(F547,2)=7),SUM(OFFSET(H547,-6,0):H547),IF(AND('депозитный калькулятор'!$G$10="еженедельное",F547='депозитный калькулятор'!$D$8),SUM($H$23:H547)-SUM($I$23:I546),IF(AND('депозитный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недели",WEEKDAY(F547,2)=7),MIN(OFFSET(H547,-6,0):H547)*(COUNTIF(OFFSET(H547,-6,0):H547,"&gt;0")+SUMIF(OFFSET(A547,-WEEKDAY(F547,2),0):A547,"=2",OFFSET(A547,-WEEKDAY(F547,2),0):A547)),IF(AND('депозитный калькулятор'!$G$10="еженедельное, на минимальную сумму зафиксированную в течение недели",F547='депозитный калькулятор'!$D$8,WEEKDAY(F547,2)&lt;&gt;7),MIN(OFFSET(H547,-WEEKDAY(F547,2),0):H547)*(COUNTIF(OFFSET(H547,-WEEKDAY(F547,2)+1,0):H547,"&gt;0")+SUM(OFFSET(A547,-WEEKDAY(F547,2),0):A547)),IF(AND('депозитный калькулятор'!$G$10="ежемесячное (в конце месяца)",F547='депозитный калькулятор'!$D$8,EOMONTH(F547,0)&lt;&gt;F547),IF('депозитный калькулятор'!$F$1=1,$H$24,SUM($H$23:H547)-SUM($I$23:I546)),IF(AND('депозитный калькулятор'!$G$10="ежемесячное (в конце месяца)",EOMONTH(F547,0)=F547),SUM($H$23:H547)-SUM($I$23:I546),IF(AND('депозитный калькулятор'!$G$10="ежемесячное (по дням открытия вклада)",F547='депозитный калькулятор'!$D$8,DAY('депозитный калькулятор'!$D$7)&lt;&gt;DAY(F547)),IF('депозитный калькулятор'!$F$1=1,$H$24,SUM($H$23:H547)-SUM($I$23:I546)),IF(AND('депозитный калькулятор'!$G$10="ежемесячное (по дням открытия вклада)",DAY('депозитный калькулятор'!$D$7)=DAY(F547)),SUM($H$23:H547)-SUM($I$23:I546),IF(AND('депозитный калькулятор'!$G$10="ежемесячное, на минимальную сумму зафиксированную в течение месяца",F547='депозитный калькулятор'!$D$8,EOMONTH(F547,0)&lt;&gt;F547),IF('депозитный калькулятор'!$F$1=1,$H$24,IF(AND(OR('депозитный калькулятор'!$G$7="30/365",'депозитный калькулятор'!$G$7="30/360"),DAY(F547)=31),0,MIN(OFFSET(H547,-E547+1,0):H547)*(E547+SUMIF(OFFSET(A547,-E547+1,0):A547,"=2",OFFSET(A547,-E547+1,0):A547)))),IF(AND('депозитный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калькулятор'!$G$7="30/360"),DAY(EOMONTH(F547,0))=31),EOMONTH(F547,0)-1=F547,EOMONTH(F547,0)=F547)),IF(IF(AND(OR('депозитный калькулятор'!$G$7="30/365",'депозитный калькулятор'!$G$7="30/360"),DAY(EOMONTH($F$23,0))=31),F547=EOMONTH($F$23,0)-1,F547=EOMONTH($F$23,0)),MIN(OFFSET(H547,-(DAY(F547)-DAY($F$23)),0):H547)*E547,MIN(OFFSET(H547,-(DAY(F547)-1),0):H547)*IF(AND(OR('депозитный калькулятор'!$G$7="30/365",'депозитный калькулятор'!$G$7="30/360"),DAY(F547)&lt;30),30,DAY(F547))),IF(AND('депозитный калькулятор'!$G$10="ежемесячное, на средний остаток в течение месяца, при условии что остаток больше чем ограничение",F547='депозитный калькулятор'!$D$8,EOMONTH(F547,0)&lt;&gt;F547),IF('депозитный калькулятор'!$F$1=1,$H$24,SUM(OFFSET(Q547,-E547+1,0):Q547)),IF(AND('депозитный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калькулятор'!$G$7="30/360"),DAY(EOMONTH(F547,0))=31),EOMONTH(F547,0)-1=F547,EOMONTH(F547,0)=F547)),IF(IF(AND(OR('депозитный калькулятор'!$G$7="30/365",'депозитный калькулятор'!$G$7="30/360"),DAY(EOMONTH($F$24,0))=31),F547=EOMONTH($F$24,0)-1,F547=EOMONTH($F$24,0)),SUM(OFFSET(Q547,-E547+1,0):Q547),SUM(OFFSET(Q547,-E547+1,0):Q547)),IF('депозитный калькулятор'!$G$10="ежеквартальное",IF(F547&gt;'депозитный калькулятор'!$D$8," ",IF(AND(EOMONTH(F547,0)=F547,OR(MONTH(F547)=3,MONTH(F547)=6,MONTH(F547)=9,MONTH(F547)=12)),IF(EDATE(F547,-3)&lt;'депозитный калькулятор'!$D$7,SUM($H$23:H547),IF(MOD(YEAR(F547),4)=0,IF(AND(EOMONTH(F547,0)=F547,OR(MONTH(F547)=3,MONTH(F547)=6)),SUM(OFFSET(H547,-90,0):H547),IF(AND(EOMONTH(F547,0)=F547,OR(MONTH(F547)=9,MONTH(F547)=12)),SUM(OFFSET(H547,-91,0):H547))),IF(AND(EOMONTH(F547,0)=F547,MONTH(F547)=3),SUM(OFFSET(H547,-89,0):H547),IF(AND(EOMONTH(F547,0)=F547,MONTH(F547)=6),SUM(OFFSET(H547,-90,0):H547),IF(AND(EOMONTH(F547,0)=F547,OR(MONTH(F547)=9,MONTH(F547)=12)),SUM(OFFSET(H547,-91,0):H547)))))),IF(F547='депозитный калькулятор'!$D$8,SUM($H$23:H547)-SUM($I$23:I546),0))),IF('депозитный калькулятор'!$G$10="ежегодное",IF(F547&gt;'депозитный калькулятор'!$D$8," ",IF(F547='депозитный калькулятор'!$D$8,SUM($H$23:H547)-SUM($I$23:I546),IF(AND(EOMONTH(F547,0)=F547,MONTH(F547)=12),IF(MOD(YEAR(F546),4)=0,IF(F547-'депозитный калькулятор'!$D$7&lt;366,SUM($H$23:H547),SUM(OFFSET(H547,-365,0):H547)),IF(F547-'депозитный калькулятор'!$D$7&lt;365,SUM($H$23:H547),SUM(OFFSET(H547,-364,0):H547))),0))),IF(AND('депозитный калькулятор'!$G$10="в конце срока",'депозитный калькулятор'!$D$8=F547),SUM($H$23:H547),0))))))))))))))))))</f>
        <v xml:space="preserve"> </v>
      </c>
      <c r="J547" s="59" t="str">
        <f>IF(F547&gt;'депозитный калькулятор'!$D$8," ",IF('депозитный калькулятор'!$G$16="нет",0,IF(AND('депозитный калькулятор'!$G$17="разовая (в конце срока)",F547='депозитный калькулятор'!$D$8),'депозитный калькулятор'!$G$18,IF(AND('депозитный калькулятор'!$G$17="ежемесячная",EOMONTH(F546,0)=F546),'депозитный калькулятор'!$G$18,IF(AND('депозитный калькулятор'!$G$17="ежегодная",DAY(F546)=31,MONTH(F546)=12),'депозитный калькулятор'!$G$18,IF(AND('депозитный калькулятор'!$G$17="ежемесячная в зависимости от остатка",EOMONTH(F546,0)=F546,P546&gt;0),'депозитный калькулятор'!$G$18,IF(AND('депозитный калькулятор'!$G$17="ежегодная в зависимости от остатка",DAY(F546)=31,MONTH(F546)=12,P546&gt;0),'депозитный калькулятор'!$G$18,0)))))))</f>
        <v xml:space="preserve"> </v>
      </c>
      <c r="K547" s="135" t="str">
        <f>IF($F547=" "," ",IFERROR(VLOOKUP($F547,'депозитный калькулятор'!$B$26:$F$70,2,0),0))</f>
        <v xml:space="preserve"> </v>
      </c>
      <c r="L547" s="135" t="str">
        <f>IF($F547=" "," ",IFERROR(VLOOKUP($F547,'депозитный калькулятор'!$B$26:$F$70,3,0),0))</f>
        <v xml:space="preserve"> </v>
      </c>
      <c r="M547" s="135" t="str">
        <f>IF($F547=" "," ",IFERROR(VLOOKUP($F547,'депозитный калькулятор'!$B$26:$F$70,4,0),0))</f>
        <v xml:space="preserve"> </v>
      </c>
      <c r="N547" s="135" t="str">
        <f>IF($F547=" "," ",IFERROR(VLOOKUP($F547,'депозитный калькулятор'!$B$26:$F$70,5,0),0))</f>
        <v xml:space="preserve"> </v>
      </c>
      <c r="O547" s="146" t="str">
        <f>IF(F547&gt;'депозитный калькулятор'!$D$8," ",IF(F547='депозитный калькулятор'!$D$8,IF(AND($F$24='депозитный калькулятор'!$D$8,'депозитный калькулятор'!$G$13="нет"),-G547-IF(I547=" ",0,I547)-IF(AND(OR('депозитный калькулятор'!$G$7="30/365",'депозитный калькулятор'!$G$7="30/360"),'депозитный калькулятор'!$G$10="в начале срока"),I546,0)-L547+M547-N547,-G547-IF(I547=" ",0,I547)-L547+M547-N547),IF('депозитный калькулятор'!$G$13="есть",M547-N547+IF('депозитный калькулятор'!$G$14="есть",0,-L547),-IF(I547=" ",0,I547)-IF(AND(OR('депозитный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срока"),I546,0)+M547-N547+IF('депозитный калькулятор'!$G$14="есть",0,-L547))))</f>
        <v xml:space="preserve"> </v>
      </c>
      <c r="P547" s="147" t="str">
        <f>IF(F547&gt;'депозитный калькулятор'!$D$8," ",IF(EOMONTH(F546,0)=F546,0,IF(G547&gt;='депозитный калькулятор'!$G$19,P546,P546+1)))</f>
        <v xml:space="preserve"> </v>
      </c>
      <c r="Q547" s="138" t="str">
        <f>IF(F547=" "," ",IF(AND(OR('депозитный калькулятор'!$G$7="30/365",'депозитный калькулятор'!$G$7="30/360"),AND(MONTH(F547)=2,EOMONTH(F547,0)=F547)),IF(DAY(F547)=28,3,2),1)*IF(G547&gt;='депозитный калькулятор'!$G$11,IF(AND('депозитный калькулятор'!$G$7="факт/факт",MOD(YEAR(F547),4)=0),G547*'депозитный калькулятор'!$D$11/366,G547*'депозитный калькулятор'!$G$8),0))</f>
        <v xml:space="preserve"> </v>
      </c>
      <c r="R547" s="158"/>
      <c r="S547" s="62" t="str">
        <f t="shared" ca="1" si="42"/>
        <v xml:space="preserve"> </v>
      </c>
      <c r="T547" s="149" t="str">
        <f ca="1">IF(S547=" "," ",IF('депозитный калькулятор'!$G$7="30/360",DAYS360(U546,IF(DAY(U547)=31,U547-1,U547))+IF(AND(MONTH(U547)=2,U547=EOMONTH(U547,0)),30-DAY(EOMONTH(U547,0)))+T546,VLOOKUP(S547,$C$22:$F$1023,2,0)))</f>
        <v xml:space="preserve"> </v>
      </c>
      <c r="U547" s="64" t="str">
        <f t="shared" ca="1" si="40"/>
        <v xml:space="preserve"> </v>
      </c>
      <c r="V547" s="150" t="str">
        <f t="shared" ca="1" si="43"/>
        <v xml:space="preserve"> </v>
      </c>
      <c r="W547" s="62" t="str">
        <f t="shared" ca="1" si="44"/>
        <v xml:space="preserve"> </v>
      </c>
      <c r="X547" s="141" t="str">
        <f ca="1">IF(S547=" "," ",IFERROR(VLOOKUP(U547,$F$23:$N$1023,7)+VLOOKUP(U547,$F$23:$N$1023,9)+IF(AND('депозитный калькулятор'!$G$13="нет",U547&lt;&gt;'депозитный калькулятор'!$D$8),VLOOKUP(U547,$F$23:$N$1023,4),0),0)+IF(U547='депозитный калькулятор'!$D$8,VLOOKUP(U547,$F$23:$N$1023,2)+VLOOKUP(U547,$F$23:$N$1023,4),0))</f>
        <v xml:space="preserve"> </v>
      </c>
      <c r="Y547" s="142" t="str">
        <f ca="1">IF(S547=" "," ",W547/(1+'депозитный калькулятор'!$K$8)^(T547/IF('депозитный калькулятор'!$G$7="30/360",360,365)))</f>
        <v xml:space="preserve"> </v>
      </c>
      <c r="Z547" s="142" t="str">
        <f ca="1">IF(S547=" "," ",X547/(1+'депозитный калькулятор'!$K$8)^(T547/IF('депозитный калькулятор'!$G$7="30/360",360,365)))</f>
        <v xml:space="preserve"> </v>
      </c>
      <c r="AA547" s="151"/>
      <c r="AB547" s="151"/>
      <c r="AC547" s="155"/>
      <c r="AD547" s="155"/>
    </row>
    <row r="548" spans="1:30" s="2" customFormat="1" ht="15.5" x14ac:dyDescent="0.35">
      <c r="A548" s="41" t="str">
        <f>IF(F548=" "," ",IF(OR('депозитный калькулятор'!$G$7="30/365",'депозитный калькулятор'!$G$7="30/360"),IF(AND(MONTH(F548)=2,DAY(F548)=DAY(EOMONTH(F548,0))),30-DAY(EOMONTH(F548,0)),IF(DAY(F548)=31,1," "))," "))</f>
        <v xml:space="preserve"> </v>
      </c>
      <c r="B548" s="130" t="str">
        <f t="shared" si="41"/>
        <v xml:space="preserve"> </v>
      </c>
      <c r="C548" s="130" t="str">
        <f>IF(OR(B548=0,B548=" ")," ",SUM($B$23:B548))</f>
        <v xml:space="preserve"> </v>
      </c>
      <c r="D548" s="62" t="str">
        <f>IF(D547=" "," ",IF(OR(F547='депозитный калькулятор'!$D$8,F547=" ")," ",D547+1))</f>
        <v xml:space="preserve"> </v>
      </c>
      <c r="E548" s="130" t="str">
        <f>IF(OR(F547='депозитный калькулятор'!$D$8,F547=" ")," ",IF(EOMONTH(F547,0)=F547,1,E547+1))</f>
        <v xml:space="preserve"> </v>
      </c>
      <c r="F548" s="64" t="str">
        <f>IF(F547=" "," ",IF(F547='депозитный калькулятор'!$D$8," ",F547+1))</f>
        <v xml:space="preserve"> </v>
      </c>
      <c r="G548" s="145" t="str">
        <f xml:space="preserve"> IF(F548&gt;'депозитный калькулятор'!$D$8," ",IF('депозитный калькулятор'!$G$13="есть",IF('депозитный калькулятор'!$G$14="есть",G547+IF(I547=" ",0,I547)-J548-K548+L548+M548-N548,G547+IF(I547=" ",0,I547)-J548-K548+M548-N548),IF('депозитный калькулятор'!$G$14="есть",G547-J548-K548+L548+M548-N548,G547-J548-K548+M548-N548)))</f>
        <v xml:space="preserve"> </v>
      </c>
      <c r="H548" s="133" t="str">
        <f>IF(F548&gt;'депозитный калькулятор'!$D$8," ",IF(AND(OR('депозитный калькулятор'!$G$7="30/365",'депозитный калькулятор'!$G$7="30/360"),AND(MONTH(F548)=2,EOMONTH(F548,0)=F548)),IF(DAY(F548)=28,3*G548*'депозитный калькулятор'!$G$8,2*G548*'депозитный калькулятор'!$G$8),IF(AND(OR('депозитный калькулятор'!$G$7="30/365",'депозитный калькулятор'!$G$7="30/360"),DAY(F548)=31)," ",IF(AND('депозитный калькулятор'!$G$7="факт/факт",MOD(YEAR(F548),4)=0),G548*'депозитный калькулятор'!$D$11/366,G548*'депозитный калькулятор'!$G$8))))</f>
        <v xml:space="preserve"> </v>
      </c>
      <c r="I548" s="134" t="str">
        <f ca="1">IF(F548=" "," ",IF('депозитный калькулятор'!$G$10="ежедневное",H548,IF(AND('депозитный калькулятор'!$G$10="еженедельное",WEEKDAY(F548,2)=7),SUM(OFFSET(H548,-6,0):H548),IF(AND('депозитный калькулятор'!$G$10="еженедельное",F548='депозитный калькулятор'!$D$8),SUM($H$23:H548)-SUM($I$23:I547),IF(AND('депозитный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недели",WEEKDAY(F548,2)=7),MIN(OFFSET(H548,-6,0):H548)*(COUNTIF(OFFSET(H548,-6,0):H548,"&gt;0")+SUMIF(OFFSET(A548,-WEEKDAY(F548,2),0):A548,"=2",OFFSET(A548,-WEEKDAY(F548,2),0):A548)),IF(AND('депозитный калькулятор'!$G$10="еженедельное, на минимальную сумму зафиксированную в течение недели",F548='депозитный калькулятор'!$D$8,WEEKDAY(F548,2)&lt;&gt;7),MIN(OFFSET(H548,-WEEKDAY(F548,2),0):H548)*(COUNTIF(OFFSET(H548,-WEEKDAY(F548,2)+1,0):H548,"&gt;0")+SUM(OFFSET(A548,-WEEKDAY(F548,2),0):A548)),IF(AND('депозитный калькулятор'!$G$10="ежемесячное (в конце месяца)",F548='депозитный калькулятор'!$D$8,EOMONTH(F548,0)&lt;&gt;F548),IF('депозитный калькулятор'!$F$1=1,$H$24,SUM($H$23:H548)-SUM($I$23:I547)),IF(AND('депозитный калькулятор'!$G$10="ежемесячное (в конце месяца)",EOMONTH(F548,0)=F548),SUM($H$23:H548)-SUM($I$23:I547),IF(AND('депозитный калькулятор'!$G$10="ежемесячное (по дням открытия вклада)",F548='депозитный калькулятор'!$D$8,DAY('депозитный калькулятор'!$D$7)&lt;&gt;DAY(F548)),IF('депозитный калькулятор'!$F$1=1,$H$24,SUM($H$23:H548)-SUM($I$23:I547)),IF(AND('депозитный калькулятор'!$G$10="ежемесячное (по дням открытия вклада)",DAY('депозитный калькулятор'!$D$7)=DAY(F548)),SUM($H$23:H548)-SUM($I$23:I547),IF(AND('депозитный калькулятор'!$G$10="ежемесячное, на минимальную сумму зафиксированную в течение месяца",F548='депозитный калькулятор'!$D$8,EOMONTH(F548,0)&lt;&gt;F548),IF('депозитный калькулятор'!$F$1=1,$H$24,IF(AND(OR('депозитный калькулятор'!$G$7="30/365",'депозитный калькулятор'!$G$7="30/360"),DAY(F548)=31),0,MIN(OFFSET(H548,-E548+1,0):H548)*(E548+SUMIF(OFFSET(A548,-E548+1,0):A548,"=2",OFFSET(A548,-E548+1,0):A548)))),IF(AND('депозитный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калькулятор'!$G$7="30/360"),DAY(EOMONTH(F548,0))=31),EOMONTH(F548,0)-1=F548,EOMONTH(F548,0)=F548)),IF(IF(AND(OR('депозитный калькулятор'!$G$7="30/365",'депозитный калькулятор'!$G$7="30/360"),DAY(EOMONTH($F$23,0))=31),F548=EOMONTH($F$23,0)-1,F548=EOMONTH($F$23,0)),MIN(OFFSET(H548,-(DAY(F548)-DAY($F$23)),0):H548)*E548,MIN(OFFSET(H548,-(DAY(F548)-1),0):H548)*IF(AND(OR('депозитный калькулятор'!$G$7="30/365",'депозитный калькулятор'!$G$7="30/360"),DAY(F548)&lt;30),30,DAY(F548))),IF(AND('депозитный калькулятор'!$G$10="ежемесячное, на средний остаток в течение месяца, при условии что остаток больше чем ограничение",F548='депозитный калькулятор'!$D$8,EOMONTH(F548,0)&lt;&gt;F548),IF('депозитный калькулятор'!$F$1=1,$H$24,SUM(OFFSET(Q548,-E548+1,0):Q548)),IF(AND('депозитный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калькулятор'!$G$7="30/360"),DAY(EOMONTH(F548,0))=31),EOMONTH(F548,0)-1=F548,EOMONTH(F548,0)=F548)),IF(IF(AND(OR('депозитный калькулятор'!$G$7="30/365",'депозитный калькулятор'!$G$7="30/360"),DAY(EOMONTH($F$24,0))=31),F548=EOMONTH($F$24,0)-1,F548=EOMONTH($F$24,0)),SUM(OFFSET(Q548,-E548+1,0):Q548),SUM(OFFSET(Q548,-E548+1,0):Q548)),IF('депозитный калькулятор'!$G$10="ежеквартальное",IF(F548&gt;'депозитный калькулятор'!$D$8," ",IF(AND(EOMONTH(F548,0)=F548,OR(MONTH(F548)=3,MONTH(F548)=6,MONTH(F548)=9,MONTH(F548)=12)),IF(EDATE(F548,-3)&lt;'депозитный калькулятор'!$D$7,SUM($H$23:H548),IF(MOD(YEAR(F548),4)=0,IF(AND(EOMONTH(F548,0)=F548,OR(MONTH(F548)=3,MONTH(F548)=6)),SUM(OFFSET(H548,-90,0):H548),IF(AND(EOMONTH(F548,0)=F548,OR(MONTH(F548)=9,MONTH(F548)=12)),SUM(OFFSET(H548,-91,0):H548))),IF(AND(EOMONTH(F548,0)=F548,MONTH(F548)=3),SUM(OFFSET(H548,-89,0):H548),IF(AND(EOMONTH(F548,0)=F548,MONTH(F548)=6),SUM(OFFSET(H548,-90,0):H548),IF(AND(EOMONTH(F548,0)=F548,OR(MONTH(F548)=9,MONTH(F548)=12)),SUM(OFFSET(H548,-91,0):H548)))))),IF(F548='депозитный калькулятор'!$D$8,SUM($H$23:H548)-SUM($I$23:I547),0))),IF('депозитный калькулятор'!$G$10="ежегодное",IF(F548&gt;'депозитный калькулятор'!$D$8," ",IF(F548='депозитный калькулятор'!$D$8,SUM($H$23:H548)-SUM($I$23:I547),IF(AND(EOMONTH(F548,0)=F548,MONTH(F548)=12),IF(MOD(YEAR(F547),4)=0,IF(F548-'депозитный калькулятор'!$D$7&lt;366,SUM($H$23:H548),SUM(OFFSET(H548,-365,0):H548)),IF(F548-'депозитный калькулятор'!$D$7&lt;365,SUM($H$23:H548),SUM(OFFSET(H548,-364,0):H548))),0))),IF(AND('депозитный калькулятор'!$G$10="в конце срока",'депозитный калькулятор'!$D$8=F548),SUM($H$23:H548),0))))))))))))))))))</f>
        <v xml:space="preserve"> </v>
      </c>
      <c r="J548" s="59" t="str">
        <f>IF(F548&gt;'депозитный калькулятор'!$D$8," ",IF('депозитный калькулятор'!$G$16="нет",0,IF(AND('депозитный калькулятор'!$G$17="разовая (в конце срока)",F548='депозитный калькулятор'!$D$8),'депозитный калькулятор'!$G$18,IF(AND('депозитный калькулятор'!$G$17="ежемесячная",EOMONTH(F547,0)=F547),'депозитный калькулятор'!$G$18,IF(AND('депозитный калькулятор'!$G$17="ежегодная",DAY(F547)=31,MONTH(F547)=12),'депозитный калькулятор'!$G$18,IF(AND('депозитный калькулятор'!$G$17="ежемесячная в зависимости от остатка",EOMONTH(F547,0)=F547,P547&gt;0),'депозитный калькулятор'!$G$18,IF(AND('депозитный калькулятор'!$G$17="ежегодная в зависимости от остатка",DAY(F547)=31,MONTH(F547)=12,P547&gt;0),'депозитный калькулятор'!$G$18,0)))))))</f>
        <v xml:space="preserve"> </v>
      </c>
      <c r="K548" s="135" t="str">
        <f>IF($F548=" "," ",IFERROR(VLOOKUP($F548,'депозитный калькулятор'!$B$26:$F$70,2,0),0))</f>
        <v xml:space="preserve"> </v>
      </c>
      <c r="L548" s="135" t="str">
        <f>IF($F548=" "," ",IFERROR(VLOOKUP($F548,'депозитный калькулятор'!$B$26:$F$70,3,0),0))</f>
        <v xml:space="preserve"> </v>
      </c>
      <c r="M548" s="135" t="str">
        <f>IF($F548=" "," ",IFERROR(VLOOKUP($F548,'депозитный калькулятор'!$B$26:$F$70,4,0),0))</f>
        <v xml:space="preserve"> </v>
      </c>
      <c r="N548" s="135" t="str">
        <f>IF($F548=" "," ",IFERROR(VLOOKUP($F548,'депозитный калькулятор'!$B$26:$F$70,5,0),0))</f>
        <v xml:space="preserve"> </v>
      </c>
      <c r="O548" s="146" t="str">
        <f>IF(F548&gt;'депозитный калькулятор'!$D$8," ",IF(F548='депозитный калькулятор'!$D$8,IF(AND($F$24='депозитный калькулятор'!$D$8,'депозитный калькулятор'!$G$13="нет"),-G548-IF(I548=" ",0,I548)-IF(AND(OR('депозитный калькулятор'!$G$7="30/365",'депозитный калькулятор'!$G$7="30/360"),'депозитный калькулятор'!$G$10="в начале срока"),I547,0)-L548+M548-N548,-G548-IF(I548=" ",0,I548)-L548+M548-N548),IF('депозитный калькулятор'!$G$13="есть",M548-N548+IF('депозитный калькулятор'!$G$14="есть",0,-L548),-IF(I548=" ",0,I548)-IF(AND(OR('депозитный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срока"),I547,0)+M548-N548+IF('депозитный калькулятор'!$G$14="есть",0,-L548))))</f>
        <v xml:space="preserve"> </v>
      </c>
      <c r="P548" s="147" t="str">
        <f>IF(F548&gt;'депозитный калькулятор'!$D$8," ",IF(EOMONTH(F547,0)=F547,0,IF(G548&gt;='депозитный калькулятор'!$G$19,P547,P547+1)))</f>
        <v xml:space="preserve"> </v>
      </c>
      <c r="Q548" s="138" t="str">
        <f>IF(F548=" "," ",IF(AND(OR('депозитный калькулятор'!$G$7="30/365",'депозитный калькулятор'!$G$7="30/360"),AND(MONTH(F548)=2,EOMONTH(F548,0)=F548)),IF(DAY(F548)=28,3,2),1)*IF(G548&gt;='депозитный калькулятор'!$G$11,IF(AND('депозитный калькулятор'!$G$7="факт/факт",MOD(YEAR(F548),4)=0),G548*'депозитный калькулятор'!$D$11/366,G548*'депозитный калькулятор'!$G$8),0))</f>
        <v xml:space="preserve"> </v>
      </c>
      <c r="R548" s="158"/>
      <c r="S548" s="62" t="str">
        <f t="shared" ca="1" si="42"/>
        <v xml:space="preserve"> </v>
      </c>
      <c r="T548" s="149" t="str">
        <f ca="1">IF(S548=" "," ",IF('депозитный калькулятор'!$G$7="30/360",DAYS360(U547,IF(DAY(U548)=31,U548-1,U548))+IF(AND(MONTH(U548)=2,U548=EOMONTH(U548,0)),30-DAY(EOMONTH(U548,0)))+T547,VLOOKUP(S548,$C$22:$F$1023,2,0)))</f>
        <v xml:space="preserve"> </v>
      </c>
      <c r="U548" s="64" t="str">
        <f t="shared" ca="1" si="40"/>
        <v xml:space="preserve"> </v>
      </c>
      <c r="V548" s="150" t="str">
        <f t="shared" ca="1" si="43"/>
        <v xml:space="preserve"> </v>
      </c>
      <c r="W548" s="62" t="str">
        <f t="shared" ca="1" si="44"/>
        <v xml:space="preserve"> </v>
      </c>
      <c r="X548" s="141" t="str">
        <f ca="1">IF(S548=" "," ",IFERROR(VLOOKUP(U548,$F$23:$N$1023,7)+VLOOKUP(U548,$F$23:$N$1023,9)+IF(AND('депозитный калькулятор'!$G$13="нет",U548&lt;&gt;'депозитный калькулятор'!$D$8),VLOOKUP(U548,$F$23:$N$1023,4),0),0)+IF(U548='депозитный калькулятор'!$D$8,VLOOKUP(U548,$F$23:$N$1023,2)+VLOOKUP(U548,$F$23:$N$1023,4),0))</f>
        <v xml:space="preserve"> </v>
      </c>
      <c r="Y548" s="142" t="str">
        <f ca="1">IF(S548=" "," ",W548/(1+'депозитный калькулятор'!$K$8)^(T548/IF('депозитный калькулятор'!$G$7="30/360",360,365)))</f>
        <v xml:space="preserve"> </v>
      </c>
      <c r="Z548" s="142" t="str">
        <f ca="1">IF(S548=" "," ",X548/(1+'депозитный калькулятор'!$K$8)^(T548/IF('депозитный калькулятор'!$G$7="30/360",360,365)))</f>
        <v xml:space="preserve"> </v>
      </c>
      <c r="AA548" s="151"/>
      <c r="AB548" s="151"/>
      <c r="AC548" s="155"/>
      <c r="AD548" s="155"/>
    </row>
    <row r="549" spans="1:30" s="2" customFormat="1" ht="15.5" x14ac:dyDescent="0.35">
      <c r="A549" s="41" t="str">
        <f>IF(F549=" "," ",IF(OR('депозитный калькулятор'!$G$7="30/365",'депозитный калькулятор'!$G$7="30/360"),IF(AND(MONTH(F549)=2,DAY(F549)=DAY(EOMONTH(F549,0))),30-DAY(EOMONTH(F549,0)),IF(DAY(F549)=31,1," "))," "))</f>
        <v xml:space="preserve"> </v>
      </c>
      <c r="B549" s="130" t="str">
        <f t="shared" si="41"/>
        <v xml:space="preserve"> </v>
      </c>
      <c r="C549" s="130" t="str">
        <f>IF(OR(B549=0,B549=" ")," ",SUM($B$23:B549))</f>
        <v xml:space="preserve"> </v>
      </c>
      <c r="D549" s="62" t="str">
        <f>IF(D548=" "," ",IF(OR(F548='депозитный калькулятор'!$D$8,F548=" ")," ",D548+1))</f>
        <v xml:space="preserve"> </v>
      </c>
      <c r="E549" s="130" t="str">
        <f>IF(OR(F548='депозитный калькулятор'!$D$8,F548=" ")," ",IF(EOMONTH(F548,0)=F548,1,E548+1))</f>
        <v xml:space="preserve"> </v>
      </c>
      <c r="F549" s="64" t="str">
        <f>IF(F548=" "," ",IF(F548='депозитный калькулятор'!$D$8," ",F548+1))</f>
        <v xml:space="preserve"> </v>
      </c>
      <c r="G549" s="145" t="str">
        <f xml:space="preserve"> IF(F549&gt;'депозитный калькулятор'!$D$8," ",IF('депозитный калькулятор'!$G$13="есть",IF('депозитный калькулятор'!$G$14="есть",G548+IF(I548=" ",0,I548)-J549-K549+L549+M549-N549,G548+IF(I548=" ",0,I548)-J549-K549+M549-N549),IF('депозитный калькулятор'!$G$14="есть",G548-J549-K549+L549+M549-N549,G548-J549-K549+M549-N549)))</f>
        <v xml:space="preserve"> </v>
      </c>
      <c r="H549" s="133" t="str">
        <f>IF(F549&gt;'депозитный калькулятор'!$D$8," ",IF(AND(OR('депозитный калькулятор'!$G$7="30/365",'депозитный калькулятор'!$G$7="30/360"),AND(MONTH(F549)=2,EOMONTH(F549,0)=F549)),IF(DAY(F549)=28,3*G549*'депозитный калькулятор'!$G$8,2*G549*'депозитный калькулятор'!$G$8),IF(AND(OR('депозитный калькулятор'!$G$7="30/365",'депозитный калькулятор'!$G$7="30/360"),DAY(F549)=31)," ",IF(AND('депозитный калькулятор'!$G$7="факт/факт",MOD(YEAR(F549),4)=0),G549*'депозитный калькулятор'!$D$11/366,G549*'депозитный калькулятор'!$G$8))))</f>
        <v xml:space="preserve"> </v>
      </c>
      <c r="I549" s="134" t="str">
        <f ca="1">IF(F549=" "," ",IF('депозитный калькулятор'!$G$10="ежедневное",H549,IF(AND('депозитный калькулятор'!$G$10="еженедельное",WEEKDAY(F549,2)=7),SUM(OFFSET(H549,-6,0):H549),IF(AND('депозитный калькулятор'!$G$10="еженедельное",F549='депозитный калькулятор'!$D$8),SUM($H$23:H549)-SUM($I$23:I548),IF(AND('депозитный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недели",WEEKDAY(F549,2)=7),MIN(OFFSET(H549,-6,0):H549)*(COUNTIF(OFFSET(H549,-6,0):H549,"&gt;0")+SUMIF(OFFSET(A549,-WEEKDAY(F549,2),0):A549,"=2",OFFSET(A549,-WEEKDAY(F549,2),0):A549)),IF(AND('депозитный калькулятор'!$G$10="еженедельное, на минимальную сумму зафиксированную в течение недели",F549='депозитный калькулятор'!$D$8,WEEKDAY(F549,2)&lt;&gt;7),MIN(OFFSET(H549,-WEEKDAY(F549,2),0):H549)*(COUNTIF(OFFSET(H549,-WEEKDAY(F549,2)+1,0):H549,"&gt;0")+SUM(OFFSET(A549,-WEEKDAY(F549,2),0):A549)),IF(AND('депозитный калькулятор'!$G$10="ежемесячное (в конце месяца)",F549='депозитный калькулятор'!$D$8,EOMONTH(F549,0)&lt;&gt;F549),IF('депозитный калькулятор'!$F$1=1,$H$24,SUM($H$23:H549)-SUM($I$23:I548)),IF(AND('депозитный калькулятор'!$G$10="ежемесячное (в конце месяца)",EOMONTH(F549,0)=F549),SUM($H$23:H549)-SUM($I$23:I548),IF(AND('депозитный калькулятор'!$G$10="ежемесячное (по дням открытия вклада)",F549='депозитный калькулятор'!$D$8,DAY('депозитный калькулятор'!$D$7)&lt;&gt;DAY(F549)),IF('депозитный калькулятор'!$F$1=1,$H$24,SUM($H$23:H549)-SUM($I$23:I548)),IF(AND('депозитный калькулятор'!$G$10="ежемесячное (по дням открытия вклада)",DAY('депозитный калькулятор'!$D$7)=DAY(F549)),SUM($H$23:H549)-SUM($I$23:I548),IF(AND('депозитный калькулятор'!$G$10="ежемесячное, на минимальную сумму зафиксированную в течение месяца",F549='депозитный калькулятор'!$D$8,EOMONTH(F549,0)&lt;&gt;F549),IF('депозитный калькулятор'!$F$1=1,$H$24,IF(AND(OR('депозитный калькулятор'!$G$7="30/365",'депозитный калькулятор'!$G$7="30/360"),DAY(F549)=31),0,MIN(OFFSET(H549,-E549+1,0):H549)*(E549+SUMIF(OFFSET(A549,-E549+1,0):A549,"=2",OFFSET(A549,-E549+1,0):A549)))),IF(AND('депозитный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калькулятор'!$G$7="30/360"),DAY(EOMONTH(F549,0))=31),EOMONTH(F549,0)-1=F549,EOMONTH(F549,0)=F549)),IF(IF(AND(OR('депозитный калькулятор'!$G$7="30/365",'депозитный калькулятор'!$G$7="30/360"),DAY(EOMONTH($F$23,0))=31),F549=EOMONTH($F$23,0)-1,F549=EOMONTH($F$23,0)),MIN(OFFSET(H549,-(DAY(F549)-DAY($F$23)),0):H549)*E549,MIN(OFFSET(H549,-(DAY(F549)-1),0):H549)*IF(AND(OR('депозитный калькулятор'!$G$7="30/365",'депозитный калькулятор'!$G$7="30/360"),DAY(F549)&lt;30),30,DAY(F549))),IF(AND('депозитный калькулятор'!$G$10="ежемесячное, на средний остаток в течение месяца, при условии что остаток больше чем ограничение",F549='депозитный калькулятор'!$D$8,EOMONTH(F549,0)&lt;&gt;F549),IF('депозитный калькулятор'!$F$1=1,$H$24,SUM(OFFSET(Q549,-E549+1,0):Q549)),IF(AND('депозитный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калькулятор'!$G$7="30/360"),DAY(EOMONTH(F549,0))=31),EOMONTH(F549,0)-1=F549,EOMONTH(F549,0)=F549)),IF(IF(AND(OR('депозитный калькулятор'!$G$7="30/365",'депозитный калькулятор'!$G$7="30/360"),DAY(EOMONTH($F$24,0))=31),F549=EOMONTH($F$24,0)-1,F549=EOMONTH($F$24,0)),SUM(OFFSET(Q549,-E549+1,0):Q549),SUM(OFFSET(Q549,-E549+1,0):Q549)),IF('депозитный калькулятор'!$G$10="ежеквартальное",IF(F549&gt;'депозитный калькулятор'!$D$8," ",IF(AND(EOMONTH(F549,0)=F549,OR(MONTH(F549)=3,MONTH(F549)=6,MONTH(F549)=9,MONTH(F549)=12)),IF(EDATE(F549,-3)&lt;'депозитный калькулятор'!$D$7,SUM($H$23:H549),IF(MOD(YEAR(F549),4)=0,IF(AND(EOMONTH(F549,0)=F549,OR(MONTH(F549)=3,MONTH(F549)=6)),SUM(OFFSET(H549,-90,0):H549),IF(AND(EOMONTH(F549,0)=F549,OR(MONTH(F549)=9,MONTH(F549)=12)),SUM(OFFSET(H549,-91,0):H549))),IF(AND(EOMONTH(F549,0)=F549,MONTH(F549)=3),SUM(OFFSET(H549,-89,0):H549),IF(AND(EOMONTH(F549,0)=F549,MONTH(F549)=6),SUM(OFFSET(H549,-90,0):H549),IF(AND(EOMONTH(F549,0)=F549,OR(MONTH(F549)=9,MONTH(F549)=12)),SUM(OFFSET(H549,-91,0):H549)))))),IF(F549='депозитный калькулятор'!$D$8,SUM($H$23:H549)-SUM($I$23:I548),0))),IF('депозитный калькулятор'!$G$10="ежегодное",IF(F549&gt;'депозитный калькулятор'!$D$8," ",IF(F549='депозитный калькулятор'!$D$8,SUM($H$23:H549)-SUM($I$23:I548),IF(AND(EOMONTH(F549,0)=F549,MONTH(F549)=12),IF(MOD(YEAR(F548),4)=0,IF(F549-'депозитный калькулятор'!$D$7&lt;366,SUM($H$23:H549),SUM(OFFSET(H549,-365,0):H549)),IF(F549-'депозитный калькулятор'!$D$7&lt;365,SUM($H$23:H549),SUM(OFFSET(H549,-364,0):H549))),0))),IF(AND('депозитный калькулятор'!$G$10="в конце срока",'депозитный калькулятор'!$D$8=F549),SUM($H$23:H549),0))))))))))))))))))</f>
        <v xml:space="preserve"> </v>
      </c>
      <c r="J549" s="59" t="str">
        <f>IF(F549&gt;'депозитный калькулятор'!$D$8," ",IF('депозитный калькулятор'!$G$16="нет",0,IF(AND('депозитный калькулятор'!$G$17="разовая (в конце срока)",F549='депозитный калькулятор'!$D$8),'депозитный калькулятор'!$G$18,IF(AND('депозитный калькулятор'!$G$17="ежемесячная",EOMONTH(F548,0)=F548),'депозитный калькулятор'!$G$18,IF(AND('депозитный калькулятор'!$G$17="ежегодная",DAY(F548)=31,MONTH(F548)=12),'депозитный калькулятор'!$G$18,IF(AND('депозитный калькулятор'!$G$17="ежемесячная в зависимости от остатка",EOMONTH(F548,0)=F548,P548&gt;0),'депозитный калькулятор'!$G$18,IF(AND('депозитный калькулятор'!$G$17="ежегодная в зависимости от остатка",DAY(F548)=31,MONTH(F548)=12,P548&gt;0),'депозитный калькулятор'!$G$18,0)))))))</f>
        <v xml:space="preserve"> </v>
      </c>
      <c r="K549" s="135" t="str">
        <f>IF($F549=" "," ",IFERROR(VLOOKUP($F549,'депозитный калькулятор'!$B$26:$F$70,2,0),0))</f>
        <v xml:space="preserve"> </v>
      </c>
      <c r="L549" s="135" t="str">
        <f>IF($F549=" "," ",IFERROR(VLOOKUP($F549,'депозитный калькулятор'!$B$26:$F$70,3,0),0))</f>
        <v xml:space="preserve"> </v>
      </c>
      <c r="M549" s="135" t="str">
        <f>IF($F549=" "," ",IFERROR(VLOOKUP($F549,'депозитный калькулятор'!$B$26:$F$70,4,0),0))</f>
        <v xml:space="preserve"> </v>
      </c>
      <c r="N549" s="135" t="str">
        <f>IF($F549=" "," ",IFERROR(VLOOKUP($F549,'депозитный калькулятор'!$B$26:$F$70,5,0),0))</f>
        <v xml:space="preserve"> </v>
      </c>
      <c r="O549" s="146" t="str">
        <f>IF(F549&gt;'депозитный калькулятор'!$D$8," ",IF(F549='депозитный калькулятор'!$D$8,IF(AND($F$24='депозитный калькулятор'!$D$8,'депозитный калькулятор'!$G$13="нет"),-G549-IF(I549=" ",0,I549)-IF(AND(OR('депозитный калькулятор'!$G$7="30/365",'депозитный калькулятор'!$G$7="30/360"),'депозитный калькулятор'!$G$10="в начале срока"),I548,0)-L549+M549-N549,-G549-IF(I549=" ",0,I549)-L549+M549-N549),IF('депозитный калькулятор'!$G$13="есть",M549-N549+IF('депозитный калькулятор'!$G$14="есть",0,-L549),-IF(I549=" ",0,I549)-IF(AND(OR('депозитный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срока"),I548,0)+M549-N549+IF('депозитный калькулятор'!$G$14="есть",0,-L549))))</f>
        <v xml:space="preserve"> </v>
      </c>
      <c r="P549" s="147" t="str">
        <f>IF(F549&gt;'депозитный калькулятор'!$D$8," ",IF(EOMONTH(F548,0)=F548,0,IF(G549&gt;='депозитный калькулятор'!$G$19,P548,P548+1)))</f>
        <v xml:space="preserve"> </v>
      </c>
      <c r="Q549" s="138" t="str">
        <f>IF(F549=" "," ",IF(AND(OR('депозитный калькулятор'!$G$7="30/365",'депозитный калькулятор'!$G$7="30/360"),AND(MONTH(F549)=2,EOMONTH(F549,0)=F549)),IF(DAY(F549)=28,3,2),1)*IF(G549&gt;='депозитный калькулятор'!$G$11,IF(AND('депозитный калькулятор'!$G$7="факт/факт",MOD(YEAR(F549),4)=0),G549*'депозитный калькулятор'!$D$11/366,G549*'депозитный калькулятор'!$G$8),0))</f>
        <v xml:space="preserve"> </v>
      </c>
      <c r="R549" s="158"/>
      <c r="S549" s="62" t="str">
        <f t="shared" ca="1" si="42"/>
        <v xml:space="preserve"> </v>
      </c>
      <c r="T549" s="149" t="str">
        <f ca="1">IF(S549=" "," ",IF('депозитный калькулятор'!$G$7="30/360",DAYS360(U548,IF(DAY(U549)=31,U549-1,U549))+IF(AND(MONTH(U549)=2,U549=EOMONTH(U549,0)),30-DAY(EOMONTH(U549,0)))+T548,VLOOKUP(S549,$C$22:$F$1023,2,0)))</f>
        <v xml:space="preserve"> </v>
      </c>
      <c r="U549" s="64" t="str">
        <f t="shared" ca="1" si="40"/>
        <v xml:space="preserve"> </v>
      </c>
      <c r="V549" s="150" t="str">
        <f t="shared" ca="1" si="43"/>
        <v xml:space="preserve"> </v>
      </c>
      <c r="W549" s="62" t="str">
        <f t="shared" ca="1" si="44"/>
        <v xml:space="preserve"> </v>
      </c>
      <c r="X549" s="141" t="str">
        <f ca="1">IF(S549=" "," ",IFERROR(VLOOKUP(U549,$F$23:$N$1023,7)+VLOOKUP(U549,$F$23:$N$1023,9)+IF(AND('депозитный калькулятор'!$G$13="нет",U549&lt;&gt;'депозитный калькулятор'!$D$8),VLOOKUP(U549,$F$23:$N$1023,4),0),0)+IF(U549='депозитный калькулятор'!$D$8,VLOOKUP(U549,$F$23:$N$1023,2)+VLOOKUP(U549,$F$23:$N$1023,4),0))</f>
        <v xml:space="preserve"> </v>
      </c>
      <c r="Y549" s="142" t="str">
        <f ca="1">IF(S549=" "," ",W549/(1+'депозитный калькулятор'!$K$8)^(T549/IF('депозитный калькулятор'!$G$7="30/360",360,365)))</f>
        <v xml:space="preserve"> </v>
      </c>
      <c r="Z549" s="142" t="str">
        <f ca="1">IF(S549=" "," ",X549/(1+'депозитный калькулятор'!$K$8)^(T549/IF('депозитный калькулятор'!$G$7="30/360",360,365)))</f>
        <v xml:space="preserve"> </v>
      </c>
      <c r="AA549" s="151"/>
      <c r="AB549" s="151"/>
      <c r="AC549" s="155"/>
      <c r="AD549" s="155"/>
    </row>
    <row r="550" spans="1:30" s="2" customFormat="1" ht="15.5" x14ac:dyDescent="0.35">
      <c r="A550" s="41" t="str">
        <f>IF(F550=" "," ",IF(OR('депозитный калькулятор'!$G$7="30/365",'депозитный калькулятор'!$G$7="30/360"),IF(AND(MONTH(F550)=2,DAY(F550)=DAY(EOMONTH(F550,0))),30-DAY(EOMONTH(F550,0)),IF(DAY(F550)=31,1," "))," "))</f>
        <v xml:space="preserve"> </v>
      </c>
      <c r="B550" s="130" t="str">
        <f t="shared" si="41"/>
        <v xml:space="preserve"> </v>
      </c>
      <c r="C550" s="130" t="str">
        <f>IF(OR(B550=0,B550=" ")," ",SUM($B$23:B550))</f>
        <v xml:space="preserve"> </v>
      </c>
      <c r="D550" s="62" t="str">
        <f>IF(D549=" "," ",IF(OR(F549='депозитный калькулятор'!$D$8,F549=" ")," ",D549+1))</f>
        <v xml:space="preserve"> </v>
      </c>
      <c r="E550" s="130" t="str">
        <f>IF(OR(F549='депозитный калькулятор'!$D$8,F549=" ")," ",IF(EOMONTH(F549,0)=F549,1,E549+1))</f>
        <v xml:space="preserve"> </v>
      </c>
      <c r="F550" s="64" t="str">
        <f>IF(F549=" "," ",IF(F549='депозитный калькулятор'!$D$8," ",F549+1))</f>
        <v xml:space="preserve"> </v>
      </c>
      <c r="G550" s="145" t="str">
        <f xml:space="preserve"> IF(F550&gt;'депозитный калькулятор'!$D$8," ",IF('депозитный калькулятор'!$G$13="есть",IF('депозитный калькулятор'!$G$14="есть",G549+IF(I549=" ",0,I549)-J550-K550+L550+M550-N550,G549+IF(I549=" ",0,I549)-J550-K550+M550-N550),IF('депозитный калькулятор'!$G$14="есть",G549-J550-K550+L550+M550-N550,G549-J550-K550+M550-N550)))</f>
        <v xml:space="preserve"> </v>
      </c>
      <c r="H550" s="133" t="str">
        <f>IF(F550&gt;'депозитный калькулятор'!$D$8," ",IF(AND(OR('депозитный калькулятор'!$G$7="30/365",'депозитный калькулятор'!$G$7="30/360"),AND(MONTH(F550)=2,EOMONTH(F550,0)=F550)),IF(DAY(F550)=28,3*G550*'депозитный калькулятор'!$G$8,2*G550*'депозитный калькулятор'!$G$8),IF(AND(OR('депозитный калькулятор'!$G$7="30/365",'депозитный калькулятор'!$G$7="30/360"),DAY(F550)=31)," ",IF(AND('депозитный калькулятор'!$G$7="факт/факт",MOD(YEAR(F550),4)=0),G550*'депозитный калькулятор'!$D$11/366,G550*'депозитный калькулятор'!$G$8))))</f>
        <v xml:space="preserve"> </v>
      </c>
      <c r="I550" s="134" t="str">
        <f ca="1">IF(F550=" "," ",IF('депозитный калькулятор'!$G$10="ежедневное",H550,IF(AND('депозитный калькулятор'!$G$10="еженедельное",WEEKDAY(F550,2)=7),SUM(OFFSET(H550,-6,0):H550),IF(AND('депозитный калькулятор'!$G$10="еженедельное",F550='депозитный калькулятор'!$D$8),SUM($H$23:H550)-SUM($I$23:I549),IF(AND('депозитный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недели",WEEKDAY(F550,2)=7),MIN(OFFSET(H550,-6,0):H550)*(COUNTIF(OFFSET(H550,-6,0):H550,"&gt;0")+SUMIF(OFFSET(A550,-WEEKDAY(F550,2),0):A550,"=2",OFFSET(A550,-WEEKDAY(F550,2),0):A550)),IF(AND('депозитный калькулятор'!$G$10="еженедельное, на минимальную сумму зафиксированную в течение недели",F550='депозитный калькулятор'!$D$8,WEEKDAY(F550,2)&lt;&gt;7),MIN(OFFSET(H550,-WEEKDAY(F550,2),0):H550)*(COUNTIF(OFFSET(H550,-WEEKDAY(F550,2)+1,0):H550,"&gt;0")+SUM(OFFSET(A550,-WEEKDAY(F550,2),0):A550)),IF(AND('депозитный калькулятор'!$G$10="ежемесячное (в конце месяца)",F550='депозитный калькулятор'!$D$8,EOMONTH(F550,0)&lt;&gt;F550),IF('депозитный калькулятор'!$F$1=1,$H$24,SUM($H$23:H550)-SUM($I$23:I549)),IF(AND('депозитный калькулятор'!$G$10="ежемесячное (в конце месяца)",EOMONTH(F550,0)=F550),SUM($H$23:H550)-SUM($I$23:I549),IF(AND('депозитный калькулятор'!$G$10="ежемесячное (по дням открытия вклада)",F550='депозитный калькулятор'!$D$8,DAY('депозитный калькулятор'!$D$7)&lt;&gt;DAY(F550)),IF('депозитный калькулятор'!$F$1=1,$H$24,SUM($H$23:H550)-SUM($I$23:I549)),IF(AND('депозитный калькулятор'!$G$10="ежемесячное (по дням открытия вклада)",DAY('депозитный калькулятор'!$D$7)=DAY(F550)),SUM($H$23:H550)-SUM($I$23:I549),IF(AND('депозитный калькулятор'!$G$10="ежемесячное, на минимальную сумму зафиксированную в течение месяца",F550='депозитный калькулятор'!$D$8,EOMONTH(F550,0)&lt;&gt;F550),IF('депозитный калькулятор'!$F$1=1,$H$24,IF(AND(OR('депозитный калькулятор'!$G$7="30/365",'депозитный калькулятор'!$G$7="30/360"),DAY(F550)=31),0,MIN(OFFSET(H550,-E550+1,0):H550)*(E550+SUMIF(OFFSET(A550,-E550+1,0):A550,"=2",OFFSET(A550,-E550+1,0):A550)))),IF(AND('депозитный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калькулятор'!$G$7="30/360"),DAY(EOMONTH(F550,0))=31),EOMONTH(F550,0)-1=F550,EOMONTH(F550,0)=F550)),IF(IF(AND(OR('депозитный калькулятор'!$G$7="30/365",'депозитный калькулятор'!$G$7="30/360"),DAY(EOMONTH($F$23,0))=31),F550=EOMONTH($F$23,0)-1,F550=EOMONTH($F$23,0)),MIN(OFFSET(H550,-(DAY(F550)-DAY($F$23)),0):H550)*E550,MIN(OFFSET(H550,-(DAY(F550)-1),0):H550)*IF(AND(OR('депозитный калькулятор'!$G$7="30/365",'депозитный калькулятор'!$G$7="30/360"),DAY(F550)&lt;30),30,DAY(F550))),IF(AND('депозитный калькулятор'!$G$10="ежемесячное, на средний остаток в течение месяца, при условии что остаток больше чем ограничение",F550='депозитный калькулятор'!$D$8,EOMONTH(F550,0)&lt;&gt;F550),IF('депозитный калькулятор'!$F$1=1,$H$24,SUM(OFFSET(Q550,-E550+1,0):Q550)),IF(AND('депозитный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калькулятор'!$G$7="30/360"),DAY(EOMONTH(F550,0))=31),EOMONTH(F550,0)-1=F550,EOMONTH(F550,0)=F550)),IF(IF(AND(OR('депозитный калькулятор'!$G$7="30/365",'депозитный калькулятор'!$G$7="30/360"),DAY(EOMONTH($F$24,0))=31),F550=EOMONTH($F$24,0)-1,F550=EOMONTH($F$24,0)),SUM(OFFSET(Q550,-E550+1,0):Q550),SUM(OFFSET(Q550,-E550+1,0):Q550)),IF('депозитный калькулятор'!$G$10="ежеквартальное",IF(F550&gt;'депозитный калькулятор'!$D$8," ",IF(AND(EOMONTH(F550,0)=F550,OR(MONTH(F550)=3,MONTH(F550)=6,MONTH(F550)=9,MONTH(F550)=12)),IF(EDATE(F550,-3)&lt;'депозитный калькулятор'!$D$7,SUM($H$23:H550),IF(MOD(YEAR(F550),4)=0,IF(AND(EOMONTH(F550,0)=F550,OR(MONTH(F550)=3,MONTH(F550)=6)),SUM(OFFSET(H550,-90,0):H550),IF(AND(EOMONTH(F550,0)=F550,OR(MONTH(F550)=9,MONTH(F550)=12)),SUM(OFFSET(H550,-91,0):H550))),IF(AND(EOMONTH(F550,0)=F550,MONTH(F550)=3),SUM(OFFSET(H550,-89,0):H550),IF(AND(EOMONTH(F550,0)=F550,MONTH(F550)=6),SUM(OFFSET(H550,-90,0):H550),IF(AND(EOMONTH(F550,0)=F550,OR(MONTH(F550)=9,MONTH(F550)=12)),SUM(OFFSET(H550,-91,0):H550)))))),IF(F550='депозитный калькулятор'!$D$8,SUM($H$23:H550)-SUM($I$23:I549),0))),IF('депозитный калькулятор'!$G$10="ежегодное",IF(F550&gt;'депозитный калькулятор'!$D$8," ",IF(F550='депозитный калькулятор'!$D$8,SUM($H$23:H550)-SUM($I$23:I549),IF(AND(EOMONTH(F550,0)=F550,MONTH(F550)=12),IF(MOD(YEAR(F549),4)=0,IF(F550-'депозитный калькулятор'!$D$7&lt;366,SUM($H$23:H550),SUM(OFFSET(H550,-365,0):H550)),IF(F550-'депозитный калькулятор'!$D$7&lt;365,SUM($H$23:H550),SUM(OFFSET(H550,-364,0):H550))),0))),IF(AND('депозитный калькулятор'!$G$10="в конце срока",'депозитный калькулятор'!$D$8=F550),SUM($H$23:H550),0))))))))))))))))))</f>
        <v xml:space="preserve"> </v>
      </c>
      <c r="J550" s="59" t="str">
        <f>IF(F550&gt;'депозитный калькулятор'!$D$8," ",IF('депозитный калькулятор'!$G$16="нет",0,IF(AND('депозитный калькулятор'!$G$17="разовая (в конце срока)",F550='депозитный калькулятор'!$D$8),'депозитный калькулятор'!$G$18,IF(AND('депозитный калькулятор'!$G$17="ежемесячная",EOMONTH(F549,0)=F549),'депозитный калькулятор'!$G$18,IF(AND('депозитный калькулятор'!$G$17="ежегодная",DAY(F549)=31,MONTH(F549)=12),'депозитный калькулятор'!$G$18,IF(AND('депозитный калькулятор'!$G$17="ежемесячная в зависимости от остатка",EOMONTH(F549,0)=F549,P549&gt;0),'депозитный калькулятор'!$G$18,IF(AND('депозитный калькулятор'!$G$17="ежегодная в зависимости от остатка",DAY(F549)=31,MONTH(F549)=12,P549&gt;0),'депозитный калькулятор'!$G$18,0)))))))</f>
        <v xml:space="preserve"> </v>
      </c>
      <c r="K550" s="135" t="str">
        <f>IF($F550=" "," ",IFERROR(VLOOKUP($F550,'депозитный калькулятор'!$B$26:$F$70,2,0),0))</f>
        <v xml:space="preserve"> </v>
      </c>
      <c r="L550" s="135" t="str">
        <f>IF($F550=" "," ",IFERROR(VLOOKUP($F550,'депозитный калькулятор'!$B$26:$F$70,3,0),0))</f>
        <v xml:space="preserve"> </v>
      </c>
      <c r="M550" s="135" t="str">
        <f>IF($F550=" "," ",IFERROR(VLOOKUP($F550,'депозитный калькулятор'!$B$26:$F$70,4,0),0))</f>
        <v xml:space="preserve"> </v>
      </c>
      <c r="N550" s="135" t="str">
        <f>IF($F550=" "," ",IFERROR(VLOOKUP($F550,'депозитный калькулятор'!$B$26:$F$70,5,0),0))</f>
        <v xml:space="preserve"> </v>
      </c>
      <c r="O550" s="146" t="str">
        <f>IF(F550&gt;'депозитный калькулятор'!$D$8," ",IF(F550='депозитный калькулятор'!$D$8,IF(AND($F$24='депозитный калькулятор'!$D$8,'депозитный калькулятор'!$G$13="нет"),-G550-IF(I550=" ",0,I550)-IF(AND(OR('депозитный калькулятор'!$G$7="30/365",'депозитный калькулятор'!$G$7="30/360"),'депозитный калькулятор'!$G$10="в начале срока"),I549,0)-L550+M550-N550,-G550-IF(I550=" ",0,I550)-L550+M550-N550),IF('депозитный калькулятор'!$G$13="есть",M550-N550+IF('депозитный калькулятор'!$G$14="есть",0,-L550),-IF(I550=" ",0,I550)-IF(AND(OR('депозитный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срока"),I549,0)+M550-N550+IF('депозитный калькулятор'!$G$14="есть",0,-L550))))</f>
        <v xml:space="preserve"> </v>
      </c>
      <c r="P550" s="147" t="str">
        <f>IF(F550&gt;'депозитный калькулятор'!$D$8," ",IF(EOMONTH(F549,0)=F549,0,IF(G550&gt;='депозитный калькулятор'!$G$19,P549,P549+1)))</f>
        <v xml:space="preserve"> </v>
      </c>
      <c r="Q550" s="138" t="str">
        <f>IF(F550=" "," ",IF(AND(OR('депозитный калькулятор'!$G$7="30/365",'депозитный калькулятор'!$G$7="30/360"),AND(MONTH(F550)=2,EOMONTH(F550,0)=F550)),IF(DAY(F550)=28,3,2),1)*IF(G550&gt;='депозитный калькулятор'!$G$11,IF(AND('депозитный калькулятор'!$G$7="факт/факт",MOD(YEAR(F550),4)=0),G550*'депозитный калькулятор'!$D$11/366,G550*'депозитный калькулятор'!$G$8),0))</f>
        <v xml:space="preserve"> </v>
      </c>
      <c r="R550" s="158"/>
      <c r="S550" s="62" t="str">
        <f t="shared" ca="1" si="42"/>
        <v xml:space="preserve"> </v>
      </c>
      <c r="T550" s="149" t="str">
        <f ca="1">IF(S550=" "," ",IF('депозитный калькулятор'!$G$7="30/360",DAYS360(U549,IF(DAY(U550)=31,U550-1,U550))+IF(AND(MONTH(U550)=2,U550=EOMONTH(U550,0)),30-DAY(EOMONTH(U550,0)))+T549,VLOOKUP(S550,$C$22:$F$1023,2,0)))</f>
        <v xml:space="preserve"> </v>
      </c>
      <c r="U550" s="64" t="str">
        <f t="shared" ca="1" si="40"/>
        <v xml:space="preserve"> </v>
      </c>
      <c r="V550" s="150" t="str">
        <f t="shared" ca="1" si="43"/>
        <v xml:space="preserve"> </v>
      </c>
      <c r="W550" s="62" t="str">
        <f t="shared" ca="1" si="44"/>
        <v xml:space="preserve"> </v>
      </c>
      <c r="X550" s="141" t="str">
        <f ca="1">IF(S550=" "," ",IFERROR(VLOOKUP(U550,$F$23:$N$1023,7)+VLOOKUP(U550,$F$23:$N$1023,9)+IF(AND('депозитный калькулятор'!$G$13="нет",U550&lt;&gt;'депозитный калькулятор'!$D$8),VLOOKUP(U550,$F$23:$N$1023,4),0),0)+IF(U550='депозитный калькулятор'!$D$8,VLOOKUP(U550,$F$23:$N$1023,2)+VLOOKUP(U550,$F$23:$N$1023,4),0))</f>
        <v xml:space="preserve"> </v>
      </c>
      <c r="Y550" s="142" t="str">
        <f ca="1">IF(S550=" "," ",W550/(1+'депозитный калькулятор'!$K$8)^(T550/IF('депозитный калькулятор'!$G$7="30/360",360,365)))</f>
        <v xml:space="preserve"> </v>
      </c>
      <c r="Z550" s="142" t="str">
        <f ca="1">IF(S550=" "," ",X550/(1+'депозитный калькулятор'!$K$8)^(T550/IF('депозитный калькулятор'!$G$7="30/360",360,365)))</f>
        <v xml:space="preserve"> </v>
      </c>
      <c r="AA550" s="151"/>
      <c r="AB550" s="151"/>
      <c r="AC550" s="155"/>
      <c r="AD550" s="155"/>
    </row>
    <row r="551" spans="1:30" s="2" customFormat="1" ht="15.5" x14ac:dyDescent="0.35">
      <c r="A551" s="41" t="str">
        <f>IF(F551=" "," ",IF(OR('депозитный калькулятор'!$G$7="30/365",'депозитный калькулятор'!$G$7="30/360"),IF(AND(MONTH(F551)=2,DAY(F551)=DAY(EOMONTH(F551,0))),30-DAY(EOMONTH(F551,0)),IF(DAY(F551)=31,1," "))," "))</f>
        <v xml:space="preserve"> </v>
      </c>
      <c r="B551" s="130" t="str">
        <f t="shared" si="41"/>
        <v xml:space="preserve"> </v>
      </c>
      <c r="C551" s="130" t="str">
        <f>IF(OR(B551=0,B551=" ")," ",SUM($B$23:B551))</f>
        <v xml:space="preserve"> </v>
      </c>
      <c r="D551" s="62" t="str">
        <f>IF(D550=" "," ",IF(OR(F550='депозитный калькулятор'!$D$8,F550=" ")," ",D550+1))</f>
        <v xml:space="preserve"> </v>
      </c>
      <c r="E551" s="130" t="str">
        <f>IF(OR(F550='депозитный калькулятор'!$D$8,F550=" ")," ",IF(EOMONTH(F550,0)=F550,1,E550+1))</f>
        <v xml:space="preserve"> </v>
      </c>
      <c r="F551" s="64" t="str">
        <f>IF(F550=" "," ",IF(F550='депозитный калькулятор'!$D$8," ",F550+1))</f>
        <v xml:space="preserve"> </v>
      </c>
      <c r="G551" s="145" t="str">
        <f xml:space="preserve"> IF(F551&gt;'депозитный калькулятор'!$D$8," ",IF('депозитный калькулятор'!$G$13="есть",IF('депозитный калькулятор'!$G$14="есть",G550+IF(I550=" ",0,I550)-J551-K551+L551+M551-N551,G550+IF(I550=" ",0,I550)-J551-K551+M551-N551),IF('депозитный калькулятор'!$G$14="есть",G550-J551-K551+L551+M551-N551,G550-J551-K551+M551-N551)))</f>
        <v xml:space="preserve"> </v>
      </c>
      <c r="H551" s="133" t="str">
        <f>IF(F551&gt;'депозитный калькулятор'!$D$8," ",IF(AND(OR('депозитный калькулятор'!$G$7="30/365",'депозитный калькулятор'!$G$7="30/360"),AND(MONTH(F551)=2,EOMONTH(F551,0)=F551)),IF(DAY(F551)=28,3*G551*'депозитный калькулятор'!$G$8,2*G551*'депозитный калькулятор'!$G$8),IF(AND(OR('депозитный калькулятор'!$G$7="30/365",'депозитный калькулятор'!$G$7="30/360"),DAY(F551)=31)," ",IF(AND('депозитный калькулятор'!$G$7="факт/факт",MOD(YEAR(F551),4)=0),G551*'депозитный калькулятор'!$D$11/366,G551*'депозитный калькулятор'!$G$8))))</f>
        <v xml:space="preserve"> </v>
      </c>
      <c r="I551" s="134" t="str">
        <f ca="1">IF(F551=" "," ",IF('депозитный калькулятор'!$G$10="ежедневное",H551,IF(AND('депозитный калькулятор'!$G$10="еженедельное",WEEKDAY(F551,2)=7),SUM(OFFSET(H551,-6,0):H551),IF(AND('депозитный калькулятор'!$G$10="еженедельное",F551='депозитный калькулятор'!$D$8),SUM($H$23:H551)-SUM($I$23:I550),IF(AND('депозитный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недели",WEEKDAY(F551,2)=7),MIN(OFFSET(H551,-6,0):H551)*(COUNTIF(OFFSET(H551,-6,0):H551,"&gt;0")+SUMIF(OFFSET(A551,-WEEKDAY(F551,2),0):A551,"=2",OFFSET(A551,-WEEKDAY(F551,2),0):A551)),IF(AND('депозитный калькулятор'!$G$10="еженедельное, на минимальную сумму зафиксированную в течение недели",F551='депозитный калькулятор'!$D$8,WEEKDAY(F551,2)&lt;&gt;7),MIN(OFFSET(H551,-WEEKDAY(F551,2),0):H551)*(COUNTIF(OFFSET(H551,-WEEKDAY(F551,2)+1,0):H551,"&gt;0")+SUM(OFFSET(A551,-WEEKDAY(F551,2),0):A551)),IF(AND('депозитный калькулятор'!$G$10="ежемесячное (в конце месяца)",F551='депозитный калькулятор'!$D$8,EOMONTH(F551,0)&lt;&gt;F551),IF('депозитный калькулятор'!$F$1=1,$H$24,SUM($H$23:H551)-SUM($I$23:I550)),IF(AND('депозитный калькулятор'!$G$10="ежемесячное (в конце месяца)",EOMONTH(F551,0)=F551),SUM($H$23:H551)-SUM($I$23:I550),IF(AND('депозитный калькулятор'!$G$10="ежемесячное (по дням открытия вклада)",F551='депозитный калькулятор'!$D$8,DAY('депозитный калькулятор'!$D$7)&lt;&gt;DAY(F551)),IF('депозитный калькулятор'!$F$1=1,$H$24,SUM($H$23:H551)-SUM($I$23:I550)),IF(AND('депозитный калькулятор'!$G$10="ежемесячное (по дням открытия вклада)",DAY('депозитный калькулятор'!$D$7)=DAY(F551)),SUM($H$23:H551)-SUM($I$23:I550),IF(AND('депозитный калькулятор'!$G$10="ежемесячное, на минимальную сумму зафиксированную в течение месяца",F551='депозитный калькулятор'!$D$8,EOMONTH(F551,0)&lt;&gt;F551),IF('депозитный калькулятор'!$F$1=1,$H$24,IF(AND(OR('депозитный калькулятор'!$G$7="30/365",'депозитный калькулятор'!$G$7="30/360"),DAY(F551)=31),0,MIN(OFFSET(H551,-E551+1,0):H551)*(E551+SUMIF(OFFSET(A551,-E551+1,0):A551,"=2",OFFSET(A551,-E551+1,0):A551)))),IF(AND('депозитный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калькулятор'!$G$7="30/360"),DAY(EOMONTH(F551,0))=31),EOMONTH(F551,0)-1=F551,EOMONTH(F551,0)=F551)),IF(IF(AND(OR('депозитный калькулятор'!$G$7="30/365",'депозитный калькулятор'!$G$7="30/360"),DAY(EOMONTH($F$23,0))=31),F551=EOMONTH($F$23,0)-1,F551=EOMONTH($F$23,0)),MIN(OFFSET(H551,-(DAY(F551)-DAY($F$23)),0):H551)*E551,MIN(OFFSET(H551,-(DAY(F551)-1),0):H551)*IF(AND(OR('депозитный калькулятор'!$G$7="30/365",'депозитный калькулятор'!$G$7="30/360"),DAY(F551)&lt;30),30,DAY(F551))),IF(AND('депозитный калькулятор'!$G$10="ежемесячное, на средний остаток в течение месяца, при условии что остаток больше чем ограничение",F551='депозитный калькулятор'!$D$8,EOMONTH(F551,0)&lt;&gt;F551),IF('депозитный калькулятор'!$F$1=1,$H$24,SUM(OFFSET(Q551,-E551+1,0):Q551)),IF(AND('депозитный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калькулятор'!$G$7="30/360"),DAY(EOMONTH(F551,0))=31),EOMONTH(F551,0)-1=F551,EOMONTH(F551,0)=F551)),IF(IF(AND(OR('депозитный калькулятор'!$G$7="30/365",'депозитный калькулятор'!$G$7="30/360"),DAY(EOMONTH($F$24,0))=31),F551=EOMONTH($F$24,0)-1,F551=EOMONTH($F$24,0)),SUM(OFFSET(Q551,-E551+1,0):Q551),SUM(OFFSET(Q551,-E551+1,0):Q551)),IF('депозитный калькулятор'!$G$10="ежеквартальное",IF(F551&gt;'депозитный калькулятор'!$D$8," ",IF(AND(EOMONTH(F551,0)=F551,OR(MONTH(F551)=3,MONTH(F551)=6,MONTH(F551)=9,MONTH(F551)=12)),IF(EDATE(F551,-3)&lt;'депозитный калькулятор'!$D$7,SUM($H$23:H551),IF(MOD(YEAR(F551),4)=0,IF(AND(EOMONTH(F551,0)=F551,OR(MONTH(F551)=3,MONTH(F551)=6)),SUM(OFFSET(H551,-90,0):H551),IF(AND(EOMONTH(F551,0)=F551,OR(MONTH(F551)=9,MONTH(F551)=12)),SUM(OFFSET(H551,-91,0):H551))),IF(AND(EOMONTH(F551,0)=F551,MONTH(F551)=3),SUM(OFFSET(H551,-89,0):H551),IF(AND(EOMONTH(F551,0)=F551,MONTH(F551)=6),SUM(OFFSET(H551,-90,0):H551),IF(AND(EOMONTH(F551,0)=F551,OR(MONTH(F551)=9,MONTH(F551)=12)),SUM(OFFSET(H551,-91,0):H551)))))),IF(F551='депозитный калькулятор'!$D$8,SUM($H$23:H551)-SUM($I$23:I550),0))),IF('депозитный калькулятор'!$G$10="ежегодное",IF(F551&gt;'депозитный калькулятор'!$D$8," ",IF(F551='депозитный калькулятор'!$D$8,SUM($H$23:H551)-SUM($I$23:I550),IF(AND(EOMONTH(F551,0)=F551,MONTH(F551)=12),IF(MOD(YEAR(F550),4)=0,IF(F551-'депозитный калькулятор'!$D$7&lt;366,SUM($H$23:H551),SUM(OFFSET(H551,-365,0):H551)),IF(F551-'депозитный калькулятор'!$D$7&lt;365,SUM($H$23:H551),SUM(OFFSET(H551,-364,0):H551))),0))),IF(AND('депозитный калькулятор'!$G$10="в конце срока",'депозитный калькулятор'!$D$8=F551),SUM($H$23:H551),0))))))))))))))))))</f>
        <v xml:space="preserve"> </v>
      </c>
      <c r="J551" s="59" t="str">
        <f>IF(F551&gt;'депозитный калькулятор'!$D$8," ",IF('депозитный калькулятор'!$G$16="нет",0,IF(AND('депозитный калькулятор'!$G$17="разовая (в конце срока)",F551='депозитный калькулятор'!$D$8),'депозитный калькулятор'!$G$18,IF(AND('депозитный калькулятор'!$G$17="ежемесячная",EOMONTH(F550,0)=F550),'депозитный калькулятор'!$G$18,IF(AND('депозитный калькулятор'!$G$17="ежегодная",DAY(F550)=31,MONTH(F550)=12),'депозитный калькулятор'!$G$18,IF(AND('депозитный калькулятор'!$G$17="ежемесячная в зависимости от остатка",EOMONTH(F550,0)=F550,P550&gt;0),'депозитный калькулятор'!$G$18,IF(AND('депозитный калькулятор'!$G$17="ежегодная в зависимости от остатка",DAY(F550)=31,MONTH(F550)=12,P550&gt;0),'депозитный калькулятор'!$G$18,0)))))))</f>
        <v xml:space="preserve"> </v>
      </c>
      <c r="K551" s="135" t="str">
        <f>IF($F551=" "," ",IFERROR(VLOOKUP($F551,'депозитный калькулятор'!$B$26:$F$70,2,0),0))</f>
        <v xml:space="preserve"> </v>
      </c>
      <c r="L551" s="135" t="str">
        <f>IF($F551=" "," ",IFERROR(VLOOKUP($F551,'депозитный калькулятор'!$B$26:$F$70,3,0),0))</f>
        <v xml:space="preserve"> </v>
      </c>
      <c r="M551" s="135" t="str">
        <f>IF($F551=" "," ",IFERROR(VLOOKUP($F551,'депозитный калькулятор'!$B$26:$F$70,4,0),0))</f>
        <v xml:space="preserve"> </v>
      </c>
      <c r="N551" s="135" t="str">
        <f>IF($F551=" "," ",IFERROR(VLOOKUP($F551,'депозитный калькулятор'!$B$26:$F$70,5,0),0))</f>
        <v xml:space="preserve"> </v>
      </c>
      <c r="O551" s="146" t="str">
        <f>IF(F551&gt;'депозитный калькулятор'!$D$8," ",IF(F551='депозитный калькулятор'!$D$8,IF(AND($F$24='депозитный калькулятор'!$D$8,'депозитный калькулятор'!$G$13="нет"),-G551-IF(I551=" ",0,I551)-IF(AND(OR('депозитный калькулятор'!$G$7="30/365",'депозитный калькулятор'!$G$7="30/360"),'депозитный калькулятор'!$G$10="в начале срока"),I550,0)-L551+M551-N551,-G551-IF(I551=" ",0,I551)-L551+M551-N551),IF('депозитный калькулятор'!$G$13="есть",M551-N551+IF('депозитный калькулятор'!$G$14="есть",0,-L551),-IF(I551=" ",0,I551)-IF(AND(OR('депозитный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срока"),I550,0)+M551-N551+IF('депозитный калькулятор'!$G$14="есть",0,-L551))))</f>
        <v xml:space="preserve"> </v>
      </c>
      <c r="P551" s="147" t="str">
        <f>IF(F551&gt;'депозитный калькулятор'!$D$8," ",IF(EOMONTH(F550,0)=F550,0,IF(G551&gt;='депозитный калькулятор'!$G$19,P550,P550+1)))</f>
        <v xml:space="preserve"> </v>
      </c>
      <c r="Q551" s="138" t="str">
        <f>IF(F551=" "," ",IF(AND(OR('депозитный калькулятор'!$G$7="30/365",'депозитный калькулятор'!$G$7="30/360"),AND(MONTH(F551)=2,EOMONTH(F551,0)=F551)),IF(DAY(F551)=28,3,2),1)*IF(G551&gt;='депозитный калькулятор'!$G$11,IF(AND('депозитный калькулятор'!$G$7="факт/факт",MOD(YEAR(F551),4)=0),G551*'депозитный калькулятор'!$D$11/366,G551*'депозитный калькулятор'!$G$8),0))</f>
        <v xml:space="preserve"> </v>
      </c>
      <c r="R551" s="158"/>
      <c r="S551" s="62" t="str">
        <f t="shared" ca="1" si="42"/>
        <v xml:space="preserve"> </v>
      </c>
      <c r="T551" s="149" t="str">
        <f ca="1">IF(S551=" "," ",IF('депозитный калькулятор'!$G$7="30/360",DAYS360(U550,IF(DAY(U551)=31,U551-1,U551))+IF(AND(MONTH(U551)=2,U551=EOMONTH(U551,0)),30-DAY(EOMONTH(U551,0)))+T550,VLOOKUP(S551,$C$22:$F$1023,2,0)))</f>
        <v xml:space="preserve"> </v>
      </c>
      <c r="U551" s="64" t="str">
        <f t="shared" ca="1" si="40"/>
        <v xml:space="preserve"> </v>
      </c>
      <c r="V551" s="150" t="str">
        <f t="shared" ca="1" si="43"/>
        <v xml:space="preserve"> </v>
      </c>
      <c r="W551" s="62" t="str">
        <f t="shared" ca="1" si="44"/>
        <v xml:space="preserve"> </v>
      </c>
      <c r="X551" s="141" t="str">
        <f ca="1">IF(S551=" "," ",IFERROR(VLOOKUP(U551,$F$23:$N$1023,7)+VLOOKUP(U551,$F$23:$N$1023,9)+IF(AND('депозитный калькулятор'!$G$13="нет",U551&lt;&gt;'депозитный калькулятор'!$D$8),VLOOKUP(U551,$F$23:$N$1023,4),0),0)+IF(U551='депозитный калькулятор'!$D$8,VLOOKUP(U551,$F$23:$N$1023,2)+VLOOKUP(U551,$F$23:$N$1023,4),0))</f>
        <v xml:space="preserve"> </v>
      </c>
      <c r="Y551" s="142" t="str">
        <f ca="1">IF(S551=" "," ",W551/(1+'депозитный калькулятор'!$K$8)^(T551/IF('депозитный калькулятор'!$G$7="30/360",360,365)))</f>
        <v xml:space="preserve"> </v>
      </c>
      <c r="Z551" s="142" t="str">
        <f ca="1">IF(S551=" "," ",X551/(1+'депозитный калькулятор'!$K$8)^(T551/IF('депозитный калькулятор'!$G$7="30/360",360,365)))</f>
        <v xml:space="preserve"> </v>
      </c>
      <c r="AA551" s="151"/>
      <c r="AB551" s="151"/>
      <c r="AC551" s="155"/>
      <c r="AD551" s="155"/>
    </row>
    <row r="552" spans="1:30" s="2" customFormat="1" ht="15.5" x14ac:dyDescent="0.35">
      <c r="A552" s="41" t="str">
        <f>IF(F552=" "," ",IF(OR('депозитный калькулятор'!$G$7="30/365",'депозитный калькулятор'!$G$7="30/360"),IF(AND(MONTH(F552)=2,DAY(F552)=DAY(EOMONTH(F552,0))),30-DAY(EOMONTH(F552,0)),IF(DAY(F552)=31,1," "))," "))</f>
        <v xml:space="preserve"> </v>
      </c>
      <c r="B552" s="130" t="str">
        <f t="shared" si="41"/>
        <v xml:space="preserve"> </v>
      </c>
      <c r="C552" s="130" t="str">
        <f>IF(OR(B552=0,B552=" ")," ",SUM($B$23:B552))</f>
        <v xml:space="preserve"> </v>
      </c>
      <c r="D552" s="62" t="str">
        <f>IF(D551=" "," ",IF(OR(F551='депозитный калькулятор'!$D$8,F551=" ")," ",D551+1))</f>
        <v xml:space="preserve"> </v>
      </c>
      <c r="E552" s="130" t="str">
        <f>IF(OR(F551='депозитный калькулятор'!$D$8,F551=" ")," ",IF(EOMONTH(F551,0)=F551,1,E551+1))</f>
        <v xml:space="preserve"> </v>
      </c>
      <c r="F552" s="64" t="str">
        <f>IF(F551=" "," ",IF(F551='депозитный калькулятор'!$D$8," ",F551+1))</f>
        <v xml:space="preserve"> </v>
      </c>
      <c r="G552" s="145" t="str">
        <f xml:space="preserve"> IF(F552&gt;'депозитный калькулятор'!$D$8," ",IF('депозитный калькулятор'!$G$13="есть",IF('депозитный калькулятор'!$G$14="есть",G551+IF(I551=" ",0,I551)-J552-K552+L552+M552-N552,G551+IF(I551=" ",0,I551)-J552-K552+M552-N552),IF('депозитный калькулятор'!$G$14="есть",G551-J552-K552+L552+M552-N552,G551-J552-K552+M552-N552)))</f>
        <v xml:space="preserve"> </v>
      </c>
      <c r="H552" s="133" t="str">
        <f>IF(F552&gt;'депозитный калькулятор'!$D$8," ",IF(AND(OR('депозитный калькулятор'!$G$7="30/365",'депозитный калькулятор'!$G$7="30/360"),AND(MONTH(F552)=2,EOMONTH(F552,0)=F552)),IF(DAY(F552)=28,3*G552*'депозитный калькулятор'!$G$8,2*G552*'депозитный калькулятор'!$G$8),IF(AND(OR('депозитный калькулятор'!$G$7="30/365",'депозитный калькулятор'!$G$7="30/360"),DAY(F552)=31)," ",IF(AND('депозитный калькулятор'!$G$7="факт/факт",MOD(YEAR(F552),4)=0),G552*'депозитный калькулятор'!$D$11/366,G552*'депозитный калькулятор'!$G$8))))</f>
        <v xml:space="preserve"> </v>
      </c>
      <c r="I552" s="134" t="str">
        <f ca="1">IF(F552=" "," ",IF('депозитный калькулятор'!$G$10="ежедневное",H552,IF(AND('депозитный калькулятор'!$G$10="еженедельное",WEEKDAY(F552,2)=7),SUM(OFFSET(H552,-6,0):H552),IF(AND('депозитный калькулятор'!$G$10="еженедельное",F552='депозитный калькулятор'!$D$8),SUM($H$23:H552)-SUM($I$23:I551),IF(AND('депозитный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недели",WEEKDAY(F552,2)=7),MIN(OFFSET(H552,-6,0):H552)*(COUNTIF(OFFSET(H552,-6,0):H552,"&gt;0")+SUMIF(OFFSET(A552,-WEEKDAY(F552,2),0):A552,"=2",OFFSET(A552,-WEEKDAY(F552,2),0):A552)),IF(AND('депозитный калькулятор'!$G$10="еженедельное, на минимальную сумму зафиксированную в течение недели",F552='депозитный калькулятор'!$D$8,WEEKDAY(F552,2)&lt;&gt;7),MIN(OFFSET(H552,-WEEKDAY(F552,2),0):H552)*(COUNTIF(OFFSET(H552,-WEEKDAY(F552,2)+1,0):H552,"&gt;0")+SUM(OFFSET(A552,-WEEKDAY(F552,2),0):A552)),IF(AND('депозитный калькулятор'!$G$10="ежемесячное (в конце месяца)",F552='депозитный калькулятор'!$D$8,EOMONTH(F552,0)&lt;&gt;F552),IF('депозитный калькулятор'!$F$1=1,$H$24,SUM($H$23:H552)-SUM($I$23:I551)),IF(AND('депозитный калькулятор'!$G$10="ежемесячное (в конце месяца)",EOMONTH(F552,0)=F552),SUM($H$23:H552)-SUM($I$23:I551),IF(AND('депозитный калькулятор'!$G$10="ежемесячное (по дням открытия вклада)",F552='депозитный калькулятор'!$D$8,DAY('депозитный калькулятор'!$D$7)&lt;&gt;DAY(F552)),IF('депозитный калькулятор'!$F$1=1,$H$24,SUM($H$23:H552)-SUM($I$23:I551)),IF(AND('депозитный калькулятор'!$G$10="ежемесячное (по дням открытия вклада)",DAY('депозитный калькулятор'!$D$7)=DAY(F552)),SUM($H$23:H552)-SUM($I$23:I551),IF(AND('депозитный калькулятор'!$G$10="ежемесячное, на минимальную сумму зафиксированную в течение месяца",F552='депозитный калькулятор'!$D$8,EOMONTH(F552,0)&lt;&gt;F552),IF('депозитный калькулятор'!$F$1=1,$H$24,IF(AND(OR('депозитный калькулятор'!$G$7="30/365",'депозитный калькулятор'!$G$7="30/360"),DAY(F552)=31),0,MIN(OFFSET(H552,-E552+1,0):H552)*(E552+SUMIF(OFFSET(A552,-E552+1,0):A552,"=2",OFFSET(A552,-E552+1,0):A552)))),IF(AND('депозитный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калькулятор'!$G$7="30/360"),DAY(EOMONTH(F552,0))=31),EOMONTH(F552,0)-1=F552,EOMONTH(F552,0)=F552)),IF(IF(AND(OR('депозитный калькулятор'!$G$7="30/365",'депозитный калькулятор'!$G$7="30/360"),DAY(EOMONTH($F$23,0))=31),F552=EOMONTH($F$23,0)-1,F552=EOMONTH($F$23,0)),MIN(OFFSET(H552,-(DAY(F552)-DAY($F$23)),0):H552)*E552,MIN(OFFSET(H552,-(DAY(F552)-1),0):H552)*IF(AND(OR('депозитный калькулятор'!$G$7="30/365",'депозитный калькулятор'!$G$7="30/360"),DAY(F552)&lt;30),30,DAY(F552))),IF(AND('депозитный калькулятор'!$G$10="ежемесячное, на средний остаток в течение месяца, при условии что остаток больше чем ограничение",F552='депозитный калькулятор'!$D$8,EOMONTH(F552,0)&lt;&gt;F552),IF('депозитный калькулятор'!$F$1=1,$H$24,SUM(OFFSET(Q552,-E552+1,0):Q552)),IF(AND('депозитный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калькулятор'!$G$7="30/360"),DAY(EOMONTH(F552,0))=31),EOMONTH(F552,0)-1=F552,EOMONTH(F552,0)=F552)),IF(IF(AND(OR('депозитный калькулятор'!$G$7="30/365",'депозитный калькулятор'!$G$7="30/360"),DAY(EOMONTH($F$24,0))=31),F552=EOMONTH($F$24,0)-1,F552=EOMONTH($F$24,0)),SUM(OFFSET(Q552,-E552+1,0):Q552),SUM(OFFSET(Q552,-E552+1,0):Q552)),IF('депозитный калькулятор'!$G$10="ежеквартальное",IF(F552&gt;'депозитный калькулятор'!$D$8," ",IF(AND(EOMONTH(F552,0)=F552,OR(MONTH(F552)=3,MONTH(F552)=6,MONTH(F552)=9,MONTH(F552)=12)),IF(EDATE(F552,-3)&lt;'депозитный калькулятор'!$D$7,SUM($H$23:H552),IF(MOD(YEAR(F552),4)=0,IF(AND(EOMONTH(F552,0)=F552,OR(MONTH(F552)=3,MONTH(F552)=6)),SUM(OFFSET(H552,-90,0):H552),IF(AND(EOMONTH(F552,0)=F552,OR(MONTH(F552)=9,MONTH(F552)=12)),SUM(OFFSET(H552,-91,0):H552))),IF(AND(EOMONTH(F552,0)=F552,MONTH(F552)=3),SUM(OFFSET(H552,-89,0):H552),IF(AND(EOMONTH(F552,0)=F552,MONTH(F552)=6),SUM(OFFSET(H552,-90,0):H552),IF(AND(EOMONTH(F552,0)=F552,OR(MONTH(F552)=9,MONTH(F552)=12)),SUM(OFFSET(H552,-91,0):H552)))))),IF(F552='депозитный калькулятор'!$D$8,SUM($H$23:H552)-SUM($I$23:I551),0))),IF('депозитный калькулятор'!$G$10="ежегодное",IF(F552&gt;'депозитный калькулятор'!$D$8," ",IF(F552='депозитный калькулятор'!$D$8,SUM($H$23:H552)-SUM($I$23:I551),IF(AND(EOMONTH(F552,0)=F552,MONTH(F552)=12),IF(MOD(YEAR(F551),4)=0,IF(F552-'депозитный калькулятор'!$D$7&lt;366,SUM($H$23:H552),SUM(OFFSET(H552,-365,0):H552)),IF(F552-'депозитный калькулятор'!$D$7&lt;365,SUM($H$23:H552),SUM(OFFSET(H552,-364,0):H552))),0))),IF(AND('депозитный калькулятор'!$G$10="в конце срока",'депозитный калькулятор'!$D$8=F552),SUM($H$23:H552),0))))))))))))))))))</f>
        <v xml:space="preserve"> </v>
      </c>
      <c r="J552" s="59" t="str">
        <f>IF(F552&gt;'депозитный калькулятор'!$D$8," ",IF('депозитный калькулятор'!$G$16="нет",0,IF(AND('депозитный калькулятор'!$G$17="разовая (в конце срока)",F552='депозитный калькулятор'!$D$8),'депозитный калькулятор'!$G$18,IF(AND('депозитный калькулятор'!$G$17="ежемесячная",EOMONTH(F551,0)=F551),'депозитный калькулятор'!$G$18,IF(AND('депозитный калькулятор'!$G$17="ежегодная",DAY(F551)=31,MONTH(F551)=12),'депозитный калькулятор'!$G$18,IF(AND('депозитный калькулятор'!$G$17="ежемесячная в зависимости от остатка",EOMONTH(F551,0)=F551,P551&gt;0),'депозитный калькулятор'!$G$18,IF(AND('депозитный калькулятор'!$G$17="ежегодная в зависимости от остатка",DAY(F551)=31,MONTH(F551)=12,P551&gt;0),'депозитный калькулятор'!$G$18,0)))))))</f>
        <v xml:space="preserve"> </v>
      </c>
      <c r="K552" s="135" t="str">
        <f>IF($F552=" "," ",IFERROR(VLOOKUP($F552,'депозитный калькулятор'!$B$26:$F$70,2,0),0))</f>
        <v xml:space="preserve"> </v>
      </c>
      <c r="L552" s="135" t="str">
        <f>IF($F552=" "," ",IFERROR(VLOOKUP($F552,'депозитный калькулятор'!$B$26:$F$70,3,0),0))</f>
        <v xml:space="preserve"> </v>
      </c>
      <c r="M552" s="135" t="str">
        <f>IF($F552=" "," ",IFERROR(VLOOKUP($F552,'депозитный калькулятор'!$B$26:$F$70,4,0),0))</f>
        <v xml:space="preserve"> </v>
      </c>
      <c r="N552" s="135" t="str">
        <f>IF($F552=" "," ",IFERROR(VLOOKUP($F552,'депозитный калькулятор'!$B$26:$F$70,5,0),0))</f>
        <v xml:space="preserve"> </v>
      </c>
      <c r="O552" s="146" t="str">
        <f>IF(F552&gt;'депозитный калькулятор'!$D$8," ",IF(F552='депозитный калькулятор'!$D$8,IF(AND($F$24='депозитный калькулятор'!$D$8,'депозитный калькулятор'!$G$13="нет"),-G552-IF(I552=" ",0,I552)-IF(AND(OR('депозитный калькулятор'!$G$7="30/365",'депозитный калькулятор'!$G$7="30/360"),'депозитный калькулятор'!$G$10="в начале срока"),I551,0)-L552+M552-N552,-G552-IF(I552=" ",0,I552)-L552+M552-N552),IF('депозитный калькулятор'!$G$13="есть",M552-N552+IF('депозитный калькулятор'!$G$14="есть",0,-L552),-IF(I552=" ",0,I552)-IF(AND(OR('депозитный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срока"),I551,0)+M552-N552+IF('депозитный калькулятор'!$G$14="есть",0,-L552))))</f>
        <v xml:space="preserve"> </v>
      </c>
      <c r="P552" s="147" t="str">
        <f>IF(F552&gt;'депозитный калькулятор'!$D$8," ",IF(EOMONTH(F551,0)=F551,0,IF(G552&gt;='депозитный калькулятор'!$G$19,P551,P551+1)))</f>
        <v xml:space="preserve"> </v>
      </c>
      <c r="Q552" s="138" t="str">
        <f>IF(F552=" "," ",IF(AND(OR('депозитный калькулятор'!$G$7="30/365",'депозитный калькулятор'!$G$7="30/360"),AND(MONTH(F552)=2,EOMONTH(F552,0)=F552)),IF(DAY(F552)=28,3,2),1)*IF(G552&gt;='депозитный калькулятор'!$G$11,IF(AND('депозитный калькулятор'!$G$7="факт/факт",MOD(YEAR(F552),4)=0),G552*'депозитный калькулятор'!$D$11/366,G552*'депозитный калькулятор'!$G$8),0))</f>
        <v xml:space="preserve"> </v>
      </c>
      <c r="R552" s="158"/>
      <c r="S552" s="62" t="str">
        <f t="shared" ca="1" si="42"/>
        <v xml:space="preserve"> </v>
      </c>
      <c r="T552" s="149" t="str">
        <f ca="1">IF(S552=" "," ",IF('депозитный калькулятор'!$G$7="30/360",DAYS360(U551,IF(DAY(U552)=31,U552-1,U552))+IF(AND(MONTH(U552)=2,U552=EOMONTH(U552,0)),30-DAY(EOMONTH(U552,0)))+T551,VLOOKUP(S552,$C$22:$F$1023,2,0)))</f>
        <v xml:space="preserve"> </v>
      </c>
      <c r="U552" s="64" t="str">
        <f t="shared" ca="1" si="40"/>
        <v xml:space="preserve"> </v>
      </c>
      <c r="V552" s="150" t="str">
        <f t="shared" ca="1" si="43"/>
        <v xml:space="preserve"> </v>
      </c>
      <c r="W552" s="62" t="str">
        <f t="shared" ca="1" si="44"/>
        <v xml:space="preserve"> </v>
      </c>
      <c r="X552" s="141" t="str">
        <f ca="1">IF(S552=" "," ",IFERROR(VLOOKUP(U552,$F$23:$N$1023,7)+VLOOKUP(U552,$F$23:$N$1023,9)+IF(AND('депозитный калькулятор'!$G$13="нет",U552&lt;&gt;'депозитный калькулятор'!$D$8),VLOOKUP(U552,$F$23:$N$1023,4),0),0)+IF(U552='депозитный калькулятор'!$D$8,VLOOKUP(U552,$F$23:$N$1023,2)+VLOOKUP(U552,$F$23:$N$1023,4),0))</f>
        <v xml:space="preserve"> </v>
      </c>
      <c r="Y552" s="142" t="str">
        <f ca="1">IF(S552=" "," ",W552/(1+'депозитный калькулятор'!$K$8)^(T552/IF('депозитный калькулятор'!$G$7="30/360",360,365)))</f>
        <v xml:space="preserve"> </v>
      </c>
      <c r="Z552" s="142" t="str">
        <f ca="1">IF(S552=" "," ",X552/(1+'депозитный калькулятор'!$K$8)^(T552/IF('депозитный калькулятор'!$G$7="30/360",360,365)))</f>
        <v xml:space="preserve"> </v>
      </c>
      <c r="AA552" s="151"/>
      <c r="AB552" s="151"/>
      <c r="AC552" s="155"/>
      <c r="AD552" s="155"/>
    </row>
    <row r="553" spans="1:30" s="2" customFormat="1" ht="15.5" x14ac:dyDescent="0.35">
      <c r="A553" s="41" t="str">
        <f>IF(F553=" "," ",IF(OR('депозитный калькулятор'!$G$7="30/365",'депозитный калькулятор'!$G$7="30/360"),IF(AND(MONTH(F553)=2,DAY(F553)=DAY(EOMONTH(F553,0))),30-DAY(EOMONTH(F553,0)),IF(DAY(F553)=31,1," "))," "))</f>
        <v xml:space="preserve"> </v>
      </c>
      <c r="B553" s="130" t="str">
        <f t="shared" si="41"/>
        <v xml:space="preserve"> </v>
      </c>
      <c r="C553" s="130" t="str">
        <f>IF(OR(B553=0,B553=" ")," ",SUM($B$23:B553))</f>
        <v xml:space="preserve"> </v>
      </c>
      <c r="D553" s="62" t="str">
        <f>IF(D552=" "," ",IF(OR(F552='депозитный калькулятор'!$D$8,F552=" ")," ",D552+1))</f>
        <v xml:space="preserve"> </v>
      </c>
      <c r="E553" s="130" t="str">
        <f>IF(OR(F552='депозитный калькулятор'!$D$8,F552=" ")," ",IF(EOMONTH(F552,0)=F552,1,E552+1))</f>
        <v xml:space="preserve"> </v>
      </c>
      <c r="F553" s="64" t="str">
        <f>IF(F552=" "," ",IF(F552='депозитный калькулятор'!$D$8," ",F552+1))</f>
        <v xml:space="preserve"> </v>
      </c>
      <c r="G553" s="145" t="str">
        <f xml:space="preserve"> IF(F553&gt;'депозитный калькулятор'!$D$8," ",IF('депозитный калькулятор'!$G$13="есть",IF('депозитный калькулятор'!$G$14="есть",G552+IF(I552=" ",0,I552)-J553-K553+L553+M553-N553,G552+IF(I552=" ",0,I552)-J553-K553+M553-N553),IF('депозитный калькулятор'!$G$14="есть",G552-J553-K553+L553+M553-N553,G552-J553-K553+M553-N553)))</f>
        <v xml:space="preserve"> </v>
      </c>
      <c r="H553" s="133" t="str">
        <f>IF(F553&gt;'депозитный калькулятор'!$D$8," ",IF(AND(OR('депозитный калькулятор'!$G$7="30/365",'депозитный калькулятор'!$G$7="30/360"),AND(MONTH(F553)=2,EOMONTH(F553,0)=F553)),IF(DAY(F553)=28,3*G553*'депозитный калькулятор'!$G$8,2*G553*'депозитный калькулятор'!$G$8),IF(AND(OR('депозитный калькулятор'!$G$7="30/365",'депозитный калькулятор'!$G$7="30/360"),DAY(F553)=31)," ",IF(AND('депозитный калькулятор'!$G$7="факт/факт",MOD(YEAR(F553),4)=0),G553*'депозитный калькулятор'!$D$11/366,G553*'депозитный калькулятор'!$G$8))))</f>
        <v xml:space="preserve"> </v>
      </c>
      <c r="I553" s="134" t="str">
        <f ca="1">IF(F553=" "," ",IF('депозитный калькулятор'!$G$10="ежедневное",H553,IF(AND('депозитный калькулятор'!$G$10="еженедельное",WEEKDAY(F553,2)=7),SUM(OFFSET(H553,-6,0):H553),IF(AND('депозитный калькулятор'!$G$10="еженедельное",F553='депозитный калькулятор'!$D$8),SUM($H$23:H553)-SUM($I$23:I552),IF(AND('депозитный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недели",WEEKDAY(F553,2)=7),MIN(OFFSET(H553,-6,0):H553)*(COUNTIF(OFFSET(H553,-6,0):H553,"&gt;0")+SUMIF(OFFSET(A553,-WEEKDAY(F553,2),0):A553,"=2",OFFSET(A553,-WEEKDAY(F553,2),0):A553)),IF(AND('депозитный калькулятор'!$G$10="еженедельное, на минимальную сумму зафиксированную в течение недели",F553='депозитный калькулятор'!$D$8,WEEKDAY(F553,2)&lt;&gt;7),MIN(OFFSET(H553,-WEEKDAY(F553,2),0):H553)*(COUNTIF(OFFSET(H553,-WEEKDAY(F553,2)+1,0):H553,"&gt;0")+SUM(OFFSET(A553,-WEEKDAY(F553,2),0):A553)),IF(AND('депозитный калькулятор'!$G$10="ежемесячное (в конце месяца)",F553='депозитный калькулятор'!$D$8,EOMONTH(F553,0)&lt;&gt;F553),IF('депозитный калькулятор'!$F$1=1,$H$24,SUM($H$23:H553)-SUM($I$23:I552)),IF(AND('депозитный калькулятор'!$G$10="ежемесячное (в конце месяца)",EOMONTH(F553,0)=F553),SUM($H$23:H553)-SUM($I$23:I552),IF(AND('депозитный калькулятор'!$G$10="ежемесячное (по дням открытия вклада)",F553='депозитный калькулятор'!$D$8,DAY('депозитный калькулятор'!$D$7)&lt;&gt;DAY(F553)),IF('депозитный калькулятор'!$F$1=1,$H$24,SUM($H$23:H553)-SUM($I$23:I552)),IF(AND('депозитный калькулятор'!$G$10="ежемесячное (по дням открытия вклада)",DAY('депозитный калькулятор'!$D$7)=DAY(F553)),SUM($H$23:H553)-SUM($I$23:I552),IF(AND('депозитный калькулятор'!$G$10="ежемесячное, на минимальную сумму зафиксированную в течение месяца",F553='депозитный калькулятор'!$D$8,EOMONTH(F553,0)&lt;&gt;F553),IF('депозитный калькулятор'!$F$1=1,$H$24,IF(AND(OR('депозитный калькулятор'!$G$7="30/365",'депозитный калькулятор'!$G$7="30/360"),DAY(F553)=31),0,MIN(OFFSET(H553,-E553+1,0):H553)*(E553+SUMIF(OFFSET(A553,-E553+1,0):A553,"=2",OFFSET(A553,-E553+1,0):A553)))),IF(AND('депозитный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калькулятор'!$G$7="30/360"),DAY(EOMONTH(F553,0))=31),EOMONTH(F553,0)-1=F553,EOMONTH(F553,0)=F553)),IF(IF(AND(OR('депозитный калькулятор'!$G$7="30/365",'депозитный калькулятор'!$G$7="30/360"),DAY(EOMONTH($F$23,0))=31),F553=EOMONTH($F$23,0)-1,F553=EOMONTH($F$23,0)),MIN(OFFSET(H553,-(DAY(F553)-DAY($F$23)),0):H553)*E553,MIN(OFFSET(H553,-(DAY(F553)-1),0):H553)*IF(AND(OR('депозитный калькулятор'!$G$7="30/365",'депозитный калькулятор'!$G$7="30/360"),DAY(F553)&lt;30),30,DAY(F553))),IF(AND('депозитный калькулятор'!$G$10="ежемесячное, на средний остаток в течение месяца, при условии что остаток больше чем ограничение",F553='депозитный калькулятор'!$D$8,EOMONTH(F553,0)&lt;&gt;F553),IF('депозитный калькулятор'!$F$1=1,$H$24,SUM(OFFSET(Q553,-E553+1,0):Q553)),IF(AND('депозитный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калькулятор'!$G$7="30/360"),DAY(EOMONTH(F553,0))=31),EOMONTH(F553,0)-1=F553,EOMONTH(F553,0)=F553)),IF(IF(AND(OR('депозитный калькулятор'!$G$7="30/365",'депозитный калькулятор'!$G$7="30/360"),DAY(EOMONTH($F$24,0))=31),F553=EOMONTH($F$24,0)-1,F553=EOMONTH($F$24,0)),SUM(OFFSET(Q553,-E553+1,0):Q553),SUM(OFFSET(Q553,-E553+1,0):Q553)),IF('депозитный калькулятор'!$G$10="ежеквартальное",IF(F553&gt;'депозитный калькулятор'!$D$8," ",IF(AND(EOMONTH(F553,0)=F553,OR(MONTH(F553)=3,MONTH(F553)=6,MONTH(F553)=9,MONTH(F553)=12)),IF(EDATE(F553,-3)&lt;'депозитный калькулятор'!$D$7,SUM($H$23:H553),IF(MOD(YEAR(F553),4)=0,IF(AND(EOMONTH(F553,0)=F553,OR(MONTH(F553)=3,MONTH(F553)=6)),SUM(OFFSET(H553,-90,0):H553),IF(AND(EOMONTH(F553,0)=F553,OR(MONTH(F553)=9,MONTH(F553)=12)),SUM(OFFSET(H553,-91,0):H553))),IF(AND(EOMONTH(F553,0)=F553,MONTH(F553)=3),SUM(OFFSET(H553,-89,0):H553),IF(AND(EOMONTH(F553,0)=F553,MONTH(F553)=6),SUM(OFFSET(H553,-90,0):H553),IF(AND(EOMONTH(F553,0)=F553,OR(MONTH(F553)=9,MONTH(F553)=12)),SUM(OFFSET(H553,-91,0):H553)))))),IF(F553='депозитный калькулятор'!$D$8,SUM($H$23:H553)-SUM($I$23:I552),0))),IF('депозитный калькулятор'!$G$10="ежегодное",IF(F553&gt;'депозитный калькулятор'!$D$8," ",IF(F553='депозитный калькулятор'!$D$8,SUM($H$23:H553)-SUM($I$23:I552),IF(AND(EOMONTH(F553,0)=F553,MONTH(F553)=12),IF(MOD(YEAR(F552),4)=0,IF(F553-'депозитный калькулятор'!$D$7&lt;366,SUM($H$23:H553),SUM(OFFSET(H553,-365,0):H553)),IF(F553-'депозитный калькулятор'!$D$7&lt;365,SUM($H$23:H553),SUM(OFFSET(H553,-364,0):H553))),0))),IF(AND('депозитный калькулятор'!$G$10="в конце срока",'депозитный калькулятор'!$D$8=F553),SUM($H$23:H553),0))))))))))))))))))</f>
        <v xml:space="preserve"> </v>
      </c>
      <c r="J553" s="59" t="str">
        <f>IF(F553&gt;'депозитный калькулятор'!$D$8," ",IF('депозитный калькулятор'!$G$16="нет",0,IF(AND('депозитный калькулятор'!$G$17="разовая (в конце срока)",F553='депозитный калькулятор'!$D$8),'депозитный калькулятор'!$G$18,IF(AND('депозитный калькулятор'!$G$17="ежемесячная",EOMONTH(F552,0)=F552),'депозитный калькулятор'!$G$18,IF(AND('депозитный калькулятор'!$G$17="ежегодная",DAY(F552)=31,MONTH(F552)=12),'депозитный калькулятор'!$G$18,IF(AND('депозитный калькулятор'!$G$17="ежемесячная в зависимости от остатка",EOMONTH(F552,0)=F552,P552&gt;0),'депозитный калькулятор'!$G$18,IF(AND('депозитный калькулятор'!$G$17="ежегодная в зависимости от остатка",DAY(F552)=31,MONTH(F552)=12,P552&gt;0),'депозитный калькулятор'!$G$18,0)))))))</f>
        <v xml:space="preserve"> </v>
      </c>
      <c r="K553" s="135" t="str">
        <f>IF($F553=" "," ",IFERROR(VLOOKUP($F553,'депозитный калькулятор'!$B$26:$F$70,2,0),0))</f>
        <v xml:space="preserve"> </v>
      </c>
      <c r="L553" s="135" t="str">
        <f>IF($F553=" "," ",IFERROR(VLOOKUP($F553,'депозитный калькулятор'!$B$26:$F$70,3,0),0))</f>
        <v xml:space="preserve"> </v>
      </c>
      <c r="M553" s="135" t="str">
        <f>IF($F553=" "," ",IFERROR(VLOOKUP($F553,'депозитный калькулятор'!$B$26:$F$70,4,0),0))</f>
        <v xml:space="preserve"> </v>
      </c>
      <c r="N553" s="135" t="str">
        <f>IF($F553=" "," ",IFERROR(VLOOKUP($F553,'депозитный калькулятор'!$B$26:$F$70,5,0),0))</f>
        <v xml:space="preserve"> </v>
      </c>
      <c r="O553" s="146" t="str">
        <f>IF(F553&gt;'депозитный калькулятор'!$D$8," ",IF(F553='депозитный калькулятор'!$D$8,IF(AND($F$24='депозитный калькулятор'!$D$8,'депозитный калькулятор'!$G$13="нет"),-G553-IF(I553=" ",0,I553)-IF(AND(OR('депозитный калькулятор'!$G$7="30/365",'депозитный калькулятор'!$G$7="30/360"),'депозитный калькулятор'!$G$10="в начале срока"),I552,0)-L553+M553-N553,-G553-IF(I553=" ",0,I553)-L553+M553-N553),IF('депозитный калькулятор'!$G$13="есть",M553-N553+IF('депозитный калькулятор'!$G$14="есть",0,-L553),-IF(I553=" ",0,I553)-IF(AND(OR('депозитный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срока"),I552,0)+M553-N553+IF('депозитный калькулятор'!$G$14="есть",0,-L553))))</f>
        <v xml:space="preserve"> </v>
      </c>
      <c r="P553" s="147" t="str">
        <f>IF(F553&gt;'депозитный калькулятор'!$D$8," ",IF(EOMONTH(F552,0)=F552,0,IF(G553&gt;='депозитный калькулятор'!$G$19,P552,P552+1)))</f>
        <v xml:space="preserve"> </v>
      </c>
      <c r="Q553" s="138" t="str">
        <f>IF(F553=" "," ",IF(AND(OR('депозитный калькулятор'!$G$7="30/365",'депозитный калькулятор'!$G$7="30/360"),AND(MONTH(F553)=2,EOMONTH(F553,0)=F553)),IF(DAY(F553)=28,3,2),1)*IF(G553&gt;='депозитный калькулятор'!$G$11,IF(AND('депозитный калькулятор'!$G$7="факт/факт",MOD(YEAR(F553),4)=0),G553*'депозитный калькулятор'!$D$11/366,G553*'депозитный калькулятор'!$G$8),0))</f>
        <v xml:space="preserve"> </v>
      </c>
      <c r="R553" s="158"/>
      <c r="S553" s="62" t="str">
        <f t="shared" ca="1" si="42"/>
        <v xml:space="preserve"> </v>
      </c>
      <c r="T553" s="149" t="str">
        <f ca="1">IF(S553=" "," ",IF('депозитный калькулятор'!$G$7="30/360",DAYS360(U552,IF(DAY(U553)=31,U553-1,U553))+IF(AND(MONTH(U553)=2,U553=EOMONTH(U553,0)),30-DAY(EOMONTH(U553,0)))+T552,VLOOKUP(S553,$C$22:$F$1023,2,0)))</f>
        <v xml:space="preserve"> </v>
      </c>
      <c r="U553" s="64" t="str">
        <f t="shared" ca="1" si="40"/>
        <v xml:space="preserve"> </v>
      </c>
      <c r="V553" s="150" t="str">
        <f t="shared" ca="1" si="43"/>
        <v xml:space="preserve"> </v>
      </c>
      <c r="W553" s="62" t="str">
        <f t="shared" ca="1" si="44"/>
        <v xml:space="preserve"> </v>
      </c>
      <c r="X553" s="141" t="str">
        <f ca="1">IF(S553=" "," ",IFERROR(VLOOKUP(U553,$F$23:$N$1023,7)+VLOOKUP(U553,$F$23:$N$1023,9)+IF(AND('депозитный калькулятор'!$G$13="нет",U553&lt;&gt;'депозитный калькулятор'!$D$8),VLOOKUP(U553,$F$23:$N$1023,4),0),0)+IF(U553='депозитный калькулятор'!$D$8,VLOOKUP(U553,$F$23:$N$1023,2)+VLOOKUP(U553,$F$23:$N$1023,4),0))</f>
        <v xml:space="preserve"> </v>
      </c>
      <c r="Y553" s="142" t="str">
        <f ca="1">IF(S553=" "," ",W553/(1+'депозитный калькулятор'!$K$8)^(T553/IF('депозитный калькулятор'!$G$7="30/360",360,365)))</f>
        <v xml:space="preserve"> </v>
      </c>
      <c r="Z553" s="142" t="str">
        <f ca="1">IF(S553=" "," ",X553/(1+'депозитный калькулятор'!$K$8)^(T553/IF('депозитный калькулятор'!$G$7="30/360",360,365)))</f>
        <v xml:space="preserve"> </v>
      </c>
      <c r="AA553" s="151"/>
      <c r="AB553" s="151"/>
      <c r="AC553" s="155"/>
      <c r="AD553" s="155"/>
    </row>
    <row r="554" spans="1:30" s="2" customFormat="1" ht="15.5" x14ac:dyDescent="0.35">
      <c r="A554" s="41" t="str">
        <f>IF(F554=" "," ",IF(OR('депозитный калькулятор'!$G$7="30/365",'депозитный калькулятор'!$G$7="30/360"),IF(AND(MONTH(F554)=2,DAY(F554)=DAY(EOMONTH(F554,0))),30-DAY(EOMONTH(F554,0)),IF(DAY(F554)=31,1," "))," "))</f>
        <v xml:space="preserve"> </v>
      </c>
      <c r="B554" s="130" t="str">
        <f t="shared" si="41"/>
        <v xml:space="preserve"> </v>
      </c>
      <c r="C554" s="130" t="str">
        <f>IF(OR(B554=0,B554=" ")," ",SUM($B$23:B554))</f>
        <v xml:space="preserve"> </v>
      </c>
      <c r="D554" s="62" t="str">
        <f>IF(D553=" "," ",IF(OR(F553='депозитный калькулятор'!$D$8,F553=" ")," ",D553+1))</f>
        <v xml:space="preserve"> </v>
      </c>
      <c r="E554" s="130" t="str">
        <f>IF(OR(F553='депозитный калькулятор'!$D$8,F553=" ")," ",IF(EOMONTH(F553,0)=F553,1,E553+1))</f>
        <v xml:space="preserve"> </v>
      </c>
      <c r="F554" s="64" t="str">
        <f>IF(F553=" "," ",IF(F553='депозитный калькулятор'!$D$8," ",F553+1))</f>
        <v xml:space="preserve"> </v>
      </c>
      <c r="G554" s="145" t="str">
        <f xml:space="preserve"> IF(F554&gt;'депозитный калькулятор'!$D$8," ",IF('депозитный калькулятор'!$G$13="есть",IF('депозитный калькулятор'!$G$14="есть",G553+IF(I553=" ",0,I553)-J554-K554+L554+M554-N554,G553+IF(I553=" ",0,I553)-J554-K554+M554-N554),IF('депозитный калькулятор'!$G$14="есть",G553-J554-K554+L554+M554-N554,G553-J554-K554+M554-N554)))</f>
        <v xml:space="preserve"> </v>
      </c>
      <c r="H554" s="133" t="str">
        <f>IF(F554&gt;'депозитный калькулятор'!$D$8," ",IF(AND(OR('депозитный калькулятор'!$G$7="30/365",'депозитный калькулятор'!$G$7="30/360"),AND(MONTH(F554)=2,EOMONTH(F554,0)=F554)),IF(DAY(F554)=28,3*G554*'депозитный калькулятор'!$G$8,2*G554*'депозитный калькулятор'!$G$8),IF(AND(OR('депозитный калькулятор'!$G$7="30/365",'депозитный калькулятор'!$G$7="30/360"),DAY(F554)=31)," ",IF(AND('депозитный калькулятор'!$G$7="факт/факт",MOD(YEAR(F554),4)=0),G554*'депозитный калькулятор'!$D$11/366,G554*'депозитный калькулятор'!$G$8))))</f>
        <v xml:space="preserve"> </v>
      </c>
      <c r="I554" s="134" t="str">
        <f ca="1">IF(F554=" "," ",IF('депозитный калькулятор'!$G$10="ежедневное",H554,IF(AND('депозитный калькулятор'!$G$10="еженедельное",WEEKDAY(F554,2)=7),SUM(OFFSET(H554,-6,0):H554),IF(AND('депозитный калькулятор'!$G$10="еженедельное",F554='депозитный калькулятор'!$D$8),SUM($H$23:H554)-SUM($I$23:I553),IF(AND('депозитный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недели",WEEKDAY(F554,2)=7),MIN(OFFSET(H554,-6,0):H554)*(COUNTIF(OFFSET(H554,-6,0):H554,"&gt;0")+SUMIF(OFFSET(A554,-WEEKDAY(F554,2),0):A554,"=2",OFFSET(A554,-WEEKDAY(F554,2),0):A554)),IF(AND('депозитный калькулятор'!$G$10="еженедельное, на минимальную сумму зафиксированную в течение недели",F554='депозитный калькулятор'!$D$8,WEEKDAY(F554,2)&lt;&gt;7),MIN(OFFSET(H554,-WEEKDAY(F554,2),0):H554)*(COUNTIF(OFFSET(H554,-WEEKDAY(F554,2)+1,0):H554,"&gt;0")+SUM(OFFSET(A554,-WEEKDAY(F554,2),0):A554)),IF(AND('депозитный калькулятор'!$G$10="ежемесячное (в конце месяца)",F554='депозитный калькулятор'!$D$8,EOMONTH(F554,0)&lt;&gt;F554),IF('депозитный калькулятор'!$F$1=1,$H$24,SUM($H$23:H554)-SUM($I$23:I553)),IF(AND('депозитный калькулятор'!$G$10="ежемесячное (в конце месяца)",EOMONTH(F554,0)=F554),SUM($H$23:H554)-SUM($I$23:I553),IF(AND('депозитный калькулятор'!$G$10="ежемесячное (по дням открытия вклада)",F554='депозитный калькулятор'!$D$8,DAY('депозитный калькулятор'!$D$7)&lt;&gt;DAY(F554)),IF('депозитный калькулятор'!$F$1=1,$H$24,SUM($H$23:H554)-SUM($I$23:I553)),IF(AND('депозитный калькулятор'!$G$10="ежемесячное (по дням открытия вклада)",DAY('депозитный калькулятор'!$D$7)=DAY(F554)),SUM($H$23:H554)-SUM($I$23:I553),IF(AND('депозитный калькулятор'!$G$10="ежемесячное, на минимальную сумму зафиксированную в течение месяца",F554='депозитный калькулятор'!$D$8,EOMONTH(F554,0)&lt;&gt;F554),IF('депозитный калькулятор'!$F$1=1,$H$24,IF(AND(OR('депозитный калькулятор'!$G$7="30/365",'депозитный калькулятор'!$G$7="30/360"),DAY(F554)=31),0,MIN(OFFSET(H554,-E554+1,0):H554)*(E554+SUMIF(OFFSET(A554,-E554+1,0):A554,"=2",OFFSET(A554,-E554+1,0):A554)))),IF(AND('депозитный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калькулятор'!$G$7="30/360"),DAY(EOMONTH(F554,0))=31),EOMONTH(F554,0)-1=F554,EOMONTH(F554,0)=F554)),IF(IF(AND(OR('депозитный калькулятор'!$G$7="30/365",'депозитный калькулятор'!$G$7="30/360"),DAY(EOMONTH($F$23,0))=31),F554=EOMONTH($F$23,0)-1,F554=EOMONTH($F$23,0)),MIN(OFFSET(H554,-(DAY(F554)-DAY($F$23)),0):H554)*E554,MIN(OFFSET(H554,-(DAY(F554)-1),0):H554)*IF(AND(OR('депозитный калькулятор'!$G$7="30/365",'депозитный калькулятор'!$G$7="30/360"),DAY(F554)&lt;30),30,DAY(F554))),IF(AND('депозитный калькулятор'!$G$10="ежемесячное, на средний остаток в течение месяца, при условии что остаток больше чем ограничение",F554='депозитный калькулятор'!$D$8,EOMONTH(F554,0)&lt;&gt;F554),IF('депозитный калькулятор'!$F$1=1,$H$24,SUM(OFFSET(Q554,-E554+1,0):Q554)),IF(AND('депозитный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калькулятор'!$G$7="30/360"),DAY(EOMONTH(F554,0))=31),EOMONTH(F554,0)-1=F554,EOMONTH(F554,0)=F554)),IF(IF(AND(OR('депозитный калькулятор'!$G$7="30/365",'депозитный калькулятор'!$G$7="30/360"),DAY(EOMONTH($F$24,0))=31),F554=EOMONTH($F$24,0)-1,F554=EOMONTH($F$24,0)),SUM(OFFSET(Q554,-E554+1,0):Q554),SUM(OFFSET(Q554,-E554+1,0):Q554)),IF('депозитный калькулятор'!$G$10="ежеквартальное",IF(F554&gt;'депозитный калькулятор'!$D$8," ",IF(AND(EOMONTH(F554,0)=F554,OR(MONTH(F554)=3,MONTH(F554)=6,MONTH(F554)=9,MONTH(F554)=12)),IF(EDATE(F554,-3)&lt;'депозитный калькулятор'!$D$7,SUM($H$23:H554),IF(MOD(YEAR(F554),4)=0,IF(AND(EOMONTH(F554,0)=F554,OR(MONTH(F554)=3,MONTH(F554)=6)),SUM(OFFSET(H554,-90,0):H554),IF(AND(EOMONTH(F554,0)=F554,OR(MONTH(F554)=9,MONTH(F554)=12)),SUM(OFFSET(H554,-91,0):H554))),IF(AND(EOMONTH(F554,0)=F554,MONTH(F554)=3),SUM(OFFSET(H554,-89,0):H554),IF(AND(EOMONTH(F554,0)=F554,MONTH(F554)=6),SUM(OFFSET(H554,-90,0):H554),IF(AND(EOMONTH(F554,0)=F554,OR(MONTH(F554)=9,MONTH(F554)=12)),SUM(OFFSET(H554,-91,0):H554)))))),IF(F554='депозитный калькулятор'!$D$8,SUM($H$23:H554)-SUM($I$23:I553),0))),IF('депозитный калькулятор'!$G$10="ежегодное",IF(F554&gt;'депозитный калькулятор'!$D$8," ",IF(F554='депозитный калькулятор'!$D$8,SUM($H$23:H554)-SUM($I$23:I553),IF(AND(EOMONTH(F554,0)=F554,MONTH(F554)=12),IF(MOD(YEAR(F553),4)=0,IF(F554-'депозитный калькулятор'!$D$7&lt;366,SUM($H$23:H554),SUM(OFFSET(H554,-365,0):H554)),IF(F554-'депозитный калькулятор'!$D$7&lt;365,SUM($H$23:H554),SUM(OFFSET(H554,-364,0):H554))),0))),IF(AND('депозитный калькулятор'!$G$10="в конце срока",'депозитный калькулятор'!$D$8=F554),SUM($H$23:H554),0))))))))))))))))))</f>
        <v xml:space="preserve"> </v>
      </c>
      <c r="J554" s="59" t="str">
        <f>IF(F554&gt;'депозитный калькулятор'!$D$8," ",IF('депозитный калькулятор'!$G$16="нет",0,IF(AND('депозитный калькулятор'!$G$17="разовая (в конце срока)",F554='депозитный калькулятор'!$D$8),'депозитный калькулятор'!$G$18,IF(AND('депозитный калькулятор'!$G$17="ежемесячная",EOMONTH(F553,0)=F553),'депозитный калькулятор'!$G$18,IF(AND('депозитный калькулятор'!$G$17="ежегодная",DAY(F553)=31,MONTH(F553)=12),'депозитный калькулятор'!$G$18,IF(AND('депозитный калькулятор'!$G$17="ежемесячная в зависимости от остатка",EOMONTH(F553,0)=F553,P553&gt;0),'депозитный калькулятор'!$G$18,IF(AND('депозитный калькулятор'!$G$17="ежегодная в зависимости от остатка",DAY(F553)=31,MONTH(F553)=12,P553&gt;0),'депозитный калькулятор'!$G$18,0)))))))</f>
        <v xml:space="preserve"> </v>
      </c>
      <c r="K554" s="135" t="str">
        <f>IF($F554=" "," ",IFERROR(VLOOKUP($F554,'депозитный калькулятор'!$B$26:$F$70,2,0),0))</f>
        <v xml:space="preserve"> </v>
      </c>
      <c r="L554" s="135" t="str">
        <f>IF($F554=" "," ",IFERROR(VLOOKUP($F554,'депозитный калькулятор'!$B$26:$F$70,3,0),0))</f>
        <v xml:space="preserve"> </v>
      </c>
      <c r="M554" s="135" t="str">
        <f>IF($F554=" "," ",IFERROR(VLOOKUP($F554,'депозитный калькулятор'!$B$26:$F$70,4,0),0))</f>
        <v xml:space="preserve"> </v>
      </c>
      <c r="N554" s="135" t="str">
        <f>IF($F554=" "," ",IFERROR(VLOOKUP($F554,'депозитный калькулятор'!$B$26:$F$70,5,0),0))</f>
        <v xml:space="preserve"> </v>
      </c>
      <c r="O554" s="146" t="str">
        <f>IF(F554&gt;'депозитный калькулятор'!$D$8," ",IF(F554='депозитный калькулятор'!$D$8,IF(AND($F$24='депозитный калькулятор'!$D$8,'депозитный калькулятор'!$G$13="нет"),-G554-IF(I554=" ",0,I554)-IF(AND(OR('депозитный калькулятор'!$G$7="30/365",'депозитный калькулятор'!$G$7="30/360"),'депозитный калькулятор'!$G$10="в начале срока"),I553,0)-L554+M554-N554,-G554-IF(I554=" ",0,I554)-L554+M554-N554),IF('депозитный калькулятор'!$G$13="есть",M554-N554+IF('депозитный калькулятор'!$G$14="есть",0,-L554),-IF(I554=" ",0,I554)-IF(AND(OR('депозитный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срока"),I553,0)+M554-N554+IF('депозитный калькулятор'!$G$14="есть",0,-L554))))</f>
        <v xml:space="preserve"> </v>
      </c>
      <c r="P554" s="147" t="str">
        <f>IF(F554&gt;'депозитный калькулятор'!$D$8," ",IF(EOMONTH(F553,0)=F553,0,IF(G554&gt;='депозитный калькулятор'!$G$19,P553,P553+1)))</f>
        <v xml:space="preserve"> </v>
      </c>
      <c r="Q554" s="138" t="str">
        <f>IF(F554=" "," ",IF(AND(OR('депозитный калькулятор'!$G$7="30/365",'депозитный калькулятор'!$G$7="30/360"),AND(MONTH(F554)=2,EOMONTH(F554,0)=F554)),IF(DAY(F554)=28,3,2),1)*IF(G554&gt;='депозитный калькулятор'!$G$11,IF(AND('депозитный калькулятор'!$G$7="факт/факт",MOD(YEAR(F554),4)=0),G554*'депозитный калькулятор'!$D$11/366,G554*'депозитный калькулятор'!$G$8),0))</f>
        <v xml:space="preserve"> </v>
      </c>
      <c r="R554" s="158"/>
      <c r="S554" s="62" t="str">
        <f t="shared" ca="1" si="42"/>
        <v xml:space="preserve"> </v>
      </c>
      <c r="T554" s="149" t="str">
        <f ca="1">IF(S554=" "," ",IF('депозитный калькулятор'!$G$7="30/360",DAYS360(U553,IF(DAY(U554)=31,U554-1,U554))+IF(AND(MONTH(U554)=2,U554=EOMONTH(U554,0)),30-DAY(EOMONTH(U554,0)))+T553,VLOOKUP(S554,$C$22:$F$1023,2,0)))</f>
        <v xml:space="preserve"> </v>
      </c>
      <c r="U554" s="64" t="str">
        <f t="shared" ca="1" si="40"/>
        <v xml:space="preserve"> </v>
      </c>
      <c r="V554" s="150" t="str">
        <f t="shared" ca="1" si="43"/>
        <v xml:space="preserve"> </v>
      </c>
      <c r="W554" s="62" t="str">
        <f t="shared" ca="1" si="44"/>
        <v xml:space="preserve"> </v>
      </c>
      <c r="X554" s="141" t="str">
        <f ca="1">IF(S554=" "," ",IFERROR(VLOOKUP(U554,$F$23:$N$1023,7)+VLOOKUP(U554,$F$23:$N$1023,9)+IF(AND('депозитный калькулятор'!$G$13="нет",U554&lt;&gt;'депозитный калькулятор'!$D$8),VLOOKUP(U554,$F$23:$N$1023,4),0),0)+IF(U554='депозитный калькулятор'!$D$8,VLOOKUP(U554,$F$23:$N$1023,2)+VLOOKUP(U554,$F$23:$N$1023,4),0))</f>
        <v xml:space="preserve"> </v>
      </c>
      <c r="Y554" s="142" t="str">
        <f ca="1">IF(S554=" "," ",W554/(1+'депозитный калькулятор'!$K$8)^(T554/IF('депозитный калькулятор'!$G$7="30/360",360,365)))</f>
        <v xml:space="preserve"> </v>
      </c>
      <c r="Z554" s="142" t="str">
        <f ca="1">IF(S554=" "," ",X554/(1+'депозитный калькулятор'!$K$8)^(T554/IF('депозитный калькулятор'!$G$7="30/360",360,365)))</f>
        <v xml:space="preserve"> </v>
      </c>
      <c r="AA554" s="151"/>
      <c r="AB554" s="151"/>
      <c r="AC554" s="155"/>
      <c r="AD554" s="155"/>
    </row>
    <row r="555" spans="1:30" s="2" customFormat="1" ht="15.5" x14ac:dyDescent="0.35">
      <c r="A555" s="41" t="str">
        <f>IF(F555=" "," ",IF(OR('депозитный калькулятор'!$G$7="30/365",'депозитный калькулятор'!$G$7="30/360"),IF(AND(MONTH(F555)=2,DAY(F555)=DAY(EOMONTH(F555,0))),30-DAY(EOMONTH(F555,0)),IF(DAY(F555)=31,1," "))," "))</f>
        <v xml:space="preserve"> </v>
      </c>
      <c r="B555" s="130" t="str">
        <f t="shared" si="41"/>
        <v xml:space="preserve"> </v>
      </c>
      <c r="C555" s="130" t="str">
        <f>IF(OR(B555=0,B555=" ")," ",SUM($B$23:B555))</f>
        <v xml:space="preserve"> </v>
      </c>
      <c r="D555" s="62" t="str">
        <f>IF(D554=" "," ",IF(OR(F554='депозитный калькулятор'!$D$8,F554=" ")," ",D554+1))</f>
        <v xml:space="preserve"> </v>
      </c>
      <c r="E555" s="130" t="str">
        <f>IF(OR(F554='депозитный калькулятор'!$D$8,F554=" ")," ",IF(EOMONTH(F554,0)=F554,1,E554+1))</f>
        <v xml:space="preserve"> </v>
      </c>
      <c r="F555" s="64" t="str">
        <f>IF(F554=" "," ",IF(F554='депозитный калькулятор'!$D$8," ",F554+1))</f>
        <v xml:space="preserve"> </v>
      </c>
      <c r="G555" s="145" t="str">
        <f xml:space="preserve"> IF(F555&gt;'депозитный калькулятор'!$D$8," ",IF('депозитный калькулятор'!$G$13="есть",IF('депозитный калькулятор'!$G$14="есть",G554+IF(I554=" ",0,I554)-J555-K555+L555+M555-N555,G554+IF(I554=" ",0,I554)-J555-K555+M555-N555),IF('депозитный калькулятор'!$G$14="есть",G554-J555-K555+L555+M555-N555,G554-J555-K555+M555-N555)))</f>
        <v xml:space="preserve"> </v>
      </c>
      <c r="H555" s="133" t="str">
        <f>IF(F555&gt;'депозитный калькулятор'!$D$8," ",IF(AND(OR('депозитный калькулятор'!$G$7="30/365",'депозитный калькулятор'!$G$7="30/360"),AND(MONTH(F555)=2,EOMONTH(F555,0)=F555)),IF(DAY(F555)=28,3*G555*'депозитный калькулятор'!$G$8,2*G555*'депозитный калькулятор'!$G$8),IF(AND(OR('депозитный калькулятор'!$G$7="30/365",'депозитный калькулятор'!$G$7="30/360"),DAY(F555)=31)," ",IF(AND('депозитный калькулятор'!$G$7="факт/факт",MOD(YEAR(F555),4)=0),G555*'депозитный калькулятор'!$D$11/366,G555*'депозитный калькулятор'!$G$8))))</f>
        <v xml:space="preserve"> </v>
      </c>
      <c r="I555" s="134" t="str">
        <f ca="1">IF(F555=" "," ",IF('депозитный калькулятор'!$G$10="ежедневное",H555,IF(AND('депозитный калькулятор'!$G$10="еженедельное",WEEKDAY(F555,2)=7),SUM(OFFSET(H555,-6,0):H555),IF(AND('депозитный калькулятор'!$G$10="еженедельное",F555='депозитный калькулятор'!$D$8),SUM($H$23:H555)-SUM($I$23:I554),IF(AND('депозитный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недели",WEEKDAY(F555,2)=7),MIN(OFFSET(H555,-6,0):H555)*(COUNTIF(OFFSET(H555,-6,0):H555,"&gt;0")+SUMIF(OFFSET(A555,-WEEKDAY(F555,2),0):A555,"=2",OFFSET(A555,-WEEKDAY(F555,2),0):A555)),IF(AND('депозитный калькулятор'!$G$10="еженедельное, на минимальную сумму зафиксированную в течение недели",F555='депозитный калькулятор'!$D$8,WEEKDAY(F555,2)&lt;&gt;7),MIN(OFFSET(H555,-WEEKDAY(F555,2),0):H555)*(COUNTIF(OFFSET(H555,-WEEKDAY(F555,2)+1,0):H555,"&gt;0")+SUM(OFFSET(A555,-WEEKDAY(F555,2),0):A555)),IF(AND('депозитный калькулятор'!$G$10="ежемесячное (в конце месяца)",F555='депозитный калькулятор'!$D$8,EOMONTH(F555,0)&lt;&gt;F555),IF('депозитный калькулятор'!$F$1=1,$H$24,SUM($H$23:H555)-SUM($I$23:I554)),IF(AND('депозитный калькулятор'!$G$10="ежемесячное (в конце месяца)",EOMONTH(F555,0)=F555),SUM($H$23:H555)-SUM($I$23:I554),IF(AND('депозитный калькулятор'!$G$10="ежемесячное (по дням открытия вклада)",F555='депозитный калькулятор'!$D$8,DAY('депозитный калькулятор'!$D$7)&lt;&gt;DAY(F555)),IF('депозитный калькулятор'!$F$1=1,$H$24,SUM($H$23:H555)-SUM($I$23:I554)),IF(AND('депозитный калькулятор'!$G$10="ежемесячное (по дням открытия вклада)",DAY('депозитный калькулятор'!$D$7)=DAY(F555)),SUM($H$23:H555)-SUM($I$23:I554),IF(AND('депозитный калькулятор'!$G$10="ежемесячное, на минимальную сумму зафиксированную в течение месяца",F555='депозитный калькулятор'!$D$8,EOMONTH(F555,0)&lt;&gt;F555),IF('депозитный калькулятор'!$F$1=1,$H$24,IF(AND(OR('депозитный калькулятор'!$G$7="30/365",'депозитный калькулятор'!$G$7="30/360"),DAY(F555)=31),0,MIN(OFFSET(H555,-E555+1,0):H555)*(E555+SUMIF(OFFSET(A555,-E555+1,0):A555,"=2",OFFSET(A555,-E555+1,0):A555)))),IF(AND('депозитный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калькулятор'!$G$7="30/360"),DAY(EOMONTH(F555,0))=31),EOMONTH(F555,0)-1=F555,EOMONTH(F555,0)=F555)),IF(IF(AND(OR('депозитный калькулятор'!$G$7="30/365",'депозитный калькулятор'!$G$7="30/360"),DAY(EOMONTH($F$23,0))=31),F555=EOMONTH($F$23,0)-1,F555=EOMONTH($F$23,0)),MIN(OFFSET(H555,-(DAY(F555)-DAY($F$23)),0):H555)*E555,MIN(OFFSET(H555,-(DAY(F555)-1),0):H555)*IF(AND(OR('депозитный калькулятор'!$G$7="30/365",'депозитный калькулятор'!$G$7="30/360"),DAY(F555)&lt;30),30,DAY(F555))),IF(AND('депозитный калькулятор'!$G$10="ежемесячное, на средний остаток в течение месяца, при условии что остаток больше чем ограничение",F555='депозитный калькулятор'!$D$8,EOMONTH(F555,0)&lt;&gt;F555),IF('депозитный калькулятор'!$F$1=1,$H$24,SUM(OFFSET(Q555,-E555+1,0):Q555)),IF(AND('депозитный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калькулятор'!$G$7="30/360"),DAY(EOMONTH(F555,0))=31),EOMONTH(F555,0)-1=F555,EOMONTH(F555,0)=F555)),IF(IF(AND(OR('депозитный калькулятор'!$G$7="30/365",'депозитный калькулятор'!$G$7="30/360"),DAY(EOMONTH($F$24,0))=31),F555=EOMONTH($F$24,0)-1,F555=EOMONTH($F$24,0)),SUM(OFFSET(Q555,-E555+1,0):Q555),SUM(OFFSET(Q555,-E555+1,0):Q555)),IF('депозитный калькулятор'!$G$10="ежеквартальное",IF(F555&gt;'депозитный калькулятор'!$D$8," ",IF(AND(EOMONTH(F555,0)=F555,OR(MONTH(F555)=3,MONTH(F555)=6,MONTH(F555)=9,MONTH(F555)=12)),IF(EDATE(F555,-3)&lt;'депозитный калькулятор'!$D$7,SUM($H$23:H555),IF(MOD(YEAR(F555),4)=0,IF(AND(EOMONTH(F555,0)=F555,OR(MONTH(F555)=3,MONTH(F555)=6)),SUM(OFFSET(H555,-90,0):H555),IF(AND(EOMONTH(F555,0)=F555,OR(MONTH(F555)=9,MONTH(F555)=12)),SUM(OFFSET(H555,-91,0):H555))),IF(AND(EOMONTH(F555,0)=F555,MONTH(F555)=3),SUM(OFFSET(H555,-89,0):H555),IF(AND(EOMONTH(F555,0)=F555,MONTH(F555)=6),SUM(OFFSET(H555,-90,0):H555),IF(AND(EOMONTH(F555,0)=F555,OR(MONTH(F555)=9,MONTH(F555)=12)),SUM(OFFSET(H555,-91,0):H555)))))),IF(F555='депозитный калькулятор'!$D$8,SUM($H$23:H555)-SUM($I$23:I554),0))),IF('депозитный калькулятор'!$G$10="ежегодное",IF(F555&gt;'депозитный калькулятор'!$D$8," ",IF(F555='депозитный калькулятор'!$D$8,SUM($H$23:H555)-SUM($I$23:I554),IF(AND(EOMONTH(F555,0)=F555,MONTH(F555)=12),IF(MOD(YEAR(F554),4)=0,IF(F555-'депозитный калькулятор'!$D$7&lt;366,SUM($H$23:H555),SUM(OFFSET(H555,-365,0):H555)),IF(F555-'депозитный калькулятор'!$D$7&lt;365,SUM($H$23:H555),SUM(OFFSET(H555,-364,0):H555))),0))),IF(AND('депозитный калькулятор'!$G$10="в конце срока",'депозитный калькулятор'!$D$8=F555),SUM($H$23:H555),0))))))))))))))))))</f>
        <v xml:space="preserve"> </v>
      </c>
      <c r="J555" s="59" t="str">
        <f>IF(F555&gt;'депозитный калькулятор'!$D$8," ",IF('депозитный калькулятор'!$G$16="нет",0,IF(AND('депозитный калькулятор'!$G$17="разовая (в конце срока)",F555='депозитный калькулятор'!$D$8),'депозитный калькулятор'!$G$18,IF(AND('депозитный калькулятор'!$G$17="ежемесячная",EOMONTH(F554,0)=F554),'депозитный калькулятор'!$G$18,IF(AND('депозитный калькулятор'!$G$17="ежегодная",DAY(F554)=31,MONTH(F554)=12),'депозитный калькулятор'!$G$18,IF(AND('депозитный калькулятор'!$G$17="ежемесячная в зависимости от остатка",EOMONTH(F554,0)=F554,P554&gt;0),'депозитный калькулятор'!$G$18,IF(AND('депозитный калькулятор'!$G$17="ежегодная в зависимости от остатка",DAY(F554)=31,MONTH(F554)=12,P554&gt;0),'депозитный калькулятор'!$G$18,0)))))))</f>
        <v xml:space="preserve"> </v>
      </c>
      <c r="K555" s="135" t="str">
        <f>IF($F555=" "," ",IFERROR(VLOOKUP($F555,'депозитный калькулятор'!$B$26:$F$70,2,0),0))</f>
        <v xml:space="preserve"> </v>
      </c>
      <c r="L555" s="135" t="str">
        <f>IF($F555=" "," ",IFERROR(VLOOKUP($F555,'депозитный калькулятор'!$B$26:$F$70,3,0),0))</f>
        <v xml:space="preserve"> </v>
      </c>
      <c r="M555" s="135" t="str">
        <f>IF($F555=" "," ",IFERROR(VLOOKUP($F555,'депозитный калькулятор'!$B$26:$F$70,4,0),0))</f>
        <v xml:space="preserve"> </v>
      </c>
      <c r="N555" s="135" t="str">
        <f>IF($F555=" "," ",IFERROR(VLOOKUP($F555,'депозитный калькулятор'!$B$26:$F$70,5,0),0))</f>
        <v xml:space="preserve"> </v>
      </c>
      <c r="O555" s="146" t="str">
        <f>IF(F555&gt;'депозитный калькулятор'!$D$8," ",IF(F555='депозитный калькулятор'!$D$8,IF(AND($F$24='депозитный калькулятор'!$D$8,'депозитный калькулятор'!$G$13="нет"),-G555-IF(I555=" ",0,I555)-IF(AND(OR('депозитный калькулятор'!$G$7="30/365",'депозитный калькулятор'!$G$7="30/360"),'депозитный калькулятор'!$G$10="в начале срока"),I554,0)-L555+M555-N555,-G555-IF(I555=" ",0,I555)-L555+M555-N555),IF('депозитный калькулятор'!$G$13="есть",M555-N555+IF('депозитный калькулятор'!$G$14="есть",0,-L555),-IF(I555=" ",0,I555)-IF(AND(OR('депозитный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срока"),I554,0)+M555-N555+IF('депозитный калькулятор'!$G$14="есть",0,-L555))))</f>
        <v xml:space="preserve"> </v>
      </c>
      <c r="P555" s="147" t="str">
        <f>IF(F555&gt;'депозитный калькулятор'!$D$8," ",IF(EOMONTH(F554,0)=F554,0,IF(G555&gt;='депозитный калькулятор'!$G$19,P554,P554+1)))</f>
        <v xml:space="preserve"> </v>
      </c>
      <c r="Q555" s="138" t="str">
        <f>IF(F555=" "," ",IF(AND(OR('депозитный калькулятор'!$G$7="30/365",'депозитный калькулятор'!$G$7="30/360"),AND(MONTH(F555)=2,EOMONTH(F555,0)=F555)),IF(DAY(F555)=28,3,2),1)*IF(G555&gt;='депозитный калькулятор'!$G$11,IF(AND('депозитный калькулятор'!$G$7="факт/факт",MOD(YEAR(F555),4)=0),G555*'депозитный калькулятор'!$D$11/366,G555*'депозитный калькулятор'!$G$8),0))</f>
        <v xml:space="preserve"> </v>
      </c>
      <c r="R555" s="158"/>
      <c r="S555" s="62" t="str">
        <f t="shared" ca="1" si="42"/>
        <v xml:space="preserve"> </v>
      </c>
      <c r="T555" s="149" t="str">
        <f ca="1">IF(S555=" "," ",IF('депозитный калькулятор'!$G$7="30/360",DAYS360(U554,IF(DAY(U555)=31,U555-1,U555))+IF(AND(MONTH(U555)=2,U555=EOMONTH(U555,0)),30-DAY(EOMONTH(U555,0)))+T554,VLOOKUP(S555,$C$22:$F$1023,2,0)))</f>
        <v xml:space="preserve"> </v>
      </c>
      <c r="U555" s="64" t="str">
        <f t="shared" ca="1" si="40"/>
        <v xml:space="preserve"> </v>
      </c>
      <c r="V555" s="150" t="str">
        <f t="shared" ca="1" si="43"/>
        <v xml:space="preserve"> </v>
      </c>
      <c r="W555" s="62" t="str">
        <f t="shared" ca="1" si="44"/>
        <v xml:space="preserve"> </v>
      </c>
      <c r="X555" s="141" t="str">
        <f ca="1">IF(S555=" "," ",IFERROR(VLOOKUP(U555,$F$23:$N$1023,7)+VLOOKUP(U555,$F$23:$N$1023,9)+IF(AND('депозитный калькулятор'!$G$13="нет",U555&lt;&gt;'депозитный калькулятор'!$D$8),VLOOKUP(U555,$F$23:$N$1023,4),0),0)+IF(U555='депозитный калькулятор'!$D$8,VLOOKUP(U555,$F$23:$N$1023,2)+VLOOKUP(U555,$F$23:$N$1023,4),0))</f>
        <v xml:space="preserve"> </v>
      </c>
      <c r="Y555" s="142" t="str">
        <f ca="1">IF(S555=" "," ",W555/(1+'депозитный калькулятор'!$K$8)^(T555/IF('депозитный калькулятор'!$G$7="30/360",360,365)))</f>
        <v xml:space="preserve"> </v>
      </c>
      <c r="Z555" s="142" t="str">
        <f ca="1">IF(S555=" "," ",X555/(1+'депозитный калькулятор'!$K$8)^(T555/IF('депозитный калькулятор'!$G$7="30/360",360,365)))</f>
        <v xml:space="preserve"> </v>
      </c>
      <c r="AA555" s="151"/>
      <c r="AB555" s="151"/>
      <c r="AC555" s="155"/>
      <c r="AD555" s="155"/>
    </row>
    <row r="556" spans="1:30" s="2" customFormat="1" ht="15.5" x14ac:dyDescent="0.35">
      <c r="A556" s="41" t="str">
        <f>IF(F556=" "," ",IF(OR('депозитный калькулятор'!$G$7="30/365",'депозитный калькулятор'!$G$7="30/360"),IF(AND(MONTH(F556)=2,DAY(F556)=DAY(EOMONTH(F556,0))),30-DAY(EOMONTH(F556,0)),IF(DAY(F556)=31,1," "))," "))</f>
        <v xml:space="preserve"> </v>
      </c>
      <c r="B556" s="130" t="str">
        <f t="shared" si="41"/>
        <v xml:space="preserve"> </v>
      </c>
      <c r="C556" s="130" t="str">
        <f>IF(OR(B556=0,B556=" ")," ",SUM($B$23:B556))</f>
        <v xml:space="preserve"> </v>
      </c>
      <c r="D556" s="62" t="str">
        <f>IF(D555=" "," ",IF(OR(F555='депозитный калькулятор'!$D$8,F555=" ")," ",D555+1))</f>
        <v xml:space="preserve"> </v>
      </c>
      <c r="E556" s="130" t="str">
        <f>IF(OR(F555='депозитный калькулятор'!$D$8,F555=" ")," ",IF(EOMONTH(F555,0)=F555,1,E555+1))</f>
        <v xml:space="preserve"> </v>
      </c>
      <c r="F556" s="64" t="str">
        <f>IF(F555=" "," ",IF(F555='депозитный калькулятор'!$D$8," ",F555+1))</f>
        <v xml:space="preserve"> </v>
      </c>
      <c r="G556" s="145" t="str">
        <f xml:space="preserve"> IF(F556&gt;'депозитный калькулятор'!$D$8," ",IF('депозитный калькулятор'!$G$13="есть",IF('депозитный калькулятор'!$G$14="есть",G555+IF(I555=" ",0,I555)-J556-K556+L556+M556-N556,G555+IF(I555=" ",0,I555)-J556-K556+M556-N556),IF('депозитный калькулятор'!$G$14="есть",G555-J556-K556+L556+M556-N556,G555-J556-K556+M556-N556)))</f>
        <v xml:space="preserve"> </v>
      </c>
      <c r="H556" s="133" t="str">
        <f>IF(F556&gt;'депозитный калькулятор'!$D$8," ",IF(AND(OR('депозитный калькулятор'!$G$7="30/365",'депозитный калькулятор'!$G$7="30/360"),AND(MONTH(F556)=2,EOMONTH(F556,0)=F556)),IF(DAY(F556)=28,3*G556*'депозитный калькулятор'!$G$8,2*G556*'депозитный калькулятор'!$G$8),IF(AND(OR('депозитный калькулятор'!$G$7="30/365",'депозитный калькулятор'!$G$7="30/360"),DAY(F556)=31)," ",IF(AND('депозитный калькулятор'!$G$7="факт/факт",MOD(YEAR(F556),4)=0),G556*'депозитный калькулятор'!$D$11/366,G556*'депозитный калькулятор'!$G$8))))</f>
        <v xml:space="preserve"> </v>
      </c>
      <c r="I556" s="134" t="str">
        <f ca="1">IF(F556=" "," ",IF('депозитный калькулятор'!$G$10="ежедневное",H556,IF(AND('депозитный калькулятор'!$G$10="еженедельное",WEEKDAY(F556,2)=7),SUM(OFFSET(H556,-6,0):H556),IF(AND('депозитный калькулятор'!$G$10="еженедельное",F556='депозитный калькулятор'!$D$8),SUM($H$23:H556)-SUM($I$23:I555),IF(AND('депозитный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недели",WEEKDAY(F556,2)=7),MIN(OFFSET(H556,-6,0):H556)*(COUNTIF(OFFSET(H556,-6,0):H556,"&gt;0")+SUMIF(OFFSET(A556,-WEEKDAY(F556,2),0):A556,"=2",OFFSET(A556,-WEEKDAY(F556,2),0):A556)),IF(AND('депозитный калькулятор'!$G$10="еженедельное, на минимальную сумму зафиксированную в течение недели",F556='депозитный калькулятор'!$D$8,WEEKDAY(F556,2)&lt;&gt;7),MIN(OFFSET(H556,-WEEKDAY(F556,2),0):H556)*(COUNTIF(OFFSET(H556,-WEEKDAY(F556,2)+1,0):H556,"&gt;0")+SUM(OFFSET(A556,-WEEKDAY(F556,2),0):A556)),IF(AND('депозитный калькулятор'!$G$10="ежемесячное (в конце месяца)",F556='депозитный калькулятор'!$D$8,EOMONTH(F556,0)&lt;&gt;F556),IF('депозитный калькулятор'!$F$1=1,$H$24,SUM($H$23:H556)-SUM($I$23:I555)),IF(AND('депозитный калькулятор'!$G$10="ежемесячное (в конце месяца)",EOMONTH(F556,0)=F556),SUM($H$23:H556)-SUM($I$23:I555),IF(AND('депозитный калькулятор'!$G$10="ежемесячное (по дням открытия вклада)",F556='депозитный калькулятор'!$D$8,DAY('депозитный калькулятор'!$D$7)&lt;&gt;DAY(F556)),IF('депозитный калькулятор'!$F$1=1,$H$24,SUM($H$23:H556)-SUM($I$23:I555)),IF(AND('депозитный калькулятор'!$G$10="ежемесячное (по дням открытия вклада)",DAY('депозитный калькулятор'!$D$7)=DAY(F556)),SUM($H$23:H556)-SUM($I$23:I555),IF(AND('депозитный калькулятор'!$G$10="ежемесячное, на минимальную сумму зафиксированную в течение месяца",F556='депозитный калькулятор'!$D$8,EOMONTH(F556,0)&lt;&gt;F556),IF('депозитный калькулятор'!$F$1=1,$H$24,IF(AND(OR('депозитный калькулятор'!$G$7="30/365",'депозитный калькулятор'!$G$7="30/360"),DAY(F556)=31),0,MIN(OFFSET(H556,-E556+1,0):H556)*(E556+SUMIF(OFFSET(A556,-E556+1,0):A556,"=2",OFFSET(A556,-E556+1,0):A556)))),IF(AND('депозитный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калькулятор'!$G$7="30/360"),DAY(EOMONTH(F556,0))=31),EOMONTH(F556,0)-1=F556,EOMONTH(F556,0)=F556)),IF(IF(AND(OR('депозитный калькулятор'!$G$7="30/365",'депозитный калькулятор'!$G$7="30/360"),DAY(EOMONTH($F$23,0))=31),F556=EOMONTH($F$23,0)-1,F556=EOMONTH($F$23,0)),MIN(OFFSET(H556,-(DAY(F556)-DAY($F$23)),0):H556)*E556,MIN(OFFSET(H556,-(DAY(F556)-1),0):H556)*IF(AND(OR('депозитный калькулятор'!$G$7="30/365",'депозитный калькулятор'!$G$7="30/360"),DAY(F556)&lt;30),30,DAY(F556))),IF(AND('депозитный калькулятор'!$G$10="ежемесячное, на средний остаток в течение месяца, при условии что остаток больше чем ограничение",F556='депозитный калькулятор'!$D$8,EOMONTH(F556,0)&lt;&gt;F556),IF('депозитный калькулятор'!$F$1=1,$H$24,SUM(OFFSET(Q556,-E556+1,0):Q556)),IF(AND('депозитный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калькулятор'!$G$7="30/360"),DAY(EOMONTH(F556,0))=31),EOMONTH(F556,0)-1=F556,EOMONTH(F556,0)=F556)),IF(IF(AND(OR('депозитный калькулятор'!$G$7="30/365",'депозитный калькулятор'!$G$7="30/360"),DAY(EOMONTH($F$24,0))=31),F556=EOMONTH($F$24,0)-1,F556=EOMONTH($F$24,0)),SUM(OFFSET(Q556,-E556+1,0):Q556),SUM(OFFSET(Q556,-E556+1,0):Q556)),IF('депозитный калькулятор'!$G$10="ежеквартальное",IF(F556&gt;'депозитный калькулятор'!$D$8," ",IF(AND(EOMONTH(F556,0)=F556,OR(MONTH(F556)=3,MONTH(F556)=6,MONTH(F556)=9,MONTH(F556)=12)),IF(EDATE(F556,-3)&lt;'депозитный калькулятор'!$D$7,SUM($H$23:H556),IF(MOD(YEAR(F556),4)=0,IF(AND(EOMONTH(F556,0)=F556,OR(MONTH(F556)=3,MONTH(F556)=6)),SUM(OFFSET(H556,-90,0):H556),IF(AND(EOMONTH(F556,0)=F556,OR(MONTH(F556)=9,MONTH(F556)=12)),SUM(OFFSET(H556,-91,0):H556))),IF(AND(EOMONTH(F556,0)=F556,MONTH(F556)=3),SUM(OFFSET(H556,-89,0):H556),IF(AND(EOMONTH(F556,0)=F556,MONTH(F556)=6),SUM(OFFSET(H556,-90,0):H556),IF(AND(EOMONTH(F556,0)=F556,OR(MONTH(F556)=9,MONTH(F556)=12)),SUM(OFFSET(H556,-91,0):H556)))))),IF(F556='депозитный калькулятор'!$D$8,SUM($H$23:H556)-SUM($I$23:I555),0))),IF('депозитный калькулятор'!$G$10="ежегодное",IF(F556&gt;'депозитный калькулятор'!$D$8," ",IF(F556='депозитный калькулятор'!$D$8,SUM($H$23:H556)-SUM($I$23:I555),IF(AND(EOMONTH(F556,0)=F556,MONTH(F556)=12),IF(MOD(YEAR(F555),4)=0,IF(F556-'депозитный калькулятор'!$D$7&lt;366,SUM($H$23:H556),SUM(OFFSET(H556,-365,0):H556)),IF(F556-'депозитный калькулятор'!$D$7&lt;365,SUM($H$23:H556),SUM(OFFSET(H556,-364,0):H556))),0))),IF(AND('депозитный калькулятор'!$G$10="в конце срока",'депозитный калькулятор'!$D$8=F556),SUM($H$23:H556),0))))))))))))))))))</f>
        <v xml:space="preserve"> </v>
      </c>
      <c r="J556" s="59" t="str">
        <f>IF(F556&gt;'депозитный калькулятор'!$D$8," ",IF('депозитный калькулятор'!$G$16="нет",0,IF(AND('депозитный калькулятор'!$G$17="разовая (в конце срока)",F556='депозитный калькулятор'!$D$8),'депозитный калькулятор'!$G$18,IF(AND('депозитный калькулятор'!$G$17="ежемесячная",EOMONTH(F555,0)=F555),'депозитный калькулятор'!$G$18,IF(AND('депозитный калькулятор'!$G$17="ежегодная",DAY(F555)=31,MONTH(F555)=12),'депозитный калькулятор'!$G$18,IF(AND('депозитный калькулятор'!$G$17="ежемесячная в зависимости от остатка",EOMONTH(F555,0)=F555,P555&gt;0),'депозитный калькулятор'!$G$18,IF(AND('депозитный калькулятор'!$G$17="ежегодная в зависимости от остатка",DAY(F555)=31,MONTH(F555)=12,P555&gt;0),'депозитный калькулятор'!$G$18,0)))))))</f>
        <v xml:space="preserve"> </v>
      </c>
      <c r="K556" s="135" t="str">
        <f>IF($F556=" "," ",IFERROR(VLOOKUP($F556,'депозитный калькулятор'!$B$26:$F$70,2,0),0))</f>
        <v xml:space="preserve"> </v>
      </c>
      <c r="L556" s="135" t="str">
        <f>IF($F556=" "," ",IFERROR(VLOOKUP($F556,'депозитный калькулятор'!$B$26:$F$70,3,0),0))</f>
        <v xml:space="preserve"> </v>
      </c>
      <c r="M556" s="135" t="str">
        <f>IF($F556=" "," ",IFERROR(VLOOKUP($F556,'депозитный калькулятор'!$B$26:$F$70,4,0),0))</f>
        <v xml:space="preserve"> </v>
      </c>
      <c r="N556" s="135" t="str">
        <f>IF($F556=" "," ",IFERROR(VLOOKUP($F556,'депозитный калькулятор'!$B$26:$F$70,5,0),0))</f>
        <v xml:space="preserve"> </v>
      </c>
      <c r="O556" s="146" t="str">
        <f>IF(F556&gt;'депозитный калькулятор'!$D$8," ",IF(F556='депозитный калькулятор'!$D$8,IF(AND($F$24='депозитный калькулятор'!$D$8,'депозитный калькулятор'!$G$13="нет"),-G556-IF(I556=" ",0,I556)-IF(AND(OR('депозитный калькулятор'!$G$7="30/365",'депозитный калькулятор'!$G$7="30/360"),'депозитный калькулятор'!$G$10="в начале срока"),I555,0)-L556+M556-N556,-G556-IF(I556=" ",0,I556)-L556+M556-N556),IF('депозитный калькулятор'!$G$13="есть",M556-N556+IF('депозитный калькулятор'!$G$14="есть",0,-L556),-IF(I556=" ",0,I556)-IF(AND(OR('депозитный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срока"),I555,0)+M556-N556+IF('депозитный калькулятор'!$G$14="есть",0,-L556))))</f>
        <v xml:space="preserve"> </v>
      </c>
      <c r="P556" s="147" t="str">
        <f>IF(F556&gt;'депозитный калькулятор'!$D$8," ",IF(EOMONTH(F555,0)=F555,0,IF(G556&gt;='депозитный калькулятор'!$G$19,P555,P555+1)))</f>
        <v xml:space="preserve"> </v>
      </c>
      <c r="Q556" s="138" t="str">
        <f>IF(F556=" "," ",IF(AND(OR('депозитный калькулятор'!$G$7="30/365",'депозитный калькулятор'!$G$7="30/360"),AND(MONTH(F556)=2,EOMONTH(F556,0)=F556)),IF(DAY(F556)=28,3,2),1)*IF(G556&gt;='депозитный калькулятор'!$G$11,IF(AND('депозитный калькулятор'!$G$7="факт/факт",MOD(YEAR(F556),4)=0),G556*'депозитный калькулятор'!$D$11/366,G556*'депозитный калькулятор'!$G$8),0))</f>
        <v xml:space="preserve"> </v>
      </c>
      <c r="R556" s="158"/>
      <c r="S556" s="62" t="str">
        <f t="shared" ca="1" si="42"/>
        <v xml:space="preserve"> </v>
      </c>
      <c r="T556" s="149" t="str">
        <f ca="1">IF(S556=" "," ",IF('депозитный калькулятор'!$G$7="30/360",DAYS360(U555,IF(DAY(U556)=31,U556-1,U556))+IF(AND(MONTH(U556)=2,U556=EOMONTH(U556,0)),30-DAY(EOMONTH(U556,0)))+T555,VLOOKUP(S556,$C$22:$F$1023,2,0)))</f>
        <v xml:space="preserve"> </v>
      </c>
      <c r="U556" s="64" t="str">
        <f t="shared" ca="1" si="40"/>
        <v xml:space="preserve"> </v>
      </c>
      <c r="V556" s="150" t="str">
        <f t="shared" ca="1" si="43"/>
        <v xml:space="preserve"> </v>
      </c>
      <c r="W556" s="62" t="str">
        <f t="shared" ca="1" si="44"/>
        <v xml:space="preserve"> </v>
      </c>
      <c r="X556" s="141" t="str">
        <f ca="1">IF(S556=" "," ",IFERROR(VLOOKUP(U556,$F$23:$N$1023,7)+VLOOKUP(U556,$F$23:$N$1023,9)+IF(AND('депозитный калькулятор'!$G$13="нет",U556&lt;&gt;'депозитный калькулятор'!$D$8),VLOOKUP(U556,$F$23:$N$1023,4),0),0)+IF(U556='депозитный калькулятор'!$D$8,VLOOKUP(U556,$F$23:$N$1023,2)+VLOOKUP(U556,$F$23:$N$1023,4),0))</f>
        <v xml:space="preserve"> </v>
      </c>
      <c r="Y556" s="142" t="str">
        <f ca="1">IF(S556=" "," ",W556/(1+'депозитный калькулятор'!$K$8)^(T556/IF('депозитный калькулятор'!$G$7="30/360",360,365)))</f>
        <v xml:space="preserve"> </v>
      </c>
      <c r="Z556" s="142" t="str">
        <f ca="1">IF(S556=" "," ",X556/(1+'депозитный калькулятор'!$K$8)^(T556/IF('депозитный калькулятор'!$G$7="30/360",360,365)))</f>
        <v xml:space="preserve"> </v>
      </c>
      <c r="AA556" s="151"/>
      <c r="AB556" s="151"/>
      <c r="AC556" s="155"/>
      <c r="AD556" s="155"/>
    </row>
    <row r="557" spans="1:30" s="2" customFormat="1" ht="15.5" x14ac:dyDescent="0.35">
      <c r="A557" s="41" t="str">
        <f>IF(F557=" "," ",IF(OR('депозитный калькулятор'!$G$7="30/365",'депозитный калькулятор'!$G$7="30/360"),IF(AND(MONTH(F557)=2,DAY(F557)=DAY(EOMONTH(F557,0))),30-DAY(EOMONTH(F557,0)),IF(DAY(F557)=31,1," "))," "))</f>
        <v xml:space="preserve"> </v>
      </c>
      <c r="B557" s="130" t="str">
        <f t="shared" si="41"/>
        <v xml:space="preserve"> </v>
      </c>
      <c r="C557" s="130" t="str">
        <f>IF(OR(B557=0,B557=" ")," ",SUM($B$23:B557))</f>
        <v xml:space="preserve"> </v>
      </c>
      <c r="D557" s="62" t="str">
        <f>IF(D556=" "," ",IF(OR(F556='депозитный калькулятор'!$D$8,F556=" ")," ",D556+1))</f>
        <v xml:space="preserve"> </v>
      </c>
      <c r="E557" s="130" t="str">
        <f>IF(OR(F556='депозитный калькулятор'!$D$8,F556=" ")," ",IF(EOMONTH(F556,0)=F556,1,E556+1))</f>
        <v xml:space="preserve"> </v>
      </c>
      <c r="F557" s="64" t="str">
        <f>IF(F556=" "," ",IF(F556='депозитный калькулятор'!$D$8," ",F556+1))</f>
        <v xml:space="preserve"> </v>
      </c>
      <c r="G557" s="145" t="str">
        <f xml:space="preserve"> IF(F557&gt;'депозитный калькулятор'!$D$8," ",IF('депозитный калькулятор'!$G$13="есть",IF('депозитный калькулятор'!$G$14="есть",G556+IF(I556=" ",0,I556)-J557-K557+L557+M557-N557,G556+IF(I556=" ",0,I556)-J557-K557+M557-N557),IF('депозитный калькулятор'!$G$14="есть",G556-J557-K557+L557+M557-N557,G556-J557-K557+M557-N557)))</f>
        <v xml:space="preserve"> </v>
      </c>
      <c r="H557" s="133" t="str">
        <f>IF(F557&gt;'депозитный калькулятор'!$D$8," ",IF(AND(OR('депозитный калькулятор'!$G$7="30/365",'депозитный калькулятор'!$G$7="30/360"),AND(MONTH(F557)=2,EOMONTH(F557,0)=F557)),IF(DAY(F557)=28,3*G557*'депозитный калькулятор'!$G$8,2*G557*'депозитный калькулятор'!$G$8),IF(AND(OR('депозитный калькулятор'!$G$7="30/365",'депозитный калькулятор'!$G$7="30/360"),DAY(F557)=31)," ",IF(AND('депозитный калькулятор'!$G$7="факт/факт",MOD(YEAR(F557),4)=0),G557*'депозитный калькулятор'!$D$11/366,G557*'депозитный калькулятор'!$G$8))))</f>
        <v xml:space="preserve"> </v>
      </c>
      <c r="I557" s="134" t="str">
        <f ca="1">IF(F557=" "," ",IF('депозитный калькулятор'!$G$10="ежедневное",H557,IF(AND('депозитный калькулятор'!$G$10="еженедельное",WEEKDAY(F557,2)=7),SUM(OFFSET(H557,-6,0):H557),IF(AND('депозитный калькулятор'!$G$10="еженедельное",F557='депозитный калькулятор'!$D$8),SUM($H$23:H557)-SUM($I$23:I556),IF(AND('депозитный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недели",WEEKDAY(F557,2)=7),MIN(OFFSET(H557,-6,0):H557)*(COUNTIF(OFFSET(H557,-6,0):H557,"&gt;0")+SUMIF(OFFSET(A557,-WEEKDAY(F557,2),0):A557,"=2",OFFSET(A557,-WEEKDAY(F557,2),0):A557)),IF(AND('депозитный калькулятор'!$G$10="еженедельное, на минимальную сумму зафиксированную в течение недели",F557='депозитный калькулятор'!$D$8,WEEKDAY(F557,2)&lt;&gt;7),MIN(OFFSET(H557,-WEEKDAY(F557,2),0):H557)*(COUNTIF(OFFSET(H557,-WEEKDAY(F557,2)+1,0):H557,"&gt;0")+SUM(OFFSET(A557,-WEEKDAY(F557,2),0):A557)),IF(AND('депозитный калькулятор'!$G$10="ежемесячное (в конце месяца)",F557='депозитный калькулятор'!$D$8,EOMONTH(F557,0)&lt;&gt;F557),IF('депозитный калькулятор'!$F$1=1,$H$24,SUM($H$23:H557)-SUM($I$23:I556)),IF(AND('депозитный калькулятор'!$G$10="ежемесячное (в конце месяца)",EOMONTH(F557,0)=F557),SUM($H$23:H557)-SUM($I$23:I556),IF(AND('депозитный калькулятор'!$G$10="ежемесячное (по дням открытия вклада)",F557='депозитный калькулятор'!$D$8,DAY('депозитный калькулятор'!$D$7)&lt;&gt;DAY(F557)),IF('депозитный калькулятор'!$F$1=1,$H$24,SUM($H$23:H557)-SUM($I$23:I556)),IF(AND('депозитный калькулятор'!$G$10="ежемесячное (по дням открытия вклада)",DAY('депозитный калькулятор'!$D$7)=DAY(F557)),SUM($H$23:H557)-SUM($I$23:I556),IF(AND('депозитный калькулятор'!$G$10="ежемесячное, на минимальную сумму зафиксированную в течение месяца",F557='депозитный калькулятор'!$D$8,EOMONTH(F557,0)&lt;&gt;F557),IF('депозитный калькулятор'!$F$1=1,$H$24,IF(AND(OR('депозитный калькулятор'!$G$7="30/365",'депозитный калькулятор'!$G$7="30/360"),DAY(F557)=31),0,MIN(OFFSET(H557,-E557+1,0):H557)*(E557+SUMIF(OFFSET(A557,-E557+1,0):A557,"=2",OFFSET(A557,-E557+1,0):A557)))),IF(AND('депозитный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калькулятор'!$G$7="30/360"),DAY(EOMONTH(F557,0))=31),EOMONTH(F557,0)-1=F557,EOMONTH(F557,0)=F557)),IF(IF(AND(OR('депозитный калькулятор'!$G$7="30/365",'депозитный калькулятор'!$G$7="30/360"),DAY(EOMONTH($F$23,0))=31),F557=EOMONTH($F$23,0)-1,F557=EOMONTH($F$23,0)),MIN(OFFSET(H557,-(DAY(F557)-DAY($F$23)),0):H557)*E557,MIN(OFFSET(H557,-(DAY(F557)-1),0):H557)*IF(AND(OR('депозитный калькулятор'!$G$7="30/365",'депозитный калькулятор'!$G$7="30/360"),DAY(F557)&lt;30),30,DAY(F557))),IF(AND('депозитный калькулятор'!$G$10="ежемесячное, на средний остаток в течение месяца, при условии что остаток больше чем ограничение",F557='депозитный калькулятор'!$D$8,EOMONTH(F557,0)&lt;&gt;F557),IF('депозитный калькулятор'!$F$1=1,$H$24,SUM(OFFSET(Q557,-E557+1,0):Q557)),IF(AND('депозитный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калькулятор'!$G$7="30/360"),DAY(EOMONTH(F557,0))=31),EOMONTH(F557,0)-1=F557,EOMONTH(F557,0)=F557)),IF(IF(AND(OR('депозитный калькулятор'!$G$7="30/365",'депозитный калькулятор'!$G$7="30/360"),DAY(EOMONTH($F$24,0))=31),F557=EOMONTH($F$24,0)-1,F557=EOMONTH($F$24,0)),SUM(OFFSET(Q557,-E557+1,0):Q557),SUM(OFFSET(Q557,-E557+1,0):Q557)),IF('депозитный калькулятор'!$G$10="ежеквартальное",IF(F557&gt;'депозитный калькулятор'!$D$8," ",IF(AND(EOMONTH(F557,0)=F557,OR(MONTH(F557)=3,MONTH(F557)=6,MONTH(F557)=9,MONTH(F557)=12)),IF(EDATE(F557,-3)&lt;'депозитный калькулятор'!$D$7,SUM($H$23:H557),IF(MOD(YEAR(F557),4)=0,IF(AND(EOMONTH(F557,0)=F557,OR(MONTH(F557)=3,MONTH(F557)=6)),SUM(OFFSET(H557,-90,0):H557),IF(AND(EOMONTH(F557,0)=F557,OR(MONTH(F557)=9,MONTH(F557)=12)),SUM(OFFSET(H557,-91,0):H557))),IF(AND(EOMONTH(F557,0)=F557,MONTH(F557)=3),SUM(OFFSET(H557,-89,0):H557),IF(AND(EOMONTH(F557,0)=F557,MONTH(F557)=6),SUM(OFFSET(H557,-90,0):H557),IF(AND(EOMONTH(F557,0)=F557,OR(MONTH(F557)=9,MONTH(F557)=12)),SUM(OFFSET(H557,-91,0):H557)))))),IF(F557='депозитный калькулятор'!$D$8,SUM($H$23:H557)-SUM($I$23:I556),0))),IF('депозитный калькулятор'!$G$10="ежегодное",IF(F557&gt;'депозитный калькулятор'!$D$8," ",IF(F557='депозитный калькулятор'!$D$8,SUM($H$23:H557)-SUM($I$23:I556),IF(AND(EOMONTH(F557,0)=F557,MONTH(F557)=12),IF(MOD(YEAR(F556),4)=0,IF(F557-'депозитный калькулятор'!$D$7&lt;366,SUM($H$23:H557),SUM(OFFSET(H557,-365,0):H557)),IF(F557-'депозитный калькулятор'!$D$7&lt;365,SUM($H$23:H557),SUM(OFFSET(H557,-364,0):H557))),0))),IF(AND('депозитный калькулятор'!$G$10="в конце срока",'депозитный калькулятор'!$D$8=F557),SUM($H$23:H557),0))))))))))))))))))</f>
        <v xml:space="preserve"> </v>
      </c>
      <c r="J557" s="59" t="str">
        <f>IF(F557&gt;'депозитный калькулятор'!$D$8," ",IF('депозитный калькулятор'!$G$16="нет",0,IF(AND('депозитный калькулятор'!$G$17="разовая (в конце срока)",F557='депозитный калькулятор'!$D$8),'депозитный калькулятор'!$G$18,IF(AND('депозитный калькулятор'!$G$17="ежемесячная",EOMONTH(F556,0)=F556),'депозитный калькулятор'!$G$18,IF(AND('депозитный калькулятор'!$G$17="ежегодная",DAY(F556)=31,MONTH(F556)=12),'депозитный калькулятор'!$G$18,IF(AND('депозитный калькулятор'!$G$17="ежемесячная в зависимости от остатка",EOMONTH(F556,0)=F556,P556&gt;0),'депозитный калькулятор'!$G$18,IF(AND('депозитный калькулятор'!$G$17="ежегодная в зависимости от остатка",DAY(F556)=31,MONTH(F556)=12,P556&gt;0),'депозитный калькулятор'!$G$18,0)))))))</f>
        <v xml:space="preserve"> </v>
      </c>
      <c r="K557" s="135" t="str">
        <f>IF($F557=" "," ",IFERROR(VLOOKUP($F557,'депозитный калькулятор'!$B$26:$F$70,2,0),0))</f>
        <v xml:space="preserve"> </v>
      </c>
      <c r="L557" s="135" t="str">
        <f>IF($F557=" "," ",IFERROR(VLOOKUP($F557,'депозитный калькулятор'!$B$26:$F$70,3,0),0))</f>
        <v xml:space="preserve"> </v>
      </c>
      <c r="M557" s="135" t="str">
        <f>IF($F557=" "," ",IFERROR(VLOOKUP($F557,'депозитный калькулятор'!$B$26:$F$70,4,0),0))</f>
        <v xml:space="preserve"> </v>
      </c>
      <c r="N557" s="135" t="str">
        <f>IF($F557=" "," ",IFERROR(VLOOKUP($F557,'депозитный калькулятор'!$B$26:$F$70,5,0),0))</f>
        <v xml:space="preserve"> </v>
      </c>
      <c r="O557" s="146" t="str">
        <f>IF(F557&gt;'депозитный калькулятор'!$D$8," ",IF(F557='депозитный калькулятор'!$D$8,IF(AND($F$24='депозитный калькулятор'!$D$8,'депозитный калькулятор'!$G$13="нет"),-G557-IF(I557=" ",0,I557)-IF(AND(OR('депозитный калькулятор'!$G$7="30/365",'депозитный калькулятор'!$G$7="30/360"),'депозитный калькулятор'!$G$10="в начале срока"),I556,0)-L557+M557-N557,-G557-IF(I557=" ",0,I557)-L557+M557-N557),IF('депозитный калькулятор'!$G$13="есть",M557-N557+IF('депозитный калькулятор'!$G$14="есть",0,-L557),-IF(I557=" ",0,I557)-IF(AND(OR('депозитный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срока"),I556,0)+M557-N557+IF('депозитный калькулятор'!$G$14="есть",0,-L557))))</f>
        <v xml:space="preserve"> </v>
      </c>
      <c r="P557" s="147" t="str">
        <f>IF(F557&gt;'депозитный калькулятор'!$D$8," ",IF(EOMONTH(F556,0)=F556,0,IF(G557&gt;='депозитный калькулятор'!$G$19,P556,P556+1)))</f>
        <v xml:space="preserve"> </v>
      </c>
      <c r="Q557" s="138" t="str">
        <f>IF(F557=" "," ",IF(AND(OR('депозитный калькулятор'!$G$7="30/365",'депозитный калькулятор'!$G$7="30/360"),AND(MONTH(F557)=2,EOMONTH(F557,0)=F557)),IF(DAY(F557)=28,3,2),1)*IF(G557&gt;='депозитный калькулятор'!$G$11,IF(AND('депозитный калькулятор'!$G$7="факт/факт",MOD(YEAR(F557),4)=0),G557*'депозитный калькулятор'!$D$11/366,G557*'депозитный калькулятор'!$G$8),0))</f>
        <v xml:space="preserve"> </v>
      </c>
      <c r="R557" s="158"/>
      <c r="S557" s="62" t="str">
        <f t="shared" ca="1" si="42"/>
        <v xml:space="preserve"> </v>
      </c>
      <c r="T557" s="149" t="str">
        <f ca="1">IF(S557=" "," ",IF('депозитный калькулятор'!$G$7="30/360",DAYS360(U556,IF(DAY(U557)=31,U557-1,U557))+IF(AND(MONTH(U557)=2,U557=EOMONTH(U557,0)),30-DAY(EOMONTH(U557,0)))+T556,VLOOKUP(S557,$C$22:$F$1023,2,0)))</f>
        <v xml:space="preserve"> </v>
      </c>
      <c r="U557" s="64" t="str">
        <f t="shared" ca="1" si="40"/>
        <v xml:space="preserve"> </v>
      </c>
      <c r="V557" s="150" t="str">
        <f t="shared" ca="1" si="43"/>
        <v xml:space="preserve"> </v>
      </c>
      <c r="W557" s="62" t="str">
        <f t="shared" ca="1" si="44"/>
        <v xml:space="preserve"> </v>
      </c>
      <c r="X557" s="141" t="str">
        <f ca="1">IF(S557=" "," ",IFERROR(VLOOKUP(U557,$F$23:$N$1023,7)+VLOOKUP(U557,$F$23:$N$1023,9)+IF(AND('депозитный калькулятор'!$G$13="нет",U557&lt;&gt;'депозитный калькулятор'!$D$8),VLOOKUP(U557,$F$23:$N$1023,4),0),0)+IF(U557='депозитный калькулятор'!$D$8,VLOOKUP(U557,$F$23:$N$1023,2)+VLOOKUP(U557,$F$23:$N$1023,4),0))</f>
        <v xml:space="preserve"> </v>
      </c>
      <c r="Y557" s="142" t="str">
        <f ca="1">IF(S557=" "," ",W557/(1+'депозитный калькулятор'!$K$8)^(T557/IF('депозитный калькулятор'!$G$7="30/360",360,365)))</f>
        <v xml:space="preserve"> </v>
      </c>
      <c r="Z557" s="142" t="str">
        <f ca="1">IF(S557=" "," ",X557/(1+'депозитный калькулятор'!$K$8)^(T557/IF('депозитный калькулятор'!$G$7="30/360",360,365)))</f>
        <v xml:space="preserve"> </v>
      </c>
      <c r="AA557" s="151"/>
      <c r="AB557" s="151"/>
      <c r="AC557" s="155"/>
      <c r="AD557" s="155"/>
    </row>
    <row r="558" spans="1:30" s="2" customFormat="1" ht="15.5" x14ac:dyDescent="0.35">
      <c r="A558" s="41" t="str">
        <f>IF(F558=" "," ",IF(OR('депозитный калькулятор'!$G$7="30/365",'депозитный калькулятор'!$G$7="30/360"),IF(AND(MONTH(F558)=2,DAY(F558)=DAY(EOMONTH(F558,0))),30-DAY(EOMONTH(F558,0)),IF(DAY(F558)=31,1," "))," "))</f>
        <v xml:space="preserve"> </v>
      </c>
      <c r="B558" s="130" t="str">
        <f t="shared" si="41"/>
        <v xml:space="preserve"> </v>
      </c>
      <c r="C558" s="130" t="str">
        <f>IF(OR(B558=0,B558=" ")," ",SUM($B$23:B558))</f>
        <v xml:space="preserve"> </v>
      </c>
      <c r="D558" s="62" t="str">
        <f>IF(D557=" "," ",IF(OR(F557='депозитный калькулятор'!$D$8,F557=" ")," ",D557+1))</f>
        <v xml:space="preserve"> </v>
      </c>
      <c r="E558" s="130" t="str">
        <f>IF(OR(F557='депозитный калькулятор'!$D$8,F557=" ")," ",IF(EOMONTH(F557,0)=F557,1,E557+1))</f>
        <v xml:space="preserve"> </v>
      </c>
      <c r="F558" s="64" t="str">
        <f>IF(F557=" "," ",IF(F557='депозитный калькулятор'!$D$8," ",F557+1))</f>
        <v xml:space="preserve"> </v>
      </c>
      <c r="G558" s="145" t="str">
        <f xml:space="preserve"> IF(F558&gt;'депозитный калькулятор'!$D$8," ",IF('депозитный калькулятор'!$G$13="есть",IF('депозитный калькулятор'!$G$14="есть",G557+IF(I557=" ",0,I557)-J558-K558+L558+M558-N558,G557+IF(I557=" ",0,I557)-J558-K558+M558-N558),IF('депозитный калькулятор'!$G$14="есть",G557-J558-K558+L558+M558-N558,G557-J558-K558+M558-N558)))</f>
        <v xml:space="preserve"> </v>
      </c>
      <c r="H558" s="133" t="str">
        <f>IF(F558&gt;'депозитный калькулятор'!$D$8," ",IF(AND(OR('депозитный калькулятор'!$G$7="30/365",'депозитный калькулятор'!$G$7="30/360"),AND(MONTH(F558)=2,EOMONTH(F558,0)=F558)),IF(DAY(F558)=28,3*G558*'депозитный калькулятор'!$G$8,2*G558*'депозитный калькулятор'!$G$8),IF(AND(OR('депозитный калькулятор'!$G$7="30/365",'депозитный калькулятор'!$G$7="30/360"),DAY(F558)=31)," ",IF(AND('депозитный калькулятор'!$G$7="факт/факт",MOD(YEAR(F558),4)=0),G558*'депозитный калькулятор'!$D$11/366,G558*'депозитный калькулятор'!$G$8))))</f>
        <v xml:space="preserve"> </v>
      </c>
      <c r="I558" s="134" t="str">
        <f ca="1">IF(F558=" "," ",IF('депозитный калькулятор'!$G$10="ежедневное",H558,IF(AND('депозитный калькулятор'!$G$10="еженедельное",WEEKDAY(F558,2)=7),SUM(OFFSET(H558,-6,0):H558),IF(AND('депозитный калькулятор'!$G$10="еженедельное",F558='депозитный калькулятор'!$D$8),SUM($H$23:H558)-SUM($I$23:I557),IF(AND('депозитный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недели",WEEKDAY(F558,2)=7),MIN(OFFSET(H558,-6,0):H558)*(COUNTIF(OFFSET(H558,-6,0):H558,"&gt;0")+SUMIF(OFFSET(A558,-WEEKDAY(F558,2),0):A558,"=2",OFFSET(A558,-WEEKDAY(F558,2),0):A558)),IF(AND('депозитный калькулятор'!$G$10="еженедельное, на минимальную сумму зафиксированную в течение недели",F558='депозитный калькулятор'!$D$8,WEEKDAY(F558,2)&lt;&gt;7),MIN(OFFSET(H558,-WEEKDAY(F558,2),0):H558)*(COUNTIF(OFFSET(H558,-WEEKDAY(F558,2)+1,0):H558,"&gt;0")+SUM(OFFSET(A558,-WEEKDAY(F558,2),0):A558)),IF(AND('депозитный калькулятор'!$G$10="ежемесячное (в конце месяца)",F558='депозитный калькулятор'!$D$8,EOMONTH(F558,0)&lt;&gt;F558),IF('депозитный калькулятор'!$F$1=1,$H$24,SUM($H$23:H558)-SUM($I$23:I557)),IF(AND('депозитный калькулятор'!$G$10="ежемесячное (в конце месяца)",EOMONTH(F558,0)=F558),SUM($H$23:H558)-SUM($I$23:I557),IF(AND('депозитный калькулятор'!$G$10="ежемесячное (по дням открытия вклада)",F558='депозитный калькулятор'!$D$8,DAY('депозитный калькулятор'!$D$7)&lt;&gt;DAY(F558)),IF('депозитный калькулятор'!$F$1=1,$H$24,SUM($H$23:H558)-SUM($I$23:I557)),IF(AND('депозитный калькулятор'!$G$10="ежемесячное (по дням открытия вклада)",DAY('депозитный калькулятор'!$D$7)=DAY(F558)),SUM($H$23:H558)-SUM($I$23:I557),IF(AND('депозитный калькулятор'!$G$10="ежемесячное, на минимальную сумму зафиксированную в течение месяца",F558='депозитный калькулятор'!$D$8,EOMONTH(F558,0)&lt;&gt;F558),IF('депозитный калькулятор'!$F$1=1,$H$24,IF(AND(OR('депозитный калькулятор'!$G$7="30/365",'депозитный калькулятор'!$G$7="30/360"),DAY(F558)=31),0,MIN(OFFSET(H558,-E558+1,0):H558)*(E558+SUMIF(OFFSET(A558,-E558+1,0):A558,"=2",OFFSET(A558,-E558+1,0):A558)))),IF(AND('депозитный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калькулятор'!$G$7="30/360"),DAY(EOMONTH(F558,0))=31),EOMONTH(F558,0)-1=F558,EOMONTH(F558,0)=F558)),IF(IF(AND(OR('депозитный калькулятор'!$G$7="30/365",'депозитный калькулятор'!$G$7="30/360"),DAY(EOMONTH($F$23,0))=31),F558=EOMONTH($F$23,0)-1,F558=EOMONTH($F$23,0)),MIN(OFFSET(H558,-(DAY(F558)-DAY($F$23)),0):H558)*E558,MIN(OFFSET(H558,-(DAY(F558)-1),0):H558)*IF(AND(OR('депозитный калькулятор'!$G$7="30/365",'депозитный калькулятор'!$G$7="30/360"),DAY(F558)&lt;30),30,DAY(F558))),IF(AND('депозитный калькулятор'!$G$10="ежемесячное, на средний остаток в течение месяца, при условии что остаток больше чем ограничение",F558='депозитный калькулятор'!$D$8,EOMONTH(F558,0)&lt;&gt;F558),IF('депозитный калькулятор'!$F$1=1,$H$24,SUM(OFFSET(Q558,-E558+1,0):Q558)),IF(AND('депозитный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калькулятор'!$G$7="30/360"),DAY(EOMONTH(F558,0))=31),EOMONTH(F558,0)-1=F558,EOMONTH(F558,0)=F558)),IF(IF(AND(OR('депозитный калькулятор'!$G$7="30/365",'депозитный калькулятор'!$G$7="30/360"),DAY(EOMONTH($F$24,0))=31),F558=EOMONTH($F$24,0)-1,F558=EOMONTH($F$24,0)),SUM(OFFSET(Q558,-E558+1,0):Q558),SUM(OFFSET(Q558,-E558+1,0):Q558)),IF('депозитный калькулятор'!$G$10="ежеквартальное",IF(F558&gt;'депозитный калькулятор'!$D$8," ",IF(AND(EOMONTH(F558,0)=F558,OR(MONTH(F558)=3,MONTH(F558)=6,MONTH(F558)=9,MONTH(F558)=12)),IF(EDATE(F558,-3)&lt;'депозитный калькулятор'!$D$7,SUM($H$23:H558),IF(MOD(YEAR(F558),4)=0,IF(AND(EOMONTH(F558,0)=F558,OR(MONTH(F558)=3,MONTH(F558)=6)),SUM(OFFSET(H558,-90,0):H558),IF(AND(EOMONTH(F558,0)=F558,OR(MONTH(F558)=9,MONTH(F558)=12)),SUM(OFFSET(H558,-91,0):H558))),IF(AND(EOMONTH(F558,0)=F558,MONTH(F558)=3),SUM(OFFSET(H558,-89,0):H558),IF(AND(EOMONTH(F558,0)=F558,MONTH(F558)=6),SUM(OFFSET(H558,-90,0):H558),IF(AND(EOMONTH(F558,0)=F558,OR(MONTH(F558)=9,MONTH(F558)=12)),SUM(OFFSET(H558,-91,0):H558)))))),IF(F558='депозитный калькулятор'!$D$8,SUM($H$23:H558)-SUM($I$23:I557),0))),IF('депозитный калькулятор'!$G$10="ежегодное",IF(F558&gt;'депозитный калькулятор'!$D$8," ",IF(F558='депозитный калькулятор'!$D$8,SUM($H$23:H558)-SUM($I$23:I557),IF(AND(EOMONTH(F558,0)=F558,MONTH(F558)=12),IF(MOD(YEAR(F557),4)=0,IF(F558-'депозитный калькулятор'!$D$7&lt;366,SUM($H$23:H558),SUM(OFFSET(H558,-365,0):H558)),IF(F558-'депозитный калькулятор'!$D$7&lt;365,SUM($H$23:H558),SUM(OFFSET(H558,-364,0):H558))),0))),IF(AND('депозитный калькулятор'!$G$10="в конце срока",'депозитный калькулятор'!$D$8=F558),SUM($H$23:H558),0))))))))))))))))))</f>
        <v xml:space="preserve"> </v>
      </c>
      <c r="J558" s="59" t="str">
        <f>IF(F558&gt;'депозитный калькулятор'!$D$8," ",IF('депозитный калькулятор'!$G$16="нет",0,IF(AND('депозитный калькулятор'!$G$17="разовая (в конце срока)",F558='депозитный калькулятор'!$D$8),'депозитный калькулятор'!$G$18,IF(AND('депозитный калькулятор'!$G$17="ежемесячная",EOMONTH(F557,0)=F557),'депозитный калькулятор'!$G$18,IF(AND('депозитный калькулятор'!$G$17="ежегодная",DAY(F557)=31,MONTH(F557)=12),'депозитный калькулятор'!$G$18,IF(AND('депозитный калькулятор'!$G$17="ежемесячная в зависимости от остатка",EOMONTH(F557,0)=F557,P557&gt;0),'депозитный калькулятор'!$G$18,IF(AND('депозитный калькулятор'!$G$17="ежегодная в зависимости от остатка",DAY(F557)=31,MONTH(F557)=12,P557&gt;0),'депозитный калькулятор'!$G$18,0)))))))</f>
        <v xml:space="preserve"> </v>
      </c>
      <c r="K558" s="135" t="str">
        <f>IF($F558=" "," ",IFERROR(VLOOKUP($F558,'депозитный калькулятор'!$B$26:$F$70,2,0),0))</f>
        <v xml:space="preserve"> </v>
      </c>
      <c r="L558" s="135" t="str">
        <f>IF($F558=" "," ",IFERROR(VLOOKUP($F558,'депозитный калькулятор'!$B$26:$F$70,3,0),0))</f>
        <v xml:space="preserve"> </v>
      </c>
      <c r="M558" s="135" t="str">
        <f>IF($F558=" "," ",IFERROR(VLOOKUP($F558,'депозитный калькулятор'!$B$26:$F$70,4,0),0))</f>
        <v xml:space="preserve"> </v>
      </c>
      <c r="N558" s="135" t="str">
        <f>IF($F558=" "," ",IFERROR(VLOOKUP($F558,'депозитный калькулятор'!$B$26:$F$70,5,0),0))</f>
        <v xml:space="preserve"> </v>
      </c>
      <c r="O558" s="146" t="str">
        <f>IF(F558&gt;'депозитный калькулятор'!$D$8," ",IF(F558='депозитный калькулятор'!$D$8,IF(AND($F$24='депозитный калькулятор'!$D$8,'депозитный калькулятор'!$G$13="нет"),-G558-IF(I558=" ",0,I558)-IF(AND(OR('депозитный калькулятор'!$G$7="30/365",'депозитный калькулятор'!$G$7="30/360"),'депозитный калькулятор'!$G$10="в начале срока"),I557,0)-L558+M558-N558,-G558-IF(I558=" ",0,I558)-L558+M558-N558),IF('депозитный калькулятор'!$G$13="есть",M558-N558+IF('депозитный калькулятор'!$G$14="есть",0,-L558),-IF(I558=" ",0,I558)-IF(AND(OR('депозитный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срока"),I557,0)+M558-N558+IF('депозитный калькулятор'!$G$14="есть",0,-L558))))</f>
        <v xml:space="preserve"> </v>
      </c>
      <c r="P558" s="147" t="str">
        <f>IF(F558&gt;'депозитный калькулятор'!$D$8," ",IF(EOMONTH(F557,0)=F557,0,IF(G558&gt;='депозитный калькулятор'!$G$19,P557,P557+1)))</f>
        <v xml:space="preserve"> </v>
      </c>
      <c r="Q558" s="138" t="str">
        <f>IF(F558=" "," ",IF(AND(OR('депозитный калькулятор'!$G$7="30/365",'депозитный калькулятор'!$G$7="30/360"),AND(MONTH(F558)=2,EOMONTH(F558,0)=F558)),IF(DAY(F558)=28,3,2),1)*IF(G558&gt;='депозитный калькулятор'!$G$11,IF(AND('депозитный калькулятор'!$G$7="факт/факт",MOD(YEAR(F558),4)=0),G558*'депозитный калькулятор'!$D$11/366,G558*'депозитный калькулятор'!$G$8),0))</f>
        <v xml:space="preserve"> </v>
      </c>
      <c r="R558" s="158"/>
      <c r="S558" s="62" t="str">
        <f t="shared" ca="1" si="42"/>
        <v xml:space="preserve"> </v>
      </c>
      <c r="T558" s="149" t="str">
        <f ca="1">IF(S558=" "," ",IF('депозитный калькулятор'!$G$7="30/360",DAYS360(U557,IF(DAY(U558)=31,U558-1,U558))+IF(AND(MONTH(U558)=2,U558=EOMONTH(U558,0)),30-DAY(EOMONTH(U558,0)))+T557,VLOOKUP(S558,$C$22:$F$1023,2,0)))</f>
        <v xml:space="preserve"> </v>
      </c>
      <c r="U558" s="64" t="str">
        <f t="shared" ca="1" si="40"/>
        <v xml:space="preserve"> </v>
      </c>
      <c r="V558" s="150" t="str">
        <f t="shared" ca="1" si="43"/>
        <v xml:space="preserve"> </v>
      </c>
      <c r="W558" s="62" t="str">
        <f t="shared" ca="1" si="44"/>
        <v xml:space="preserve"> </v>
      </c>
      <c r="X558" s="141" t="str">
        <f ca="1">IF(S558=" "," ",IFERROR(VLOOKUP(U558,$F$23:$N$1023,7)+VLOOKUP(U558,$F$23:$N$1023,9)+IF(AND('депозитный калькулятор'!$G$13="нет",U558&lt;&gt;'депозитный калькулятор'!$D$8),VLOOKUP(U558,$F$23:$N$1023,4),0),0)+IF(U558='депозитный калькулятор'!$D$8,VLOOKUP(U558,$F$23:$N$1023,2)+VLOOKUP(U558,$F$23:$N$1023,4),0))</f>
        <v xml:space="preserve"> </v>
      </c>
      <c r="Y558" s="142" t="str">
        <f ca="1">IF(S558=" "," ",W558/(1+'депозитный калькулятор'!$K$8)^(T558/IF('депозитный калькулятор'!$G$7="30/360",360,365)))</f>
        <v xml:space="preserve"> </v>
      </c>
      <c r="Z558" s="142" t="str">
        <f ca="1">IF(S558=" "," ",X558/(1+'депозитный калькулятор'!$K$8)^(T558/IF('депозитный калькулятор'!$G$7="30/360",360,365)))</f>
        <v xml:space="preserve"> </v>
      </c>
      <c r="AA558" s="151"/>
      <c r="AB558" s="151"/>
      <c r="AC558" s="155"/>
      <c r="AD558" s="155"/>
    </row>
    <row r="559" spans="1:30" s="2" customFormat="1" ht="15.5" x14ac:dyDescent="0.35">
      <c r="A559" s="41" t="str">
        <f>IF(F559=" "," ",IF(OR('депозитный калькулятор'!$G$7="30/365",'депозитный калькулятор'!$G$7="30/360"),IF(AND(MONTH(F559)=2,DAY(F559)=DAY(EOMONTH(F559,0))),30-DAY(EOMONTH(F559,0)),IF(DAY(F559)=31,1," "))," "))</f>
        <v xml:space="preserve"> </v>
      </c>
      <c r="B559" s="130" t="str">
        <f t="shared" si="41"/>
        <v xml:space="preserve"> </v>
      </c>
      <c r="C559" s="130" t="str">
        <f>IF(OR(B559=0,B559=" ")," ",SUM($B$23:B559))</f>
        <v xml:space="preserve"> </v>
      </c>
      <c r="D559" s="62" t="str">
        <f>IF(D558=" "," ",IF(OR(F558='депозитный калькулятор'!$D$8,F558=" ")," ",D558+1))</f>
        <v xml:space="preserve"> </v>
      </c>
      <c r="E559" s="130" t="str">
        <f>IF(OR(F558='депозитный калькулятор'!$D$8,F558=" ")," ",IF(EOMONTH(F558,0)=F558,1,E558+1))</f>
        <v xml:space="preserve"> </v>
      </c>
      <c r="F559" s="64" t="str">
        <f>IF(F558=" "," ",IF(F558='депозитный калькулятор'!$D$8," ",F558+1))</f>
        <v xml:space="preserve"> </v>
      </c>
      <c r="G559" s="145" t="str">
        <f xml:space="preserve"> IF(F559&gt;'депозитный калькулятор'!$D$8," ",IF('депозитный калькулятор'!$G$13="есть",IF('депозитный калькулятор'!$G$14="есть",G558+IF(I558=" ",0,I558)-J559-K559+L559+M559-N559,G558+IF(I558=" ",0,I558)-J559-K559+M559-N559),IF('депозитный калькулятор'!$G$14="есть",G558-J559-K559+L559+M559-N559,G558-J559-K559+M559-N559)))</f>
        <v xml:space="preserve"> </v>
      </c>
      <c r="H559" s="133" t="str">
        <f>IF(F559&gt;'депозитный калькулятор'!$D$8," ",IF(AND(OR('депозитный калькулятор'!$G$7="30/365",'депозитный калькулятор'!$G$7="30/360"),AND(MONTH(F559)=2,EOMONTH(F559,0)=F559)),IF(DAY(F559)=28,3*G559*'депозитный калькулятор'!$G$8,2*G559*'депозитный калькулятор'!$G$8),IF(AND(OR('депозитный калькулятор'!$G$7="30/365",'депозитный калькулятор'!$G$7="30/360"),DAY(F559)=31)," ",IF(AND('депозитный калькулятор'!$G$7="факт/факт",MOD(YEAR(F559),4)=0),G559*'депозитный калькулятор'!$D$11/366,G559*'депозитный калькулятор'!$G$8))))</f>
        <v xml:space="preserve"> </v>
      </c>
      <c r="I559" s="134" t="str">
        <f ca="1">IF(F559=" "," ",IF('депозитный калькулятор'!$G$10="ежедневное",H559,IF(AND('депозитный калькулятор'!$G$10="еженедельное",WEEKDAY(F559,2)=7),SUM(OFFSET(H559,-6,0):H559),IF(AND('депозитный калькулятор'!$G$10="еженедельное",F559='депозитный калькулятор'!$D$8),SUM($H$23:H559)-SUM($I$23:I558),IF(AND('депозитный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недели",WEEKDAY(F559,2)=7),MIN(OFFSET(H559,-6,0):H559)*(COUNTIF(OFFSET(H559,-6,0):H559,"&gt;0")+SUMIF(OFFSET(A559,-WEEKDAY(F559,2),0):A559,"=2",OFFSET(A559,-WEEKDAY(F559,2),0):A559)),IF(AND('депозитный калькулятор'!$G$10="еженедельное, на минимальную сумму зафиксированную в течение недели",F559='депозитный калькулятор'!$D$8,WEEKDAY(F559,2)&lt;&gt;7),MIN(OFFSET(H559,-WEEKDAY(F559,2),0):H559)*(COUNTIF(OFFSET(H559,-WEEKDAY(F559,2)+1,0):H559,"&gt;0")+SUM(OFFSET(A559,-WEEKDAY(F559,2),0):A559)),IF(AND('депозитный калькулятор'!$G$10="ежемесячное (в конце месяца)",F559='депозитный калькулятор'!$D$8,EOMONTH(F559,0)&lt;&gt;F559),IF('депозитный калькулятор'!$F$1=1,$H$24,SUM($H$23:H559)-SUM($I$23:I558)),IF(AND('депозитный калькулятор'!$G$10="ежемесячное (в конце месяца)",EOMONTH(F559,0)=F559),SUM($H$23:H559)-SUM($I$23:I558),IF(AND('депозитный калькулятор'!$G$10="ежемесячное (по дням открытия вклада)",F559='депозитный калькулятор'!$D$8,DAY('депозитный калькулятор'!$D$7)&lt;&gt;DAY(F559)),IF('депозитный калькулятор'!$F$1=1,$H$24,SUM($H$23:H559)-SUM($I$23:I558)),IF(AND('депозитный калькулятор'!$G$10="ежемесячное (по дням открытия вклада)",DAY('депозитный калькулятор'!$D$7)=DAY(F559)),SUM($H$23:H559)-SUM($I$23:I558),IF(AND('депозитный калькулятор'!$G$10="ежемесячное, на минимальную сумму зафиксированную в течение месяца",F559='депозитный калькулятор'!$D$8,EOMONTH(F559,0)&lt;&gt;F559),IF('депозитный калькулятор'!$F$1=1,$H$24,IF(AND(OR('депозитный калькулятор'!$G$7="30/365",'депозитный калькулятор'!$G$7="30/360"),DAY(F559)=31),0,MIN(OFFSET(H559,-E559+1,0):H559)*(E559+SUMIF(OFFSET(A559,-E559+1,0):A559,"=2",OFFSET(A559,-E559+1,0):A559)))),IF(AND('депозитный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калькулятор'!$G$7="30/360"),DAY(EOMONTH(F559,0))=31),EOMONTH(F559,0)-1=F559,EOMONTH(F559,0)=F559)),IF(IF(AND(OR('депозитный калькулятор'!$G$7="30/365",'депозитный калькулятор'!$G$7="30/360"),DAY(EOMONTH($F$23,0))=31),F559=EOMONTH($F$23,0)-1,F559=EOMONTH($F$23,0)),MIN(OFFSET(H559,-(DAY(F559)-DAY($F$23)),0):H559)*E559,MIN(OFFSET(H559,-(DAY(F559)-1),0):H559)*IF(AND(OR('депозитный калькулятор'!$G$7="30/365",'депозитный калькулятор'!$G$7="30/360"),DAY(F559)&lt;30),30,DAY(F559))),IF(AND('депозитный калькулятор'!$G$10="ежемесячное, на средний остаток в течение месяца, при условии что остаток больше чем ограничение",F559='депозитный калькулятор'!$D$8,EOMONTH(F559,0)&lt;&gt;F559),IF('депозитный калькулятор'!$F$1=1,$H$24,SUM(OFFSET(Q559,-E559+1,0):Q559)),IF(AND('депозитный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калькулятор'!$G$7="30/360"),DAY(EOMONTH(F559,0))=31),EOMONTH(F559,0)-1=F559,EOMONTH(F559,0)=F559)),IF(IF(AND(OR('депозитный калькулятор'!$G$7="30/365",'депозитный калькулятор'!$G$7="30/360"),DAY(EOMONTH($F$24,0))=31),F559=EOMONTH($F$24,0)-1,F559=EOMONTH($F$24,0)),SUM(OFFSET(Q559,-E559+1,0):Q559),SUM(OFFSET(Q559,-E559+1,0):Q559)),IF('депозитный калькулятор'!$G$10="ежеквартальное",IF(F559&gt;'депозитный калькулятор'!$D$8," ",IF(AND(EOMONTH(F559,0)=F559,OR(MONTH(F559)=3,MONTH(F559)=6,MONTH(F559)=9,MONTH(F559)=12)),IF(EDATE(F559,-3)&lt;'депозитный калькулятор'!$D$7,SUM($H$23:H559),IF(MOD(YEAR(F559),4)=0,IF(AND(EOMONTH(F559,0)=F559,OR(MONTH(F559)=3,MONTH(F559)=6)),SUM(OFFSET(H559,-90,0):H559),IF(AND(EOMONTH(F559,0)=F559,OR(MONTH(F559)=9,MONTH(F559)=12)),SUM(OFFSET(H559,-91,0):H559))),IF(AND(EOMONTH(F559,0)=F559,MONTH(F559)=3),SUM(OFFSET(H559,-89,0):H559),IF(AND(EOMONTH(F559,0)=F559,MONTH(F559)=6),SUM(OFFSET(H559,-90,0):H559),IF(AND(EOMONTH(F559,0)=F559,OR(MONTH(F559)=9,MONTH(F559)=12)),SUM(OFFSET(H559,-91,0):H559)))))),IF(F559='депозитный калькулятор'!$D$8,SUM($H$23:H559)-SUM($I$23:I558),0))),IF('депозитный калькулятор'!$G$10="ежегодное",IF(F559&gt;'депозитный калькулятор'!$D$8," ",IF(F559='депозитный калькулятор'!$D$8,SUM($H$23:H559)-SUM($I$23:I558),IF(AND(EOMONTH(F559,0)=F559,MONTH(F559)=12),IF(MOD(YEAR(F558),4)=0,IF(F559-'депозитный калькулятор'!$D$7&lt;366,SUM($H$23:H559),SUM(OFFSET(H559,-365,0):H559)),IF(F559-'депозитный калькулятор'!$D$7&lt;365,SUM($H$23:H559),SUM(OFFSET(H559,-364,0):H559))),0))),IF(AND('депозитный калькулятор'!$G$10="в конце срока",'депозитный калькулятор'!$D$8=F559),SUM($H$23:H559),0))))))))))))))))))</f>
        <v xml:space="preserve"> </v>
      </c>
      <c r="J559" s="59" t="str">
        <f>IF(F559&gt;'депозитный калькулятор'!$D$8," ",IF('депозитный калькулятор'!$G$16="нет",0,IF(AND('депозитный калькулятор'!$G$17="разовая (в конце срока)",F559='депозитный калькулятор'!$D$8),'депозитный калькулятор'!$G$18,IF(AND('депозитный калькулятор'!$G$17="ежемесячная",EOMONTH(F558,0)=F558),'депозитный калькулятор'!$G$18,IF(AND('депозитный калькулятор'!$G$17="ежегодная",DAY(F558)=31,MONTH(F558)=12),'депозитный калькулятор'!$G$18,IF(AND('депозитный калькулятор'!$G$17="ежемесячная в зависимости от остатка",EOMONTH(F558,0)=F558,P558&gt;0),'депозитный калькулятор'!$G$18,IF(AND('депозитный калькулятор'!$G$17="ежегодная в зависимости от остатка",DAY(F558)=31,MONTH(F558)=12,P558&gt;0),'депозитный калькулятор'!$G$18,0)))))))</f>
        <v xml:space="preserve"> </v>
      </c>
      <c r="K559" s="135" t="str">
        <f>IF($F559=" "," ",IFERROR(VLOOKUP($F559,'депозитный калькулятор'!$B$26:$F$70,2,0),0))</f>
        <v xml:space="preserve"> </v>
      </c>
      <c r="L559" s="135" t="str">
        <f>IF($F559=" "," ",IFERROR(VLOOKUP($F559,'депозитный калькулятор'!$B$26:$F$70,3,0),0))</f>
        <v xml:space="preserve"> </v>
      </c>
      <c r="M559" s="135" t="str">
        <f>IF($F559=" "," ",IFERROR(VLOOKUP($F559,'депозитный калькулятор'!$B$26:$F$70,4,0),0))</f>
        <v xml:space="preserve"> </v>
      </c>
      <c r="N559" s="135" t="str">
        <f>IF($F559=" "," ",IFERROR(VLOOKUP($F559,'депозитный калькулятор'!$B$26:$F$70,5,0),0))</f>
        <v xml:space="preserve"> </v>
      </c>
      <c r="O559" s="146" t="str">
        <f>IF(F559&gt;'депозитный калькулятор'!$D$8," ",IF(F559='депозитный калькулятор'!$D$8,IF(AND($F$24='депозитный калькулятор'!$D$8,'депозитный калькулятор'!$G$13="нет"),-G559-IF(I559=" ",0,I559)-IF(AND(OR('депозитный калькулятор'!$G$7="30/365",'депозитный калькулятор'!$G$7="30/360"),'депозитный калькулятор'!$G$10="в начале срока"),I558,0)-L559+M559-N559,-G559-IF(I559=" ",0,I559)-L559+M559-N559),IF('депозитный калькулятор'!$G$13="есть",M559-N559+IF('депозитный калькулятор'!$G$14="есть",0,-L559),-IF(I559=" ",0,I559)-IF(AND(OR('депозитный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срока"),I558,0)+M559-N559+IF('депозитный калькулятор'!$G$14="есть",0,-L559))))</f>
        <v xml:space="preserve"> </v>
      </c>
      <c r="P559" s="147" t="str">
        <f>IF(F559&gt;'депозитный калькулятор'!$D$8," ",IF(EOMONTH(F558,0)=F558,0,IF(G559&gt;='депозитный калькулятор'!$G$19,P558,P558+1)))</f>
        <v xml:space="preserve"> </v>
      </c>
      <c r="Q559" s="138" t="str">
        <f>IF(F559=" "," ",IF(AND(OR('депозитный калькулятор'!$G$7="30/365",'депозитный калькулятор'!$G$7="30/360"),AND(MONTH(F559)=2,EOMONTH(F559,0)=F559)),IF(DAY(F559)=28,3,2),1)*IF(G559&gt;='депозитный калькулятор'!$G$11,IF(AND('депозитный калькулятор'!$G$7="факт/факт",MOD(YEAR(F559),4)=0),G559*'депозитный калькулятор'!$D$11/366,G559*'депозитный калькулятор'!$G$8),0))</f>
        <v xml:space="preserve"> </v>
      </c>
      <c r="R559" s="158"/>
      <c r="S559" s="62" t="str">
        <f t="shared" ca="1" si="42"/>
        <v xml:space="preserve"> </v>
      </c>
      <c r="T559" s="149" t="str">
        <f ca="1">IF(S559=" "," ",IF('депозитный калькулятор'!$G$7="30/360",DAYS360(U558,IF(DAY(U559)=31,U559-1,U559))+IF(AND(MONTH(U559)=2,U559=EOMONTH(U559,0)),30-DAY(EOMONTH(U559,0)))+T558,VLOOKUP(S559,$C$22:$F$1023,2,0)))</f>
        <v xml:space="preserve"> </v>
      </c>
      <c r="U559" s="64" t="str">
        <f t="shared" ca="1" si="40"/>
        <v xml:space="preserve"> </v>
      </c>
      <c r="V559" s="150" t="str">
        <f t="shared" ca="1" si="43"/>
        <v xml:space="preserve"> </v>
      </c>
      <c r="W559" s="62" t="str">
        <f t="shared" ca="1" si="44"/>
        <v xml:space="preserve"> </v>
      </c>
      <c r="X559" s="141" t="str">
        <f ca="1">IF(S559=" "," ",IFERROR(VLOOKUP(U559,$F$23:$N$1023,7)+VLOOKUP(U559,$F$23:$N$1023,9)+IF(AND('депозитный калькулятор'!$G$13="нет",U559&lt;&gt;'депозитный калькулятор'!$D$8),VLOOKUP(U559,$F$23:$N$1023,4),0),0)+IF(U559='депозитный калькулятор'!$D$8,VLOOKUP(U559,$F$23:$N$1023,2)+VLOOKUP(U559,$F$23:$N$1023,4),0))</f>
        <v xml:space="preserve"> </v>
      </c>
      <c r="Y559" s="142" t="str">
        <f ca="1">IF(S559=" "," ",W559/(1+'депозитный калькулятор'!$K$8)^(T559/IF('депозитный калькулятор'!$G$7="30/360",360,365)))</f>
        <v xml:space="preserve"> </v>
      </c>
      <c r="Z559" s="142" t="str">
        <f ca="1">IF(S559=" "," ",X559/(1+'депозитный калькулятор'!$K$8)^(T559/IF('депозитный калькулятор'!$G$7="30/360",360,365)))</f>
        <v xml:space="preserve"> </v>
      </c>
      <c r="AA559" s="151"/>
      <c r="AB559" s="151"/>
      <c r="AC559" s="155"/>
      <c r="AD559" s="155"/>
    </row>
    <row r="560" spans="1:30" s="2" customFormat="1" ht="15.5" x14ac:dyDescent="0.35">
      <c r="A560" s="41" t="str">
        <f>IF(F560=" "," ",IF(OR('депозитный калькулятор'!$G$7="30/365",'депозитный калькулятор'!$G$7="30/360"),IF(AND(MONTH(F560)=2,DAY(F560)=DAY(EOMONTH(F560,0))),30-DAY(EOMONTH(F560,0)),IF(DAY(F560)=31,1," "))," "))</f>
        <v xml:space="preserve"> </v>
      </c>
      <c r="B560" s="130" t="str">
        <f t="shared" si="41"/>
        <v xml:space="preserve"> </v>
      </c>
      <c r="C560" s="130" t="str">
        <f>IF(OR(B560=0,B560=" ")," ",SUM($B$23:B560))</f>
        <v xml:space="preserve"> </v>
      </c>
      <c r="D560" s="62" t="str">
        <f>IF(D559=" "," ",IF(OR(F559='депозитный калькулятор'!$D$8,F559=" ")," ",D559+1))</f>
        <v xml:space="preserve"> </v>
      </c>
      <c r="E560" s="130" t="str">
        <f>IF(OR(F559='депозитный калькулятор'!$D$8,F559=" ")," ",IF(EOMONTH(F559,0)=F559,1,E559+1))</f>
        <v xml:space="preserve"> </v>
      </c>
      <c r="F560" s="64" t="str">
        <f>IF(F559=" "," ",IF(F559='депозитный калькулятор'!$D$8," ",F559+1))</f>
        <v xml:space="preserve"> </v>
      </c>
      <c r="G560" s="145" t="str">
        <f xml:space="preserve"> IF(F560&gt;'депозитный калькулятор'!$D$8," ",IF('депозитный калькулятор'!$G$13="есть",IF('депозитный калькулятор'!$G$14="есть",G559+IF(I559=" ",0,I559)-J560-K560+L560+M560-N560,G559+IF(I559=" ",0,I559)-J560-K560+M560-N560),IF('депозитный калькулятор'!$G$14="есть",G559-J560-K560+L560+M560-N560,G559-J560-K560+M560-N560)))</f>
        <v xml:space="preserve"> </v>
      </c>
      <c r="H560" s="133" t="str">
        <f>IF(F560&gt;'депозитный калькулятор'!$D$8," ",IF(AND(OR('депозитный калькулятор'!$G$7="30/365",'депозитный калькулятор'!$G$7="30/360"),AND(MONTH(F560)=2,EOMONTH(F560,0)=F560)),IF(DAY(F560)=28,3*G560*'депозитный калькулятор'!$G$8,2*G560*'депозитный калькулятор'!$G$8),IF(AND(OR('депозитный калькулятор'!$G$7="30/365",'депозитный калькулятор'!$G$7="30/360"),DAY(F560)=31)," ",IF(AND('депозитный калькулятор'!$G$7="факт/факт",MOD(YEAR(F560),4)=0),G560*'депозитный калькулятор'!$D$11/366,G560*'депозитный калькулятор'!$G$8))))</f>
        <v xml:space="preserve"> </v>
      </c>
      <c r="I560" s="134" t="str">
        <f ca="1">IF(F560=" "," ",IF('депозитный калькулятор'!$G$10="ежедневное",H560,IF(AND('депозитный калькулятор'!$G$10="еженедельное",WEEKDAY(F560,2)=7),SUM(OFFSET(H560,-6,0):H560),IF(AND('депозитный калькулятор'!$G$10="еженедельное",F560='депозитный калькулятор'!$D$8),SUM($H$23:H560)-SUM($I$23:I559),IF(AND('депозитный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недели",WEEKDAY(F560,2)=7),MIN(OFFSET(H560,-6,0):H560)*(COUNTIF(OFFSET(H560,-6,0):H560,"&gt;0")+SUMIF(OFFSET(A560,-WEEKDAY(F560,2),0):A560,"=2",OFFSET(A560,-WEEKDAY(F560,2),0):A560)),IF(AND('депозитный калькулятор'!$G$10="еженедельное, на минимальную сумму зафиксированную в течение недели",F560='депозитный калькулятор'!$D$8,WEEKDAY(F560,2)&lt;&gt;7),MIN(OFFSET(H560,-WEEKDAY(F560,2),0):H560)*(COUNTIF(OFFSET(H560,-WEEKDAY(F560,2)+1,0):H560,"&gt;0")+SUM(OFFSET(A560,-WEEKDAY(F560,2),0):A560)),IF(AND('депозитный калькулятор'!$G$10="ежемесячное (в конце месяца)",F560='депозитный калькулятор'!$D$8,EOMONTH(F560,0)&lt;&gt;F560),IF('депозитный калькулятор'!$F$1=1,$H$24,SUM($H$23:H560)-SUM($I$23:I559)),IF(AND('депозитный калькулятор'!$G$10="ежемесячное (в конце месяца)",EOMONTH(F560,0)=F560),SUM($H$23:H560)-SUM($I$23:I559),IF(AND('депозитный калькулятор'!$G$10="ежемесячное (по дням открытия вклада)",F560='депозитный калькулятор'!$D$8,DAY('депозитный калькулятор'!$D$7)&lt;&gt;DAY(F560)),IF('депозитный калькулятор'!$F$1=1,$H$24,SUM($H$23:H560)-SUM($I$23:I559)),IF(AND('депозитный калькулятор'!$G$10="ежемесячное (по дням открытия вклада)",DAY('депозитный калькулятор'!$D$7)=DAY(F560)),SUM($H$23:H560)-SUM($I$23:I559),IF(AND('депозитный калькулятор'!$G$10="ежемесячное, на минимальную сумму зафиксированную в течение месяца",F560='депозитный калькулятор'!$D$8,EOMONTH(F560,0)&lt;&gt;F560),IF('депозитный калькулятор'!$F$1=1,$H$24,IF(AND(OR('депозитный калькулятор'!$G$7="30/365",'депозитный калькулятор'!$G$7="30/360"),DAY(F560)=31),0,MIN(OFFSET(H560,-E560+1,0):H560)*(E560+SUMIF(OFFSET(A560,-E560+1,0):A560,"=2",OFFSET(A560,-E560+1,0):A560)))),IF(AND('депозитный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калькулятор'!$G$7="30/360"),DAY(EOMONTH(F560,0))=31),EOMONTH(F560,0)-1=F560,EOMONTH(F560,0)=F560)),IF(IF(AND(OR('депозитный калькулятор'!$G$7="30/365",'депозитный калькулятор'!$G$7="30/360"),DAY(EOMONTH($F$23,0))=31),F560=EOMONTH($F$23,0)-1,F560=EOMONTH($F$23,0)),MIN(OFFSET(H560,-(DAY(F560)-DAY($F$23)),0):H560)*E560,MIN(OFFSET(H560,-(DAY(F560)-1),0):H560)*IF(AND(OR('депозитный калькулятор'!$G$7="30/365",'депозитный калькулятор'!$G$7="30/360"),DAY(F560)&lt;30),30,DAY(F560))),IF(AND('депозитный калькулятор'!$G$10="ежемесячное, на средний остаток в течение месяца, при условии что остаток больше чем ограничение",F560='депозитный калькулятор'!$D$8,EOMONTH(F560,0)&lt;&gt;F560),IF('депозитный калькулятор'!$F$1=1,$H$24,SUM(OFFSET(Q560,-E560+1,0):Q560)),IF(AND('депозитный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калькулятор'!$G$7="30/360"),DAY(EOMONTH(F560,0))=31),EOMONTH(F560,0)-1=F560,EOMONTH(F560,0)=F560)),IF(IF(AND(OR('депозитный калькулятор'!$G$7="30/365",'депозитный калькулятор'!$G$7="30/360"),DAY(EOMONTH($F$24,0))=31),F560=EOMONTH($F$24,0)-1,F560=EOMONTH($F$24,0)),SUM(OFFSET(Q560,-E560+1,0):Q560),SUM(OFFSET(Q560,-E560+1,0):Q560)),IF('депозитный калькулятор'!$G$10="ежеквартальное",IF(F560&gt;'депозитный калькулятор'!$D$8," ",IF(AND(EOMONTH(F560,0)=F560,OR(MONTH(F560)=3,MONTH(F560)=6,MONTH(F560)=9,MONTH(F560)=12)),IF(EDATE(F560,-3)&lt;'депозитный калькулятор'!$D$7,SUM($H$23:H560),IF(MOD(YEAR(F560),4)=0,IF(AND(EOMONTH(F560,0)=F560,OR(MONTH(F560)=3,MONTH(F560)=6)),SUM(OFFSET(H560,-90,0):H560),IF(AND(EOMONTH(F560,0)=F560,OR(MONTH(F560)=9,MONTH(F560)=12)),SUM(OFFSET(H560,-91,0):H560))),IF(AND(EOMONTH(F560,0)=F560,MONTH(F560)=3),SUM(OFFSET(H560,-89,0):H560),IF(AND(EOMONTH(F560,0)=F560,MONTH(F560)=6),SUM(OFFSET(H560,-90,0):H560),IF(AND(EOMONTH(F560,0)=F560,OR(MONTH(F560)=9,MONTH(F560)=12)),SUM(OFFSET(H560,-91,0):H560)))))),IF(F560='депозитный калькулятор'!$D$8,SUM($H$23:H560)-SUM($I$23:I559),0))),IF('депозитный калькулятор'!$G$10="ежегодное",IF(F560&gt;'депозитный калькулятор'!$D$8," ",IF(F560='депозитный калькулятор'!$D$8,SUM($H$23:H560)-SUM($I$23:I559),IF(AND(EOMONTH(F560,0)=F560,MONTH(F560)=12),IF(MOD(YEAR(F559),4)=0,IF(F560-'депозитный калькулятор'!$D$7&lt;366,SUM($H$23:H560),SUM(OFFSET(H560,-365,0):H560)),IF(F560-'депозитный калькулятор'!$D$7&lt;365,SUM($H$23:H560),SUM(OFFSET(H560,-364,0):H560))),0))),IF(AND('депозитный калькулятор'!$G$10="в конце срока",'депозитный калькулятор'!$D$8=F560),SUM($H$23:H560),0))))))))))))))))))</f>
        <v xml:space="preserve"> </v>
      </c>
      <c r="J560" s="59" t="str">
        <f>IF(F560&gt;'депозитный калькулятор'!$D$8," ",IF('депозитный калькулятор'!$G$16="нет",0,IF(AND('депозитный калькулятор'!$G$17="разовая (в конце срока)",F560='депозитный калькулятор'!$D$8),'депозитный калькулятор'!$G$18,IF(AND('депозитный калькулятор'!$G$17="ежемесячная",EOMONTH(F559,0)=F559),'депозитный калькулятор'!$G$18,IF(AND('депозитный калькулятор'!$G$17="ежегодная",DAY(F559)=31,MONTH(F559)=12),'депозитный калькулятор'!$G$18,IF(AND('депозитный калькулятор'!$G$17="ежемесячная в зависимости от остатка",EOMONTH(F559,0)=F559,P559&gt;0),'депозитный калькулятор'!$G$18,IF(AND('депозитный калькулятор'!$G$17="ежегодная в зависимости от остатка",DAY(F559)=31,MONTH(F559)=12,P559&gt;0),'депозитный калькулятор'!$G$18,0)))))))</f>
        <v xml:space="preserve"> </v>
      </c>
      <c r="K560" s="135" t="str">
        <f>IF($F560=" "," ",IFERROR(VLOOKUP($F560,'депозитный калькулятор'!$B$26:$F$70,2,0),0))</f>
        <v xml:space="preserve"> </v>
      </c>
      <c r="L560" s="135" t="str">
        <f>IF($F560=" "," ",IFERROR(VLOOKUP($F560,'депозитный калькулятор'!$B$26:$F$70,3,0),0))</f>
        <v xml:space="preserve"> </v>
      </c>
      <c r="M560" s="135" t="str">
        <f>IF($F560=" "," ",IFERROR(VLOOKUP($F560,'депозитный калькулятор'!$B$26:$F$70,4,0),0))</f>
        <v xml:space="preserve"> </v>
      </c>
      <c r="N560" s="135" t="str">
        <f>IF($F560=" "," ",IFERROR(VLOOKUP($F560,'депозитный калькулятор'!$B$26:$F$70,5,0),0))</f>
        <v xml:space="preserve"> </v>
      </c>
      <c r="O560" s="146" t="str">
        <f>IF(F560&gt;'депозитный калькулятор'!$D$8," ",IF(F560='депозитный калькулятор'!$D$8,IF(AND($F$24='депозитный калькулятор'!$D$8,'депозитный калькулятор'!$G$13="нет"),-G560-IF(I560=" ",0,I560)-IF(AND(OR('депозитный калькулятор'!$G$7="30/365",'депозитный калькулятор'!$G$7="30/360"),'депозитный калькулятор'!$G$10="в начале срока"),I559,0)-L560+M560-N560,-G560-IF(I560=" ",0,I560)-L560+M560-N560),IF('депозитный калькулятор'!$G$13="есть",M560-N560+IF('депозитный калькулятор'!$G$14="есть",0,-L560),-IF(I560=" ",0,I560)-IF(AND(OR('депозитный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срока"),I559,0)+M560-N560+IF('депозитный калькулятор'!$G$14="есть",0,-L560))))</f>
        <v xml:space="preserve"> </v>
      </c>
      <c r="P560" s="147" t="str">
        <f>IF(F560&gt;'депозитный калькулятор'!$D$8," ",IF(EOMONTH(F559,0)=F559,0,IF(G560&gt;='депозитный калькулятор'!$G$19,P559,P559+1)))</f>
        <v xml:space="preserve"> </v>
      </c>
      <c r="Q560" s="138" t="str">
        <f>IF(F560=" "," ",IF(AND(OR('депозитный калькулятор'!$G$7="30/365",'депозитный калькулятор'!$G$7="30/360"),AND(MONTH(F560)=2,EOMONTH(F560,0)=F560)),IF(DAY(F560)=28,3,2),1)*IF(G560&gt;='депозитный калькулятор'!$G$11,IF(AND('депозитный калькулятор'!$G$7="факт/факт",MOD(YEAR(F560),4)=0),G560*'депозитный калькулятор'!$D$11/366,G560*'депозитный калькулятор'!$G$8),0))</f>
        <v xml:space="preserve"> </v>
      </c>
      <c r="R560" s="158"/>
      <c r="S560" s="62" t="str">
        <f t="shared" ca="1" si="42"/>
        <v xml:space="preserve"> </v>
      </c>
      <c r="T560" s="149" t="str">
        <f ca="1">IF(S560=" "," ",IF('депозитный калькулятор'!$G$7="30/360",DAYS360(U559,IF(DAY(U560)=31,U560-1,U560))+IF(AND(MONTH(U560)=2,U560=EOMONTH(U560,0)),30-DAY(EOMONTH(U560,0)))+T559,VLOOKUP(S560,$C$22:$F$1023,2,0)))</f>
        <v xml:space="preserve"> </v>
      </c>
      <c r="U560" s="64" t="str">
        <f t="shared" ca="1" si="40"/>
        <v xml:space="preserve"> </v>
      </c>
      <c r="V560" s="150" t="str">
        <f t="shared" ca="1" si="43"/>
        <v xml:space="preserve"> </v>
      </c>
      <c r="W560" s="62" t="str">
        <f t="shared" ca="1" si="44"/>
        <v xml:space="preserve"> </v>
      </c>
      <c r="X560" s="141" t="str">
        <f ca="1">IF(S560=" "," ",IFERROR(VLOOKUP(U560,$F$23:$N$1023,7)+VLOOKUP(U560,$F$23:$N$1023,9)+IF(AND('депозитный калькулятор'!$G$13="нет",U560&lt;&gt;'депозитный калькулятор'!$D$8),VLOOKUP(U560,$F$23:$N$1023,4),0),0)+IF(U560='депозитный калькулятор'!$D$8,VLOOKUP(U560,$F$23:$N$1023,2)+VLOOKUP(U560,$F$23:$N$1023,4),0))</f>
        <v xml:space="preserve"> </v>
      </c>
      <c r="Y560" s="142" t="str">
        <f ca="1">IF(S560=" "," ",W560/(1+'депозитный калькулятор'!$K$8)^(T560/IF('депозитный калькулятор'!$G$7="30/360",360,365)))</f>
        <v xml:space="preserve"> </v>
      </c>
      <c r="Z560" s="142" t="str">
        <f ca="1">IF(S560=" "," ",X560/(1+'депозитный калькулятор'!$K$8)^(T560/IF('депозитный калькулятор'!$G$7="30/360",360,365)))</f>
        <v xml:space="preserve"> </v>
      </c>
      <c r="AA560" s="151"/>
      <c r="AB560" s="151"/>
      <c r="AC560" s="155"/>
      <c r="AD560" s="155"/>
    </row>
    <row r="561" spans="1:30" s="2" customFormat="1" ht="15.5" x14ac:dyDescent="0.35">
      <c r="A561" s="41" t="str">
        <f>IF(F561=" "," ",IF(OR('депозитный калькулятор'!$G$7="30/365",'депозитный калькулятор'!$G$7="30/360"),IF(AND(MONTH(F561)=2,DAY(F561)=DAY(EOMONTH(F561,0))),30-DAY(EOMONTH(F561,0)),IF(DAY(F561)=31,1," "))," "))</f>
        <v xml:space="preserve"> </v>
      </c>
      <c r="B561" s="130" t="str">
        <f t="shared" si="41"/>
        <v xml:space="preserve"> </v>
      </c>
      <c r="C561" s="130" t="str">
        <f>IF(OR(B561=0,B561=" ")," ",SUM($B$23:B561))</f>
        <v xml:space="preserve"> </v>
      </c>
      <c r="D561" s="62" t="str">
        <f>IF(D560=" "," ",IF(OR(F560='депозитный калькулятор'!$D$8,F560=" ")," ",D560+1))</f>
        <v xml:space="preserve"> </v>
      </c>
      <c r="E561" s="130" t="str">
        <f>IF(OR(F560='депозитный калькулятор'!$D$8,F560=" ")," ",IF(EOMONTH(F560,0)=F560,1,E560+1))</f>
        <v xml:space="preserve"> </v>
      </c>
      <c r="F561" s="64" t="str">
        <f>IF(F560=" "," ",IF(F560='депозитный калькулятор'!$D$8," ",F560+1))</f>
        <v xml:space="preserve"> </v>
      </c>
      <c r="G561" s="145" t="str">
        <f xml:space="preserve"> IF(F561&gt;'депозитный калькулятор'!$D$8," ",IF('депозитный калькулятор'!$G$13="есть",IF('депозитный калькулятор'!$G$14="есть",G560+IF(I560=" ",0,I560)-J561-K561+L561+M561-N561,G560+IF(I560=" ",0,I560)-J561-K561+M561-N561),IF('депозитный калькулятор'!$G$14="есть",G560-J561-K561+L561+M561-N561,G560-J561-K561+M561-N561)))</f>
        <v xml:space="preserve"> </v>
      </c>
      <c r="H561" s="133" t="str">
        <f>IF(F561&gt;'депозитный калькулятор'!$D$8," ",IF(AND(OR('депозитный калькулятор'!$G$7="30/365",'депозитный калькулятор'!$G$7="30/360"),AND(MONTH(F561)=2,EOMONTH(F561,0)=F561)),IF(DAY(F561)=28,3*G561*'депозитный калькулятор'!$G$8,2*G561*'депозитный калькулятор'!$G$8),IF(AND(OR('депозитный калькулятор'!$G$7="30/365",'депозитный калькулятор'!$G$7="30/360"),DAY(F561)=31)," ",IF(AND('депозитный калькулятор'!$G$7="факт/факт",MOD(YEAR(F561),4)=0),G561*'депозитный калькулятор'!$D$11/366,G561*'депозитный калькулятор'!$G$8))))</f>
        <v xml:space="preserve"> </v>
      </c>
      <c r="I561" s="134" t="str">
        <f ca="1">IF(F561=" "," ",IF('депозитный калькулятор'!$G$10="ежедневное",H561,IF(AND('депозитный калькулятор'!$G$10="еженедельное",WEEKDAY(F561,2)=7),SUM(OFFSET(H561,-6,0):H561),IF(AND('депозитный калькулятор'!$G$10="еженедельное",F561='депозитный калькулятор'!$D$8),SUM($H$23:H561)-SUM($I$23:I560),IF(AND('депозитный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недели",WEEKDAY(F561,2)=7),MIN(OFFSET(H561,-6,0):H561)*(COUNTIF(OFFSET(H561,-6,0):H561,"&gt;0")+SUMIF(OFFSET(A561,-WEEKDAY(F561,2),0):A561,"=2",OFFSET(A561,-WEEKDAY(F561,2),0):A561)),IF(AND('депозитный калькулятор'!$G$10="еженедельное, на минимальную сумму зафиксированную в течение недели",F561='депозитный калькулятор'!$D$8,WEEKDAY(F561,2)&lt;&gt;7),MIN(OFFSET(H561,-WEEKDAY(F561,2),0):H561)*(COUNTIF(OFFSET(H561,-WEEKDAY(F561,2)+1,0):H561,"&gt;0")+SUM(OFFSET(A561,-WEEKDAY(F561,2),0):A561)),IF(AND('депозитный калькулятор'!$G$10="ежемесячное (в конце месяца)",F561='депозитный калькулятор'!$D$8,EOMONTH(F561,0)&lt;&gt;F561),IF('депозитный калькулятор'!$F$1=1,$H$24,SUM($H$23:H561)-SUM($I$23:I560)),IF(AND('депозитный калькулятор'!$G$10="ежемесячное (в конце месяца)",EOMONTH(F561,0)=F561),SUM($H$23:H561)-SUM($I$23:I560),IF(AND('депозитный калькулятор'!$G$10="ежемесячное (по дням открытия вклада)",F561='депозитный калькулятор'!$D$8,DAY('депозитный калькулятор'!$D$7)&lt;&gt;DAY(F561)),IF('депозитный калькулятор'!$F$1=1,$H$24,SUM($H$23:H561)-SUM($I$23:I560)),IF(AND('депозитный калькулятор'!$G$10="ежемесячное (по дням открытия вклада)",DAY('депозитный калькулятор'!$D$7)=DAY(F561)),SUM($H$23:H561)-SUM($I$23:I560),IF(AND('депозитный калькулятор'!$G$10="ежемесячное, на минимальную сумму зафиксированную в течение месяца",F561='депозитный калькулятор'!$D$8,EOMONTH(F561,0)&lt;&gt;F561),IF('депозитный калькулятор'!$F$1=1,$H$24,IF(AND(OR('депозитный калькулятор'!$G$7="30/365",'депозитный калькулятор'!$G$7="30/360"),DAY(F561)=31),0,MIN(OFFSET(H561,-E561+1,0):H561)*(E561+SUMIF(OFFSET(A561,-E561+1,0):A561,"=2",OFFSET(A561,-E561+1,0):A561)))),IF(AND('депозитный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калькулятор'!$G$7="30/360"),DAY(EOMONTH(F561,0))=31),EOMONTH(F561,0)-1=F561,EOMONTH(F561,0)=F561)),IF(IF(AND(OR('депозитный калькулятор'!$G$7="30/365",'депозитный калькулятор'!$G$7="30/360"),DAY(EOMONTH($F$23,0))=31),F561=EOMONTH($F$23,0)-1,F561=EOMONTH($F$23,0)),MIN(OFFSET(H561,-(DAY(F561)-DAY($F$23)),0):H561)*E561,MIN(OFFSET(H561,-(DAY(F561)-1),0):H561)*IF(AND(OR('депозитный калькулятор'!$G$7="30/365",'депозитный калькулятор'!$G$7="30/360"),DAY(F561)&lt;30),30,DAY(F561))),IF(AND('депозитный калькулятор'!$G$10="ежемесячное, на средний остаток в течение месяца, при условии что остаток больше чем ограничение",F561='депозитный калькулятор'!$D$8,EOMONTH(F561,0)&lt;&gt;F561),IF('депозитный калькулятор'!$F$1=1,$H$24,SUM(OFFSET(Q561,-E561+1,0):Q561)),IF(AND('депозитный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калькулятор'!$G$7="30/360"),DAY(EOMONTH(F561,0))=31),EOMONTH(F561,0)-1=F561,EOMONTH(F561,0)=F561)),IF(IF(AND(OR('депозитный калькулятор'!$G$7="30/365",'депозитный калькулятор'!$G$7="30/360"),DAY(EOMONTH($F$24,0))=31),F561=EOMONTH($F$24,0)-1,F561=EOMONTH($F$24,0)),SUM(OFFSET(Q561,-E561+1,0):Q561),SUM(OFFSET(Q561,-E561+1,0):Q561)),IF('депозитный калькулятор'!$G$10="ежеквартальное",IF(F561&gt;'депозитный калькулятор'!$D$8," ",IF(AND(EOMONTH(F561,0)=F561,OR(MONTH(F561)=3,MONTH(F561)=6,MONTH(F561)=9,MONTH(F561)=12)),IF(EDATE(F561,-3)&lt;'депозитный калькулятор'!$D$7,SUM($H$23:H561),IF(MOD(YEAR(F561),4)=0,IF(AND(EOMONTH(F561,0)=F561,OR(MONTH(F561)=3,MONTH(F561)=6)),SUM(OFFSET(H561,-90,0):H561),IF(AND(EOMONTH(F561,0)=F561,OR(MONTH(F561)=9,MONTH(F561)=12)),SUM(OFFSET(H561,-91,0):H561))),IF(AND(EOMONTH(F561,0)=F561,MONTH(F561)=3),SUM(OFFSET(H561,-89,0):H561),IF(AND(EOMONTH(F561,0)=F561,MONTH(F561)=6),SUM(OFFSET(H561,-90,0):H561),IF(AND(EOMONTH(F561,0)=F561,OR(MONTH(F561)=9,MONTH(F561)=12)),SUM(OFFSET(H561,-91,0):H561)))))),IF(F561='депозитный калькулятор'!$D$8,SUM($H$23:H561)-SUM($I$23:I560),0))),IF('депозитный калькулятор'!$G$10="ежегодное",IF(F561&gt;'депозитный калькулятор'!$D$8," ",IF(F561='депозитный калькулятор'!$D$8,SUM($H$23:H561)-SUM($I$23:I560),IF(AND(EOMONTH(F561,0)=F561,MONTH(F561)=12),IF(MOD(YEAR(F560),4)=0,IF(F561-'депозитный калькулятор'!$D$7&lt;366,SUM($H$23:H561),SUM(OFFSET(H561,-365,0):H561)),IF(F561-'депозитный калькулятор'!$D$7&lt;365,SUM($H$23:H561),SUM(OFFSET(H561,-364,0):H561))),0))),IF(AND('депозитный калькулятор'!$G$10="в конце срока",'депозитный калькулятор'!$D$8=F561),SUM($H$23:H561),0))))))))))))))))))</f>
        <v xml:space="preserve"> </v>
      </c>
      <c r="J561" s="59" t="str">
        <f>IF(F561&gt;'депозитный калькулятор'!$D$8," ",IF('депозитный калькулятор'!$G$16="нет",0,IF(AND('депозитный калькулятор'!$G$17="разовая (в конце срока)",F561='депозитный калькулятор'!$D$8),'депозитный калькулятор'!$G$18,IF(AND('депозитный калькулятор'!$G$17="ежемесячная",EOMONTH(F560,0)=F560),'депозитный калькулятор'!$G$18,IF(AND('депозитный калькулятор'!$G$17="ежегодная",DAY(F560)=31,MONTH(F560)=12),'депозитный калькулятор'!$G$18,IF(AND('депозитный калькулятор'!$G$17="ежемесячная в зависимости от остатка",EOMONTH(F560,0)=F560,P560&gt;0),'депозитный калькулятор'!$G$18,IF(AND('депозитный калькулятор'!$G$17="ежегодная в зависимости от остатка",DAY(F560)=31,MONTH(F560)=12,P560&gt;0),'депозитный калькулятор'!$G$18,0)))))))</f>
        <v xml:space="preserve"> </v>
      </c>
      <c r="K561" s="135" t="str">
        <f>IF($F561=" "," ",IFERROR(VLOOKUP($F561,'депозитный калькулятор'!$B$26:$F$70,2,0),0))</f>
        <v xml:space="preserve"> </v>
      </c>
      <c r="L561" s="135" t="str">
        <f>IF($F561=" "," ",IFERROR(VLOOKUP($F561,'депозитный калькулятор'!$B$26:$F$70,3,0),0))</f>
        <v xml:space="preserve"> </v>
      </c>
      <c r="M561" s="135" t="str">
        <f>IF($F561=" "," ",IFERROR(VLOOKUP($F561,'депозитный калькулятор'!$B$26:$F$70,4,0),0))</f>
        <v xml:space="preserve"> </v>
      </c>
      <c r="N561" s="135" t="str">
        <f>IF($F561=" "," ",IFERROR(VLOOKUP($F561,'депозитный калькулятор'!$B$26:$F$70,5,0),0))</f>
        <v xml:space="preserve"> </v>
      </c>
      <c r="O561" s="146" t="str">
        <f>IF(F561&gt;'депозитный калькулятор'!$D$8," ",IF(F561='депозитный калькулятор'!$D$8,IF(AND($F$24='депозитный калькулятор'!$D$8,'депозитный калькулятор'!$G$13="нет"),-G561-IF(I561=" ",0,I561)-IF(AND(OR('депозитный калькулятор'!$G$7="30/365",'депозитный калькулятор'!$G$7="30/360"),'депозитный калькулятор'!$G$10="в начале срока"),I560,0)-L561+M561-N561,-G561-IF(I561=" ",0,I561)-L561+M561-N561),IF('депозитный калькулятор'!$G$13="есть",M561-N561+IF('депозитный калькулятор'!$G$14="есть",0,-L561),-IF(I561=" ",0,I561)-IF(AND(OR('депозитный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срока"),I560,0)+M561-N561+IF('депозитный калькулятор'!$G$14="есть",0,-L561))))</f>
        <v xml:space="preserve"> </v>
      </c>
      <c r="P561" s="147" t="str">
        <f>IF(F561&gt;'депозитный калькулятор'!$D$8," ",IF(EOMONTH(F560,0)=F560,0,IF(G561&gt;='депозитный калькулятор'!$G$19,P560,P560+1)))</f>
        <v xml:space="preserve"> </v>
      </c>
      <c r="Q561" s="138" t="str">
        <f>IF(F561=" "," ",IF(AND(OR('депозитный калькулятор'!$G$7="30/365",'депозитный калькулятор'!$G$7="30/360"),AND(MONTH(F561)=2,EOMONTH(F561,0)=F561)),IF(DAY(F561)=28,3,2),1)*IF(G561&gt;='депозитный калькулятор'!$G$11,IF(AND('депозитный калькулятор'!$G$7="факт/факт",MOD(YEAR(F561),4)=0),G561*'депозитный калькулятор'!$D$11/366,G561*'депозитный калькулятор'!$G$8),0))</f>
        <v xml:space="preserve"> </v>
      </c>
      <c r="R561" s="158"/>
      <c r="S561" s="62" t="str">
        <f t="shared" ca="1" si="42"/>
        <v xml:space="preserve"> </v>
      </c>
      <c r="T561" s="149" t="str">
        <f ca="1">IF(S561=" "," ",IF('депозитный калькулятор'!$G$7="30/360",DAYS360(U560,IF(DAY(U561)=31,U561-1,U561))+IF(AND(MONTH(U561)=2,U561=EOMONTH(U561,0)),30-DAY(EOMONTH(U561,0)))+T560,VLOOKUP(S561,$C$22:$F$1023,2,0)))</f>
        <v xml:space="preserve"> </v>
      </c>
      <c r="U561" s="64" t="str">
        <f t="shared" ca="1" si="40"/>
        <v xml:space="preserve"> </v>
      </c>
      <c r="V561" s="150" t="str">
        <f t="shared" ca="1" si="43"/>
        <v xml:space="preserve"> </v>
      </c>
      <c r="W561" s="62" t="str">
        <f t="shared" ca="1" si="44"/>
        <v xml:space="preserve"> </v>
      </c>
      <c r="X561" s="141" t="str">
        <f ca="1">IF(S561=" "," ",IFERROR(VLOOKUP(U561,$F$23:$N$1023,7)+VLOOKUP(U561,$F$23:$N$1023,9)+IF(AND('депозитный калькулятор'!$G$13="нет",U561&lt;&gt;'депозитный калькулятор'!$D$8),VLOOKUP(U561,$F$23:$N$1023,4),0),0)+IF(U561='депозитный калькулятор'!$D$8,VLOOKUP(U561,$F$23:$N$1023,2)+VLOOKUP(U561,$F$23:$N$1023,4),0))</f>
        <v xml:space="preserve"> </v>
      </c>
      <c r="Y561" s="142" t="str">
        <f ca="1">IF(S561=" "," ",W561/(1+'депозитный калькулятор'!$K$8)^(T561/IF('депозитный калькулятор'!$G$7="30/360",360,365)))</f>
        <v xml:space="preserve"> </v>
      </c>
      <c r="Z561" s="142" t="str">
        <f ca="1">IF(S561=" "," ",X561/(1+'депозитный калькулятор'!$K$8)^(T561/IF('депозитный калькулятор'!$G$7="30/360",360,365)))</f>
        <v xml:space="preserve"> </v>
      </c>
      <c r="AA561" s="151"/>
      <c r="AB561" s="151"/>
      <c r="AC561" s="155"/>
      <c r="AD561" s="155"/>
    </row>
    <row r="562" spans="1:30" s="2" customFormat="1" ht="15.5" x14ac:dyDescent="0.35">
      <c r="A562" s="41" t="str">
        <f>IF(F562=" "," ",IF(OR('депозитный калькулятор'!$G$7="30/365",'депозитный калькулятор'!$G$7="30/360"),IF(AND(MONTH(F562)=2,DAY(F562)=DAY(EOMONTH(F562,0))),30-DAY(EOMONTH(F562,0)),IF(DAY(F562)=31,1," "))," "))</f>
        <v xml:space="preserve"> </v>
      </c>
      <c r="B562" s="130" t="str">
        <f t="shared" si="41"/>
        <v xml:space="preserve"> </v>
      </c>
      <c r="C562" s="130" t="str">
        <f>IF(OR(B562=0,B562=" ")," ",SUM($B$23:B562))</f>
        <v xml:space="preserve"> </v>
      </c>
      <c r="D562" s="62" t="str">
        <f>IF(D561=" "," ",IF(OR(F561='депозитный калькулятор'!$D$8,F561=" ")," ",D561+1))</f>
        <v xml:space="preserve"> </v>
      </c>
      <c r="E562" s="130" t="str">
        <f>IF(OR(F561='депозитный калькулятор'!$D$8,F561=" ")," ",IF(EOMONTH(F561,0)=F561,1,E561+1))</f>
        <v xml:space="preserve"> </v>
      </c>
      <c r="F562" s="64" t="str">
        <f>IF(F561=" "," ",IF(F561='депозитный калькулятор'!$D$8," ",F561+1))</f>
        <v xml:space="preserve"> </v>
      </c>
      <c r="G562" s="145" t="str">
        <f xml:space="preserve"> IF(F562&gt;'депозитный калькулятор'!$D$8," ",IF('депозитный калькулятор'!$G$13="есть",IF('депозитный калькулятор'!$G$14="есть",G561+IF(I561=" ",0,I561)-J562-K562+L562+M562-N562,G561+IF(I561=" ",0,I561)-J562-K562+M562-N562),IF('депозитный калькулятор'!$G$14="есть",G561-J562-K562+L562+M562-N562,G561-J562-K562+M562-N562)))</f>
        <v xml:space="preserve"> </v>
      </c>
      <c r="H562" s="133" t="str">
        <f>IF(F562&gt;'депозитный калькулятор'!$D$8," ",IF(AND(OR('депозитный калькулятор'!$G$7="30/365",'депозитный калькулятор'!$G$7="30/360"),AND(MONTH(F562)=2,EOMONTH(F562,0)=F562)),IF(DAY(F562)=28,3*G562*'депозитный калькулятор'!$G$8,2*G562*'депозитный калькулятор'!$G$8),IF(AND(OR('депозитный калькулятор'!$G$7="30/365",'депозитный калькулятор'!$G$7="30/360"),DAY(F562)=31)," ",IF(AND('депозитный калькулятор'!$G$7="факт/факт",MOD(YEAR(F562),4)=0),G562*'депозитный калькулятор'!$D$11/366,G562*'депозитный калькулятор'!$G$8))))</f>
        <v xml:space="preserve"> </v>
      </c>
      <c r="I562" s="134" t="str">
        <f ca="1">IF(F562=" "," ",IF('депозитный калькулятор'!$G$10="ежедневное",H562,IF(AND('депозитный калькулятор'!$G$10="еженедельное",WEEKDAY(F562,2)=7),SUM(OFFSET(H562,-6,0):H562),IF(AND('депозитный калькулятор'!$G$10="еженедельное",F562='депозитный калькулятор'!$D$8),SUM($H$23:H562)-SUM($I$23:I561),IF(AND('депозитный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недели",WEEKDAY(F562,2)=7),MIN(OFFSET(H562,-6,0):H562)*(COUNTIF(OFFSET(H562,-6,0):H562,"&gt;0")+SUMIF(OFFSET(A562,-WEEKDAY(F562,2),0):A562,"=2",OFFSET(A562,-WEEKDAY(F562,2),0):A562)),IF(AND('депозитный калькулятор'!$G$10="еженедельное, на минимальную сумму зафиксированную в течение недели",F562='депозитный калькулятор'!$D$8,WEEKDAY(F562,2)&lt;&gt;7),MIN(OFFSET(H562,-WEEKDAY(F562,2),0):H562)*(COUNTIF(OFFSET(H562,-WEEKDAY(F562,2)+1,0):H562,"&gt;0")+SUM(OFFSET(A562,-WEEKDAY(F562,2),0):A562)),IF(AND('депозитный калькулятор'!$G$10="ежемесячное (в конце месяца)",F562='депозитный калькулятор'!$D$8,EOMONTH(F562,0)&lt;&gt;F562),IF('депозитный калькулятор'!$F$1=1,$H$24,SUM($H$23:H562)-SUM($I$23:I561)),IF(AND('депозитный калькулятор'!$G$10="ежемесячное (в конце месяца)",EOMONTH(F562,0)=F562),SUM($H$23:H562)-SUM($I$23:I561),IF(AND('депозитный калькулятор'!$G$10="ежемесячное (по дням открытия вклада)",F562='депозитный калькулятор'!$D$8,DAY('депозитный калькулятор'!$D$7)&lt;&gt;DAY(F562)),IF('депозитный калькулятор'!$F$1=1,$H$24,SUM($H$23:H562)-SUM($I$23:I561)),IF(AND('депозитный калькулятор'!$G$10="ежемесячное (по дням открытия вклада)",DAY('депозитный калькулятор'!$D$7)=DAY(F562)),SUM($H$23:H562)-SUM($I$23:I561),IF(AND('депозитный калькулятор'!$G$10="ежемесячное, на минимальную сумму зафиксированную в течение месяца",F562='депозитный калькулятор'!$D$8,EOMONTH(F562,0)&lt;&gt;F562),IF('депозитный калькулятор'!$F$1=1,$H$24,IF(AND(OR('депозитный калькулятор'!$G$7="30/365",'депозитный калькулятор'!$G$7="30/360"),DAY(F562)=31),0,MIN(OFFSET(H562,-E562+1,0):H562)*(E562+SUMIF(OFFSET(A562,-E562+1,0):A562,"=2",OFFSET(A562,-E562+1,0):A562)))),IF(AND('депозитный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калькулятор'!$G$7="30/360"),DAY(EOMONTH(F562,0))=31),EOMONTH(F562,0)-1=F562,EOMONTH(F562,0)=F562)),IF(IF(AND(OR('депозитный калькулятор'!$G$7="30/365",'депозитный калькулятор'!$G$7="30/360"),DAY(EOMONTH($F$23,0))=31),F562=EOMONTH($F$23,0)-1,F562=EOMONTH($F$23,0)),MIN(OFFSET(H562,-(DAY(F562)-DAY($F$23)),0):H562)*E562,MIN(OFFSET(H562,-(DAY(F562)-1),0):H562)*IF(AND(OR('депозитный калькулятор'!$G$7="30/365",'депозитный калькулятор'!$G$7="30/360"),DAY(F562)&lt;30),30,DAY(F562))),IF(AND('депозитный калькулятор'!$G$10="ежемесячное, на средний остаток в течение месяца, при условии что остаток больше чем ограничение",F562='депозитный калькулятор'!$D$8,EOMONTH(F562,0)&lt;&gt;F562),IF('депозитный калькулятор'!$F$1=1,$H$24,SUM(OFFSET(Q562,-E562+1,0):Q562)),IF(AND('депозитный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калькулятор'!$G$7="30/360"),DAY(EOMONTH(F562,0))=31),EOMONTH(F562,0)-1=F562,EOMONTH(F562,0)=F562)),IF(IF(AND(OR('депозитный калькулятор'!$G$7="30/365",'депозитный калькулятор'!$G$7="30/360"),DAY(EOMONTH($F$24,0))=31),F562=EOMONTH($F$24,0)-1,F562=EOMONTH($F$24,0)),SUM(OFFSET(Q562,-E562+1,0):Q562),SUM(OFFSET(Q562,-E562+1,0):Q562)),IF('депозитный калькулятор'!$G$10="ежеквартальное",IF(F562&gt;'депозитный калькулятор'!$D$8," ",IF(AND(EOMONTH(F562,0)=F562,OR(MONTH(F562)=3,MONTH(F562)=6,MONTH(F562)=9,MONTH(F562)=12)),IF(EDATE(F562,-3)&lt;'депозитный калькулятор'!$D$7,SUM($H$23:H562),IF(MOD(YEAR(F562),4)=0,IF(AND(EOMONTH(F562,0)=F562,OR(MONTH(F562)=3,MONTH(F562)=6)),SUM(OFFSET(H562,-90,0):H562),IF(AND(EOMONTH(F562,0)=F562,OR(MONTH(F562)=9,MONTH(F562)=12)),SUM(OFFSET(H562,-91,0):H562))),IF(AND(EOMONTH(F562,0)=F562,MONTH(F562)=3),SUM(OFFSET(H562,-89,0):H562),IF(AND(EOMONTH(F562,0)=F562,MONTH(F562)=6),SUM(OFFSET(H562,-90,0):H562),IF(AND(EOMONTH(F562,0)=F562,OR(MONTH(F562)=9,MONTH(F562)=12)),SUM(OFFSET(H562,-91,0):H562)))))),IF(F562='депозитный калькулятор'!$D$8,SUM($H$23:H562)-SUM($I$23:I561),0))),IF('депозитный калькулятор'!$G$10="ежегодное",IF(F562&gt;'депозитный калькулятор'!$D$8," ",IF(F562='депозитный калькулятор'!$D$8,SUM($H$23:H562)-SUM($I$23:I561),IF(AND(EOMONTH(F562,0)=F562,MONTH(F562)=12),IF(MOD(YEAR(F561),4)=0,IF(F562-'депозитный калькулятор'!$D$7&lt;366,SUM($H$23:H562),SUM(OFFSET(H562,-365,0):H562)),IF(F562-'депозитный калькулятор'!$D$7&lt;365,SUM($H$23:H562),SUM(OFFSET(H562,-364,0):H562))),0))),IF(AND('депозитный калькулятор'!$G$10="в конце срока",'депозитный калькулятор'!$D$8=F562),SUM($H$23:H562),0))))))))))))))))))</f>
        <v xml:space="preserve"> </v>
      </c>
      <c r="J562" s="59" t="str">
        <f>IF(F562&gt;'депозитный калькулятор'!$D$8," ",IF('депозитный калькулятор'!$G$16="нет",0,IF(AND('депозитный калькулятор'!$G$17="разовая (в конце срока)",F562='депозитный калькулятор'!$D$8),'депозитный калькулятор'!$G$18,IF(AND('депозитный калькулятор'!$G$17="ежемесячная",EOMONTH(F561,0)=F561),'депозитный калькулятор'!$G$18,IF(AND('депозитный калькулятор'!$G$17="ежегодная",DAY(F561)=31,MONTH(F561)=12),'депозитный калькулятор'!$G$18,IF(AND('депозитный калькулятор'!$G$17="ежемесячная в зависимости от остатка",EOMONTH(F561,0)=F561,P561&gt;0),'депозитный калькулятор'!$G$18,IF(AND('депозитный калькулятор'!$G$17="ежегодная в зависимости от остатка",DAY(F561)=31,MONTH(F561)=12,P561&gt;0),'депозитный калькулятор'!$G$18,0)))))))</f>
        <v xml:space="preserve"> </v>
      </c>
      <c r="K562" s="135" t="str">
        <f>IF($F562=" "," ",IFERROR(VLOOKUP($F562,'депозитный калькулятор'!$B$26:$F$70,2,0),0))</f>
        <v xml:space="preserve"> </v>
      </c>
      <c r="L562" s="135" t="str">
        <f>IF($F562=" "," ",IFERROR(VLOOKUP($F562,'депозитный калькулятор'!$B$26:$F$70,3,0),0))</f>
        <v xml:space="preserve"> </v>
      </c>
      <c r="M562" s="135" t="str">
        <f>IF($F562=" "," ",IFERROR(VLOOKUP($F562,'депозитный калькулятор'!$B$26:$F$70,4,0),0))</f>
        <v xml:space="preserve"> </v>
      </c>
      <c r="N562" s="135" t="str">
        <f>IF($F562=" "," ",IFERROR(VLOOKUP($F562,'депозитный калькулятор'!$B$26:$F$70,5,0),0))</f>
        <v xml:space="preserve"> </v>
      </c>
      <c r="O562" s="146" t="str">
        <f>IF(F562&gt;'депозитный калькулятор'!$D$8," ",IF(F562='депозитный калькулятор'!$D$8,IF(AND($F$24='депозитный калькулятор'!$D$8,'депозитный калькулятор'!$G$13="нет"),-G562-IF(I562=" ",0,I562)-IF(AND(OR('депозитный калькулятор'!$G$7="30/365",'депозитный калькулятор'!$G$7="30/360"),'депозитный калькулятор'!$G$10="в начале срока"),I561,0)-L562+M562-N562,-G562-IF(I562=" ",0,I562)-L562+M562-N562),IF('депозитный калькулятор'!$G$13="есть",M562-N562+IF('депозитный калькулятор'!$G$14="есть",0,-L562),-IF(I562=" ",0,I562)-IF(AND(OR('депозитный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срока"),I561,0)+M562-N562+IF('депозитный калькулятор'!$G$14="есть",0,-L562))))</f>
        <v xml:space="preserve"> </v>
      </c>
      <c r="P562" s="147" t="str">
        <f>IF(F562&gt;'депозитный калькулятор'!$D$8," ",IF(EOMONTH(F561,0)=F561,0,IF(G562&gt;='депозитный калькулятор'!$G$19,P561,P561+1)))</f>
        <v xml:space="preserve"> </v>
      </c>
      <c r="Q562" s="138" t="str">
        <f>IF(F562=" "," ",IF(AND(OR('депозитный калькулятор'!$G$7="30/365",'депозитный калькулятор'!$G$7="30/360"),AND(MONTH(F562)=2,EOMONTH(F562,0)=F562)),IF(DAY(F562)=28,3,2),1)*IF(G562&gt;='депозитный калькулятор'!$G$11,IF(AND('депозитный калькулятор'!$G$7="факт/факт",MOD(YEAR(F562),4)=0),G562*'депозитный калькулятор'!$D$11/366,G562*'депозитный калькулятор'!$G$8),0))</f>
        <v xml:space="preserve"> </v>
      </c>
      <c r="R562" s="158"/>
      <c r="S562" s="62" t="str">
        <f t="shared" ca="1" si="42"/>
        <v xml:space="preserve"> </v>
      </c>
      <c r="T562" s="149" t="str">
        <f ca="1">IF(S562=" "," ",IF('депозитный калькулятор'!$G$7="30/360",DAYS360(U561,IF(DAY(U562)=31,U562-1,U562))+IF(AND(MONTH(U562)=2,U562=EOMONTH(U562,0)),30-DAY(EOMONTH(U562,0)))+T561,VLOOKUP(S562,$C$22:$F$1023,2,0)))</f>
        <v xml:space="preserve"> </v>
      </c>
      <c r="U562" s="64" t="str">
        <f t="shared" ca="1" si="40"/>
        <v xml:space="preserve"> </v>
      </c>
      <c r="V562" s="150" t="str">
        <f t="shared" ca="1" si="43"/>
        <v xml:space="preserve"> </v>
      </c>
      <c r="W562" s="62" t="str">
        <f t="shared" ca="1" si="44"/>
        <v xml:space="preserve"> </v>
      </c>
      <c r="X562" s="141" t="str">
        <f ca="1">IF(S562=" "," ",IFERROR(VLOOKUP(U562,$F$23:$N$1023,7)+VLOOKUP(U562,$F$23:$N$1023,9)+IF(AND('депозитный калькулятор'!$G$13="нет",U562&lt;&gt;'депозитный калькулятор'!$D$8),VLOOKUP(U562,$F$23:$N$1023,4),0),0)+IF(U562='депозитный калькулятор'!$D$8,VLOOKUP(U562,$F$23:$N$1023,2)+VLOOKUP(U562,$F$23:$N$1023,4),0))</f>
        <v xml:space="preserve"> </v>
      </c>
      <c r="Y562" s="142" t="str">
        <f ca="1">IF(S562=" "," ",W562/(1+'депозитный калькулятор'!$K$8)^(T562/IF('депозитный калькулятор'!$G$7="30/360",360,365)))</f>
        <v xml:space="preserve"> </v>
      </c>
      <c r="Z562" s="142" t="str">
        <f ca="1">IF(S562=" "," ",X562/(1+'депозитный калькулятор'!$K$8)^(T562/IF('депозитный калькулятор'!$G$7="30/360",360,365)))</f>
        <v xml:space="preserve"> </v>
      </c>
      <c r="AA562" s="151"/>
      <c r="AB562" s="151"/>
      <c r="AC562" s="155"/>
      <c r="AD562" s="155"/>
    </row>
    <row r="563" spans="1:30" s="2" customFormat="1" ht="15.5" x14ac:dyDescent="0.35">
      <c r="A563" s="41" t="str">
        <f>IF(F563=" "," ",IF(OR('депозитный калькулятор'!$G$7="30/365",'депозитный калькулятор'!$G$7="30/360"),IF(AND(MONTH(F563)=2,DAY(F563)=DAY(EOMONTH(F563,0))),30-DAY(EOMONTH(F563,0)),IF(DAY(F563)=31,1," "))," "))</f>
        <v xml:space="preserve"> </v>
      </c>
      <c r="B563" s="130" t="str">
        <f t="shared" si="41"/>
        <v xml:space="preserve"> </v>
      </c>
      <c r="C563" s="130" t="str">
        <f>IF(OR(B563=0,B563=" ")," ",SUM($B$23:B563))</f>
        <v xml:space="preserve"> </v>
      </c>
      <c r="D563" s="62" t="str">
        <f>IF(D562=" "," ",IF(OR(F562='депозитный калькулятор'!$D$8,F562=" ")," ",D562+1))</f>
        <v xml:space="preserve"> </v>
      </c>
      <c r="E563" s="130" t="str">
        <f>IF(OR(F562='депозитный калькулятор'!$D$8,F562=" ")," ",IF(EOMONTH(F562,0)=F562,1,E562+1))</f>
        <v xml:space="preserve"> </v>
      </c>
      <c r="F563" s="64" t="str">
        <f>IF(F562=" "," ",IF(F562='депозитный калькулятор'!$D$8," ",F562+1))</f>
        <v xml:space="preserve"> </v>
      </c>
      <c r="G563" s="145" t="str">
        <f xml:space="preserve"> IF(F563&gt;'депозитный калькулятор'!$D$8," ",IF('депозитный калькулятор'!$G$13="есть",IF('депозитный калькулятор'!$G$14="есть",G562+IF(I562=" ",0,I562)-J563-K563+L563+M563-N563,G562+IF(I562=" ",0,I562)-J563-K563+M563-N563),IF('депозитный калькулятор'!$G$14="есть",G562-J563-K563+L563+M563-N563,G562-J563-K563+M563-N563)))</f>
        <v xml:space="preserve"> </v>
      </c>
      <c r="H563" s="133" t="str">
        <f>IF(F563&gt;'депозитный калькулятор'!$D$8," ",IF(AND(OR('депозитный калькулятор'!$G$7="30/365",'депозитный калькулятор'!$G$7="30/360"),AND(MONTH(F563)=2,EOMONTH(F563,0)=F563)),IF(DAY(F563)=28,3*G563*'депозитный калькулятор'!$G$8,2*G563*'депозитный калькулятор'!$G$8),IF(AND(OR('депозитный калькулятор'!$G$7="30/365",'депозитный калькулятор'!$G$7="30/360"),DAY(F563)=31)," ",IF(AND('депозитный калькулятор'!$G$7="факт/факт",MOD(YEAR(F563),4)=0),G563*'депозитный калькулятор'!$D$11/366,G563*'депозитный калькулятор'!$G$8))))</f>
        <v xml:space="preserve"> </v>
      </c>
      <c r="I563" s="134" t="str">
        <f ca="1">IF(F563=" "," ",IF('депозитный калькулятор'!$G$10="ежедневное",H563,IF(AND('депозитный калькулятор'!$G$10="еженедельное",WEEKDAY(F563,2)=7),SUM(OFFSET(H563,-6,0):H563),IF(AND('депозитный калькулятор'!$G$10="еженедельное",F563='депозитный калькулятор'!$D$8),SUM($H$23:H563)-SUM($I$23:I562),IF(AND('депозитный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недели",WEEKDAY(F563,2)=7),MIN(OFFSET(H563,-6,0):H563)*(COUNTIF(OFFSET(H563,-6,0):H563,"&gt;0")+SUMIF(OFFSET(A563,-WEEKDAY(F563,2),0):A563,"=2",OFFSET(A563,-WEEKDAY(F563,2),0):A563)),IF(AND('депозитный калькулятор'!$G$10="еженедельное, на минимальную сумму зафиксированную в течение недели",F563='депозитный калькулятор'!$D$8,WEEKDAY(F563,2)&lt;&gt;7),MIN(OFFSET(H563,-WEEKDAY(F563,2),0):H563)*(COUNTIF(OFFSET(H563,-WEEKDAY(F563,2)+1,0):H563,"&gt;0")+SUM(OFFSET(A563,-WEEKDAY(F563,2),0):A563)),IF(AND('депозитный калькулятор'!$G$10="ежемесячное (в конце месяца)",F563='депозитный калькулятор'!$D$8,EOMONTH(F563,0)&lt;&gt;F563),IF('депозитный калькулятор'!$F$1=1,$H$24,SUM($H$23:H563)-SUM($I$23:I562)),IF(AND('депозитный калькулятор'!$G$10="ежемесячное (в конце месяца)",EOMONTH(F563,0)=F563),SUM($H$23:H563)-SUM($I$23:I562),IF(AND('депозитный калькулятор'!$G$10="ежемесячное (по дням открытия вклада)",F563='депозитный калькулятор'!$D$8,DAY('депозитный калькулятор'!$D$7)&lt;&gt;DAY(F563)),IF('депозитный калькулятор'!$F$1=1,$H$24,SUM($H$23:H563)-SUM($I$23:I562)),IF(AND('депозитный калькулятор'!$G$10="ежемесячное (по дням открытия вклада)",DAY('депозитный калькулятор'!$D$7)=DAY(F563)),SUM($H$23:H563)-SUM($I$23:I562),IF(AND('депозитный калькулятор'!$G$10="ежемесячное, на минимальную сумму зафиксированную в течение месяца",F563='депозитный калькулятор'!$D$8,EOMONTH(F563,0)&lt;&gt;F563),IF('депозитный калькулятор'!$F$1=1,$H$24,IF(AND(OR('депозитный калькулятор'!$G$7="30/365",'депозитный калькулятор'!$G$7="30/360"),DAY(F563)=31),0,MIN(OFFSET(H563,-E563+1,0):H563)*(E563+SUMIF(OFFSET(A563,-E563+1,0):A563,"=2",OFFSET(A563,-E563+1,0):A563)))),IF(AND('депозитный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калькулятор'!$G$7="30/360"),DAY(EOMONTH(F563,0))=31),EOMONTH(F563,0)-1=F563,EOMONTH(F563,0)=F563)),IF(IF(AND(OR('депозитный калькулятор'!$G$7="30/365",'депозитный калькулятор'!$G$7="30/360"),DAY(EOMONTH($F$23,0))=31),F563=EOMONTH($F$23,0)-1,F563=EOMONTH($F$23,0)),MIN(OFFSET(H563,-(DAY(F563)-DAY($F$23)),0):H563)*E563,MIN(OFFSET(H563,-(DAY(F563)-1),0):H563)*IF(AND(OR('депозитный калькулятор'!$G$7="30/365",'депозитный калькулятор'!$G$7="30/360"),DAY(F563)&lt;30),30,DAY(F563))),IF(AND('депозитный калькулятор'!$G$10="ежемесячное, на средний остаток в течение месяца, при условии что остаток больше чем ограничение",F563='депозитный калькулятор'!$D$8,EOMONTH(F563,0)&lt;&gt;F563),IF('депозитный калькулятор'!$F$1=1,$H$24,SUM(OFFSET(Q563,-E563+1,0):Q563)),IF(AND('депозитный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калькулятор'!$G$7="30/360"),DAY(EOMONTH(F563,0))=31),EOMONTH(F563,0)-1=F563,EOMONTH(F563,0)=F563)),IF(IF(AND(OR('депозитный калькулятор'!$G$7="30/365",'депозитный калькулятор'!$G$7="30/360"),DAY(EOMONTH($F$24,0))=31),F563=EOMONTH($F$24,0)-1,F563=EOMONTH($F$24,0)),SUM(OFFSET(Q563,-E563+1,0):Q563),SUM(OFFSET(Q563,-E563+1,0):Q563)),IF('депозитный калькулятор'!$G$10="ежеквартальное",IF(F563&gt;'депозитный калькулятор'!$D$8," ",IF(AND(EOMONTH(F563,0)=F563,OR(MONTH(F563)=3,MONTH(F563)=6,MONTH(F563)=9,MONTH(F563)=12)),IF(EDATE(F563,-3)&lt;'депозитный калькулятор'!$D$7,SUM($H$23:H563),IF(MOD(YEAR(F563),4)=0,IF(AND(EOMONTH(F563,0)=F563,OR(MONTH(F563)=3,MONTH(F563)=6)),SUM(OFFSET(H563,-90,0):H563),IF(AND(EOMONTH(F563,0)=F563,OR(MONTH(F563)=9,MONTH(F563)=12)),SUM(OFFSET(H563,-91,0):H563))),IF(AND(EOMONTH(F563,0)=F563,MONTH(F563)=3),SUM(OFFSET(H563,-89,0):H563),IF(AND(EOMONTH(F563,0)=F563,MONTH(F563)=6),SUM(OFFSET(H563,-90,0):H563),IF(AND(EOMONTH(F563,0)=F563,OR(MONTH(F563)=9,MONTH(F563)=12)),SUM(OFFSET(H563,-91,0):H563)))))),IF(F563='депозитный калькулятор'!$D$8,SUM($H$23:H563)-SUM($I$23:I562),0))),IF('депозитный калькулятор'!$G$10="ежегодное",IF(F563&gt;'депозитный калькулятор'!$D$8," ",IF(F563='депозитный калькулятор'!$D$8,SUM($H$23:H563)-SUM($I$23:I562),IF(AND(EOMONTH(F563,0)=F563,MONTH(F563)=12),IF(MOD(YEAR(F562),4)=0,IF(F563-'депозитный калькулятор'!$D$7&lt;366,SUM($H$23:H563),SUM(OFFSET(H563,-365,0):H563)),IF(F563-'депозитный калькулятор'!$D$7&lt;365,SUM($H$23:H563),SUM(OFFSET(H563,-364,0):H563))),0))),IF(AND('депозитный калькулятор'!$G$10="в конце срока",'депозитный калькулятор'!$D$8=F563),SUM($H$23:H563),0))))))))))))))))))</f>
        <v xml:space="preserve"> </v>
      </c>
      <c r="J563" s="59" t="str">
        <f>IF(F563&gt;'депозитный калькулятор'!$D$8," ",IF('депозитный калькулятор'!$G$16="нет",0,IF(AND('депозитный калькулятор'!$G$17="разовая (в конце срока)",F563='депозитный калькулятор'!$D$8),'депозитный калькулятор'!$G$18,IF(AND('депозитный калькулятор'!$G$17="ежемесячная",EOMONTH(F562,0)=F562),'депозитный калькулятор'!$G$18,IF(AND('депозитный калькулятор'!$G$17="ежегодная",DAY(F562)=31,MONTH(F562)=12),'депозитный калькулятор'!$G$18,IF(AND('депозитный калькулятор'!$G$17="ежемесячная в зависимости от остатка",EOMONTH(F562,0)=F562,P562&gt;0),'депозитный калькулятор'!$G$18,IF(AND('депозитный калькулятор'!$G$17="ежегодная в зависимости от остатка",DAY(F562)=31,MONTH(F562)=12,P562&gt;0),'депозитный калькулятор'!$G$18,0)))))))</f>
        <v xml:space="preserve"> </v>
      </c>
      <c r="K563" s="135" t="str">
        <f>IF($F563=" "," ",IFERROR(VLOOKUP($F563,'депозитный калькулятор'!$B$26:$F$70,2,0),0))</f>
        <v xml:space="preserve"> </v>
      </c>
      <c r="L563" s="135" t="str">
        <f>IF($F563=" "," ",IFERROR(VLOOKUP($F563,'депозитный калькулятор'!$B$26:$F$70,3,0),0))</f>
        <v xml:space="preserve"> </v>
      </c>
      <c r="M563" s="135" t="str">
        <f>IF($F563=" "," ",IFERROR(VLOOKUP($F563,'депозитный калькулятор'!$B$26:$F$70,4,0),0))</f>
        <v xml:space="preserve"> </v>
      </c>
      <c r="N563" s="135" t="str">
        <f>IF($F563=" "," ",IFERROR(VLOOKUP($F563,'депозитный калькулятор'!$B$26:$F$70,5,0),0))</f>
        <v xml:space="preserve"> </v>
      </c>
      <c r="O563" s="146" t="str">
        <f>IF(F563&gt;'депозитный калькулятор'!$D$8," ",IF(F563='депозитный калькулятор'!$D$8,IF(AND($F$24='депозитный калькулятор'!$D$8,'депозитный калькулятор'!$G$13="нет"),-G563-IF(I563=" ",0,I563)-IF(AND(OR('депозитный калькулятор'!$G$7="30/365",'депозитный калькулятор'!$G$7="30/360"),'депозитный калькулятор'!$G$10="в начале срока"),I562,0)-L563+M563-N563,-G563-IF(I563=" ",0,I563)-L563+M563-N563),IF('депозитный калькулятор'!$G$13="есть",M563-N563+IF('депозитный калькулятор'!$G$14="есть",0,-L563),-IF(I563=" ",0,I563)-IF(AND(OR('депозитный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срока"),I562,0)+M563-N563+IF('депозитный калькулятор'!$G$14="есть",0,-L563))))</f>
        <v xml:space="preserve"> </v>
      </c>
      <c r="P563" s="147" t="str">
        <f>IF(F563&gt;'депозитный калькулятор'!$D$8," ",IF(EOMONTH(F562,0)=F562,0,IF(G563&gt;='депозитный калькулятор'!$G$19,P562,P562+1)))</f>
        <v xml:space="preserve"> </v>
      </c>
      <c r="Q563" s="138" t="str">
        <f>IF(F563=" "," ",IF(AND(OR('депозитный калькулятор'!$G$7="30/365",'депозитный калькулятор'!$G$7="30/360"),AND(MONTH(F563)=2,EOMONTH(F563,0)=F563)),IF(DAY(F563)=28,3,2),1)*IF(G563&gt;='депозитный калькулятор'!$G$11,IF(AND('депозитный калькулятор'!$G$7="факт/факт",MOD(YEAR(F563),4)=0),G563*'депозитный калькулятор'!$D$11/366,G563*'депозитный калькулятор'!$G$8),0))</f>
        <v xml:space="preserve"> </v>
      </c>
      <c r="R563" s="158"/>
      <c r="S563" s="62" t="str">
        <f t="shared" ca="1" si="42"/>
        <v xml:space="preserve"> </v>
      </c>
      <c r="T563" s="149" t="str">
        <f ca="1">IF(S563=" "," ",IF('депозитный калькулятор'!$G$7="30/360",DAYS360(U562,IF(DAY(U563)=31,U563-1,U563))+IF(AND(MONTH(U563)=2,U563=EOMONTH(U563,0)),30-DAY(EOMONTH(U563,0)))+T562,VLOOKUP(S563,$C$22:$F$1023,2,0)))</f>
        <v xml:space="preserve"> </v>
      </c>
      <c r="U563" s="64" t="str">
        <f t="shared" ca="1" si="40"/>
        <v xml:space="preserve"> </v>
      </c>
      <c r="V563" s="150" t="str">
        <f t="shared" ca="1" si="43"/>
        <v xml:space="preserve"> </v>
      </c>
      <c r="W563" s="62" t="str">
        <f t="shared" ca="1" si="44"/>
        <v xml:space="preserve"> </v>
      </c>
      <c r="X563" s="141" t="str">
        <f ca="1">IF(S563=" "," ",IFERROR(VLOOKUP(U563,$F$23:$N$1023,7)+VLOOKUP(U563,$F$23:$N$1023,9)+IF(AND('депозитный калькулятор'!$G$13="нет",U563&lt;&gt;'депозитный калькулятор'!$D$8),VLOOKUP(U563,$F$23:$N$1023,4),0),0)+IF(U563='депозитный калькулятор'!$D$8,VLOOKUP(U563,$F$23:$N$1023,2)+VLOOKUP(U563,$F$23:$N$1023,4),0))</f>
        <v xml:space="preserve"> </v>
      </c>
      <c r="Y563" s="142" t="str">
        <f ca="1">IF(S563=" "," ",W563/(1+'депозитный калькулятор'!$K$8)^(T563/IF('депозитный калькулятор'!$G$7="30/360",360,365)))</f>
        <v xml:space="preserve"> </v>
      </c>
      <c r="Z563" s="142" t="str">
        <f ca="1">IF(S563=" "," ",X563/(1+'депозитный калькулятор'!$K$8)^(T563/IF('депозитный калькулятор'!$G$7="30/360",360,365)))</f>
        <v xml:space="preserve"> </v>
      </c>
      <c r="AA563" s="151"/>
      <c r="AB563" s="151"/>
      <c r="AC563" s="155"/>
      <c r="AD563" s="155"/>
    </row>
    <row r="564" spans="1:30" s="2" customFormat="1" ht="15.5" x14ac:dyDescent="0.35">
      <c r="A564" s="41" t="str">
        <f>IF(F564=" "," ",IF(OR('депозитный калькулятор'!$G$7="30/365",'депозитный калькулятор'!$G$7="30/360"),IF(AND(MONTH(F564)=2,DAY(F564)=DAY(EOMONTH(F564,0))),30-DAY(EOMONTH(F564,0)),IF(DAY(F564)=31,1," "))," "))</f>
        <v xml:space="preserve"> </v>
      </c>
      <c r="B564" s="130" t="str">
        <f t="shared" si="41"/>
        <v xml:space="preserve"> </v>
      </c>
      <c r="C564" s="130" t="str">
        <f>IF(OR(B564=0,B564=" ")," ",SUM($B$23:B564))</f>
        <v xml:space="preserve"> </v>
      </c>
      <c r="D564" s="62" t="str">
        <f>IF(D563=" "," ",IF(OR(F563='депозитный калькулятор'!$D$8,F563=" ")," ",D563+1))</f>
        <v xml:space="preserve"> </v>
      </c>
      <c r="E564" s="130" t="str">
        <f>IF(OR(F563='депозитный калькулятор'!$D$8,F563=" ")," ",IF(EOMONTH(F563,0)=F563,1,E563+1))</f>
        <v xml:space="preserve"> </v>
      </c>
      <c r="F564" s="64" t="str">
        <f>IF(F563=" "," ",IF(F563='депозитный калькулятор'!$D$8," ",F563+1))</f>
        <v xml:space="preserve"> </v>
      </c>
      <c r="G564" s="145" t="str">
        <f xml:space="preserve"> IF(F564&gt;'депозитный калькулятор'!$D$8," ",IF('депозитный калькулятор'!$G$13="есть",IF('депозитный калькулятор'!$G$14="есть",G563+IF(I563=" ",0,I563)-J564-K564+L564+M564-N564,G563+IF(I563=" ",0,I563)-J564-K564+M564-N564),IF('депозитный калькулятор'!$G$14="есть",G563-J564-K564+L564+M564-N564,G563-J564-K564+M564-N564)))</f>
        <v xml:space="preserve"> </v>
      </c>
      <c r="H564" s="133" t="str">
        <f>IF(F564&gt;'депозитный калькулятор'!$D$8," ",IF(AND(OR('депозитный калькулятор'!$G$7="30/365",'депозитный калькулятор'!$G$7="30/360"),AND(MONTH(F564)=2,EOMONTH(F564,0)=F564)),IF(DAY(F564)=28,3*G564*'депозитный калькулятор'!$G$8,2*G564*'депозитный калькулятор'!$G$8),IF(AND(OR('депозитный калькулятор'!$G$7="30/365",'депозитный калькулятор'!$G$7="30/360"),DAY(F564)=31)," ",IF(AND('депозитный калькулятор'!$G$7="факт/факт",MOD(YEAR(F564),4)=0),G564*'депозитный калькулятор'!$D$11/366,G564*'депозитный калькулятор'!$G$8))))</f>
        <v xml:space="preserve"> </v>
      </c>
      <c r="I564" s="134" t="str">
        <f ca="1">IF(F564=" "," ",IF('депозитный калькулятор'!$G$10="ежедневное",H564,IF(AND('депозитный калькулятор'!$G$10="еженедельное",WEEKDAY(F564,2)=7),SUM(OFFSET(H564,-6,0):H564),IF(AND('депозитный калькулятор'!$G$10="еженедельное",F564='депозитный калькулятор'!$D$8),SUM($H$23:H564)-SUM($I$23:I563),IF(AND('депозитный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недели",WEEKDAY(F564,2)=7),MIN(OFFSET(H564,-6,0):H564)*(COUNTIF(OFFSET(H564,-6,0):H564,"&gt;0")+SUMIF(OFFSET(A564,-WEEKDAY(F564,2),0):A564,"=2",OFFSET(A564,-WEEKDAY(F564,2),0):A564)),IF(AND('депозитный калькулятор'!$G$10="еженедельное, на минимальную сумму зафиксированную в течение недели",F564='депозитный калькулятор'!$D$8,WEEKDAY(F564,2)&lt;&gt;7),MIN(OFFSET(H564,-WEEKDAY(F564,2),0):H564)*(COUNTIF(OFFSET(H564,-WEEKDAY(F564,2)+1,0):H564,"&gt;0")+SUM(OFFSET(A564,-WEEKDAY(F564,2),0):A564)),IF(AND('депозитный калькулятор'!$G$10="ежемесячное (в конце месяца)",F564='депозитный калькулятор'!$D$8,EOMONTH(F564,0)&lt;&gt;F564),IF('депозитный калькулятор'!$F$1=1,$H$24,SUM($H$23:H564)-SUM($I$23:I563)),IF(AND('депозитный калькулятор'!$G$10="ежемесячное (в конце месяца)",EOMONTH(F564,0)=F564),SUM($H$23:H564)-SUM($I$23:I563),IF(AND('депозитный калькулятор'!$G$10="ежемесячное (по дням открытия вклада)",F564='депозитный калькулятор'!$D$8,DAY('депозитный калькулятор'!$D$7)&lt;&gt;DAY(F564)),IF('депозитный калькулятор'!$F$1=1,$H$24,SUM($H$23:H564)-SUM($I$23:I563)),IF(AND('депозитный калькулятор'!$G$10="ежемесячное (по дням открытия вклада)",DAY('депозитный калькулятор'!$D$7)=DAY(F564)),SUM($H$23:H564)-SUM($I$23:I563),IF(AND('депозитный калькулятор'!$G$10="ежемесячное, на минимальную сумму зафиксированную в течение месяца",F564='депозитный калькулятор'!$D$8,EOMONTH(F564,0)&lt;&gt;F564),IF('депозитный калькулятор'!$F$1=1,$H$24,IF(AND(OR('депозитный калькулятор'!$G$7="30/365",'депозитный калькулятор'!$G$7="30/360"),DAY(F564)=31),0,MIN(OFFSET(H564,-E564+1,0):H564)*(E564+SUMIF(OFFSET(A564,-E564+1,0):A564,"=2",OFFSET(A564,-E564+1,0):A564)))),IF(AND('депозитный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калькулятор'!$G$7="30/360"),DAY(EOMONTH(F564,0))=31),EOMONTH(F564,0)-1=F564,EOMONTH(F564,0)=F564)),IF(IF(AND(OR('депозитный калькулятор'!$G$7="30/365",'депозитный калькулятор'!$G$7="30/360"),DAY(EOMONTH($F$23,0))=31),F564=EOMONTH($F$23,0)-1,F564=EOMONTH($F$23,0)),MIN(OFFSET(H564,-(DAY(F564)-DAY($F$23)),0):H564)*E564,MIN(OFFSET(H564,-(DAY(F564)-1),0):H564)*IF(AND(OR('депозитный калькулятор'!$G$7="30/365",'депозитный калькулятор'!$G$7="30/360"),DAY(F564)&lt;30),30,DAY(F564))),IF(AND('депозитный калькулятор'!$G$10="ежемесячное, на средний остаток в течение месяца, при условии что остаток больше чем ограничение",F564='депозитный калькулятор'!$D$8,EOMONTH(F564,0)&lt;&gt;F564),IF('депозитный калькулятор'!$F$1=1,$H$24,SUM(OFFSET(Q564,-E564+1,0):Q564)),IF(AND('депозитный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калькулятор'!$G$7="30/360"),DAY(EOMONTH(F564,0))=31),EOMONTH(F564,0)-1=F564,EOMONTH(F564,0)=F564)),IF(IF(AND(OR('депозитный калькулятор'!$G$7="30/365",'депозитный калькулятор'!$G$7="30/360"),DAY(EOMONTH($F$24,0))=31),F564=EOMONTH($F$24,0)-1,F564=EOMONTH($F$24,0)),SUM(OFFSET(Q564,-E564+1,0):Q564),SUM(OFFSET(Q564,-E564+1,0):Q564)),IF('депозитный калькулятор'!$G$10="ежеквартальное",IF(F564&gt;'депозитный калькулятор'!$D$8," ",IF(AND(EOMONTH(F564,0)=F564,OR(MONTH(F564)=3,MONTH(F564)=6,MONTH(F564)=9,MONTH(F564)=12)),IF(EDATE(F564,-3)&lt;'депозитный калькулятор'!$D$7,SUM($H$23:H564),IF(MOD(YEAR(F564),4)=0,IF(AND(EOMONTH(F564,0)=F564,OR(MONTH(F564)=3,MONTH(F564)=6)),SUM(OFFSET(H564,-90,0):H564),IF(AND(EOMONTH(F564,0)=F564,OR(MONTH(F564)=9,MONTH(F564)=12)),SUM(OFFSET(H564,-91,0):H564))),IF(AND(EOMONTH(F564,0)=F564,MONTH(F564)=3),SUM(OFFSET(H564,-89,0):H564),IF(AND(EOMONTH(F564,0)=F564,MONTH(F564)=6),SUM(OFFSET(H564,-90,0):H564),IF(AND(EOMONTH(F564,0)=F564,OR(MONTH(F564)=9,MONTH(F564)=12)),SUM(OFFSET(H564,-91,0):H564)))))),IF(F564='депозитный калькулятор'!$D$8,SUM($H$23:H564)-SUM($I$23:I563),0))),IF('депозитный калькулятор'!$G$10="ежегодное",IF(F564&gt;'депозитный калькулятор'!$D$8," ",IF(F564='депозитный калькулятор'!$D$8,SUM($H$23:H564)-SUM($I$23:I563),IF(AND(EOMONTH(F564,0)=F564,MONTH(F564)=12),IF(MOD(YEAR(F563),4)=0,IF(F564-'депозитный калькулятор'!$D$7&lt;366,SUM($H$23:H564),SUM(OFFSET(H564,-365,0):H564)),IF(F564-'депозитный калькулятор'!$D$7&lt;365,SUM($H$23:H564),SUM(OFFSET(H564,-364,0):H564))),0))),IF(AND('депозитный калькулятор'!$G$10="в конце срока",'депозитный калькулятор'!$D$8=F564),SUM($H$23:H564),0))))))))))))))))))</f>
        <v xml:space="preserve"> </v>
      </c>
      <c r="J564" s="59" t="str">
        <f>IF(F564&gt;'депозитный калькулятор'!$D$8," ",IF('депозитный калькулятор'!$G$16="нет",0,IF(AND('депозитный калькулятор'!$G$17="разовая (в конце срока)",F564='депозитный калькулятор'!$D$8),'депозитный калькулятор'!$G$18,IF(AND('депозитный калькулятор'!$G$17="ежемесячная",EOMONTH(F563,0)=F563),'депозитный калькулятор'!$G$18,IF(AND('депозитный калькулятор'!$G$17="ежегодная",DAY(F563)=31,MONTH(F563)=12),'депозитный калькулятор'!$G$18,IF(AND('депозитный калькулятор'!$G$17="ежемесячная в зависимости от остатка",EOMONTH(F563,0)=F563,P563&gt;0),'депозитный калькулятор'!$G$18,IF(AND('депозитный калькулятор'!$G$17="ежегодная в зависимости от остатка",DAY(F563)=31,MONTH(F563)=12,P563&gt;0),'депозитный калькулятор'!$G$18,0)))))))</f>
        <v xml:space="preserve"> </v>
      </c>
      <c r="K564" s="135" t="str">
        <f>IF($F564=" "," ",IFERROR(VLOOKUP($F564,'депозитный калькулятор'!$B$26:$F$70,2,0),0))</f>
        <v xml:space="preserve"> </v>
      </c>
      <c r="L564" s="135" t="str">
        <f>IF($F564=" "," ",IFERROR(VLOOKUP($F564,'депозитный калькулятор'!$B$26:$F$70,3,0),0))</f>
        <v xml:space="preserve"> </v>
      </c>
      <c r="M564" s="135" t="str">
        <f>IF($F564=" "," ",IFERROR(VLOOKUP($F564,'депозитный калькулятор'!$B$26:$F$70,4,0),0))</f>
        <v xml:space="preserve"> </v>
      </c>
      <c r="N564" s="135" t="str">
        <f>IF($F564=" "," ",IFERROR(VLOOKUP($F564,'депозитный калькулятор'!$B$26:$F$70,5,0),0))</f>
        <v xml:space="preserve"> </v>
      </c>
      <c r="O564" s="146" t="str">
        <f>IF(F564&gt;'депозитный калькулятор'!$D$8," ",IF(F564='депозитный калькулятор'!$D$8,IF(AND($F$24='депозитный калькулятор'!$D$8,'депозитный калькулятор'!$G$13="нет"),-G564-IF(I564=" ",0,I564)-IF(AND(OR('депозитный калькулятор'!$G$7="30/365",'депозитный калькулятор'!$G$7="30/360"),'депозитный калькулятор'!$G$10="в начале срока"),I563,0)-L564+M564-N564,-G564-IF(I564=" ",0,I564)-L564+M564-N564),IF('депозитный калькулятор'!$G$13="есть",M564-N564+IF('депозитный калькулятор'!$G$14="есть",0,-L564),-IF(I564=" ",0,I564)-IF(AND(OR('депозитный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срока"),I563,0)+M564-N564+IF('депозитный калькулятор'!$G$14="есть",0,-L564))))</f>
        <v xml:space="preserve"> </v>
      </c>
      <c r="P564" s="147" t="str">
        <f>IF(F564&gt;'депозитный калькулятор'!$D$8," ",IF(EOMONTH(F563,0)=F563,0,IF(G564&gt;='депозитный калькулятор'!$G$19,P563,P563+1)))</f>
        <v xml:space="preserve"> </v>
      </c>
      <c r="Q564" s="138" t="str">
        <f>IF(F564=" "," ",IF(AND(OR('депозитный калькулятор'!$G$7="30/365",'депозитный калькулятор'!$G$7="30/360"),AND(MONTH(F564)=2,EOMONTH(F564,0)=F564)),IF(DAY(F564)=28,3,2),1)*IF(G564&gt;='депозитный калькулятор'!$G$11,IF(AND('депозитный калькулятор'!$G$7="факт/факт",MOD(YEAR(F564),4)=0),G564*'депозитный калькулятор'!$D$11/366,G564*'депозитный калькулятор'!$G$8),0))</f>
        <v xml:space="preserve"> </v>
      </c>
      <c r="R564" s="158"/>
      <c r="S564" s="62" t="str">
        <f t="shared" ca="1" si="42"/>
        <v xml:space="preserve"> </v>
      </c>
      <c r="T564" s="149" t="str">
        <f ca="1">IF(S564=" "," ",IF('депозитный калькулятор'!$G$7="30/360",DAYS360(U563,IF(DAY(U564)=31,U564-1,U564))+IF(AND(MONTH(U564)=2,U564=EOMONTH(U564,0)),30-DAY(EOMONTH(U564,0)))+T563,VLOOKUP(S564,$C$22:$F$1023,2,0)))</f>
        <v xml:space="preserve"> </v>
      </c>
      <c r="U564" s="64" t="str">
        <f t="shared" ca="1" si="40"/>
        <v xml:space="preserve"> </v>
      </c>
      <c r="V564" s="150" t="str">
        <f t="shared" ca="1" si="43"/>
        <v xml:space="preserve"> </v>
      </c>
      <c r="W564" s="62" t="str">
        <f t="shared" ca="1" si="44"/>
        <v xml:space="preserve"> </v>
      </c>
      <c r="X564" s="141" t="str">
        <f ca="1">IF(S564=" "," ",IFERROR(VLOOKUP(U564,$F$23:$N$1023,7)+VLOOKUP(U564,$F$23:$N$1023,9)+IF(AND('депозитный калькулятор'!$G$13="нет",U564&lt;&gt;'депозитный калькулятор'!$D$8),VLOOKUP(U564,$F$23:$N$1023,4),0),0)+IF(U564='депозитный калькулятор'!$D$8,VLOOKUP(U564,$F$23:$N$1023,2)+VLOOKUP(U564,$F$23:$N$1023,4),0))</f>
        <v xml:space="preserve"> </v>
      </c>
      <c r="Y564" s="142" t="str">
        <f ca="1">IF(S564=" "," ",W564/(1+'депозитный калькулятор'!$K$8)^(T564/IF('депозитный калькулятор'!$G$7="30/360",360,365)))</f>
        <v xml:space="preserve"> </v>
      </c>
      <c r="Z564" s="142" t="str">
        <f ca="1">IF(S564=" "," ",X564/(1+'депозитный калькулятор'!$K$8)^(T564/IF('депозитный калькулятор'!$G$7="30/360",360,365)))</f>
        <v xml:space="preserve"> </v>
      </c>
      <c r="AA564" s="151"/>
      <c r="AB564" s="151"/>
      <c r="AC564" s="155"/>
      <c r="AD564" s="155"/>
    </row>
    <row r="565" spans="1:30" s="2" customFormat="1" ht="15.5" x14ac:dyDescent="0.35">
      <c r="A565" s="41" t="str">
        <f>IF(F565=" "," ",IF(OR('депозитный калькулятор'!$G$7="30/365",'депозитный калькулятор'!$G$7="30/360"),IF(AND(MONTH(F565)=2,DAY(F565)=DAY(EOMONTH(F565,0))),30-DAY(EOMONTH(F565,0)),IF(DAY(F565)=31,1," "))," "))</f>
        <v xml:space="preserve"> </v>
      </c>
      <c r="B565" s="130" t="str">
        <f t="shared" si="41"/>
        <v xml:space="preserve"> </v>
      </c>
      <c r="C565" s="130" t="str">
        <f>IF(OR(B565=0,B565=" ")," ",SUM($B$23:B565))</f>
        <v xml:space="preserve"> </v>
      </c>
      <c r="D565" s="62" t="str">
        <f>IF(D564=" "," ",IF(OR(F564='депозитный калькулятор'!$D$8,F564=" ")," ",D564+1))</f>
        <v xml:space="preserve"> </v>
      </c>
      <c r="E565" s="130" t="str">
        <f>IF(OR(F564='депозитный калькулятор'!$D$8,F564=" ")," ",IF(EOMONTH(F564,0)=F564,1,E564+1))</f>
        <v xml:space="preserve"> </v>
      </c>
      <c r="F565" s="64" t="str">
        <f>IF(F564=" "," ",IF(F564='депозитный калькулятор'!$D$8," ",F564+1))</f>
        <v xml:space="preserve"> </v>
      </c>
      <c r="G565" s="145" t="str">
        <f xml:space="preserve"> IF(F565&gt;'депозитный калькулятор'!$D$8," ",IF('депозитный калькулятор'!$G$13="есть",IF('депозитный калькулятор'!$G$14="есть",G564+IF(I564=" ",0,I564)-J565-K565+L565+M565-N565,G564+IF(I564=" ",0,I564)-J565-K565+M565-N565),IF('депозитный калькулятор'!$G$14="есть",G564-J565-K565+L565+M565-N565,G564-J565-K565+M565-N565)))</f>
        <v xml:space="preserve"> </v>
      </c>
      <c r="H565" s="133" t="str">
        <f>IF(F565&gt;'депозитный калькулятор'!$D$8," ",IF(AND(OR('депозитный калькулятор'!$G$7="30/365",'депозитный калькулятор'!$G$7="30/360"),AND(MONTH(F565)=2,EOMONTH(F565,0)=F565)),IF(DAY(F565)=28,3*G565*'депозитный калькулятор'!$G$8,2*G565*'депозитный калькулятор'!$G$8),IF(AND(OR('депозитный калькулятор'!$G$7="30/365",'депозитный калькулятор'!$G$7="30/360"),DAY(F565)=31)," ",IF(AND('депозитный калькулятор'!$G$7="факт/факт",MOD(YEAR(F565),4)=0),G565*'депозитный калькулятор'!$D$11/366,G565*'депозитный калькулятор'!$G$8))))</f>
        <v xml:space="preserve"> </v>
      </c>
      <c r="I565" s="134" t="str">
        <f ca="1">IF(F565=" "," ",IF('депозитный калькулятор'!$G$10="ежедневное",H565,IF(AND('депозитный калькулятор'!$G$10="еженедельное",WEEKDAY(F565,2)=7),SUM(OFFSET(H565,-6,0):H565),IF(AND('депозитный калькулятор'!$G$10="еженедельное",F565='депозитный калькулятор'!$D$8),SUM($H$23:H565)-SUM($I$23:I564),IF(AND('депозитный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недели",WEEKDAY(F565,2)=7),MIN(OFFSET(H565,-6,0):H565)*(COUNTIF(OFFSET(H565,-6,0):H565,"&gt;0")+SUMIF(OFFSET(A565,-WEEKDAY(F565,2),0):A565,"=2",OFFSET(A565,-WEEKDAY(F565,2),0):A565)),IF(AND('депозитный калькулятор'!$G$10="еженедельное, на минимальную сумму зафиксированную в течение недели",F565='депозитный калькулятор'!$D$8,WEEKDAY(F565,2)&lt;&gt;7),MIN(OFFSET(H565,-WEEKDAY(F565,2),0):H565)*(COUNTIF(OFFSET(H565,-WEEKDAY(F565,2)+1,0):H565,"&gt;0")+SUM(OFFSET(A565,-WEEKDAY(F565,2),0):A565)),IF(AND('депозитный калькулятор'!$G$10="ежемесячное (в конце месяца)",F565='депозитный калькулятор'!$D$8,EOMONTH(F565,0)&lt;&gt;F565),IF('депозитный калькулятор'!$F$1=1,$H$24,SUM($H$23:H565)-SUM($I$23:I564)),IF(AND('депозитный калькулятор'!$G$10="ежемесячное (в конце месяца)",EOMONTH(F565,0)=F565),SUM($H$23:H565)-SUM($I$23:I564),IF(AND('депозитный калькулятор'!$G$10="ежемесячное (по дням открытия вклада)",F565='депозитный калькулятор'!$D$8,DAY('депозитный калькулятор'!$D$7)&lt;&gt;DAY(F565)),IF('депозитный калькулятор'!$F$1=1,$H$24,SUM($H$23:H565)-SUM($I$23:I564)),IF(AND('депозитный калькулятор'!$G$10="ежемесячное (по дням открытия вклада)",DAY('депозитный калькулятор'!$D$7)=DAY(F565)),SUM($H$23:H565)-SUM($I$23:I564),IF(AND('депозитный калькулятор'!$G$10="ежемесячное, на минимальную сумму зафиксированную в течение месяца",F565='депозитный калькулятор'!$D$8,EOMONTH(F565,0)&lt;&gt;F565),IF('депозитный калькулятор'!$F$1=1,$H$24,IF(AND(OR('депозитный калькулятор'!$G$7="30/365",'депозитный калькулятор'!$G$7="30/360"),DAY(F565)=31),0,MIN(OFFSET(H565,-E565+1,0):H565)*(E565+SUMIF(OFFSET(A565,-E565+1,0):A565,"=2",OFFSET(A565,-E565+1,0):A565)))),IF(AND('депозитный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калькулятор'!$G$7="30/360"),DAY(EOMONTH(F565,0))=31),EOMONTH(F565,0)-1=F565,EOMONTH(F565,0)=F565)),IF(IF(AND(OR('депозитный калькулятор'!$G$7="30/365",'депозитный калькулятор'!$G$7="30/360"),DAY(EOMONTH($F$23,0))=31),F565=EOMONTH($F$23,0)-1,F565=EOMONTH($F$23,0)),MIN(OFFSET(H565,-(DAY(F565)-DAY($F$23)),0):H565)*E565,MIN(OFFSET(H565,-(DAY(F565)-1),0):H565)*IF(AND(OR('депозитный калькулятор'!$G$7="30/365",'депозитный калькулятор'!$G$7="30/360"),DAY(F565)&lt;30),30,DAY(F565))),IF(AND('депозитный калькулятор'!$G$10="ежемесячное, на средний остаток в течение месяца, при условии что остаток больше чем ограничение",F565='депозитный калькулятор'!$D$8,EOMONTH(F565,0)&lt;&gt;F565),IF('депозитный калькулятор'!$F$1=1,$H$24,SUM(OFFSET(Q565,-E565+1,0):Q565)),IF(AND('депозитный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калькулятор'!$G$7="30/360"),DAY(EOMONTH(F565,0))=31),EOMONTH(F565,0)-1=F565,EOMONTH(F565,0)=F565)),IF(IF(AND(OR('депозитный калькулятор'!$G$7="30/365",'депозитный калькулятор'!$G$7="30/360"),DAY(EOMONTH($F$24,0))=31),F565=EOMONTH($F$24,0)-1,F565=EOMONTH($F$24,0)),SUM(OFFSET(Q565,-E565+1,0):Q565),SUM(OFFSET(Q565,-E565+1,0):Q565)),IF('депозитный калькулятор'!$G$10="ежеквартальное",IF(F565&gt;'депозитный калькулятор'!$D$8," ",IF(AND(EOMONTH(F565,0)=F565,OR(MONTH(F565)=3,MONTH(F565)=6,MONTH(F565)=9,MONTH(F565)=12)),IF(EDATE(F565,-3)&lt;'депозитный калькулятор'!$D$7,SUM($H$23:H565),IF(MOD(YEAR(F565),4)=0,IF(AND(EOMONTH(F565,0)=F565,OR(MONTH(F565)=3,MONTH(F565)=6)),SUM(OFFSET(H565,-90,0):H565),IF(AND(EOMONTH(F565,0)=F565,OR(MONTH(F565)=9,MONTH(F565)=12)),SUM(OFFSET(H565,-91,0):H565))),IF(AND(EOMONTH(F565,0)=F565,MONTH(F565)=3),SUM(OFFSET(H565,-89,0):H565),IF(AND(EOMONTH(F565,0)=F565,MONTH(F565)=6),SUM(OFFSET(H565,-90,0):H565),IF(AND(EOMONTH(F565,0)=F565,OR(MONTH(F565)=9,MONTH(F565)=12)),SUM(OFFSET(H565,-91,0):H565)))))),IF(F565='депозитный калькулятор'!$D$8,SUM($H$23:H565)-SUM($I$23:I564),0))),IF('депозитный калькулятор'!$G$10="ежегодное",IF(F565&gt;'депозитный калькулятор'!$D$8," ",IF(F565='депозитный калькулятор'!$D$8,SUM($H$23:H565)-SUM($I$23:I564),IF(AND(EOMONTH(F565,0)=F565,MONTH(F565)=12),IF(MOD(YEAR(F564),4)=0,IF(F565-'депозитный калькулятор'!$D$7&lt;366,SUM($H$23:H565),SUM(OFFSET(H565,-365,0):H565)),IF(F565-'депозитный калькулятор'!$D$7&lt;365,SUM($H$23:H565),SUM(OFFSET(H565,-364,0):H565))),0))),IF(AND('депозитный калькулятор'!$G$10="в конце срока",'депозитный калькулятор'!$D$8=F565),SUM($H$23:H565),0))))))))))))))))))</f>
        <v xml:space="preserve"> </v>
      </c>
      <c r="J565" s="59" t="str">
        <f>IF(F565&gt;'депозитный калькулятор'!$D$8," ",IF('депозитный калькулятор'!$G$16="нет",0,IF(AND('депозитный калькулятор'!$G$17="разовая (в конце срока)",F565='депозитный калькулятор'!$D$8),'депозитный калькулятор'!$G$18,IF(AND('депозитный калькулятор'!$G$17="ежемесячная",EOMONTH(F564,0)=F564),'депозитный калькулятор'!$G$18,IF(AND('депозитный калькулятор'!$G$17="ежегодная",DAY(F564)=31,MONTH(F564)=12),'депозитный калькулятор'!$G$18,IF(AND('депозитный калькулятор'!$G$17="ежемесячная в зависимости от остатка",EOMONTH(F564,0)=F564,P564&gt;0),'депозитный калькулятор'!$G$18,IF(AND('депозитный калькулятор'!$G$17="ежегодная в зависимости от остатка",DAY(F564)=31,MONTH(F564)=12,P564&gt;0),'депозитный калькулятор'!$G$18,0)))))))</f>
        <v xml:space="preserve"> </v>
      </c>
      <c r="K565" s="135" t="str">
        <f>IF($F565=" "," ",IFERROR(VLOOKUP($F565,'депозитный калькулятор'!$B$26:$F$70,2,0),0))</f>
        <v xml:space="preserve"> </v>
      </c>
      <c r="L565" s="135" t="str">
        <f>IF($F565=" "," ",IFERROR(VLOOKUP($F565,'депозитный калькулятор'!$B$26:$F$70,3,0),0))</f>
        <v xml:space="preserve"> </v>
      </c>
      <c r="M565" s="135" t="str">
        <f>IF($F565=" "," ",IFERROR(VLOOKUP($F565,'депозитный калькулятор'!$B$26:$F$70,4,0),0))</f>
        <v xml:space="preserve"> </v>
      </c>
      <c r="N565" s="135" t="str">
        <f>IF($F565=" "," ",IFERROR(VLOOKUP($F565,'депозитный калькулятор'!$B$26:$F$70,5,0),0))</f>
        <v xml:space="preserve"> </v>
      </c>
      <c r="O565" s="146" t="str">
        <f>IF(F565&gt;'депозитный калькулятор'!$D$8," ",IF(F565='депозитный калькулятор'!$D$8,IF(AND($F$24='депозитный калькулятор'!$D$8,'депозитный калькулятор'!$G$13="нет"),-G565-IF(I565=" ",0,I565)-IF(AND(OR('депозитный калькулятор'!$G$7="30/365",'депозитный калькулятор'!$G$7="30/360"),'депозитный калькулятор'!$G$10="в начале срока"),I564,0)-L565+M565-N565,-G565-IF(I565=" ",0,I565)-L565+M565-N565),IF('депозитный калькулятор'!$G$13="есть",M565-N565+IF('депозитный калькулятор'!$G$14="есть",0,-L565),-IF(I565=" ",0,I565)-IF(AND(OR('депозитный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срока"),I564,0)+M565-N565+IF('депозитный калькулятор'!$G$14="есть",0,-L565))))</f>
        <v xml:space="preserve"> </v>
      </c>
      <c r="P565" s="147" t="str">
        <f>IF(F565&gt;'депозитный калькулятор'!$D$8," ",IF(EOMONTH(F564,0)=F564,0,IF(G565&gt;='депозитный калькулятор'!$G$19,P564,P564+1)))</f>
        <v xml:space="preserve"> </v>
      </c>
      <c r="Q565" s="138" t="str">
        <f>IF(F565=" "," ",IF(AND(OR('депозитный калькулятор'!$G$7="30/365",'депозитный калькулятор'!$G$7="30/360"),AND(MONTH(F565)=2,EOMONTH(F565,0)=F565)),IF(DAY(F565)=28,3,2),1)*IF(G565&gt;='депозитный калькулятор'!$G$11,IF(AND('депозитный калькулятор'!$G$7="факт/факт",MOD(YEAR(F565),4)=0),G565*'депозитный калькулятор'!$D$11/366,G565*'депозитный калькулятор'!$G$8),0))</f>
        <v xml:space="preserve"> </v>
      </c>
      <c r="R565" s="158"/>
      <c r="S565" s="62" t="str">
        <f t="shared" ca="1" si="42"/>
        <v xml:space="preserve"> </v>
      </c>
      <c r="T565" s="149" t="str">
        <f ca="1">IF(S565=" "," ",IF('депозитный калькулятор'!$G$7="30/360",DAYS360(U564,IF(DAY(U565)=31,U565-1,U565))+IF(AND(MONTH(U565)=2,U565=EOMONTH(U565,0)),30-DAY(EOMONTH(U565,0)))+T564,VLOOKUP(S565,$C$22:$F$1023,2,0)))</f>
        <v xml:space="preserve"> </v>
      </c>
      <c r="U565" s="64" t="str">
        <f t="shared" ca="1" si="40"/>
        <v xml:space="preserve"> </v>
      </c>
      <c r="V565" s="150" t="str">
        <f t="shared" ca="1" si="43"/>
        <v xml:space="preserve"> </v>
      </c>
      <c r="W565" s="62" t="str">
        <f t="shared" ca="1" si="44"/>
        <v xml:space="preserve"> </v>
      </c>
      <c r="X565" s="141" t="str">
        <f ca="1">IF(S565=" "," ",IFERROR(VLOOKUP(U565,$F$23:$N$1023,7)+VLOOKUP(U565,$F$23:$N$1023,9)+IF(AND('депозитный калькулятор'!$G$13="нет",U565&lt;&gt;'депозитный калькулятор'!$D$8),VLOOKUP(U565,$F$23:$N$1023,4),0),0)+IF(U565='депозитный калькулятор'!$D$8,VLOOKUP(U565,$F$23:$N$1023,2)+VLOOKUP(U565,$F$23:$N$1023,4),0))</f>
        <v xml:space="preserve"> </v>
      </c>
      <c r="Y565" s="142" t="str">
        <f ca="1">IF(S565=" "," ",W565/(1+'депозитный калькулятор'!$K$8)^(T565/IF('депозитный калькулятор'!$G$7="30/360",360,365)))</f>
        <v xml:space="preserve"> </v>
      </c>
      <c r="Z565" s="142" t="str">
        <f ca="1">IF(S565=" "," ",X565/(1+'депозитный калькулятор'!$K$8)^(T565/IF('депозитный калькулятор'!$G$7="30/360",360,365)))</f>
        <v xml:space="preserve"> </v>
      </c>
      <c r="AA565" s="151"/>
      <c r="AB565" s="151"/>
      <c r="AC565" s="155"/>
      <c r="AD565" s="155"/>
    </row>
    <row r="566" spans="1:30" s="2" customFormat="1" ht="15.5" x14ac:dyDescent="0.35">
      <c r="A566" s="41" t="str">
        <f>IF(F566=" "," ",IF(OR('депозитный калькулятор'!$G$7="30/365",'депозитный калькулятор'!$G$7="30/360"),IF(AND(MONTH(F566)=2,DAY(F566)=DAY(EOMONTH(F566,0))),30-DAY(EOMONTH(F566,0)),IF(DAY(F566)=31,1," "))," "))</f>
        <v xml:space="preserve"> </v>
      </c>
      <c r="B566" s="130" t="str">
        <f t="shared" si="41"/>
        <v xml:space="preserve"> </v>
      </c>
      <c r="C566" s="130" t="str">
        <f>IF(OR(B566=0,B566=" ")," ",SUM($B$23:B566))</f>
        <v xml:space="preserve"> </v>
      </c>
      <c r="D566" s="62" t="str">
        <f>IF(D565=" "," ",IF(OR(F565='депозитный калькулятор'!$D$8,F565=" ")," ",D565+1))</f>
        <v xml:space="preserve"> </v>
      </c>
      <c r="E566" s="130" t="str">
        <f>IF(OR(F565='депозитный калькулятор'!$D$8,F565=" ")," ",IF(EOMONTH(F565,0)=F565,1,E565+1))</f>
        <v xml:space="preserve"> </v>
      </c>
      <c r="F566" s="64" t="str">
        <f>IF(F565=" "," ",IF(F565='депозитный калькулятор'!$D$8," ",F565+1))</f>
        <v xml:space="preserve"> </v>
      </c>
      <c r="G566" s="145" t="str">
        <f xml:space="preserve"> IF(F566&gt;'депозитный калькулятор'!$D$8," ",IF('депозитный калькулятор'!$G$13="есть",IF('депозитный калькулятор'!$G$14="есть",G565+IF(I565=" ",0,I565)-J566-K566+L566+M566-N566,G565+IF(I565=" ",0,I565)-J566-K566+M566-N566),IF('депозитный калькулятор'!$G$14="есть",G565-J566-K566+L566+M566-N566,G565-J566-K566+M566-N566)))</f>
        <v xml:space="preserve"> </v>
      </c>
      <c r="H566" s="133" t="str">
        <f>IF(F566&gt;'депозитный калькулятор'!$D$8," ",IF(AND(OR('депозитный калькулятор'!$G$7="30/365",'депозитный калькулятор'!$G$7="30/360"),AND(MONTH(F566)=2,EOMONTH(F566,0)=F566)),IF(DAY(F566)=28,3*G566*'депозитный калькулятор'!$G$8,2*G566*'депозитный калькулятор'!$G$8),IF(AND(OR('депозитный калькулятор'!$G$7="30/365",'депозитный калькулятор'!$G$7="30/360"),DAY(F566)=31)," ",IF(AND('депозитный калькулятор'!$G$7="факт/факт",MOD(YEAR(F566),4)=0),G566*'депозитный калькулятор'!$D$11/366,G566*'депозитный калькулятор'!$G$8))))</f>
        <v xml:space="preserve"> </v>
      </c>
      <c r="I566" s="134" t="str">
        <f ca="1">IF(F566=" "," ",IF('депозитный калькулятор'!$G$10="ежедневное",H566,IF(AND('депозитный калькулятор'!$G$10="еженедельное",WEEKDAY(F566,2)=7),SUM(OFFSET(H566,-6,0):H566),IF(AND('депозитный калькулятор'!$G$10="еженедельное",F566='депозитный калькулятор'!$D$8),SUM($H$23:H566)-SUM($I$23:I565),IF(AND('депозитный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недели",WEEKDAY(F566,2)=7),MIN(OFFSET(H566,-6,0):H566)*(COUNTIF(OFFSET(H566,-6,0):H566,"&gt;0")+SUMIF(OFFSET(A566,-WEEKDAY(F566,2),0):A566,"=2",OFFSET(A566,-WEEKDAY(F566,2),0):A566)),IF(AND('депозитный калькулятор'!$G$10="еженедельное, на минимальную сумму зафиксированную в течение недели",F566='депозитный калькулятор'!$D$8,WEEKDAY(F566,2)&lt;&gt;7),MIN(OFFSET(H566,-WEEKDAY(F566,2),0):H566)*(COUNTIF(OFFSET(H566,-WEEKDAY(F566,2)+1,0):H566,"&gt;0")+SUM(OFFSET(A566,-WEEKDAY(F566,2),0):A566)),IF(AND('депозитный калькулятор'!$G$10="ежемесячное (в конце месяца)",F566='депозитный калькулятор'!$D$8,EOMONTH(F566,0)&lt;&gt;F566),IF('депозитный калькулятор'!$F$1=1,$H$24,SUM($H$23:H566)-SUM($I$23:I565)),IF(AND('депозитный калькулятор'!$G$10="ежемесячное (в конце месяца)",EOMONTH(F566,0)=F566),SUM($H$23:H566)-SUM($I$23:I565),IF(AND('депозитный калькулятор'!$G$10="ежемесячное (по дням открытия вклада)",F566='депозитный калькулятор'!$D$8,DAY('депозитный калькулятор'!$D$7)&lt;&gt;DAY(F566)),IF('депозитный калькулятор'!$F$1=1,$H$24,SUM($H$23:H566)-SUM($I$23:I565)),IF(AND('депозитный калькулятор'!$G$10="ежемесячное (по дням открытия вклада)",DAY('депозитный калькулятор'!$D$7)=DAY(F566)),SUM($H$23:H566)-SUM($I$23:I565),IF(AND('депозитный калькулятор'!$G$10="ежемесячное, на минимальную сумму зафиксированную в течение месяца",F566='депозитный калькулятор'!$D$8,EOMONTH(F566,0)&lt;&gt;F566),IF('депозитный калькулятор'!$F$1=1,$H$24,IF(AND(OR('депозитный калькулятор'!$G$7="30/365",'депозитный калькулятор'!$G$7="30/360"),DAY(F566)=31),0,MIN(OFFSET(H566,-E566+1,0):H566)*(E566+SUMIF(OFFSET(A566,-E566+1,0):A566,"=2",OFFSET(A566,-E566+1,0):A566)))),IF(AND('депозитный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калькулятор'!$G$7="30/360"),DAY(EOMONTH(F566,0))=31),EOMONTH(F566,0)-1=F566,EOMONTH(F566,0)=F566)),IF(IF(AND(OR('депозитный калькулятор'!$G$7="30/365",'депозитный калькулятор'!$G$7="30/360"),DAY(EOMONTH($F$23,0))=31),F566=EOMONTH($F$23,0)-1,F566=EOMONTH($F$23,0)),MIN(OFFSET(H566,-(DAY(F566)-DAY($F$23)),0):H566)*E566,MIN(OFFSET(H566,-(DAY(F566)-1),0):H566)*IF(AND(OR('депозитный калькулятор'!$G$7="30/365",'депозитный калькулятор'!$G$7="30/360"),DAY(F566)&lt;30),30,DAY(F566))),IF(AND('депозитный калькулятор'!$G$10="ежемесячное, на средний остаток в течение месяца, при условии что остаток больше чем ограничение",F566='депозитный калькулятор'!$D$8,EOMONTH(F566,0)&lt;&gt;F566),IF('депозитный калькулятор'!$F$1=1,$H$24,SUM(OFFSET(Q566,-E566+1,0):Q566)),IF(AND('депозитный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калькулятор'!$G$7="30/360"),DAY(EOMONTH(F566,0))=31),EOMONTH(F566,0)-1=F566,EOMONTH(F566,0)=F566)),IF(IF(AND(OR('депозитный калькулятор'!$G$7="30/365",'депозитный калькулятор'!$G$7="30/360"),DAY(EOMONTH($F$24,0))=31),F566=EOMONTH($F$24,0)-1,F566=EOMONTH($F$24,0)),SUM(OFFSET(Q566,-E566+1,0):Q566),SUM(OFFSET(Q566,-E566+1,0):Q566)),IF('депозитный калькулятор'!$G$10="ежеквартальное",IF(F566&gt;'депозитный калькулятор'!$D$8," ",IF(AND(EOMONTH(F566,0)=F566,OR(MONTH(F566)=3,MONTH(F566)=6,MONTH(F566)=9,MONTH(F566)=12)),IF(EDATE(F566,-3)&lt;'депозитный калькулятор'!$D$7,SUM($H$23:H566),IF(MOD(YEAR(F566),4)=0,IF(AND(EOMONTH(F566,0)=F566,OR(MONTH(F566)=3,MONTH(F566)=6)),SUM(OFFSET(H566,-90,0):H566),IF(AND(EOMONTH(F566,0)=F566,OR(MONTH(F566)=9,MONTH(F566)=12)),SUM(OFFSET(H566,-91,0):H566))),IF(AND(EOMONTH(F566,0)=F566,MONTH(F566)=3),SUM(OFFSET(H566,-89,0):H566),IF(AND(EOMONTH(F566,0)=F566,MONTH(F566)=6),SUM(OFFSET(H566,-90,0):H566),IF(AND(EOMONTH(F566,0)=F566,OR(MONTH(F566)=9,MONTH(F566)=12)),SUM(OFFSET(H566,-91,0):H566)))))),IF(F566='депозитный калькулятор'!$D$8,SUM($H$23:H566)-SUM($I$23:I565),0))),IF('депозитный калькулятор'!$G$10="ежегодное",IF(F566&gt;'депозитный калькулятор'!$D$8," ",IF(F566='депозитный калькулятор'!$D$8,SUM($H$23:H566)-SUM($I$23:I565),IF(AND(EOMONTH(F566,0)=F566,MONTH(F566)=12),IF(MOD(YEAR(F565),4)=0,IF(F566-'депозитный калькулятор'!$D$7&lt;366,SUM($H$23:H566),SUM(OFFSET(H566,-365,0):H566)),IF(F566-'депозитный калькулятор'!$D$7&lt;365,SUM($H$23:H566),SUM(OFFSET(H566,-364,0):H566))),0))),IF(AND('депозитный калькулятор'!$G$10="в конце срока",'депозитный калькулятор'!$D$8=F566),SUM($H$23:H566),0))))))))))))))))))</f>
        <v xml:space="preserve"> </v>
      </c>
      <c r="J566" s="59" t="str">
        <f>IF(F566&gt;'депозитный калькулятор'!$D$8," ",IF('депозитный калькулятор'!$G$16="нет",0,IF(AND('депозитный калькулятор'!$G$17="разовая (в конце срока)",F566='депозитный калькулятор'!$D$8),'депозитный калькулятор'!$G$18,IF(AND('депозитный калькулятор'!$G$17="ежемесячная",EOMONTH(F565,0)=F565),'депозитный калькулятор'!$G$18,IF(AND('депозитный калькулятор'!$G$17="ежегодная",DAY(F565)=31,MONTH(F565)=12),'депозитный калькулятор'!$G$18,IF(AND('депозитный калькулятор'!$G$17="ежемесячная в зависимости от остатка",EOMONTH(F565,0)=F565,P565&gt;0),'депозитный калькулятор'!$G$18,IF(AND('депозитный калькулятор'!$G$17="ежегодная в зависимости от остатка",DAY(F565)=31,MONTH(F565)=12,P565&gt;0),'депозитный калькулятор'!$G$18,0)))))))</f>
        <v xml:space="preserve"> </v>
      </c>
      <c r="K566" s="135" t="str">
        <f>IF($F566=" "," ",IFERROR(VLOOKUP($F566,'депозитный калькулятор'!$B$26:$F$70,2,0),0))</f>
        <v xml:space="preserve"> </v>
      </c>
      <c r="L566" s="135" t="str">
        <f>IF($F566=" "," ",IFERROR(VLOOKUP($F566,'депозитный калькулятор'!$B$26:$F$70,3,0),0))</f>
        <v xml:space="preserve"> </v>
      </c>
      <c r="M566" s="135" t="str">
        <f>IF($F566=" "," ",IFERROR(VLOOKUP($F566,'депозитный калькулятор'!$B$26:$F$70,4,0),0))</f>
        <v xml:space="preserve"> </v>
      </c>
      <c r="N566" s="135" t="str">
        <f>IF($F566=" "," ",IFERROR(VLOOKUP($F566,'депозитный калькулятор'!$B$26:$F$70,5,0),0))</f>
        <v xml:space="preserve"> </v>
      </c>
      <c r="O566" s="146" t="str">
        <f>IF(F566&gt;'депозитный калькулятор'!$D$8," ",IF(F566='депозитный калькулятор'!$D$8,IF(AND($F$24='депозитный калькулятор'!$D$8,'депозитный калькулятор'!$G$13="нет"),-G566-IF(I566=" ",0,I566)-IF(AND(OR('депозитный калькулятор'!$G$7="30/365",'депозитный калькулятор'!$G$7="30/360"),'депозитный калькулятор'!$G$10="в начале срока"),I565,0)-L566+M566-N566,-G566-IF(I566=" ",0,I566)-L566+M566-N566),IF('депозитный калькулятор'!$G$13="есть",M566-N566+IF('депозитный калькулятор'!$G$14="есть",0,-L566),-IF(I566=" ",0,I566)-IF(AND(OR('депозитный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срока"),I565,0)+M566-N566+IF('депозитный калькулятор'!$G$14="есть",0,-L566))))</f>
        <v xml:space="preserve"> </v>
      </c>
      <c r="P566" s="147" t="str">
        <f>IF(F566&gt;'депозитный калькулятор'!$D$8," ",IF(EOMONTH(F565,0)=F565,0,IF(G566&gt;='депозитный калькулятор'!$G$19,P565,P565+1)))</f>
        <v xml:space="preserve"> </v>
      </c>
      <c r="Q566" s="138" t="str">
        <f>IF(F566=" "," ",IF(AND(OR('депозитный калькулятор'!$G$7="30/365",'депозитный калькулятор'!$G$7="30/360"),AND(MONTH(F566)=2,EOMONTH(F566,0)=F566)),IF(DAY(F566)=28,3,2),1)*IF(G566&gt;='депозитный калькулятор'!$G$11,IF(AND('депозитный калькулятор'!$G$7="факт/факт",MOD(YEAR(F566),4)=0),G566*'депозитный калькулятор'!$D$11/366,G566*'депозитный калькулятор'!$G$8),0))</f>
        <v xml:space="preserve"> </v>
      </c>
      <c r="R566" s="158"/>
      <c r="S566" s="62" t="str">
        <f t="shared" ca="1" si="42"/>
        <v xml:space="preserve"> </v>
      </c>
      <c r="T566" s="149" t="str">
        <f ca="1">IF(S566=" "," ",IF('депозитный калькулятор'!$G$7="30/360",DAYS360(U565,IF(DAY(U566)=31,U566-1,U566))+IF(AND(MONTH(U566)=2,U566=EOMONTH(U566,0)),30-DAY(EOMONTH(U566,0)))+T565,VLOOKUP(S566,$C$22:$F$1023,2,0)))</f>
        <v xml:space="preserve"> </v>
      </c>
      <c r="U566" s="64" t="str">
        <f t="shared" ca="1" si="40"/>
        <v xml:space="preserve"> </v>
      </c>
      <c r="V566" s="150" t="str">
        <f t="shared" ca="1" si="43"/>
        <v xml:space="preserve"> </v>
      </c>
      <c r="W566" s="62" t="str">
        <f t="shared" ca="1" si="44"/>
        <v xml:space="preserve"> </v>
      </c>
      <c r="X566" s="141" t="str">
        <f ca="1">IF(S566=" "," ",IFERROR(VLOOKUP(U566,$F$23:$N$1023,7)+VLOOKUP(U566,$F$23:$N$1023,9)+IF(AND('депозитный калькулятор'!$G$13="нет",U566&lt;&gt;'депозитный калькулятор'!$D$8),VLOOKUP(U566,$F$23:$N$1023,4),0),0)+IF(U566='депозитный калькулятор'!$D$8,VLOOKUP(U566,$F$23:$N$1023,2)+VLOOKUP(U566,$F$23:$N$1023,4),0))</f>
        <v xml:space="preserve"> </v>
      </c>
      <c r="Y566" s="142" t="str">
        <f ca="1">IF(S566=" "," ",W566/(1+'депозитный калькулятор'!$K$8)^(T566/IF('депозитный калькулятор'!$G$7="30/360",360,365)))</f>
        <v xml:space="preserve"> </v>
      </c>
      <c r="Z566" s="142" t="str">
        <f ca="1">IF(S566=" "," ",X566/(1+'депозитный калькулятор'!$K$8)^(T566/IF('депозитный калькулятор'!$G$7="30/360",360,365)))</f>
        <v xml:space="preserve"> </v>
      </c>
      <c r="AA566" s="151"/>
      <c r="AB566" s="151"/>
      <c r="AC566" s="155"/>
      <c r="AD566" s="155"/>
    </row>
    <row r="567" spans="1:30" s="2" customFormat="1" ht="15.5" x14ac:dyDescent="0.35">
      <c r="A567" s="41" t="str">
        <f>IF(F567=" "," ",IF(OR('депозитный калькулятор'!$G$7="30/365",'депозитный калькулятор'!$G$7="30/360"),IF(AND(MONTH(F567)=2,DAY(F567)=DAY(EOMONTH(F567,0))),30-DAY(EOMONTH(F567,0)),IF(DAY(F567)=31,1," "))," "))</f>
        <v xml:space="preserve"> </v>
      </c>
      <c r="B567" s="130" t="str">
        <f t="shared" si="41"/>
        <v xml:space="preserve"> </v>
      </c>
      <c r="C567" s="130" t="str">
        <f>IF(OR(B567=0,B567=" ")," ",SUM($B$23:B567))</f>
        <v xml:space="preserve"> </v>
      </c>
      <c r="D567" s="62" t="str">
        <f>IF(D566=" "," ",IF(OR(F566='депозитный калькулятор'!$D$8,F566=" ")," ",D566+1))</f>
        <v xml:space="preserve"> </v>
      </c>
      <c r="E567" s="130" t="str">
        <f>IF(OR(F566='депозитный калькулятор'!$D$8,F566=" ")," ",IF(EOMONTH(F566,0)=F566,1,E566+1))</f>
        <v xml:space="preserve"> </v>
      </c>
      <c r="F567" s="64" t="str">
        <f>IF(F566=" "," ",IF(F566='депозитный калькулятор'!$D$8," ",F566+1))</f>
        <v xml:space="preserve"> </v>
      </c>
      <c r="G567" s="145" t="str">
        <f xml:space="preserve"> IF(F567&gt;'депозитный калькулятор'!$D$8," ",IF('депозитный калькулятор'!$G$13="есть",IF('депозитный калькулятор'!$G$14="есть",G566+IF(I566=" ",0,I566)-J567-K567+L567+M567-N567,G566+IF(I566=" ",0,I566)-J567-K567+M567-N567),IF('депозитный калькулятор'!$G$14="есть",G566-J567-K567+L567+M567-N567,G566-J567-K567+M567-N567)))</f>
        <v xml:space="preserve"> </v>
      </c>
      <c r="H567" s="133" t="str">
        <f>IF(F567&gt;'депозитный калькулятор'!$D$8," ",IF(AND(OR('депозитный калькулятор'!$G$7="30/365",'депозитный калькулятор'!$G$7="30/360"),AND(MONTH(F567)=2,EOMONTH(F567,0)=F567)),IF(DAY(F567)=28,3*G567*'депозитный калькулятор'!$G$8,2*G567*'депозитный калькулятор'!$G$8),IF(AND(OR('депозитный калькулятор'!$G$7="30/365",'депозитный калькулятор'!$G$7="30/360"),DAY(F567)=31)," ",IF(AND('депозитный калькулятор'!$G$7="факт/факт",MOD(YEAR(F567),4)=0),G567*'депозитный калькулятор'!$D$11/366,G567*'депозитный калькулятор'!$G$8))))</f>
        <v xml:space="preserve"> </v>
      </c>
      <c r="I567" s="134" t="str">
        <f ca="1">IF(F567=" "," ",IF('депозитный калькулятор'!$G$10="ежедневное",H567,IF(AND('депозитный калькулятор'!$G$10="еженедельное",WEEKDAY(F567,2)=7),SUM(OFFSET(H567,-6,0):H567),IF(AND('депозитный калькулятор'!$G$10="еженедельное",F567='депозитный калькулятор'!$D$8),SUM($H$23:H567)-SUM($I$23:I566),IF(AND('депозитный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недели",WEEKDAY(F567,2)=7),MIN(OFFSET(H567,-6,0):H567)*(COUNTIF(OFFSET(H567,-6,0):H567,"&gt;0")+SUMIF(OFFSET(A567,-WEEKDAY(F567,2),0):A567,"=2",OFFSET(A567,-WEEKDAY(F567,2),0):A567)),IF(AND('депозитный калькулятор'!$G$10="еженедельное, на минимальную сумму зафиксированную в течение недели",F567='депозитный калькулятор'!$D$8,WEEKDAY(F567,2)&lt;&gt;7),MIN(OFFSET(H567,-WEEKDAY(F567,2),0):H567)*(COUNTIF(OFFSET(H567,-WEEKDAY(F567,2)+1,0):H567,"&gt;0")+SUM(OFFSET(A567,-WEEKDAY(F567,2),0):A567)),IF(AND('депозитный калькулятор'!$G$10="ежемесячное (в конце месяца)",F567='депозитный калькулятор'!$D$8,EOMONTH(F567,0)&lt;&gt;F567),IF('депозитный калькулятор'!$F$1=1,$H$24,SUM($H$23:H567)-SUM($I$23:I566)),IF(AND('депозитный калькулятор'!$G$10="ежемесячное (в конце месяца)",EOMONTH(F567,0)=F567),SUM($H$23:H567)-SUM($I$23:I566),IF(AND('депозитный калькулятор'!$G$10="ежемесячное (по дням открытия вклада)",F567='депозитный калькулятор'!$D$8,DAY('депозитный калькулятор'!$D$7)&lt;&gt;DAY(F567)),IF('депозитный калькулятор'!$F$1=1,$H$24,SUM($H$23:H567)-SUM($I$23:I566)),IF(AND('депозитный калькулятор'!$G$10="ежемесячное (по дням открытия вклада)",DAY('депозитный калькулятор'!$D$7)=DAY(F567)),SUM($H$23:H567)-SUM($I$23:I566),IF(AND('депозитный калькулятор'!$G$10="ежемесячное, на минимальную сумму зафиксированную в течение месяца",F567='депозитный калькулятор'!$D$8,EOMONTH(F567,0)&lt;&gt;F567),IF('депозитный калькулятор'!$F$1=1,$H$24,IF(AND(OR('депозитный калькулятор'!$G$7="30/365",'депозитный калькулятор'!$G$7="30/360"),DAY(F567)=31),0,MIN(OFFSET(H567,-E567+1,0):H567)*(E567+SUMIF(OFFSET(A567,-E567+1,0):A567,"=2",OFFSET(A567,-E567+1,0):A567)))),IF(AND('депозитный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калькулятор'!$G$7="30/360"),DAY(EOMONTH(F567,0))=31),EOMONTH(F567,0)-1=F567,EOMONTH(F567,0)=F567)),IF(IF(AND(OR('депозитный калькулятор'!$G$7="30/365",'депозитный калькулятор'!$G$7="30/360"),DAY(EOMONTH($F$23,0))=31),F567=EOMONTH($F$23,0)-1,F567=EOMONTH($F$23,0)),MIN(OFFSET(H567,-(DAY(F567)-DAY($F$23)),0):H567)*E567,MIN(OFFSET(H567,-(DAY(F567)-1),0):H567)*IF(AND(OR('депозитный калькулятор'!$G$7="30/365",'депозитный калькулятор'!$G$7="30/360"),DAY(F567)&lt;30),30,DAY(F567))),IF(AND('депозитный калькулятор'!$G$10="ежемесячное, на средний остаток в течение месяца, при условии что остаток больше чем ограничение",F567='депозитный калькулятор'!$D$8,EOMONTH(F567,0)&lt;&gt;F567),IF('депозитный калькулятор'!$F$1=1,$H$24,SUM(OFFSET(Q567,-E567+1,0):Q567)),IF(AND('депозитный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калькулятор'!$G$7="30/360"),DAY(EOMONTH(F567,0))=31),EOMONTH(F567,0)-1=F567,EOMONTH(F567,0)=F567)),IF(IF(AND(OR('депозитный калькулятор'!$G$7="30/365",'депозитный калькулятор'!$G$7="30/360"),DAY(EOMONTH($F$24,0))=31),F567=EOMONTH($F$24,0)-1,F567=EOMONTH($F$24,0)),SUM(OFFSET(Q567,-E567+1,0):Q567),SUM(OFFSET(Q567,-E567+1,0):Q567)),IF('депозитный калькулятор'!$G$10="ежеквартальное",IF(F567&gt;'депозитный калькулятор'!$D$8," ",IF(AND(EOMONTH(F567,0)=F567,OR(MONTH(F567)=3,MONTH(F567)=6,MONTH(F567)=9,MONTH(F567)=12)),IF(EDATE(F567,-3)&lt;'депозитный калькулятор'!$D$7,SUM($H$23:H567),IF(MOD(YEAR(F567),4)=0,IF(AND(EOMONTH(F567,0)=F567,OR(MONTH(F567)=3,MONTH(F567)=6)),SUM(OFFSET(H567,-90,0):H567),IF(AND(EOMONTH(F567,0)=F567,OR(MONTH(F567)=9,MONTH(F567)=12)),SUM(OFFSET(H567,-91,0):H567))),IF(AND(EOMONTH(F567,0)=F567,MONTH(F567)=3),SUM(OFFSET(H567,-89,0):H567),IF(AND(EOMONTH(F567,0)=F567,MONTH(F567)=6),SUM(OFFSET(H567,-90,0):H567),IF(AND(EOMONTH(F567,0)=F567,OR(MONTH(F567)=9,MONTH(F567)=12)),SUM(OFFSET(H567,-91,0):H567)))))),IF(F567='депозитный калькулятор'!$D$8,SUM($H$23:H567)-SUM($I$23:I566),0))),IF('депозитный калькулятор'!$G$10="ежегодное",IF(F567&gt;'депозитный калькулятор'!$D$8," ",IF(F567='депозитный калькулятор'!$D$8,SUM($H$23:H567)-SUM($I$23:I566),IF(AND(EOMONTH(F567,0)=F567,MONTH(F567)=12),IF(MOD(YEAR(F566),4)=0,IF(F567-'депозитный калькулятор'!$D$7&lt;366,SUM($H$23:H567),SUM(OFFSET(H567,-365,0):H567)),IF(F567-'депозитный калькулятор'!$D$7&lt;365,SUM($H$23:H567),SUM(OFFSET(H567,-364,0):H567))),0))),IF(AND('депозитный калькулятор'!$G$10="в конце срока",'депозитный калькулятор'!$D$8=F567),SUM($H$23:H567),0))))))))))))))))))</f>
        <v xml:space="preserve"> </v>
      </c>
      <c r="J567" s="59" t="str">
        <f>IF(F567&gt;'депозитный калькулятор'!$D$8," ",IF('депозитный калькулятор'!$G$16="нет",0,IF(AND('депозитный калькулятор'!$G$17="разовая (в конце срока)",F567='депозитный калькулятор'!$D$8),'депозитный калькулятор'!$G$18,IF(AND('депозитный калькулятор'!$G$17="ежемесячная",EOMONTH(F566,0)=F566),'депозитный калькулятор'!$G$18,IF(AND('депозитный калькулятор'!$G$17="ежегодная",DAY(F566)=31,MONTH(F566)=12),'депозитный калькулятор'!$G$18,IF(AND('депозитный калькулятор'!$G$17="ежемесячная в зависимости от остатка",EOMONTH(F566,0)=F566,P566&gt;0),'депозитный калькулятор'!$G$18,IF(AND('депозитный калькулятор'!$G$17="ежегодная в зависимости от остатка",DAY(F566)=31,MONTH(F566)=12,P566&gt;0),'депозитный калькулятор'!$G$18,0)))))))</f>
        <v xml:space="preserve"> </v>
      </c>
      <c r="K567" s="135" t="str">
        <f>IF($F567=" "," ",IFERROR(VLOOKUP($F567,'депозитный калькулятор'!$B$26:$F$70,2,0),0))</f>
        <v xml:space="preserve"> </v>
      </c>
      <c r="L567" s="135" t="str">
        <f>IF($F567=" "," ",IFERROR(VLOOKUP($F567,'депозитный калькулятор'!$B$26:$F$70,3,0),0))</f>
        <v xml:space="preserve"> </v>
      </c>
      <c r="M567" s="135" t="str">
        <f>IF($F567=" "," ",IFERROR(VLOOKUP($F567,'депозитный калькулятор'!$B$26:$F$70,4,0),0))</f>
        <v xml:space="preserve"> </v>
      </c>
      <c r="N567" s="135" t="str">
        <f>IF($F567=" "," ",IFERROR(VLOOKUP($F567,'депозитный калькулятор'!$B$26:$F$70,5,0),0))</f>
        <v xml:space="preserve"> </v>
      </c>
      <c r="O567" s="146" t="str">
        <f>IF(F567&gt;'депозитный калькулятор'!$D$8," ",IF(F567='депозитный калькулятор'!$D$8,IF(AND($F$24='депозитный калькулятор'!$D$8,'депозитный калькулятор'!$G$13="нет"),-G567-IF(I567=" ",0,I567)-IF(AND(OR('депозитный калькулятор'!$G$7="30/365",'депозитный калькулятор'!$G$7="30/360"),'депозитный калькулятор'!$G$10="в начале срока"),I566,0)-L567+M567-N567,-G567-IF(I567=" ",0,I567)-L567+M567-N567),IF('депозитный калькулятор'!$G$13="есть",M567-N567+IF('депозитный калькулятор'!$G$14="есть",0,-L567),-IF(I567=" ",0,I567)-IF(AND(OR('депозитный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срока"),I566,0)+M567-N567+IF('депозитный калькулятор'!$G$14="есть",0,-L567))))</f>
        <v xml:space="preserve"> </v>
      </c>
      <c r="P567" s="147" t="str">
        <f>IF(F567&gt;'депозитный калькулятор'!$D$8," ",IF(EOMONTH(F566,0)=F566,0,IF(G567&gt;='депозитный калькулятор'!$G$19,P566,P566+1)))</f>
        <v xml:space="preserve"> </v>
      </c>
      <c r="Q567" s="138" t="str">
        <f>IF(F567=" "," ",IF(AND(OR('депозитный калькулятор'!$G$7="30/365",'депозитный калькулятор'!$G$7="30/360"),AND(MONTH(F567)=2,EOMONTH(F567,0)=F567)),IF(DAY(F567)=28,3,2),1)*IF(G567&gt;='депозитный калькулятор'!$G$11,IF(AND('депозитный калькулятор'!$G$7="факт/факт",MOD(YEAR(F567),4)=0),G567*'депозитный калькулятор'!$D$11/366,G567*'депозитный калькулятор'!$G$8),0))</f>
        <v xml:space="preserve"> </v>
      </c>
      <c r="R567" s="158"/>
      <c r="S567" s="62" t="str">
        <f t="shared" ca="1" si="42"/>
        <v xml:space="preserve"> </v>
      </c>
      <c r="T567" s="149" t="str">
        <f ca="1">IF(S567=" "," ",IF('депозитный калькулятор'!$G$7="30/360",DAYS360(U566,IF(DAY(U567)=31,U567-1,U567))+IF(AND(MONTH(U567)=2,U567=EOMONTH(U567,0)),30-DAY(EOMONTH(U567,0)))+T566,VLOOKUP(S567,$C$22:$F$1023,2,0)))</f>
        <v xml:space="preserve"> </v>
      </c>
      <c r="U567" s="64" t="str">
        <f t="shared" ca="1" si="40"/>
        <v xml:space="preserve"> </v>
      </c>
      <c r="V567" s="150" t="str">
        <f t="shared" ca="1" si="43"/>
        <v xml:space="preserve"> </v>
      </c>
      <c r="W567" s="62" t="str">
        <f t="shared" ca="1" si="44"/>
        <v xml:space="preserve"> </v>
      </c>
      <c r="X567" s="141" t="str">
        <f ca="1">IF(S567=" "," ",IFERROR(VLOOKUP(U567,$F$23:$N$1023,7)+VLOOKUP(U567,$F$23:$N$1023,9)+IF(AND('депозитный калькулятор'!$G$13="нет",U567&lt;&gt;'депозитный калькулятор'!$D$8),VLOOKUP(U567,$F$23:$N$1023,4),0),0)+IF(U567='депозитный калькулятор'!$D$8,VLOOKUP(U567,$F$23:$N$1023,2)+VLOOKUP(U567,$F$23:$N$1023,4),0))</f>
        <v xml:space="preserve"> </v>
      </c>
      <c r="Y567" s="142" t="str">
        <f ca="1">IF(S567=" "," ",W567/(1+'депозитный калькулятор'!$K$8)^(T567/IF('депозитный калькулятор'!$G$7="30/360",360,365)))</f>
        <v xml:space="preserve"> </v>
      </c>
      <c r="Z567" s="142" t="str">
        <f ca="1">IF(S567=" "," ",X567/(1+'депозитный калькулятор'!$K$8)^(T567/IF('депозитный калькулятор'!$G$7="30/360",360,365)))</f>
        <v xml:space="preserve"> </v>
      </c>
      <c r="AA567" s="151"/>
      <c r="AB567" s="151"/>
      <c r="AC567" s="155"/>
      <c r="AD567" s="155"/>
    </row>
    <row r="568" spans="1:30" s="2" customFormat="1" ht="15.5" x14ac:dyDescent="0.35">
      <c r="A568" s="41" t="str">
        <f>IF(F568=" "," ",IF(OR('депозитный калькулятор'!$G$7="30/365",'депозитный калькулятор'!$G$7="30/360"),IF(AND(MONTH(F568)=2,DAY(F568)=DAY(EOMONTH(F568,0))),30-DAY(EOMONTH(F568,0)),IF(DAY(F568)=31,1," "))," "))</f>
        <v xml:space="preserve"> </v>
      </c>
      <c r="B568" s="130" t="str">
        <f t="shared" si="41"/>
        <v xml:space="preserve"> </v>
      </c>
      <c r="C568" s="130" t="str">
        <f>IF(OR(B568=0,B568=" ")," ",SUM($B$23:B568))</f>
        <v xml:space="preserve"> </v>
      </c>
      <c r="D568" s="62" t="str">
        <f>IF(D567=" "," ",IF(OR(F567='депозитный калькулятор'!$D$8,F567=" ")," ",D567+1))</f>
        <v xml:space="preserve"> </v>
      </c>
      <c r="E568" s="130" t="str">
        <f>IF(OR(F567='депозитный калькулятор'!$D$8,F567=" ")," ",IF(EOMONTH(F567,0)=F567,1,E567+1))</f>
        <v xml:space="preserve"> </v>
      </c>
      <c r="F568" s="64" t="str">
        <f>IF(F567=" "," ",IF(F567='депозитный калькулятор'!$D$8," ",F567+1))</f>
        <v xml:space="preserve"> </v>
      </c>
      <c r="G568" s="145" t="str">
        <f xml:space="preserve"> IF(F568&gt;'депозитный калькулятор'!$D$8," ",IF('депозитный калькулятор'!$G$13="есть",IF('депозитный калькулятор'!$G$14="есть",G567+IF(I567=" ",0,I567)-J568-K568+L568+M568-N568,G567+IF(I567=" ",0,I567)-J568-K568+M568-N568),IF('депозитный калькулятор'!$G$14="есть",G567-J568-K568+L568+M568-N568,G567-J568-K568+M568-N568)))</f>
        <v xml:space="preserve"> </v>
      </c>
      <c r="H568" s="133" t="str">
        <f>IF(F568&gt;'депозитный калькулятор'!$D$8," ",IF(AND(OR('депозитный калькулятор'!$G$7="30/365",'депозитный калькулятор'!$G$7="30/360"),AND(MONTH(F568)=2,EOMONTH(F568,0)=F568)),IF(DAY(F568)=28,3*G568*'депозитный калькулятор'!$G$8,2*G568*'депозитный калькулятор'!$G$8),IF(AND(OR('депозитный калькулятор'!$G$7="30/365",'депозитный калькулятор'!$G$7="30/360"),DAY(F568)=31)," ",IF(AND('депозитный калькулятор'!$G$7="факт/факт",MOD(YEAR(F568),4)=0),G568*'депозитный калькулятор'!$D$11/366,G568*'депозитный калькулятор'!$G$8))))</f>
        <v xml:space="preserve"> </v>
      </c>
      <c r="I568" s="134" t="str">
        <f ca="1">IF(F568=" "," ",IF('депозитный калькулятор'!$G$10="ежедневное",H568,IF(AND('депозитный калькулятор'!$G$10="еженедельное",WEEKDAY(F568,2)=7),SUM(OFFSET(H568,-6,0):H568),IF(AND('депозитный калькулятор'!$G$10="еженедельное",F568='депозитный калькулятор'!$D$8),SUM($H$23:H568)-SUM($I$23:I567),IF(AND('депозитный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недели",WEEKDAY(F568,2)=7),MIN(OFFSET(H568,-6,0):H568)*(COUNTIF(OFFSET(H568,-6,0):H568,"&gt;0")+SUMIF(OFFSET(A568,-WEEKDAY(F568,2),0):A568,"=2",OFFSET(A568,-WEEKDAY(F568,2),0):A568)),IF(AND('депозитный калькулятор'!$G$10="еженедельное, на минимальную сумму зафиксированную в течение недели",F568='депозитный калькулятор'!$D$8,WEEKDAY(F568,2)&lt;&gt;7),MIN(OFFSET(H568,-WEEKDAY(F568,2),0):H568)*(COUNTIF(OFFSET(H568,-WEEKDAY(F568,2)+1,0):H568,"&gt;0")+SUM(OFFSET(A568,-WEEKDAY(F568,2),0):A568)),IF(AND('депозитный калькулятор'!$G$10="ежемесячное (в конце месяца)",F568='депозитный калькулятор'!$D$8,EOMONTH(F568,0)&lt;&gt;F568),IF('депозитный калькулятор'!$F$1=1,$H$24,SUM($H$23:H568)-SUM($I$23:I567)),IF(AND('депозитный калькулятор'!$G$10="ежемесячное (в конце месяца)",EOMONTH(F568,0)=F568),SUM($H$23:H568)-SUM($I$23:I567),IF(AND('депозитный калькулятор'!$G$10="ежемесячное (по дням открытия вклада)",F568='депозитный калькулятор'!$D$8,DAY('депозитный калькулятор'!$D$7)&lt;&gt;DAY(F568)),IF('депозитный калькулятор'!$F$1=1,$H$24,SUM($H$23:H568)-SUM($I$23:I567)),IF(AND('депозитный калькулятор'!$G$10="ежемесячное (по дням открытия вклада)",DAY('депозитный калькулятор'!$D$7)=DAY(F568)),SUM($H$23:H568)-SUM($I$23:I567),IF(AND('депозитный калькулятор'!$G$10="ежемесячное, на минимальную сумму зафиксированную в течение месяца",F568='депозитный калькулятор'!$D$8,EOMONTH(F568,0)&lt;&gt;F568),IF('депозитный калькулятор'!$F$1=1,$H$24,IF(AND(OR('депозитный калькулятор'!$G$7="30/365",'депозитный калькулятор'!$G$7="30/360"),DAY(F568)=31),0,MIN(OFFSET(H568,-E568+1,0):H568)*(E568+SUMIF(OFFSET(A568,-E568+1,0):A568,"=2",OFFSET(A568,-E568+1,0):A568)))),IF(AND('депозитный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калькулятор'!$G$7="30/360"),DAY(EOMONTH(F568,0))=31),EOMONTH(F568,0)-1=F568,EOMONTH(F568,0)=F568)),IF(IF(AND(OR('депозитный калькулятор'!$G$7="30/365",'депозитный калькулятор'!$G$7="30/360"),DAY(EOMONTH($F$23,0))=31),F568=EOMONTH($F$23,0)-1,F568=EOMONTH($F$23,0)),MIN(OFFSET(H568,-(DAY(F568)-DAY($F$23)),0):H568)*E568,MIN(OFFSET(H568,-(DAY(F568)-1),0):H568)*IF(AND(OR('депозитный калькулятор'!$G$7="30/365",'депозитный калькулятор'!$G$7="30/360"),DAY(F568)&lt;30),30,DAY(F568))),IF(AND('депозитный калькулятор'!$G$10="ежемесячное, на средний остаток в течение месяца, при условии что остаток больше чем ограничение",F568='депозитный калькулятор'!$D$8,EOMONTH(F568,0)&lt;&gt;F568),IF('депозитный калькулятор'!$F$1=1,$H$24,SUM(OFFSET(Q568,-E568+1,0):Q568)),IF(AND('депозитный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калькулятор'!$G$7="30/360"),DAY(EOMONTH(F568,0))=31),EOMONTH(F568,0)-1=F568,EOMONTH(F568,0)=F568)),IF(IF(AND(OR('депозитный калькулятор'!$G$7="30/365",'депозитный калькулятор'!$G$7="30/360"),DAY(EOMONTH($F$24,0))=31),F568=EOMONTH($F$24,0)-1,F568=EOMONTH($F$24,0)),SUM(OFFSET(Q568,-E568+1,0):Q568),SUM(OFFSET(Q568,-E568+1,0):Q568)),IF('депозитный калькулятор'!$G$10="ежеквартальное",IF(F568&gt;'депозитный калькулятор'!$D$8," ",IF(AND(EOMONTH(F568,0)=F568,OR(MONTH(F568)=3,MONTH(F568)=6,MONTH(F568)=9,MONTH(F568)=12)),IF(EDATE(F568,-3)&lt;'депозитный калькулятор'!$D$7,SUM($H$23:H568),IF(MOD(YEAR(F568),4)=0,IF(AND(EOMONTH(F568,0)=F568,OR(MONTH(F568)=3,MONTH(F568)=6)),SUM(OFFSET(H568,-90,0):H568),IF(AND(EOMONTH(F568,0)=F568,OR(MONTH(F568)=9,MONTH(F568)=12)),SUM(OFFSET(H568,-91,0):H568))),IF(AND(EOMONTH(F568,0)=F568,MONTH(F568)=3),SUM(OFFSET(H568,-89,0):H568),IF(AND(EOMONTH(F568,0)=F568,MONTH(F568)=6),SUM(OFFSET(H568,-90,0):H568),IF(AND(EOMONTH(F568,0)=F568,OR(MONTH(F568)=9,MONTH(F568)=12)),SUM(OFFSET(H568,-91,0):H568)))))),IF(F568='депозитный калькулятор'!$D$8,SUM($H$23:H568)-SUM($I$23:I567),0))),IF('депозитный калькулятор'!$G$10="ежегодное",IF(F568&gt;'депозитный калькулятор'!$D$8," ",IF(F568='депозитный калькулятор'!$D$8,SUM($H$23:H568)-SUM($I$23:I567),IF(AND(EOMONTH(F568,0)=F568,MONTH(F568)=12),IF(MOD(YEAR(F567),4)=0,IF(F568-'депозитный калькулятор'!$D$7&lt;366,SUM($H$23:H568),SUM(OFFSET(H568,-365,0):H568)),IF(F568-'депозитный калькулятор'!$D$7&lt;365,SUM($H$23:H568),SUM(OFFSET(H568,-364,0):H568))),0))),IF(AND('депозитный калькулятор'!$G$10="в конце срока",'депозитный калькулятор'!$D$8=F568),SUM($H$23:H568),0))))))))))))))))))</f>
        <v xml:space="preserve"> </v>
      </c>
      <c r="J568" s="59" t="str">
        <f>IF(F568&gt;'депозитный калькулятор'!$D$8," ",IF('депозитный калькулятор'!$G$16="нет",0,IF(AND('депозитный калькулятор'!$G$17="разовая (в конце срока)",F568='депозитный калькулятор'!$D$8),'депозитный калькулятор'!$G$18,IF(AND('депозитный калькулятор'!$G$17="ежемесячная",EOMONTH(F567,0)=F567),'депозитный калькулятор'!$G$18,IF(AND('депозитный калькулятор'!$G$17="ежегодная",DAY(F567)=31,MONTH(F567)=12),'депозитный калькулятор'!$G$18,IF(AND('депозитный калькулятор'!$G$17="ежемесячная в зависимости от остатка",EOMONTH(F567,0)=F567,P567&gt;0),'депозитный калькулятор'!$G$18,IF(AND('депозитный калькулятор'!$G$17="ежегодная в зависимости от остатка",DAY(F567)=31,MONTH(F567)=12,P567&gt;0),'депозитный калькулятор'!$G$18,0)))))))</f>
        <v xml:space="preserve"> </v>
      </c>
      <c r="K568" s="135" t="str">
        <f>IF($F568=" "," ",IFERROR(VLOOKUP($F568,'депозитный калькулятор'!$B$26:$F$70,2,0),0))</f>
        <v xml:space="preserve"> </v>
      </c>
      <c r="L568" s="135" t="str">
        <f>IF($F568=" "," ",IFERROR(VLOOKUP($F568,'депозитный калькулятор'!$B$26:$F$70,3,0),0))</f>
        <v xml:space="preserve"> </v>
      </c>
      <c r="M568" s="135" t="str">
        <f>IF($F568=" "," ",IFERROR(VLOOKUP($F568,'депозитный калькулятор'!$B$26:$F$70,4,0),0))</f>
        <v xml:space="preserve"> </v>
      </c>
      <c r="N568" s="135" t="str">
        <f>IF($F568=" "," ",IFERROR(VLOOKUP($F568,'депозитный калькулятор'!$B$26:$F$70,5,0),0))</f>
        <v xml:space="preserve"> </v>
      </c>
      <c r="O568" s="146" t="str">
        <f>IF(F568&gt;'депозитный калькулятор'!$D$8," ",IF(F568='депозитный калькулятор'!$D$8,IF(AND($F$24='депозитный калькулятор'!$D$8,'депозитный калькулятор'!$G$13="нет"),-G568-IF(I568=" ",0,I568)-IF(AND(OR('депозитный калькулятор'!$G$7="30/365",'депозитный калькулятор'!$G$7="30/360"),'депозитный калькулятор'!$G$10="в начале срока"),I567,0)-L568+M568-N568,-G568-IF(I568=" ",0,I568)-L568+M568-N568),IF('депозитный калькулятор'!$G$13="есть",M568-N568+IF('депозитный калькулятор'!$G$14="есть",0,-L568),-IF(I568=" ",0,I568)-IF(AND(OR('депозитный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срока"),I567,0)+M568-N568+IF('депозитный калькулятор'!$G$14="есть",0,-L568))))</f>
        <v xml:space="preserve"> </v>
      </c>
      <c r="P568" s="147" t="str">
        <f>IF(F568&gt;'депозитный калькулятор'!$D$8," ",IF(EOMONTH(F567,0)=F567,0,IF(G568&gt;='депозитный калькулятор'!$G$19,P567,P567+1)))</f>
        <v xml:space="preserve"> </v>
      </c>
      <c r="Q568" s="138" t="str">
        <f>IF(F568=" "," ",IF(AND(OR('депозитный калькулятор'!$G$7="30/365",'депозитный калькулятор'!$G$7="30/360"),AND(MONTH(F568)=2,EOMONTH(F568,0)=F568)),IF(DAY(F568)=28,3,2),1)*IF(G568&gt;='депозитный калькулятор'!$G$11,IF(AND('депозитный калькулятор'!$G$7="факт/факт",MOD(YEAR(F568),4)=0),G568*'депозитный калькулятор'!$D$11/366,G568*'депозитный калькулятор'!$G$8),0))</f>
        <v xml:space="preserve"> </v>
      </c>
      <c r="R568" s="158"/>
      <c r="S568" s="62" t="str">
        <f t="shared" ca="1" si="42"/>
        <v xml:space="preserve"> </v>
      </c>
      <c r="T568" s="149" t="str">
        <f ca="1">IF(S568=" "," ",IF('депозитный калькулятор'!$G$7="30/360",DAYS360(U567,IF(DAY(U568)=31,U568-1,U568))+IF(AND(MONTH(U568)=2,U568=EOMONTH(U568,0)),30-DAY(EOMONTH(U568,0)))+T567,VLOOKUP(S568,$C$22:$F$1023,2,0)))</f>
        <v xml:space="preserve"> </v>
      </c>
      <c r="U568" s="64" t="str">
        <f t="shared" ca="1" si="40"/>
        <v xml:space="preserve"> </v>
      </c>
      <c r="V568" s="150" t="str">
        <f t="shared" ca="1" si="43"/>
        <v xml:space="preserve"> </v>
      </c>
      <c r="W568" s="62" t="str">
        <f t="shared" ca="1" si="44"/>
        <v xml:space="preserve"> </v>
      </c>
      <c r="X568" s="141" t="str">
        <f ca="1">IF(S568=" "," ",IFERROR(VLOOKUP(U568,$F$23:$N$1023,7)+VLOOKUP(U568,$F$23:$N$1023,9)+IF(AND('депозитный калькулятор'!$G$13="нет",U568&lt;&gt;'депозитный калькулятор'!$D$8),VLOOKUP(U568,$F$23:$N$1023,4),0),0)+IF(U568='депозитный калькулятор'!$D$8,VLOOKUP(U568,$F$23:$N$1023,2)+VLOOKUP(U568,$F$23:$N$1023,4),0))</f>
        <v xml:space="preserve"> </v>
      </c>
      <c r="Y568" s="142" t="str">
        <f ca="1">IF(S568=" "," ",W568/(1+'депозитный калькулятор'!$K$8)^(T568/IF('депозитный калькулятор'!$G$7="30/360",360,365)))</f>
        <v xml:space="preserve"> </v>
      </c>
      <c r="Z568" s="142" t="str">
        <f ca="1">IF(S568=" "," ",X568/(1+'депозитный калькулятор'!$K$8)^(T568/IF('депозитный калькулятор'!$G$7="30/360",360,365)))</f>
        <v xml:space="preserve"> </v>
      </c>
      <c r="AA568" s="151"/>
      <c r="AB568" s="151"/>
      <c r="AC568" s="155"/>
      <c r="AD568" s="155"/>
    </row>
    <row r="569" spans="1:30" s="2" customFormat="1" ht="15.5" x14ac:dyDescent="0.35">
      <c r="A569" s="41" t="str">
        <f>IF(F569=" "," ",IF(OR('депозитный калькулятор'!$G$7="30/365",'депозитный калькулятор'!$G$7="30/360"),IF(AND(MONTH(F569)=2,DAY(F569)=DAY(EOMONTH(F569,0))),30-DAY(EOMONTH(F569,0)),IF(DAY(F569)=31,1," "))," "))</f>
        <v xml:space="preserve"> </v>
      </c>
      <c r="B569" s="130" t="str">
        <f t="shared" si="41"/>
        <v xml:space="preserve"> </v>
      </c>
      <c r="C569" s="130" t="str">
        <f>IF(OR(B569=0,B569=" ")," ",SUM($B$23:B569))</f>
        <v xml:space="preserve"> </v>
      </c>
      <c r="D569" s="62" t="str">
        <f>IF(D568=" "," ",IF(OR(F568='депозитный калькулятор'!$D$8,F568=" ")," ",D568+1))</f>
        <v xml:space="preserve"> </v>
      </c>
      <c r="E569" s="130" t="str">
        <f>IF(OR(F568='депозитный калькулятор'!$D$8,F568=" ")," ",IF(EOMONTH(F568,0)=F568,1,E568+1))</f>
        <v xml:space="preserve"> </v>
      </c>
      <c r="F569" s="64" t="str">
        <f>IF(F568=" "," ",IF(F568='депозитный калькулятор'!$D$8," ",F568+1))</f>
        <v xml:space="preserve"> </v>
      </c>
      <c r="G569" s="145" t="str">
        <f xml:space="preserve"> IF(F569&gt;'депозитный калькулятор'!$D$8," ",IF('депозитный калькулятор'!$G$13="есть",IF('депозитный калькулятор'!$G$14="есть",G568+IF(I568=" ",0,I568)-J569-K569+L569+M569-N569,G568+IF(I568=" ",0,I568)-J569-K569+M569-N569),IF('депозитный калькулятор'!$G$14="есть",G568-J569-K569+L569+M569-N569,G568-J569-K569+M569-N569)))</f>
        <v xml:space="preserve"> </v>
      </c>
      <c r="H569" s="133" t="str">
        <f>IF(F569&gt;'депозитный калькулятор'!$D$8," ",IF(AND(OR('депозитный калькулятор'!$G$7="30/365",'депозитный калькулятор'!$G$7="30/360"),AND(MONTH(F569)=2,EOMONTH(F569,0)=F569)),IF(DAY(F569)=28,3*G569*'депозитный калькулятор'!$G$8,2*G569*'депозитный калькулятор'!$G$8),IF(AND(OR('депозитный калькулятор'!$G$7="30/365",'депозитный калькулятор'!$G$7="30/360"),DAY(F569)=31)," ",IF(AND('депозитный калькулятор'!$G$7="факт/факт",MOD(YEAR(F569),4)=0),G569*'депозитный калькулятор'!$D$11/366,G569*'депозитный калькулятор'!$G$8))))</f>
        <v xml:space="preserve"> </v>
      </c>
      <c r="I569" s="134" t="str">
        <f ca="1">IF(F569=" "," ",IF('депозитный калькулятор'!$G$10="ежедневное",H569,IF(AND('депозитный калькулятор'!$G$10="еженедельное",WEEKDAY(F569,2)=7),SUM(OFFSET(H569,-6,0):H569),IF(AND('депозитный калькулятор'!$G$10="еженедельное",F569='депозитный калькулятор'!$D$8),SUM($H$23:H569)-SUM($I$23:I568),IF(AND('депозитный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недели",WEEKDAY(F569,2)=7),MIN(OFFSET(H569,-6,0):H569)*(COUNTIF(OFFSET(H569,-6,0):H569,"&gt;0")+SUMIF(OFFSET(A569,-WEEKDAY(F569,2),0):A569,"=2",OFFSET(A569,-WEEKDAY(F569,2),0):A569)),IF(AND('депозитный калькулятор'!$G$10="еженедельное, на минимальную сумму зафиксированную в течение недели",F569='депозитный калькулятор'!$D$8,WEEKDAY(F569,2)&lt;&gt;7),MIN(OFFSET(H569,-WEEKDAY(F569,2),0):H569)*(COUNTIF(OFFSET(H569,-WEEKDAY(F569,2)+1,0):H569,"&gt;0")+SUM(OFFSET(A569,-WEEKDAY(F569,2),0):A569)),IF(AND('депозитный калькулятор'!$G$10="ежемесячное (в конце месяца)",F569='депозитный калькулятор'!$D$8,EOMONTH(F569,0)&lt;&gt;F569),IF('депозитный калькулятор'!$F$1=1,$H$24,SUM($H$23:H569)-SUM($I$23:I568)),IF(AND('депозитный калькулятор'!$G$10="ежемесячное (в конце месяца)",EOMONTH(F569,0)=F569),SUM($H$23:H569)-SUM($I$23:I568),IF(AND('депозитный калькулятор'!$G$10="ежемесячное (по дням открытия вклада)",F569='депозитный калькулятор'!$D$8,DAY('депозитный калькулятор'!$D$7)&lt;&gt;DAY(F569)),IF('депозитный калькулятор'!$F$1=1,$H$24,SUM($H$23:H569)-SUM($I$23:I568)),IF(AND('депозитный калькулятор'!$G$10="ежемесячное (по дням открытия вклада)",DAY('депозитный калькулятор'!$D$7)=DAY(F569)),SUM($H$23:H569)-SUM($I$23:I568),IF(AND('депозитный калькулятор'!$G$10="ежемесячное, на минимальную сумму зафиксированную в течение месяца",F569='депозитный калькулятор'!$D$8,EOMONTH(F569,0)&lt;&gt;F569),IF('депозитный калькулятор'!$F$1=1,$H$24,IF(AND(OR('депозитный калькулятор'!$G$7="30/365",'депозитный калькулятор'!$G$7="30/360"),DAY(F569)=31),0,MIN(OFFSET(H569,-E569+1,0):H569)*(E569+SUMIF(OFFSET(A569,-E569+1,0):A569,"=2",OFFSET(A569,-E569+1,0):A569)))),IF(AND('депозитный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калькулятор'!$G$7="30/360"),DAY(EOMONTH(F569,0))=31),EOMONTH(F569,0)-1=F569,EOMONTH(F569,0)=F569)),IF(IF(AND(OR('депозитный калькулятор'!$G$7="30/365",'депозитный калькулятор'!$G$7="30/360"),DAY(EOMONTH($F$23,0))=31),F569=EOMONTH($F$23,0)-1,F569=EOMONTH($F$23,0)),MIN(OFFSET(H569,-(DAY(F569)-DAY($F$23)),0):H569)*E569,MIN(OFFSET(H569,-(DAY(F569)-1),0):H569)*IF(AND(OR('депозитный калькулятор'!$G$7="30/365",'депозитный калькулятор'!$G$7="30/360"),DAY(F569)&lt;30),30,DAY(F569))),IF(AND('депозитный калькулятор'!$G$10="ежемесячное, на средний остаток в течение месяца, при условии что остаток больше чем ограничение",F569='депозитный калькулятор'!$D$8,EOMONTH(F569,0)&lt;&gt;F569),IF('депозитный калькулятор'!$F$1=1,$H$24,SUM(OFFSET(Q569,-E569+1,0):Q569)),IF(AND('депозитный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калькулятор'!$G$7="30/360"),DAY(EOMONTH(F569,0))=31),EOMONTH(F569,0)-1=F569,EOMONTH(F569,0)=F569)),IF(IF(AND(OR('депозитный калькулятор'!$G$7="30/365",'депозитный калькулятор'!$G$7="30/360"),DAY(EOMONTH($F$24,0))=31),F569=EOMONTH($F$24,0)-1,F569=EOMONTH($F$24,0)),SUM(OFFSET(Q569,-E569+1,0):Q569),SUM(OFFSET(Q569,-E569+1,0):Q569)),IF('депозитный калькулятор'!$G$10="ежеквартальное",IF(F569&gt;'депозитный калькулятор'!$D$8," ",IF(AND(EOMONTH(F569,0)=F569,OR(MONTH(F569)=3,MONTH(F569)=6,MONTH(F569)=9,MONTH(F569)=12)),IF(EDATE(F569,-3)&lt;'депозитный калькулятор'!$D$7,SUM($H$23:H569),IF(MOD(YEAR(F569),4)=0,IF(AND(EOMONTH(F569,0)=F569,OR(MONTH(F569)=3,MONTH(F569)=6)),SUM(OFFSET(H569,-90,0):H569),IF(AND(EOMONTH(F569,0)=F569,OR(MONTH(F569)=9,MONTH(F569)=12)),SUM(OFFSET(H569,-91,0):H569))),IF(AND(EOMONTH(F569,0)=F569,MONTH(F569)=3),SUM(OFFSET(H569,-89,0):H569),IF(AND(EOMONTH(F569,0)=F569,MONTH(F569)=6),SUM(OFFSET(H569,-90,0):H569),IF(AND(EOMONTH(F569,0)=F569,OR(MONTH(F569)=9,MONTH(F569)=12)),SUM(OFFSET(H569,-91,0):H569)))))),IF(F569='депозитный калькулятор'!$D$8,SUM($H$23:H569)-SUM($I$23:I568),0))),IF('депозитный калькулятор'!$G$10="ежегодное",IF(F569&gt;'депозитный калькулятор'!$D$8," ",IF(F569='депозитный калькулятор'!$D$8,SUM($H$23:H569)-SUM($I$23:I568),IF(AND(EOMONTH(F569,0)=F569,MONTH(F569)=12),IF(MOD(YEAR(F568),4)=0,IF(F569-'депозитный калькулятор'!$D$7&lt;366,SUM($H$23:H569),SUM(OFFSET(H569,-365,0):H569)),IF(F569-'депозитный калькулятор'!$D$7&lt;365,SUM($H$23:H569),SUM(OFFSET(H569,-364,0):H569))),0))),IF(AND('депозитный калькулятор'!$G$10="в конце срока",'депозитный калькулятор'!$D$8=F569),SUM($H$23:H569),0))))))))))))))))))</f>
        <v xml:space="preserve"> </v>
      </c>
      <c r="J569" s="59" t="str">
        <f>IF(F569&gt;'депозитный калькулятор'!$D$8," ",IF('депозитный калькулятор'!$G$16="нет",0,IF(AND('депозитный калькулятор'!$G$17="разовая (в конце срока)",F569='депозитный калькулятор'!$D$8),'депозитный калькулятор'!$G$18,IF(AND('депозитный калькулятор'!$G$17="ежемесячная",EOMONTH(F568,0)=F568),'депозитный калькулятор'!$G$18,IF(AND('депозитный калькулятор'!$G$17="ежегодная",DAY(F568)=31,MONTH(F568)=12),'депозитный калькулятор'!$G$18,IF(AND('депозитный калькулятор'!$G$17="ежемесячная в зависимости от остатка",EOMONTH(F568,0)=F568,P568&gt;0),'депозитный калькулятор'!$G$18,IF(AND('депозитный калькулятор'!$G$17="ежегодная в зависимости от остатка",DAY(F568)=31,MONTH(F568)=12,P568&gt;0),'депозитный калькулятор'!$G$18,0)))))))</f>
        <v xml:space="preserve"> </v>
      </c>
      <c r="K569" s="135" t="str">
        <f>IF($F569=" "," ",IFERROR(VLOOKUP($F569,'депозитный калькулятор'!$B$26:$F$70,2,0),0))</f>
        <v xml:space="preserve"> </v>
      </c>
      <c r="L569" s="135" t="str">
        <f>IF($F569=" "," ",IFERROR(VLOOKUP($F569,'депозитный калькулятор'!$B$26:$F$70,3,0),0))</f>
        <v xml:space="preserve"> </v>
      </c>
      <c r="M569" s="135" t="str">
        <f>IF($F569=" "," ",IFERROR(VLOOKUP($F569,'депозитный калькулятор'!$B$26:$F$70,4,0),0))</f>
        <v xml:space="preserve"> </v>
      </c>
      <c r="N569" s="135" t="str">
        <f>IF($F569=" "," ",IFERROR(VLOOKUP($F569,'депозитный калькулятор'!$B$26:$F$70,5,0),0))</f>
        <v xml:space="preserve"> </v>
      </c>
      <c r="O569" s="146" t="str">
        <f>IF(F569&gt;'депозитный калькулятор'!$D$8," ",IF(F569='депозитный калькулятор'!$D$8,IF(AND($F$24='депозитный калькулятор'!$D$8,'депозитный калькулятор'!$G$13="нет"),-G569-IF(I569=" ",0,I569)-IF(AND(OR('депозитный калькулятор'!$G$7="30/365",'депозитный калькулятор'!$G$7="30/360"),'депозитный калькулятор'!$G$10="в начале срока"),I568,0)-L569+M569-N569,-G569-IF(I569=" ",0,I569)-L569+M569-N569),IF('депозитный калькулятор'!$G$13="есть",M569-N569+IF('депозитный калькулятор'!$G$14="есть",0,-L569),-IF(I569=" ",0,I569)-IF(AND(OR('депозитный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срока"),I568,0)+M569-N569+IF('депозитный калькулятор'!$G$14="есть",0,-L569))))</f>
        <v xml:space="preserve"> </v>
      </c>
      <c r="P569" s="147" t="str">
        <f>IF(F569&gt;'депозитный калькулятор'!$D$8," ",IF(EOMONTH(F568,0)=F568,0,IF(G569&gt;='депозитный калькулятор'!$G$19,P568,P568+1)))</f>
        <v xml:space="preserve"> </v>
      </c>
      <c r="Q569" s="138" t="str">
        <f>IF(F569=" "," ",IF(AND(OR('депозитный калькулятор'!$G$7="30/365",'депозитный калькулятор'!$G$7="30/360"),AND(MONTH(F569)=2,EOMONTH(F569,0)=F569)),IF(DAY(F569)=28,3,2),1)*IF(G569&gt;='депозитный калькулятор'!$G$11,IF(AND('депозитный калькулятор'!$G$7="факт/факт",MOD(YEAR(F569),4)=0),G569*'депозитный калькулятор'!$D$11/366,G569*'депозитный калькулятор'!$G$8),0))</f>
        <v xml:space="preserve"> </v>
      </c>
      <c r="R569" s="158"/>
      <c r="S569" s="62" t="str">
        <f t="shared" ca="1" si="42"/>
        <v xml:space="preserve"> </v>
      </c>
      <c r="T569" s="149" t="str">
        <f ca="1">IF(S569=" "," ",IF('депозитный калькулятор'!$G$7="30/360",DAYS360(U568,IF(DAY(U569)=31,U569-1,U569))+IF(AND(MONTH(U569)=2,U569=EOMONTH(U569,0)),30-DAY(EOMONTH(U569,0)))+T568,VLOOKUP(S569,$C$22:$F$1023,2,0)))</f>
        <v xml:space="preserve"> </v>
      </c>
      <c r="U569" s="64" t="str">
        <f t="shared" ca="1" si="40"/>
        <v xml:space="preserve"> </v>
      </c>
      <c r="V569" s="150" t="str">
        <f t="shared" ca="1" si="43"/>
        <v xml:space="preserve"> </v>
      </c>
      <c r="W569" s="62" t="str">
        <f t="shared" ca="1" si="44"/>
        <v xml:space="preserve"> </v>
      </c>
      <c r="X569" s="141" t="str">
        <f ca="1">IF(S569=" "," ",IFERROR(VLOOKUP(U569,$F$23:$N$1023,7)+VLOOKUP(U569,$F$23:$N$1023,9)+IF(AND('депозитный калькулятор'!$G$13="нет",U569&lt;&gt;'депозитный калькулятор'!$D$8),VLOOKUP(U569,$F$23:$N$1023,4),0),0)+IF(U569='депозитный калькулятор'!$D$8,VLOOKUP(U569,$F$23:$N$1023,2)+VLOOKUP(U569,$F$23:$N$1023,4),0))</f>
        <v xml:space="preserve"> </v>
      </c>
      <c r="Y569" s="142" t="str">
        <f ca="1">IF(S569=" "," ",W569/(1+'депозитный калькулятор'!$K$8)^(T569/IF('депозитный калькулятор'!$G$7="30/360",360,365)))</f>
        <v xml:space="preserve"> </v>
      </c>
      <c r="Z569" s="142" t="str">
        <f ca="1">IF(S569=" "," ",X569/(1+'депозитный калькулятор'!$K$8)^(T569/IF('депозитный калькулятор'!$G$7="30/360",360,365)))</f>
        <v xml:space="preserve"> </v>
      </c>
      <c r="AA569" s="151"/>
      <c r="AB569" s="151"/>
      <c r="AC569" s="155"/>
      <c r="AD569" s="155"/>
    </row>
    <row r="570" spans="1:30" s="2" customFormat="1" ht="15.5" x14ac:dyDescent="0.35">
      <c r="A570" s="41" t="str">
        <f>IF(F570=" "," ",IF(OR('депозитный калькулятор'!$G$7="30/365",'депозитный калькулятор'!$G$7="30/360"),IF(AND(MONTH(F570)=2,DAY(F570)=DAY(EOMONTH(F570,0))),30-DAY(EOMONTH(F570,0)),IF(DAY(F570)=31,1," "))," "))</f>
        <v xml:space="preserve"> </v>
      </c>
      <c r="B570" s="130" t="str">
        <f t="shared" si="41"/>
        <v xml:space="preserve"> </v>
      </c>
      <c r="C570" s="130" t="str">
        <f>IF(OR(B570=0,B570=" ")," ",SUM($B$23:B570))</f>
        <v xml:space="preserve"> </v>
      </c>
      <c r="D570" s="62" t="str">
        <f>IF(D569=" "," ",IF(OR(F569='депозитный калькулятор'!$D$8,F569=" ")," ",D569+1))</f>
        <v xml:space="preserve"> </v>
      </c>
      <c r="E570" s="130" t="str">
        <f>IF(OR(F569='депозитный калькулятор'!$D$8,F569=" ")," ",IF(EOMONTH(F569,0)=F569,1,E569+1))</f>
        <v xml:space="preserve"> </v>
      </c>
      <c r="F570" s="64" t="str">
        <f>IF(F569=" "," ",IF(F569='депозитный калькулятор'!$D$8," ",F569+1))</f>
        <v xml:space="preserve"> </v>
      </c>
      <c r="G570" s="145" t="str">
        <f xml:space="preserve"> IF(F570&gt;'депозитный калькулятор'!$D$8," ",IF('депозитный калькулятор'!$G$13="есть",IF('депозитный калькулятор'!$G$14="есть",G569+IF(I569=" ",0,I569)-J570-K570+L570+M570-N570,G569+IF(I569=" ",0,I569)-J570-K570+M570-N570),IF('депозитный калькулятор'!$G$14="есть",G569-J570-K570+L570+M570-N570,G569-J570-K570+M570-N570)))</f>
        <v xml:space="preserve"> </v>
      </c>
      <c r="H570" s="133" t="str">
        <f>IF(F570&gt;'депозитный калькулятор'!$D$8," ",IF(AND(OR('депозитный калькулятор'!$G$7="30/365",'депозитный калькулятор'!$G$7="30/360"),AND(MONTH(F570)=2,EOMONTH(F570,0)=F570)),IF(DAY(F570)=28,3*G570*'депозитный калькулятор'!$G$8,2*G570*'депозитный калькулятор'!$G$8),IF(AND(OR('депозитный калькулятор'!$G$7="30/365",'депозитный калькулятор'!$G$7="30/360"),DAY(F570)=31)," ",IF(AND('депозитный калькулятор'!$G$7="факт/факт",MOD(YEAR(F570),4)=0),G570*'депозитный калькулятор'!$D$11/366,G570*'депозитный калькулятор'!$G$8))))</f>
        <v xml:space="preserve"> </v>
      </c>
      <c r="I570" s="134" t="str">
        <f ca="1">IF(F570=" "," ",IF('депозитный калькулятор'!$G$10="ежедневное",H570,IF(AND('депозитный калькулятор'!$G$10="еженедельное",WEEKDAY(F570,2)=7),SUM(OFFSET(H570,-6,0):H570),IF(AND('депозитный калькулятор'!$G$10="еженедельное",F570='депозитный калькулятор'!$D$8),SUM($H$23:H570)-SUM($I$23:I569),IF(AND('депозитный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недели",WEEKDAY(F570,2)=7),MIN(OFFSET(H570,-6,0):H570)*(COUNTIF(OFFSET(H570,-6,0):H570,"&gt;0")+SUMIF(OFFSET(A570,-WEEKDAY(F570,2),0):A570,"=2",OFFSET(A570,-WEEKDAY(F570,2),0):A570)),IF(AND('депозитный калькулятор'!$G$10="еженедельное, на минимальную сумму зафиксированную в течение недели",F570='депозитный калькулятор'!$D$8,WEEKDAY(F570,2)&lt;&gt;7),MIN(OFFSET(H570,-WEEKDAY(F570,2),0):H570)*(COUNTIF(OFFSET(H570,-WEEKDAY(F570,2)+1,0):H570,"&gt;0")+SUM(OFFSET(A570,-WEEKDAY(F570,2),0):A570)),IF(AND('депозитный калькулятор'!$G$10="ежемесячное (в конце месяца)",F570='депозитный калькулятор'!$D$8,EOMONTH(F570,0)&lt;&gt;F570),IF('депозитный калькулятор'!$F$1=1,$H$24,SUM($H$23:H570)-SUM($I$23:I569)),IF(AND('депозитный калькулятор'!$G$10="ежемесячное (в конце месяца)",EOMONTH(F570,0)=F570),SUM($H$23:H570)-SUM($I$23:I569),IF(AND('депозитный калькулятор'!$G$10="ежемесячное (по дням открытия вклада)",F570='депозитный калькулятор'!$D$8,DAY('депозитный калькулятор'!$D$7)&lt;&gt;DAY(F570)),IF('депозитный калькулятор'!$F$1=1,$H$24,SUM($H$23:H570)-SUM($I$23:I569)),IF(AND('депозитный калькулятор'!$G$10="ежемесячное (по дням открытия вклада)",DAY('депозитный калькулятор'!$D$7)=DAY(F570)),SUM($H$23:H570)-SUM($I$23:I569),IF(AND('депозитный калькулятор'!$G$10="ежемесячное, на минимальную сумму зафиксированную в течение месяца",F570='депозитный калькулятор'!$D$8,EOMONTH(F570,0)&lt;&gt;F570),IF('депозитный калькулятор'!$F$1=1,$H$24,IF(AND(OR('депозитный калькулятор'!$G$7="30/365",'депозитный калькулятор'!$G$7="30/360"),DAY(F570)=31),0,MIN(OFFSET(H570,-E570+1,0):H570)*(E570+SUMIF(OFFSET(A570,-E570+1,0):A570,"=2",OFFSET(A570,-E570+1,0):A570)))),IF(AND('депозитный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калькулятор'!$G$7="30/360"),DAY(EOMONTH(F570,0))=31),EOMONTH(F570,0)-1=F570,EOMONTH(F570,0)=F570)),IF(IF(AND(OR('депозитный калькулятор'!$G$7="30/365",'депозитный калькулятор'!$G$7="30/360"),DAY(EOMONTH($F$23,0))=31),F570=EOMONTH($F$23,0)-1,F570=EOMONTH($F$23,0)),MIN(OFFSET(H570,-(DAY(F570)-DAY($F$23)),0):H570)*E570,MIN(OFFSET(H570,-(DAY(F570)-1),0):H570)*IF(AND(OR('депозитный калькулятор'!$G$7="30/365",'депозитный калькулятор'!$G$7="30/360"),DAY(F570)&lt;30),30,DAY(F570))),IF(AND('депозитный калькулятор'!$G$10="ежемесячное, на средний остаток в течение месяца, при условии что остаток больше чем ограничение",F570='депозитный калькулятор'!$D$8,EOMONTH(F570,0)&lt;&gt;F570),IF('депозитный калькулятор'!$F$1=1,$H$24,SUM(OFFSET(Q570,-E570+1,0):Q570)),IF(AND('депозитный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калькулятор'!$G$7="30/360"),DAY(EOMONTH(F570,0))=31),EOMONTH(F570,0)-1=F570,EOMONTH(F570,0)=F570)),IF(IF(AND(OR('депозитный калькулятор'!$G$7="30/365",'депозитный калькулятор'!$G$7="30/360"),DAY(EOMONTH($F$24,0))=31),F570=EOMONTH($F$24,0)-1,F570=EOMONTH($F$24,0)),SUM(OFFSET(Q570,-E570+1,0):Q570),SUM(OFFSET(Q570,-E570+1,0):Q570)),IF('депозитный калькулятор'!$G$10="ежеквартальное",IF(F570&gt;'депозитный калькулятор'!$D$8," ",IF(AND(EOMONTH(F570,0)=F570,OR(MONTH(F570)=3,MONTH(F570)=6,MONTH(F570)=9,MONTH(F570)=12)),IF(EDATE(F570,-3)&lt;'депозитный калькулятор'!$D$7,SUM($H$23:H570),IF(MOD(YEAR(F570),4)=0,IF(AND(EOMONTH(F570,0)=F570,OR(MONTH(F570)=3,MONTH(F570)=6)),SUM(OFFSET(H570,-90,0):H570),IF(AND(EOMONTH(F570,0)=F570,OR(MONTH(F570)=9,MONTH(F570)=12)),SUM(OFFSET(H570,-91,0):H570))),IF(AND(EOMONTH(F570,0)=F570,MONTH(F570)=3),SUM(OFFSET(H570,-89,0):H570),IF(AND(EOMONTH(F570,0)=F570,MONTH(F570)=6),SUM(OFFSET(H570,-90,0):H570),IF(AND(EOMONTH(F570,0)=F570,OR(MONTH(F570)=9,MONTH(F570)=12)),SUM(OFFSET(H570,-91,0):H570)))))),IF(F570='депозитный калькулятор'!$D$8,SUM($H$23:H570)-SUM($I$23:I569),0))),IF('депозитный калькулятор'!$G$10="ежегодное",IF(F570&gt;'депозитный калькулятор'!$D$8," ",IF(F570='депозитный калькулятор'!$D$8,SUM($H$23:H570)-SUM($I$23:I569),IF(AND(EOMONTH(F570,0)=F570,MONTH(F570)=12),IF(MOD(YEAR(F569),4)=0,IF(F570-'депозитный калькулятор'!$D$7&lt;366,SUM($H$23:H570),SUM(OFFSET(H570,-365,0):H570)),IF(F570-'депозитный калькулятор'!$D$7&lt;365,SUM($H$23:H570),SUM(OFFSET(H570,-364,0):H570))),0))),IF(AND('депозитный калькулятор'!$G$10="в конце срока",'депозитный калькулятор'!$D$8=F570),SUM($H$23:H570),0))))))))))))))))))</f>
        <v xml:space="preserve"> </v>
      </c>
      <c r="J570" s="59" t="str">
        <f>IF(F570&gt;'депозитный калькулятор'!$D$8," ",IF('депозитный калькулятор'!$G$16="нет",0,IF(AND('депозитный калькулятор'!$G$17="разовая (в конце срока)",F570='депозитный калькулятор'!$D$8),'депозитный калькулятор'!$G$18,IF(AND('депозитный калькулятор'!$G$17="ежемесячная",EOMONTH(F569,0)=F569),'депозитный калькулятор'!$G$18,IF(AND('депозитный калькулятор'!$G$17="ежегодная",DAY(F569)=31,MONTH(F569)=12),'депозитный калькулятор'!$G$18,IF(AND('депозитный калькулятор'!$G$17="ежемесячная в зависимости от остатка",EOMONTH(F569,0)=F569,P569&gt;0),'депозитный калькулятор'!$G$18,IF(AND('депозитный калькулятор'!$G$17="ежегодная в зависимости от остатка",DAY(F569)=31,MONTH(F569)=12,P569&gt;0),'депозитный калькулятор'!$G$18,0)))))))</f>
        <v xml:space="preserve"> </v>
      </c>
      <c r="K570" s="135" t="str">
        <f>IF($F570=" "," ",IFERROR(VLOOKUP($F570,'депозитный калькулятор'!$B$26:$F$70,2,0),0))</f>
        <v xml:space="preserve"> </v>
      </c>
      <c r="L570" s="135" t="str">
        <f>IF($F570=" "," ",IFERROR(VLOOKUP($F570,'депозитный калькулятор'!$B$26:$F$70,3,0),0))</f>
        <v xml:space="preserve"> </v>
      </c>
      <c r="M570" s="135" t="str">
        <f>IF($F570=" "," ",IFERROR(VLOOKUP($F570,'депозитный калькулятор'!$B$26:$F$70,4,0),0))</f>
        <v xml:space="preserve"> </v>
      </c>
      <c r="N570" s="135" t="str">
        <f>IF($F570=" "," ",IFERROR(VLOOKUP($F570,'депозитный калькулятор'!$B$26:$F$70,5,0),0))</f>
        <v xml:space="preserve"> </v>
      </c>
      <c r="O570" s="146" t="str">
        <f>IF(F570&gt;'депозитный калькулятор'!$D$8," ",IF(F570='депозитный калькулятор'!$D$8,IF(AND($F$24='депозитный калькулятор'!$D$8,'депозитный калькулятор'!$G$13="нет"),-G570-IF(I570=" ",0,I570)-IF(AND(OR('депозитный калькулятор'!$G$7="30/365",'депозитный калькулятор'!$G$7="30/360"),'депозитный калькулятор'!$G$10="в начале срока"),I569,0)-L570+M570-N570,-G570-IF(I570=" ",0,I570)-L570+M570-N570),IF('депозитный калькулятор'!$G$13="есть",M570-N570+IF('депозитный калькулятор'!$G$14="есть",0,-L570),-IF(I570=" ",0,I570)-IF(AND(OR('депозитный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срока"),I569,0)+M570-N570+IF('депозитный калькулятор'!$G$14="есть",0,-L570))))</f>
        <v xml:space="preserve"> </v>
      </c>
      <c r="P570" s="147" t="str">
        <f>IF(F570&gt;'депозитный калькулятор'!$D$8," ",IF(EOMONTH(F569,0)=F569,0,IF(G570&gt;='депозитный калькулятор'!$G$19,P569,P569+1)))</f>
        <v xml:space="preserve"> </v>
      </c>
      <c r="Q570" s="138" t="str">
        <f>IF(F570=" "," ",IF(AND(OR('депозитный калькулятор'!$G$7="30/365",'депозитный калькулятор'!$G$7="30/360"),AND(MONTH(F570)=2,EOMONTH(F570,0)=F570)),IF(DAY(F570)=28,3,2),1)*IF(G570&gt;='депозитный калькулятор'!$G$11,IF(AND('депозитный калькулятор'!$G$7="факт/факт",MOD(YEAR(F570),4)=0),G570*'депозитный калькулятор'!$D$11/366,G570*'депозитный калькулятор'!$G$8),0))</f>
        <v xml:space="preserve"> </v>
      </c>
      <c r="R570" s="158"/>
      <c r="S570" s="62" t="str">
        <f t="shared" ca="1" si="42"/>
        <v xml:space="preserve"> </v>
      </c>
      <c r="T570" s="149" t="str">
        <f ca="1">IF(S570=" "," ",IF('депозитный калькулятор'!$G$7="30/360",DAYS360(U569,IF(DAY(U570)=31,U570-1,U570))+IF(AND(MONTH(U570)=2,U570=EOMONTH(U570,0)),30-DAY(EOMONTH(U570,0)))+T569,VLOOKUP(S570,$C$22:$F$1023,2,0)))</f>
        <v xml:space="preserve"> </v>
      </c>
      <c r="U570" s="64" t="str">
        <f t="shared" ca="1" si="40"/>
        <v xml:space="preserve"> </v>
      </c>
      <c r="V570" s="150" t="str">
        <f t="shared" ca="1" si="43"/>
        <v xml:space="preserve"> </v>
      </c>
      <c r="W570" s="62" t="str">
        <f t="shared" ca="1" si="44"/>
        <v xml:space="preserve"> </v>
      </c>
      <c r="X570" s="141" t="str">
        <f ca="1">IF(S570=" "," ",IFERROR(VLOOKUP(U570,$F$23:$N$1023,7)+VLOOKUP(U570,$F$23:$N$1023,9)+IF(AND('депозитный калькулятор'!$G$13="нет",U570&lt;&gt;'депозитный калькулятор'!$D$8),VLOOKUP(U570,$F$23:$N$1023,4),0),0)+IF(U570='депозитный калькулятор'!$D$8,VLOOKUP(U570,$F$23:$N$1023,2)+VLOOKUP(U570,$F$23:$N$1023,4),0))</f>
        <v xml:space="preserve"> </v>
      </c>
      <c r="Y570" s="142" t="str">
        <f ca="1">IF(S570=" "," ",W570/(1+'депозитный калькулятор'!$K$8)^(T570/IF('депозитный калькулятор'!$G$7="30/360",360,365)))</f>
        <v xml:space="preserve"> </v>
      </c>
      <c r="Z570" s="142" t="str">
        <f ca="1">IF(S570=" "," ",X570/(1+'депозитный калькулятор'!$K$8)^(T570/IF('депозитный калькулятор'!$G$7="30/360",360,365)))</f>
        <v xml:space="preserve"> </v>
      </c>
      <c r="AA570" s="151"/>
      <c r="AB570" s="151"/>
      <c r="AC570" s="155"/>
      <c r="AD570" s="155"/>
    </row>
    <row r="571" spans="1:30" s="2" customFormat="1" ht="15.5" x14ac:dyDescent="0.35">
      <c r="A571" s="41" t="str">
        <f>IF(F571=" "," ",IF(OR('депозитный калькулятор'!$G$7="30/365",'депозитный калькулятор'!$G$7="30/360"),IF(AND(MONTH(F571)=2,DAY(F571)=DAY(EOMONTH(F571,0))),30-DAY(EOMONTH(F571,0)),IF(DAY(F571)=31,1," "))," "))</f>
        <v xml:space="preserve"> </v>
      </c>
      <c r="B571" s="130" t="str">
        <f t="shared" si="41"/>
        <v xml:space="preserve"> </v>
      </c>
      <c r="C571" s="130" t="str">
        <f>IF(OR(B571=0,B571=" ")," ",SUM($B$23:B571))</f>
        <v xml:space="preserve"> </v>
      </c>
      <c r="D571" s="62" t="str">
        <f>IF(D570=" "," ",IF(OR(F570='депозитный калькулятор'!$D$8,F570=" ")," ",D570+1))</f>
        <v xml:space="preserve"> </v>
      </c>
      <c r="E571" s="130" t="str">
        <f>IF(OR(F570='депозитный калькулятор'!$D$8,F570=" ")," ",IF(EOMONTH(F570,0)=F570,1,E570+1))</f>
        <v xml:space="preserve"> </v>
      </c>
      <c r="F571" s="64" t="str">
        <f>IF(F570=" "," ",IF(F570='депозитный калькулятор'!$D$8," ",F570+1))</f>
        <v xml:space="preserve"> </v>
      </c>
      <c r="G571" s="145" t="str">
        <f xml:space="preserve"> IF(F571&gt;'депозитный калькулятор'!$D$8," ",IF('депозитный калькулятор'!$G$13="есть",IF('депозитный калькулятор'!$G$14="есть",G570+IF(I570=" ",0,I570)-J571-K571+L571+M571-N571,G570+IF(I570=" ",0,I570)-J571-K571+M571-N571),IF('депозитный калькулятор'!$G$14="есть",G570-J571-K571+L571+M571-N571,G570-J571-K571+M571-N571)))</f>
        <v xml:space="preserve"> </v>
      </c>
      <c r="H571" s="133" t="str">
        <f>IF(F571&gt;'депозитный калькулятор'!$D$8," ",IF(AND(OR('депозитный калькулятор'!$G$7="30/365",'депозитный калькулятор'!$G$7="30/360"),AND(MONTH(F571)=2,EOMONTH(F571,0)=F571)),IF(DAY(F571)=28,3*G571*'депозитный калькулятор'!$G$8,2*G571*'депозитный калькулятор'!$G$8),IF(AND(OR('депозитный калькулятор'!$G$7="30/365",'депозитный калькулятор'!$G$7="30/360"),DAY(F571)=31)," ",IF(AND('депозитный калькулятор'!$G$7="факт/факт",MOD(YEAR(F571),4)=0),G571*'депозитный калькулятор'!$D$11/366,G571*'депозитный калькулятор'!$G$8))))</f>
        <v xml:space="preserve"> </v>
      </c>
      <c r="I571" s="134" t="str">
        <f ca="1">IF(F571=" "," ",IF('депозитный калькулятор'!$G$10="ежедневное",H571,IF(AND('депозитный калькулятор'!$G$10="еженедельное",WEEKDAY(F571,2)=7),SUM(OFFSET(H571,-6,0):H571),IF(AND('депозитный калькулятор'!$G$10="еженедельное",F571='депозитный калькулятор'!$D$8),SUM($H$23:H571)-SUM($I$23:I570),IF(AND('депозитный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недели",WEEKDAY(F571,2)=7),MIN(OFFSET(H571,-6,0):H571)*(COUNTIF(OFFSET(H571,-6,0):H571,"&gt;0")+SUMIF(OFFSET(A571,-WEEKDAY(F571,2),0):A571,"=2",OFFSET(A571,-WEEKDAY(F571,2),0):A571)),IF(AND('депозитный калькулятор'!$G$10="еженедельное, на минимальную сумму зафиксированную в течение недели",F571='депозитный калькулятор'!$D$8,WEEKDAY(F571,2)&lt;&gt;7),MIN(OFFSET(H571,-WEEKDAY(F571,2),0):H571)*(COUNTIF(OFFSET(H571,-WEEKDAY(F571,2)+1,0):H571,"&gt;0")+SUM(OFFSET(A571,-WEEKDAY(F571,2),0):A571)),IF(AND('депозитный калькулятор'!$G$10="ежемесячное (в конце месяца)",F571='депозитный калькулятор'!$D$8,EOMONTH(F571,0)&lt;&gt;F571),IF('депозитный калькулятор'!$F$1=1,$H$24,SUM($H$23:H571)-SUM($I$23:I570)),IF(AND('депозитный калькулятор'!$G$10="ежемесячное (в конце месяца)",EOMONTH(F571,0)=F571),SUM($H$23:H571)-SUM($I$23:I570),IF(AND('депозитный калькулятор'!$G$10="ежемесячное (по дням открытия вклада)",F571='депозитный калькулятор'!$D$8,DAY('депозитный калькулятор'!$D$7)&lt;&gt;DAY(F571)),IF('депозитный калькулятор'!$F$1=1,$H$24,SUM($H$23:H571)-SUM($I$23:I570)),IF(AND('депозитный калькулятор'!$G$10="ежемесячное (по дням открытия вклада)",DAY('депозитный калькулятор'!$D$7)=DAY(F571)),SUM($H$23:H571)-SUM($I$23:I570),IF(AND('депозитный калькулятор'!$G$10="ежемесячное, на минимальную сумму зафиксированную в течение месяца",F571='депозитный калькулятор'!$D$8,EOMONTH(F571,0)&lt;&gt;F571),IF('депозитный калькулятор'!$F$1=1,$H$24,IF(AND(OR('депозитный калькулятор'!$G$7="30/365",'депозитный калькулятор'!$G$7="30/360"),DAY(F571)=31),0,MIN(OFFSET(H571,-E571+1,0):H571)*(E571+SUMIF(OFFSET(A571,-E571+1,0):A571,"=2",OFFSET(A571,-E571+1,0):A571)))),IF(AND('депозитный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калькулятор'!$G$7="30/360"),DAY(EOMONTH(F571,0))=31),EOMONTH(F571,0)-1=F571,EOMONTH(F571,0)=F571)),IF(IF(AND(OR('депозитный калькулятор'!$G$7="30/365",'депозитный калькулятор'!$G$7="30/360"),DAY(EOMONTH($F$23,0))=31),F571=EOMONTH($F$23,0)-1,F571=EOMONTH($F$23,0)),MIN(OFFSET(H571,-(DAY(F571)-DAY($F$23)),0):H571)*E571,MIN(OFFSET(H571,-(DAY(F571)-1),0):H571)*IF(AND(OR('депозитный калькулятор'!$G$7="30/365",'депозитный калькулятор'!$G$7="30/360"),DAY(F571)&lt;30),30,DAY(F571))),IF(AND('депозитный калькулятор'!$G$10="ежемесячное, на средний остаток в течение месяца, при условии что остаток больше чем ограничение",F571='депозитный калькулятор'!$D$8,EOMONTH(F571,0)&lt;&gt;F571),IF('депозитный калькулятор'!$F$1=1,$H$24,SUM(OFFSET(Q571,-E571+1,0):Q571)),IF(AND('депозитный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калькулятор'!$G$7="30/360"),DAY(EOMONTH(F571,0))=31),EOMONTH(F571,0)-1=F571,EOMONTH(F571,0)=F571)),IF(IF(AND(OR('депозитный калькулятор'!$G$7="30/365",'депозитный калькулятор'!$G$7="30/360"),DAY(EOMONTH($F$24,0))=31),F571=EOMONTH($F$24,0)-1,F571=EOMONTH($F$24,0)),SUM(OFFSET(Q571,-E571+1,0):Q571),SUM(OFFSET(Q571,-E571+1,0):Q571)),IF('депозитный калькулятор'!$G$10="ежеквартальное",IF(F571&gt;'депозитный калькулятор'!$D$8," ",IF(AND(EOMONTH(F571,0)=F571,OR(MONTH(F571)=3,MONTH(F571)=6,MONTH(F571)=9,MONTH(F571)=12)),IF(EDATE(F571,-3)&lt;'депозитный калькулятор'!$D$7,SUM($H$23:H571),IF(MOD(YEAR(F571),4)=0,IF(AND(EOMONTH(F571,0)=F571,OR(MONTH(F571)=3,MONTH(F571)=6)),SUM(OFFSET(H571,-90,0):H571),IF(AND(EOMONTH(F571,0)=F571,OR(MONTH(F571)=9,MONTH(F571)=12)),SUM(OFFSET(H571,-91,0):H571))),IF(AND(EOMONTH(F571,0)=F571,MONTH(F571)=3),SUM(OFFSET(H571,-89,0):H571),IF(AND(EOMONTH(F571,0)=F571,MONTH(F571)=6),SUM(OFFSET(H571,-90,0):H571),IF(AND(EOMONTH(F571,0)=F571,OR(MONTH(F571)=9,MONTH(F571)=12)),SUM(OFFSET(H571,-91,0):H571)))))),IF(F571='депозитный калькулятор'!$D$8,SUM($H$23:H571)-SUM($I$23:I570),0))),IF('депозитный калькулятор'!$G$10="ежегодное",IF(F571&gt;'депозитный калькулятор'!$D$8," ",IF(F571='депозитный калькулятор'!$D$8,SUM($H$23:H571)-SUM($I$23:I570),IF(AND(EOMONTH(F571,0)=F571,MONTH(F571)=12),IF(MOD(YEAR(F570),4)=0,IF(F571-'депозитный калькулятор'!$D$7&lt;366,SUM($H$23:H571),SUM(OFFSET(H571,-365,0):H571)),IF(F571-'депозитный калькулятор'!$D$7&lt;365,SUM($H$23:H571),SUM(OFFSET(H571,-364,0):H571))),0))),IF(AND('депозитный калькулятор'!$G$10="в конце срока",'депозитный калькулятор'!$D$8=F571),SUM($H$23:H571),0))))))))))))))))))</f>
        <v xml:space="preserve"> </v>
      </c>
      <c r="J571" s="59" t="str">
        <f>IF(F571&gt;'депозитный калькулятор'!$D$8," ",IF('депозитный калькулятор'!$G$16="нет",0,IF(AND('депозитный калькулятор'!$G$17="разовая (в конце срока)",F571='депозитный калькулятор'!$D$8),'депозитный калькулятор'!$G$18,IF(AND('депозитный калькулятор'!$G$17="ежемесячная",EOMONTH(F570,0)=F570),'депозитный калькулятор'!$G$18,IF(AND('депозитный калькулятор'!$G$17="ежегодная",DAY(F570)=31,MONTH(F570)=12),'депозитный калькулятор'!$G$18,IF(AND('депозитный калькулятор'!$G$17="ежемесячная в зависимости от остатка",EOMONTH(F570,0)=F570,P570&gt;0),'депозитный калькулятор'!$G$18,IF(AND('депозитный калькулятор'!$G$17="ежегодная в зависимости от остатка",DAY(F570)=31,MONTH(F570)=12,P570&gt;0),'депозитный калькулятор'!$G$18,0)))))))</f>
        <v xml:space="preserve"> </v>
      </c>
      <c r="K571" s="135" t="str">
        <f>IF($F571=" "," ",IFERROR(VLOOKUP($F571,'депозитный калькулятор'!$B$26:$F$70,2,0),0))</f>
        <v xml:space="preserve"> </v>
      </c>
      <c r="L571" s="135" t="str">
        <f>IF($F571=" "," ",IFERROR(VLOOKUP($F571,'депозитный калькулятор'!$B$26:$F$70,3,0),0))</f>
        <v xml:space="preserve"> </v>
      </c>
      <c r="M571" s="135" t="str">
        <f>IF($F571=" "," ",IFERROR(VLOOKUP($F571,'депозитный калькулятор'!$B$26:$F$70,4,0),0))</f>
        <v xml:space="preserve"> </v>
      </c>
      <c r="N571" s="135" t="str">
        <f>IF($F571=" "," ",IFERROR(VLOOKUP($F571,'депозитный калькулятор'!$B$26:$F$70,5,0),0))</f>
        <v xml:space="preserve"> </v>
      </c>
      <c r="O571" s="146" t="str">
        <f>IF(F571&gt;'депозитный калькулятор'!$D$8," ",IF(F571='депозитный калькулятор'!$D$8,IF(AND($F$24='депозитный калькулятор'!$D$8,'депозитный калькулятор'!$G$13="нет"),-G571-IF(I571=" ",0,I571)-IF(AND(OR('депозитный калькулятор'!$G$7="30/365",'депозитный калькулятор'!$G$7="30/360"),'депозитный калькулятор'!$G$10="в начале срока"),I570,0)-L571+M571-N571,-G571-IF(I571=" ",0,I571)-L571+M571-N571),IF('депозитный калькулятор'!$G$13="есть",M571-N571+IF('депозитный калькулятор'!$G$14="есть",0,-L571),-IF(I571=" ",0,I571)-IF(AND(OR('депозитный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срока"),I570,0)+M571-N571+IF('депозитный калькулятор'!$G$14="есть",0,-L571))))</f>
        <v xml:space="preserve"> </v>
      </c>
      <c r="P571" s="147" t="str">
        <f>IF(F571&gt;'депозитный калькулятор'!$D$8," ",IF(EOMONTH(F570,0)=F570,0,IF(G571&gt;='депозитный калькулятор'!$G$19,P570,P570+1)))</f>
        <v xml:space="preserve"> </v>
      </c>
      <c r="Q571" s="138" t="str">
        <f>IF(F571=" "," ",IF(AND(OR('депозитный калькулятор'!$G$7="30/365",'депозитный калькулятор'!$G$7="30/360"),AND(MONTH(F571)=2,EOMONTH(F571,0)=F571)),IF(DAY(F571)=28,3,2),1)*IF(G571&gt;='депозитный калькулятор'!$G$11,IF(AND('депозитный калькулятор'!$G$7="факт/факт",MOD(YEAR(F571),4)=0),G571*'депозитный калькулятор'!$D$11/366,G571*'депозитный калькулятор'!$G$8),0))</f>
        <v xml:space="preserve"> </v>
      </c>
      <c r="R571" s="158"/>
      <c r="S571" s="62" t="str">
        <f t="shared" ca="1" si="42"/>
        <v xml:space="preserve"> </v>
      </c>
      <c r="T571" s="149" t="str">
        <f ca="1">IF(S571=" "," ",IF('депозитный калькулятор'!$G$7="30/360",DAYS360(U570,IF(DAY(U571)=31,U571-1,U571))+IF(AND(MONTH(U571)=2,U571=EOMONTH(U571,0)),30-DAY(EOMONTH(U571,0)))+T570,VLOOKUP(S571,$C$22:$F$1023,2,0)))</f>
        <v xml:space="preserve"> </v>
      </c>
      <c r="U571" s="64" t="str">
        <f t="shared" ca="1" si="40"/>
        <v xml:space="preserve"> </v>
      </c>
      <c r="V571" s="150" t="str">
        <f t="shared" ca="1" si="43"/>
        <v xml:space="preserve"> </v>
      </c>
      <c r="W571" s="62" t="str">
        <f t="shared" ca="1" si="44"/>
        <v xml:space="preserve"> </v>
      </c>
      <c r="X571" s="141" t="str">
        <f ca="1">IF(S571=" "," ",IFERROR(VLOOKUP(U571,$F$23:$N$1023,7)+VLOOKUP(U571,$F$23:$N$1023,9)+IF(AND('депозитный калькулятор'!$G$13="нет",U571&lt;&gt;'депозитный калькулятор'!$D$8),VLOOKUP(U571,$F$23:$N$1023,4),0),0)+IF(U571='депозитный калькулятор'!$D$8,VLOOKUP(U571,$F$23:$N$1023,2)+VLOOKUP(U571,$F$23:$N$1023,4),0))</f>
        <v xml:space="preserve"> </v>
      </c>
      <c r="Y571" s="142" t="str">
        <f ca="1">IF(S571=" "," ",W571/(1+'депозитный калькулятор'!$K$8)^(T571/IF('депозитный калькулятор'!$G$7="30/360",360,365)))</f>
        <v xml:space="preserve"> </v>
      </c>
      <c r="Z571" s="142" t="str">
        <f ca="1">IF(S571=" "," ",X571/(1+'депозитный калькулятор'!$K$8)^(T571/IF('депозитный калькулятор'!$G$7="30/360",360,365)))</f>
        <v xml:space="preserve"> </v>
      </c>
      <c r="AA571" s="151"/>
      <c r="AB571" s="151"/>
      <c r="AC571" s="155"/>
      <c r="AD571" s="155"/>
    </row>
    <row r="572" spans="1:30" s="2" customFormat="1" ht="15.5" x14ac:dyDescent="0.35">
      <c r="A572" s="41" t="str">
        <f>IF(F572=" "," ",IF(OR('депозитный калькулятор'!$G$7="30/365",'депозитный калькулятор'!$G$7="30/360"),IF(AND(MONTH(F572)=2,DAY(F572)=DAY(EOMONTH(F572,0))),30-DAY(EOMONTH(F572,0)),IF(DAY(F572)=31,1," "))," "))</f>
        <v xml:space="preserve"> </v>
      </c>
      <c r="B572" s="130" t="str">
        <f t="shared" si="41"/>
        <v xml:space="preserve"> </v>
      </c>
      <c r="C572" s="130" t="str">
        <f>IF(OR(B572=0,B572=" ")," ",SUM($B$23:B572))</f>
        <v xml:space="preserve"> </v>
      </c>
      <c r="D572" s="62" t="str">
        <f>IF(D571=" "," ",IF(OR(F571='депозитный калькулятор'!$D$8,F571=" ")," ",D571+1))</f>
        <v xml:space="preserve"> </v>
      </c>
      <c r="E572" s="130" t="str">
        <f>IF(OR(F571='депозитный калькулятор'!$D$8,F571=" ")," ",IF(EOMONTH(F571,0)=F571,1,E571+1))</f>
        <v xml:space="preserve"> </v>
      </c>
      <c r="F572" s="64" t="str">
        <f>IF(F571=" "," ",IF(F571='депозитный калькулятор'!$D$8," ",F571+1))</f>
        <v xml:space="preserve"> </v>
      </c>
      <c r="G572" s="145" t="str">
        <f xml:space="preserve"> IF(F572&gt;'депозитный калькулятор'!$D$8," ",IF('депозитный калькулятор'!$G$13="есть",IF('депозитный калькулятор'!$G$14="есть",G571+IF(I571=" ",0,I571)-J572-K572+L572+M572-N572,G571+IF(I571=" ",0,I571)-J572-K572+M572-N572),IF('депозитный калькулятор'!$G$14="есть",G571-J572-K572+L572+M572-N572,G571-J572-K572+M572-N572)))</f>
        <v xml:space="preserve"> </v>
      </c>
      <c r="H572" s="133" t="str">
        <f>IF(F572&gt;'депозитный калькулятор'!$D$8," ",IF(AND(OR('депозитный калькулятор'!$G$7="30/365",'депозитный калькулятор'!$G$7="30/360"),AND(MONTH(F572)=2,EOMONTH(F572,0)=F572)),IF(DAY(F572)=28,3*G572*'депозитный калькулятор'!$G$8,2*G572*'депозитный калькулятор'!$G$8),IF(AND(OR('депозитный калькулятор'!$G$7="30/365",'депозитный калькулятор'!$G$7="30/360"),DAY(F572)=31)," ",IF(AND('депозитный калькулятор'!$G$7="факт/факт",MOD(YEAR(F572),4)=0),G572*'депозитный калькулятор'!$D$11/366,G572*'депозитный калькулятор'!$G$8))))</f>
        <v xml:space="preserve"> </v>
      </c>
      <c r="I572" s="134" t="str">
        <f ca="1">IF(F572=" "," ",IF('депозитный калькулятор'!$G$10="ежедневное",H572,IF(AND('депозитный калькулятор'!$G$10="еженедельное",WEEKDAY(F572,2)=7),SUM(OFFSET(H572,-6,0):H572),IF(AND('депозитный калькулятор'!$G$10="еженедельное",F572='депозитный калькулятор'!$D$8),SUM($H$23:H572)-SUM($I$23:I571),IF(AND('депозитный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недели",WEEKDAY(F572,2)=7),MIN(OFFSET(H572,-6,0):H572)*(COUNTIF(OFFSET(H572,-6,0):H572,"&gt;0")+SUMIF(OFFSET(A572,-WEEKDAY(F572,2),0):A572,"=2",OFFSET(A572,-WEEKDAY(F572,2),0):A572)),IF(AND('депозитный калькулятор'!$G$10="еженедельное, на минимальную сумму зафиксированную в течение недели",F572='депозитный калькулятор'!$D$8,WEEKDAY(F572,2)&lt;&gt;7),MIN(OFFSET(H572,-WEEKDAY(F572,2),0):H572)*(COUNTIF(OFFSET(H572,-WEEKDAY(F572,2)+1,0):H572,"&gt;0")+SUM(OFFSET(A572,-WEEKDAY(F572,2),0):A572)),IF(AND('депозитный калькулятор'!$G$10="ежемесячное (в конце месяца)",F572='депозитный калькулятор'!$D$8,EOMONTH(F572,0)&lt;&gt;F572),IF('депозитный калькулятор'!$F$1=1,$H$24,SUM($H$23:H572)-SUM($I$23:I571)),IF(AND('депозитный калькулятор'!$G$10="ежемесячное (в конце месяца)",EOMONTH(F572,0)=F572),SUM($H$23:H572)-SUM($I$23:I571),IF(AND('депозитный калькулятор'!$G$10="ежемесячное (по дням открытия вклада)",F572='депозитный калькулятор'!$D$8,DAY('депозитный калькулятор'!$D$7)&lt;&gt;DAY(F572)),IF('депозитный калькулятор'!$F$1=1,$H$24,SUM($H$23:H572)-SUM($I$23:I571)),IF(AND('депозитный калькулятор'!$G$10="ежемесячное (по дням открытия вклада)",DAY('депозитный калькулятор'!$D$7)=DAY(F572)),SUM($H$23:H572)-SUM($I$23:I571),IF(AND('депозитный калькулятор'!$G$10="ежемесячное, на минимальную сумму зафиксированную в течение месяца",F572='депозитный калькулятор'!$D$8,EOMONTH(F572,0)&lt;&gt;F572),IF('депозитный калькулятор'!$F$1=1,$H$24,IF(AND(OR('депозитный калькулятор'!$G$7="30/365",'депозитный калькулятор'!$G$7="30/360"),DAY(F572)=31),0,MIN(OFFSET(H572,-E572+1,0):H572)*(E572+SUMIF(OFFSET(A572,-E572+1,0):A572,"=2",OFFSET(A572,-E572+1,0):A572)))),IF(AND('депозитный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калькулятор'!$G$7="30/360"),DAY(EOMONTH(F572,0))=31),EOMONTH(F572,0)-1=F572,EOMONTH(F572,0)=F572)),IF(IF(AND(OR('депозитный калькулятор'!$G$7="30/365",'депозитный калькулятор'!$G$7="30/360"),DAY(EOMONTH($F$23,0))=31),F572=EOMONTH($F$23,0)-1,F572=EOMONTH($F$23,0)),MIN(OFFSET(H572,-(DAY(F572)-DAY($F$23)),0):H572)*E572,MIN(OFFSET(H572,-(DAY(F572)-1),0):H572)*IF(AND(OR('депозитный калькулятор'!$G$7="30/365",'депозитный калькулятор'!$G$7="30/360"),DAY(F572)&lt;30),30,DAY(F572))),IF(AND('депозитный калькулятор'!$G$10="ежемесячное, на средний остаток в течение месяца, при условии что остаток больше чем ограничение",F572='депозитный калькулятор'!$D$8,EOMONTH(F572,0)&lt;&gt;F572),IF('депозитный калькулятор'!$F$1=1,$H$24,SUM(OFFSET(Q572,-E572+1,0):Q572)),IF(AND('депозитный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калькулятор'!$G$7="30/360"),DAY(EOMONTH(F572,0))=31),EOMONTH(F572,0)-1=F572,EOMONTH(F572,0)=F572)),IF(IF(AND(OR('депозитный калькулятор'!$G$7="30/365",'депозитный калькулятор'!$G$7="30/360"),DAY(EOMONTH($F$24,0))=31),F572=EOMONTH($F$24,0)-1,F572=EOMONTH($F$24,0)),SUM(OFFSET(Q572,-E572+1,0):Q572),SUM(OFFSET(Q572,-E572+1,0):Q572)),IF('депозитный калькулятор'!$G$10="ежеквартальное",IF(F572&gt;'депозитный калькулятор'!$D$8," ",IF(AND(EOMONTH(F572,0)=F572,OR(MONTH(F572)=3,MONTH(F572)=6,MONTH(F572)=9,MONTH(F572)=12)),IF(EDATE(F572,-3)&lt;'депозитный калькулятор'!$D$7,SUM($H$23:H572),IF(MOD(YEAR(F572),4)=0,IF(AND(EOMONTH(F572,0)=F572,OR(MONTH(F572)=3,MONTH(F572)=6)),SUM(OFFSET(H572,-90,0):H572),IF(AND(EOMONTH(F572,0)=F572,OR(MONTH(F572)=9,MONTH(F572)=12)),SUM(OFFSET(H572,-91,0):H572))),IF(AND(EOMONTH(F572,0)=F572,MONTH(F572)=3),SUM(OFFSET(H572,-89,0):H572),IF(AND(EOMONTH(F572,0)=F572,MONTH(F572)=6),SUM(OFFSET(H572,-90,0):H572),IF(AND(EOMONTH(F572,0)=F572,OR(MONTH(F572)=9,MONTH(F572)=12)),SUM(OFFSET(H572,-91,0):H572)))))),IF(F572='депозитный калькулятор'!$D$8,SUM($H$23:H572)-SUM($I$23:I571),0))),IF('депозитный калькулятор'!$G$10="ежегодное",IF(F572&gt;'депозитный калькулятор'!$D$8," ",IF(F572='депозитный калькулятор'!$D$8,SUM($H$23:H572)-SUM($I$23:I571),IF(AND(EOMONTH(F572,0)=F572,MONTH(F572)=12),IF(MOD(YEAR(F571),4)=0,IF(F572-'депозитный калькулятор'!$D$7&lt;366,SUM($H$23:H572),SUM(OFFSET(H572,-365,0):H572)),IF(F572-'депозитный калькулятор'!$D$7&lt;365,SUM($H$23:H572),SUM(OFFSET(H572,-364,0):H572))),0))),IF(AND('депозитный калькулятор'!$G$10="в конце срока",'депозитный калькулятор'!$D$8=F572),SUM($H$23:H572),0))))))))))))))))))</f>
        <v xml:space="preserve"> </v>
      </c>
      <c r="J572" s="59" t="str">
        <f>IF(F572&gt;'депозитный калькулятор'!$D$8," ",IF('депозитный калькулятор'!$G$16="нет",0,IF(AND('депозитный калькулятор'!$G$17="разовая (в конце срока)",F572='депозитный калькулятор'!$D$8),'депозитный калькулятор'!$G$18,IF(AND('депозитный калькулятор'!$G$17="ежемесячная",EOMONTH(F571,0)=F571),'депозитный калькулятор'!$G$18,IF(AND('депозитный калькулятор'!$G$17="ежегодная",DAY(F571)=31,MONTH(F571)=12),'депозитный калькулятор'!$G$18,IF(AND('депозитный калькулятор'!$G$17="ежемесячная в зависимости от остатка",EOMONTH(F571,0)=F571,P571&gt;0),'депозитный калькулятор'!$G$18,IF(AND('депозитный калькулятор'!$G$17="ежегодная в зависимости от остатка",DAY(F571)=31,MONTH(F571)=12,P571&gt;0),'депозитный калькулятор'!$G$18,0)))))))</f>
        <v xml:space="preserve"> </v>
      </c>
      <c r="K572" s="135" t="str">
        <f>IF($F572=" "," ",IFERROR(VLOOKUP($F572,'депозитный калькулятор'!$B$26:$F$70,2,0),0))</f>
        <v xml:space="preserve"> </v>
      </c>
      <c r="L572" s="135" t="str">
        <f>IF($F572=" "," ",IFERROR(VLOOKUP($F572,'депозитный калькулятор'!$B$26:$F$70,3,0),0))</f>
        <v xml:space="preserve"> </v>
      </c>
      <c r="M572" s="135" t="str">
        <f>IF($F572=" "," ",IFERROR(VLOOKUP($F572,'депозитный калькулятор'!$B$26:$F$70,4,0),0))</f>
        <v xml:space="preserve"> </v>
      </c>
      <c r="N572" s="135" t="str">
        <f>IF($F572=" "," ",IFERROR(VLOOKUP($F572,'депозитный калькулятор'!$B$26:$F$70,5,0),0))</f>
        <v xml:space="preserve"> </v>
      </c>
      <c r="O572" s="146" t="str">
        <f>IF(F572&gt;'депозитный калькулятор'!$D$8," ",IF(F572='депозитный калькулятор'!$D$8,IF(AND($F$24='депозитный калькулятор'!$D$8,'депозитный калькулятор'!$G$13="нет"),-G572-IF(I572=" ",0,I572)-IF(AND(OR('депозитный калькулятор'!$G$7="30/365",'депозитный калькулятор'!$G$7="30/360"),'депозитный калькулятор'!$G$10="в начале срока"),I571,0)-L572+M572-N572,-G572-IF(I572=" ",0,I572)-L572+M572-N572),IF('депозитный калькулятор'!$G$13="есть",M572-N572+IF('депозитный калькулятор'!$G$14="есть",0,-L572),-IF(I572=" ",0,I572)-IF(AND(OR('депозитный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срока"),I571,0)+M572-N572+IF('депозитный калькулятор'!$G$14="есть",0,-L572))))</f>
        <v xml:space="preserve"> </v>
      </c>
      <c r="P572" s="147" t="str">
        <f>IF(F572&gt;'депозитный калькулятор'!$D$8," ",IF(EOMONTH(F571,0)=F571,0,IF(G572&gt;='депозитный калькулятор'!$G$19,P571,P571+1)))</f>
        <v xml:space="preserve"> </v>
      </c>
      <c r="Q572" s="138" t="str">
        <f>IF(F572=" "," ",IF(AND(OR('депозитный калькулятор'!$G$7="30/365",'депозитный калькулятор'!$G$7="30/360"),AND(MONTH(F572)=2,EOMONTH(F572,0)=F572)),IF(DAY(F572)=28,3,2),1)*IF(G572&gt;='депозитный калькулятор'!$G$11,IF(AND('депозитный калькулятор'!$G$7="факт/факт",MOD(YEAR(F572),4)=0),G572*'депозитный калькулятор'!$D$11/366,G572*'депозитный калькулятор'!$G$8),0))</f>
        <v xml:space="preserve"> </v>
      </c>
      <c r="R572" s="158"/>
      <c r="S572" s="62" t="str">
        <f t="shared" ca="1" si="42"/>
        <v xml:space="preserve"> </v>
      </c>
      <c r="T572" s="149" t="str">
        <f ca="1">IF(S572=" "," ",IF('депозитный калькулятор'!$G$7="30/360",DAYS360(U571,IF(DAY(U572)=31,U572-1,U572))+IF(AND(MONTH(U572)=2,U572=EOMONTH(U572,0)),30-DAY(EOMONTH(U572,0)))+T571,VLOOKUP(S572,$C$22:$F$1023,2,0)))</f>
        <v xml:space="preserve"> </v>
      </c>
      <c r="U572" s="64" t="str">
        <f t="shared" ca="1" si="40"/>
        <v xml:space="preserve"> </v>
      </c>
      <c r="V572" s="150" t="str">
        <f t="shared" ca="1" si="43"/>
        <v xml:space="preserve"> </v>
      </c>
      <c r="W572" s="62" t="str">
        <f t="shared" ca="1" si="44"/>
        <v xml:space="preserve"> </v>
      </c>
      <c r="X572" s="141" t="str">
        <f ca="1">IF(S572=" "," ",IFERROR(VLOOKUP(U572,$F$23:$N$1023,7)+VLOOKUP(U572,$F$23:$N$1023,9)+IF(AND('депозитный калькулятор'!$G$13="нет",U572&lt;&gt;'депозитный калькулятор'!$D$8),VLOOKUP(U572,$F$23:$N$1023,4),0),0)+IF(U572='депозитный калькулятор'!$D$8,VLOOKUP(U572,$F$23:$N$1023,2)+VLOOKUP(U572,$F$23:$N$1023,4),0))</f>
        <v xml:space="preserve"> </v>
      </c>
      <c r="Y572" s="142" t="str">
        <f ca="1">IF(S572=" "," ",W572/(1+'депозитный калькулятор'!$K$8)^(T572/IF('депозитный калькулятор'!$G$7="30/360",360,365)))</f>
        <v xml:space="preserve"> </v>
      </c>
      <c r="Z572" s="142" t="str">
        <f ca="1">IF(S572=" "," ",X572/(1+'депозитный калькулятор'!$K$8)^(T572/IF('депозитный калькулятор'!$G$7="30/360",360,365)))</f>
        <v xml:space="preserve"> </v>
      </c>
      <c r="AA572" s="151"/>
      <c r="AB572" s="151"/>
      <c r="AC572" s="155"/>
      <c r="AD572" s="155"/>
    </row>
    <row r="573" spans="1:30" s="2" customFormat="1" ht="15.5" x14ac:dyDescent="0.35">
      <c r="A573" s="41" t="str">
        <f>IF(F573=" "," ",IF(OR('депозитный калькулятор'!$G$7="30/365",'депозитный калькулятор'!$G$7="30/360"),IF(AND(MONTH(F573)=2,DAY(F573)=DAY(EOMONTH(F573,0))),30-DAY(EOMONTH(F573,0)),IF(DAY(F573)=31,1," "))," "))</f>
        <v xml:space="preserve"> </v>
      </c>
      <c r="B573" s="130" t="str">
        <f t="shared" si="41"/>
        <v xml:space="preserve"> </v>
      </c>
      <c r="C573" s="130" t="str">
        <f>IF(OR(B573=0,B573=" ")," ",SUM($B$23:B573))</f>
        <v xml:space="preserve"> </v>
      </c>
      <c r="D573" s="62" t="str">
        <f>IF(D572=" "," ",IF(OR(F572='депозитный калькулятор'!$D$8,F572=" ")," ",D572+1))</f>
        <v xml:space="preserve"> </v>
      </c>
      <c r="E573" s="130" t="str">
        <f>IF(OR(F572='депозитный калькулятор'!$D$8,F572=" ")," ",IF(EOMONTH(F572,0)=F572,1,E572+1))</f>
        <v xml:space="preserve"> </v>
      </c>
      <c r="F573" s="64" t="str">
        <f>IF(F572=" "," ",IF(F572='депозитный калькулятор'!$D$8," ",F572+1))</f>
        <v xml:space="preserve"> </v>
      </c>
      <c r="G573" s="145" t="str">
        <f xml:space="preserve"> IF(F573&gt;'депозитный калькулятор'!$D$8," ",IF('депозитный калькулятор'!$G$13="есть",IF('депозитный калькулятор'!$G$14="есть",G572+IF(I572=" ",0,I572)-J573-K573+L573+M573-N573,G572+IF(I572=" ",0,I572)-J573-K573+M573-N573),IF('депозитный калькулятор'!$G$14="есть",G572-J573-K573+L573+M573-N573,G572-J573-K573+M573-N573)))</f>
        <v xml:space="preserve"> </v>
      </c>
      <c r="H573" s="133" t="str">
        <f>IF(F573&gt;'депозитный калькулятор'!$D$8," ",IF(AND(OR('депозитный калькулятор'!$G$7="30/365",'депозитный калькулятор'!$G$7="30/360"),AND(MONTH(F573)=2,EOMONTH(F573,0)=F573)),IF(DAY(F573)=28,3*G573*'депозитный калькулятор'!$G$8,2*G573*'депозитный калькулятор'!$G$8),IF(AND(OR('депозитный калькулятор'!$G$7="30/365",'депозитный калькулятор'!$G$7="30/360"),DAY(F573)=31)," ",IF(AND('депозитный калькулятор'!$G$7="факт/факт",MOD(YEAR(F573),4)=0),G573*'депозитный калькулятор'!$D$11/366,G573*'депозитный калькулятор'!$G$8))))</f>
        <v xml:space="preserve"> </v>
      </c>
      <c r="I573" s="134" t="str">
        <f ca="1">IF(F573=" "," ",IF('депозитный калькулятор'!$G$10="ежедневное",H573,IF(AND('депозитный калькулятор'!$G$10="еженедельное",WEEKDAY(F573,2)=7),SUM(OFFSET(H573,-6,0):H573),IF(AND('депозитный калькулятор'!$G$10="еженедельное",F573='депозитный калькулятор'!$D$8),SUM($H$23:H573)-SUM($I$23:I572),IF(AND('депозитный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недели",WEEKDAY(F573,2)=7),MIN(OFFSET(H573,-6,0):H573)*(COUNTIF(OFFSET(H573,-6,0):H573,"&gt;0")+SUMIF(OFFSET(A573,-WEEKDAY(F573,2),0):A573,"=2",OFFSET(A573,-WEEKDAY(F573,2),0):A573)),IF(AND('депозитный калькулятор'!$G$10="еженедельное, на минимальную сумму зафиксированную в течение недели",F573='депозитный калькулятор'!$D$8,WEEKDAY(F573,2)&lt;&gt;7),MIN(OFFSET(H573,-WEEKDAY(F573,2),0):H573)*(COUNTIF(OFFSET(H573,-WEEKDAY(F573,2)+1,0):H573,"&gt;0")+SUM(OFFSET(A573,-WEEKDAY(F573,2),0):A573)),IF(AND('депозитный калькулятор'!$G$10="ежемесячное (в конце месяца)",F573='депозитный калькулятор'!$D$8,EOMONTH(F573,0)&lt;&gt;F573),IF('депозитный калькулятор'!$F$1=1,$H$24,SUM($H$23:H573)-SUM($I$23:I572)),IF(AND('депозитный калькулятор'!$G$10="ежемесячное (в конце месяца)",EOMONTH(F573,0)=F573),SUM($H$23:H573)-SUM($I$23:I572),IF(AND('депозитный калькулятор'!$G$10="ежемесячное (по дням открытия вклада)",F573='депозитный калькулятор'!$D$8,DAY('депозитный калькулятор'!$D$7)&lt;&gt;DAY(F573)),IF('депозитный калькулятор'!$F$1=1,$H$24,SUM($H$23:H573)-SUM($I$23:I572)),IF(AND('депозитный калькулятор'!$G$10="ежемесячное (по дням открытия вклада)",DAY('депозитный калькулятор'!$D$7)=DAY(F573)),SUM($H$23:H573)-SUM($I$23:I572),IF(AND('депозитный калькулятор'!$G$10="ежемесячное, на минимальную сумму зафиксированную в течение месяца",F573='депозитный калькулятор'!$D$8,EOMONTH(F573,0)&lt;&gt;F573),IF('депозитный калькулятор'!$F$1=1,$H$24,IF(AND(OR('депозитный калькулятор'!$G$7="30/365",'депозитный калькулятор'!$G$7="30/360"),DAY(F573)=31),0,MIN(OFFSET(H573,-E573+1,0):H573)*(E573+SUMIF(OFFSET(A573,-E573+1,0):A573,"=2",OFFSET(A573,-E573+1,0):A573)))),IF(AND('депозитный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калькулятор'!$G$7="30/360"),DAY(EOMONTH(F573,0))=31),EOMONTH(F573,0)-1=F573,EOMONTH(F573,0)=F573)),IF(IF(AND(OR('депозитный калькулятор'!$G$7="30/365",'депозитный калькулятор'!$G$7="30/360"),DAY(EOMONTH($F$23,0))=31),F573=EOMONTH($F$23,0)-1,F573=EOMONTH($F$23,0)),MIN(OFFSET(H573,-(DAY(F573)-DAY($F$23)),0):H573)*E573,MIN(OFFSET(H573,-(DAY(F573)-1),0):H573)*IF(AND(OR('депозитный калькулятор'!$G$7="30/365",'депозитный калькулятор'!$G$7="30/360"),DAY(F573)&lt;30),30,DAY(F573))),IF(AND('депозитный калькулятор'!$G$10="ежемесячное, на средний остаток в течение месяца, при условии что остаток больше чем ограничение",F573='депозитный калькулятор'!$D$8,EOMONTH(F573,0)&lt;&gt;F573),IF('депозитный калькулятор'!$F$1=1,$H$24,SUM(OFFSET(Q573,-E573+1,0):Q573)),IF(AND('депозитный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калькулятор'!$G$7="30/360"),DAY(EOMONTH(F573,0))=31),EOMONTH(F573,0)-1=F573,EOMONTH(F573,0)=F573)),IF(IF(AND(OR('депозитный калькулятор'!$G$7="30/365",'депозитный калькулятор'!$G$7="30/360"),DAY(EOMONTH($F$24,0))=31),F573=EOMONTH($F$24,0)-1,F573=EOMONTH($F$24,0)),SUM(OFFSET(Q573,-E573+1,0):Q573),SUM(OFFSET(Q573,-E573+1,0):Q573)),IF('депозитный калькулятор'!$G$10="ежеквартальное",IF(F573&gt;'депозитный калькулятор'!$D$8," ",IF(AND(EOMONTH(F573,0)=F573,OR(MONTH(F573)=3,MONTH(F573)=6,MONTH(F573)=9,MONTH(F573)=12)),IF(EDATE(F573,-3)&lt;'депозитный калькулятор'!$D$7,SUM($H$23:H573),IF(MOD(YEAR(F573),4)=0,IF(AND(EOMONTH(F573,0)=F573,OR(MONTH(F573)=3,MONTH(F573)=6)),SUM(OFFSET(H573,-90,0):H573),IF(AND(EOMONTH(F573,0)=F573,OR(MONTH(F573)=9,MONTH(F573)=12)),SUM(OFFSET(H573,-91,0):H573))),IF(AND(EOMONTH(F573,0)=F573,MONTH(F573)=3),SUM(OFFSET(H573,-89,0):H573),IF(AND(EOMONTH(F573,0)=F573,MONTH(F573)=6),SUM(OFFSET(H573,-90,0):H573),IF(AND(EOMONTH(F573,0)=F573,OR(MONTH(F573)=9,MONTH(F573)=12)),SUM(OFFSET(H573,-91,0):H573)))))),IF(F573='депозитный калькулятор'!$D$8,SUM($H$23:H573)-SUM($I$23:I572),0))),IF('депозитный калькулятор'!$G$10="ежегодное",IF(F573&gt;'депозитный калькулятор'!$D$8," ",IF(F573='депозитный калькулятор'!$D$8,SUM($H$23:H573)-SUM($I$23:I572),IF(AND(EOMONTH(F573,0)=F573,MONTH(F573)=12),IF(MOD(YEAR(F572),4)=0,IF(F573-'депозитный калькулятор'!$D$7&lt;366,SUM($H$23:H573),SUM(OFFSET(H573,-365,0):H573)),IF(F573-'депозитный калькулятор'!$D$7&lt;365,SUM($H$23:H573),SUM(OFFSET(H573,-364,0):H573))),0))),IF(AND('депозитный калькулятор'!$G$10="в конце срока",'депозитный калькулятор'!$D$8=F573),SUM($H$23:H573),0))))))))))))))))))</f>
        <v xml:space="preserve"> </v>
      </c>
      <c r="J573" s="59" t="str">
        <f>IF(F573&gt;'депозитный калькулятор'!$D$8," ",IF('депозитный калькулятор'!$G$16="нет",0,IF(AND('депозитный калькулятор'!$G$17="разовая (в конце срока)",F573='депозитный калькулятор'!$D$8),'депозитный калькулятор'!$G$18,IF(AND('депозитный калькулятор'!$G$17="ежемесячная",EOMONTH(F572,0)=F572),'депозитный калькулятор'!$G$18,IF(AND('депозитный калькулятор'!$G$17="ежегодная",DAY(F572)=31,MONTH(F572)=12),'депозитный калькулятор'!$G$18,IF(AND('депозитный калькулятор'!$G$17="ежемесячная в зависимости от остатка",EOMONTH(F572,0)=F572,P572&gt;0),'депозитный калькулятор'!$G$18,IF(AND('депозитный калькулятор'!$G$17="ежегодная в зависимости от остатка",DAY(F572)=31,MONTH(F572)=12,P572&gt;0),'депозитный калькулятор'!$G$18,0)))))))</f>
        <v xml:space="preserve"> </v>
      </c>
      <c r="K573" s="135" t="str">
        <f>IF($F573=" "," ",IFERROR(VLOOKUP($F573,'депозитный калькулятор'!$B$26:$F$70,2,0),0))</f>
        <v xml:space="preserve"> </v>
      </c>
      <c r="L573" s="135" t="str">
        <f>IF($F573=" "," ",IFERROR(VLOOKUP($F573,'депозитный калькулятор'!$B$26:$F$70,3,0),0))</f>
        <v xml:space="preserve"> </v>
      </c>
      <c r="M573" s="135" t="str">
        <f>IF($F573=" "," ",IFERROR(VLOOKUP($F573,'депозитный калькулятор'!$B$26:$F$70,4,0),0))</f>
        <v xml:space="preserve"> </v>
      </c>
      <c r="N573" s="135" t="str">
        <f>IF($F573=" "," ",IFERROR(VLOOKUP($F573,'депозитный калькулятор'!$B$26:$F$70,5,0),0))</f>
        <v xml:space="preserve"> </v>
      </c>
      <c r="O573" s="146" t="str">
        <f>IF(F573&gt;'депозитный калькулятор'!$D$8," ",IF(F573='депозитный калькулятор'!$D$8,IF(AND($F$24='депозитный калькулятор'!$D$8,'депозитный калькулятор'!$G$13="нет"),-G573-IF(I573=" ",0,I573)-IF(AND(OR('депозитный калькулятор'!$G$7="30/365",'депозитный калькулятор'!$G$7="30/360"),'депозитный калькулятор'!$G$10="в начале срока"),I572,0)-L573+M573-N573,-G573-IF(I573=" ",0,I573)-L573+M573-N573),IF('депозитный калькулятор'!$G$13="есть",M573-N573+IF('депозитный калькулятор'!$G$14="есть",0,-L573),-IF(I573=" ",0,I573)-IF(AND(OR('депозитный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срока"),I572,0)+M573-N573+IF('депозитный калькулятор'!$G$14="есть",0,-L573))))</f>
        <v xml:space="preserve"> </v>
      </c>
      <c r="P573" s="147" t="str">
        <f>IF(F573&gt;'депозитный калькулятор'!$D$8," ",IF(EOMONTH(F572,0)=F572,0,IF(G573&gt;='депозитный калькулятор'!$G$19,P572,P572+1)))</f>
        <v xml:space="preserve"> </v>
      </c>
      <c r="Q573" s="138" t="str">
        <f>IF(F573=" "," ",IF(AND(OR('депозитный калькулятор'!$G$7="30/365",'депозитный калькулятор'!$G$7="30/360"),AND(MONTH(F573)=2,EOMONTH(F573,0)=F573)),IF(DAY(F573)=28,3,2),1)*IF(G573&gt;='депозитный калькулятор'!$G$11,IF(AND('депозитный калькулятор'!$G$7="факт/факт",MOD(YEAR(F573),4)=0),G573*'депозитный калькулятор'!$D$11/366,G573*'депозитный калькулятор'!$G$8),0))</f>
        <v xml:space="preserve"> </v>
      </c>
      <c r="R573" s="158"/>
      <c r="S573" s="62" t="str">
        <f t="shared" ca="1" si="42"/>
        <v xml:space="preserve"> </v>
      </c>
      <c r="T573" s="149" t="str">
        <f ca="1">IF(S573=" "," ",IF('депозитный калькулятор'!$G$7="30/360",DAYS360(U572,IF(DAY(U573)=31,U573-1,U573))+IF(AND(MONTH(U573)=2,U573=EOMONTH(U573,0)),30-DAY(EOMONTH(U573,0)))+T572,VLOOKUP(S573,$C$22:$F$1023,2,0)))</f>
        <v xml:space="preserve"> </v>
      </c>
      <c r="U573" s="64" t="str">
        <f t="shared" ca="1" si="40"/>
        <v xml:space="preserve"> </v>
      </c>
      <c r="V573" s="150" t="str">
        <f t="shared" ca="1" si="43"/>
        <v xml:space="preserve"> </v>
      </c>
      <c r="W573" s="62" t="str">
        <f t="shared" ca="1" si="44"/>
        <v xml:space="preserve"> </v>
      </c>
      <c r="X573" s="141" t="str">
        <f ca="1">IF(S573=" "," ",IFERROR(VLOOKUP(U573,$F$23:$N$1023,7)+VLOOKUP(U573,$F$23:$N$1023,9)+IF(AND('депозитный калькулятор'!$G$13="нет",U573&lt;&gt;'депозитный калькулятор'!$D$8),VLOOKUP(U573,$F$23:$N$1023,4),0),0)+IF(U573='депозитный калькулятор'!$D$8,VLOOKUP(U573,$F$23:$N$1023,2)+VLOOKUP(U573,$F$23:$N$1023,4),0))</f>
        <v xml:space="preserve"> </v>
      </c>
      <c r="Y573" s="142" t="str">
        <f ca="1">IF(S573=" "," ",W573/(1+'депозитный калькулятор'!$K$8)^(T573/IF('депозитный калькулятор'!$G$7="30/360",360,365)))</f>
        <v xml:space="preserve"> </v>
      </c>
      <c r="Z573" s="142" t="str">
        <f ca="1">IF(S573=" "," ",X573/(1+'депозитный калькулятор'!$K$8)^(T573/IF('депозитный калькулятор'!$G$7="30/360",360,365)))</f>
        <v xml:space="preserve"> </v>
      </c>
      <c r="AA573" s="151"/>
      <c r="AB573" s="151"/>
      <c r="AC573" s="155"/>
      <c r="AD573" s="155"/>
    </row>
    <row r="574" spans="1:30" s="2" customFormat="1" ht="15.5" x14ac:dyDescent="0.35">
      <c r="A574" s="41" t="str">
        <f>IF(F574=" "," ",IF(OR('депозитный калькулятор'!$G$7="30/365",'депозитный калькулятор'!$G$7="30/360"),IF(AND(MONTH(F574)=2,DAY(F574)=DAY(EOMONTH(F574,0))),30-DAY(EOMONTH(F574,0)),IF(DAY(F574)=31,1," "))," "))</f>
        <v xml:space="preserve"> </v>
      </c>
      <c r="B574" s="130" t="str">
        <f t="shared" si="41"/>
        <v xml:space="preserve"> </v>
      </c>
      <c r="C574" s="130" t="str">
        <f>IF(OR(B574=0,B574=" ")," ",SUM($B$23:B574))</f>
        <v xml:space="preserve"> </v>
      </c>
      <c r="D574" s="62" t="str">
        <f>IF(D573=" "," ",IF(OR(F573='депозитный калькулятор'!$D$8,F573=" ")," ",D573+1))</f>
        <v xml:space="preserve"> </v>
      </c>
      <c r="E574" s="130" t="str">
        <f>IF(OR(F573='депозитный калькулятор'!$D$8,F573=" ")," ",IF(EOMONTH(F573,0)=F573,1,E573+1))</f>
        <v xml:space="preserve"> </v>
      </c>
      <c r="F574" s="64" t="str">
        <f>IF(F573=" "," ",IF(F573='депозитный калькулятор'!$D$8," ",F573+1))</f>
        <v xml:space="preserve"> </v>
      </c>
      <c r="G574" s="145" t="str">
        <f xml:space="preserve"> IF(F574&gt;'депозитный калькулятор'!$D$8," ",IF('депозитный калькулятор'!$G$13="есть",IF('депозитный калькулятор'!$G$14="есть",G573+IF(I573=" ",0,I573)-J574-K574+L574+M574-N574,G573+IF(I573=" ",0,I573)-J574-K574+M574-N574),IF('депозитный калькулятор'!$G$14="есть",G573-J574-K574+L574+M574-N574,G573-J574-K574+M574-N574)))</f>
        <v xml:space="preserve"> </v>
      </c>
      <c r="H574" s="133" t="str">
        <f>IF(F574&gt;'депозитный калькулятор'!$D$8," ",IF(AND(OR('депозитный калькулятор'!$G$7="30/365",'депозитный калькулятор'!$G$7="30/360"),AND(MONTH(F574)=2,EOMONTH(F574,0)=F574)),IF(DAY(F574)=28,3*G574*'депозитный калькулятор'!$G$8,2*G574*'депозитный калькулятор'!$G$8),IF(AND(OR('депозитный калькулятор'!$G$7="30/365",'депозитный калькулятор'!$G$7="30/360"),DAY(F574)=31)," ",IF(AND('депозитный калькулятор'!$G$7="факт/факт",MOD(YEAR(F574),4)=0),G574*'депозитный калькулятор'!$D$11/366,G574*'депозитный калькулятор'!$G$8))))</f>
        <v xml:space="preserve"> </v>
      </c>
      <c r="I574" s="134" t="str">
        <f ca="1">IF(F574=" "," ",IF('депозитный калькулятор'!$G$10="ежедневное",H574,IF(AND('депозитный калькулятор'!$G$10="еженедельное",WEEKDAY(F574,2)=7),SUM(OFFSET(H574,-6,0):H574),IF(AND('депозитный калькулятор'!$G$10="еженедельное",F574='депозитный калькулятор'!$D$8),SUM($H$23:H574)-SUM($I$23:I573),IF(AND('депозитный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недели",WEEKDAY(F574,2)=7),MIN(OFFSET(H574,-6,0):H574)*(COUNTIF(OFFSET(H574,-6,0):H574,"&gt;0")+SUMIF(OFFSET(A574,-WEEKDAY(F574,2),0):A574,"=2",OFFSET(A574,-WEEKDAY(F574,2),0):A574)),IF(AND('депозитный калькулятор'!$G$10="еженедельное, на минимальную сумму зафиксированную в течение недели",F574='депозитный калькулятор'!$D$8,WEEKDAY(F574,2)&lt;&gt;7),MIN(OFFSET(H574,-WEEKDAY(F574,2),0):H574)*(COUNTIF(OFFSET(H574,-WEEKDAY(F574,2)+1,0):H574,"&gt;0")+SUM(OFFSET(A574,-WEEKDAY(F574,2),0):A574)),IF(AND('депозитный калькулятор'!$G$10="ежемесячное (в конце месяца)",F574='депозитный калькулятор'!$D$8,EOMONTH(F574,0)&lt;&gt;F574),IF('депозитный калькулятор'!$F$1=1,$H$24,SUM($H$23:H574)-SUM($I$23:I573)),IF(AND('депозитный калькулятор'!$G$10="ежемесячное (в конце месяца)",EOMONTH(F574,0)=F574),SUM($H$23:H574)-SUM($I$23:I573),IF(AND('депозитный калькулятор'!$G$10="ежемесячное (по дням открытия вклада)",F574='депозитный калькулятор'!$D$8,DAY('депозитный калькулятор'!$D$7)&lt;&gt;DAY(F574)),IF('депозитный калькулятор'!$F$1=1,$H$24,SUM($H$23:H574)-SUM($I$23:I573)),IF(AND('депозитный калькулятор'!$G$10="ежемесячное (по дням открытия вклада)",DAY('депозитный калькулятор'!$D$7)=DAY(F574)),SUM($H$23:H574)-SUM($I$23:I573),IF(AND('депозитный калькулятор'!$G$10="ежемесячное, на минимальную сумму зафиксированную в течение месяца",F574='депозитный калькулятор'!$D$8,EOMONTH(F574,0)&lt;&gt;F574),IF('депозитный калькулятор'!$F$1=1,$H$24,IF(AND(OR('депозитный калькулятор'!$G$7="30/365",'депозитный калькулятор'!$G$7="30/360"),DAY(F574)=31),0,MIN(OFFSET(H574,-E574+1,0):H574)*(E574+SUMIF(OFFSET(A574,-E574+1,0):A574,"=2",OFFSET(A574,-E574+1,0):A574)))),IF(AND('депозитный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калькулятор'!$G$7="30/360"),DAY(EOMONTH(F574,0))=31),EOMONTH(F574,0)-1=F574,EOMONTH(F574,0)=F574)),IF(IF(AND(OR('депозитный калькулятор'!$G$7="30/365",'депозитный калькулятор'!$G$7="30/360"),DAY(EOMONTH($F$23,0))=31),F574=EOMONTH($F$23,0)-1,F574=EOMONTH($F$23,0)),MIN(OFFSET(H574,-(DAY(F574)-DAY($F$23)),0):H574)*E574,MIN(OFFSET(H574,-(DAY(F574)-1),0):H574)*IF(AND(OR('депозитный калькулятор'!$G$7="30/365",'депозитный калькулятор'!$G$7="30/360"),DAY(F574)&lt;30),30,DAY(F574))),IF(AND('депозитный калькулятор'!$G$10="ежемесячное, на средний остаток в течение месяца, при условии что остаток больше чем ограничение",F574='депозитный калькулятор'!$D$8,EOMONTH(F574,0)&lt;&gt;F574),IF('депозитный калькулятор'!$F$1=1,$H$24,SUM(OFFSET(Q574,-E574+1,0):Q574)),IF(AND('депозитный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калькулятор'!$G$7="30/360"),DAY(EOMONTH(F574,0))=31),EOMONTH(F574,0)-1=F574,EOMONTH(F574,0)=F574)),IF(IF(AND(OR('депозитный калькулятор'!$G$7="30/365",'депозитный калькулятор'!$G$7="30/360"),DAY(EOMONTH($F$24,0))=31),F574=EOMONTH($F$24,0)-1,F574=EOMONTH($F$24,0)),SUM(OFFSET(Q574,-E574+1,0):Q574),SUM(OFFSET(Q574,-E574+1,0):Q574)),IF('депозитный калькулятор'!$G$10="ежеквартальное",IF(F574&gt;'депозитный калькулятор'!$D$8," ",IF(AND(EOMONTH(F574,0)=F574,OR(MONTH(F574)=3,MONTH(F574)=6,MONTH(F574)=9,MONTH(F574)=12)),IF(EDATE(F574,-3)&lt;'депозитный калькулятор'!$D$7,SUM($H$23:H574),IF(MOD(YEAR(F574),4)=0,IF(AND(EOMONTH(F574,0)=F574,OR(MONTH(F574)=3,MONTH(F574)=6)),SUM(OFFSET(H574,-90,0):H574),IF(AND(EOMONTH(F574,0)=F574,OR(MONTH(F574)=9,MONTH(F574)=12)),SUM(OFFSET(H574,-91,0):H574))),IF(AND(EOMONTH(F574,0)=F574,MONTH(F574)=3),SUM(OFFSET(H574,-89,0):H574),IF(AND(EOMONTH(F574,0)=F574,MONTH(F574)=6),SUM(OFFSET(H574,-90,0):H574),IF(AND(EOMONTH(F574,0)=F574,OR(MONTH(F574)=9,MONTH(F574)=12)),SUM(OFFSET(H574,-91,0):H574)))))),IF(F574='депозитный калькулятор'!$D$8,SUM($H$23:H574)-SUM($I$23:I573),0))),IF('депозитный калькулятор'!$G$10="ежегодное",IF(F574&gt;'депозитный калькулятор'!$D$8," ",IF(F574='депозитный калькулятор'!$D$8,SUM($H$23:H574)-SUM($I$23:I573),IF(AND(EOMONTH(F574,0)=F574,MONTH(F574)=12),IF(MOD(YEAR(F573),4)=0,IF(F574-'депозитный калькулятор'!$D$7&lt;366,SUM($H$23:H574),SUM(OFFSET(H574,-365,0):H574)),IF(F574-'депозитный калькулятор'!$D$7&lt;365,SUM($H$23:H574),SUM(OFFSET(H574,-364,0):H574))),0))),IF(AND('депозитный калькулятор'!$G$10="в конце срока",'депозитный калькулятор'!$D$8=F574),SUM($H$23:H574),0))))))))))))))))))</f>
        <v xml:space="preserve"> </v>
      </c>
      <c r="J574" s="59" t="str">
        <f>IF(F574&gt;'депозитный калькулятор'!$D$8," ",IF('депозитный калькулятор'!$G$16="нет",0,IF(AND('депозитный калькулятор'!$G$17="разовая (в конце срока)",F574='депозитный калькулятор'!$D$8),'депозитный калькулятор'!$G$18,IF(AND('депозитный калькулятор'!$G$17="ежемесячная",EOMONTH(F573,0)=F573),'депозитный калькулятор'!$G$18,IF(AND('депозитный калькулятор'!$G$17="ежегодная",DAY(F573)=31,MONTH(F573)=12),'депозитный калькулятор'!$G$18,IF(AND('депозитный калькулятор'!$G$17="ежемесячная в зависимости от остатка",EOMONTH(F573,0)=F573,P573&gt;0),'депозитный калькулятор'!$G$18,IF(AND('депозитный калькулятор'!$G$17="ежегодная в зависимости от остатка",DAY(F573)=31,MONTH(F573)=12,P573&gt;0),'депозитный калькулятор'!$G$18,0)))))))</f>
        <v xml:space="preserve"> </v>
      </c>
      <c r="K574" s="135" t="str">
        <f>IF($F574=" "," ",IFERROR(VLOOKUP($F574,'депозитный калькулятор'!$B$26:$F$70,2,0),0))</f>
        <v xml:space="preserve"> </v>
      </c>
      <c r="L574" s="135" t="str">
        <f>IF($F574=" "," ",IFERROR(VLOOKUP($F574,'депозитный калькулятор'!$B$26:$F$70,3,0),0))</f>
        <v xml:space="preserve"> </v>
      </c>
      <c r="M574" s="135" t="str">
        <f>IF($F574=" "," ",IFERROR(VLOOKUP($F574,'депозитный калькулятор'!$B$26:$F$70,4,0),0))</f>
        <v xml:space="preserve"> </v>
      </c>
      <c r="N574" s="135" t="str">
        <f>IF($F574=" "," ",IFERROR(VLOOKUP($F574,'депозитный калькулятор'!$B$26:$F$70,5,0),0))</f>
        <v xml:space="preserve"> </v>
      </c>
      <c r="O574" s="146" t="str">
        <f>IF(F574&gt;'депозитный калькулятор'!$D$8," ",IF(F574='депозитный калькулятор'!$D$8,IF(AND($F$24='депозитный калькулятор'!$D$8,'депозитный калькулятор'!$G$13="нет"),-G574-IF(I574=" ",0,I574)-IF(AND(OR('депозитный калькулятор'!$G$7="30/365",'депозитный калькулятор'!$G$7="30/360"),'депозитный калькулятор'!$G$10="в начале срока"),I573,0)-L574+M574-N574,-G574-IF(I574=" ",0,I574)-L574+M574-N574),IF('депозитный калькулятор'!$G$13="есть",M574-N574+IF('депозитный калькулятор'!$G$14="есть",0,-L574),-IF(I574=" ",0,I574)-IF(AND(OR('депозитный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срока"),I573,0)+M574-N574+IF('депозитный калькулятор'!$G$14="есть",0,-L574))))</f>
        <v xml:space="preserve"> </v>
      </c>
      <c r="P574" s="147" t="str">
        <f>IF(F574&gt;'депозитный калькулятор'!$D$8," ",IF(EOMONTH(F573,0)=F573,0,IF(G574&gt;='депозитный калькулятор'!$G$19,P573,P573+1)))</f>
        <v xml:space="preserve"> </v>
      </c>
      <c r="Q574" s="138" t="str">
        <f>IF(F574=" "," ",IF(AND(OR('депозитный калькулятор'!$G$7="30/365",'депозитный калькулятор'!$G$7="30/360"),AND(MONTH(F574)=2,EOMONTH(F574,0)=F574)),IF(DAY(F574)=28,3,2),1)*IF(G574&gt;='депозитный калькулятор'!$G$11,IF(AND('депозитный калькулятор'!$G$7="факт/факт",MOD(YEAR(F574),4)=0),G574*'депозитный калькулятор'!$D$11/366,G574*'депозитный калькулятор'!$G$8),0))</f>
        <v xml:space="preserve"> </v>
      </c>
      <c r="R574" s="158"/>
      <c r="S574" s="62" t="str">
        <f t="shared" ca="1" si="42"/>
        <v xml:space="preserve"> </v>
      </c>
      <c r="T574" s="149" t="str">
        <f ca="1">IF(S574=" "," ",IF('депозитный калькулятор'!$G$7="30/360",DAYS360(U573,IF(DAY(U574)=31,U574-1,U574))+IF(AND(MONTH(U574)=2,U574=EOMONTH(U574,0)),30-DAY(EOMONTH(U574,0)))+T573,VLOOKUP(S574,$C$22:$F$1023,2,0)))</f>
        <v xml:space="preserve"> </v>
      </c>
      <c r="U574" s="64" t="str">
        <f t="shared" ca="1" si="40"/>
        <v xml:space="preserve"> </v>
      </c>
      <c r="V574" s="150" t="str">
        <f t="shared" ca="1" si="43"/>
        <v xml:space="preserve"> </v>
      </c>
      <c r="W574" s="62" t="str">
        <f t="shared" ca="1" si="44"/>
        <v xml:space="preserve"> </v>
      </c>
      <c r="X574" s="141" t="str">
        <f ca="1">IF(S574=" "," ",IFERROR(VLOOKUP(U574,$F$23:$N$1023,7)+VLOOKUP(U574,$F$23:$N$1023,9)+IF(AND('депозитный калькулятор'!$G$13="нет",U574&lt;&gt;'депозитный калькулятор'!$D$8),VLOOKUP(U574,$F$23:$N$1023,4),0),0)+IF(U574='депозитный калькулятор'!$D$8,VLOOKUP(U574,$F$23:$N$1023,2)+VLOOKUP(U574,$F$23:$N$1023,4),0))</f>
        <v xml:space="preserve"> </v>
      </c>
      <c r="Y574" s="142" t="str">
        <f ca="1">IF(S574=" "," ",W574/(1+'депозитный калькулятор'!$K$8)^(T574/IF('депозитный калькулятор'!$G$7="30/360",360,365)))</f>
        <v xml:space="preserve"> </v>
      </c>
      <c r="Z574" s="142" t="str">
        <f ca="1">IF(S574=" "," ",X574/(1+'депозитный калькулятор'!$K$8)^(T574/IF('депозитный калькулятор'!$G$7="30/360",360,365)))</f>
        <v xml:space="preserve"> </v>
      </c>
      <c r="AA574" s="151"/>
      <c r="AB574" s="151"/>
      <c r="AC574" s="155"/>
      <c r="AD574" s="155"/>
    </row>
    <row r="575" spans="1:30" s="2" customFormat="1" ht="15.5" x14ac:dyDescent="0.35">
      <c r="A575" s="41" t="str">
        <f>IF(F575=" "," ",IF(OR('депозитный калькулятор'!$G$7="30/365",'депозитный калькулятор'!$G$7="30/360"),IF(AND(MONTH(F575)=2,DAY(F575)=DAY(EOMONTH(F575,0))),30-DAY(EOMONTH(F575,0)),IF(DAY(F575)=31,1," "))," "))</f>
        <v xml:space="preserve"> </v>
      </c>
      <c r="B575" s="130" t="str">
        <f t="shared" si="41"/>
        <v xml:space="preserve"> </v>
      </c>
      <c r="C575" s="130" t="str">
        <f>IF(OR(B575=0,B575=" ")," ",SUM($B$23:B575))</f>
        <v xml:space="preserve"> </v>
      </c>
      <c r="D575" s="62" t="str">
        <f>IF(D574=" "," ",IF(OR(F574='депозитный калькулятор'!$D$8,F574=" ")," ",D574+1))</f>
        <v xml:space="preserve"> </v>
      </c>
      <c r="E575" s="130" t="str">
        <f>IF(OR(F574='депозитный калькулятор'!$D$8,F574=" ")," ",IF(EOMONTH(F574,0)=F574,1,E574+1))</f>
        <v xml:space="preserve"> </v>
      </c>
      <c r="F575" s="64" t="str">
        <f>IF(F574=" "," ",IF(F574='депозитный калькулятор'!$D$8," ",F574+1))</f>
        <v xml:space="preserve"> </v>
      </c>
      <c r="G575" s="145" t="str">
        <f xml:space="preserve"> IF(F575&gt;'депозитный калькулятор'!$D$8," ",IF('депозитный калькулятор'!$G$13="есть",IF('депозитный калькулятор'!$G$14="есть",G574+IF(I574=" ",0,I574)-J575-K575+L575+M575-N575,G574+IF(I574=" ",0,I574)-J575-K575+M575-N575),IF('депозитный калькулятор'!$G$14="есть",G574-J575-K575+L575+M575-N575,G574-J575-K575+M575-N575)))</f>
        <v xml:space="preserve"> </v>
      </c>
      <c r="H575" s="133" t="str">
        <f>IF(F575&gt;'депозитный калькулятор'!$D$8," ",IF(AND(OR('депозитный калькулятор'!$G$7="30/365",'депозитный калькулятор'!$G$7="30/360"),AND(MONTH(F575)=2,EOMONTH(F575,0)=F575)),IF(DAY(F575)=28,3*G575*'депозитный калькулятор'!$G$8,2*G575*'депозитный калькулятор'!$G$8),IF(AND(OR('депозитный калькулятор'!$G$7="30/365",'депозитный калькулятор'!$G$7="30/360"),DAY(F575)=31)," ",IF(AND('депозитный калькулятор'!$G$7="факт/факт",MOD(YEAR(F575),4)=0),G575*'депозитный калькулятор'!$D$11/366,G575*'депозитный калькулятор'!$G$8))))</f>
        <v xml:space="preserve"> </v>
      </c>
      <c r="I575" s="134" t="str">
        <f ca="1">IF(F575=" "," ",IF('депозитный калькулятор'!$G$10="ежедневное",H575,IF(AND('депозитный калькулятор'!$G$10="еженедельное",WEEKDAY(F575,2)=7),SUM(OFFSET(H575,-6,0):H575),IF(AND('депозитный калькулятор'!$G$10="еженедельное",F575='депозитный калькулятор'!$D$8),SUM($H$23:H575)-SUM($I$23:I574),IF(AND('депозитный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недели",WEEKDAY(F575,2)=7),MIN(OFFSET(H575,-6,0):H575)*(COUNTIF(OFFSET(H575,-6,0):H575,"&gt;0")+SUMIF(OFFSET(A575,-WEEKDAY(F575,2),0):A575,"=2",OFFSET(A575,-WEEKDAY(F575,2),0):A575)),IF(AND('депозитный калькулятор'!$G$10="еженедельное, на минимальную сумму зафиксированную в течение недели",F575='депозитный калькулятор'!$D$8,WEEKDAY(F575,2)&lt;&gt;7),MIN(OFFSET(H575,-WEEKDAY(F575,2),0):H575)*(COUNTIF(OFFSET(H575,-WEEKDAY(F575,2)+1,0):H575,"&gt;0")+SUM(OFFSET(A575,-WEEKDAY(F575,2),0):A575)),IF(AND('депозитный калькулятор'!$G$10="ежемесячное (в конце месяца)",F575='депозитный калькулятор'!$D$8,EOMONTH(F575,0)&lt;&gt;F575),IF('депозитный калькулятор'!$F$1=1,$H$24,SUM($H$23:H575)-SUM($I$23:I574)),IF(AND('депозитный калькулятор'!$G$10="ежемесячное (в конце месяца)",EOMONTH(F575,0)=F575),SUM($H$23:H575)-SUM($I$23:I574),IF(AND('депозитный калькулятор'!$G$10="ежемесячное (по дням открытия вклада)",F575='депозитный калькулятор'!$D$8,DAY('депозитный калькулятор'!$D$7)&lt;&gt;DAY(F575)),IF('депозитный калькулятор'!$F$1=1,$H$24,SUM($H$23:H575)-SUM($I$23:I574)),IF(AND('депозитный калькулятор'!$G$10="ежемесячное (по дням открытия вклада)",DAY('депозитный калькулятор'!$D$7)=DAY(F575)),SUM($H$23:H575)-SUM($I$23:I574),IF(AND('депозитный калькулятор'!$G$10="ежемесячное, на минимальную сумму зафиксированную в течение месяца",F575='депозитный калькулятор'!$D$8,EOMONTH(F575,0)&lt;&gt;F575),IF('депозитный калькулятор'!$F$1=1,$H$24,IF(AND(OR('депозитный калькулятор'!$G$7="30/365",'депозитный калькулятор'!$G$7="30/360"),DAY(F575)=31),0,MIN(OFFSET(H575,-E575+1,0):H575)*(E575+SUMIF(OFFSET(A575,-E575+1,0):A575,"=2",OFFSET(A575,-E575+1,0):A575)))),IF(AND('депозитный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калькулятор'!$G$7="30/360"),DAY(EOMONTH(F575,0))=31),EOMONTH(F575,0)-1=F575,EOMONTH(F575,0)=F575)),IF(IF(AND(OR('депозитный калькулятор'!$G$7="30/365",'депозитный калькулятор'!$G$7="30/360"),DAY(EOMONTH($F$23,0))=31),F575=EOMONTH($F$23,0)-1,F575=EOMONTH($F$23,0)),MIN(OFFSET(H575,-(DAY(F575)-DAY($F$23)),0):H575)*E575,MIN(OFFSET(H575,-(DAY(F575)-1),0):H575)*IF(AND(OR('депозитный калькулятор'!$G$7="30/365",'депозитный калькулятор'!$G$7="30/360"),DAY(F575)&lt;30),30,DAY(F575))),IF(AND('депозитный калькулятор'!$G$10="ежемесячное, на средний остаток в течение месяца, при условии что остаток больше чем ограничение",F575='депозитный калькулятор'!$D$8,EOMONTH(F575,0)&lt;&gt;F575),IF('депозитный калькулятор'!$F$1=1,$H$24,SUM(OFFSET(Q575,-E575+1,0):Q575)),IF(AND('депозитный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калькулятор'!$G$7="30/360"),DAY(EOMONTH(F575,0))=31),EOMONTH(F575,0)-1=F575,EOMONTH(F575,0)=F575)),IF(IF(AND(OR('депозитный калькулятор'!$G$7="30/365",'депозитный калькулятор'!$G$7="30/360"),DAY(EOMONTH($F$24,0))=31),F575=EOMONTH($F$24,0)-1,F575=EOMONTH($F$24,0)),SUM(OFFSET(Q575,-E575+1,0):Q575),SUM(OFFSET(Q575,-E575+1,0):Q575)),IF('депозитный калькулятор'!$G$10="ежеквартальное",IF(F575&gt;'депозитный калькулятор'!$D$8," ",IF(AND(EOMONTH(F575,0)=F575,OR(MONTH(F575)=3,MONTH(F575)=6,MONTH(F575)=9,MONTH(F575)=12)),IF(EDATE(F575,-3)&lt;'депозитный калькулятор'!$D$7,SUM($H$23:H575),IF(MOD(YEAR(F575),4)=0,IF(AND(EOMONTH(F575,0)=F575,OR(MONTH(F575)=3,MONTH(F575)=6)),SUM(OFFSET(H575,-90,0):H575),IF(AND(EOMONTH(F575,0)=F575,OR(MONTH(F575)=9,MONTH(F575)=12)),SUM(OFFSET(H575,-91,0):H575))),IF(AND(EOMONTH(F575,0)=F575,MONTH(F575)=3),SUM(OFFSET(H575,-89,0):H575),IF(AND(EOMONTH(F575,0)=F575,MONTH(F575)=6),SUM(OFFSET(H575,-90,0):H575),IF(AND(EOMONTH(F575,0)=F575,OR(MONTH(F575)=9,MONTH(F575)=12)),SUM(OFFSET(H575,-91,0):H575)))))),IF(F575='депозитный калькулятор'!$D$8,SUM($H$23:H575)-SUM($I$23:I574),0))),IF('депозитный калькулятор'!$G$10="ежегодное",IF(F575&gt;'депозитный калькулятор'!$D$8," ",IF(F575='депозитный калькулятор'!$D$8,SUM($H$23:H575)-SUM($I$23:I574),IF(AND(EOMONTH(F575,0)=F575,MONTH(F575)=12),IF(MOD(YEAR(F574),4)=0,IF(F575-'депозитный калькулятор'!$D$7&lt;366,SUM($H$23:H575),SUM(OFFSET(H575,-365,0):H575)),IF(F575-'депозитный калькулятор'!$D$7&lt;365,SUM($H$23:H575),SUM(OFFSET(H575,-364,0):H575))),0))),IF(AND('депозитный калькулятор'!$G$10="в конце срока",'депозитный калькулятор'!$D$8=F575),SUM($H$23:H575),0))))))))))))))))))</f>
        <v xml:space="preserve"> </v>
      </c>
      <c r="J575" s="59" t="str">
        <f>IF(F575&gt;'депозитный калькулятор'!$D$8," ",IF('депозитный калькулятор'!$G$16="нет",0,IF(AND('депозитный калькулятор'!$G$17="разовая (в конце срока)",F575='депозитный калькулятор'!$D$8),'депозитный калькулятор'!$G$18,IF(AND('депозитный калькулятор'!$G$17="ежемесячная",EOMONTH(F574,0)=F574),'депозитный калькулятор'!$G$18,IF(AND('депозитный калькулятор'!$G$17="ежегодная",DAY(F574)=31,MONTH(F574)=12),'депозитный калькулятор'!$G$18,IF(AND('депозитный калькулятор'!$G$17="ежемесячная в зависимости от остатка",EOMONTH(F574,0)=F574,P574&gt;0),'депозитный калькулятор'!$G$18,IF(AND('депозитный калькулятор'!$G$17="ежегодная в зависимости от остатка",DAY(F574)=31,MONTH(F574)=12,P574&gt;0),'депозитный калькулятор'!$G$18,0)))))))</f>
        <v xml:space="preserve"> </v>
      </c>
      <c r="K575" s="135" t="str">
        <f>IF($F575=" "," ",IFERROR(VLOOKUP($F575,'депозитный калькулятор'!$B$26:$F$70,2,0),0))</f>
        <v xml:space="preserve"> </v>
      </c>
      <c r="L575" s="135" t="str">
        <f>IF($F575=" "," ",IFERROR(VLOOKUP($F575,'депозитный калькулятор'!$B$26:$F$70,3,0),0))</f>
        <v xml:space="preserve"> </v>
      </c>
      <c r="M575" s="135" t="str">
        <f>IF($F575=" "," ",IFERROR(VLOOKUP($F575,'депозитный калькулятор'!$B$26:$F$70,4,0),0))</f>
        <v xml:space="preserve"> </v>
      </c>
      <c r="N575" s="135" t="str">
        <f>IF($F575=" "," ",IFERROR(VLOOKUP($F575,'депозитный калькулятор'!$B$26:$F$70,5,0),0))</f>
        <v xml:space="preserve"> </v>
      </c>
      <c r="O575" s="146" t="str">
        <f>IF(F575&gt;'депозитный калькулятор'!$D$8," ",IF(F575='депозитный калькулятор'!$D$8,IF(AND($F$24='депозитный калькулятор'!$D$8,'депозитный калькулятор'!$G$13="нет"),-G575-IF(I575=" ",0,I575)-IF(AND(OR('депозитный калькулятор'!$G$7="30/365",'депозитный калькулятор'!$G$7="30/360"),'депозитный калькулятор'!$G$10="в начале срока"),I574,0)-L575+M575-N575,-G575-IF(I575=" ",0,I575)-L575+M575-N575),IF('депозитный калькулятор'!$G$13="есть",M575-N575+IF('депозитный калькулятор'!$G$14="есть",0,-L575),-IF(I575=" ",0,I575)-IF(AND(OR('депозитный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срока"),I574,0)+M575-N575+IF('депозитный калькулятор'!$G$14="есть",0,-L575))))</f>
        <v xml:space="preserve"> </v>
      </c>
      <c r="P575" s="147" t="str">
        <f>IF(F575&gt;'депозитный калькулятор'!$D$8," ",IF(EOMONTH(F574,0)=F574,0,IF(G575&gt;='депозитный калькулятор'!$G$19,P574,P574+1)))</f>
        <v xml:space="preserve"> </v>
      </c>
      <c r="Q575" s="138" t="str">
        <f>IF(F575=" "," ",IF(AND(OR('депозитный калькулятор'!$G$7="30/365",'депозитный калькулятор'!$G$7="30/360"),AND(MONTH(F575)=2,EOMONTH(F575,0)=F575)),IF(DAY(F575)=28,3,2),1)*IF(G575&gt;='депозитный калькулятор'!$G$11,IF(AND('депозитный калькулятор'!$G$7="факт/факт",MOD(YEAR(F575),4)=0),G575*'депозитный калькулятор'!$D$11/366,G575*'депозитный калькулятор'!$G$8),0))</f>
        <v xml:space="preserve"> </v>
      </c>
      <c r="R575" s="158"/>
      <c r="S575" s="62" t="str">
        <f t="shared" ca="1" si="42"/>
        <v xml:space="preserve"> </v>
      </c>
      <c r="T575" s="149" t="str">
        <f ca="1">IF(S575=" "," ",IF('депозитный калькулятор'!$G$7="30/360",DAYS360(U574,IF(DAY(U575)=31,U575-1,U575))+IF(AND(MONTH(U575)=2,U575=EOMONTH(U575,0)),30-DAY(EOMONTH(U575,0)))+T574,VLOOKUP(S575,$C$22:$F$1023,2,0)))</f>
        <v xml:space="preserve"> </v>
      </c>
      <c r="U575" s="64" t="str">
        <f t="shared" ca="1" si="40"/>
        <v xml:space="preserve"> </v>
      </c>
      <c r="V575" s="150" t="str">
        <f t="shared" ca="1" si="43"/>
        <v xml:space="preserve"> </v>
      </c>
      <c r="W575" s="62" t="str">
        <f t="shared" ca="1" si="44"/>
        <v xml:space="preserve"> </v>
      </c>
      <c r="X575" s="141" t="str">
        <f ca="1">IF(S575=" "," ",IFERROR(VLOOKUP(U575,$F$23:$N$1023,7)+VLOOKUP(U575,$F$23:$N$1023,9)+IF(AND('депозитный калькулятор'!$G$13="нет",U575&lt;&gt;'депозитный калькулятор'!$D$8),VLOOKUP(U575,$F$23:$N$1023,4),0),0)+IF(U575='депозитный калькулятор'!$D$8,VLOOKUP(U575,$F$23:$N$1023,2)+VLOOKUP(U575,$F$23:$N$1023,4),0))</f>
        <v xml:space="preserve"> </v>
      </c>
      <c r="Y575" s="142" t="str">
        <f ca="1">IF(S575=" "," ",W575/(1+'депозитный калькулятор'!$K$8)^(T575/IF('депозитный калькулятор'!$G$7="30/360",360,365)))</f>
        <v xml:space="preserve"> </v>
      </c>
      <c r="Z575" s="142" t="str">
        <f ca="1">IF(S575=" "," ",X575/(1+'депозитный калькулятор'!$K$8)^(T575/IF('депозитный калькулятор'!$G$7="30/360",360,365)))</f>
        <v xml:space="preserve"> </v>
      </c>
      <c r="AA575" s="151"/>
      <c r="AB575" s="151"/>
      <c r="AC575" s="155"/>
      <c r="AD575" s="155"/>
    </row>
    <row r="576" spans="1:30" s="2" customFormat="1" ht="15.5" x14ac:dyDescent="0.35">
      <c r="A576" s="41" t="str">
        <f>IF(F576=" "," ",IF(OR('депозитный калькулятор'!$G$7="30/365",'депозитный калькулятор'!$G$7="30/360"),IF(AND(MONTH(F576)=2,DAY(F576)=DAY(EOMONTH(F576,0))),30-DAY(EOMONTH(F576,0)),IF(DAY(F576)=31,1," "))," "))</f>
        <v xml:space="preserve"> </v>
      </c>
      <c r="B576" s="130" t="str">
        <f t="shared" si="41"/>
        <v xml:space="preserve"> </v>
      </c>
      <c r="C576" s="130" t="str">
        <f>IF(OR(B576=0,B576=" ")," ",SUM($B$23:B576))</f>
        <v xml:space="preserve"> </v>
      </c>
      <c r="D576" s="62" t="str">
        <f>IF(D575=" "," ",IF(OR(F575='депозитный калькулятор'!$D$8,F575=" ")," ",D575+1))</f>
        <v xml:space="preserve"> </v>
      </c>
      <c r="E576" s="130" t="str">
        <f>IF(OR(F575='депозитный калькулятор'!$D$8,F575=" ")," ",IF(EOMONTH(F575,0)=F575,1,E575+1))</f>
        <v xml:space="preserve"> </v>
      </c>
      <c r="F576" s="64" t="str">
        <f>IF(F575=" "," ",IF(F575='депозитный калькулятор'!$D$8," ",F575+1))</f>
        <v xml:space="preserve"> </v>
      </c>
      <c r="G576" s="145" t="str">
        <f xml:space="preserve"> IF(F576&gt;'депозитный калькулятор'!$D$8," ",IF('депозитный калькулятор'!$G$13="есть",IF('депозитный калькулятор'!$G$14="есть",G575+IF(I575=" ",0,I575)-J576-K576+L576+M576-N576,G575+IF(I575=" ",0,I575)-J576-K576+M576-N576),IF('депозитный калькулятор'!$G$14="есть",G575-J576-K576+L576+M576-N576,G575-J576-K576+M576-N576)))</f>
        <v xml:space="preserve"> </v>
      </c>
      <c r="H576" s="133" t="str">
        <f>IF(F576&gt;'депозитный калькулятор'!$D$8," ",IF(AND(OR('депозитный калькулятор'!$G$7="30/365",'депозитный калькулятор'!$G$7="30/360"),AND(MONTH(F576)=2,EOMONTH(F576,0)=F576)),IF(DAY(F576)=28,3*G576*'депозитный калькулятор'!$G$8,2*G576*'депозитный калькулятор'!$G$8),IF(AND(OR('депозитный калькулятор'!$G$7="30/365",'депозитный калькулятор'!$G$7="30/360"),DAY(F576)=31)," ",IF(AND('депозитный калькулятор'!$G$7="факт/факт",MOD(YEAR(F576),4)=0),G576*'депозитный калькулятор'!$D$11/366,G576*'депозитный калькулятор'!$G$8))))</f>
        <v xml:space="preserve"> </v>
      </c>
      <c r="I576" s="134" t="str">
        <f ca="1">IF(F576=" "," ",IF('депозитный калькулятор'!$G$10="ежедневное",H576,IF(AND('депозитный калькулятор'!$G$10="еженедельное",WEEKDAY(F576,2)=7),SUM(OFFSET(H576,-6,0):H576),IF(AND('депозитный калькулятор'!$G$10="еженедельное",F576='депозитный калькулятор'!$D$8),SUM($H$23:H576)-SUM($I$23:I575),IF(AND('депозитный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недели",WEEKDAY(F576,2)=7),MIN(OFFSET(H576,-6,0):H576)*(COUNTIF(OFFSET(H576,-6,0):H576,"&gt;0")+SUMIF(OFFSET(A576,-WEEKDAY(F576,2),0):A576,"=2",OFFSET(A576,-WEEKDAY(F576,2),0):A576)),IF(AND('депозитный калькулятор'!$G$10="еженедельное, на минимальную сумму зафиксированную в течение недели",F576='депозитный калькулятор'!$D$8,WEEKDAY(F576,2)&lt;&gt;7),MIN(OFFSET(H576,-WEEKDAY(F576,2),0):H576)*(COUNTIF(OFFSET(H576,-WEEKDAY(F576,2)+1,0):H576,"&gt;0")+SUM(OFFSET(A576,-WEEKDAY(F576,2),0):A576)),IF(AND('депозитный калькулятор'!$G$10="ежемесячное (в конце месяца)",F576='депозитный калькулятор'!$D$8,EOMONTH(F576,0)&lt;&gt;F576),IF('депозитный калькулятор'!$F$1=1,$H$24,SUM($H$23:H576)-SUM($I$23:I575)),IF(AND('депозитный калькулятор'!$G$10="ежемесячное (в конце месяца)",EOMONTH(F576,0)=F576),SUM($H$23:H576)-SUM($I$23:I575),IF(AND('депозитный калькулятор'!$G$10="ежемесячное (по дням открытия вклада)",F576='депозитный калькулятор'!$D$8,DAY('депозитный калькулятор'!$D$7)&lt;&gt;DAY(F576)),IF('депозитный калькулятор'!$F$1=1,$H$24,SUM($H$23:H576)-SUM($I$23:I575)),IF(AND('депозитный калькулятор'!$G$10="ежемесячное (по дням открытия вклада)",DAY('депозитный калькулятор'!$D$7)=DAY(F576)),SUM($H$23:H576)-SUM($I$23:I575),IF(AND('депозитный калькулятор'!$G$10="ежемесячное, на минимальную сумму зафиксированную в течение месяца",F576='депозитный калькулятор'!$D$8,EOMONTH(F576,0)&lt;&gt;F576),IF('депозитный калькулятор'!$F$1=1,$H$24,IF(AND(OR('депозитный калькулятор'!$G$7="30/365",'депозитный калькулятор'!$G$7="30/360"),DAY(F576)=31),0,MIN(OFFSET(H576,-E576+1,0):H576)*(E576+SUMIF(OFFSET(A576,-E576+1,0):A576,"=2",OFFSET(A576,-E576+1,0):A576)))),IF(AND('депозитный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калькулятор'!$G$7="30/360"),DAY(EOMONTH(F576,0))=31),EOMONTH(F576,0)-1=F576,EOMONTH(F576,0)=F576)),IF(IF(AND(OR('депозитный калькулятор'!$G$7="30/365",'депозитный калькулятор'!$G$7="30/360"),DAY(EOMONTH($F$23,0))=31),F576=EOMONTH($F$23,0)-1,F576=EOMONTH($F$23,0)),MIN(OFFSET(H576,-(DAY(F576)-DAY($F$23)),0):H576)*E576,MIN(OFFSET(H576,-(DAY(F576)-1),0):H576)*IF(AND(OR('депозитный калькулятор'!$G$7="30/365",'депозитный калькулятор'!$G$7="30/360"),DAY(F576)&lt;30),30,DAY(F576))),IF(AND('депозитный калькулятор'!$G$10="ежемесячное, на средний остаток в течение месяца, при условии что остаток больше чем ограничение",F576='депозитный калькулятор'!$D$8,EOMONTH(F576,0)&lt;&gt;F576),IF('депозитный калькулятор'!$F$1=1,$H$24,SUM(OFFSET(Q576,-E576+1,0):Q576)),IF(AND('депозитный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калькулятор'!$G$7="30/360"),DAY(EOMONTH(F576,0))=31),EOMONTH(F576,0)-1=F576,EOMONTH(F576,0)=F576)),IF(IF(AND(OR('депозитный калькулятор'!$G$7="30/365",'депозитный калькулятор'!$G$7="30/360"),DAY(EOMONTH($F$24,0))=31),F576=EOMONTH($F$24,0)-1,F576=EOMONTH($F$24,0)),SUM(OFFSET(Q576,-E576+1,0):Q576),SUM(OFFSET(Q576,-E576+1,0):Q576)),IF('депозитный калькулятор'!$G$10="ежеквартальное",IF(F576&gt;'депозитный калькулятор'!$D$8," ",IF(AND(EOMONTH(F576,0)=F576,OR(MONTH(F576)=3,MONTH(F576)=6,MONTH(F576)=9,MONTH(F576)=12)),IF(EDATE(F576,-3)&lt;'депозитный калькулятор'!$D$7,SUM($H$23:H576),IF(MOD(YEAR(F576),4)=0,IF(AND(EOMONTH(F576,0)=F576,OR(MONTH(F576)=3,MONTH(F576)=6)),SUM(OFFSET(H576,-90,0):H576),IF(AND(EOMONTH(F576,0)=F576,OR(MONTH(F576)=9,MONTH(F576)=12)),SUM(OFFSET(H576,-91,0):H576))),IF(AND(EOMONTH(F576,0)=F576,MONTH(F576)=3),SUM(OFFSET(H576,-89,0):H576),IF(AND(EOMONTH(F576,0)=F576,MONTH(F576)=6),SUM(OFFSET(H576,-90,0):H576),IF(AND(EOMONTH(F576,0)=F576,OR(MONTH(F576)=9,MONTH(F576)=12)),SUM(OFFSET(H576,-91,0):H576)))))),IF(F576='депозитный калькулятор'!$D$8,SUM($H$23:H576)-SUM($I$23:I575),0))),IF('депозитный калькулятор'!$G$10="ежегодное",IF(F576&gt;'депозитный калькулятор'!$D$8," ",IF(F576='депозитный калькулятор'!$D$8,SUM($H$23:H576)-SUM($I$23:I575),IF(AND(EOMONTH(F576,0)=F576,MONTH(F576)=12),IF(MOD(YEAR(F575),4)=0,IF(F576-'депозитный калькулятор'!$D$7&lt;366,SUM($H$23:H576),SUM(OFFSET(H576,-365,0):H576)),IF(F576-'депозитный калькулятор'!$D$7&lt;365,SUM($H$23:H576),SUM(OFFSET(H576,-364,0):H576))),0))),IF(AND('депозитный калькулятор'!$G$10="в конце срока",'депозитный калькулятор'!$D$8=F576),SUM($H$23:H576),0))))))))))))))))))</f>
        <v xml:space="preserve"> </v>
      </c>
      <c r="J576" s="59" t="str">
        <f>IF(F576&gt;'депозитный калькулятор'!$D$8," ",IF('депозитный калькулятор'!$G$16="нет",0,IF(AND('депозитный калькулятор'!$G$17="разовая (в конце срока)",F576='депозитный калькулятор'!$D$8),'депозитный калькулятор'!$G$18,IF(AND('депозитный калькулятор'!$G$17="ежемесячная",EOMONTH(F575,0)=F575),'депозитный калькулятор'!$G$18,IF(AND('депозитный калькулятор'!$G$17="ежегодная",DAY(F575)=31,MONTH(F575)=12),'депозитный калькулятор'!$G$18,IF(AND('депозитный калькулятор'!$G$17="ежемесячная в зависимости от остатка",EOMONTH(F575,0)=F575,P575&gt;0),'депозитный калькулятор'!$G$18,IF(AND('депозитный калькулятор'!$G$17="ежегодная в зависимости от остатка",DAY(F575)=31,MONTH(F575)=12,P575&gt;0),'депозитный калькулятор'!$G$18,0)))))))</f>
        <v xml:space="preserve"> </v>
      </c>
      <c r="K576" s="135" t="str">
        <f>IF($F576=" "," ",IFERROR(VLOOKUP($F576,'депозитный калькулятор'!$B$26:$F$70,2,0),0))</f>
        <v xml:space="preserve"> </v>
      </c>
      <c r="L576" s="135" t="str">
        <f>IF($F576=" "," ",IFERROR(VLOOKUP($F576,'депозитный калькулятор'!$B$26:$F$70,3,0),0))</f>
        <v xml:space="preserve"> </v>
      </c>
      <c r="M576" s="135" t="str">
        <f>IF($F576=" "," ",IFERROR(VLOOKUP($F576,'депозитный калькулятор'!$B$26:$F$70,4,0),0))</f>
        <v xml:space="preserve"> </v>
      </c>
      <c r="N576" s="135" t="str">
        <f>IF($F576=" "," ",IFERROR(VLOOKUP($F576,'депозитный калькулятор'!$B$26:$F$70,5,0),0))</f>
        <v xml:space="preserve"> </v>
      </c>
      <c r="O576" s="146" t="str">
        <f>IF(F576&gt;'депозитный калькулятор'!$D$8," ",IF(F576='депозитный калькулятор'!$D$8,IF(AND($F$24='депозитный калькулятор'!$D$8,'депозитный калькулятор'!$G$13="нет"),-G576-IF(I576=" ",0,I576)-IF(AND(OR('депозитный калькулятор'!$G$7="30/365",'депозитный калькулятор'!$G$7="30/360"),'депозитный калькулятор'!$G$10="в начале срока"),I575,0)-L576+M576-N576,-G576-IF(I576=" ",0,I576)-L576+M576-N576),IF('депозитный калькулятор'!$G$13="есть",M576-N576+IF('депозитный калькулятор'!$G$14="есть",0,-L576),-IF(I576=" ",0,I576)-IF(AND(OR('депозитный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срока"),I575,0)+M576-N576+IF('депозитный калькулятор'!$G$14="есть",0,-L576))))</f>
        <v xml:space="preserve"> </v>
      </c>
      <c r="P576" s="147" t="str">
        <f>IF(F576&gt;'депозитный калькулятор'!$D$8," ",IF(EOMONTH(F575,0)=F575,0,IF(G576&gt;='депозитный калькулятор'!$G$19,P575,P575+1)))</f>
        <v xml:space="preserve"> </v>
      </c>
      <c r="Q576" s="138" t="str">
        <f>IF(F576=" "," ",IF(AND(OR('депозитный калькулятор'!$G$7="30/365",'депозитный калькулятор'!$G$7="30/360"),AND(MONTH(F576)=2,EOMONTH(F576,0)=F576)),IF(DAY(F576)=28,3,2),1)*IF(G576&gt;='депозитный калькулятор'!$G$11,IF(AND('депозитный калькулятор'!$G$7="факт/факт",MOD(YEAR(F576),4)=0),G576*'депозитный калькулятор'!$D$11/366,G576*'депозитный калькулятор'!$G$8),0))</f>
        <v xml:space="preserve"> </v>
      </c>
      <c r="R576" s="158"/>
      <c r="S576" s="62" t="str">
        <f t="shared" ca="1" si="42"/>
        <v xml:space="preserve"> </v>
      </c>
      <c r="T576" s="149" t="str">
        <f ca="1">IF(S576=" "," ",IF('депозитный калькулятор'!$G$7="30/360",DAYS360(U575,IF(DAY(U576)=31,U576-1,U576))+IF(AND(MONTH(U576)=2,U576=EOMONTH(U576,0)),30-DAY(EOMONTH(U576,0)))+T575,VLOOKUP(S576,$C$22:$F$1023,2,0)))</f>
        <v xml:space="preserve"> </v>
      </c>
      <c r="U576" s="64" t="str">
        <f t="shared" ca="1" si="40"/>
        <v xml:space="preserve"> </v>
      </c>
      <c r="V576" s="150" t="str">
        <f t="shared" ca="1" si="43"/>
        <v xml:space="preserve"> </v>
      </c>
      <c r="W576" s="62" t="str">
        <f t="shared" ca="1" si="44"/>
        <v xml:space="preserve"> </v>
      </c>
      <c r="X576" s="141" t="str">
        <f ca="1">IF(S576=" "," ",IFERROR(VLOOKUP(U576,$F$23:$N$1023,7)+VLOOKUP(U576,$F$23:$N$1023,9)+IF(AND('депозитный калькулятор'!$G$13="нет",U576&lt;&gt;'депозитный калькулятор'!$D$8),VLOOKUP(U576,$F$23:$N$1023,4),0),0)+IF(U576='депозитный калькулятор'!$D$8,VLOOKUP(U576,$F$23:$N$1023,2)+VLOOKUP(U576,$F$23:$N$1023,4),0))</f>
        <v xml:space="preserve"> </v>
      </c>
      <c r="Y576" s="142" t="str">
        <f ca="1">IF(S576=" "," ",W576/(1+'депозитный калькулятор'!$K$8)^(T576/IF('депозитный калькулятор'!$G$7="30/360",360,365)))</f>
        <v xml:space="preserve"> </v>
      </c>
      <c r="Z576" s="142" t="str">
        <f ca="1">IF(S576=" "," ",X576/(1+'депозитный калькулятор'!$K$8)^(T576/IF('депозитный калькулятор'!$G$7="30/360",360,365)))</f>
        <v xml:space="preserve"> </v>
      </c>
      <c r="AA576" s="151"/>
      <c r="AB576" s="151"/>
      <c r="AC576" s="155"/>
      <c r="AD576" s="155"/>
    </row>
    <row r="577" spans="1:30" s="2" customFormat="1" ht="15.5" x14ac:dyDescent="0.35">
      <c r="A577" s="41" t="str">
        <f>IF(F577=" "," ",IF(OR('депозитный калькулятор'!$G$7="30/365",'депозитный калькулятор'!$G$7="30/360"),IF(AND(MONTH(F577)=2,DAY(F577)=DAY(EOMONTH(F577,0))),30-DAY(EOMONTH(F577,0)),IF(DAY(F577)=31,1," "))," "))</f>
        <v xml:space="preserve"> </v>
      </c>
      <c r="B577" s="130" t="str">
        <f t="shared" si="41"/>
        <v xml:space="preserve"> </v>
      </c>
      <c r="C577" s="130" t="str">
        <f>IF(OR(B577=0,B577=" ")," ",SUM($B$23:B577))</f>
        <v xml:space="preserve"> </v>
      </c>
      <c r="D577" s="62" t="str">
        <f>IF(D576=" "," ",IF(OR(F576='депозитный калькулятор'!$D$8,F576=" ")," ",D576+1))</f>
        <v xml:space="preserve"> </v>
      </c>
      <c r="E577" s="130" t="str">
        <f>IF(OR(F576='депозитный калькулятор'!$D$8,F576=" ")," ",IF(EOMONTH(F576,0)=F576,1,E576+1))</f>
        <v xml:space="preserve"> </v>
      </c>
      <c r="F577" s="64" t="str">
        <f>IF(F576=" "," ",IF(F576='депозитный калькулятор'!$D$8," ",F576+1))</f>
        <v xml:space="preserve"> </v>
      </c>
      <c r="G577" s="145" t="str">
        <f xml:space="preserve"> IF(F577&gt;'депозитный калькулятор'!$D$8," ",IF('депозитный калькулятор'!$G$13="есть",IF('депозитный калькулятор'!$G$14="есть",G576+IF(I576=" ",0,I576)-J577-K577+L577+M577-N577,G576+IF(I576=" ",0,I576)-J577-K577+M577-N577),IF('депозитный калькулятор'!$G$14="есть",G576-J577-K577+L577+M577-N577,G576-J577-K577+M577-N577)))</f>
        <v xml:space="preserve"> </v>
      </c>
      <c r="H577" s="133" t="str">
        <f>IF(F577&gt;'депозитный калькулятор'!$D$8," ",IF(AND(OR('депозитный калькулятор'!$G$7="30/365",'депозитный калькулятор'!$G$7="30/360"),AND(MONTH(F577)=2,EOMONTH(F577,0)=F577)),IF(DAY(F577)=28,3*G577*'депозитный калькулятор'!$G$8,2*G577*'депозитный калькулятор'!$G$8),IF(AND(OR('депозитный калькулятор'!$G$7="30/365",'депозитный калькулятор'!$G$7="30/360"),DAY(F577)=31)," ",IF(AND('депозитный калькулятор'!$G$7="факт/факт",MOD(YEAR(F577),4)=0),G577*'депозитный калькулятор'!$D$11/366,G577*'депозитный калькулятор'!$G$8))))</f>
        <v xml:space="preserve"> </v>
      </c>
      <c r="I577" s="134" t="str">
        <f ca="1">IF(F577=" "," ",IF('депозитный калькулятор'!$G$10="ежедневное",H577,IF(AND('депозитный калькулятор'!$G$10="еженедельное",WEEKDAY(F577,2)=7),SUM(OFFSET(H577,-6,0):H577),IF(AND('депозитный калькулятор'!$G$10="еженедельное",F577='депозитный калькулятор'!$D$8),SUM($H$23:H577)-SUM($I$23:I576),IF(AND('депозитный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недели",WEEKDAY(F577,2)=7),MIN(OFFSET(H577,-6,0):H577)*(COUNTIF(OFFSET(H577,-6,0):H577,"&gt;0")+SUMIF(OFFSET(A577,-WEEKDAY(F577,2),0):A577,"=2",OFFSET(A577,-WEEKDAY(F577,2),0):A577)),IF(AND('депозитный калькулятор'!$G$10="еженедельное, на минимальную сумму зафиксированную в течение недели",F577='депозитный калькулятор'!$D$8,WEEKDAY(F577,2)&lt;&gt;7),MIN(OFFSET(H577,-WEEKDAY(F577,2),0):H577)*(COUNTIF(OFFSET(H577,-WEEKDAY(F577,2)+1,0):H577,"&gt;0")+SUM(OFFSET(A577,-WEEKDAY(F577,2),0):A577)),IF(AND('депозитный калькулятор'!$G$10="ежемесячное (в конце месяца)",F577='депозитный калькулятор'!$D$8,EOMONTH(F577,0)&lt;&gt;F577),IF('депозитный калькулятор'!$F$1=1,$H$24,SUM($H$23:H577)-SUM($I$23:I576)),IF(AND('депозитный калькулятор'!$G$10="ежемесячное (в конце месяца)",EOMONTH(F577,0)=F577),SUM($H$23:H577)-SUM($I$23:I576),IF(AND('депозитный калькулятор'!$G$10="ежемесячное (по дням открытия вклада)",F577='депозитный калькулятор'!$D$8,DAY('депозитный калькулятор'!$D$7)&lt;&gt;DAY(F577)),IF('депозитный калькулятор'!$F$1=1,$H$24,SUM($H$23:H577)-SUM($I$23:I576)),IF(AND('депозитный калькулятор'!$G$10="ежемесячное (по дням открытия вклада)",DAY('депозитный калькулятор'!$D$7)=DAY(F577)),SUM($H$23:H577)-SUM($I$23:I576),IF(AND('депозитный калькулятор'!$G$10="ежемесячное, на минимальную сумму зафиксированную в течение месяца",F577='депозитный калькулятор'!$D$8,EOMONTH(F577,0)&lt;&gt;F577),IF('депозитный калькулятор'!$F$1=1,$H$24,IF(AND(OR('депозитный калькулятор'!$G$7="30/365",'депозитный калькулятор'!$G$7="30/360"),DAY(F577)=31),0,MIN(OFFSET(H577,-E577+1,0):H577)*(E577+SUMIF(OFFSET(A577,-E577+1,0):A577,"=2",OFFSET(A577,-E577+1,0):A577)))),IF(AND('депозитный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калькулятор'!$G$7="30/360"),DAY(EOMONTH(F577,0))=31),EOMONTH(F577,0)-1=F577,EOMONTH(F577,0)=F577)),IF(IF(AND(OR('депозитный калькулятор'!$G$7="30/365",'депозитный калькулятор'!$G$7="30/360"),DAY(EOMONTH($F$23,0))=31),F577=EOMONTH($F$23,0)-1,F577=EOMONTH($F$23,0)),MIN(OFFSET(H577,-(DAY(F577)-DAY($F$23)),0):H577)*E577,MIN(OFFSET(H577,-(DAY(F577)-1),0):H577)*IF(AND(OR('депозитный калькулятор'!$G$7="30/365",'депозитный калькулятор'!$G$7="30/360"),DAY(F577)&lt;30),30,DAY(F577))),IF(AND('депозитный калькулятор'!$G$10="ежемесячное, на средний остаток в течение месяца, при условии что остаток больше чем ограничение",F577='депозитный калькулятор'!$D$8,EOMONTH(F577,0)&lt;&gt;F577),IF('депозитный калькулятор'!$F$1=1,$H$24,SUM(OFFSET(Q577,-E577+1,0):Q577)),IF(AND('депозитный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калькулятор'!$G$7="30/360"),DAY(EOMONTH(F577,0))=31),EOMONTH(F577,0)-1=F577,EOMONTH(F577,0)=F577)),IF(IF(AND(OR('депозитный калькулятор'!$G$7="30/365",'депозитный калькулятор'!$G$7="30/360"),DAY(EOMONTH($F$24,0))=31),F577=EOMONTH($F$24,0)-1,F577=EOMONTH($F$24,0)),SUM(OFFSET(Q577,-E577+1,0):Q577),SUM(OFFSET(Q577,-E577+1,0):Q577)),IF('депозитный калькулятор'!$G$10="ежеквартальное",IF(F577&gt;'депозитный калькулятор'!$D$8," ",IF(AND(EOMONTH(F577,0)=F577,OR(MONTH(F577)=3,MONTH(F577)=6,MONTH(F577)=9,MONTH(F577)=12)),IF(EDATE(F577,-3)&lt;'депозитный калькулятор'!$D$7,SUM($H$23:H577),IF(MOD(YEAR(F577),4)=0,IF(AND(EOMONTH(F577,0)=F577,OR(MONTH(F577)=3,MONTH(F577)=6)),SUM(OFFSET(H577,-90,0):H577),IF(AND(EOMONTH(F577,0)=F577,OR(MONTH(F577)=9,MONTH(F577)=12)),SUM(OFFSET(H577,-91,0):H577))),IF(AND(EOMONTH(F577,0)=F577,MONTH(F577)=3),SUM(OFFSET(H577,-89,0):H577),IF(AND(EOMONTH(F577,0)=F577,MONTH(F577)=6),SUM(OFFSET(H577,-90,0):H577),IF(AND(EOMONTH(F577,0)=F577,OR(MONTH(F577)=9,MONTH(F577)=12)),SUM(OFFSET(H577,-91,0):H577)))))),IF(F577='депозитный калькулятор'!$D$8,SUM($H$23:H577)-SUM($I$23:I576),0))),IF('депозитный калькулятор'!$G$10="ежегодное",IF(F577&gt;'депозитный калькулятор'!$D$8," ",IF(F577='депозитный калькулятор'!$D$8,SUM($H$23:H577)-SUM($I$23:I576),IF(AND(EOMONTH(F577,0)=F577,MONTH(F577)=12),IF(MOD(YEAR(F576),4)=0,IF(F577-'депозитный калькулятор'!$D$7&lt;366,SUM($H$23:H577),SUM(OFFSET(H577,-365,0):H577)),IF(F577-'депозитный калькулятор'!$D$7&lt;365,SUM($H$23:H577),SUM(OFFSET(H577,-364,0):H577))),0))),IF(AND('депозитный калькулятор'!$G$10="в конце срока",'депозитный калькулятор'!$D$8=F577),SUM($H$23:H577),0))))))))))))))))))</f>
        <v xml:space="preserve"> </v>
      </c>
      <c r="J577" s="59" t="str">
        <f>IF(F577&gt;'депозитный калькулятор'!$D$8," ",IF('депозитный калькулятор'!$G$16="нет",0,IF(AND('депозитный калькулятор'!$G$17="разовая (в конце срока)",F577='депозитный калькулятор'!$D$8),'депозитный калькулятор'!$G$18,IF(AND('депозитный калькулятор'!$G$17="ежемесячная",EOMONTH(F576,0)=F576),'депозитный калькулятор'!$G$18,IF(AND('депозитный калькулятор'!$G$17="ежегодная",DAY(F576)=31,MONTH(F576)=12),'депозитный калькулятор'!$G$18,IF(AND('депозитный калькулятор'!$G$17="ежемесячная в зависимости от остатка",EOMONTH(F576,0)=F576,P576&gt;0),'депозитный калькулятор'!$G$18,IF(AND('депозитный калькулятор'!$G$17="ежегодная в зависимости от остатка",DAY(F576)=31,MONTH(F576)=12,P576&gt;0),'депозитный калькулятор'!$G$18,0)))))))</f>
        <v xml:space="preserve"> </v>
      </c>
      <c r="K577" s="135" t="str">
        <f>IF($F577=" "," ",IFERROR(VLOOKUP($F577,'депозитный калькулятор'!$B$26:$F$70,2,0),0))</f>
        <v xml:space="preserve"> </v>
      </c>
      <c r="L577" s="135" t="str">
        <f>IF($F577=" "," ",IFERROR(VLOOKUP($F577,'депозитный калькулятор'!$B$26:$F$70,3,0),0))</f>
        <v xml:space="preserve"> </v>
      </c>
      <c r="M577" s="135" t="str">
        <f>IF($F577=" "," ",IFERROR(VLOOKUP($F577,'депозитный калькулятор'!$B$26:$F$70,4,0),0))</f>
        <v xml:space="preserve"> </v>
      </c>
      <c r="N577" s="135" t="str">
        <f>IF($F577=" "," ",IFERROR(VLOOKUP($F577,'депозитный калькулятор'!$B$26:$F$70,5,0),0))</f>
        <v xml:space="preserve"> </v>
      </c>
      <c r="O577" s="146" t="str">
        <f>IF(F577&gt;'депозитный калькулятор'!$D$8," ",IF(F577='депозитный калькулятор'!$D$8,IF(AND($F$24='депозитный калькулятор'!$D$8,'депозитный калькулятор'!$G$13="нет"),-G577-IF(I577=" ",0,I577)-IF(AND(OR('депозитный калькулятор'!$G$7="30/365",'депозитный калькулятор'!$G$7="30/360"),'депозитный калькулятор'!$G$10="в начале срока"),I576,0)-L577+M577-N577,-G577-IF(I577=" ",0,I577)-L577+M577-N577),IF('депозитный калькулятор'!$G$13="есть",M577-N577+IF('депозитный калькулятор'!$G$14="есть",0,-L577),-IF(I577=" ",0,I577)-IF(AND(OR('депозитный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срока"),I576,0)+M577-N577+IF('депозитный калькулятор'!$G$14="есть",0,-L577))))</f>
        <v xml:space="preserve"> </v>
      </c>
      <c r="P577" s="147" t="str">
        <f>IF(F577&gt;'депозитный калькулятор'!$D$8," ",IF(EOMONTH(F576,0)=F576,0,IF(G577&gt;='депозитный калькулятор'!$G$19,P576,P576+1)))</f>
        <v xml:space="preserve"> </v>
      </c>
      <c r="Q577" s="138" t="str">
        <f>IF(F577=" "," ",IF(AND(OR('депозитный калькулятор'!$G$7="30/365",'депозитный калькулятор'!$G$7="30/360"),AND(MONTH(F577)=2,EOMONTH(F577,0)=F577)),IF(DAY(F577)=28,3,2),1)*IF(G577&gt;='депозитный калькулятор'!$G$11,IF(AND('депозитный калькулятор'!$G$7="факт/факт",MOD(YEAR(F577),4)=0),G577*'депозитный калькулятор'!$D$11/366,G577*'депозитный калькулятор'!$G$8),0))</f>
        <v xml:space="preserve"> </v>
      </c>
      <c r="R577" s="158"/>
      <c r="S577" s="62" t="str">
        <f t="shared" ca="1" si="42"/>
        <v xml:space="preserve"> </v>
      </c>
      <c r="T577" s="149" t="str">
        <f ca="1">IF(S577=" "," ",IF('депозитный калькулятор'!$G$7="30/360",DAYS360(U576,IF(DAY(U577)=31,U577-1,U577))+IF(AND(MONTH(U577)=2,U577=EOMONTH(U577,0)),30-DAY(EOMONTH(U577,0)))+T576,VLOOKUP(S577,$C$22:$F$1023,2,0)))</f>
        <v xml:space="preserve"> </v>
      </c>
      <c r="U577" s="64" t="str">
        <f t="shared" ca="1" si="40"/>
        <v xml:space="preserve"> </v>
      </c>
      <c r="V577" s="150" t="str">
        <f t="shared" ca="1" si="43"/>
        <v xml:space="preserve"> </v>
      </c>
      <c r="W577" s="62" t="str">
        <f t="shared" ca="1" si="44"/>
        <v xml:space="preserve"> </v>
      </c>
      <c r="X577" s="141" t="str">
        <f ca="1">IF(S577=" "," ",IFERROR(VLOOKUP(U577,$F$23:$N$1023,7)+VLOOKUP(U577,$F$23:$N$1023,9)+IF(AND('депозитный калькулятор'!$G$13="нет",U577&lt;&gt;'депозитный калькулятор'!$D$8),VLOOKUP(U577,$F$23:$N$1023,4),0),0)+IF(U577='депозитный калькулятор'!$D$8,VLOOKUP(U577,$F$23:$N$1023,2)+VLOOKUP(U577,$F$23:$N$1023,4),0))</f>
        <v xml:space="preserve"> </v>
      </c>
      <c r="Y577" s="142" t="str">
        <f ca="1">IF(S577=" "," ",W577/(1+'депозитный калькулятор'!$K$8)^(T577/IF('депозитный калькулятор'!$G$7="30/360",360,365)))</f>
        <v xml:space="preserve"> </v>
      </c>
      <c r="Z577" s="142" t="str">
        <f ca="1">IF(S577=" "," ",X577/(1+'депозитный калькулятор'!$K$8)^(T577/IF('депозитный калькулятор'!$G$7="30/360",360,365)))</f>
        <v xml:space="preserve"> </v>
      </c>
      <c r="AA577" s="151"/>
      <c r="AB577" s="151"/>
      <c r="AC577" s="155"/>
      <c r="AD577" s="155"/>
    </row>
    <row r="578" spans="1:30" s="2" customFormat="1" ht="15.5" x14ac:dyDescent="0.35">
      <c r="A578" s="41" t="str">
        <f>IF(F578=" "," ",IF(OR('депозитный калькулятор'!$G$7="30/365",'депозитный калькулятор'!$G$7="30/360"),IF(AND(MONTH(F578)=2,DAY(F578)=DAY(EOMONTH(F578,0))),30-DAY(EOMONTH(F578,0)),IF(DAY(F578)=31,1," "))," "))</f>
        <v xml:space="preserve"> </v>
      </c>
      <c r="B578" s="130" t="str">
        <f t="shared" si="41"/>
        <v xml:space="preserve"> </v>
      </c>
      <c r="C578" s="130" t="str">
        <f>IF(OR(B578=0,B578=" ")," ",SUM($B$23:B578))</f>
        <v xml:space="preserve"> </v>
      </c>
      <c r="D578" s="62" t="str">
        <f>IF(D577=" "," ",IF(OR(F577='депозитный калькулятор'!$D$8,F577=" ")," ",D577+1))</f>
        <v xml:space="preserve"> </v>
      </c>
      <c r="E578" s="130" t="str">
        <f>IF(OR(F577='депозитный калькулятор'!$D$8,F577=" ")," ",IF(EOMONTH(F577,0)=F577,1,E577+1))</f>
        <v xml:space="preserve"> </v>
      </c>
      <c r="F578" s="64" t="str">
        <f>IF(F577=" "," ",IF(F577='депозитный калькулятор'!$D$8," ",F577+1))</f>
        <v xml:space="preserve"> </v>
      </c>
      <c r="G578" s="145" t="str">
        <f xml:space="preserve"> IF(F578&gt;'депозитный калькулятор'!$D$8," ",IF('депозитный калькулятор'!$G$13="есть",IF('депозитный калькулятор'!$G$14="есть",G577+IF(I577=" ",0,I577)-J578-K578+L578+M578-N578,G577+IF(I577=" ",0,I577)-J578-K578+M578-N578),IF('депозитный калькулятор'!$G$14="есть",G577-J578-K578+L578+M578-N578,G577-J578-K578+M578-N578)))</f>
        <v xml:space="preserve"> </v>
      </c>
      <c r="H578" s="133" t="str">
        <f>IF(F578&gt;'депозитный калькулятор'!$D$8," ",IF(AND(OR('депозитный калькулятор'!$G$7="30/365",'депозитный калькулятор'!$G$7="30/360"),AND(MONTH(F578)=2,EOMONTH(F578,0)=F578)),IF(DAY(F578)=28,3*G578*'депозитный калькулятор'!$G$8,2*G578*'депозитный калькулятор'!$G$8),IF(AND(OR('депозитный калькулятор'!$G$7="30/365",'депозитный калькулятор'!$G$7="30/360"),DAY(F578)=31)," ",IF(AND('депозитный калькулятор'!$G$7="факт/факт",MOD(YEAR(F578),4)=0),G578*'депозитный калькулятор'!$D$11/366,G578*'депозитный калькулятор'!$G$8))))</f>
        <v xml:space="preserve"> </v>
      </c>
      <c r="I578" s="134" t="str">
        <f ca="1">IF(F578=" "," ",IF('депозитный калькулятор'!$G$10="ежедневное",H578,IF(AND('депозитный калькулятор'!$G$10="еженедельное",WEEKDAY(F578,2)=7),SUM(OFFSET(H578,-6,0):H578),IF(AND('депозитный калькулятор'!$G$10="еженедельное",F578='депозитный калькулятор'!$D$8),SUM($H$23:H578)-SUM($I$23:I577),IF(AND('депозитный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недели",WEEKDAY(F578,2)=7),MIN(OFFSET(H578,-6,0):H578)*(COUNTIF(OFFSET(H578,-6,0):H578,"&gt;0")+SUMIF(OFFSET(A578,-WEEKDAY(F578,2),0):A578,"=2",OFFSET(A578,-WEEKDAY(F578,2),0):A578)),IF(AND('депозитный калькулятор'!$G$10="еженедельное, на минимальную сумму зафиксированную в течение недели",F578='депозитный калькулятор'!$D$8,WEEKDAY(F578,2)&lt;&gt;7),MIN(OFFSET(H578,-WEEKDAY(F578,2),0):H578)*(COUNTIF(OFFSET(H578,-WEEKDAY(F578,2)+1,0):H578,"&gt;0")+SUM(OFFSET(A578,-WEEKDAY(F578,2),0):A578)),IF(AND('депозитный калькулятор'!$G$10="ежемесячное (в конце месяца)",F578='депозитный калькулятор'!$D$8,EOMONTH(F578,0)&lt;&gt;F578),IF('депозитный калькулятор'!$F$1=1,$H$24,SUM($H$23:H578)-SUM($I$23:I577)),IF(AND('депозитный калькулятор'!$G$10="ежемесячное (в конце месяца)",EOMONTH(F578,0)=F578),SUM($H$23:H578)-SUM($I$23:I577),IF(AND('депозитный калькулятор'!$G$10="ежемесячное (по дням открытия вклада)",F578='депозитный калькулятор'!$D$8,DAY('депозитный калькулятор'!$D$7)&lt;&gt;DAY(F578)),IF('депозитный калькулятор'!$F$1=1,$H$24,SUM($H$23:H578)-SUM($I$23:I577)),IF(AND('депозитный калькулятор'!$G$10="ежемесячное (по дням открытия вклада)",DAY('депозитный калькулятор'!$D$7)=DAY(F578)),SUM($H$23:H578)-SUM($I$23:I577),IF(AND('депозитный калькулятор'!$G$10="ежемесячное, на минимальную сумму зафиксированную в течение месяца",F578='депозитный калькулятор'!$D$8,EOMONTH(F578,0)&lt;&gt;F578),IF('депозитный калькулятор'!$F$1=1,$H$24,IF(AND(OR('депозитный калькулятор'!$G$7="30/365",'депозитный калькулятор'!$G$7="30/360"),DAY(F578)=31),0,MIN(OFFSET(H578,-E578+1,0):H578)*(E578+SUMIF(OFFSET(A578,-E578+1,0):A578,"=2",OFFSET(A578,-E578+1,0):A578)))),IF(AND('депозитный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калькулятор'!$G$7="30/360"),DAY(EOMONTH(F578,0))=31),EOMONTH(F578,0)-1=F578,EOMONTH(F578,0)=F578)),IF(IF(AND(OR('депозитный калькулятор'!$G$7="30/365",'депозитный калькулятор'!$G$7="30/360"),DAY(EOMONTH($F$23,0))=31),F578=EOMONTH($F$23,0)-1,F578=EOMONTH($F$23,0)),MIN(OFFSET(H578,-(DAY(F578)-DAY($F$23)),0):H578)*E578,MIN(OFFSET(H578,-(DAY(F578)-1),0):H578)*IF(AND(OR('депозитный калькулятор'!$G$7="30/365",'депозитный калькулятор'!$G$7="30/360"),DAY(F578)&lt;30),30,DAY(F578))),IF(AND('депозитный калькулятор'!$G$10="ежемесячное, на средний остаток в течение месяца, при условии что остаток больше чем ограничение",F578='депозитный калькулятор'!$D$8,EOMONTH(F578,0)&lt;&gt;F578),IF('депозитный калькулятор'!$F$1=1,$H$24,SUM(OFFSET(Q578,-E578+1,0):Q578)),IF(AND('депозитный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калькулятор'!$G$7="30/360"),DAY(EOMONTH(F578,0))=31),EOMONTH(F578,0)-1=F578,EOMONTH(F578,0)=F578)),IF(IF(AND(OR('депозитный калькулятор'!$G$7="30/365",'депозитный калькулятор'!$G$7="30/360"),DAY(EOMONTH($F$24,0))=31),F578=EOMONTH($F$24,0)-1,F578=EOMONTH($F$24,0)),SUM(OFFSET(Q578,-E578+1,0):Q578),SUM(OFFSET(Q578,-E578+1,0):Q578)),IF('депозитный калькулятор'!$G$10="ежеквартальное",IF(F578&gt;'депозитный калькулятор'!$D$8," ",IF(AND(EOMONTH(F578,0)=F578,OR(MONTH(F578)=3,MONTH(F578)=6,MONTH(F578)=9,MONTH(F578)=12)),IF(EDATE(F578,-3)&lt;'депозитный калькулятор'!$D$7,SUM($H$23:H578),IF(MOD(YEAR(F578),4)=0,IF(AND(EOMONTH(F578,0)=F578,OR(MONTH(F578)=3,MONTH(F578)=6)),SUM(OFFSET(H578,-90,0):H578),IF(AND(EOMONTH(F578,0)=F578,OR(MONTH(F578)=9,MONTH(F578)=12)),SUM(OFFSET(H578,-91,0):H578))),IF(AND(EOMONTH(F578,0)=F578,MONTH(F578)=3),SUM(OFFSET(H578,-89,0):H578),IF(AND(EOMONTH(F578,0)=F578,MONTH(F578)=6),SUM(OFFSET(H578,-90,0):H578),IF(AND(EOMONTH(F578,0)=F578,OR(MONTH(F578)=9,MONTH(F578)=12)),SUM(OFFSET(H578,-91,0):H578)))))),IF(F578='депозитный калькулятор'!$D$8,SUM($H$23:H578)-SUM($I$23:I577),0))),IF('депозитный калькулятор'!$G$10="ежегодное",IF(F578&gt;'депозитный калькулятор'!$D$8," ",IF(F578='депозитный калькулятор'!$D$8,SUM($H$23:H578)-SUM($I$23:I577),IF(AND(EOMONTH(F578,0)=F578,MONTH(F578)=12),IF(MOD(YEAR(F577),4)=0,IF(F578-'депозитный калькулятор'!$D$7&lt;366,SUM($H$23:H578),SUM(OFFSET(H578,-365,0):H578)),IF(F578-'депозитный калькулятор'!$D$7&lt;365,SUM($H$23:H578),SUM(OFFSET(H578,-364,0):H578))),0))),IF(AND('депозитный калькулятор'!$G$10="в конце срока",'депозитный калькулятор'!$D$8=F578),SUM($H$23:H578),0))))))))))))))))))</f>
        <v xml:space="preserve"> </v>
      </c>
      <c r="J578" s="59" t="str">
        <f>IF(F578&gt;'депозитный калькулятор'!$D$8," ",IF('депозитный калькулятор'!$G$16="нет",0,IF(AND('депозитный калькулятор'!$G$17="разовая (в конце срока)",F578='депозитный калькулятор'!$D$8),'депозитный калькулятор'!$G$18,IF(AND('депозитный калькулятор'!$G$17="ежемесячная",EOMONTH(F577,0)=F577),'депозитный калькулятор'!$G$18,IF(AND('депозитный калькулятор'!$G$17="ежегодная",DAY(F577)=31,MONTH(F577)=12),'депозитный калькулятор'!$G$18,IF(AND('депозитный калькулятор'!$G$17="ежемесячная в зависимости от остатка",EOMONTH(F577,0)=F577,P577&gt;0),'депозитный калькулятор'!$G$18,IF(AND('депозитный калькулятор'!$G$17="ежегодная в зависимости от остатка",DAY(F577)=31,MONTH(F577)=12,P577&gt;0),'депозитный калькулятор'!$G$18,0)))))))</f>
        <v xml:space="preserve"> </v>
      </c>
      <c r="K578" s="135" t="str">
        <f>IF($F578=" "," ",IFERROR(VLOOKUP($F578,'депозитный калькулятор'!$B$26:$F$70,2,0),0))</f>
        <v xml:space="preserve"> </v>
      </c>
      <c r="L578" s="135" t="str">
        <f>IF($F578=" "," ",IFERROR(VLOOKUP($F578,'депозитный калькулятор'!$B$26:$F$70,3,0),0))</f>
        <v xml:space="preserve"> </v>
      </c>
      <c r="M578" s="135" t="str">
        <f>IF($F578=" "," ",IFERROR(VLOOKUP($F578,'депозитный калькулятор'!$B$26:$F$70,4,0),0))</f>
        <v xml:space="preserve"> </v>
      </c>
      <c r="N578" s="135" t="str">
        <f>IF($F578=" "," ",IFERROR(VLOOKUP($F578,'депозитный калькулятор'!$B$26:$F$70,5,0),0))</f>
        <v xml:space="preserve"> </v>
      </c>
      <c r="O578" s="146" t="str">
        <f>IF(F578&gt;'депозитный калькулятор'!$D$8," ",IF(F578='депозитный калькулятор'!$D$8,IF(AND($F$24='депозитный калькулятор'!$D$8,'депозитный калькулятор'!$G$13="нет"),-G578-IF(I578=" ",0,I578)-IF(AND(OR('депозитный калькулятор'!$G$7="30/365",'депозитный калькулятор'!$G$7="30/360"),'депозитный калькулятор'!$G$10="в начале срока"),I577,0)-L578+M578-N578,-G578-IF(I578=" ",0,I578)-L578+M578-N578),IF('депозитный калькулятор'!$G$13="есть",M578-N578+IF('депозитный калькулятор'!$G$14="есть",0,-L578),-IF(I578=" ",0,I578)-IF(AND(OR('депозитный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срока"),I577,0)+M578-N578+IF('депозитный калькулятор'!$G$14="есть",0,-L578))))</f>
        <v xml:space="preserve"> </v>
      </c>
      <c r="P578" s="147" t="str">
        <f>IF(F578&gt;'депозитный калькулятор'!$D$8," ",IF(EOMONTH(F577,0)=F577,0,IF(G578&gt;='депозитный калькулятор'!$G$19,P577,P577+1)))</f>
        <v xml:space="preserve"> </v>
      </c>
      <c r="Q578" s="138" t="str">
        <f>IF(F578=" "," ",IF(AND(OR('депозитный калькулятор'!$G$7="30/365",'депозитный калькулятор'!$G$7="30/360"),AND(MONTH(F578)=2,EOMONTH(F578,0)=F578)),IF(DAY(F578)=28,3,2),1)*IF(G578&gt;='депозитный калькулятор'!$G$11,IF(AND('депозитный калькулятор'!$G$7="факт/факт",MOD(YEAR(F578),4)=0),G578*'депозитный калькулятор'!$D$11/366,G578*'депозитный калькулятор'!$G$8),0))</f>
        <v xml:space="preserve"> </v>
      </c>
      <c r="R578" s="158"/>
      <c r="S578" s="62" t="str">
        <f t="shared" ca="1" si="42"/>
        <v xml:space="preserve"> </v>
      </c>
      <c r="T578" s="149" t="str">
        <f ca="1">IF(S578=" "," ",IF('депозитный калькулятор'!$G$7="30/360",DAYS360(U577,IF(DAY(U578)=31,U578-1,U578))+IF(AND(MONTH(U578)=2,U578=EOMONTH(U578,0)),30-DAY(EOMONTH(U578,0)))+T577,VLOOKUP(S578,$C$22:$F$1023,2,0)))</f>
        <v xml:space="preserve"> </v>
      </c>
      <c r="U578" s="64" t="str">
        <f t="shared" ca="1" si="40"/>
        <v xml:space="preserve"> </v>
      </c>
      <c r="V578" s="150" t="str">
        <f t="shared" ca="1" si="43"/>
        <v xml:space="preserve"> </v>
      </c>
      <c r="W578" s="62" t="str">
        <f t="shared" ca="1" si="44"/>
        <v xml:space="preserve"> </v>
      </c>
      <c r="X578" s="141" t="str">
        <f ca="1">IF(S578=" "," ",IFERROR(VLOOKUP(U578,$F$23:$N$1023,7)+VLOOKUP(U578,$F$23:$N$1023,9)+IF(AND('депозитный калькулятор'!$G$13="нет",U578&lt;&gt;'депозитный калькулятор'!$D$8),VLOOKUP(U578,$F$23:$N$1023,4),0),0)+IF(U578='депозитный калькулятор'!$D$8,VLOOKUP(U578,$F$23:$N$1023,2)+VLOOKUP(U578,$F$23:$N$1023,4),0))</f>
        <v xml:space="preserve"> </v>
      </c>
      <c r="Y578" s="142" t="str">
        <f ca="1">IF(S578=" "," ",W578/(1+'депозитный калькулятор'!$K$8)^(T578/IF('депозитный калькулятор'!$G$7="30/360",360,365)))</f>
        <v xml:space="preserve"> </v>
      </c>
      <c r="Z578" s="142" t="str">
        <f ca="1">IF(S578=" "," ",X578/(1+'депозитный калькулятор'!$K$8)^(T578/IF('депозитный калькулятор'!$G$7="30/360",360,365)))</f>
        <v xml:space="preserve"> </v>
      </c>
      <c r="AA578" s="151"/>
      <c r="AB578" s="151"/>
      <c r="AC578" s="155"/>
      <c r="AD578" s="155"/>
    </row>
    <row r="579" spans="1:30" s="2" customFormat="1" ht="15.5" x14ac:dyDescent="0.35">
      <c r="A579" s="41" t="str">
        <f>IF(F579=" "," ",IF(OR('депозитный калькулятор'!$G$7="30/365",'депозитный калькулятор'!$G$7="30/360"),IF(AND(MONTH(F579)=2,DAY(F579)=DAY(EOMONTH(F579,0))),30-DAY(EOMONTH(F579,0)),IF(DAY(F579)=31,1," "))," "))</f>
        <v xml:space="preserve"> </v>
      </c>
      <c r="B579" s="130" t="str">
        <f t="shared" si="41"/>
        <v xml:space="preserve"> </v>
      </c>
      <c r="C579" s="130" t="str">
        <f>IF(OR(B579=0,B579=" ")," ",SUM($B$23:B579))</f>
        <v xml:space="preserve"> </v>
      </c>
      <c r="D579" s="62" t="str">
        <f>IF(D578=" "," ",IF(OR(F578='депозитный калькулятор'!$D$8,F578=" ")," ",D578+1))</f>
        <v xml:space="preserve"> </v>
      </c>
      <c r="E579" s="130" t="str">
        <f>IF(OR(F578='депозитный калькулятор'!$D$8,F578=" ")," ",IF(EOMONTH(F578,0)=F578,1,E578+1))</f>
        <v xml:space="preserve"> </v>
      </c>
      <c r="F579" s="64" t="str">
        <f>IF(F578=" "," ",IF(F578='депозитный калькулятор'!$D$8," ",F578+1))</f>
        <v xml:space="preserve"> </v>
      </c>
      <c r="G579" s="145" t="str">
        <f xml:space="preserve"> IF(F579&gt;'депозитный калькулятор'!$D$8," ",IF('депозитный калькулятор'!$G$13="есть",IF('депозитный калькулятор'!$G$14="есть",G578+IF(I578=" ",0,I578)-J579-K579+L579+M579-N579,G578+IF(I578=" ",0,I578)-J579-K579+M579-N579),IF('депозитный калькулятор'!$G$14="есть",G578-J579-K579+L579+M579-N579,G578-J579-K579+M579-N579)))</f>
        <v xml:space="preserve"> </v>
      </c>
      <c r="H579" s="133" t="str">
        <f>IF(F579&gt;'депозитный калькулятор'!$D$8," ",IF(AND(OR('депозитный калькулятор'!$G$7="30/365",'депозитный калькулятор'!$G$7="30/360"),AND(MONTH(F579)=2,EOMONTH(F579,0)=F579)),IF(DAY(F579)=28,3*G579*'депозитный калькулятор'!$G$8,2*G579*'депозитный калькулятор'!$G$8),IF(AND(OR('депозитный калькулятор'!$G$7="30/365",'депозитный калькулятор'!$G$7="30/360"),DAY(F579)=31)," ",IF(AND('депозитный калькулятор'!$G$7="факт/факт",MOD(YEAR(F579),4)=0),G579*'депозитный калькулятор'!$D$11/366,G579*'депозитный калькулятор'!$G$8))))</f>
        <v xml:space="preserve"> </v>
      </c>
      <c r="I579" s="134" t="str">
        <f ca="1">IF(F579=" "," ",IF('депозитный калькулятор'!$G$10="ежедневное",H579,IF(AND('депозитный калькулятор'!$G$10="еженедельное",WEEKDAY(F579,2)=7),SUM(OFFSET(H579,-6,0):H579),IF(AND('депозитный калькулятор'!$G$10="еженедельное",F579='депозитный калькулятор'!$D$8),SUM($H$23:H579)-SUM($I$23:I578),IF(AND('депозитный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недели",WEEKDAY(F579,2)=7),MIN(OFFSET(H579,-6,0):H579)*(COUNTIF(OFFSET(H579,-6,0):H579,"&gt;0")+SUMIF(OFFSET(A579,-WEEKDAY(F579,2),0):A579,"=2",OFFSET(A579,-WEEKDAY(F579,2),0):A579)),IF(AND('депозитный калькулятор'!$G$10="еженедельное, на минимальную сумму зафиксированную в течение недели",F579='депозитный калькулятор'!$D$8,WEEKDAY(F579,2)&lt;&gt;7),MIN(OFFSET(H579,-WEEKDAY(F579,2),0):H579)*(COUNTIF(OFFSET(H579,-WEEKDAY(F579,2)+1,0):H579,"&gt;0")+SUM(OFFSET(A579,-WEEKDAY(F579,2),0):A579)),IF(AND('депозитный калькулятор'!$G$10="ежемесячное (в конце месяца)",F579='депозитный калькулятор'!$D$8,EOMONTH(F579,0)&lt;&gt;F579),IF('депозитный калькулятор'!$F$1=1,$H$24,SUM($H$23:H579)-SUM($I$23:I578)),IF(AND('депозитный калькулятор'!$G$10="ежемесячное (в конце месяца)",EOMONTH(F579,0)=F579),SUM($H$23:H579)-SUM($I$23:I578),IF(AND('депозитный калькулятор'!$G$10="ежемесячное (по дням открытия вклада)",F579='депозитный калькулятор'!$D$8,DAY('депозитный калькулятор'!$D$7)&lt;&gt;DAY(F579)),IF('депозитный калькулятор'!$F$1=1,$H$24,SUM($H$23:H579)-SUM($I$23:I578)),IF(AND('депозитный калькулятор'!$G$10="ежемесячное (по дням открытия вклада)",DAY('депозитный калькулятор'!$D$7)=DAY(F579)),SUM($H$23:H579)-SUM($I$23:I578),IF(AND('депозитный калькулятор'!$G$10="ежемесячное, на минимальную сумму зафиксированную в течение месяца",F579='депозитный калькулятор'!$D$8,EOMONTH(F579,0)&lt;&gt;F579),IF('депозитный калькулятор'!$F$1=1,$H$24,IF(AND(OR('депозитный калькулятор'!$G$7="30/365",'депозитный калькулятор'!$G$7="30/360"),DAY(F579)=31),0,MIN(OFFSET(H579,-E579+1,0):H579)*(E579+SUMIF(OFFSET(A579,-E579+1,0):A579,"=2",OFFSET(A579,-E579+1,0):A579)))),IF(AND('депозитный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калькулятор'!$G$7="30/360"),DAY(EOMONTH(F579,0))=31),EOMONTH(F579,0)-1=F579,EOMONTH(F579,0)=F579)),IF(IF(AND(OR('депозитный калькулятор'!$G$7="30/365",'депозитный калькулятор'!$G$7="30/360"),DAY(EOMONTH($F$23,0))=31),F579=EOMONTH($F$23,0)-1,F579=EOMONTH($F$23,0)),MIN(OFFSET(H579,-(DAY(F579)-DAY($F$23)),0):H579)*E579,MIN(OFFSET(H579,-(DAY(F579)-1),0):H579)*IF(AND(OR('депозитный калькулятор'!$G$7="30/365",'депозитный калькулятор'!$G$7="30/360"),DAY(F579)&lt;30),30,DAY(F579))),IF(AND('депозитный калькулятор'!$G$10="ежемесячное, на средний остаток в течение месяца, при условии что остаток больше чем ограничение",F579='депозитный калькулятор'!$D$8,EOMONTH(F579,0)&lt;&gt;F579),IF('депозитный калькулятор'!$F$1=1,$H$24,SUM(OFFSET(Q579,-E579+1,0):Q579)),IF(AND('депозитный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калькулятор'!$G$7="30/360"),DAY(EOMONTH(F579,0))=31),EOMONTH(F579,0)-1=F579,EOMONTH(F579,0)=F579)),IF(IF(AND(OR('депозитный калькулятор'!$G$7="30/365",'депозитный калькулятор'!$G$7="30/360"),DAY(EOMONTH($F$24,0))=31),F579=EOMONTH($F$24,0)-1,F579=EOMONTH($F$24,0)),SUM(OFFSET(Q579,-E579+1,0):Q579),SUM(OFFSET(Q579,-E579+1,0):Q579)),IF('депозитный калькулятор'!$G$10="ежеквартальное",IF(F579&gt;'депозитный калькулятор'!$D$8," ",IF(AND(EOMONTH(F579,0)=F579,OR(MONTH(F579)=3,MONTH(F579)=6,MONTH(F579)=9,MONTH(F579)=12)),IF(EDATE(F579,-3)&lt;'депозитный калькулятор'!$D$7,SUM($H$23:H579),IF(MOD(YEAR(F579),4)=0,IF(AND(EOMONTH(F579,0)=F579,OR(MONTH(F579)=3,MONTH(F579)=6)),SUM(OFFSET(H579,-90,0):H579),IF(AND(EOMONTH(F579,0)=F579,OR(MONTH(F579)=9,MONTH(F579)=12)),SUM(OFFSET(H579,-91,0):H579))),IF(AND(EOMONTH(F579,0)=F579,MONTH(F579)=3),SUM(OFFSET(H579,-89,0):H579),IF(AND(EOMONTH(F579,0)=F579,MONTH(F579)=6),SUM(OFFSET(H579,-90,0):H579),IF(AND(EOMONTH(F579,0)=F579,OR(MONTH(F579)=9,MONTH(F579)=12)),SUM(OFFSET(H579,-91,0):H579)))))),IF(F579='депозитный калькулятор'!$D$8,SUM($H$23:H579)-SUM($I$23:I578),0))),IF('депозитный калькулятор'!$G$10="ежегодное",IF(F579&gt;'депозитный калькулятор'!$D$8," ",IF(F579='депозитный калькулятор'!$D$8,SUM($H$23:H579)-SUM($I$23:I578),IF(AND(EOMONTH(F579,0)=F579,MONTH(F579)=12),IF(MOD(YEAR(F578),4)=0,IF(F579-'депозитный калькулятор'!$D$7&lt;366,SUM($H$23:H579),SUM(OFFSET(H579,-365,0):H579)),IF(F579-'депозитный калькулятор'!$D$7&lt;365,SUM($H$23:H579),SUM(OFFSET(H579,-364,0):H579))),0))),IF(AND('депозитный калькулятор'!$G$10="в конце срока",'депозитный калькулятор'!$D$8=F579),SUM($H$23:H579),0))))))))))))))))))</f>
        <v xml:space="preserve"> </v>
      </c>
      <c r="J579" s="59" t="str">
        <f>IF(F579&gt;'депозитный калькулятор'!$D$8," ",IF('депозитный калькулятор'!$G$16="нет",0,IF(AND('депозитный калькулятор'!$G$17="разовая (в конце срока)",F579='депозитный калькулятор'!$D$8),'депозитный калькулятор'!$G$18,IF(AND('депозитный калькулятор'!$G$17="ежемесячная",EOMONTH(F578,0)=F578),'депозитный калькулятор'!$G$18,IF(AND('депозитный калькулятор'!$G$17="ежегодная",DAY(F578)=31,MONTH(F578)=12),'депозитный калькулятор'!$G$18,IF(AND('депозитный калькулятор'!$G$17="ежемесячная в зависимости от остатка",EOMONTH(F578,0)=F578,P578&gt;0),'депозитный калькулятор'!$G$18,IF(AND('депозитный калькулятор'!$G$17="ежегодная в зависимости от остатка",DAY(F578)=31,MONTH(F578)=12,P578&gt;0),'депозитный калькулятор'!$G$18,0)))))))</f>
        <v xml:space="preserve"> </v>
      </c>
      <c r="K579" s="135" t="str">
        <f>IF($F579=" "," ",IFERROR(VLOOKUP($F579,'депозитный калькулятор'!$B$26:$F$70,2,0),0))</f>
        <v xml:space="preserve"> </v>
      </c>
      <c r="L579" s="135" t="str">
        <f>IF($F579=" "," ",IFERROR(VLOOKUP($F579,'депозитный калькулятор'!$B$26:$F$70,3,0),0))</f>
        <v xml:space="preserve"> </v>
      </c>
      <c r="M579" s="135" t="str">
        <f>IF($F579=" "," ",IFERROR(VLOOKUP($F579,'депозитный калькулятор'!$B$26:$F$70,4,0),0))</f>
        <v xml:space="preserve"> </v>
      </c>
      <c r="N579" s="135" t="str">
        <f>IF($F579=" "," ",IFERROR(VLOOKUP($F579,'депозитный калькулятор'!$B$26:$F$70,5,0),0))</f>
        <v xml:space="preserve"> </v>
      </c>
      <c r="O579" s="146" t="str">
        <f>IF(F579&gt;'депозитный калькулятор'!$D$8," ",IF(F579='депозитный калькулятор'!$D$8,IF(AND($F$24='депозитный калькулятор'!$D$8,'депозитный калькулятор'!$G$13="нет"),-G579-IF(I579=" ",0,I579)-IF(AND(OR('депозитный калькулятор'!$G$7="30/365",'депозитный калькулятор'!$G$7="30/360"),'депозитный калькулятор'!$G$10="в начале срока"),I578,0)-L579+M579-N579,-G579-IF(I579=" ",0,I579)-L579+M579-N579),IF('депозитный калькулятор'!$G$13="есть",M579-N579+IF('депозитный калькулятор'!$G$14="есть",0,-L579),-IF(I579=" ",0,I579)-IF(AND(OR('депозитный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срока"),I578,0)+M579-N579+IF('депозитный калькулятор'!$G$14="есть",0,-L579))))</f>
        <v xml:space="preserve"> </v>
      </c>
      <c r="P579" s="147" t="str">
        <f>IF(F579&gt;'депозитный калькулятор'!$D$8," ",IF(EOMONTH(F578,0)=F578,0,IF(G579&gt;='депозитный калькулятор'!$G$19,P578,P578+1)))</f>
        <v xml:space="preserve"> </v>
      </c>
      <c r="Q579" s="138" t="str">
        <f>IF(F579=" "," ",IF(AND(OR('депозитный калькулятор'!$G$7="30/365",'депозитный калькулятор'!$G$7="30/360"),AND(MONTH(F579)=2,EOMONTH(F579,0)=F579)),IF(DAY(F579)=28,3,2),1)*IF(G579&gt;='депозитный калькулятор'!$G$11,IF(AND('депозитный калькулятор'!$G$7="факт/факт",MOD(YEAR(F579),4)=0),G579*'депозитный калькулятор'!$D$11/366,G579*'депозитный калькулятор'!$G$8),0))</f>
        <v xml:space="preserve"> </v>
      </c>
      <c r="R579" s="158"/>
      <c r="S579" s="62" t="str">
        <f t="shared" ca="1" si="42"/>
        <v xml:space="preserve"> </v>
      </c>
      <c r="T579" s="149" t="str">
        <f ca="1">IF(S579=" "," ",IF('депозитный калькулятор'!$G$7="30/360",DAYS360(U578,IF(DAY(U579)=31,U579-1,U579))+IF(AND(MONTH(U579)=2,U579=EOMONTH(U579,0)),30-DAY(EOMONTH(U579,0)))+T578,VLOOKUP(S579,$C$22:$F$1023,2,0)))</f>
        <v xml:space="preserve"> </v>
      </c>
      <c r="U579" s="64" t="str">
        <f t="shared" ca="1" si="40"/>
        <v xml:space="preserve"> </v>
      </c>
      <c r="V579" s="150" t="str">
        <f t="shared" ca="1" si="43"/>
        <v xml:space="preserve"> </v>
      </c>
      <c r="W579" s="62" t="str">
        <f t="shared" ca="1" si="44"/>
        <v xml:space="preserve"> </v>
      </c>
      <c r="X579" s="141" t="str">
        <f ca="1">IF(S579=" "," ",IFERROR(VLOOKUP(U579,$F$23:$N$1023,7)+VLOOKUP(U579,$F$23:$N$1023,9)+IF(AND('депозитный калькулятор'!$G$13="нет",U579&lt;&gt;'депозитный калькулятор'!$D$8),VLOOKUP(U579,$F$23:$N$1023,4),0),0)+IF(U579='депозитный калькулятор'!$D$8,VLOOKUP(U579,$F$23:$N$1023,2)+VLOOKUP(U579,$F$23:$N$1023,4),0))</f>
        <v xml:space="preserve"> </v>
      </c>
      <c r="Y579" s="142" t="str">
        <f ca="1">IF(S579=" "," ",W579/(1+'депозитный калькулятор'!$K$8)^(T579/IF('депозитный калькулятор'!$G$7="30/360",360,365)))</f>
        <v xml:space="preserve"> </v>
      </c>
      <c r="Z579" s="142" t="str">
        <f ca="1">IF(S579=" "," ",X579/(1+'депозитный калькулятор'!$K$8)^(T579/IF('депозитный калькулятор'!$G$7="30/360",360,365)))</f>
        <v xml:space="preserve"> </v>
      </c>
      <c r="AA579" s="151"/>
      <c r="AB579" s="151"/>
      <c r="AC579" s="155"/>
      <c r="AD579" s="155"/>
    </row>
    <row r="580" spans="1:30" s="2" customFormat="1" ht="15.5" x14ac:dyDescent="0.35">
      <c r="A580" s="41" t="str">
        <f>IF(F580=" "," ",IF(OR('депозитный калькулятор'!$G$7="30/365",'депозитный калькулятор'!$G$7="30/360"),IF(AND(MONTH(F580)=2,DAY(F580)=DAY(EOMONTH(F580,0))),30-DAY(EOMONTH(F580,0)),IF(DAY(F580)=31,1," "))," "))</f>
        <v xml:space="preserve"> </v>
      </c>
      <c r="B580" s="130" t="str">
        <f t="shared" si="41"/>
        <v xml:space="preserve"> </v>
      </c>
      <c r="C580" s="130" t="str">
        <f>IF(OR(B580=0,B580=" ")," ",SUM($B$23:B580))</f>
        <v xml:space="preserve"> </v>
      </c>
      <c r="D580" s="62" t="str">
        <f>IF(D579=" "," ",IF(OR(F579='депозитный калькулятор'!$D$8,F579=" ")," ",D579+1))</f>
        <v xml:space="preserve"> </v>
      </c>
      <c r="E580" s="130" t="str">
        <f>IF(OR(F579='депозитный калькулятор'!$D$8,F579=" ")," ",IF(EOMONTH(F579,0)=F579,1,E579+1))</f>
        <v xml:space="preserve"> </v>
      </c>
      <c r="F580" s="64" t="str">
        <f>IF(F579=" "," ",IF(F579='депозитный калькулятор'!$D$8," ",F579+1))</f>
        <v xml:space="preserve"> </v>
      </c>
      <c r="G580" s="145" t="str">
        <f xml:space="preserve"> IF(F580&gt;'депозитный калькулятор'!$D$8," ",IF('депозитный калькулятор'!$G$13="есть",IF('депозитный калькулятор'!$G$14="есть",G579+IF(I579=" ",0,I579)-J580-K580+L580+M580-N580,G579+IF(I579=" ",0,I579)-J580-K580+M580-N580),IF('депозитный калькулятор'!$G$14="есть",G579-J580-K580+L580+M580-N580,G579-J580-K580+M580-N580)))</f>
        <v xml:space="preserve"> </v>
      </c>
      <c r="H580" s="133" t="str">
        <f>IF(F580&gt;'депозитный калькулятор'!$D$8," ",IF(AND(OR('депозитный калькулятор'!$G$7="30/365",'депозитный калькулятор'!$G$7="30/360"),AND(MONTH(F580)=2,EOMONTH(F580,0)=F580)),IF(DAY(F580)=28,3*G580*'депозитный калькулятор'!$G$8,2*G580*'депозитный калькулятор'!$G$8),IF(AND(OR('депозитный калькулятор'!$G$7="30/365",'депозитный калькулятор'!$G$7="30/360"),DAY(F580)=31)," ",IF(AND('депозитный калькулятор'!$G$7="факт/факт",MOD(YEAR(F580),4)=0),G580*'депозитный калькулятор'!$D$11/366,G580*'депозитный калькулятор'!$G$8))))</f>
        <v xml:space="preserve"> </v>
      </c>
      <c r="I580" s="134" t="str">
        <f ca="1">IF(F580=" "," ",IF('депозитный калькулятор'!$G$10="ежедневное",H580,IF(AND('депозитный калькулятор'!$G$10="еженедельное",WEEKDAY(F580,2)=7),SUM(OFFSET(H580,-6,0):H580),IF(AND('депозитный калькулятор'!$G$10="еженедельное",F580='депозитный калькулятор'!$D$8),SUM($H$23:H580)-SUM($I$23:I579),IF(AND('депозитный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недели",WEEKDAY(F580,2)=7),MIN(OFFSET(H580,-6,0):H580)*(COUNTIF(OFFSET(H580,-6,0):H580,"&gt;0")+SUMIF(OFFSET(A580,-WEEKDAY(F580,2),0):A580,"=2",OFFSET(A580,-WEEKDAY(F580,2),0):A580)),IF(AND('депозитный калькулятор'!$G$10="еженедельное, на минимальную сумму зафиксированную в течение недели",F580='депозитный калькулятор'!$D$8,WEEKDAY(F580,2)&lt;&gt;7),MIN(OFFSET(H580,-WEEKDAY(F580,2),0):H580)*(COUNTIF(OFFSET(H580,-WEEKDAY(F580,2)+1,0):H580,"&gt;0")+SUM(OFFSET(A580,-WEEKDAY(F580,2),0):A580)),IF(AND('депозитный калькулятор'!$G$10="ежемесячное (в конце месяца)",F580='депозитный калькулятор'!$D$8,EOMONTH(F580,0)&lt;&gt;F580),IF('депозитный калькулятор'!$F$1=1,$H$24,SUM($H$23:H580)-SUM($I$23:I579)),IF(AND('депозитный калькулятор'!$G$10="ежемесячное (в конце месяца)",EOMONTH(F580,0)=F580),SUM($H$23:H580)-SUM($I$23:I579),IF(AND('депозитный калькулятор'!$G$10="ежемесячное (по дням открытия вклада)",F580='депозитный калькулятор'!$D$8,DAY('депозитный калькулятор'!$D$7)&lt;&gt;DAY(F580)),IF('депозитный калькулятор'!$F$1=1,$H$24,SUM($H$23:H580)-SUM($I$23:I579)),IF(AND('депозитный калькулятор'!$G$10="ежемесячное (по дням открытия вклада)",DAY('депозитный калькулятор'!$D$7)=DAY(F580)),SUM($H$23:H580)-SUM($I$23:I579),IF(AND('депозитный калькулятор'!$G$10="ежемесячное, на минимальную сумму зафиксированную в течение месяца",F580='депозитный калькулятор'!$D$8,EOMONTH(F580,0)&lt;&gt;F580),IF('депозитный калькулятор'!$F$1=1,$H$24,IF(AND(OR('депозитный калькулятор'!$G$7="30/365",'депозитный калькулятор'!$G$7="30/360"),DAY(F580)=31),0,MIN(OFFSET(H580,-E580+1,0):H580)*(E580+SUMIF(OFFSET(A580,-E580+1,0):A580,"=2",OFFSET(A580,-E580+1,0):A580)))),IF(AND('депозитный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калькулятор'!$G$7="30/360"),DAY(EOMONTH(F580,0))=31),EOMONTH(F580,0)-1=F580,EOMONTH(F580,0)=F580)),IF(IF(AND(OR('депозитный калькулятор'!$G$7="30/365",'депозитный калькулятор'!$G$7="30/360"),DAY(EOMONTH($F$23,0))=31),F580=EOMONTH($F$23,0)-1,F580=EOMONTH($F$23,0)),MIN(OFFSET(H580,-(DAY(F580)-DAY($F$23)),0):H580)*E580,MIN(OFFSET(H580,-(DAY(F580)-1),0):H580)*IF(AND(OR('депозитный калькулятор'!$G$7="30/365",'депозитный калькулятор'!$G$7="30/360"),DAY(F580)&lt;30),30,DAY(F580))),IF(AND('депозитный калькулятор'!$G$10="ежемесячное, на средний остаток в течение месяца, при условии что остаток больше чем ограничение",F580='депозитный калькулятор'!$D$8,EOMONTH(F580,0)&lt;&gt;F580),IF('депозитный калькулятор'!$F$1=1,$H$24,SUM(OFFSET(Q580,-E580+1,0):Q580)),IF(AND('депозитный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калькулятор'!$G$7="30/360"),DAY(EOMONTH(F580,0))=31),EOMONTH(F580,0)-1=F580,EOMONTH(F580,0)=F580)),IF(IF(AND(OR('депозитный калькулятор'!$G$7="30/365",'депозитный калькулятор'!$G$7="30/360"),DAY(EOMONTH($F$24,0))=31),F580=EOMONTH($F$24,0)-1,F580=EOMONTH($F$24,0)),SUM(OFFSET(Q580,-E580+1,0):Q580),SUM(OFFSET(Q580,-E580+1,0):Q580)),IF('депозитный калькулятор'!$G$10="ежеквартальное",IF(F580&gt;'депозитный калькулятор'!$D$8," ",IF(AND(EOMONTH(F580,0)=F580,OR(MONTH(F580)=3,MONTH(F580)=6,MONTH(F580)=9,MONTH(F580)=12)),IF(EDATE(F580,-3)&lt;'депозитный калькулятор'!$D$7,SUM($H$23:H580),IF(MOD(YEAR(F580),4)=0,IF(AND(EOMONTH(F580,0)=F580,OR(MONTH(F580)=3,MONTH(F580)=6)),SUM(OFFSET(H580,-90,0):H580),IF(AND(EOMONTH(F580,0)=F580,OR(MONTH(F580)=9,MONTH(F580)=12)),SUM(OFFSET(H580,-91,0):H580))),IF(AND(EOMONTH(F580,0)=F580,MONTH(F580)=3),SUM(OFFSET(H580,-89,0):H580),IF(AND(EOMONTH(F580,0)=F580,MONTH(F580)=6),SUM(OFFSET(H580,-90,0):H580),IF(AND(EOMONTH(F580,0)=F580,OR(MONTH(F580)=9,MONTH(F580)=12)),SUM(OFFSET(H580,-91,0):H580)))))),IF(F580='депозитный калькулятор'!$D$8,SUM($H$23:H580)-SUM($I$23:I579),0))),IF('депозитный калькулятор'!$G$10="ежегодное",IF(F580&gt;'депозитный калькулятор'!$D$8," ",IF(F580='депозитный калькулятор'!$D$8,SUM($H$23:H580)-SUM($I$23:I579),IF(AND(EOMONTH(F580,0)=F580,MONTH(F580)=12),IF(MOD(YEAR(F579),4)=0,IF(F580-'депозитный калькулятор'!$D$7&lt;366,SUM($H$23:H580),SUM(OFFSET(H580,-365,0):H580)),IF(F580-'депозитный калькулятор'!$D$7&lt;365,SUM($H$23:H580),SUM(OFFSET(H580,-364,0):H580))),0))),IF(AND('депозитный калькулятор'!$G$10="в конце срока",'депозитный калькулятор'!$D$8=F580),SUM($H$23:H580),0))))))))))))))))))</f>
        <v xml:space="preserve"> </v>
      </c>
      <c r="J580" s="59" t="str">
        <f>IF(F580&gt;'депозитный калькулятор'!$D$8," ",IF('депозитный калькулятор'!$G$16="нет",0,IF(AND('депозитный калькулятор'!$G$17="разовая (в конце срока)",F580='депозитный калькулятор'!$D$8),'депозитный калькулятор'!$G$18,IF(AND('депозитный калькулятор'!$G$17="ежемесячная",EOMONTH(F579,0)=F579),'депозитный калькулятор'!$G$18,IF(AND('депозитный калькулятор'!$G$17="ежегодная",DAY(F579)=31,MONTH(F579)=12),'депозитный калькулятор'!$G$18,IF(AND('депозитный калькулятор'!$G$17="ежемесячная в зависимости от остатка",EOMONTH(F579,0)=F579,P579&gt;0),'депозитный калькулятор'!$G$18,IF(AND('депозитный калькулятор'!$G$17="ежегодная в зависимости от остатка",DAY(F579)=31,MONTH(F579)=12,P579&gt;0),'депозитный калькулятор'!$G$18,0)))))))</f>
        <v xml:space="preserve"> </v>
      </c>
      <c r="K580" s="135" t="str">
        <f>IF($F580=" "," ",IFERROR(VLOOKUP($F580,'депозитный калькулятор'!$B$26:$F$70,2,0),0))</f>
        <v xml:space="preserve"> </v>
      </c>
      <c r="L580" s="135" t="str">
        <f>IF($F580=" "," ",IFERROR(VLOOKUP($F580,'депозитный калькулятор'!$B$26:$F$70,3,0),0))</f>
        <v xml:space="preserve"> </v>
      </c>
      <c r="M580" s="135" t="str">
        <f>IF($F580=" "," ",IFERROR(VLOOKUP($F580,'депозитный калькулятор'!$B$26:$F$70,4,0),0))</f>
        <v xml:space="preserve"> </v>
      </c>
      <c r="N580" s="135" t="str">
        <f>IF($F580=" "," ",IFERROR(VLOOKUP($F580,'депозитный калькулятор'!$B$26:$F$70,5,0),0))</f>
        <v xml:space="preserve"> </v>
      </c>
      <c r="O580" s="146" t="str">
        <f>IF(F580&gt;'депозитный калькулятор'!$D$8," ",IF(F580='депозитный калькулятор'!$D$8,IF(AND($F$24='депозитный калькулятор'!$D$8,'депозитный калькулятор'!$G$13="нет"),-G580-IF(I580=" ",0,I580)-IF(AND(OR('депозитный калькулятор'!$G$7="30/365",'депозитный калькулятор'!$G$7="30/360"),'депозитный калькулятор'!$G$10="в начале срока"),I579,0)-L580+M580-N580,-G580-IF(I580=" ",0,I580)-L580+M580-N580),IF('депозитный калькулятор'!$G$13="есть",M580-N580+IF('депозитный калькулятор'!$G$14="есть",0,-L580),-IF(I580=" ",0,I580)-IF(AND(OR('депозитный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срока"),I579,0)+M580-N580+IF('депозитный калькулятор'!$G$14="есть",0,-L580))))</f>
        <v xml:space="preserve"> </v>
      </c>
      <c r="P580" s="147" t="str">
        <f>IF(F580&gt;'депозитный калькулятор'!$D$8," ",IF(EOMONTH(F579,0)=F579,0,IF(G580&gt;='депозитный калькулятор'!$G$19,P579,P579+1)))</f>
        <v xml:space="preserve"> </v>
      </c>
      <c r="Q580" s="138" t="str">
        <f>IF(F580=" "," ",IF(AND(OR('депозитный калькулятор'!$G$7="30/365",'депозитный калькулятор'!$G$7="30/360"),AND(MONTH(F580)=2,EOMONTH(F580,0)=F580)),IF(DAY(F580)=28,3,2),1)*IF(G580&gt;='депозитный калькулятор'!$G$11,IF(AND('депозитный калькулятор'!$G$7="факт/факт",MOD(YEAR(F580),4)=0),G580*'депозитный калькулятор'!$D$11/366,G580*'депозитный калькулятор'!$G$8),0))</f>
        <v xml:space="preserve"> </v>
      </c>
      <c r="R580" s="158"/>
      <c r="S580" s="62" t="str">
        <f t="shared" ca="1" si="42"/>
        <v xml:space="preserve"> </v>
      </c>
      <c r="T580" s="149" t="str">
        <f ca="1">IF(S580=" "," ",IF('депозитный калькулятор'!$G$7="30/360",DAYS360(U579,IF(DAY(U580)=31,U580-1,U580))+IF(AND(MONTH(U580)=2,U580=EOMONTH(U580,0)),30-DAY(EOMONTH(U580,0)))+T579,VLOOKUP(S580,$C$22:$F$1023,2,0)))</f>
        <v xml:space="preserve"> </v>
      </c>
      <c r="U580" s="64" t="str">
        <f t="shared" ca="1" si="40"/>
        <v xml:space="preserve"> </v>
      </c>
      <c r="V580" s="150" t="str">
        <f t="shared" ca="1" si="43"/>
        <v xml:space="preserve"> </v>
      </c>
      <c r="W580" s="62" t="str">
        <f t="shared" ca="1" si="44"/>
        <v xml:space="preserve"> </v>
      </c>
      <c r="X580" s="141" t="str">
        <f ca="1">IF(S580=" "," ",IFERROR(VLOOKUP(U580,$F$23:$N$1023,7)+VLOOKUP(U580,$F$23:$N$1023,9)+IF(AND('депозитный калькулятор'!$G$13="нет",U580&lt;&gt;'депозитный калькулятор'!$D$8),VLOOKUP(U580,$F$23:$N$1023,4),0),0)+IF(U580='депозитный калькулятор'!$D$8,VLOOKUP(U580,$F$23:$N$1023,2)+VLOOKUP(U580,$F$23:$N$1023,4),0))</f>
        <v xml:space="preserve"> </v>
      </c>
      <c r="Y580" s="142" t="str">
        <f ca="1">IF(S580=" "," ",W580/(1+'депозитный калькулятор'!$K$8)^(T580/IF('депозитный калькулятор'!$G$7="30/360",360,365)))</f>
        <v xml:space="preserve"> </v>
      </c>
      <c r="Z580" s="142" t="str">
        <f ca="1">IF(S580=" "," ",X580/(1+'депозитный калькулятор'!$K$8)^(T580/IF('депозитный калькулятор'!$G$7="30/360",360,365)))</f>
        <v xml:space="preserve"> </v>
      </c>
      <c r="AA580" s="151"/>
      <c r="AB580" s="151"/>
      <c r="AC580" s="155"/>
      <c r="AD580" s="155"/>
    </row>
    <row r="581" spans="1:30" s="2" customFormat="1" ht="15.5" x14ac:dyDescent="0.35">
      <c r="A581" s="41" t="str">
        <f>IF(F581=" "," ",IF(OR('депозитный калькулятор'!$G$7="30/365",'депозитный калькулятор'!$G$7="30/360"),IF(AND(MONTH(F581)=2,DAY(F581)=DAY(EOMONTH(F581,0))),30-DAY(EOMONTH(F581,0)),IF(DAY(F581)=31,1," "))," "))</f>
        <v xml:space="preserve"> </v>
      </c>
      <c r="B581" s="130" t="str">
        <f t="shared" si="41"/>
        <v xml:space="preserve"> </v>
      </c>
      <c r="C581" s="130" t="str">
        <f>IF(OR(B581=0,B581=" ")," ",SUM($B$23:B581))</f>
        <v xml:space="preserve"> </v>
      </c>
      <c r="D581" s="62" t="str">
        <f>IF(D580=" "," ",IF(OR(F580='депозитный калькулятор'!$D$8,F580=" ")," ",D580+1))</f>
        <v xml:space="preserve"> </v>
      </c>
      <c r="E581" s="130" t="str">
        <f>IF(OR(F580='депозитный калькулятор'!$D$8,F580=" ")," ",IF(EOMONTH(F580,0)=F580,1,E580+1))</f>
        <v xml:space="preserve"> </v>
      </c>
      <c r="F581" s="64" t="str">
        <f>IF(F580=" "," ",IF(F580='депозитный калькулятор'!$D$8," ",F580+1))</f>
        <v xml:space="preserve"> </v>
      </c>
      <c r="G581" s="145" t="str">
        <f xml:space="preserve"> IF(F581&gt;'депозитный калькулятор'!$D$8," ",IF('депозитный калькулятор'!$G$13="есть",IF('депозитный калькулятор'!$G$14="есть",G580+IF(I580=" ",0,I580)-J581-K581+L581+M581-N581,G580+IF(I580=" ",0,I580)-J581-K581+M581-N581),IF('депозитный калькулятор'!$G$14="есть",G580-J581-K581+L581+M581-N581,G580-J581-K581+M581-N581)))</f>
        <v xml:space="preserve"> </v>
      </c>
      <c r="H581" s="133" t="str">
        <f>IF(F581&gt;'депозитный калькулятор'!$D$8," ",IF(AND(OR('депозитный калькулятор'!$G$7="30/365",'депозитный калькулятор'!$G$7="30/360"),AND(MONTH(F581)=2,EOMONTH(F581,0)=F581)),IF(DAY(F581)=28,3*G581*'депозитный калькулятор'!$G$8,2*G581*'депозитный калькулятор'!$G$8),IF(AND(OR('депозитный калькулятор'!$G$7="30/365",'депозитный калькулятор'!$G$7="30/360"),DAY(F581)=31)," ",IF(AND('депозитный калькулятор'!$G$7="факт/факт",MOD(YEAR(F581),4)=0),G581*'депозитный калькулятор'!$D$11/366,G581*'депозитный калькулятор'!$G$8))))</f>
        <v xml:space="preserve"> </v>
      </c>
      <c r="I581" s="134" t="str">
        <f ca="1">IF(F581=" "," ",IF('депозитный калькулятор'!$G$10="ежедневное",H581,IF(AND('депозитный калькулятор'!$G$10="еженедельное",WEEKDAY(F581,2)=7),SUM(OFFSET(H581,-6,0):H581),IF(AND('депозитный калькулятор'!$G$10="еженедельное",F581='депозитный калькулятор'!$D$8),SUM($H$23:H581)-SUM($I$23:I580),IF(AND('депозитный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недели",WEEKDAY(F581,2)=7),MIN(OFFSET(H581,-6,0):H581)*(COUNTIF(OFFSET(H581,-6,0):H581,"&gt;0")+SUMIF(OFFSET(A581,-WEEKDAY(F581,2),0):A581,"=2",OFFSET(A581,-WEEKDAY(F581,2),0):A581)),IF(AND('депозитный калькулятор'!$G$10="еженедельное, на минимальную сумму зафиксированную в течение недели",F581='депозитный калькулятор'!$D$8,WEEKDAY(F581,2)&lt;&gt;7),MIN(OFFSET(H581,-WEEKDAY(F581,2),0):H581)*(COUNTIF(OFFSET(H581,-WEEKDAY(F581,2)+1,0):H581,"&gt;0")+SUM(OFFSET(A581,-WEEKDAY(F581,2),0):A581)),IF(AND('депозитный калькулятор'!$G$10="ежемесячное (в конце месяца)",F581='депозитный калькулятор'!$D$8,EOMONTH(F581,0)&lt;&gt;F581),IF('депозитный калькулятор'!$F$1=1,$H$24,SUM($H$23:H581)-SUM($I$23:I580)),IF(AND('депозитный калькулятор'!$G$10="ежемесячное (в конце месяца)",EOMONTH(F581,0)=F581),SUM($H$23:H581)-SUM($I$23:I580),IF(AND('депозитный калькулятор'!$G$10="ежемесячное (по дням открытия вклада)",F581='депозитный калькулятор'!$D$8,DAY('депозитный калькулятор'!$D$7)&lt;&gt;DAY(F581)),IF('депозитный калькулятор'!$F$1=1,$H$24,SUM($H$23:H581)-SUM($I$23:I580)),IF(AND('депозитный калькулятор'!$G$10="ежемесячное (по дням открытия вклада)",DAY('депозитный калькулятор'!$D$7)=DAY(F581)),SUM($H$23:H581)-SUM($I$23:I580),IF(AND('депозитный калькулятор'!$G$10="ежемесячное, на минимальную сумму зафиксированную в течение месяца",F581='депозитный калькулятор'!$D$8,EOMONTH(F581,0)&lt;&gt;F581),IF('депозитный калькулятор'!$F$1=1,$H$24,IF(AND(OR('депозитный калькулятор'!$G$7="30/365",'депозитный калькулятор'!$G$7="30/360"),DAY(F581)=31),0,MIN(OFFSET(H581,-E581+1,0):H581)*(E581+SUMIF(OFFSET(A581,-E581+1,0):A581,"=2",OFFSET(A581,-E581+1,0):A581)))),IF(AND('депозитный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калькулятор'!$G$7="30/360"),DAY(EOMONTH(F581,0))=31),EOMONTH(F581,0)-1=F581,EOMONTH(F581,0)=F581)),IF(IF(AND(OR('депозитный калькулятор'!$G$7="30/365",'депозитный калькулятор'!$G$7="30/360"),DAY(EOMONTH($F$23,0))=31),F581=EOMONTH($F$23,0)-1,F581=EOMONTH($F$23,0)),MIN(OFFSET(H581,-(DAY(F581)-DAY($F$23)),0):H581)*E581,MIN(OFFSET(H581,-(DAY(F581)-1),0):H581)*IF(AND(OR('депозитный калькулятор'!$G$7="30/365",'депозитный калькулятор'!$G$7="30/360"),DAY(F581)&lt;30),30,DAY(F581))),IF(AND('депозитный калькулятор'!$G$10="ежемесячное, на средний остаток в течение месяца, при условии что остаток больше чем ограничение",F581='депозитный калькулятор'!$D$8,EOMONTH(F581,0)&lt;&gt;F581),IF('депозитный калькулятор'!$F$1=1,$H$24,SUM(OFFSET(Q581,-E581+1,0):Q581)),IF(AND('депозитный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калькулятор'!$G$7="30/360"),DAY(EOMONTH(F581,0))=31),EOMONTH(F581,0)-1=F581,EOMONTH(F581,0)=F581)),IF(IF(AND(OR('депозитный калькулятор'!$G$7="30/365",'депозитный калькулятор'!$G$7="30/360"),DAY(EOMONTH($F$24,0))=31),F581=EOMONTH($F$24,0)-1,F581=EOMONTH($F$24,0)),SUM(OFFSET(Q581,-E581+1,0):Q581),SUM(OFFSET(Q581,-E581+1,0):Q581)),IF('депозитный калькулятор'!$G$10="ежеквартальное",IF(F581&gt;'депозитный калькулятор'!$D$8," ",IF(AND(EOMONTH(F581,0)=F581,OR(MONTH(F581)=3,MONTH(F581)=6,MONTH(F581)=9,MONTH(F581)=12)),IF(EDATE(F581,-3)&lt;'депозитный калькулятор'!$D$7,SUM($H$23:H581),IF(MOD(YEAR(F581),4)=0,IF(AND(EOMONTH(F581,0)=F581,OR(MONTH(F581)=3,MONTH(F581)=6)),SUM(OFFSET(H581,-90,0):H581),IF(AND(EOMONTH(F581,0)=F581,OR(MONTH(F581)=9,MONTH(F581)=12)),SUM(OFFSET(H581,-91,0):H581))),IF(AND(EOMONTH(F581,0)=F581,MONTH(F581)=3),SUM(OFFSET(H581,-89,0):H581),IF(AND(EOMONTH(F581,0)=F581,MONTH(F581)=6),SUM(OFFSET(H581,-90,0):H581),IF(AND(EOMONTH(F581,0)=F581,OR(MONTH(F581)=9,MONTH(F581)=12)),SUM(OFFSET(H581,-91,0):H581)))))),IF(F581='депозитный калькулятор'!$D$8,SUM($H$23:H581)-SUM($I$23:I580),0))),IF('депозитный калькулятор'!$G$10="ежегодное",IF(F581&gt;'депозитный калькулятор'!$D$8," ",IF(F581='депозитный калькулятор'!$D$8,SUM($H$23:H581)-SUM($I$23:I580),IF(AND(EOMONTH(F581,0)=F581,MONTH(F581)=12),IF(MOD(YEAR(F580),4)=0,IF(F581-'депозитный калькулятор'!$D$7&lt;366,SUM($H$23:H581),SUM(OFFSET(H581,-365,0):H581)),IF(F581-'депозитный калькулятор'!$D$7&lt;365,SUM($H$23:H581),SUM(OFFSET(H581,-364,0):H581))),0))),IF(AND('депозитный калькулятор'!$G$10="в конце срока",'депозитный калькулятор'!$D$8=F581),SUM($H$23:H581),0))))))))))))))))))</f>
        <v xml:space="preserve"> </v>
      </c>
      <c r="J581" s="59" t="str">
        <f>IF(F581&gt;'депозитный калькулятор'!$D$8," ",IF('депозитный калькулятор'!$G$16="нет",0,IF(AND('депозитный калькулятор'!$G$17="разовая (в конце срока)",F581='депозитный калькулятор'!$D$8),'депозитный калькулятор'!$G$18,IF(AND('депозитный калькулятор'!$G$17="ежемесячная",EOMONTH(F580,0)=F580),'депозитный калькулятор'!$G$18,IF(AND('депозитный калькулятор'!$G$17="ежегодная",DAY(F580)=31,MONTH(F580)=12),'депозитный калькулятор'!$G$18,IF(AND('депозитный калькулятор'!$G$17="ежемесячная в зависимости от остатка",EOMONTH(F580,0)=F580,P580&gt;0),'депозитный калькулятор'!$G$18,IF(AND('депозитный калькулятор'!$G$17="ежегодная в зависимости от остатка",DAY(F580)=31,MONTH(F580)=12,P580&gt;0),'депозитный калькулятор'!$G$18,0)))))))</f>
        <v xml:space="preserve"> </v>
      </c>
      <c r="K581" s="135" t="str">
        <f>IF($F581=" "," ",IFERROR(VLOOKUP($F581,'депозитный калькулятор'!$B$26:$F$70,2,0),0))</f>
        <v xml:space="preserve"> </v>
      </c>
      <c r="L581" s="135" t="str">
        <f>IF($F581=" "," ",IFERROR(VLOOKUP($F581,'депозитный калькулятор'!$B$26:$F$70,3,0),0))</f>
        <v xml:space="preserve"> </v>
      </c>
      <c r="M581" s="135" t="str">
        <f>IF($F581=" "," ",IFERROR(VLOOKUP($F581,'депозитный калькулятор'!$B$26:$F$70,4,0),0))</f>
        <v xml:space="preserve"> </v>
      </c>
      <c r="N581" s="135" t="str">
        <f>IF($F581=" "," ",IFERROR(VLOOKUP($F581,'депозитный калькулятор'!$B$26:$F$70,5,0),0))</f>
        <v xml:space="preserve"> </v>
      </c>
      <c r="O581" s="146" t="str">
        <f>IF(F581&gt;'депозитный калькулятор'!$D$8," ",IF(F581='депозитный калькулятор'!$D$8,IF(AND($F$24='депозитный калькулятор'!$D$8,'депозитный калькулятор'!$G$13="нет"),-G581-IF(I581=" ",0,I581)-IF(AND(OR('депозитный калькулятор'!$G$7="30/365",'депозитный калькулятор'!$G$7="30/360"),'депозитный калькулятор'!$G$10="в начале срока"),I580,0)-L581+M581-N581,-G581-IF(I581=" ",0,I581)-L581+M581-N581),IF('депозитный калькулятор'!$G$13="есть",M581-N581+IF('депозитный калькулятор'!$G$14="есть",0,-L581),-IF(I581=" ",0,I581)-IF(AND(OR('депозитный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срока"),I580,0)+M581-N581+IF('депозитный калькулятор'!$G$14="есть",0,-L581))))</f>
        <v xml:space="preserve"> </v>
      </c>
      <c r="P581" s="147" t="str">
        <f>IF(F581&gt;'депозитный калькулятор'!$D$8," ",IF(EOMONTH(F580,0)=F580,0,IF(G581&gt;='депозитный калькулятор'!$G$19,P580,P580+1)))</f>
        <v xml:space="preserve"> </v>
      </c>
      <c r="Q581" s="138" t="str">
        <f>IF(F581=" "," ",IF(AND(OR('депозитный калькулятор'!$G$7="30/365",'депозитный калькулятор'!$G$7="30/360"),AND(MONTH(F581)=2,EOMONTH(F581,0)=F581)),IF(DAY(F581)=28,3,2),1)*IF(G581&gt;='депозитный калькулятор'!$G$11,IF(AND('депозитный калькулятор'!$G$7="факт/факт",MOD(YEAR(F581),4)=0),G581*'депозитный калькулятор'!$D$11/366,G581*'депозитный калькулятор'!$G$8),0))</f>
        <v xml:space="preserve"> </v>
      </c>
      <c r="R581" s="158"/>
      <c r="S581" s="62" t="str">
        <f t="shared" ca="1" si="42"/>
        <v xml:space="preserve"> </v>
      </c>
      <c r="T581" s="149" t="str">
        <f ca="1">IF(S581=" "," ",IF('депозитный калькулятор'!$G$7="30/360",DAYS360(U580,IF(DAY(U581)=31,U581-1,U581))+IF(AND(MONTH(U581)=2,U581=EOMONTH(U581,0)),30-DAY(EOMONTH(U581,0)))+T580,VLOOKUP(S581,$C$22:$F$1023,2,0)))</f>
        <v xml:space="preserve"> </v>
      </c>
      <c r="U581" s="64" t="str">
        <f t="shared" ca="1" si="40"/>
        <v xml:space="preserve"> </v>
      </c>
      <c r="V581" s="150" t="str">
        <f t="shared" ca="1" si="43"/>
        <v xml:space="preserve"> </v>
      </c>
      <c r="W581" s="62" t="str">
        <f t="shared" ca="1" si="44"/>
        <v xml:space="preserve"> </v>
      </c>
      <c r="X581" s="141" t="str">
        <f ca="1">IF(S581=" "," ",IFERROR(VLOOKUP(U581,$F$23:$N$1023,7)+VLOOKUP(U581,$F$23:$N$1023,9)+IF(AND('депозитный калькулятор'!$G$13="нет",U581&lt;&gt;'депозитный калькулятор'!$D$8),VLOOKUP(U581,$F$23:$N$1023,4),0),0)+IF(U581='депозитный калькулятор'!$D$8,VLOOKUP(U581,$F$23:$N$1023,2)+VLOOKUP(U581,$F$23:$N$1023,4),0))</f>
        <v xml:space="preserve"> </v>
      </c>
      <c r="Y581" s="142" t="str">
        <f ca="1">IF(S581=" "," ",W581/(1+'депозитный калькулятор'!$K$8)^(T581/IF('депозитный калькулятор'!$G$7="30/360",360,365)))</f>
        <v xml:space="preserve"> </v>
      </c>
      <c r="Z581" s="142" t="str">
        <f ca="1">IF(S581=" "," ",X581/(1+'депозитный калькулятор'!$K$8)^(T581/IF('депозитный калькулятор'!$G$7="30/360",360,365)))</f>
        <v xml:space="preserve"> </v>
      </c>
      <c r="AA581" s="151"/>
      <c r="AB581" s="151"/>
      <c r="AC581" s="155"/>
      <c r="AD581" s="155"/>
    </row>
    <row r="582" spans="1:30" s="2" customFormat="1" ht="15.5" x14ac:dyDescent="0.35">
      <c r="A582" s="41" t="str">
        <f>IF(F582=" "," ",IF(OR('депозитный калькулятор'!$G$7="30/365",'депозитный калькулятор'!$G$7="30/360"),IF(AND(MONTH(F582)=2,DAY(F582)=DAY(EOMONTH(F582,0))),30-DAY(EOMONTH(F582,0)),IF(DAY(F582)=31,1," "))," "))</f>
        <v xml:space="preserve"> </v>
      </c>
      <c r="B582" s="130" t="str">
        <f t="shared" si="41"/>
        <v xml:space="preserve"> </v>
      </c>
      <c r="C582" s="130" t="str">
        <f>IF(OR(B582=0,B582=" ")," ",SUM($B$23:B582))</f>
        <v xml:space="preserve"> </v>
      </c>
      <c r="D582" s="62" t="str">
        <f>IF(D581=" "," ",IF(OR(F581='депозитный калькулятор'!$D$8,F581=" ")," ",D581+1))</f>
        <v xml:space="preserve"> </v>
      </c>
      <c r="E582" s="130" t="str">
        <f>IF(OR(F581='депозитный калькулятор'!$D$8,F581=" ")," ",IF(EOMONTH(F581,0)=F581,1,E581+1))</f>
        <v xml:space="preserve"> </v>
      </c>
      <c r="F582" s="64" t="str">
        <f>IF(F581=" "," ",IF(F581='депозитный калькулятор'!$D$8," ",F581+1))</f>
        <v xml:space="preserve"> </v>
      </c>
      <c r="G582" s="145" t="str">
        <f xml:space="preserve"> IF(F582&gt;'депозитный калькулятор'!$D$8," ",IF('депозитный калькулятор'!$G$13="есть",IF('депозитный калькулятор'!$G$14="есть",G581+IF(I581=" ",0,I581)-J582-K582+L582+M582-N582,G581+IF(I581=" ",0,I581)-J582-K582+M582-N582),IF('депозитный калькулятор'!$G$14="есть",G581-J582-K582+L582+M582-N582,G581-J582-K582+M582-N582)))</f>
        <v xml:space="preserve"> </v>
      </c>
      <c r="H582" s="133" t="str">
        <f>IF(F582&gt;'депозитный калькулятор'!$D$8," ",IF(AND(OR('депозитный калькулятор'!$G$7="30/365",'депозитный калькулятор'!$G$7="30/360"),AND(MONTH(F582)=2,EOMONTH(F582,0)=F582)),IF(DAY(F582)=28,3*G582*'депозитный калькулятор'!$G$8,2*G582*'депозитный калькулятор'!$G$8),IF(AND(OR('депозитный калькулятор'!$G$7="30/365",'депозитный калькулятор'!$G$7="30/360"),DAY(F582)=31)," ",IF(AND('депозитный калькулятор'!$G$7="факт/факт",MOD(YEAR(F582),4)=0),G582*'депозитный калькулятор'!$D$11/366,G582*'депозитный калькулятор'!$G$8))))</f>
        <v xml:space="preserve"> </v>
      </c>
      <c r="I582" s="134" t="str">
        <f ca="1">IF(F582=" "," ",IF('депозитный калькулятор'!$G$10="ежедневное",H582,IF(AND('депозитный калькулятор'!$G$10="еженедельное",WEEKDAY(F582,2)=7),SUM(OFFSET(H582,-6,0):H582),IF(AND('депозитный калькулятор'!$G$10="еженедельное",F582='депозитный калькулятор'!$D$8),SUM($H$23:H582)-SUM($I$23:I581),IF(AND('депозитный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недели",WEEKDAY(F582,2)=7),MIN(OFFSET(H582,-6,0):H582)*(COUNTIF(OFFSET(H582,-6,0):H582,"&gt;0")+SUMIF(OFFSET(A582,-WEEKDAY(F582,2),0):A582,"=2",OFFSET(A582,-WEEKDAY(F582,2),0):A582)),IF(AND('депозитный калькулятор'!$G$10="еженедельное, на минимальную сумму зафиксированную в течение недели",F582='депозитный калькулятор'!$D$8,WEEKDAY(F582,2)&lt;&gt;7),MIN(OFFSET(H582,-WEEKDAY(F582,2),0):H582)*(COUNTIF(OFFSET(H582,-WEEKDAY(F582,2)+1,0):H582,"&gt;0")+SUM(OFFSET(A582,-WEEKDAY(F582,2),0):A582)),IF(AND('депозитный калькулятор'!$G$10="ежемесячное (в конце месяца)",F582='депозитный калькулятор'!$D$8,EOMONTH(F582,0)&lt;&gt;F582),IF('депозитный калькулятор'!$F$1=1,$H$24,SUM($H$23:H582)-SUM($I$23:I581)),IF(AND('депозитный калькулятор'!$G$10="ежемесячное (в конце месяца)",EOMONTH(F582,0)=F582),SUM($H$23:H582)-SUM($I$23:I581),IF(AND('депозитный калькулятор'!$G$10="ежемесячное (по дням открытия вклада)",F582='депозитный калькулятор'!$D$8,DAY('депозитный калькулятор'!$D$7)&lt;&gt;DAY(F582)),IF('депозитный калькулятор'!$F$1=1,$H$24,SUM($H$23:H582)-SUM($I$23:I581)),IF(AND('депозитный калькулятор'!$G$10="ежемесячное (по дням открытия вклада)",DAY('депозитный калькулятор'!$D$7)=DAY(F582)),SUM($H$23:H582)-SUM($I$23:I581),IF(AND('депозитный калькулятор'!$G$10="ежемесячное, на минимальную сумму зафиксированную в течение месяца",F582='депозитный калькулятор'!$D$8,EOMONTH(F582,0)&lt;&gt;F582),IF('депозитный калькулятор'!$F$1=1,$H$24,IF(AND(OR('депозитный калькулятор'!$G$7="30/365",'депозитный калькулятор'!$G$7="30/360"),DAY(F582)=31),0,MIN(OFFSET(H582,-E582+1,0):H582)*(E582+SUMIF(OFFSET(A582,-E582+1,0):A582,"=2",OFFSET(A582,-E582+1,0):A582)))),IF(AND('депозитный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калькулятор'!$G$7="30/360"),DAY(EOMONTH(F582,0))=31),EOMONTH(F582,0)-1=F582,EOMONTH(F582,0)=F582)),IF(IF(AND(OR('депозитный калькулятор'!$G$7="30/365",'депозитный калькулятор'!$G$7="30/360"),DAY(EOMONTH($F$23,0))=31),F582=EOMONTH($F$23,0)-1,F582=EOMONTH($F$23,0)),MIN(OFFSET(H582,-(DAY(F582)-DAY($F$23)),0):H582)*E582,MIN(OFFSET(H582,-(DAY(F582)-1),0):H582)*IF(AND(OR('депозитный калькулятор'!$G$7="30/365",'депозитный калькулятор'!$G$7="30/360"),DAY(F582)&lt;30),30,DAY(F582))),IF(AND('депозитный калькулятор'!$G$10="ежемесячное, на средний остаток в течение месяца, при условии что остаток больше чем ограничение",F582='депозитный калькулятор'!$D$8,EOMONTH(F582,0)&lt;&gt;F582),IF('депозитный калькулятор'!$F$1=1,$H$24,SUM(OFFSET(Q582,-E582+1,0):Q582)),IF(AND('депозитный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калькулятор'!$G$7="30/360"),DAY(EOMONTH(F582,0))=31),EOMONTH(F582,0)-1=F582,EOMONTH(F582,0)=F582)),IF(IF(AND(OR('депозитный калькулятор'!$G$7="30/365",'депозитный калькулятор'!$G$7="30/360"),DAY(EOMONTH($F$24,0))=31),F582=EOMONTH($F$24,0)-1,F582=EOMONTH($F$24,0)),SUM(OFFSET(Q582,-E582+1,0):Q582),SUM(OFFSET(Q582,-E582+1,0):Q582)),IF('депозитный калькулятор'!$G$10="ежеквартальное",IF(F582&gt;'депозитный калькулятор'!$D$8," ",IF(AND(EOMONTH(F582,0)=F582,OR(MONTH(F582)=3,MONTH(F582)=6,MONTH(F582)=9,MONTH(F582)=12)),IF(EDATE(F582,-3)&lt;'депозитный калькулятор'!$D$7,SUM($H$23:H582),IF(MOD(YEAR(F582),4)=0,IF(AND(EOMONTH(F582,0)=F582,OR(MONTH(F582)=3,MONTH(F582)=6)),SUM(OFFSET(H582,-90,0):H582),IF(AND(EOMONTH(F582,0)=F582,OR(MONTH(F582)=9,MONTH(F582)=12)),SUM(OFFSET(H582,-91,0):H582))),IF(AND(EOMONTH(F582,0)=F582,MONTH(F582)=3),SUM(OFFSET(H582,-89,0):H582),IF(AND(EOMONTH(F582,0)=F582,MONTH(F582)=6),SUM(OFFSET(H582,-90,0):H582),IF(AND(EOMONTH(F582,0)=F582,OR(MONTH(F582)=9,MONTH(F582)=12)),SUM(OFFSET(H582,-91,0):H582)))))),IF(F582='депозитный калькулятор'!$D$8,SUM($H$23:H582)-SUM($I$23:I581),0))),IF('депозитный калькулятор'!$G$10="ежегодное",IF(F582&gt;'депозитный калькулятор'!$D$8," ",IF(F582='депозитный калькулятор'!$D$8,SUM($H$23:H582)-SUM($I$23:I581),IF(AND(EOMONTH(F582,0)=F582,MONTH(F582)=12),IF(MOD(YEAR(F581),4)=0,IF(F582-'депозитный калькулятор'!$D$7&lt;366,SUM($H$23:H582),SUM(OFFSET(H582,-365,0):H582)),IF(F582-'депозитный калькулятор'!$D$7&lt;365,SUM($H$23:H582),SUM(OFFSET(H582,-364,0):H582))),0))),IF(AND('депозитный калькулятор'!$G$10="в конце срока",'депозитный калькулятор'!$D$8=F582),SUM($H$23:H582),0))))))))))))))))))</f>
        <v xml:space="preserve"> </v>
      </c>
      <c r="J582" s="59" t="str">
        <f>IF(F582&gt;'депозитный калькулятор'!$D$8," ",IF('депозитный калькулятор'!$G$16="нет",0,IF(AND('депозитный калькулятор'!$G$17="разовая (в конце срока)",F582='депозитный калькулятор'!$D$8),'депозитный калькулятор'!$G$18,IF(AND('депозитный калькулятор'!$G$17="ежемесячная",EOMONTH(F581,0)=F581),'депозитный калькулятор'!$G$18,IF(AND('депозитный калькулятор'!$G$17="ежегодная",DAY(F581)=31,MONTH(F581)=12),'депозитный калькулятор'!$G$18,IF(AND('депозитный калькулятор'!$G$17="ежемесячная в зависимости от остатка",EOMONTH(F581,0)=F581,P581&gt;0),'депозитный калькулятор'!$G$18,IF(AND('депозитный калькулятор'!$G$17="ежегодная в зависимости от остатка",DAY(F581)=31,MONTH(F581)=12,P581&gt;0),'депозитный калькулятор'!$G$18,0)))))))</f>
        <v xml:space="preserve"> </v>
      </c>
      <c r="K582" s="135" t="str">
        <f>IF($F582=" "," ",IFERROR(VLOOKUP($F582,'депозитный калькулятор'!$B$26:$F$70,2,0),0))</f>
        <v xml:space="preserve"> </v>
      </c>
      <c r="L582" s="135" t="str">
        <f>IF($F582=" "," ",IFERROR(VLOOKUP($F582,'депозитный калькулятор'!$B$26:$F$70,3,0),0))</f>
        <v xml:space="preserve"> </v>
      </c>
      <c r="M582" s="135" t="str">
        <f>IF($F582=" "," ",IFERROR(VLOOKUP($F582,'депозитный калькулятор'!$B$26:$F$70,4,0),0))</f>
        <v xml:space="preserve"> </v>
      </c>
      <c r="N582" s="135" t="str">
        <f>IF($F582=" "," ",IFERROR(VLOOKUP($F582,'депозитный калькулятор'!$B$26:$F$70,5,0),0))</f>
        <v xml:space="preserve"> </v>
      </c>
      <c r="O582" s="146" t="str">
        <f>IF(F582&gt;'депозитный калькулятор'!$D$8," ",IF(F582='депозитный калькулятор'!$D$8,IF(AND($F$24='депозитный калькулятор'!$D$8,'депозитный калькулятор'!$G$13="нет"),-G582-IF(I582=" ",0,I582)-IF(AND(OR('депозитный калькулятор'!$G$7="30/365",'депозитный калькулятор'!$G$7="30/360"),'депозитный калькулятор'!$G$10="в начале срока"),I581,0)-L582+M582-N582,-G582-IF(I582=" ",0,I582)-L582+M582-N582),IF('депозитный калькулятор'!$G$13="есть",M582-N582+IF('депозитный калькулятор'!$G$14="есть",0,-L582),-IF(I582=" ",0,I582)-IF(AND(OR('депозитный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срока"),I581,0)+M582-N582+IF('депозитный калькулятор'!$G$14="есть",0,-L582))))</f>
        <v xml:space="preserve"> </v>
      </c>
      <c r="P582" s="147" t="str">
        <f>IF(F582&gt;'депозитный калькулятор'!$D$8," ",IF(EOMONTH(F581,0)=F581,0,IF(G582&gt;='депозитный калькулятор'!$G$19,P581,P581+1)))</f>
        <v xml:space="preserve"> </v>
      </c>
      <c r="Q582" s="138" t="str">
        <f>IF(F582=" "," ",IF(AND(OR('депозитный калькулятор'!$G$7="30/365",'депозитный калькулятор'!$G$7="30/360"),AND(MONTH(F582)=2,EOMONTH(F582,0)=F582)),IF(DAY(F582)=28,3,2),1)*IF(G582&gt;='депозитный калькулятор'!$G$11,IF(AND('депозитный калькулятор'!$G$7="факт/факт",MOD(YEAR(F582),4)=0),G582*'депозитный калькулятор'!$D$11/366,G582*'депозитный калькулятор'!$G$8),0))</f>
        <v xml:space="preserve"> </v>
      </c>
      <c r="R582" s="158"/>
      <c r="S582" s="62" t="str">
        <f t="shared" ca="1" si="42"/>
        <v xml:space="preserve"> </v>
      </c>
      <c r="T582" s="149" t="str">
        <f ca="1">IF(S582=" "," ",IF('депозитный калькулятор'!$G$7="30/360",DAYS360(U581,IF(DAY(U582)=31,U582-1,U582))+IF(AND(MONTH(U582)=2,U582=EOMONTH(U582,0)),30-DAY(EOMONTH(U582,0)))+T581,VLOOKUP(S582,$C$22:$F$1023,2,0)))</f>
        <v xml:space="preserve"> </v>
      </c>
      <c r="U582" s="64" t="str">
        <f t="shared" ca="1" si="40"/>
        <v xml:space="preserve"> </v>
      </c>
      <c r="V582" s="150" t="str">
        <f t="shared" ca="1" si="43"/>
        <v xml:space="preserve"> </v>
      </c>
      <c r="W582" s="62" t="str">
        <f t="shared" ca="1" si="44"/>
        <v xml:space="preserve"> </v>
      </c>
      <c r="X582" s="141" t="str">
        <f ca="1">IF(S582=" "," ",IFERROR(VLOOKUP(U582,$F$23:$N$1023,7)+VLOOKUP(U582,$F$23:$N$1023,9)+IF(AND('депозитный калькулятор'!$G$13="нет",U582&lt;&gt;'депозитный калькулятор'!$D$8),VLOOKUP(U582,$F$23:$N$1023,4),0),0)+IF(U582='депозитный калькулятор'!$D$8,VLOOKUP(U582,$F$23:$N$1023,2)+VLOOKUP(U582,$F$23:$N$1023,4),0))</f>
        <v xml:space="preserve"> </v>
      </c>
      <c r="Y582" s="142" t="str">
        <f ca="1">IF(S582=" "," ",W582/(1+'депозитный калькулятор'!$K$8)^(T582/IF('депозитный калькулятор'!$G$7="30/360",360,365)))</f>
        <v xml:space="preserve"> </v>
      </c>
      <c r="Z582" s="142" t="str">
        <f ca="1">IF(S582=" "," ",X582/(1+'депозитный калькулятор'!$K$8)^(T582/IF('депозитный калькулятор'!$G$7="30/360",360,365)))</f>
        <v xml:space="preserve"> </v>
      </c>
      <c r="AA582" s="151"/>
      <c r="AB582" s="151"/>
      <c r="AC582" s="155"/>
      <c r="AD582" s="155"/>
    </row>
    <row r="583" spans="1:30" s="2" customFormat="1" ht="15.5" x14ac:dyDescent="0.35">
      <c r="A583" s="41" t="str">
        <f>IF(F583=" "," ",IF(OR('депозитный калькулятор'!$G$7="30/365",'депозитный калькулятор'!$G$7="30/360"),IF(AND(MONTH(F583)=2,DAY(F583)=DAY(EOMONTH(F583,0))),30-DAY(EOMONTH(F583,0)),IF(DAY(F583)=31,1," "))," "))</f>
        <v xml:space="preserve"> </v>
      </c>
      <c r="B583" s="130" t="str">
        <f t="shared" si="41"/>
        <v xml:space="preserve"> </v>
      </c>
      <c r="C583" s="130" t="str">
        <f>IF(OR(B583=0,B583=" ")," ",SUM($B$23:B583))</f>
        <v xml:space="preserve"> </v>
      </c>
      <c r="D583" s="62" t="str">
        <f>IF(D582=" "," ",IF(OR(F582='депозитный калькулятор'!$D$8,F582=" ")," ",D582+1))</f>
        <v xml:space="preserve"> </v>
      </c>
      <c r="E583" s="130" t="str">
        <f>IF(OR(F582='депозитный калькулятор'!$D$8,F582=" ")," ",IF(EOMONTH(F582,0)=F582,1,E582+1))</f>
        <v xml:space="preserve"> </v>
      </c>
      <c r="F583" s="64" t="str">
        <f>IF(F582=" "," ",IF(F582='депозитный калькулятор'!$D$8," ",F582+1))</f>
        <v xml:space="preserve"> </v>
      </c>
      <c r="G583" s="145" t="str">
        <f xml:space="preserve"> IF(F583&gt;'депозитный калькулятор'!$D$8," ",IF('депозитный калькулятор'!$G$13="есть",IF('депозитный калькулятор'!$G$14="есть",G582+IF(I582=" ",0,I582)-J583-K583+L583+M583-N583,G582+IF(I582=" ",0,I582)-J583-K583+M583-N583),IF('депозитный калькулятор'!$G$14="есть",G582-J583-K583+L583+M583-N583,G582-J583-K583+M583-N583)))</f>
        <v xml:space="preserve"> </v>
      </c>
      <c r="H583" s="133" t="str">
        <f>IF(F583&gt;'депозитный калькулятор'!$D$8," ",IF(AND(OR('депозитный калькулятор'!$G$7="30/365",'депозитный калькулятор'!$G$7="30/360"),AND(MONTH(F583)=2,EOMONTH(F583,0)=F583)),IF(DAY(F583)=28,3*G583*'депозитный калькулятор'!$G$8,2*G583*'депозитный калькулятор'!$G$8),IF(AND(OR('депозитный калькулятор'!$G$7="30/365",'депозитный калькулятор'!$G$7="30/360"),DAY(F583)=31)," ",IF(AND('депозитный калькулятор'!$G$7="факт/факт",MOD(YEAR(F583),4)=0),G583*'депозитный калькулятор'!$D$11/366,G583*'депозитный калькулятор'!$G$8))))</f>
        <v xml:space="preserve"> </v>
      </c>
      <c r="I583" s="134" t="str">
        <f ca="1">IF(F583=" "," ",IF('депозитный калькулятор'!$G$10="ежедневное",H583,IF(AND('депозитный калькулятор'!$G$10="еженедельное",WEEKDAY(F583,2)=7),SUM(OFFSET(H583,-6,0):H583),IF(AND('депозитный калькулятор'!$G$10="еженедельное",F583='депозитный калькулятор'!$D$8),SUM($H$23:H583)-SUM($I$23:I582),IF(AND('депозитный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недели",WEEKDAY(F583,2)=7),MIN(OFFSET(H583,-6,0):H583)*(COUNTIF(OFFSET(H583,-6,0):H583,"&gt;0")+SUMIF(OFFSET(A583,-WEEKDAY(F583,2),0):A583,"=2",OFFSET(A583,-WEEKDAY(F583,2),0):A583)),IF(AND('депозитный калькулятор'!$G$10="еженедельное, на минимальную сумму зафиксированную в течение недели",F583='депозитный калькулятор'!$D$8,WEEKDAY(F583,2)&lt;&gt;7),MIN(OFFSET(H583,-WEEKDAY(F583,2),0):H583)*(COUNTIF(OFFSET(H583,-WEEKDAY(F583,2)+1,0):H583,"&gt;0")+SUM(OFFSET(A583,-WEEKDAY(F583,2),0):A583)),IF(AND('депозитный калькулятор'!$G$10="ежемесячное (в конце месяца)",F583='депозитный калькулятор'!$D$8,EOMONTH(F583,0)&lt;&gt;F583),IF('депозитный калькулятор'!$F$1=1,$H$24,SUM($H$23:H583)-SUM($I$23:I582)),IF(AND('депозитный калькулятор'!$G$10="ежемесячное (в конце месяца)",EOMONTH(F583,0)=F583),SUM($H$23:H583)-SUM($I$23:I582),IF(AND('депозитный калькулятор'!$G$10="ежемесячное (по дням открытия вклада)",F583='депозитный калькулятор'!$D$8,DAY('депозитный калькулятор'!$D$7)&lt;&gt;DAY(F583)),IF('депозитный калькулятор'!$F$1=1,$H$24,SUM($H$23:H583)-SUM($I$23:I582)),IF(AND('депозитный калькулятор'!$G$10="ежемесячное (по дням открытия вклада)",DAY('депозитный калькулятор'!$D$7)=DAY(F583)),SUM($H$23:H583)-SUM($I$23:I582),IF(AND('депозитный калькулятор'!$G$10="ежемесячное, на минимальную сумму зафиксированную в течение месяца",F583='депозитный калькулятор'!$D$8,EOMONTH(F583,0)&lt;&gt;F583),IF('депозитный калькулятор'!$F$1=1,$H$24,IF(AND(OR('депозитный калькулятор'!$G$7="30/365",'депозитный калькулятор'!$G$7="30/360"),DAY(F583)=31),0,MIN(OFFSET(H583,-E583+1,0):H583)*(E583+SUMIF(OFFSET(A583,-E583+1,0):A583,"=2",OFFSET(A583,-E583+1,0):A583)))),IF(AND('депозитный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калькулятор'!$G$7="30/360"),DAY(EOMONTH(F583,0))=31),EOMONTH(F583,0)-1=F583,EOMONTH(F583,0)=F583)),IF(IF(AND(OR('депозитный калькулятор'!$G$7="30/365",'депозитный калькулятор'!$G$7="30/360"),DAY(EOMONTH($F$23,0))=31),F583=EOMONTH($F$23,0)-1,F583=EOMONTH($F$23,0)),MIN(OFFSET(H583,-(DAY(F583)-DAY($F$23)),0):H583)*E583,MIN(OFFSET(H583,-(DAY(F583)-1),0):H583)*IF(AND(OR('депозитный калькулятор'!$G$7="30/365",'депозитный калькулятор'!$G$7="30/360"),DAY(F583)&lt;30),30,DAY(F583))),IF(AND('депозитный калькулятор'!$G$10="ежемесячное, на средний остаток в течение месяца, при условии что остаток больше чем ограничение",F583='депозитный калькулятор'!$D$8,EOMONTH(F583,0)&lt;&gt;F583),IF('депозитный калькулятор'!$F$1=1,$H$24,SUM(OFFSET(Q583,-E583+1,0):Q583)),IF(AND('депозитный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калькулятор'!$G$7="30/360"),DAY(EOMONTH(F583,0))=31),EOMONTH(F583,0)-1=F583,EOMONTH(F583,0)=F583)),IF(IF(AND(OR('депозитный калькулятор'!$G$7="30/365",'депозитный калькулятор'!$G$7="30/360"),DAY(EOMONTH($F$24,0))=31),F583=EOMONTH($F$24,0)-1,F583=EOMONTH($F$24,0)),SUM(OFFSET(Q583,-E583+1,0):Q583),SUM(OFFSET(Q583,-E583+1,0):Q583)),IF('депозитный калькулятор'!$G$10="ежеквартальное",IF(F583&gt;'депозитный калькулятор'!$D$8," ",IF(AND(EOMONTH(F583,0)=F583,OR(MONTH(F583)=3,MONTH(F583)=6,MONTH(F583)=9,MONTH(F583)=12)),IF(EDATE(F583,-3)&lt;'депозитный калькулятор'!$D$7,SUM($H$23:H583),IF(MOD(YEAR(F583),4)=0,IF(AND(EOMONTH(F583,0)=F583,OR(MONTH(F583)=3,MONTH(F583)=6)),SUM(OFFSET(H583,-90,0):H583),IF(AND(EOMONTH(F583,0)=F583,OR(MONTH(F583)=9,MONTH(F583)=12)),SUM(OFFSET(H583,-91,0):H583))),IF(AND(EOMONTH(F583,0)=F583,MONTH(F583)=3),SUM(OFFSET(H583,-89,0):H583),IF(AND(EOMONTH(F583,0)=F583,MONTH(F583)=6),SUM(OFFSET(H583,-90,0):H583),IF(AND(EOMONTH(F583,0)=F583,OR(MONTH(F583)=9,MONTH(F583)=12)),SUM(OFFSET(H583,-91,0):H583)))))),IF(F583='депозитный калькулятор'!$D$8,SUM($H$23:H583)-SUM($I$23:I582),0))),IF('депозитный калькулятор'!$G$10="ежегодное",IF(F583&gt;'депозитный калькулятор'!$D$8," ",IF(F583='депозитный калькулятор'!$D$8,SUM($H$23:H583)-SUM($I$23:I582),IF(AND(EOMONTH(F583,0)=F583,MONTH(F583)=12),IF(MOD(YEAR(F582),4)=0,IF(F583-'депозитный калькулятор'!$D$7&lt;366,SUM($H$23:H583),SUM(OFFSET(H583,-365,0):H583)),IF(F583-'депозитный калькулятор'!$D$7&lt;365,SUM($H$23:H583),SUM(OFFSET(H583,-364,0):H583))),0))),IF(AND('депозитный калькулятор'!$G$10="в конце срока",'депозитный калькулятор'!$D$8=F583),SUM($H$23:H583),0))))))))))))))))))</f>
        <v xml:space="preserve"> </v>
      </c>
      <c r="J583" s="59" t="str">
        <f>IF(F583&gt;'депозитный калькулятор'!$D$8," ",IF('депозитный калькулятор'!$G$16="нет",0,IF(AND('депозитный калькулятор'!$G$17="разовая (в конце срока)",F583='депозитный калькулятор'!$D$8),'депозитный калькулятор'!$G$18,IF(AND('депозитный калькулятор'!$G$17="ежемесячная",EOMONTH(F582,0)=F582),'депозитный калькулятор'!$G$18,IF(AND('депозитный калькулятор'!$G$17="ежегодная",DAY(F582)=31,MONTH(F582)=12),'депозитный калькулятор'!$G$18,IF(AND('депозитный калькулятор'!$G$17="ежемесячная в зависимости от остатка",EOMONTH(F582,0)=F582,P582&gt;0),'депозитный калькулятор'!$G$18,IF(AND('депозитный калькулятор'!$G$17="ежегодная в зависимости от остатка",DAY(F582)=31,MONTH(F582)=12,P582&gt;0),'депозитный калькулятор'!$G$18,0)))))))</f>
        <v xml:space="preserve"> </v>
      </c>
      <c r="K583" s="135" t="str">
        <f>IF($F583=" "," ",IFERROR(VLOOKUP($F583,'депозитный калькулятор'!$B$26:$F$70,2,0),0))</f>
        <v xml:space="preserve"> </v>
      </c>
      <c r="L583" s="135" t="str">
        <f>IF($F583=" "," ",IFERROR(VLOOKUP($F583,'депозитный калькулятор'!$B$26:$F$70,3,0),0))</f>
        <v xml:space="preserve"> </v>
      </c>
      <c r="M583" s="135" t="str">
        <f>IF($F583=" "," ",IFERROR(VLOOKUP($F583,'депозитный калькулятор'!$B$26:$F$70,4,0),0))</f>
        <v xml:space="preserve"> </v>
      </c>
      <c r="N583" s="135" t="str">
        <f>IF($F583=" "," ",IFERROR(VLOOKUP($F583,'депозитный калькулятор'!$B$26:$F$70,5,0),0))</f>
        <v xml:space="preserve"> </v>
      </c>
      <c r="O583" s="146" t="str">
        <f>IF(F583&gt;'депозитный калькулятор'!$D$8," ",IF(F583='депозитный калькулятор'!$D$8,IF(AND($F$24='депозитный калькулятор'!$D$8,'депозитный калькулятор'!$G$13="нет"),-G583-IF(I583=" ",0,I583)-IF(AND(OR('депозитный калькулятор'!$G$7="30/365",'депозитный калькулятор'!$G$7="30/360"),'депозитный калькулятор'!$G$10="в начале срока"),I582,0)-L583+M583-N583,-G583-IF(I583=" ",0,I583)-L583+M583-N583),IF('депозитный калькулятор'!$G$13="есть",M583-N583+IF('депозитный калькулятор'!$G$14="есть",0,-L583),-IF(I583=" ",0,I583)-IF(AND(OR('депозитный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срока"),I582,0)+M583-N583+IF('депозитный калькулятор'!$G$14="есть",0,-L583))))</f>
        <v xml:space="preserve"> </v>
      </c>
      <c r="P583" s="147" t="str">
        <f>IF(F583&gt;'депозитный калькулятор'!$D$8," ",IF(EOMONTH(F582,0)=F582,0,IF(G583&gt;='депозитный калькулятор'!$G$19,P582,P582+1)))</f>
        <v xml:space="preserve"> </v>
      </c>
      <c r="Q583" s="138" t="str">
        <f>IF(F583=" "," ",IF(AND(OR('депозитный калькулятор'!$G$7="30/365",'депозитный калькулятор'!$G$7="30/360"),AND(MONTH(F583)=2,EOMONTH(F583,0)=F583)),IF(DAY(F583)=28,3,2),1)*IF(G583&gt;='депозитный калькулятор'!$G$11,IF(AND('депозитный калькулятор'!$G$7="факт/факт",MOD(YEAR(F583),4)=0),G583*'депозитный калькулятор'!$D$11/366,G583*'депозитный калькулятор'!$G$8),0))</f>
        <v xml:space="preserve"> </v>
      </c>
      <c r="R583" s="158"/>
      <c r="S583" s="62" t="str">
        <f t="shared" ca="1" si="42"/>
        <v xml:space="preserve"> </v>
      </c>
      <c r="T583" s="149" t="str">
        <f ca="1">IF(S583=" "," ",IF('депозитный калькулятор'!$G$7="30/360",DAYS360(U582,IF(DAY(U583)=31,U583-1,U583))+IF(AND(MONTH(U583)=2,U583=EOMONTH(U583,0)),30-DAY(EOMONTH(U583,0)))+T582,VLOOKUP(S583,$C$22:$F$1023,2,0)))</f>
        <v xml:space="preserve"> </v>
      </c>
      <c r="U583" s="64" t="str">
        <f t="shared" ca="1" si="40"/>
        <v xml:space="preserve"> </v>
      </c>
      <c r="V583" s="150" t="str">
        <f t="shared" ca="1" si="43"/>
        <v xml:space="preserve"> </v>
      </c>
      <c r="W583" s="62" t="str">
        <f t="shared" ca="1" si="44"/>
        <v xml:space="preserve"> </v>
      </c>
      <c r="X583" s="141" t="str">
        <f ca="1">IF(S583=" "," ",IFERROR(VLOOKUP(U583,$F$23:$N$1023,7)+VLOOKUP(U583,$F$23:$N$1023,9)+IF(AND('депозитный калькулятор'!$G$13="нет",U583&lt;&gt;'депозитный калькулятор'!$D$8),VLOOKUP(U583,$F$23:$N$1023,4),0),0)+IF(U583='депозитный калькулятор'!$D$8,VLOOKUP(U583,$F$23:$N$1023,2)+VLOOKUP(U583,$F$23:$N$1023,4),0))</f>
        <v xml:space="preserve"> </v>
      </c>
      <c r="Y583" s="142" t="str">
        <f ca="1">IF(S583=" "," ",W583/(1+'депозитный калькулятор'!$K$8)^(T583/IF('депозитный калькулятор'!$G$7="30/360",360,365)))</f>
        <v xml:space="preserve"> </v>
      </c>
      <c r="Z583" s="142" t="str">
        <f ca="1">IF(S583=" "," ",X583/(1+'депозитный калькулятор'!$K$8)^(T583/IF('депозитный калькулятор'!$G$7="30/360",360,365)))</f>
        <v xml:space="preserve"> </v>
      </c>
      <c r="AA583" s="151"/>
      <c r="AB583" s="151"/>
      <c r="AC583" s="155"/>
      <c r="AD583" s="155"/>
    </row>
    <row r="584" spans="1:30" s="2" customFormat="1" ht="15.5" x14ac:dyDescent="0.35">
      <c r="A584" s="41" t="str">
        <f>IF(F584=" "," ",IF(OR('депозитный калькулятор'!$G$7="30/365",'депозитный калькулятор'!$G$7="30/360"),IF(AND(MONTH(F584)=2,DAY(F584)=DAY(EOMONTH(F584,0))),30-DAY(EOMONTH(F584,0)),IF(DAY(F584)=31,1," "))," "))</f>
        <v xml:space="preserve"> </v>
      </c>
      <c r="B584" s="130" t="str">
        <f t="shared" si="41"/>
        <v xml:space="preserve"> </v>
      </c>
      <c r="C584" s="130" t="str">
        <f>IF(OR(B584=0,B584=" ")," ",SUM($B$23:B584))</f>
        <v xml:space="preserve"> </v>
      </c>
      <c r="D584" s="62" t="str">
        <f>IF(D583=" "," ",IF(OR(F583='депозитный калькулятор'!$D$8,F583=" ")," ",D583+1))</f>
        <v xml:space="preserve"> </v>
      </c>
      <c r="E584" s="130" t="str">
        <f>IF(OR(F583='депозитный калькулятор'!$D$8,F583=" ")," ",IF(EOMONTH(F583,0)=F583,1,E583+1))</f>
        <v xml:space="preserve"> </v>
      </c>
      <c r="F584" s="64" t="str">
        <f>IF(F583=" "," ",IF(F583='депозитный калькулятор'!$D$8," ",F583+1))</f>
        <v xml:space="preserve"> </v>
      </c>
      <c r="G584" s="145" t="str">
        <f xml:space="preserve"> IF(F584&gt;'депозитный калькулятор'!$D$8," ",IF('депозитный калькулятор'!$G$13="есть",IF('депозитный калькулятор'!$G$14="есть",G583+IF(I583=" ",0,I583)-J584-K584+L584+M584-N584,G583+IF(I583=" ",0,I583)-J584-K584+M584-N584),IF('депозитный калькулятор'!$G$14="есть",G583-J584-K584+L584+M584-N584,G583-J584-K584+M584-N584)))</f>
        <v xml:space="preserve"> </v>
      </c>
      <c r="H584" s="133" t="str">
        <f>IF(F584&gt;'депозитный калькулятор'!$D$8," ",IF(AND(OR('депозитный калькулятор'!$G$7="30/365",'депозитный калькулятор'!$G$7="30/360"),AND(MONTH(F584)=2,EOMONTH(F584,0)=F584)),IF(DAY(F584)=28,3*G584*'депозитный калькулятор'!$G$8,2*G584*'депозитный калькулятор'!$G$8),IF(AND(OR('депозитный калькулятор'!$G$7="30/365",'депозитный калькулятор'!$G$7="30/360"),DAY(F584)=31)," ",IF(AND('депозитный калькулятор'!$G$7="факт/факт",MOD(YEAR(F584),4)=0),G584*'депозитный калькулятор'!$D$11/366,G584*'депозитный калькулятор'!$G$8))))</f>
        <v xml:space="preserve"> </v>
      </c>
      <c r="I584" s="134" t="str">
        <f ca="1">IF(F584=" "," ",IF('депозитный калькулятор'!$G$10="ежедневное",H584,IF(AND('депозитный калькулятор'!$G$10="еженедельное",WEEKDAY(F584,2)=7),SUM(OFFSET(H584,-6,0):H584),IF(AND('депозитный калькулятор'!$G$10="еженедельное",F584='депозитный калькулятор'!$D$8),SUM($H$23:H584)-SUM($I$23:I583),IF(AND('депозитный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недели",WEEKDAY(F584,2)=7),MIN(OFFSET(H584,-6,0):H584)*(COUNTIF(OFFSET(H584,-6,0):H584,"&gt;0")+SUMIF(OFFSET(A584,-WEEKDAY(F584,2),0):A584,"=2",OFFSET(A584,-WEEKDAY(F584,2),0):A584)),IF(AND('депозитный калькулятор'!$G$10="еженедельное, на минимальную сумму зафиксированную в течение недели",F584='депозитный калькулятор'!$D$8,WEEKDAY(F584,2)&lt;&gt;7),MIN(OFFSET(H584,-WEEKDAY(F584,2),0):H584)*(COUNTIF(OFFSET(H584,-WEEKDAY(F584,2)+1,0):H584,"&gt;0")+SUM(OFFSET(A584,-WEEKDAY(F584,2),0):A584)),IF(AND('депозитный калькулятор'!$G$10="ежемесячное (в конце месяца)",F584='депозитный калькулятор'!$D$8,EOMONTH(F584,0)&lt;&gt;F584),IF('депозитный калькулятор'!$F$1=1,$H$24,SUM($H$23:H584)-SUM($I$23:I583)),IF(AND('депозитный калькулятор'!$G$10="ежемесячное (в конце месяца)",EOMONTH(F584,0)=F584),SUM($H$23:H584)-SUM($I$23:I583),IF(AND('депозитный калькулятор'!$G$10="ежемесячное (по дням открытия вклада)",F584='депозитный калькулятор'!$D$8,DAY('депозитный калькулятор'!$D$7)&lt;&gt;DAY(F584)),IF('депозитный калькулятор'!$F$1=1,$H$24,SUM($H$23:H584)-SUM($I$23:I583)),IF(AND('депозитный калькулятор'!$G$10="ежемесячное (по дням открытия вклада)",DAY('депозитный калькулятор'!$D$7)=DAY(F584)),SUM($H$23:H584)-SUM($I$23:I583),IF(AND('депозитный калькулятор'!$G$10="ежемесячное, на минимальную сумму зафиксированную в течение месяца",F584='депозитный калькулятор'!$D$8,EOMONTH(F584,0)&lt;&gt;F584),IF('депозитный калькулятор'!$F$1=1,$H$24,IF(AND(OR('депозитный калькулятор'!$G$7="30/365",'депозитный калькулятор'!$G$7="30/360"),DAY(F584)=31),0,MIN(OFFSET(H584,-E584+1,0):H584)*(E584+SUMIF(OFFSET(A584,-E584+1,0):A584,"=2",OFFSET(A584,-E584+1,0):A584)))),IF(AND('депозитный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калькулятор'!$G$7="30/360"),DAY(EOMONTH(F584,0))=31),EOMONTH(F584,0)-1=F584,EOMONTH(F584,0)=F584)),IF(IF(AND(OR('депозитный калькулятор'!$G$7="30/365",'депозитный калькулятор'!$G$7="30/360"),DAY(EOMONTH($F$23,0))=31),F584=EOMONTH($F$23,0)-1,F584=EOMONTH($F$23,0)),MIN(OFFSET(H584,-(DAY(F584)-DAY($F$23)),0):H584)*E584,MIN(OFFSET(H584,-(DAY(F584)-1),0):H584)*IF(AND(OR('депозитный калькулятор'!$G$7="30/365",'депозитный калькулятор'!$G$7="30/360"),DAY(F584)&lt;30),30,DAY(F584))),IF(AND('депозитный калькулятор'!$G$10="ежемесячное, на средний остаток в течение месяца, при условии что остаток больше чем ограничение",F584='депозитный калькулятор'!$D$8,EOMONTH(F584,0)&lt;&gt;F584),IF('депозитный калькулятор'!$F$1=1,$H$24,SUM(OFFSET(Q584,-E584+1,0):Q584)),IF(AND('депозитный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калькулятор'!$G$7="30/360"),DAY(EOMONTH(F584,0))=31),EOMONTH(F584,0)-1=F584,EOMONTH(F584,0)=F584)),IF(IF(AND(OR('депозитный калькулятор'!$G$7="30/365",'депозитный калькулятор'!$G$7="30/360"),DAY(EOMONTH($F$24,0))=31),F584=EOMONTH($F$24,0)-1,F584=EOMONTH($F$24,0)),SUM(OFFSET(Q584,-E584+1,0):Q584),SUM(OFFSET(Q584,-E584+1,0):Q584)),IF('депозитный калькулятор'!$G$10="ежеквартальное",IF(F584&gt;'депозитный калькулятор'!$D$8," ",IF(AND(EOMONTH(F584,0)=F584,OR(MONTH(F584)=3,MONTH(F584)=6,MONTH(F584)=9,MONTH(F584)=12)),IF(EDATE(F584,-3)&lt;'депозитный калькулятор'!$D$7,SUM($H$23:H584),IF(MOD(YEAR(F584),4)=0,IF(AND(EOMONTH(F584,0)=F584,OR(MONTH(F584)=3,MONTH(F584)=6)),SUM(OFFSET(H584,-90,0):H584),IF(AND(EOMONTH(F584,0)=F584,OR(MONTH(F584)=9,MONTH(F584)=12)),SUM(OFFSET(H584,-91,0):H584))),IF(AND(EOMONTH(F584,0)=F584,MONTH(F584)=3),SUM(OFFSET(H584,-89,0):H584),IF(AND(EOMONTH(F584,0)=F584,MONTH(F584)=6),SUM(OFFSET(H584,-90,0):H584),IF(AND(EOMONTH(F584,0)=F584,OR(MONTH(F584)=9,MONTH(F584)=12)),SUM(OFFSET(H584,-91,0):H584)))))),IF(F584='депозитный калькулятор'!$D$8,SUM($H$23:H584)-SUM($I$23:I583),0))),IF('депозитный калькулятор'!$G$10="ежегодное",IF(F584&gt;'депозитный калькулятор'!$D$8," ",IF(F584='депозитный калькулятор'!$D$8,SUM($H$23:H584)-SUM($I$23:I583),IF(AND(EOMONTH(F584,0)=F584,MONTH(F584)=12),IF(MOD(YEAR(F583),4)=0,IF(F584-'депозитный калькулятор'!$D$7&lt;366,SUM($H$23:H584),SUM(OFFSET(H584,-365,0):H584)),IF(F584-'депозитный калькулятор'!$D$7&lt;365,SUM($H$23:H584),SUM(OFFSET(H584,-364,0):H584))),0))),IF(AND('депозитный калькулятор'!$G$10="в конце срока",'депозитный калькулятор'!$D$8=F584),SUM($H$23:H584),0))))))))))))))))))</f>
        <v xml:space="preserve"> </v>
      </c>
      <c r="J584" s="59" t="str">
        <f>IF(F584&gt;'депозитный калькулятор'!$D$8," ",IF('депозитный калькулятор'!$G$16="нет",0,IF(AND('депозитный калькулятор'!$G$17="разовая (в конце срока)",F584='депозитный калькулятор'!$D$8),'депозитный калькулятор'!$G$18,IF(AND('депозитный калькулятор'!$G$17="ежемесячная",EOMONTH(F583,0)=F583),'депозитный калькулятор'!$G$18,IF(AND('депозитный калькулятор'!$G$17="ежегодная",DAY(F583)=31,MONTH(F583)=12),'депозитный калькулятор'!$G$18,IF(AND('депозитный калькулятор'!$G$17="ежемесячная в зависимости от остатка",EOMONTH(F583,0)=F583,P583&gt;0),'депозитный калькулятор'!$G$18,IF(AND('депозитный калькулятор'!$G$17="ежегодная в зависимости от остатка",DAY(F583)=31,MONTH(F583)=12,P583&gt;0),'депозитный калькулятор'!$G$18,0)))))))</f>
        <v xml:space="preserve"> </v>
      </c>
      <c r="K584" s="135" t="str">
        <f>IF($F584=" "," ",IFERROR(VLOOKUP($F584,'депозитный калькулятор'!$B$26:$F$70,2,0),0))</f>
        <v xml:space="preserve"> </v>
      </c>
      <c r="L584" s="135" t="str">
        <f>IF($F584=" "," ",IFERROR(VLOOKUP($F584,'депозитный калькулятор'!$B$26:$F$70,3,0),0))</f>
        <v xml:space="preserve"> </v>
      </c>
      <c r="M584" s="135" t="str">
        <f>IF($F584=" "," ",IFERROR(VLOOKUP($F584,'депозитный калькулятор'!$B$26:$F$70,4,0),0))</f>
        <v xml:space="preserve"> </v>
      </c>
      <c r="N584" s="135" t="str">
        <f>IF($F584=" "," ",IFERROR(VLOOKUP($F584,'депозитный калькулятор'!$B$26:$F$70,5,0),0))</f>
        <v xml:space="preserve"> </v>
      </c>
      <c r="O584" s="146" t="str">
        <f>IF(F584&gt;'депозитный калькулятор'!$D$8," ",IF(F584='депозитный калькулятор'!$D$8,IF(AND($F$24='депозитный калькулятор'!$D$8,'депозитный калькулятор'!$G$13="нет"),-G584-IF(I584=" ",0,I584)-IF(AND(OR('депозитный калькулятор'!$G$7="30/365",'депозитный калькулятор'!$G$7="30/360"),'депозитный калькулятор'!$G$10="в начале срока"),I583,0)-L584+M584-N584,-G584-IF(I584=" ",0,I584)-L584+M584-N584),IF('депозитный калькулятор'!$G$13="есть",M584-N584+IF('депозитный калькулятор'!$G$14="есть",0,-L584),-IF(I584=" ",0,I584)-IF(AND(OR('депозитный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срока"),I583,0)+M584-N584+IF('депозитный калькулятор'!$G$14="есть",0,-L584))))</f>
        <v xml:space="preserve"> </v>
      </c>
      <c r="P584" s="147" t="str">
        <f>IF(F584&gt;'депозитный калькулятор'!$D$8," ",IF(EOMONTH(F583,0)=F583,0,IF(G584&gt;='депозитный калькулятор'!$G$19,P583,P583+1)))</f>
        <v xml:space="preserve"> </v>
      </c>
      <c r="Q584" s="138" t="str">
        <f>IF(F584=" "," ",IF(AND(OR('депозитный калькулятор'!$G$7="30/365",'депозитный калькулятор'!$G$7="30/360"),AND(MONTH(F584)=2,EOMONTH(F584,0)=F584)),IF(DAY(F584)=28,3,2),1)*IF(G584&gt;='депозитный калькулятор'!$G$11,IF(AND('депозитный калькулятор'!$G$7="факт/факт",MOD(YEAR(F584),4)=0),G584*'депозитный калькулятор'!$D$11/366,G584*'депозитный калькулятор'!$G$8),0))</f>
        <v xml:space="preserve"> </v>
      </c>
      <c r="R584" s="158"/>
      <c r="S584" s="62" t="str">
        <f t="shared" ca="1" si="42"/>
        <v xml:space="preserve"> </v>
      </c>
      <c r="T584" s="149" t="str">
        <f ca="1">IF(S584=" "," ",IF('депозитный калькулятор'!$G$7="30/360",DAYS360(U583,IF(DAY(U584)=31,U584-1,U584))+IF(AND(MONTH(U584)=2,U584=EOMONTH(U584,0)),30-DAY(EOMONTH(U584,0)))+T583,VLOOKUP(S584,$C$22:$F$1023,2,0)))</f>
        <v xml:space="preserve"> </v>
      </c>
      <c r="U584" s="64" t="str">
        <f t="shared" ca="1" si="40"/>
        <v xml:space="preserve"> </v>
      </c>
      <c r="V584" s="150" t="str">
        <f t="shared" ca="1" si="43"/>
        <v xml:space="preserve"> </v>
      </c>
      <c r="W584" s="62" t="str">
        <f t="shared" ca="1" si="44"/>
        <v xml:space="preserve"> </v>
      </c>
      <c r="X584" s="141" t="str">
        <f ca="1">IF(S584=" "," ",IFERROR(VLOOKUP(U584,$F$23:$N$1023,7)+VLOOKUP(U584,$F$23:$N$1023,9)+IF(AND('депозитный калькулятор'!$G$13="нет",U584&lt;&gt;'депозитный калькулятор'!$D$8),VLOOKUP(U584,$F$23:$N$1023,4),0),0)+IF(U584='депозитный калькулятор'!$D$8,VLOOKUP(U584,$F$23:$N$1023,2)+VLOOKUP(U584,$F$23:$N$1023,4),0))</f>
        <v xml:space="preserve"> </v>
      </c>
      <c r="Y584" s="142" t="str">
        <f ca="1">IF(S584=" "," ",W584/(1+'депозитный калькулятор'!$K$8)^(T584/IF('депозитный калькулятор'!$G$7="30/360",360,365)))</f>
        <v xml:space="preserve"> </v>
      </c>
      <c r="Z584" s="142" t="str">
        <f ca="1">IF(S584=" "," ",X584/(1+'депозитный калькулятор'!$K$8)^(T584/IF('депозитный калькулятор'!$G$7="30/360",360,365)))</f>
        <v xml:space="preserve"> </v>
      </c>
      <c r="AA584" s="151"/>
      <c r="AB584" s="151"/>
      <c r="AC584" s="155"/>
      <c r="AD584" s="155"/>
    </row>
    <row r="585" spans="1:30" s="2" customFormat="1" ht="15.5" x14ac:dyDescent="0.35">
      <c r="A585" s="41" t="str">
        <f>IF(F585=" "," ",IF(OR('депозитный калькулятор'!$G$7="30/365",'депозитный калькулятор'!$G$7="30/360"),IF(AND(MONTH(F585)=2,DAY(F585)=DAY(EOMONTH(F585,0))),30-DAY(EOMONTH(F585,0)),IF(DAY(F585)=31,1," "))," "))</f>
        <v xml:space="preserve"> </v>
      </c>
      <c r="B585" s="130" t="str">
        <f t="shared" si="41"/>
        <v xml:space="preserve"> </v>
      </c>
      <c r="C585" s="130" t="str">
        <f>IF(OR(B585=0,B585=" ")," ",SUM($B$23:B585))</f>
        <v xml:space="preserve"> </v>
      </c>
      <c r="D585" s="62" t="str">
        <f>IF(D584=" "," ",IF(OR(F584='депозитный калькулятор'!$D$8,F584=" ")," ",D584+1))</f>
        <v xml:space="preserve"> </v>
      </c>
      <c r="E585" s="130" t="str">
        <f>IF(OR(F584='депозитный калькулятор'!$D$8,F584=" ")," ",IF(EOMONTH(F584,0)=F584,1,E584+1))</f>
        <v xml:space="preserve"> </v>
      </c>
      <c r="F585" s="64" t="str">
        <f>IF(F584=" "," ",IF(F584='депозитный калькулятор'!$D$8," ",F584+1))</f>
        <v xml:space="preserve"> </v>
      </c>
      <c r="G585" s="145" t="str">
        <f xml:space="preserve"> IF(F585&gt;'депозитный калькулятор'!$D$8," ",IF('депозитный калькулятор'!$G$13="есть",IF('депозитный калькулятор'!$G$14="есть",G584+IF(I584=" ",0,I584)-J585-K585+L585+M585-N585,G584+IF(I584=" ",0,I584)-J585-K585+M585-N585),IF('депозитный калькулятор'!$G$14="есть",G584-J585-K585+L585+M585-N585,G584-J585-K585+M585-N585)))</f>
        <v xml:space="preserve"> </v>
      </c>
      <c r="H585" s="133" t="str">
        <f>IF(F585&gt;'депозитный калькулятор'!$D$8," ",IF(AND(OR('депозитный калькулятор'!$G$7="30/365",'депозитный калькулятор'!$G$7="30/360"),AND(MONTH(F585)=2,EOMONTH(F585,0)=F585)),IF(DAY(F585)=28,3*G585*'депозитный калькулятор'!$G$8,2*G585*'депозитный калькулятор'!$G$8),IF(AND(OR('депозитный калькулятор'!$G$7="30/365",'депозитный калькулятор'!$G$7="30/360"),DAY(F585)=31)," ",IF(AND('депозитный калькулятор'!$G$7="факт/факт",MOD(YEAR(F585),4)=0),G585*'депозитный калькулятор'!$D$11/366,G585*'депозитный калькулятор'!$G$8))))</f>
        <v xml:space="preserve"> </v>
      </c>
      <c r="I585" s="134" t="str">
        <f ca="1">IF(F585=" "," ",IF('депозитный калькулятор'!$G$10="ежедневное",H585,IF(AND('депозитный калькулятор'!$G$10="еженедельное",WEEKDAY(F585,2)=7),SUM(OFFSET(H585,-6,0):H585),IF(AND('депозитный калькулятор'!$G$10="еженедельное",F585='депозитный калькулятор'!$D$8),SUM($H$23:H585)-SUM($I$23:I584),IF(AND('депозитный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недели",WEEKDAY(F585,2)=7),MIN(OFFSET(H585,-6,0):H585)*(COUNTIF(OFFSET(H585,-6,0):H585,"&gt;0")+SUMIF(OFFSET(A585,-WEEKDAY(F585,2),0):A585,"=2",OFFSET(A585,-WEEKDAY(F585,2),0):A585)),IF(AND('депозитный калькулятор'!$G$10="еженедельное, на минимальную сумму зафиксированную в течение недели",F585='депозитный калькулятор'!$D$8,WEEKDAY(F585,2)&lt;&gt;7),MIN(OFFSET(H585,-WEEKDAY(F585,2),0):H585)*(COUNTIF(OFFSET(H585,-WEEKDAY(F585,2)+1,0):H585,"&gt;0")+SUM(OFFSET(A585,-WEEKDAY(F585,2),0):A585)),IF(AND('депозитный калькулятор'!$G$10="ежемесячное (в конце месяца)",F585='депозитный калькулятор'!$D$8,EOMONTH(F585,0)&lt;&gt;F585),IF('депозитный калькулятор'!$F$1=1,$H$24,SUM($H$23:H585)-SUM($I$23:I584)),IF(AND('депозитный калькулятор'!$G$10="ежемесячное (в конце месяца)",EOMONTH(F585,0)=F585),SUM($H$23:H585)-SUM($I$23:I584),IF(AND('депозитный калькулятор'!$G$10="ежемесячное (по дням открытия вклада)",F585='депозитный калькулятор'!$D$8,DAY('депозитный калькулятор'!$D$7)&lt;&gt;DAY(F585)),IF('депозитный калькулятор'!$F$1=1,$H$24,SUM($H$23:H585)-SUM($I$23:I584)),IF(AND('депозитный калькулятор'!$G$10="ежемесячное (по дням открытия вклада)",DAY('депозитный калькулятор'!$D$7)=DAY(F585)),SUM($H$23:H585)-SUM($I$23:I584),IF(AND('депозитный калькулятор'!$G$10="ежемесячное, на минимальную сумму зафиксированную в течение месяца",F585='депозитный калькулятор'!$D$8,EOMONTH(F585,0)&lt;&gt;F585),IF('депозитный калькулятор'!$F$1=1,$H$24,IF(AND(OR('депозитный калькулятор'!$G$7="30/365",'депозитный калькулятор'!$G$7="30/360"),DAY(F585)=31),0,MIN(OFFSET(H585,-E585+1,0):H585)*(E585+SUMIF(OFFSET(A585,-E585+1,0):A585,"=2",OFFSET(A585,-E585+1,0):A585)))),IF(AND('депозитный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калькулятор'!$G$7="30/360"),DAY(EOMONTH(F585,0))=31),EOMONTH(F585,0)-1=F585,EOMONTH(F585,0)=F585)),IF(IF(AND(OR('депозитный калькулятор'!$G$7="30/365",'депозитный калькулятор'!$G$7="30/360"),DAY(EOMONTH($F$23,0))=31),F585=EOMONTH($F$23,0)-1,F585=EOMONTH($F$23,0)),MIN(OFFSET(H585,-(DAY(F585)-DAY($F$23)),0):H585)*E585,MIN(OFFSET(H585,-(DAY(F585)-1),0):H585)*IF(AND(OR('депозитный калькулятор'!$G$7="30/365",'депозитный калькулятор'!$G$7="30/360"),DAY(F585)&lt;30),30,DAY(F585))),IF(AND('депозитный калькулятор'!$G$10="ежемесячное, на средний остаток в течение месяца, при условии что остаток больше чем ограничение",F585='депозитный калькулятор'!$D$8,EOMONTH(F585,0)&lt;&gt;F585),IF('депозитный калькулятор'!$F$1=1,$H$24,SUM(OFFSET(Q585,-E585+1,0):Q585)),IF(AND('депозитный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калькулятор'!$G$7="30/360"),DAY(EOMONTH(F585,0))=31),EOMONTH(F585,0)-1=F585,EOMONTH(F585,0)=F585)),IF(IF(AND(OR('депозитный калькулятор'!$G$7="30/365",'депозитный калькулятор'!$G$7="30/360"),DAY(EOMONTH($F$24,0))=31),F585=EOMONTH($F$24,0)-1,F585=EOMONTH($F$24,0)),SUM(OFFSET(Q585,-E585+1,0):Q585),SUM(OFFSET(Q585,-E585+1,0):Q585)),IF('депозитный калькулятор'!$G$10="ежеквартальное",IF(F585&gt;'депозитный калькулятор'!$D$8," ",IF(AND(EOMONTH(F585,0)=F585,OR(MONTH(F585)=3,MONTH(F585)=6,MONTH(F585)=9,MONTH(F585)=12)),IF(EDATE(F585,-3)&lt;'депозитный калькулятор'!$D$7,SUM($H$23:H585),IF(MOD(YEAR(F585),4)=0,IF(AND(EOMONTH(F585,0)=F585,OR(MONTH(F585)=3,MONTH(F585)=6)),SUM(OFFSET(H585,-90,0):H585),IF(AND(EOMONTH(F585,0)=F585,OR(MONTH(F585)=9,MONTH(F585)=12)),SUM(OFFSET(H585,-91,0):H585))),IF(AND(EOMONTH(F585,0)=F585,MONTH(F585)=3),SUM(OFFSET(H585,-89,0):H585),IF(AND(EOMONTH(F585,0)=F585,MONTH(F585)=6),SUM(OFFSET(H585,-90,0):H585),IF(AND(EOMONTH(F585,0)=F585,OR(MONTH(F585)=9,MONTH(F585)=12)),SUM(OFFSET(H585,-91,0):H585)))))),IF(F585='депозитный калькулятор'!$D$8,SUM($H$23:H585)-SUM($I$23:I584),0))),IF('депозитный калькулятор'!$G$10="ежегодное",IF(F585&gt;'депозитный калькулятор'!$D$8," ",IF(F585='депозитный калькулятор'!$D$8,SUM($H$23:H585)-SUM($I$23:I584),IF(AND(EOMONTH(F585,0)=F585,MONTH(F585)=12),IF(MOD(YEAR(F584),4)=0,IF(F585-'депозитный калькулятор'!$D$7&lt;366,SUM($H$23:H585),SUM(OFFSET(H585,-365,0):H585)),IF(F585-'депозитный калькулятор'!$D$7&lt;365,SUM($H$23:H585),SUM(OFFSET(H585,-364,0):H585))),0))),IF(AND('депозитный калькулятор'!$G$10="в конце срока",'депозитный калькулятор'!$D$8=F585),SUM($H$23:H585),0))))))))))))))))))</f>
        <v xml:space="preserve"> </v>
      </c>
      <c r="J585" s="59" t="str">
        <f>IF(F585&gt;'депозитный калькулятор'!$D$8," ",IF('депозитный калькулятор'!$G$16="нет",0,IF(AND('депозитный калькулятор'!$G$17="разовая (в конце срока)",F585='депозитный калькулятор'!$D$8),'депозитный калькулятор'!$G$18,IF(AND('депозитный калькулятор'!$G$17="ежемесячная",EOMONTH(F584,0)=F584),'депозитный калькулятор'!$G$18,IF(AND('депозитный калькулятор'!$G$17="ежегодная",DAY(F584)=31,MONTH(F584)=12),'депозитный калькулятор'!$G$18,IF(AND('депозитный калькулятор'!$G$17="ежемесячная в зависимости от остатка",EOMONTH(F584,0)=F584,P584&gt;0),'депозитный калькулятор'!$G$18,IF(AND('депозитный калькулятор'!$G$17="ежегодная в зависимости от остатка",DAY(F584)=31,MONTH(F584)=12,P584&gt;0),'депозитный калькулятор'!$G$18,0)))))))</f>
        <v xml:space="preserve"> </v>
      </c>
      <c r="K585" s="135" t="str">
        <f>IF($F585=" "," ",IFERROR(VLOOKUP($F585,'депозитный калькулятор'!$B$26:$F$70,2,0),0))</f>
        <v xml:space="preserve"> </v>
      </c>
      <c r="L585" s="135" t="str">
        <f>IF($F585=" "," ",IFERROR(VLOOKUP($F585,'депозитный калькулятор'!$B$26:$F$70,3,0),0))</f>
        <v xml:space="preserve"> </v>
      </c>
      <c r="M585" s="135" t="str">
        <f>IF($F585=" "," ",IFERROR(VLOOKUP($F585,'депозитный калькулятор'!$B$26:$F$70,4,0),0))</f>
        <v xml:space="preserve"> </v>
      </c>
      <c r="N585" s="135" t="str">
        <f>IF($F585=" "," ",IFERROR(VLOOKUP($F585,'депозитный калькулятор'!$B$26:$F$70,5,0),0))</f>
        <v xml:space="preserve"> </v>
      </c>
      <c r="O585" s="146" t="str">
        <f>IF(F585&gt;'депозитный калькулятор'!$D$8," ",IF(F585='депозитный калькулятор'!$D$8,IF(AND($F$24='депозитный калькулятор'!$D$8,'депозитный калькулятор'!$G$13="нет"),-G585-IF(I585=" ",0,I585)-IF(AND(OR('депозитный калькулятор'!$G$7="30/365",'депозитный калькулятор'!$G$7="30/360"),'депозитный калькулятор'!$G$10="в начале срока"),I584,0)-L585+M585-N585,-G585-IF(I585=" ",0,I585)-L585+M585-N585),IF('депозитный калькулятор'!$G$13="есть",M585-N585+IF('депозитный калькулятор'!$G$14="есть",0,-L585),-IF(I585=" ",0,I585)-IF(AND(OR('депозитный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срока"),I584,0)+M585-N585+IF('депозитный калькулятор'!$G$14="есть",0,-L585))))</f>
        <v xml:space="preserve"> </v>
      </c>
      <c r="P585" s="147" t="str">
        <f>IF(F585&gt;'депозитный калькулятор'!$D$8," ",IF(EOMONTH(F584,0)=F584,0,IF(G585&gt;='депозитный калькулятор'!$G$19,P584,P584+1)))</f>
        <v xml:space="preserve"> </v>
      </c>
      <c r="Q585" s="138" t="str">
        <f>IF(F585=" "," ",IF(AND(OR('депозитный калькулятор'!$G$7="30/365",'депозитный калькулятор'!$G$7="30/360"),AND(MONTH(F585)=2,EOMONTH(F585,0)=F585)),IF(DAY(F585)=28,3,2),1)*IF(G585&gt;='депозитный калькулятор'!$G$11,IF(AND('депозитный калькулятор'!$G$7="факт/факт",MOD(YEAR(F585),4)=0),G585*'депозитный калькулятор'!$D$11/366,G585*'депозитный калькулятор'!$G$8),0))</f>
        <v xml:space="preserve"> </v>
      </c>
      <c r="R585" s="158"/>
      <c r="S585" s="62" t="str">
        <f t="shared" ca="1" si="42"/>
        <v xml:space="preserve"> </v>
      </c>
      <c r="T585" s="149" t="str">
        <f ca="1">IF(S585=" "," ",IF('депозитный калькулятор'!$G$7="30/360",DAYS360(U584,IF(DAY(U585)=31,U585-1,U585))+IF(AND(MONTH(U585)=2,U585=EOMONTH(U585,0)),30-DAY(EOMONTH(U585,0)))+T584,VLOOKUP(S585,$C$22:$F$1023,2,0)))</f>
        <v xml:space="preserve"> </v>
      </c>
      <c r="U585" s="64" t="str">
        <f t="shared" ca="1" si="40"/>
        <v xml:space="preserve"> </v>
      </c>
      <c r="V585" s="150" t="str">
        <f t="shared" ca="1" si="43"/>
        <v xml:space="preserve"> </v>
      </c>
      <c r="W585" s="62" t="str">
        <f t="shared" ca="1" si="44"/>
        <v xml:space="preserve"> </v>
      </c>
      <c r="X585" s="141" t="str">
        <f ca="1">IF(S585=" "," ",IFERROR(VLOOKUP(U585,$F$23:$N$1023,7)+VLOOKUP(U585,$F$23:$N$1023,9)+IF(AND('депозитный калькулятор'!$G$13="нет",U585&lt;&gt;'депозитный калькулятор'!$D$8),VLOOKUP(U585,$F$23:$N$1023,4),0),0)+IF(U585='депозитный калькулятор'!$D$8,VLOOKUP(U585,$F$23:$N$1023,2)+VLOOKUP(U585,$F$23:$N$1023,4),0))</f>
        <v xml:space="preserve"> </v>
      </c>
      <c r="Y585" s="142" t="str">
        <f ca="1">IF(S585=" "," ",W585/(1+'депозитный калькулятор'!$K$8)^(T585/IF('депозитный калькулятор'!$G$7="30/360",360,365)))</f>
        <v xml:space="preserve"> </v>
      </c>
      <c r="Z585" s="142" t="str">
        <f ca="1">IF(S585=" "," ",X585/(1+'депозитный калькулятор'!$K$8)^(T585/IF('депозитный калькулятор'!$G$7="30/360",360,365)))</f>
        <v xml:space="preserve"> </v>
      </c>
      <c r="AA585" s="151"/>
      <c r="AB585" s="151"/>
      <c r="AC585" s="155"/>
      <c r="AD585" s="155"/>
    </row>
    <row r="586" spans="1:30" s="2" customFormat="1" ht="15.5" x14ac:dyDescent="0.35">
      <c r="A586" s="41" t="str">
        <f>IF(F586=" "," ",IF(OR('депозитный калькулятор'!$G$7="30/365",'депозитный калькулятор'!$G$7="30/360"),IF(AND(MONTH(F586)=2,DAY(F586)=DAY(EOMONTH(F586,0))),30-DAY(EOMONTH(F586,0)),IF(DAY(F586)=31,1," "))," "))</f>
        <v xml:space="preserve"> </v>
      </c>
      <c r="B586" s="130" t="str">
        <f t="shared" si="41"/>
        <v xml:space="preserve"> </v>
      </c>
      <c r="C586" s="130" t="str">
        <f>IF(OR(B586=0,B586=" ")," ",SUM($B$23:B586))</f>
        <v xml:space="preserve"> </v>
      </c>
      <c r="D586" s="62" t="str">
        <f>IF(D585=" "," ",IF(OR(F585='депозитный калькулятор'!$D$8,F585=" ")," ",D585+1))</f>
        <v xml:space="preserve"> </v>
      </c>
      <c r="E586" s="130" t="str">
        <f>IF(OR(F585='депозитный калькулятор'!$D$8,F585=" ")," ",IF(EOMONTH(F585,0)=F585,1,E585+1))</f>
        <v xml:space="preserve"> </v>
      </c>
      <c r="F586" s="64" t="str">
        <f>IF(F585=" "," ",IF(F585='депозитный калькулятор'!$D$8," ",F585+1))</f>
        <v xml:space="preserve"> </v>
      </c>
      <c r="G586" s="145" t="str">
        <f xml:space="preserve"> IF(F586&gt;'депозитный калькулятор'!$D$8," ",IF('депозитный калькулятор'!$G$13="есть",IF('депозитный калькулятор'!$G$14="есть",G585+IF(I585=" ",0,I585)-J586-K586+L586+M586-N586,G585+IF(I585=" ",0,I585)-J586-K586+M586-N586),IF('депозитный калькулятор'!$G$14="есть",G585-J586-K586+L586+M586-N586,G585-J586-K586+M586-N586)))</f>
        <v xml:space="preserve"> </v>
      </c>
      <c r="H586" s="133" t="str">
        <f>IF(F586&gt;'депозитный калькулятор'!$D$8," ",IF(AND(OR('депозитный калькулятор'!$G$7="30/365",'депозитный калькулятор'!$G$7="30/360"),AND(MONTH(F586)=2,EOMONTH(F586,0)=F586)),IF(DAY(F586)=28,3*G586*'депозитный калькулятор'!$G$8,2*G586*'депозитный калькулятор'!$G$8),IF(AND(OR('депозитный калькулятор'!$G$7="30/365",'депозитный калькулятор'!$G$7="30/360"),DAY(F586)=31)," ",IF(AND('депозитный калькулятор'!$G$7="факт/факт",MOD(YEAR(F586),4)=0),G586*'депозитный калькулятор'!$D$11/366,G586*'депозитный калькулятор'!$G$8))))</f>
        <v xml:space="preserve"> </v>
      </c>
      <c r="I586" s="134" t="str">
        <f ca="1">IF(F586=" "," ",IF('депозитный калькулятор'!$G$10="ежедневное",H586,IF(AND('депозитный калькулятор'!$G$10="еженедельное",WEEKDAY(F586,2)=7),SUM(OFFSET(H586,-6,0):H586),IF(AND('депозитный калькулятор'!$G$10="еженедельное",F586='депозитный калькулятор'!$D$8),SUM($H$23:H586)-SUM($I$23:I585),IF(AND('депозитный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недели",WEEKDAY(F586,2)=7),MIN(OFFSET(H586,-6,0):H586)*(COUNTIF(OFFSET(H586,-6,0):H586,"&gt;0")+SUMIF(OFFSET(A586,-WEEKDAY(F586,2),0):A586,"=2",OFFSET(A586,-WEEKDAY(F586,2),0):A586)),IF(AND('депозитный калькулятор'!$G$10="еженедельное, на минимальную сумму зафиксированную в течение недели",F586='депозитный калькулятор'!$D$8,WEEKDAY(F586,2)&lt;&gt;7),MIN(OFFSET(H586,-WEEKDAY(F586,2),0):H586)*(COUNTIF(OFFSET(H586,-WEEKDAY(F586,2)+1,0):H586,"&gt;0")+SUM(OFFSET(A586,-WEEKDAY(F586,2),0):A586)),IF(AND('депозитный калькулятор'!$G$10="ежемесячное (в конце месяца)",F586='депозитный калькулятор'!$D$8,EOMONTH(F586,0)&lt;&gt;F586),IF('депозитный калькулятор'!$F$1=1,$H$24,SUM($H$23:H586)-SUM($I$23:I585)),IF(AND('депозитный калькулятор'!$G$10="ежемесячное (в конце месяца)",EOMONTH(F586,0)=F586),SUM($H$23:H586)-SUM($I$23:I585),IF(AND('депозитный калькулятор'!$G$10="ежемесячное (по дням открытия вклада)",F586='депозитный калькулятор'!$D$8,DAY('депозитный калькулятор'!$D$7)&lt;&gt;DAY(F586)),IF('депозитный калькулятор'!$F$1=1,$H$24,SUM($H$23:H586)-SUM($I$23:I585)),IF(AND('депозитный калькулятор'!$G$10="ежемесячное (по дням открытия вклада)",DAY('депозитный калькулятор'!$D$7)=DAY(F586)),SUM($H$23:H586)-SUM($I$23:I585),IF(AND('депозитный калькулятор'!$G$10="ежемесячное, на минимальную сумму зафиксированную в течение месяца",F586='депозитный калькулятор'!$D$8,EOMONTH(F586,0)&lt;&gt;F586),IF('депозитный калькулятор'!$F$1=1,$H$24,IF(AND(OR('депозитный калькулятор'!$G$7="30/365",'депозитный калькулятор'!$G$7="30/360"),DAY(F586)=31),0,MIN(OFFSET(H586,-E586+1,0):H586)*(E586+SUMIF(OFFSET(A586,-E586+1,0):A586,"=2",OFFSET(A586,-E586+1,0):A586)))),IF(AND('депозитный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калькулятор'!$G$7="30/360"),DAY(EOMONTH(F586,0))=31),EOMONTH(F586,0)-1=F586,EOMONTH(F586,0)=F586)),IF(IF(AND(OR('депозитный калькулятор'!$G$7="30/365",'депозитный калькулятор'!$G$7="30/360"),DAY(EOMONTH($F$23,0))=31),F586=EOMONTH($F$23,0)-1,F586=EOMONTH($F$23,0)),MIN(OFFSET(H586,-(DAY(F586)-DAY($F$23)),0):H586)*E586,MIN(OFFSET(H586,-(DAY(F586)-1),0):H586)*IF(AND(OR('депозитный калькулятор'!$G$7="30/365",'депозитный калькулятор'!$G$7="30/360"),DAY(F586)&lt;30),30,DAY(F586))),IF(AND('депозитный калькулятор'!$G$10="ежемесячное, на средний остаток в течение месяца, при условии что остаток больше чем ограничение",F586='депозитный калькулятор'!$D$8,EOMONTH(F586,0)&lt;&gt;F586),IF('депозитный калькулятор'!$F$1=1,$H$24,SUM(OFFSET(Q586,-E586+1,0):Q586)),IF(AND('депозитный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калькулятор'!$G$7="30/360"),DAY(EOMONTH(F586,0))=31),EOMONTH(F586,0)-1=F586,EOMONTH(F586,0)=F586)),IF(IF(AND(OR('депозитный калькулятор'!$G$7="30/365",'депозитный калькулятор'!$G$7="30/360"),DAY(EOMONTH($F$24,0))=31),F586=EOMONTH($F$24,0)-1,F586=EOMONTH($F$24,0)),SUM(OFFSET(Q586,-E586+1,0):Q586),SUM(OFFSET(Q586,-E586+1,0):Q586)),IF('депозитный калькулятор'!$G$10="ежеквартальное",IF(F586&gt;'депозитный калькулятор'!$D$8," ",IF(AND(EOMONTH(F586,0)=F586,OR(MONTH(F586)=3,MONTH(F586)=6,MONTH(F586)=9,MONTH(F586)=12)),IF(EDATE(F586,-3)&lt;'депозитный калькулятор'!$D$7,SUM($H$23:H586),IF(MOD(YEAR(F586),4)=0,IF(AND(EOMONTH(F586,0)=F586,OR(MONTH(F586)=3,MONTH(F586)=6)),SUM(OFFSET(H586,-90,0):H586),IF(AND(EOMONTH(F586,0)=F586,OR(MONTH(F586)=9,MONTH(F586)=12)),SUM(OFFSET(H586,-91,0):H586))),IF(AND(EOMONTH(F586,0)=F586,MONTH(F586)=3),SUM(OFFSET(H586,-89,0):H586),IF(AND(EOMONTH(F586,0)=F586,MONTH(F586)=6),SUM(OFFSET(H586,-90,0):H586),IF(AND(EOMONTH(F586,0)=F586,OR(MONTH(F586)=9,MONTH(F586)=12)),SUM(OFFSET(H586,-91,0):H586)))))),IF(F586='депозитный калькулятор'!$D$8,SUM($H$23:H586)-SUM($I$23:I585),0))),IF('депозитный калькулятор'!$G$10="ежегодное",IF(F586&gt;'депозитный калькулятор'!$D$8," ",IF(F586='депозитный калькулятор'!$D$8,SUM($H$23:H586)-SUM($I$23:I585),IF(AND(EOMONTH(F586,0)=F586,MONTH(F586)=12),IF(MOD(YEAR(F585),4)=0,IF(F586-'депозитный калькулятор'!$D$7&lt;366,SUM($H$23:H586),SUM(OFFSET(H586,-365,0):H586)),IF(F586-'депозитный калькулятор'!$D$7&lt;365,SUM($H$23:H586),SUM(OFFSET(H586,-364,0):H586))),0))),IF(AND('депозитный калькулятор'!$G$10="в конце срока",'депозитный калькулятор'!$D$8=F586),SUM($H$23:H586),0))))))))))))))))))</f>
        <v xml:space="preserve"> </v>
      </c>
      <c r="J586" s="59" t="str">
        <f>IF(F586&gt;'депозитный калькулятор'!$D$8," ",IF('депозитный калькулятор'!$G$16="нет",0,IF(AND('депозитный калькулятор'!$G$17="разовая (в конце срока)",F586='депозитный калькулятор'!$D$8),'депозитный калькулятор'!$G$18,IF(AND('депозитный калькулятор'!$G$17="ежемесячная",EOMONTH(F585,0)=F585),'депозитный калькулятор'!$G$18,IF(AND('депозитный калькулятор'!$G$17="ежегодная",DAY(F585)=31,MONTH(F585)=12),'депозитный калькулятор'!$G$18,IF(AND('депозитный калькулятор'!$G$17="ежемесячная в зависимости от остатка",EOMONTH(F585,0)=F585,P585&gt;0),'депозитный калькулятор'!$G$18,IF(AND('депозитный калькулятор'!$G$17="ежегодная в зависимости от остатка",DAY(F585)=31,MONTH(F585)=12,P585&gt;0),'депозитный калькулятор'!$G$18,0)))))))</f>
        <v xml:space="preserve"> </v>
      </c>
      <c r="K586" s="135" t="str">
        <f>IF($F586=" "," ",IFERROR(VLOOKUP($F586,'депозитный калькулятор'!$B$26:$F$70,2,0),0))</f>
        <v xml:space="preserve"> </v>
      </c>
      <c r="L586" s="135" t="str">
        <f>IF($F586=" "," ",IFERROR(VLOOKUP($F586,'депозитный калькулятор'!$B$26:$F$70,3,0),0))</f>
        <v xml:space="preserve"> </v>
      </c>
      <c r="M586" s="135" t="str">
        <f>IF($F586=" "," ",IFERROR(VLOOKUP($F586,'депозитный калькулятор'!$B$26:$F$70,4,0),0))</f>
        <v xml:space="preserve"> </v>
      </c>
      <c r="N586" s="135" t="str">
        <f>IF($F586=" "," ",IFERROR(VLOOKUP($F586,'депозитный калькулятор'!$B$26:$F$70,5,0),0))</f>
        <v xml:space="preserve"> </v>
      </c>
      <c r="O586" s="146" t="str">
        <f>IF(F586&gt;'депозитный калькулятор'!$D$8," ",IF(F586='депозитный калькулятор'!$D$8,IF(AND($F$24='депозитный калькулятор'!$D$8,'депозитный калькулятор'!$G$13="нет"),-G586-IF(I586=" ",0,I586)-IF(AND(OR('депозитный калькулятор'!$G$7="30/365",'депозитный калькулятор'!$G$7="30/360"),'депозитный калькулятор'!$G$10="в начале срока"),I585,0)-L586+M586-N586,-G586-IF(I586=" ",0,I586)-L586+M586-N586),IF('депозитный калькулятор'!$G$13="есть",M586-N586+IF('депозитный калькулятор'!$G$14="есть",0,-L586),-IF(I586=" ",0,I586)-IF(AND(OR('депозитный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срока"),I585,0)+M586-N586+IF('депозитный калькулятор'!$G$14="есть",0,-L586))))</f>
        <v xml:space="preserve"> </v>
      </c>
      <c r="P586" s="147" t="str">
        <f>IF(F586&gt;'депозитный калькулятор'!$D$8," ",IF(EOMONTH(F585,0)=F585,0,IF(G586&gt;='депозитный калькулятор'!$G$19,P585,P585+1)))</f>
        <v xml:space="preserve"> </v>
      </c>
      <c r="Q586" s="138" t="str">
        <f>IF(F586=" "," ",IF(AND(OR('депозитный калькулятор'!$G$7="30/365",'депозитный калькулятор'!$G$7="30/360"),AND(MONTH(F586)=2,EOMONTH(F586,0)=F586)),IF(DAY(F586)=28,3,2),1)*IF(G586&gt;='депозитный калькулятор'!$G$11,IF(AND('депозитный калькулятор'!$G$7="факт/факт",MOD(YEAR(F586),4)=0),G586*'депозитный калькулятор'!$D$11/366,G586*'депозитный калькулятор'!$G$8),0))</f>
        <v xml:space="preserve"> </v>
      </c>
      <c r="R586" s="158"/>
      <c r="S586" s="62" t="str">
        <f t="shared" ca="1" si="42"/>
        <v xml:space="preserve"> </v>
      </c>
      <c r="T586" s="149" t="str">
        <f ca="1">IF(S586=" "," ",IF('депозитный калькулятор'!$G$7="30/360",DAYS360(U585,IF(DAY(U586)=31,U586-1,U586))+IF(AND(MONTH(U586)=2,U586=EOMONTH(U586,0)),30-DAY(EOMONTH(U586,0)))+T585,VLOOKUP(S586,$C$22:$F$1023,2,0)))</f>
        <v xml:space="preserve"> </v>
      </c>
      <c r="U586" s="64" t="str">
        <f t="shared" ca="1" si="40"/>
        <v xml:space="preserve"> </v>
      </c>
      <c r="V586" s="150" t="str">
        <f t="shared" ca="1" si="43"/>
        <v xml:space="preserve"> </v>
      </c>
      <c r="W586" s="62" t="str">
        <f t="shared" ca="1" si="44"/>
        <v xml:space="preserve"> </v>
      </c>
      <c r="X586" s="141" t="str">
        <f ca="1">IF(S586=" "," ",IFERROR(VLOOKUP(U586,$F$23:$N$1023,7)+VLOOKUP(U586,$F$23:$N$1023,9)+IF(AND('депозитный калькулятор'!$G$13="нет",U586&lt;&gt;'депозитный калькулятор'!$D$8),VLOOKUP(U586,$F$23:$N$1023,4),0),0)+IF(U586='депозитный калькулятор'!$D$8,VLOOKUP(U586,$F$23:$N$1023,2)+VLOOKUP(U586,$F$23:$N$1023,4),0))</f>
        <v xml:space="preserve"> </v>
      </c>
      <c r="Y586" s="142" t="str">
        <f ca="1">IF(S586=" "," ",W586/(1+'депозитный калькулятор'!$K$8)^(T586/IF('депозитный калькулятор'!$G$7="30/360",360,365)))</f>
        <v xml:space="preserve"> </v>
      </c>
      <c r="Z586" s="142" t="str">
        <f ca="1">IF(S586=" "," ",X586/(1+'депозитный калькулятор'!$K$8)^(T586/IF('депозитный калькулятор'!$G$7="30/360",360,365)))</f>
        <v xml:space="preserve"> </v>
      </c>
      <c r="AA586" s="151"/>
      <c r="AB586" s="151"/>
      <c r="AC586" s="155"/>
      <c r="AD586" s="155"/>
    </row>
    <row r="587" spans="1:30" s="2" customFormat="1" ht="15.5" x14ac:dyDescent="0.35">
      <c r="A587" s="41" t="str">
        <f>IF(F587=" "," ",IF(OR('депозитный калькулятор'!$G$7="30/365",'депозитный калькулятор'!$G$7="30/360"),IF(AND(MONTH(F587)=2,DAY(F587)=DAY(EOMONTH(F587,0))),30-DAY(EOMONTH(F587,0)),IF(DAY(F587)=31,1," "))," "))</f>
        <v xml:space="preserve"> </v>
      </c>
      <c r="B587" s="130" t="str">
        <f t="shared" si="41"/>
        <v xml:space="preserve"> </v>
      </c>
      <c r="C587" s="130" t="str">
        <f>IF(OR(B587=0,B587=" ")," ",SUM($B$23:B587))</f>
        <v xml:space="preserve"> </v>
      </c>
      <c r="D587" s="62" t="str">
        <f>IF(D586=" "," ",IF(OR(F586='депозитный калькулятор'!$D$8,F586=" ")," ",D586+1))</f>
        <v xml:space="preserve"> </v>
      </c>
      <c r="E587" s="130" t="str">
        <f>IF(OR(F586='депозитный калькулятор'!$D$8,F586=" ")," ",IF(EOMONTH(F586,0)=F586,1,E586+1))</f>
        <v xml:space="preserve"> </v>
      </c>
      <c r="F587" s="64" t="str">
        <f>IF(F586=" "," ",IF(F586='депозитный калькулятор'!$D$8," ",F586+1))</f>
        <v xml:space="preserve"> </v>
      </c>
      <c r="G587" s="145" t="str">
        <f xml:space="preserve"> IF(F587&gt;'депозитный калькулятор'!$D$8," ",IF('депозитный калькулятор'!$G$13="есть",IF('депозитный калькулятор'!$G$14="есть",G586+IF(I586=" ",0,I586)-J587-K587+L587+M587-N587,G586+IF(I586=" ",0,I586)-J587-K587+M587-N587),IF('депозитный калькулятор'!$G$14="есть",G586-J587-K587+L587+M587-N587,G586-J587-K587+M587-N587)))</f>
        <v xml:space="preserve"> </v>
      </c>
      <c r="H587" s="133" t="str">
        <f>IF(F587&gt;'депозитный калькулятор'!$D$8," ",IF(AND(OR('депозитный калькулятор'!$G$7="30/365",'депозитный калькулятор'!$G$7="30/360"),AND(MONTH(F587)=2,EOMONTH(F587,0)=F587)),IF(DAY(F587)=28,3*G587*'депозитный калькулятор'!$G$8,2*G587*'депозитный калькулятор'!$G$8),IF(AND(OR('депозитный калькулятор'!$G$7="30/365",'депозитный калькулятор'!$G$7="30/360"),DAY(F587)=31)," ",IF(AND('депозитный калькулятор'!$G$7="факт/факт",MOD(YEAR(F587),4)=0),G587*'депозитный калькулятор'!$D$11/366,G587*'депозитный калькулятор'!$G$8))))</f>
        <v xml:space="preserve"> </v>
      </c>
      <c r="I587" s="134" t="str">
        <f ca="1">IF(F587=" "," ",IF('депозитный калькулятор'!$G$10="ежедневное",H587,IF(AND('депозитный калькулятор'!$G$10="еженедельное",WEEKDAY(F587,2)=7),SUM(OFFSET(H587,-6,0):H587),IF(AND('депозитный калькулятор'!$G$10="еженедельное",F587='депозитный калькулятор'!$D$8),SUM($H$23:H587)-SUM($I$23:I586),IF(AND('депозитный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недели",WEEKDAY(F587,2)=7),MIN(OFFSET(H587,-6,0):H587)*(COUNTIF(OFFSET(H587,-6,0):H587,"&gt;0")+SUMIF(OFFSET(A587,-WEEKDAY(F587,2),0):A587,"=2",OFFSET(A587,-WEEKDAY(F587,2),0):A587)),IF(AND('депозитный калькулятор'!$G$10="еженедельное, на минимальную сумму зафиксированную в течение недели",F587='депозитный калькулятор'!$D$8,WEEKDAY(F587,2)&lt;&gt;7),MIN(OFFSET(H587,-WEEKDAY(F587,2),0):H587)*(COUNTIF(OFFSET(H587,-WEEKDAY(F587,2)+1,0):H587,"&gt;0")+SUM(OFFSET(A587,-WEEKDAY(F587,2),0):A587)),IF(AND('депозитный калькулятор'!$G$10="ежемесячное (в конце месяца)",F587='депозитный калькулятор'!$D$8,EOMONTH(F587,0)&lt;&gt;F587),IF('депозитный калькулятор'!$F$1=1,$H$24,SUM($H$23:H587)-SUM($I$23:I586)),IF(AND('депозитный калькулятор'!$G$10="ежемесячное (в конце месяца)",EOMONTH(F587,0)=F587),SUM($H$23:H587)-SUM($I$23:I586),IF(AND('депозитный калькулятор'!$G$10="ежемесячное (по дням открытия вклада)",F587='депозитный калькулятор'!$D$8,DAY('депозитный калькулятор'!$D$7)&lt;&gt;DAY(F587)),IF('депозитный калькулятор'!$F$1=1,$H$24,SUM($H$23:H587)-SUM($I$23:I586)),IF(AND('депозитный калькулятор'!$G$10="ежемесячное (по дням открытия вклада)",DAY('депозитный калькулятор'!$D$7)=DAY(F587)),SUM($H$23:H587)-SUM($I$23:I586),IF(AND('депозитный калькулятор'!$G$10="ежемесячное, на минимальную сумму зафиксированную в течение месяца",F587='депозитный калькулятор'!$D$8,EOMONTH(F587,0)&lt;&gt;F587),IF('депозитный калькулятор'!$F$1=1,$H$24,IF(AND(OR('депозитный калькулятор'!$G$7="30/365",'депозитный калькулятор'!$G$7="30/360"),DAY(F587)=31),0,MIN(OFFSET(H587,-E587+1,0):H587)*(E587+SUMIF(OFFSET(A587,-E587+1,0):A587,"=2",OFFSET(A587,-E587+1,0):A587)))),IF(AND('депозитный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калькулятор'!$G$7="30/360"),DAY(EOMONTH(F587,0))=31),EOMONTH(F587,0)-1=F587,EOMONTH(F587,0)=F587)),IF(IF(AND(OR('депозитный калькулятор'!$G$7="30/365",'депозитный калькулятор'!$G$7="30/360"),DAY(EOMONTH($F$23,0))=31),F587=EOMONTH($F$23,0)-1,F587=EOMONTH($F$23,0)),MIN(OFFSET(H587,-(DAY(F587)-DAY($F$23)),0):H587)*E587,MIN(OFFSET(H587,-(DAY(F587)-1),0):H587)*IF(AND(OR('депозитный калькулятор'!$G$7="30/365",'депозитный калькулятор'!$G$7="30/360"),DAY(F587)&lt;30),30,DAY(F587))),IF(AND('депозитный калькулятор'!$G$10="ежемесячное, на средний остаток в течение месяца, при условии что остаток больше чем ограничение",F587='депозитный калькулятор'!$D$8,EOMONTH(F587,0)&lt;&gt;F587),IF('депозитный калькулятор'!$F$1=1,$H$24,SUM(OFFSET(Q587,-E587+1,0):Q587)),IF(AND('депозитный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калькулятор'!$G$7="30/360"),DAY(EOMONTH(F587,0))=31),EOMONTH(F587,0)-1=F587,EOMONTH(F587,0)=F587)),IF(IF(AND(OR('депозитный калькулятор'!$G$7="30/365",'депозитный калькулятор'!$G$7="30/360"),DAY(EOMONTH($F$24,0))=31),F587=EOMONTH($F$24,0)-1,F587=EOMONTH($F$24,0)),SUM(OFFSET(Q587,-E587+1,0):Q587),SUM(OFFSET(Q587,-E587+1,0):Q587)),IF('депозитный калькулятор'!$G$10="ежеквартальное",IF(F587&gt;'депозитный калькулятор'!$D$8," ",IF(AND(EOMONTH(F587,0)=F587,OR(MONTH(F587)=3,MONTH(F587)=6,MONTH(F587)=9,MONTH(F587)=12)),IF(EDATE(F587,-3)&lt;'депозитный калькулятор'!$D$7,SUM($H$23:H587),IF(MOD(YEAR(F587),4)=0,IF(AND(EOMONTH(F587,0)=F587,OR(MONTH(F587)=3,MONTH(F587)=6)),SUM(OFFSET(H587,-90,0):H587),IF(AND(EOMONTH(F587,0)=F587,OR(MONTH(F587)=9,MONTH(F587)=12)),SUM(OFFSET(H587,-91,0):H587))),IF(AND(EOMONTH(F587,0)=F587,MONTH(F587)=3),SUM(OFFSET(H587,-89,0):H587),IF(AND(EOMONTH(F587,0)=F587,MONTH(F587)=6),SUM(OFFSET(H587,-90,0):H587),IF(AND(EOMONTH(F587,0)=F587,OR(MONTH(F587)=9,MONTH(F587)=12)),SUM(OFFSET(H587,-91,0):H587)))))),IF(F587='депозитный калькулятор'!$D$8,SUM($H$23:H587)-SUM($I$23:I586),0))),IF('депозитный калькулятор'!$G$10="ежегодное",IF(F587&gt;'депозитный калькулятор'!$D$8," ",IF(F587='депозитный калькулятор'!$D$8,SUM($H$23:H587)-SUM($I$23:I586),IF(AND(EOMONTH(F587,0)=F587,MONTH(F587)=12),IF(MOD(YEAR(F586),4)=0,IF(F587-'депозитный калькулятор'!$D$7&lt;366,SUM($H$23:H587),SUM(OFFSET(H587,-365,0):H587)),IF(F587-'депозитный калькулятор'!$D$7&lt;365,SUM($H$23:H587),SUM(OFFSET(H587,-364,0):H587))),0))),IF(AND('депозитный калькулятор'!$G$10="в конце срока",'депозитный калькулятор'!$D$8=F587),SUM($H$23:H587),0))))))))))))))))))</f>
        <v xml:space="preserve"> </v>
      </c>
      <c r="J587" s="59" t="str">
        <f>IF(F587&gt;'депозитный калькулятор'!$D$8," ",IF('депозитный калькулятор'!$G$16="нет",0,IF(AND('депозитный калькулятор'!$G$17="разовая (в конце срока)",F587='депозитный калькулятор'!$D$8),'депозитный калькулятор'!$G$18,IF(AND('депозитный калькулятор'!$G$17="ежемесячная",EOMONTH(F586,0)=F586),'депозитный калькулятор'!$G$18,IF(AND('депозитный калькулятор'!$G$17="ежегодная",DAY(F586)=31,MONTH(F586)=12),'депозитный калькулятор'!$G$18,IF(AND('депозитный калькулятор'!$G$17="ежемесячная в зависимости от остатка",EOMONTH(F586,0)=F586,P586&gt;0),'депозитный калькулятор'!$G$18,IF(AND('депозитный калькулятор'!$G$17="ежегодная в зависимости от остатка",DAY(F586)=31,MONTH(F586)=12,P586&gt;0),'депозитный калькулятор'!$G$18,0)))))))</f>
        <v xml:space="preserve"> </v>
      </c>
      <c r="K587" s="135" t="str">
        <f>IF($F587=" "," ",IFERROR(VLOOKUP($F587,'депозитный калькулятор'!$B$26:$F$70,2,0),0))</f>
        <v xml:space="preserve"> </v>
      </c>
      <c r="L587" s="135" t="str">
        <f>IF($F587=" "," ",IFERROR(VLOOKUP($F587,'депозитный калькулятор'!$B$26:$F$70,3,0),0))</f>
        <v xml:space="preserve"> </v>
      </c>
      <c r="M587" s="135" t="str">
        <f>IF($F587=" "," ",IFERROR(VLOOKUP($F587,'депозитный калькулятор'!$B$26:$F$70,4,0),0))</f>
        <v xml:space="preserve"> </v>
      </c>
      <c r="N587" s="135" t="str">
        <f>IF($F587=" "," ",IFERROR(VLOOKUP($F587,'депозитный калькулятор'!$B$26:$F$70,5,0),0))</f>
        <v xml:space="preserve"> </v>
      </c>
      <c r="O587" s="146" t="str">
        <f>IF(F587&gt;'депозитный калькулятор'!$D$8," ",IF(F587='депозитный калькулятор'!$D$8,IF(AND($F$24='депозитный калькулятор'!$D$8,'депозитный калькулятор'!$G$13="нет"),-G587-IF(I587=" ",0,I587)-IF(AND(OR('депозитный калькулятор'!$G$7="30/365",'депозитный калькулятор'!$G$7="30/360"),'депозитный калькулятор'!$G$10="в начале срока"),I586,0)-L587+M587-N587,-G587-IF(I587=" ",0,I587)-L587+M587-N587),IF('депозитный калькулятор'!$G$13="есть",M587-N587+IF('депозитный калькулятор'!$G$14="есть",0,-L587),-IF(I587=" ",0,I587)-IF(AND(OR('депозитный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срока"),I586,0)+M587-N587+IF('депозитный калькулятор'!$G$14="есть",0,-L587))))</f>
        <v xml:space="preserve"> </v>
      </c>
      <c r="P587" s="147" t="str">
        <f>IF(F587&gt;'депозитный калькулятор'!$D$8," ",IF(EOMONTH(F586,0)=F586,0,IF(G587&gt;='депозитный калькулятор'!$G$19,P586,P586+1)))</f>
        <v xml:space="preserve"> </v>
      </c>
      <c r="Q587" s="138" t="str">
        <f>IF(F587=" "," ",IF(AND(OR('депозитный калькулятор'!$G$7="30/365",'депозитный калькулятор'!$G$7="30/360"),AND(MONTH(F587)=2,EOMONTH(F587,0)=F587)),IF(DAY(F587)=28,3,2),1)*IF(G587&gt;='депозитный калькулятор'!$G$11,IF(AND('депозитный калькулятор'!$G$7="факт/факт",MOD(YEAR(F587),4)=0),G587*'депозитный калькулятор'!$D$11/366,G587*'депозитный калькулятор'!$G$8),0))</f>
        <v xml:space="preserve"> </v>
      </c>
      <c r="R587" s="158"/>
      <c r="S587" s="62" t="str">
        <f t="shared" ca="1" si="42"/>
        <v xml:space="preserve"> </v>
      </c>
      <c r="T587" s="149" t="str">
        <f ca="1">IF(S587=" "," ",IF('депозитный калькулятор'!$G$7="30/360",DAYS360(U586,IF(DAY(U587)=31,U587-1,U587))+IF(AND(MONTH(U587)=2,U587=EOMONTH(U587,0)),30-DAY(EOMONTH(U587,0)))+T586,VLOOKUP(S587,$C$22:$F$1023,2,0)))</f>
        <v xml:space="preserve"> </v>
      </c>
      <c r="U587" s="64" t="str">
        <f t="shared" ca="1" si="40"/>
        <v xml:space="preserve"> </v>
      </c>
      <c r="V587" s="150" t="str">
        <f t="shared" ca="1" si="43"/>
        <v xml:space="preserve"> </v>
      </c>
      <c r="W587" s="62" t="str">
        <f t="shared" ca="1" si="44"/>
        <v xml:space="preserve"> </v>
      </c>
      <c r="X587" s="141" t="str">
        <f ca="1">IF(S587=" "," ",IFERROR(VLOOKUP(U587,$F$23:$N$1023,7)+VLOOKUP(U587,$F$23:$N$1023,9)+IF(AND('депозитный калькулятор'!$G$13="нет",U587&lt;&gt;'депозитный калькулятор'!$D$8),VLOOKUP(U587,$F$23:$N$1023,4),0),0)+IF(U587='депозитный калькулятор'!$D$8,VLOOKUP(U587,$F$23:$N$1023,2)+VLOOKUP(U587,$F$23:$N$1023,4),0))</f>
        <v xml:space="preserve"> </v>
      </c>
      <c r="Y587" s="142" t="str">
        <f ca="1">IF(S587=" "," ",W587/(1+'депозитный калькулятор'!$K$8)^(T587/IF('депозитный калькулятор'!$G$7="30/360",360,365)))</f>
        <v xml:space="preserve"> </v>
      </c>
      <c r="Z587" s="142" t="str">
        <f ca="1">IF(S587=" "," ",X587/(1+'депозитный калькулятор'!$K$8)^(T587/IF('депозитный калькулятор'!$G$7="30/360",360,365)))</f>
        <v xml:space="preserve"> </v>
      </c>
      <c r="AA587" s="151"/>
      <c r="AB587" s="151"/>
      <c r="AC587" s="155"/>
      <c r="AD587" s="155"/>
    </row>
    <row r="588" spans="1:30" s="2" customFormat="1" ht="15.5" x14ac:dyDescent="0.35">
      <c r="A588" s="41" t="str">
        <f>IF(F588=" "," ",IF(OR('депозитный калькулятор'!$G$7="30/365",'депозитный калькулятор'!$G$7="30/360"),IF(AND(MONTH(F588)=2,DAY(F588)=DAY(EOMONTH(F588,0))),30-DAY(EOMONTH(F588,0)),IF(DAY(F588)=31,1," "))," "))</f>
        <v xml:space="preserve"> </v>
      </c>
      <c r="B588" s="130" t="str">
        <f t="shared" si="41"/>
        <v xml:space="preserve"> </v>
      </c>
      <c r="C588" s="130" t="str">
        <f>IF(OR(B588=0,B588=" ")," ",SUM($B$23:B588))</f>
        <v xml:space="preserve"> </v>
      </c>
      <c r="D588" s="62" t="str">
        <f>IF(D587=" "," ",IF(OR(F587='депозитный калькулятор'!$D$8,F587=" ")," ",D587+1))</f>
        <v xml:space="preserve"> </v>
      </c>
      <c r="E588" s="130" t="str">
        <f>IF(OR(F587='депозитный калькулятор'!$D$8,F587=" ")," ",IF(EOMONTH(F587,0)=F587,1,E587+1))</f>
        <v xml:space="preserve"> </v>
      </c>
      <c r="F588" s="64" t="str">
        <f>IF(F587=" "," ",IF(F587='депозитный калькулятор'!$D$8," ",F587+1))</f>
        <v xml:space="preserve"> </v>
      </c>
      <c r="G588" s="145" t="str">
        <f xml:space="preserve"> IF(F588&gt;'депозитный калькулятор'!$D$8," ",IF('депозитный калькулятор'!$G$13="есть",IF('депозитный калькулятор'!$G$14="есть",G587+IF(I587=" ",0,I587)-J588-K588+L588+M588-N588,G587+IF(I587=" ",0,I587)-J588-K588+M588-N588),IF('депозитный калькулятор'!$G$14="есть",G587-J588-K588+L588+M588-N588,G587-J588-K588+M588-N588)))</f>
        <v xml:space="preserve"> </v>
      </c>
      <c r="H588" s="133" t="str">
        <f>IF(F588&gt;'депозитный калькулятор'!$D$8," ",IF(AND(OR('депозитный калькулятор'!$G$7="30/365",'депозитный калькулятор'!$G$7="30/360"),AND(MONTH(F588)=2,EOMONTH(F588,0)=F588)),IF(DAY(F588)=28,3*G588*'депозитный калькулятор'!$G$8,2*G588*'депозитный калькулятор'!$G$8),IF(AND(OR('депозитный калькулятор'!$G$7="30/365",'депозитный калькулятор'!$G$7="30/360"),DAY(F588)=31)," ",IF(AND('депозитный калькулятор'!$G$7="факт/факт",MOD(YEAR(F588),4)=0),G588*'депозитный калькулятор'!$D$11/366,G588*'депозитный калькулятор'!$G$8))))</f>
        <v xml:space="preserve"> </v>
      </c>
      <c r="I588" s="134" t="str">
        <f ca="1">IF(F588=" "," ",IF('депозитный калькулятор'!$G$10="ежедневное",H588,IF(AND('депозитный калькулятор'!$G$10="еженедельное",WEEKDAY(F588,2)=7),SUM(OFFSET(H588,-6,0):H588),IF(AND('депозитный калькулятор'!$G$10="еженедельное",F588='депозитный калькулятор'!$D$8),SUM($H$23:H588)-SUM($I$23:I587),IF(AND('депозитный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недели",WEEKDAY(F588,2)=7),MIN(OFFSET(H588,-6,0):H588)*(COUNTIF(OFFSET(H588,-6,0):H588,"&gt;0")+SUMIF(OFFSET(A588,-WEEKDAY(F588,2),0):A588,"=2",OFFSET(A588,-WEEKDAY(F588,2),0):A588)),IF(AND('депозитный калькулятор'!$G$10="еженедельное, на минимальную сумму зафиксированную в течение недели",F588='депозитный калькулятор'!$D$8,WEEKDAY(F588,2)&lt;&gt;7),MIN(OFFSET(H588,-WEEKDAY(F588,2),0):H588)*(COUNTIF(OFFSET(H588,-WEEKDAY(F588,2)+1,0):H588,"&gt;0")+SUM(OFFSET(A588,-WEEKDAY(F588,2),0):A588)),IF(AND('депозитный калькулятор'!$G$10="ежемесячное (в конце месяца)",F588='депозитный калькулятор'!$D$8,EOMONTH(F588,0)&lt;&gt;F588),IF('депозитный калькулятор'!$F$1=1,$H$24,SUM($H$23:H588)-SUM($I$23:I587)),IF(AND('депозитный калькулятор'!$G$10="ежемесячное (в конце месяца)",EOMONTH(F588,0)=F588),SUM($H$23:H588)-SUM($I$23:I587),IF(AND('депозитный калькулятор'!$G$10="ежемесячное (по дням открытия вклада)",F588='депозитный калькулятор'!$D$8,DAY('депозитный калькулятор'!$D$7)&lt;&gt;DAY(F588)),IF('депозитный калькулятор'!$F$1=1,$H$24,SUM($H$23:H588)-SUM($I$23:I587)),IF(AND('депозитный калькулятор'!$G$10="ежемесячное (по дням открытия вклада)",DAY('депозитный калькулятор'!$D$7)=DAY(F588)),SUM($H$23:H588)-SUM($I$23:I587),IF(AND('депозитный калькулятор'!$G$10="ежемесячное, на минимальную сумму зафиксированную в течение месяца",F588='депозитный калькулятор'!$D$8,EOMONTH(F588,0)&lt;&gt;F588),IF('депозитный калькулятор'!$F$1=1,$H$24,IF(AND(OR('депозитный калькулятор'!$G$7="30/365",'депозитный калькулятор'!$G$7="30/360"),DAY(F588)=31),0,MIN(OFFSET(H588,-E588+1,0):H588)*(E588+SUMIF(OFFSET(A588,-E588+1,0):A588,"=2",OFFSET(A588,-E588+1,0):A588)))),IF(AND('депозитный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калькулятор'!$G$7="30/360"),DAY(EOMONTH(F588,0))=31),EOMONTH(F588,0)-1=F588,EOMONTH(F588,0)=F588)),IF(IF(AND(OR('депозитный калькулятор'!$G$7="30/365",'депозитный калькулятор'!$G$7="30/360"),DAY(EOMONTH($F$23,0))=31),F588=EOMONTH($F$23,0)-1,F588=EOMONTH($F$23,0)),MIN(OFFSET(H588,-(DAY(F588)-DAY($F$23)),0):H588)*E588,MIN(OFFSET(H588,-(DAY(F588)-1),0):H588)*IF(AND(OR('депозитный калькулятор'!$G$7="30/365",'депозитный калькулятор'!$G$7="30/360"),DAY(F588)&lt;30),30,DAY(F588))),IF(AND('депозитный калькулятор'!$G$10="ежемесячное, на средний остаток в течение месяца, при условии что остаток больше чем ограничение",F588='депозитный калькулятор'!$D$8,EOMONTH(F588,0)&lt;&gt;F588),IF('депозитный калькулятор'!$F$1=1,$H$24,SUM(OFFSET(Q588,-E588+1,0):Q588)),IF(AND('депозитный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калькулятор'!$G$7="30/360"),DAY(EOMONTH(F588,0))=31),EOMONTH(F588,0)-1=F588,EOMONTH(F588,0)=F588)),IF(IF(AND(OR('депозитный калькулятор'!$G$7="30/365",'депозитный калькулятор'!$G$7="30/360"),DAY(EOMONTH($F$24,0))=31),F588=EOMONTH($F$24,0)-1,F588=EOMONTH($F$24,0)),SUM(OFFSET(Q588,-E588+1,0):Q588),SUM(OFFSET(Q588,-E588+1,0):Q588)),IF('депозитный калькулятор'!$G$10="ежеквартальное",IF(F588&gt;'депозитный калькулятор'!$D$8," ",IF(AND(EOMONTH(F588,0)=F588,OR(MONTH(F588)=3,MONTH(F588)=6,MONTH(F588)=9,MONTH(F588)=12)),IF(EDATE(F588,-3)&lt;'депозитный калькулятор'!$D$7,SUM($H$23:H588),IF(MOD(YEAR(F588),4)=0,IF(AND(EOMONTH(F588,0)=F588,OR(MONTH(F588)=3,MONTH(F588)=6)),SUM(OFFSET(H588,-90,0):H588),IF(AND(EOMONTH(F588,0)=F588,OR(MONTH(F588)=9,MONTH(F588)=12)),SUM(OFFSET(H588,-91,0):H588))),IF(AND(EOMONTH(F588,0)=F588,MONTH(F588)=3),SUM(OFFSET(H588,-89,0):H588),IF(AND(EOMONTH(F588,0)=F588,MONTH(F588)=6),SUM(OFFSET(H588,-90,0):H588),IF(AND(EOMONTH(F588,0)=F588,OR(MONTH(F588)=9,MONTH(F588)=12)),SUM(OFFSET(H588,-91,0):H588)))))),IF(F588='депозитный калькулятор'!$D$8,SUM($H$23:H588)-SUM($I$23:I587),0))),IF('депозитный калькулятор'!$G$10="ежегодное",IF(F588&gt;'депозитный калькулятор'!$D$8," ",IF(F588='депозитный калькулятор'!$D$8,SUM($H$23:H588)-SUM($I$23:I587),IF(AND(EOMONTH(F588,0)=F588,MONTH(F588)=12),IF(MOD(YEAR(F587),4)=0,IF(F588-'депозитный калькулятор'!$D$7&lt;366,SUM($H$23:H588),SUM(OFFSET(H588,-365,0):H588)),IF(F588-'депозитный калькулятор'!$D$7&lt;365,SUM($H$23:H588),SUM(OFFSET(H588,-364,0):H588))),0))),IF(AND('депозитный калькулятор'!$G$10="в конце срока",'депозитный калькулятор'!$D$8=F588),SUM($H$23:H588),0))))))))))))))))))</f>
        <v xml:space="preserve"> </v>
      </c>
      <c r="J588" s="59" t="str">
        <f>IF(F588&gt;'депозитный калькулятор'!$D$8," ",IF('депозитный калькулятор'!$G$16="нет",0,IF(AND('депозитный калькулятор'!$G$17="разовая (в конце срока)",F588='депозитный калькулятор'!$D$8),'депозитный калькулятор'!$G$18,IF(AND('депозитный калькулятор'!$G$17="ежемесячная",EOMONTH(F587,0)=F587),'депозитный калькулятор'!$G$18,IF(AND('депозитный калькулятор'!$G$17="ежегодная",DAY(F587)=31,MONTH(F587)=12),'депозитный калькулятор'!$G$18,IF(AND('депозитный калькулятор'!$G$17="ежемесячная в зависимости от остатка",EOMONTH(F587,0)=F587,P587&gt;0),'депозитный калькулятор'!$G$18,IF(AND('депозитный калькулятор'!$G$17="ежегодная в зависимости от остатка",DAY(F587)=31,MONTH(F587)=12,P587&gt;0),'депозитный калькулятор'!$G$18,0)))))))</f>
        <v xml:space="preserve"> </v>
      </c>
      <c r="K588" s="135" t="str">
        <f>IF($F588=" "," ",IFERROR(VLOOKUP($F588,'депозитный калькулятор'!$B$26:$F$70,2,0),0))</f>
        <v xml:space="preserve"> </v>
      </c>
      <c r="L588" s="135" t="str">
        <f>IF($F588=" "," ",IFERROR(VLOOKUP($F588,'депозитный калькулятор'!$B$26:$F$70,3,0),0))</f>
        <v xml:space="preserve"> </v>
      </c>
      <c r="M588" s="135" t="str">
        <f>IF($F588=" "," ",IFERROR(VLOOKUP($F588,'депозитный калькулятор'!$B$26:$F$70,4,0),0))</f>
        <v xml:space="preserve"> </v>
      </c>
      <c r="N588" s="135" t="str">
        <f>IF($F588=" "," ",IFERROR(VLOOKUP($F588,'депозитный калькулятор'!$B$26:$F$70,5,0),0))</f>
        <v xml:space="preserve"> </v>
      </c>
      <c r="O588" s="146" t="str">
        <f>IF(F588&gt;'депозитный калькулятор'!$D$8," ",IF(F588='депозитный калькулятор'!$D$8,IF(AND($F$24='депозитный калькулятор'!$D$8,'депозитный калькулятор'!$G$13="нет"),-G588-IF(I588=" ",0,I588)-IF(AND(OR('депозитный калькулятор'!$G$7="30/365",'депозитный калькулятор'!$G$7="30/360"),'депозитный калькулятор'!$G$10="в начале срока"),I587,0)-L588+M588-N588,-G588-IF(I588=" ",0,I588)-L588+M588-N588),IF('депозитный калькулятор'!$G$13="есть",M588-N588+IF('депозитный калькулятор'!$G$14="есть",0,-L588),-IF(I588=" ",0,I588)-IF(AND(OR('депозитный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срока"),I587,0)+M588-N588+IF('депозитный калькулятор'!$G$14="есть",0,-L588))))</f>
        <v xml:space="preserve"> </v>
      </c>
      <c r="P588" s="147" t="str">
        <f>IF(F588&gt;'депозитный калькулятор'!$D$8," ",IF(EOMONTH(F587,0)=F587,0,IF(G588&gt;='депозитный калькулятор'!$G$19,P587,P587+1)))</f>
        <v xml:space="preserve"> </v>
      </c>
      <c r="Q588" s="138" t="str">
        <f>IF(F588=" "," ",IF(AND(OR('депозитный калькулятор'!$G$7="30/365",'депозитный калькулятор'!$G$7="30/360"),AND(MONTH(F588)=2,EOMONTH(F588,0)=F588)),IF(DAY(F588)=28,3,2),1)*IF(G588&gt;='депозитный калькулятор'!$G$11,IF(AND('депозитный калькулятор'!$G$7="факт/факт",MOD(YEAR(F588),4)=0),G588*'депозитный калькулятор'!$D$11/366,G588*'депозитный калькулятор'!$G$8),0))</f>
        <v xml:space="preserve"> </v>
      </c>
      <c r="R588" s="158"/>
      <c r="S588" s="62" t="str">
        <f t="shared" ca="1" si="42"/>
        <v xml:space="preserve"> </v>
      </c>
      <c r="T588" s="149" t="str">
        <f ca="1">IF(S588=" "," ",IF('депозитный калькулятор'!$G$7="30/360",DAYS360(U587,IF(DAY(U588)=31,U588-1,U588))+IF(AND(MONTH(U588)=2,U588=EOMONTH(U588,0)),30-DAY(EOMONTH(U588,0)))+T587,VLOOKUP(S588,$C$22:$F$1023,2,0)))</f>
        <v xml:space="preserve"> </v>
      </c>
      <c r="U588" s="64" t="str">
        <f t="shared" ca="1" si="40"/>
        <v xml:space="preserve"> </v>
      </c>
      <c r="V588" s="150" t="str">
        <f t="shared" ca="1" si="43"/>
        <v xml:space="preserve"> </v>
      </c>
      <c r="W588" s="62" t="str">
        <f t="shared" ca="1" si="44"/>
        <v xml:space="preserve"> </v>
      </c>
      <c r="X588" s="141" t="str">
        <f ca="1">IF(S588=" "," ",IFERROR(VLOOKUP(U588,$F$23:$N$1023,7)+VLOOKUP(U588,$F$23:$N$1023,9)+IF(AND('депозитный калькулятор'!$G$13="нет",U588&lt;&gt;'депозитный калькулятор'!$D$8),VLOOKUP(U588,$F$23:$N$1023,4),0),0)+IF(U588='депозитный калькулятор'!$D$8,VLOOKUP(U588,$F$23:$N$1023,2)+VLOOKUP(U588,$F$23:$N$1023,4),0))</f>
        <v xml:space="preserve"> </v>
      </c>
      <c r="Y588" s="142" t="str">
        <f ca="1">IF(S588=" "," ",W588/(1+'депозитный калькулятор'!$K$8)^(T588/IF('депозитный калькулятор'!$G$7="30/360",360,365)))</f>
        <v xml:space="preserve"> </v>
      </c>
      <c r="Z588" s="142" t="str">
        <f ca="1">IF(S588=" "," ",X588/(1+'депозитный калькулятор'!$K$8)^(T588/IF('депозитный калькулятор'!$G$7="30/360",360,365)))</f>
        <v xml:space="preserve"> </v>
      </c>
      <c r="AA588" s="151"/>
      <c r="AB588" s="151"/>
      <c r="AC588" s="155"/>
      <c r="AD588" s="155"/>
    </row>
    <row r="589" spans="1:30" s="2" customFormat="1" ht="15.5" x14ac:dyDescent="0.35">
      <c r="A589" s="41" t="str">
        <f>IF(F589=" "," ",IF(OR('депозитный калькулятор'!$G$7="30/365",'депозитный калькулятор'!$G$7="30/360"),IF(AND(MONTH(F589)=2,DAY(F589)=DAY(EOMONTH(F589,0))),30-DAY(EOMONTH(F589,0)),IF(DAY(F589)=31,1," "))," "))</f>
        <v xml:space="preserve"> </v>
      </c>
      <c r="B589" s="130" t="str">
        <f t="shared" si="41"/>
        <v xml:space="preserve"> </v>
      </c>
      <c r="C589" s="130" t="str">
        <f>IF(OR(B589=0,B589=" ")," ",SUM($B$23:B589))</f>
        <v xml:space="preserve"> </v>
      </c>
      <c r="D589" s="62" t="str">
        <f>IF(D588=" "," ",IF(OR(F588='депозитный калькулятор'!$D$8,F588=" ")," ",D588+1))</f>
        <v xml:space="preserve"> </v>
      </c>
      <c r="E589" s="130" t="str">
        <f>IF(OR(F588='депозитный калькулятор'!$D$8,F588=" ")," ",IF(EOMONTH(F588,0)=F588,1,E588+1))</f>
        <v xml:space="preserve"> </v>
      </c>
      <c r="F589" s="64" t="str">
        <f>IF(F588=" "," ",IF(F588='депозитный калькулятор'!$D$8," ",F588+1))</f>
        <v xml:space="preserve"> </v>
      </c>
      <c r="G589" s="145" t="str">
        <f xml:space="preserve"> IF(F589&gt;'депозитный калькулятор'!$D$8," ",IF('депозитный калькулятор'!$G$13="есть",IF('депозитный калькулятор'!$G$14="есть",G588+IF(I588=" ",0,I588)-J589-K589+L589+M589-N589,G588+IF(I588=" ",0,I588)-J589-K589+M589-N589),IF('депозитный калькулятор'!$G$14="есть",G588-J589-K589+L589+M589-N589,G588-J589-K589+M589-N589)))</f>
        <v xml:space="preserve"> </v>
      </c>
      <c r="H589" s="133" t="str">
        <f>IF(F589&gt;'депозитный калькулятор'!$D$8," ",IF(AND(OR('депозитный калькулятор'!$G$7="30/365",'депозитный калькулятор'!$G$7="30/360"),AND(MONTH(F589)=2,EOMONTH(F589,0)=F589)),IF(DAY(F589)=28,3*G589*'депозитный калькулятор'!$G$8,2*G589*'депозитный калькулятор'!$G$8),IF(AND(OR('депозитный калькулятор'!$G$7="30/365",'депозитный калькулятор'!$G$7="30/360"),DAY(F589)=31)," ",IF(AND('депозитный калькулятор'!$G$7="факт/факт",MOD(YEAR(F589),4)=0),G589*'депозитный калькулятор'!$D$11/366,G589*'депозитный калькулятор'!$G$8))))</f>
        <v xml:space="preserve"> </v>
      </c>
      <c r="I589" s="134" t="str">
        <f ca="1">IF(F589=" "," ",IF('депозитный калькулятор'!$G$10="ежедневное",H589,IF(AND('депозитный калькулятор'!$G$10="еженедельное",WEEKDAY(F589,2)=7),SUM(OFFSET(H589,-6,0):H589),IF(AND('депозитный калькулятор'!$G$10="еженедельное",F589='депозитный калькулятор'!$D$8),SUM($H$23:H589)-SUM($I$23:I588),IF(AND('депозитный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недели",WEEKDAY(F589,2)=7),MIN(OFFSET(H589,-6,0):H589)*(COUNTIF(OFFSET(H589,-6,0):H589,"&gt;0")+SUMIF(OFFSET(A589,-WEEKDAY(F589,2),0):A589,"=2",OFFSET(A589,-WEEKDAY(F589,2),0):A589)),IF(AND('депозитный калькулятор'!$G$10="еженедельное, на минимальную сумму зафиксированную в течение недели",F589='депозитный калькулятор'!$D$8,WEEKDAY(F589,2)&lt;&gt;7),MIN(OFFSET(H589,-WEEKDAY(F589,2),0):H589)*(COUNTIF(OFFSET(H589,-WEEKDAY(F589,2)+1,0):H589,"&gt;0")+SUM(OFFSET(A589,-WEEKDAY(F589,2),0):A589)),IF(AND('депозитный калькулятор'!$G$10="ежемесячное (в конце месяца)",F589='депозитный калькулятор'!$D$8,EOMONTH(F589,0)&lt;&gt;F589),IF('депозитный калькулятор'!$F$1=1,$H$24,SUM($H$23:H589)-SUM($I$23:I588)),IF(AND('депозитный калькулятор'!$G$10="ежемесячное (в конце месяца)",EOMONTH(F589,0)=F589),SUM($H$23:H589)-SUM($I$23:I588),IF(AND('депозитный калькулятор'!$G$10="ежемесячное (по дням открытия вклада)",F589='депозитный калькулятор'!$D$8,DAY('депозитный калькулятор'!$D$7)&lt;&gt;DAY(F589)),IF('депозитный калькулятор'!$F$1=1,$H$24,SUM($H$23:H589)-SUM($I$23:I588)),IF(AND('депозитный калькулятор'!$G$10="ежемесячное (по дням открытия вклада)",DAY('депозитный калькулятор'!$D$7)=DAY(F589)),SUM($H$23:H589)-SUM($I$23:I588),IF(AND('депозитный калькулятор'!$G$10="ежемесячное, на минимальную сумму зафиксированную в течение месяца",F589='депозитный калькулятор'!$D$8,EOMONTH(F589,0)&lt;&gt;F589),IF('депозитный калькулятор'!$F$1=1,$H$24,IF(AND(OR('депозитный калькулятор'!$G$7="30/365",'депозитный калькулятор'!$G$7="30/360"),DAY(F589)=31),0,MIN(OFFSET(H589,-E589+1,0):H589)*(E589+SUMIF(OFFSET(A589,-E589+1,0):A589,"=2",OFFSET(A589,-E589+1,0):A589)))),IF(AND('депозитный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калькулятор'!$G$7="30/360"),DAY(EOMONTH(F589,0))=31),EOMONTH(F589,0)-1=F589,EOMONTH(F589,0)=F589)),IF(IF(AND(OR('депозитный калькулятор'!$G$7="30/365",'депозитный калькулятор'!$G$7="30/360"),DAY(EOMONTH($F$23,0))=31),F589=EOMONTH($F$23,0)-1,F589=EOMONTH($F$23,0)),MIN(OFFSET(H589,-(DAY(F589)-DAY($F$23)),0):H589)*E589,MIN(OFFSET(H589,-(DAY(F589)-1),0):H589)*IF(AND(OR('депозитный калькулятор'!$G$7="30/365",'депозитный калькулятор'!$G$7="30/360"),DAY(F589)&lt;30),30,DAY(F589))),IF(AND('депозитный калькулятор'!$G$10="ежемесячное, на средний остаток в течение месяца, при условии что остаток больше чем ограничение",F589='депозитный калькулятор'!$D$8,EOMONTH(F589,0)&lt;&gt;F589),IF('депозитный калькулятор'!$F$1=1,$H$24,SUM(OFFSET(Q589,-E589+1,0):Q589)),IF(AND('депозитный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калькулятор'!$G$7="30/360"),DAY(EOMONTH(F589,0))=31),EOMONTH(F589,0)-1=F589,EOMONTH(F589,0)=F589)),IF(IF(AND(OR('депозитный калькулятор'!$G$7="30/365",'депозитный калькулятор'!$G$7="30/360"),DAY(EOMONTH($F$24,0))=31),F589=EOMONTH($F$24,0)-1,F589=EOMONTH($F$24,0)),SUM(OFFSET(Q589,-E589+1,0):Q589),SUM(OFFSET(Q589,-E589+1,0):Q589)),IF('депозитный калькулятор'!$G$10="ежеквартальное",IF(F589&gt;'депозитный калькулятор'!$D$8," ",IF(AND(EOMONTH(F589,0)=F589,OR(MONTH(F589)=3,MONTH(F589)=6,MONTH(F589)=9,MONTH(F589)=12)),IF(EDATE(F589,-3)&lt;'депозитный калькулятор'!$D$7,SUM($H$23:H589),IF(MOD(YEAR(F589),4)=0,IF(AND(EOMONTH(F589,0)=F589,OR(MONTH(F589)=3,MONTH(F589)=6)),SUM(OFFSET(H589,-90,0):H589),IF(AND(EOMONTH(F589,0)=F589,OR(MONTH(F589)=9,MONTH(F589)=12)),SUM(OFFSET(H589,-91,0):H589))),IF(AND(EOMONTH(F589,0)=F589,MONTH(F589)=3),SUM(OFFSET(H589,-89,0):H589),IF(AND(EOMONTH(F589,0)=F589,MONTH(F589)=6),SUM(OFFSET(H589,-90,0):H589),IF(AND(EOMONTH(F589,0)=F589,OR(MONTH(F589)=9,MONTH(F589)=12)),SUM(OFFSET(H589,-91,0):H589)))))),IF(F589='депозитный калькулятор'!$D$8,SUM($H$23:H589)-SUM($I$23:I588),0))),IF('депозитный калькулятор'!$G$10="ежегодное",IF(F589&gt;'депозитный калькулятор'!$D$8," ",IF(F589='депозитный калькулятор'!$D$8,SUM($H$23:H589)-SUM($I$23:I588),IF(AND(EOMONTH(F589,0)=F589,MONTH(F589)=12),IF(MOD(YEAR(F588),4)=0,IF(F589-'депозитный калькулятор'!$D$7&lt;366,SUM($H$23:H589),SUM(OFFSET(H589,-365,0):H589)),IF(F589-'депозитный калькулятор'!$D$7&lt;365,SUM($H$23:H589),SUM(OFFSET(H589,-364,0):H589))),0))),IF(AND('депозитный калькулятор'!$G$10="в конце срока",'депозитный калькулятор'!$D$8=F589),SUM($H$23:H589),0))))))))))))))))))</f>
        <v xml:space="preserve"> </v>
      </c>
      <c r="J589" s="59" t="str">
        <f>IF(F589&gt;'депозитный калькулятор'!$D$8," ",IF('депозитный калькулятор'!$G$16="нет",0,IF(AND('депозитный калькулятор'!$G$17="разовая (в конце срока)",F589='депозитный калькулятор'!$D$8),'депозитный калькулятор'!$G$18,IF(AND('депозитный калькулятор'!$G$17="ежемесячная",EOMONTH(F588,0)=F588),'депозитный калькулятор'!$G$18,IF(AND('депозитный калькулятор'!$G$17="ежегодная",DAY(F588)=31,MONTH(F588)=12),'депозитный калькулятор'!$G$18,IF(AND('депозитный калькулятор'!$G$17="ежемесячная в зависимости от остатка",EOMONTH(F588,0)=F588,P588&gt;0),'депозитный калькулятор'!$G$18,IF(AND('депозитный калькулятор'!$G$17="ежегодная в зависимости от остатка",DAY(F588)=31,MONTH(F588)=12,P588&gt;0),'депозитный калькулятор'!$G$18,0)))))))</f>
        <v xml:space="preserve"> </v>
      </c>
      <c r="K589" s="135" t="str">
        <f>IF($F589=" "," ",IFERROR(VLOOKUP($F589,'депозитный калькулятор'!$B$26:$F$70,2,0),0))</f>
        <v xml:space="preserve"> </v>
      </c>
      <c r="L589" s="135" t="str">
        <f>IF($F589=" "," ",IFERROR(VLOOKUP($F589,'депозитный калькулятор'!$B$26:$F$70,3,0),0))</f>
        <v xml:space="preserve"> </v>
      </c>
      <c r="M589" s="135" t="str">
        <f>IF($F589=" "," ",IFERROR(VLOOKUP($F589,'депозитный калькулятор'!$B$26:$F$70,4,0),0))</f>
        <v xml:space="preserve"> </v>
      </c>
      <c r="N589" s="135" t="str">
        <f>IF($F589=" "," ",IFERROR(VLOOKUP($F589,'депозитный калькулятор'!$B$26:$F$70,5,0),0))</f>
        <v xml:space="preserve"> </v>
      </c>
      <c r="O589" s="146" t="str">
        <f>IF(F589&gt;'депозитный калькулятор'!$D$8," ",IF(F589='депозитный калькулятор'!$D$8,IF(AND($F$24='депозитный калькулятор'!$D$8,'депозитный калькулятор'!$G$13="нет"),-G589-IF(I589=" ",0,I589)-IF(AND(OR('депозитный калькулятор'!$G$7="30/365",'депозитный калькулятор'!$G$7="30/360"),'депозитный калькулятор'!$G$10="в начале срока"),I588,0)-L589+M589-N589,-G589-IF(I589=" ",0,I589)-L589+M589-N589),IF('депозитный калькулятор'!$G$13="есть",M589-N589+IF('депозитный калькулятор'!$G$14="есть",0,-L589),-IF(I589=" ",0,I589)-IF(AND(OR('депозитный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срока"),I588,0)+M589-N589+IF('депозитный калькулятор'!$G$14="есть",0,-L589))))</f>
        <v xml:space="preserve"> </v>
      </c>
      <c r="P589" s="147" t="str">
        <f>IF(F589&gt;'депозитный калькулятор'!$D$8," ",IF(EOMONTH(F588,0)=F588,0,IF(G589&gt;='депозитный калькулятор'!$G$19,P588,P588+1)))</f>
        <v xml:space="preserve"> </v>
      </c>
      <c r="Q589" s="138" t="str">
        <f>IF(F589=" "," ",IF(AND(OR('депозитный калькулятор'!$G$7="30/365",'депозитный калькулятор'!$G$7="30/360"),AND(MONTH(F589)=2,EOMONTH(F589,0)=F589)),IF(DAY(F589)=28,3,2),1)*IF(G589&gt;='депозитный калькулятор'!$G$11,IF(AND('депозитный калькулятор'!$G$7="факт/факт",MOD(YEAR(F589),4)=0),G589*'депозитный калькулятор'!$D$11/366,G589*'депозитный калькулятор'!$G$8),0))</f>
        <v xml:space="preserve"> </v>
      </c>
      <c r="R589" s="158"/>
      <c r="S589" s="62" t="str">
        <f t="shared" ca="1" si="42"/>
        <v xml:space="preserve"> </v>
      </c>
      <c r="T589" s="149" t="str">
        <f ca="1">IF(S589=" "," ",IF('депозитный калькулятор'!$G$7="30/360",DAYS360(U588,IF(DAY(U589)=31,U589-1,U589))+IF(AND(MONTH(U589)=2,U589=EOMONTH(U589,0)),30-DAY(EOMONTH(U589,0)))+T588,VLOOKUP(S589,$C$22:$F$1023,2,0)))</f>
        <v xml:space="preserve"> </v>
      </c>
      <c r="U589" s="64" t="str">
        <f t="shared" ca="1" si="40"/>
        <v xml:space="preserve"> </v>
      </c>
      <c r="V589" s="150" t="str">
        <f t="shared" ca="1" si="43"/>
        <v xml:space="preserve"> </v>
      </c>
      <c r="W589" s="62" t="str">
        <f t="shared" ca="1" si="44"/>
        <v xml:space="preserve"> </v>
      </c>
      <c r="X589" s="141" t="str">
        <f ca="1">IF(S589=" "," ",IFERROR(VLOOKUP(U589,$F$23:$N$1023,7)+VLOOKUP(U589,$F$23:$N$1023,9)+IF(AND('депозитный калькулятор'!$G$13="нет",U589&lt;&gt;'депозитный калькулятор'!$D$8),VLOOKUP(U589,$F$23:$N$1023,4),0),0)+IF(U589='депозитный калькулятор'!$D$8,VLOOKUP(U589,$F$23:$N$1023,2)+VLOOKUP(U589,$F$23:$N$1023,4),0))</f>
        <v xml:space="preserve"> </v>
      </c>
      <c r="Y589" s="142" t="str">
        <f ca="1">IF(S589=" "," ",W589/(1+'депозитный калькулятор'!$K$8)^(T589/IF('депозитный калькулятор'!$G$7="30/360",360,365)))</f>
        <v xml:space="preserve"> </v>
      </c>
      <c r="Z589" s="142" t="str">
        <f ca="1">IF(S589=" "," ",X589/(1+'депозитный калькулятор'!$K$8)^(T589/IF('депозитный калькулятор'!$G$7="30/360",360,365)))</f>
        <v xml:space="preserve"> </v>
      </c>
      <c r="AA589" s="151"/>
      <c r="AB589" s="151"/>
      <c r="AC589" s="155"/>
      <c r="AD589" s="155"/>
    </row>
    <row r="590" spans="1:30" s="2" customFormat="1" ht="15.5" x14ac:dyDescent="0.35">
      <c r="A590" s="41" t="str">
        <f>IF(F590=" "," ",IF(OR('депозитный калькулятор'!$G$7="30/365",'депозитный калькулятор'!$G$7="30/360"),IF(AND(MONTH(F590)=2,DAY(F590)=DAY(EOMONTH(F590,0))),30-DAY(EOMONTH(F590,0)),IF(DAY(F590)=31,1," "))," "))</f>
        <v xml:space="preserve"> </v>
      </c>
      <c r="B590" s="130" t="str">
        <f t="shared" si="41"/>
        <v xml:space="preserve"> </v>
      </c>
      <c r="C590" s="130" t="str">
        <f>IF(OR(B590=0,B590=" ")," ",SUM($B$23:B590))</f>
        <v xml:space="preserve"> </v>
      </c>
      <c r="D590" s="62" t="str">
        <f>IF(D589=" "," ",IF(OR(F589='депозитный калькулятор'!$D$8,F589=" ")," ",D589+1))</f>
        <v xml:space="preserve"> </v>
      </c>
      <c r="E590" s="130" t="str">
        <f>IF(OR(F589='депозитный калькулятор'!$D$8,F589=" ")," ",IF(EOMONTH(F589,0)=F589,1,E589+1))</f>
        <v xml:space="preserve"> </v>
      </c>
      <c r="F590" s="64" t="str">
        <f>IF(F589=" "," ",IF(F589='депозитный калькулятор'!$D$8," ",F589+1))</f>
        <v xml:space="preserve"> </v>
      </c>
      <c r="G590" s="145" t="str">
        <f xml:space="preserve"> IF(F590&gt;'депозитный калькулятор'!$D$8," ",IF('депозитный калькулятор'!$G$13="есть",IF('депозитный калькулятор'!$G$14="есть",G589+IF(I589=" ",0,I589)-J590-K590+L590+M590-N590,G589+IF(I589=" ",0,I589)-J590-K590+M590-N590),IF('депозитный калькулятор'!$G$14="есть",G589-J590-K590+L590+M590-N590,G589-J590-K590+M590-N590)))</f>
        <v xml:space="preserve"> </v>
      </c>
      <c r="H590" s="133" t="str">
        <f>IF(F590&gt;'депозитный калькулятор'!$D$8," ",IF(AND(OR('депозитный калькулятор'!$G$7="30/365",'депозитный калькулятор'!$G$7="30/360"),AND(MONTH(F590)=2,EOMONTH(F590,0)=F590)),IF(DAY(F590)=28,3*G590*'депозитный калькулятор'!$G$8,2*G590*'депозитный калькулятор'!$G$8),IF(AND(OR('депозитный калькулятор'!$G$7="30/365",'депозитный калькулятор'!$G$7="30/360"),DAY(F590)=31)," ",IF(AND('депозитный калькулятор'!$G$7="факт/факт",MOD(YEAR(F590),4)=0),G590*'депозитный калькулятор'!$D$11/366,G590*'депозитный калькулятор'!$G$8))))</f>
        <v xml:space="preserve"> </v>
      </c>
      <c r="I590" s="134" t="str">
        <f ca="1">IF(F590=" "," ",IF('депозитный калькулятор'!$G$10="ежедневное",H590,IF(AND('депозитный калькулятор'!$G$10="еженедельное",WEEKDAY(F590,2)=7),SUM(OFFSET(H590,-6,0):H590),IF(AND('депозитный калькулятор'!$G$10="еженедельное",F590='депозитный калькулятор'!$D$8),SUM($H$23:H590)-SUM($I$23:I589),IF(AND('депозитный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недели",WEEKDAY(F590,2)=7),MIN(OFFSET(H590,-6,0):H590)*(COUNTIF(OFFSET(H590,-6,0):H590,"&gt;0")+SUMIF(OFFSET(A590,-WEEKDAY(F590,2),0):A590,"=2",OFFSET(A590,-WEEKDAY(F590,2),0):A590)),IF(AND('депозитный калькулятор'!$G$10="еженедельное, на минимальную сумму зафиксированную в течение недели",F590='депозитный калькулятор'!$D$8,WEEKDAY(F590,2)&lt;&gt;7),MIN(OFFSET(H590,-WEEKDAY(F590,2),0):H590)*(COUNTIF(OFFSET(H590,-WEEKDAY(F590,2)+1,0):H590,"&gt;0")+SUM(OFFSET(A590,-WEEKDAY(F590,2),0):A590)),IF(AND('депозитный калькулятор'!$G$10="ежемесячное (в конце месяца)",F590='депозитный калькулятор'!$D$8,EOMONTH(F590,0)&lt;&gt;F590),IF('депозитный калькулятор'!$F$1=1,$H$24,SUM($H$23:H590)-SUM($I$23:I589)),IF(AND('депозитный калькулятор'!$G$10="ежемесячное (в конце месяца)",EOMONTH(F590,0)=F590),SUM($H$23:H590)-SUM($I$23:I589),IF(AND('депозитный калькулятор'!$G$10="ежемесячное (по дням открытия вклада)",F590='депозитный калькулятор'!$D$8,DAY('депозитный калькулятор'!$D$7)&lt;&gt;DAY(F590)),IF('депозитный калькулятор'!$F$1=1,$H$24,SUM($H$23:H590)-SUM($I$23:I589)),IF(AND('депозитный калькулятор'!$G$10="ежемесячное (по дням открытия вклада)",DAY('депозитный калькулятор'!$D$7)=DAY(F590)),SUM($H$23:H590)-SUM($I$23:I589),IF(AND('депозитный калькулятор'!$G$10="ежемесячное, на минимальную сумму зафиксированную в течение месяца",F590='депозитный калькулятор'!$D$8,EOMONTH(F590,0)&lt;&gt;F590),IF('депозитный калькулятор'!$F$1=1,$H$24,IF(AND(OR('депозитный калькулятор'!$G$7="30/365",'депозитный калькулятор'!$G$7="30/360"),DAY(F590)=31),0,MIN(OFFSET(H590,-E590+1,0):H590)*(E590+SUMIF(OFFSET(A590,-E590+1,0):A590,"=2",OFFSET(A590,-E590+1,0):A590)))),IF(AND('депозитный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калькулятор'!$G$7="30/360"),DAY(EOMONTH(F590,0))=31),EOMONTH(F590,0)-1=F590,EOMONTH(F590,0)=F590)),IF(IF(AND(OR('депозитный калькулятор'!$G$7="30/365",'депозитный калькулятор'!$G$7="30/360"),DAY(EOMONTH($F$23,0))=31),F590=EOMONTH($F$23,0)-1,F590=EOMONTH($F$23,0)),MIN(OFFSET(H590,-(DAY(F590)-DAY($F$23)),0):H590)*E590,MIN(OFFSET(H590,-(DAY(F590)-1),0):H590)*IF(AND(OR('депозитный калькулятор'!$G$7="30/365",'депозитный калькулятор'!$G$7="30/360"),DAY(F590)&lt;30),30,DAY(F590))),IF(AND('депозитный калькулятор'!$G$10="ежемесячное, на средний остаток в течение месяца, при условии что остаток больше чем ограничение",F590='депозитный калькулятор'!$D$8,EOMONTH(F590,0)&lt;&gt;F590),IF('депозитный калькулятор'!$F$1=1,$H$24,SUM(OFFSET(Q590,-E590+1,0):Q590)),IF(AND('депозитный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калькулятор'!$G$7="30/360"),DAY(EOMONTH(F590,0))=31),EOMONTH(F590,0)-1=F590,EOMONTH(F590,0)=F590)),IF(IF(AND(OR('депозитный калькулятор'!$G$7="30/365",'депозитный калькулятор'!$G$7="30/360"),DAY(EOMONTH($F$24,0))=31),F590=EOMONTH($F$24,0)-1,F590=EOMONTH($F$24,0)),SUM(OFFSET(Q590,-E590+1,0):Q590),SUM(OFFSET(Q590,-E590+1,0):Q590)),IF('депозитный калькулятор'!$G$10="ежеквартальное",IF(F590&gt;'депозитный калькулятор'!$D$8," ",IF(AND(EOMONTH(F590,0)=F590,OR(MONTH(F590)=3,MONTH(F590)=6,MONTH(F590)=9,MONTH(F590)=12)),IF(EDATE(F590,-3)&lt;'депозитный калькулятор'!$D$7,SUM($H$23:H590),IF(MOD(YEAR(F590),4)=0,IF(AND(EOMONTH(F590,0)=F590,OR(MONTH(F590)=3,MONTH(F590)=6)),SUM(OFFSET(H590,-90,0):H590),IF(AND(EOMONTH(F590,0)=F590,OR(MONTH(F590)=9,MONTH(F590)=12)),SUM(OFFSET(H590,-91,0):H590))),IF(AND(EOMONTH(F590,0)=F590,MONTH(F590)=3),SUM(OFFSET(H590,-89,0):H590),IF(AND(EOMONTH(F590,0)=F590,MONTH(F590)=6),SUM(OFFSET(H590,-90,0):H590),IF(AND(EOMONTH(F590,0)=F590,OR(MONTH(F590)=9,MONTH(F590)=12)),SUM(OFFSET(H590,-91,0):H590)))))),IF(F590='депозитный калькулятор'!$D$8,SUM($H$23:H590)-SUM($I$23:I589),0))),IF('депозитный калькулятор'!$G$10="ежегодное",IF(F590&gt;'депозитный калькулятор'!$D$8," ",IF(F590='депозитный калькулятор'!$D$8,SUM($H$23:H590)-SUM($I$23:I589),IF(AND(EOMONTH(F590,0)=F590,MONTH(F590)=12),IF(MOD(YEAR(F589),4)=0,IF(F590-'депозитный калькулятор'!$D$7&lt;366,SUM($H$23:H590),SUM(OFFSET(H590,-365,0):H590)),IF(F590-'депозитный калькулятор'!$D$7&lt;365,SUM($H$23:H590),SUM(OFFSET(H590,-364,0):H590))),0))),IF(AND('депозитный калькулятор'!$G$10="в конце срока",'депозитный калькулятор'!$D$8=F590),SUM($H$23:H590),0))))))))))))))))))</f>
        <v xml:space="preserve"> </v>
      </c>
      <c r="J590" s="59" t="str">
        <f>IF(F590&gt;'депозитный калькулятор'!$D$8," ",IF('депозитный калькулятор'!$G$16="нет",0,IF(AND('депозитный калькулятор'!$G$17="разовая (в конце срока)",F590='депозитный калькулятор'!$D$8),'депозитный калькулятор'!$G$18,IF(AND('депозитный калькулятор'!$G$17="ежемесячная",EOMONTH(F589,0)=F589),'депозитный калькулятор'!$G$18,IF(AND('депозитный калькулятор'!$G$17="ежегодная",DAY(F589)=31,MONTH(F589)=12),'депозитный калькулятор'!$G$18,IF(AND('депозитный калькулятор'!$G$17="ежемесячная в зависимости от остатка",EOMONTH(F589,0)=F589,P589&gt;0),'депозитный калькулятор'!$G$18,IF(AND('депозитный калькулятор'!$G$17="ежегодная в зависимости от остатка",DAY(F589)=31,MONTH(F589)=12,P589&gt;0),'депозитный калькулятор'!$G$18,0)))))))</f>
        <v xml:space="preserve"> </v>
      </c>
      <c r="K590" s="135" t="str">
        <f>IF($F590=" "," ",IFERROR(VLOOKUP($F590,'депозитный калькулятор'!$B$26:$F$70,2,0),0))</f>
        <v xml:space="preserve"> </v>
      </c>
      <c r="L590" s="135" t="str">
        <f>IF($F590=" "," ",IFERROR(VLOOKUP($F590,'депозитный калькулятор'!$B$26:$F$70,3,0),0))</f>
        <v xml:space="preserve"> </v>
      </c>
      <c r="M590" s="135" t="str">
        <f>IF($F590=" "," ",IFERROR(VLOOKUP($F590,'депозитный калькулятор'!$B$26:$F$70,4,0),0))</f>
        <v xml:space="preserve"> </v>
      </c>
      <c r="N590" s="135" t="str">
        <f>IF($F590=" "," ",IFERROR(VLOOKUP($F590,'депозитный калькулятор'!$B$26:$F$70,5,0),0))</f>
        <v xml:space="preserve"> </v>
      </c>
      <c r="O590" s="146" t="str">
        <f>IF(F590&gt;'депозитный калькулятор'!$D$8," ",IF(F590='депозитный калькулятор'!$D$8,IF(AND($F$24='депозитный калькулятор'!$D$8,'депозитный калькулятор'!$G$13="нет"),-G590-IF(I590=" ",0,I590)-IF(AND(OR('депозитный калькулятор'!$G$7="30/365",'депозитный калькулятор'!$G$7="30/360"),'депозитный калькулятор'!$G$10="в начале срока"),I589,0)-L590+M590-N590,-G590-IF(I590=" ",0,I590)-L590+M590-N590),IF('депозитный калькулятор'!$G$13="есть",M590-N590+IF('депозитный калькулятор'!$G$14="есть",0,-L590),-IF(I590=" ",0,I590)-IF(AND(OR('депозитный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срока"),I589,0)+M590-N590+IF('депозитный калькулятор'!$G$14="есть",0,-L590))))</f>
        <v xml:space="preserve"> </v>
      </c>
      <c r="P590" s="147" t="str">
        <f>IF(F590&gt;'депозитный калькулятор'!$D$8," ",IF(EOMONTH(F589,0)=F589,0,IF(G590&gt;='депозитный калькулятор'!$G$19,P589,P589+1)))</f>
        <v xml:space="preserve"> </v>
      </c>
      <c r="Q590" s="138" t="str">
        <f>IF(F590=" "," ",IF(AND(OR('депозитный калькулятор'!$G$7="30/365",'депозитный калькулятор'!$G$7="30/360"),AND(MONTH(F590)=2,EOMONTH(F590,0)=F590)),IF(DAY(F590)=28,3,2),1)*IF(G590&gt;='депозитный калькулятор'!$G$11,IF(AND('депозитный калькулятор'!$G$7="факт/факт",MOD(YEAR(F590),4)=0),G590*'депозитный калькулятор'!$D$11/366,G590*'депозитный калькулятор'!$G$8),0))</f>
        <v xml:space="preserve"> </v>
      </c>
      <c r="R590" s="158"/>
      <c r="S590" s="62" t="str">
        <f t="shared" ca="1" si="42"/>
        <v xml:space="preserve"> </v>
      </c>
      <c r="T590" s="149" t="str">
        <f ca="1">IF(S590=" "," ",IF('депозитный калькулятор'!$G$7="30/360",DAYS360(U589,IF(DAY(U590)=31,U590-1,U590))+IF(AND(MONTH(U590)=2,U590=EOMONTH(U590,0)),30-DAY(EOMONTH(U590,0)))+T589,VLOOKUP(S590,$C$22:$F$1023,2,0)))</f>
        <v xml:space="preserve"> </v>
      </c>
      <c r="U590" s="64" t="str">
        <f t="shared" ca="1" si="40"/>
        <v xml:space="preserve"> </v>
      </c>
      <c r="V590" s="150" t="str">
        <f t="shared" ca="1" si="43"/>
        <v xml:space="preserve"> </v>
      </c>
      <c r="W590" s="62" t="str">
        <f t="shared" ca="1" si="44"/>
        <v xml:space="preserve"> </v>
      </c>
      <c r="X590" s="141" t="str">
        <f ca="1">IF(S590=" "," ",IFERROR(VLOOKUP(U590,$F$23:$N$1023,7)+VLOOKUP(U590,$F$23:$N$1023,9)+IF(AND('депозитный калькулятор'!$G$13="нет",U590&lt;&gt;'депозитный калькулятор'!$D$8),VLOOKUP(U590,$F$23:$N$1023,4),0),0)+IF(U590='депозитный калькулятор'!$D$8,VLOOKUP(U590,$F$23:$N$1023,2)+VLOOKUP(U590,$F$23:$N$1023,4),0))</f>
        <v xml:space="preserve"> </v>
      </c>
      <c r="Y590" s="142" t="str">
        <f ca="1">IF(S590=" "," ",W590/(1+'депозитный калькулятор'!$K$8)^(T590/IF('депозитный калькулятор'!$G$7="30/360",360,365)))</f>
        <v xml:space="preserve"> </v>
      </c>
      <c r="Z590" s="142" t="str">
        <f ca="1">IF(S590=" "," ",X590/(1+'депозитный калькулятор'!$K$8)^(T590/IF('депозитный калькулятор'!$G$7="30/360",360,365)))</f>
        <v xml:space="preserve"> </v>
      </c>
      <c r="AA590" s="151"/>
      <c r="AB590" s="151"/>
      <c r="AC590" s="155"/>
      <c r="AD590" s="155"/>
    </row>
    <row r="591" spans="1:30" s="2" customFormat="1" ht="15.5" x14ac:dyDescent="0.35">
      <c r="A591" s="41" t="str">
        <f>IF(F591=" "," ",IF(OR('депозитный калькулятор'!$G$7="30/365",'депозитный калькулятор'!$G$7="30/360"),IF(AND(MONTH(F591)=2,DAY(F591)=DAY(EOMONTH(F591,0))),30-DAY(EOMONTH(F591,0)),IF(DAY(F591)=31,1," "))," "))</f>
        <v xml:space="preserve"> </v>
      </c>
      <c r="B591" s="130" t="str">
        <f t="shared" si="41"/>
        <v xml:space="preserve"> </v>
      </c>
      <c r="C591" s="130" t="str">
        <f>IF(OR(B591=0,B591=" ")," ",SUM($B$23:B591))</f>
        <v xml:space="preserve"> </v>
      </c>
      <c r="D591" s="62" t="str">
        <f>IF(D590=" "," ",IF(OR(F590='депозитный калькулятор'!$D$8,F590=" ")," ",D590+1))</f>
        <v xml:space="preserve"> </v>
      </c>
      <c r="E591" s="130" t="str">
        <f>IF(OR(F590='депозитный калькулятор'!$D$8,F590=" ")," ",IF(EOMONTH(F590,0)=F590,1,E590+1))</f>
        <v xml:space="preserve"> </v>
      </c>
      <c r="F591" s="64" t="str">
        <f>IF(F590=" "," ",IF(F590='депозитный калькулятор'!$D$8," ",F590+1))</f>
        <v xml:space="preserve"> </v>
      </c>
      <c r="G591" s="145" t="str">
        <f xml:space="preserve"> IF(F591&gt;'депозитный калькулятор'!$D$8," ",IF('депозитный калькулятор'!$G$13="есть",IF('депозитный калькулятор'!$G$14="есть",G590+IF(I590=" ",0,I590)-J591-K591+L591+M591-N591,G590+IF(I590=" ",0,I590)-J591-K591+M591-N591),IF('депозитный калькулятор'!$G$14="есть",G590-J591-K591+L591+M591-N591,G590-J591-K591+M591-N591)))</f>
        <v xml:space="preserve"> </v>
      </c>
      <c r="H591" s="133" t="str">
        <f>IF(F591&gt;'депозитный калькулятор'!$D$8," ",IF(AND(OR('депозитный калькулятор'!$G$7="30/365",'депозитный калькулятор'!$G$7="30/360"),AND(MONTH(F591)=2,EOMONTH(F591,0)=F591)),IF(DAY(F591)=28,3*G591*'депозитный калькулятор'!$G$8,2*G591*'депозитный калькулятор'!$G$8),IF(AND(OR('депозитный калькулятор'!$G$7="30/365",'депозитный калькулятор'!$G$7="30/360"),DAY(F591)=31)," ",IF(AND('депозитный калькулятор'!$G$7="факт/факт",MOD(YEAR(F591),4)=0),G591*'депозитный калькулятор'!$D$11/366,G591*'депозитный калькулятор'!$G$8))))</f>
        <v xml:space="preserve"> </v>
      </c>
      <c r="I591" s="134" t="str">
        <f ca="1">IF(F591=" "," ",IF('депозитный калькулятор'!$G$10="ежедневное",H591,IF(AND('депозитный калькулятор'!$G$10="еженедельное",WEEKDAY(F591,2)=7),SUM(OFFSET(H591,-6,0):H591),IF(AND('депозитный калькулятор'!$G$10="еженедельное",F591='депозитный калькулятор'!$D$8),SUM($H$23:H591)-SUM($I$23:I590),IF(AND('депозитный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недели",WEEKDAY(F591,2)=7),MIN(OFFSET(H591,-6,0):H591)*(COUNTIF(OFFSET(H591,-6,0):H591,"&gt;0")+SUMIF(OFFSET(A591,-WEEKDAY(F591,2),0):A591,"=2",OFFSET(A591,-WEEKDAY(F591,2),0):A591)),IF(AND('депозитный калькулятор'!$G$10="еженедельное, на минимальную сумму зафиксированную в течение недели",F591='депозитный калькулятор'!$D$8,WEEKDAY(F591,2)&lt;&gt;7),MIN(OFFSET(H591,-WEEKDAY(F591,2),0):H591)*(COUNTIF(OFFSET(H591,-WEEKDAY(F591,2)+1,0):H591,"&gt;0")+SUM(OFFSET(A591,-WEEKDAY(F591,2),0):A591)),IF(AND('депозитный калькулятор'!$G$10="ежемесячное (в конце месяца)",F591='депозитный калькулятор'!$D$8,EOMONTH(F591,0)&lt;&gt;F591),IF('депозитный калькулятор'!$F$1=1,$H$24,SUM($H$23:H591)-SUM($I$23:I590)),IF(AND('депозитный калькулятор'!$G$10="ежемесячное (в конце месяца)",EOMONTH(F591,0)=F591),SUM($H$23:H591)-SUM($I$23:I590),IF(AND('депозитный калькулятор'!$G$10="ежемесячное (по дням открытия вклада)",F591='депозитный калькулятор'!$D$8,DAY('депозитный калькулятор'!$D$7)&lt;&gt;DAY(F591)),IF('депозитный калькулятор'!$F$1=1,$H$24,SUM($H$23:H591)-SUM($I$23:I590)),IF(AND('депозитный калькулятор'!$G$10="ежемесячное (по дням открытия вклада)",DAY('депозитный калькулятор'!$D$7)=DAY(F591)),SUM($H$23:H591)-SUM($I$23:I590),IF(AND('депозитный калькулятор'!$G$10="ежемесячное, на минимальную сумму зафиксированную в течение месяца",F591='депозитный калькулятор'!$D$8,EOMONTH(F591,0)&lt;&gt;F591),IF('депозитный калькулятор'!$F$1=1,$H$24,IF(AND(OR('депозитный калькулятор'!$G$7="30/365",'депозитный калькулятор'!$G$7="30/360"),DAY(F591)=31),0,MIN(OFFSET(H591,-E591+1,0):H591)*(E591+SUMIF(OFFSET(A591,-E591+1,0):A591,"=2",OFFSET(A591,-E591+1,0):A591)))),IF(AND('депозитный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калькулятор'!$G$7="30/360"),DAY(EOMONTH(F591,0))=31),EOMONTH(F591,0)-1=F591,EOMONTH(F591,0)=F591)),IF(IF(AND(OR('депозитный калькулятор'!$G$7="30/365",'депозитный калькулятор'!$G$7="30/360"),DAY(EOMONTH($F$23,0))=31),F591=EOMONTH($F$23,0)-1,F591=EOMONTH($F$23,0)),MIN(OFFSET(H591,-(DAY(F591)-DAY($F$23)),0):H591)*E591,MIN(OFFSET(H591,-(DAY(F591)-1),0):H591)*IF(AND(OR('депозитный калькулятор'!$G$7="30/365",'депозитный калькулятор'!$G$7="30/360"),DAY(F591)&lt;30),30,DAY(F591))),IF(AND('депозитный калькулятор'!$G$10="ежемесячное, на средний остаток в течение месяца, при условии что остаток больше чем ограничение",F591='депозитный калькулятор'!$D$8,EOMONTH(F591,0)&lt;&gt;F591),IF('депозитный калькулятор'!$F$1=1,$H$24,SUM(OFFSET(Q591,-E591+1,0):Q591)),IF(AND('депозитный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калькулятор'!$G$7="30/360"),DAY(EOMONTH(F591,0))=31),EOMONTH(F591,0)-1=F591,EOMONTH(F591,0)=F591)),IF(IF(AND(OR('депозитный калькулятор'!$G$7="30/365",'депозитный калькулятор'!$G$7="30/360"),DAY(EOMONTH($F$24,0))=31),F591=EOMONTH($F$24,0)-1,F591=EOMONTH($F$24,0)),SUM(OFFSET(Q591,-E591+1,0):Q591),SUM(OFFSET(Q591,-E591+1,0):Q591)),IF('депозитный калькулятор'!$G$10="ежеквартальное",IF(F591&gt;'депозитный калькулятор'!$D$8," ",IF(AND(EOMONTH(F591,0)=F591,OR(MONTH(F591)=3,MONTH(F591)=6,MONTH(F591)=9,MONTH(F591)=12)),IF(EDATE(F591,-3)&lt;'депозитный калькулятор'!$D$7,SUM($H$23:H591),IF(MOD(YEAR(F591),4)=0,IF(AND(EOMONTH(F591,0)=F591,OR(MONTH(F591)=3,MONTH(F591)=6)),SUM(OFFSET(H591,-90,0):H591),IF(AND(EOMONTH(F591,0)=F591,OR(MONTH(F591)=9,MONTH(F591)=12)),SUM(OFFSET(H591,-91,0):H591))),IF(AND(EOMONTH(F591,0)=F591,MONTH(F591)=3),SUM(OFFSET(H591,-89,0):H591),IF(AND(EOMONTH(F591,0)=F591,MONTH(F591)=6),SUM(OFFSET(H591,-90,0):H591),IF(AND(EOMONTH(F591,0)=F591,OR(MONTH(F591)=9,MONTH(F591)=12)),SUM(OFFSET(H591,-91,0):H591)))))),IF(F591='депозитный калькулятор'!$D$8,SUM($H$23:H591)-SUM($I$23:I590),0))),IF('депозитный калькулятор'!$G$10="ежегодное",IF(F591&gt;'депозитный калькулятор'!$D$8," ",IF(F591='депозитный калькулятор'!$D$8,SUM($H$23:H591)-SUM($I$23:I590),IF(AND(EOMONTH(F591,0)=F591,MONTH(F591)=12),IF(MOD(YEAR(F590),4)=0,IF(F591-'депозитный калькулятор'!$D$7&lt;366,SUM($H$23:H591),SUM(OFFSET(H591,-365,0):H591)),IF(F591-'депозитный калькулятор'!$D$7&lt;365,SUM($H$23:H591),SUM(OFFSET(H591,-364,0):H591))),0))),IF(AND('депозитный калькулятор'!$G$10="в конце срока",'депозитный калькулятор'!$D$8=F591),SUM($H$23:H591),0))))))))))))))))))</f>
        <v xml:space="preserve"> </v>
      </c>
      <c r="J591" s="59" t="str">
        <f>IF(F591&gt;'депозитный калькулятор'!$D$8," ",IF('депозитный калькулятор'!$G$16="нет",0,IF(AND('депозитный калькулятор'!$G$17="разовая (в конце срока)",F591='депозитный калькулятор'!$D$8),'депозитный калькулятор'!$G$18,IF(AND('депозитный калькулятор'!$G$17="ежемесячная",EOMONTH(F590,0)=F590),'депозитный калькулятор'!$G$18,IF(AND('депозитный калькулятор'!$G$17="ежегодная",DAY(F590)=31,MONTH(F590)=12),'депозитный калькулятор'!$G$18,IF(AND('депозитный калькулятор'!$G$17="ежемесячная в зависимости от остатка",EOMONTH(F590,0)=F590,P590&gt;0),'депозитный калькулятор'!$G$18,IF(AND('депозитный калькулятор'!$G$17="ежегодная в зависимости от остатка",DAY(F590)=31,MONTH(F590)=12,P590&gt;0),'депозитный калькулятор'!$G$18,0)))))))</f>
        <v xml:space="preserve"> </v>
      </c>
      <c r="K591" s="135" t="str">
        <f>IF($F591=" "," ",IFERROR(VLOOKUP($F591,'депозитный калькулятор'!$B$26:$F$70,2,0),0))</f>
        <v xml:space="preserve"> </v>
      </c>
      <c r="L591" s="135" t="str">
        <f>IF($F591=" "," ",IFERROR(VLOOKUP($F591,'депозитный калькулятор'!$B$26:$F$70,3,0),0))</f>
        <v xml:space="preserve"> </v>
      </c>
      <c r="M591" s="135" t="str">
        <f>IF($F591=" "," ",IFERROR(VLOOKUP($F591,'депозитный калькулятор'!$B$26:$F$70,4,0),0))</f>
        <v xml:space="preserve"> </v>
      </c>
      <c r="N591" s="135" t="str">
        <f>IF($F591=" "," ",IFERROR(VLOOKUP($F591,'депозитный калькулятор'!$B$26:$F$70,5,0),0))</f>
        <v xml:space="preserve"> </v>
      </c>
      <c r="O591" s="146" t="str">
        <f>IF(F591&gt;'депозитный калькулятор'!$D$8," ",IF(F591='депозитный калькулятор'!$D$8,IF(AND($F$24='депозитный калькулятор'!$D$8,'депозитный калькулятор'!$G$13="нет"),-G591-IF(I591=" ",0,I591)-IF(AND(OR('депозитный калькулятор'!$G$7="30/365",'депозитный калькулятор'!$G$7="30/360"),'депозитный калькулятор'!$G$10="в начале срока"),I590,0)-L591+M591-N591,-G591-IF(I591=" ",0,I591)-L591+M591-N591),IF('депозитный калькулятор'!$G$13="есть",M591-N591+IF('депозитный калькулятор'!$G$14="есть",0,-L591),-IF(I591=" ",0,I591)-IF(AND(OR('депозитный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срока"),I590,0)+M591-N591+IF('депозитный калькулятор'!$G$14="есть",0,-L591))))</f>
        <v xml:space="preserve"> </v>
      </c>
      <c r="P591" s="147" t="str">
        <f>IF(F591&gt;'депозитный калькулятор'!$D$8," ",IF(EOMONTH(F590,0)=F590,0,IF(G591&gt;='депозитный калькулятор'!$G$19,P590,P590+1)))</f>
        <v xml:space="preserve"> </v>
      </c>
      <c r="Q591" s="138" t="str">
        <f>IF(F591=" "," ",IF(AND(OR('депозитный калькулятор'!$G$7="30/365",'депозитный калькулятор'!$G$7="30/360"),AND(MONTH(F591)=2,EOMONTH(F591,0)=F591)),IF(DAY(F591)=28,3,2),1)*IF(G591&gt;='депозитный калькулятор'!$G$11,IF(AND('депозитный калькулятор'!$G$7="факт/факт",MOD(YEAR(F591),4)=0),G591*'депозитный калькулятор'!$D$11/366,G591*'депозитный калькулятор'!$G$8),0))</f>
        <v xml:space="preserve"> </v>
      </c>
      <c r="R591" s="158"/>
      <c r="S591" s="62" t="str">
        <f t="shared" ca="1" si="42"/>
        <v xml:space="preserve"> </v>
      </c>
      <c r="T591" s="149" t="str">
        <f ca="1">IF(S591=" "," ",IF('депозитный калькулятор'!$G$7="30/360",DAYS360(U590,IF(DAY(U591)=31,U591-1,U591))+IF(AND(MONTH(U591)=2,U591=EOMONTH(U591,0)),30-DAY(EOMONTH(U591,0)))+T590,VLOOKUP(S591,$C$22:$F$1023,2,0)))</f>
        <v xml:space="preserve"> </v>
      </c>
      <c r="U591" s="64" t="str">
        <f t="shared" ca="1" si="40"/>
        <v xml:space="preserve"> </v>
      </c>
      <c r="V591" s="150" t="str">
        <f t="shared" ca="1" si="43"/>
        <v xml:space="preserve"> </v>
      </c>
      <c r="W591" s="62" t="str">
        <f t="shared" ca="1" si="44"/>
        <v xml:space="preserve"> </v>
      </c>
      <c r="X591" s="141" t="str">
        <f ca="1">IF(S591=" "," ",IFERROR(VLOOKUP(U591,$F$23:$N$1023,7)+VLOOKUP(U591,$F$23:$N$1023,9)+IF(AND('депозитный калькулятор'!$G$13="нет",U591&lt;&gt;'депозитный калькулятор'!$D$8),VLOOKUP(U591,$F$23:$N$1023,4),0),0)+IF(U591='депозитный калькулятор'!$D$8,VLOOKUP(U591,$F$23:$N$1023,2)+VLOOKUP(U591,$F$23:$N$1023,4),0))</f>
        <v xml:space="preserve"> </v>
      </c>
      <c r="Y591" s="142" t="str">
        <f ca="1">IF(S591=" "," ",W591/(1+'депозитный калькулятор'!$K$8)^(T591/IF('депозитный калькулятор'!$G$7="30/360",360,365)))</f>
        <v xml:space="preserve"> </v>
      </c>
      <c r="Z591" s="142" t="str">
        <f ca="1">IF(S591=" "," ",X591/(1+'депозитный калькулятор'!$K$8)^(T591/IF('депозитный калькулятор'!$G$7="30/360",360,365)))</f>
        <v xml:space="preserve"> </v>
      </c>
      <c r="AA591" s="151"/>
      <c r="AB591" s="151"/>
      <c r="AC591" s="155"/>
      <c r="AD591" s="155"/>
    </row>
    <row r="592" spans="1:30" s="2" customFormat="1" ht="15.5" x14ac:dyDescent="0.35">
      <c r="A592" s="41" t="str">
        <f>IF(F592=" "," ",IF(OR('депозитный калькулятор'!$G$7="30/365",'депозитный калькулятор'!$G$7="30/360"),IF(AND(MONTH(F592)=2,DAY(F592)=DAY(EOMONTH(F592,0))),30-DAY(EOMONTH(F592,0)),IF(DAY(F592)=31,1," "))," "))</f>
        <v xml:space="preserve"> </v>
      </c>
      <c r="B592" s="130" t="str">
        <f t="shared" si="41"/>
        <v xml:space="preserve"> </v>
      </c>
      <c r="C592" s="130" t="str">
        <f>IF(OR(B592=0,B592=" ")," ",SUM($B$23:B592))</f>
        <v xml:space="preserve"> </v>
      </c>
      <c r="D592" s="62" t="str">
        <f>IF(D591=" "," ",IF(OR(F591='депозитный калькулятор'!$D$8,F591=" ")," ",D591+1))</f>
        <v xml:space="preserve"> </v>
      </c>
      <c r="E592" s="130" t="str">
        <f>IF(OR(F591='депозитный калькулятор'!$D$8,F591=" ")," ",IF(EOMONTH(F591,0)=F591,1,E591+1))</f>
        <v xml:space="preserve"> </v>
      </c>
      <c r="F592" s="64" t="str">
        <f>IF(F591=" "," ",IF(F591='депозитный калькулятор'!$D$8," ",F591+1))</f>
        <v xml:space="preserve"> </v>
      </c>
      <c r="G592" s="145" t="str">
        <f xml:space="preserve"> IF(F592&gt;'депозитный калькулятор'!$D$8," ",IF('депозитный калькулятор'!$G$13="есть",IF('депозитный калькулятор'!$G$14="есть",G591+IF(I591=" ",0,I591)-J592-K592+L592+M592-N592,G591+IF(I591=" ",0,I591)-J592-K592+M592-N592),IF('депозитный калькулятор'!$G$14="есть",G591-J592-K592+L592+M592-N592,G591-J592-K592+M592-N592)))</f>
        <v xml:space="preserve"> </v>
      </c>
      <c r="H592" s="133" t="str">
        <f>IF(F592&gt;'депозитный калькулятор'!$D$8," ",IF(AND(OR('депозитный калькулятор'!$G$7="30/365",'депозитный калькулятор'!$G$7="30/360"),AND(MONTH(F592)=2,EOMONTH(F592,0)=F592)),IF(DAY(F592)=28,3*G592*'депозитный калькулятор'!$G$8,2*G592*'депозитный калькулятор'!$G$8),IF(AND(OR('депозитный калькулятор'!$G$7="30/365",'депозитный калькулятор'!$G$7="30/360"),DAY(F592)=31)," ",IF(AND('депозитный калькулятор'!$G$7="факт/факт",MOD(YEAR(F592),4)=0),G592*'депозитный калькулятор'!$D$11/366,G592*'депозитный калькулятор'!$G$8))))</f>
        <v xml:space="preserve"> </v>
      </c>
      <c r="I592" s="134" t="str">
        <f ca="1">IF(F592=" "," ",IF('депозитный калькулятор'!$G$10="ежедневное",H592,IF(AND('депозитный калькулятор'!$G$10="еженедельное",WEEKDAY(F592,2)=7),SUM(OFFSET(H592,-6,0):H592),IF(AND('депозитный калькулятор'!$G$10="еженедельное",F592='депозитный калькулятор'!$D$8),SUM($H$23:H592)-SUM($I$23:I591),IF(AND('депозитный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недели",WEEKDAY(F592,2)=7),MIN(OFFSET(H592,-6,0):H592)*(COUNTIF(OFFSET(H592,-6,0):H592,"&gt;0")+SUMIF(OFFSET(A592,-WEEKDAY(F592,2),0):A592,"=2",OFFSET(A592,-WEEKDAY(F592,2),0):A592)),IF(AND('депозитный калькулятор'!$G$10="еженедельное, на минимальную сумму зафиксированную в течение недели",F592='депозитный калькулятор'!$D$8,WEEKDAY(F592,2)&lt;&gt;7),MIN(OFFSET(H592,-WEEKDAY(F592,2),0):H592)*(COUNTIF(OFFSET(H592,-WEEKDAY(F592,2)+1,0):H592,"&gt;0")+SUM(OFFSET(A592,-WEEKDAY(F592,2),0):A592)),IF(AND('депозитный калькулятор'!$G$10="ежемесячное (в конце месяца)",F592='депозитный калькулятор'!$D$8,EOMONTH(F592,0)&lt;&gt;F592),IF('депозитный калькулятор'!$F$1=1,$H$24,SUM($H$23:H592)-SUM($I$23:I591)),IF(AND('депозитный калькулятор'!$G$10="ежемесячное (в конце месяца)",EOMONTH(F592,0)=F592),SUM($H$23:H592)-SUM($I$23:I591),IF(AND('депозитный калькулятор'!$G$10="ежемесячное (по дням открытия вклада)",F592='депозитный калькулятор'!$D$8,DAY('депозитный калькулятор'!$D$7)&lt;&gt;DAY(F592)),IF('депозитный калькулятор'!$F$1=1,$H$24,SUM($H$23:H592)-SUM($I$23:I591)),IF(AND('депозитный калькулятор'!$G$10="ежемесячное (по дням открытия вклада)",DAY('депозитный калькулятор'!$D$7)=DAY(F592)),SUM($H$23:H592)-SUM($I$23:I591),IF(AND('депозитный калькулятор'!$G$10="ежемесячное, на минимальную сумму зафиксированную в течение месяца",F592='депозитный калькулятор'!$D$8,EOMONTH(F592,0)&lt;&gt;F592),IF('депозитный калькулятор'!$F$1=1,$H$24,IF(AND(OR('депозитный калькулятор'!$G$7="30/365",'депозитный калькулятор'!$G$7="30/360"),DAY(F592)=31),0,MIN(OFFSET(H592,-E592+1,0):H592)*(E592+SUMIF(OFFSET(A592,-E592+1,0):A592,"=2",OFFSET(A592,-E592+1,0):A592)))),IF(AND('депозитный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калькулятор'!$G$7="30/360"),DAY(EOMONTH(F592,0))=31),EOMONTH(F592,0)-1=F592,EOMONTH(F592,0)=F592)),IF(IF(AND(OR('депозитный калькулятор'!$G$7="30/365",'депозитный калькулятор'!$G$7="30/360"),DAY(EOMONTH($F$23,0))=31),F592=EOMONTH($F$23,0)-1,F592=EOMONTH($F$23,0)),MIN(OFFSET(H592,-(DAY(F592)-DAY($F$23)),0):H592)*E592,MIN(OFFSET(H592,-(DAY(F592)-1),0):H592)*IF(AND(OR('депозитный калькулятор'!$G$7="30/365",'депозитный калькулятор'!$G$7="30/360"),DAY(F592)&lt;30),30,DAY(F592))),IF(AND('депозитный калькулятор'!$G$10="ежемесячное, на средний остаток в течение месяца, при условии что остаток больше чем ограничение",F592='депозитный калькулятор'!$D$8,EOMONTH(F592,0)&lt;&gt;F592),IF('депозитный калькулятор'!$F$1=1,$H$24,SUM(OFFSET(Q592,-E592+1,0):Q592)),IF(AND('депозитный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калькулятор'!$G$7="30/360"),DAY(EOMONTH(F592,0))=31),EOMONTH(F592,0)-1=F592,EOMONTH(F592,0)=F592)),IF(IF(AND(OR('депозитный калькулятор'!$G$7="30/365",'депозитный калькулятор'!$G$7="30/360"),DAY(EOMONTH($F$24,0))=31),F592=EOMONTH($F$24,0)-1,F592=EOMONTH($F$24,0)),SUM(OFFSET(Q592,-E592+1,0):Q592),SUM(OFFSET(Q592,-E592+1,0):Q592)),IF('депозитный калькулятор'!$G$10="ежеквартальное",IF(F592&gt;'депозитный калькулятор'!$D$8," ",IF(AND(EOMONTH(F592,0)=F592,OR(MONTH(F592)=3,MONTH(F592)=6,MONTH(F592)=9,MONTH(F592)=12)),IF(EDATE(F592,-3)&lt;'депозитный калькулятор'!$D$7,SUM($H$23:H592),IF(MOD(YEAR(F592),4)=0,IF(AND(EOMONTH(F592,0)=F592,OR(MONTH(F592)=3,MONTH(F592)=6)),SUM(OFFSET(H592,-90,0):H592),IF(AND(EOMONTH(F592,0)=F592,OR(MONTH(F592)=9,MONTH(F592)=12)),SUM(OFFSET(H592,-91,0):H592))),IF(AND(EOMONTH(F592,0)=F592,MONTH(F592)=3),SUM(OFFSET(H592,-89,0):H592),IF(AND(EOMONTH(F592,0)=F592,MONTH(F592)=6),SUM(OFFSET(H592,-90,0):H592),IF(AND(EOMONTH(F592,0)=F592,OR(MONTH(F592)=9,MONTH(F592)=12)),SUM(OFFSET(H592,-91,0):H592)))))),IF(F592='депозитный калькулятор'!$D$8,SUM($H$23:H592)-SUM($I$23:I591),0))),IF('депозитный калькулятор'!$G$10="ежегодное",IF(F592&gt;'депозитный калькулятор'!$D$8," ",IF(F592='депозитный калькулятор'!$D$8,SUM($H$23:H592)-SUM($I$23:I591),IF(AND(EOMONTH(F592,0)=F592,MONTH(F592)=12),IF(MOD(YEAR(F591),4)=0,IF(F592-'депозитный калькулятор'!$D$7&lt;366,SUM($H$23:H592),SUM(OFFSET(H592,-365,0):H592)),IF(F592-'депозитный калькулятор'!$D$7&lt;365,SUM($H$23:H592),SUM(OFFSET(H592,-364,0):H592))),0))),IF(AND('депозитный калькулятор'!$G$10="в конце срока",'депозитный калькулятор'!$D$8=F592),SUM($H$23:H592),0))))))))))))))))))</f>
        <v xml:space="preserve"> </v>
      </c>
      <c r="J592" s="59" t="str">
        <f>IF(F592&gt;'депозитный калькулятор'!$D$8," ",IF('депозитный калькулятор'!$G$16="нет",0,IF(AND('депозитный калькулятор'!$G$17="разовая (в конце срока)",F592='депозитный калькулятор'!$D$8),'депозитный калькулятор'!$G$18,IF(AND('депозитный калькулятор'!$G$17="ежемесячная",EOMONTH(F591,0)=F591),'депозитный калькулятор'!$G$18,IF(AND('депозитный калькулятор'!$G$17="ежегодная",DAY(F591)=31,MONTH(F591)=12),'депозитный калькулятор'!$G$18,IF(AND('депозитный калькулятор'!$G$17="ежемесячная в зависимости от остатка",EOMONTH(F591,0)=F591,P591&gt;0),'депозитный калькулятор'!$G$18,IF(AND('депозитный калькулятор'!$G$17="ежегодная в зависимости от остатка",DAY(F591)=31,MONTH(F591)=12,P591&gt;0),'депозитный калькулятор'!$G$18,0)))))))</f>
        <v xml:space="preserve"> </v>
      </c>
      <c r="K592" s="135" t="str">
        <f>IF($F592=" "," ",IFERROR(VLOOKUP($F592,'депозитный калькулятор'!$B$26:$F$70,2,0),0))</f>
        <v xml:space="preserve"> </v>
      </c>
      <c r="L592" s="135" t="str">
        <f>IF($F592=" "," ",IFERROR(VLOOKUP($F592,'депозитный калькулятор'!$B$26:$F$70,3,0),0))</f>
        <v xml:space="preserve"> </v>
      </c>
      <c r="M592" s="135" t="str">
        <f>IF($F592=" "," ",IFERROR(VLOOKUP($F592,'депозитный калькулятор'!$B$26:$F$70,4,0),0))</f>
        <v xml:space="preserve"> </v>
      </c>
      <c r="N592" s="135" t="str">
        <f>IF($F592=" "," ",IFERROR(VLOOKUP($F592,'депозитный калькулятор'!$B$26:$F$70,5,0),0))</f>
        <v xml:space="preserve"> </v>
      </c>
      <c r="O592" s="146" t="str">
        <f>IF(F592&gt;'депозитный калькулятор'!$D$8," ",IF(F592='депозитный калькулятор'!$D$8,IF(AND($F$24='депозитный калькулятор'!$D$8,'депозитный калькулятор'!$G$13="нет"),-G592-IF(I592=" ",0,I592)-IF(AND(OR('депозитный калькулятор'!$G$7="30/365",'депозитный калькулятор'!$G$7="30/360"),'депозитный калькулятор'!$G$10="в начале срока"),I591,0)-L592+M592-N592,-G592-IF(I592=" ",0,I592)-L592+M592-N592),IF('депозитный калькулятор'!$G$13="есть",M592-N592+IF('депозитный калькулятор'!$G$14="есть",0,-L592),-IF(I592=" ",0,I592)-IF(AND(OR('депозитный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срока"),I591,0)+M592-N592+IF('депозитный калькулятор'!$G$14="есть",0,-L592))))</f>
        <v xml:space="preserve"> </v>
      </c>
      <c r="P592" s="147" t="str">
        <f>IF(F592&gt;'депозитный калькулятор'!$D$8," ",IF(EOMONTH(F591,0)=F591,0,IF(G592&gt;='депозитный калькулятор'!$G$19,P591,P591+1)))</f>
        <v xml:space="preserve"> </v>
      </c>
      <c r="Q592" s="138" t="str">
        <f>IF(F592=" "," ",IF(AND(OR('депозитный калькулятор'!$G$7="30/365",'депозитный калькулятор'!$G$7="30/360"),AND(MONTH(F592)=2,EOMONTH(F592,0)=F592)),IF(DAY(F592)=28,3,2),1)*IF(G592&gt;='депозитный калькулятор'!$G$11,IF(AND('депозитный калькулятор'!$G$7="факт/факт",MOD(YEAR(F592),4)=0),G592*'депозитный калькулятор'!$D$11/366,G592*'депозитный калькулятор'!$G$8),0))</f>
        <v xml:space="preserve"> </v>
      </c>
      <c r="R592" s="158"/>
      <c r="S592" s="62" t="str">
        <f t="shared" ca="1" si="42"/>
        <v xml:space="preserve"> </v>
      </c>
      <c r="T592" s="149" t="str">
        <f ca="1">IF(S592=" "," ",IF('депозитный калькулятор'!$G$7="30/360",DAYS360(U591,IF(DAY(U592)=31,U592-1,U592))+IF(AND(MONTH(U592)=2,U592=EOMONTH(U592,0)),30-DAY(EOMONTH(U592,0)))+T591,VLOOKUP(S592,$C$22:$F$1023,2,0)))</f>
        <v xml:space="preserve"> </v>
      </c>
      <c r="U592" s="64" t="str">
        <f t="shared" ca="1" si="40"/>
        <v xml:space="preserve"> </v>
      </c>
      <c r="V592" s="150" t="str">
        <f t="shared" ca="1" si="43"/>
        <v xml:space="preserve"> </v>
      </c>
      <c r="W592" s="62" t="str">
        <f t="shared" ca="1" si="44"/>
        <v xml:space="preserve"> </v>
      </c>
      <c r="X592" s="141" t="str">
        <f ca="1">IF(S592=" "," ",IFERROR(VLOOKUP(U592,$F$23:$N$1023,7)+VLOOKUP(U592,$F$23:$N$1023,9)+IF(AND('депозитный калькулятор'!$G$13="нет",U592&lt;&gt;'депозитный калькулятор'!$D$8),VLOOKUP(U592,$F$23:$N$1023,4),0),0)+IF(U592='депозитный калькулятор'!$D$8,VLOOKUP(U592,$F$23:$N$1023,2)+VLOOKUP(U592,$F$23:$N$1023,4),0))</f>
        <v xml:space="preserve"> </v>
      </c>
      <c r="Y592" s="142" t="str">
        <f ca="1">IF(S592=" "," ",W592/(1+'депозитный калькулятор'!$K$8)^(T592/IF('депозитный калькулятор'!$G$7="30/360",360,365)))</f>
        <v xml:space="preserve"> </v>
      </c>
      <c r="Z592" s="142" t="str">
        <f ca="1">IF(S592=" "," ",X592/(1+'депозитный калькулятор'!$K$8)^(T592/IF('депозитный калькулятор'!$G$7="30/360",360,365)))</f>
        <v xml:space="preserve"> </v>
      </c>
      <c r="AA592" s="151"/>
      <c r="AB592" s="151"/>
      <c r="AC592" s="155"/>
      <c r="AD592" s="155"/>
    </row>
    <row r="593" spans="1:30" s="2" customFormat="1" ht="15.5" x14ac:dyDescent="0.35">
      <c r="A593" s="41" t="str">
        <f>IF(F593=" "," ",IF(OR('депозитный калькулятор'!$G$7="30/365",'депозитный калькулятор'!$G$7="30/360"),IF(AND(MONTH(F593)=2,DAY(F593)=DAY(EOMONTH(F593,0))),30-DAY(EOMONTH(F593,0)),IF(DAY(F593)=31,1," "))," "))</f>
        <v xml:space="preserve"> </v>
      </c>
      <c r="B593" s="130" t="str">
        <f t="shared" si="41"/>
        <v xml:space="preserve"> </v>
      </c>
      <c r="C593" s="130" t="str">
        <f>IF(OR(B593=0,B593=" ")," ",SUM($B$23:B593))</f>
        <v xml:space="preserve"> </v>
      </c>
      <c r="D593" s="62" t="str">
        <f>IF(D592=" "," ",IF(OR(F592='депозитный калькулятор'!$D$8,F592=" ")," ",D592+1))</f>
        <v xml:space="preserve"> </v>
      </c>
      <c r="E593" s="130" t="str">
        <f>IF(OR(F592='депозитный калькулятор'!$D$8,F592=" ")," ",IF(EOMONTH(F592,0)=F592,1,E592+1))</f>
        <v xml:space="preserve"> </v>
      </c>
      <c r="F593" s="64" t="str">
        <f>IF(F592=" "," ",IF(F592='депозитный калькулятор'!$D$8," ",F592+1))</f>
        <v xml:space="preserve"> </v>
      </c>
      <c r="G593" s="145" t="str">
        <f xml:space="preserve"> IF(F593&gt;'депозитный калькулятор'!$D$8," ",IF('депозитный калькулятор'!$G$13="есть",IF('депозитный калькулятор'!$G$14="есть",G592+IF(I592=" ",0,I592)-J593-K593+L593+M593-N593,G592+IF(I592=" ",0,I592)-J593-K593+M593-N593),IF('депозитный калькулятор'!$G$14="есть",G592-J593-K593+L593+M593-N593,G592-J593-K593+M593-N593)))</f>
        <v xml:space="preserve"> </v>
      </c>
      <c r="H593" s="133" t="str">
        <f>IF(F593&gt;'депозитный калькулятор'!$D$8," ",IF(AND(OR('депозитный калькулятор'!$G$7="30/365",'депозитный калькулятор'!$G$7="30/360"),AND(MONTH(F593)=2,EOMONTH(F593,0)=F593)),IF(DAY(F593)=28,3*G593*'депозитный калькулятор'!$G$8,2*G593*'депозитный калькулятор'!$G$8),IF(AND(OR('депозитный калькулятор'!$G$7="30/365",'депозитный калькулятор'!$G$7="30/360"),DAY(F593)=31)," ",IF(AND('депозитный калькулятор'!$G$7="факт/факт",MOD(YEAR(F593),4)=0),G593*'депозитный калькулятор'!$D$11/366,G593*'депозитный калькулятор'!$G$8))))</f>
        <v xml:space="preserve"> </v>
      </c>
      <c r="I593" s="134" t="str">
        <f ca="1">IF(F593=" "," ",IF('депозитный калькулятор'!$G$10="ежедневное",H593,IF(AND('депозитный калькулятор'!$G$10="еженедельное",WEEKDAY(F593,2)=7),SUM(OFFSET(H593,-6,0):H593),IF(AND('депозитный калькулятор'!$G$10="еженедельное",F593='депозитный калькулятор'!$D$8),SUM($H$23:H593)-SUM($I$23:I592),IF(AND('депозитный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недели",WEEKDAY(F593,2)=7),MIN(OFFSET(H593,-6,0):H593)*(COUNTIF(OFFSET(H593,-6,0):H593,"&gt;0")+SUMIF(OFFSET(A593,-WEEKDAY(F593,2),0):A593,"=2",OFFSET(A593,-WEEKDAY(F593,2),0):A593)),IF(AND('депозитный калькулятор'!$G$10="еженедельное, на минимальную сумму зафиксированную в течение недели",F593='депозитный калькулятор'!$D$8,WEEKDAY(F593,2)&lt;&gt;7),MIN(OFFSET(H593,-WEEKDAY(F593,2),0):H593)*(COUNTIF(OFFSET(H593,-WEEKDAY(F593,2)+1,0):H593,"&gt;0")+SUM(OFFSET(A593,-WEEKDAY(F593,2),0):A593)),IF(AND('депозитный калькулятор'!$G$10="ежемесячное (в конце месяца)",F593='депозитный калькулятор'!$D$8,EOMONTH(F593,0)&lt;&gt;F593),IF('депозитный калькулятор'!$F$1=1,$H$24,SUM($H$23:H593)-SUM($I$23:I592)),IF(AND('депозитный калькулятор'!$G$10="ежемесячное (в конце месяца)",EOMONTH(F593,0)=F593),SUM($H$23:H593)-SUM($I$23:I592),IF(AND('депозитный калькулятор'!$G$10="ежемесячное (по дням открытия вклада)",F593='депозитный калькулятор'!$D$8,DAY('депозитный калькулятор'!$D$7)&lt;&gt;DAY(F593)),IF('депозитный калькулятор'!$F$1=1,$H$24,SUM($H$23:H593)-SUM($I$23:I592)),IF(AND('депозитный калькулятор'!$G$10="ежемесячное (по дням открытия вклада)",DAY('депозитный калькулятор'!$D$7)=DAY(F593)),SUM($H$23:H593)-SUM($I$23:I592),IF(AND('депозитный калькулятор'!$G$10="ежемесячное, на минимальную сумму зафиксированную в течение месяца",F593='депозитный калькулятор'!$D$8,EOMONTH(F593,0)&lt;&gt;F593),IF('депозитный калькулятор'!$F$1=1,$H$24,IF(AND(OR('депозитный калькулятор'!$G$7="30/365",'депозитный калькулятор'!$G$7="30/360"),DAY(F593)=31),0,MIN(OFFSET(H593,-E593+1,0):H593)*(E593+SUMIF(OFFSET(A593,-E593+1,0):A593,"=2",OFFSET(A593,-E593+1,0):A593)))),IF(AND('депозитный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калькулятор'!$G$7="30/360"),DAY(EOMONTH(F593,0))=31),EOMONTH(F593,0)-1=F593,EOMONTH(F593,0)=F593)),IF(IF(AND(OR('депозитный калькулятор'!$G$7="30/365",'депозитный калькулятор'!$G$7="30/360"),DAY(EOMONTH($F$23,0))=31),F593=EOMONTH($F$23,0)-1,F593=EOMONTH($F$23,0)),MIN(OFFSET(H593,-(DAY(F593)-DAY($F$23)),0):H593)*E593,MIN(OFFSET(H593,-(DAY(F593)-1),0):H593)*IF(AND(OR('депозитный калькулятор'!$G$7="30/365",'депозитный калькулятор'!$G$7="30/360"),DAY(F593)&lt;30),30,DAY(F593))),IF(AND('депозитный калькулятор'!$G$10="ежемесячное, на средний остаток в течение месяца, при условии что остаток больше чем ограничение",F593='депозитный калькулятор'!$D$8,EOMONTH(F593,0)&lt;&gt;F593),IF('депозитный калькулятор'!$F$1=1,$H$24,SUM(OFFSET(Q593,-E593+1,0):Q593)),IF(AND('депозитный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калькулятор'!$G$7="30/360"),DAY(EOMONTH(F593,0))=31),EOMONTH(F593,0)-1=F593,EOMONTH(F593,0)=F593)),IF(IF(AND(OR('депозитный калькулятор'!$G$7="30/365",'депозитный калькулятор'!$G$7="30/360"),DAY(EOMONTH($F$24,0))=31),F593=EOMONTH($F$24,0)-1,F593=EOMONTH($F$24,0)),SUM(OFFSET(Q593,-E593+1,0):Q593),SUM(OFFSET(Q593,-E593+1,0):Q593)),IF('депозитный калькулятор'!$G$10="ежеквартальное",IF(F593&gt;'депозитный калькулятор'!$D$8," ",IF(AND(EOMONTH(F593,0)=F593,OR(MONTH(F593)=3,MONTH(F593)=6,MONTH(F593)=9,MONTH(F593)=12)),IF(EDATE(F593,-3)&lt;'депозитный калькулятор'!$D$7,SUM($H$23:H593),IF(MOD(YEAR(F593),4)=0,IF(AND(EOMONTH(F593,0)=F593,OR(MONTH(F593)=3,MONTH(F593)=6)),SUM(OFFSET(H593,-90,0):H593),IF(AND(EOMONTH(F593,0)=F593,OR(MONTH(F593)=9,MONTH(F593)=12)),SUM(OFFSET(H593,-91,0):H593))),IF(AND(EOMONTH(F593,0)=F593,MONTH(F593)=3),SUM(OFFSET(H593,-89,0):H593),IF(AND(EOMONTH(F593,0)=F593,MONTH(F593)=6),SUM(OFFSET(H593,-90,0):H593),IF(AND(EOMONTH(F593,0)=F593,OR(MONTH(F593)=9,MONTH(F593)=12)),SUM(OFFSET(H593,-91,0):H593)))))),IF(F593='депозитный калькулятор'!$D$8,SUM($H$23:H593)-SUM($I$23:I592),0))),IF('депозитный калькулятор'!$G$10="ежегодное",IF(F593&gt;'депозитный калькулятор'!$D$8," ",IF(F593='депозитный калькулятор'!$D$8,SUM($H$23:H593)-SUM($I$23:I592),IF(AND(EOMONTH(F593,0)=F593,MONTH(F593)=12),IF(MOD(YEAR(F592),4)=0,IF(F593-'депозитный калькулятор'!$D$7&lt;366,SUM($H$23:H593),SUM(OFFSET(H593,-365,0):H593)),IF(F593-'депозитный калькулятор'!$D$7&lt;365,SUM($H$23:H593),SUM(OFFSET(H593,-364,0):H593))),0))),IF(AND('депозитный калькулятор'!$G$10="в конце срока",'депозитный калькулятор'!$D$8=F593),SUM($H$23:H593),0))))))))))))))))))</f>
        <v xml:space="preserve"> </v>
      </c>
      <c r="J593" s="59" t="str">
        <f>IF(F593&gt;'депозитный калькулятор'!$D$8," ",IF('депозитный калькулятор'!$G$16="нет",0,IF(AND('депозитный калькулятор'!$G$17="разовая (в конце срока)",F593='депозитный калькулятор'!$D$8),'депозитный калькулятор'!$G$18,IF(AND('депозитный калькулятор'!$G$17="ежемесячная",EOMONTH(F592,0)=F592),'депозитный калькулятор'!$G$18,IF(AND('депозитный калькулятор'!$G$17="ежегодная",DAY(F592)=31,MONTH(F592)=12),'депозитный калькулятор'!$G$18,IF(AND('депозитный калькулятор'!$G$17="ежемесячная в зависимости от остатка",EOMONTH(F592,0)=F592,P592&gt;0),'депозитный калькулятор'!$G$18,IF(AND('депозитный калькулятор'!$G$17="ежегодная в зависимости от остатка",DAY(F592)=31,MONTH(F592)=12,P592&gt;0),'депозитный калькулятор'!$G$18,0)))))))</f>
        <v xml:space="preserve"> </v>
      </c>
      <c r="K593" s="135" t="str">
        <f>IF($F593=" "," ",IFERROR(VLOOKUP($F593,'депозитный калькулятор'!$B$26:$F$70,2,0),0))</f>
        <v xml:space="preserve"> </v>
      </c>
      <c r="L593" s="135" t="str">
        <f>IF($F593=" "," ",IFERROR(VLOOKUP($F593,'депозитный калькулятор'!$B$26:$F$70,3,0),0))</f>
        <v xml:space="preserve"> </v>
      </c>
      <c r="M593" s="135" t="str">
        <f>IF($F593=" "," ",IFERROR(VLOOKUP($F593,'депозитный калькулятор'!$B$26:$F$70,4,0),0))</f>
        <v xml:space="preserve"> </v>
      </c>
      <c r="N593" s="135" t="str">
        <f>IF($F593=" "," ",IFERROR(VLOOKUP($F593,'депозитный калькулятор'!$B$26:$F$70,5,0),0))</f>
        <v xml:space="preserve"> </v>
      </c>
      <c r="O593" s="146" t="str">
        <f>IF(F593&gt;'депозитный калькулятор'!$D$8," ",IF(F593='депозитный калькулятор'!$D$8,IF(AND($F$24='депозитный калькулятор'!$D$8,'депозитный калькулятор'!$G$13="нет"),-G593-IF(I593=" ",0,I593)-IF(AND(OR('депозитный калькулятор'!$G$7="30/365",'депозитный калькулятор'!$G$7="30/360"),'депозитный калькулятор'!$G$10="в начале срока"),I592,0)-L593+M593-N593,-G593-IF(I593=" ",0,I593)-L593+M593-N593),IF('депозитный калькулятор'!$G$13="есть",M593-N593+IF('депозитный калькулятор'!$G$14="есть",0,-L593),-IF(I593=" ",0,I593)-IF(AND(OR('депозитный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срока"),I592,0)+M593-N593+IF('депозитный калькулятор'!$G$14="есть",0,-L593))))</f>
        <v xml:space="preserve"> </v>
      </c>
      <c r="P593" s="147" t="str">
        <f>IF(F593&gt;'депозитный калькулятор'!$D$8," ",IF(EOMONTH(F592,0)=F592,0,IF(G593&gt;='депозитный калькулятор'!$G$19,P592,P592+1)))</f>
        <v xml:space="preserve"> </v>
      </c>
      <c r="Q593" s="138" t="str">
        <f>IF(F593=" "," ",IF(AND(OR('депозитный калькулятор'!$G$7="30/365",'депозитный калькулятор'!$G$7="30/360"),AND(MONTH(F593)=2,EOMONTH(F593,0)=F593)),IF(DAY(F593)=28,3,2),1)*IF(G593&gt;='депозитный калькулятор'!$G$11,IF(AND('депозитный калькулятор'!$G$7="факт/факт",MOD(YEAR(F593),4)=0),G593*'депозитный калькулятор'!$D$11/366,G593*'депозитный калькулятор'!$G$8),0))</f>
        <v xml:space="preserve"> </v>
      </c>
      <c r="R593" s="158"/>
      <c r="S593" s="62" t="str">
        <f t="shared" ca="1" si="42"/>
        <v xml:space="preserve"> </v>
      </c>
      <c r="T593" s="149" t="str">
        <f ca="1">IF(S593=" "," ",IF('депозитный калькулятор'!$G$7="30/360",DAYS360(U592,IF(DAY(U593)=31,U593-1,U593))+IF(AND(MONTH(U593)=2,U593=EOMONTH(U593,0)),30-DAY(EOMONTH(U593,0)))+T592,VLOOKUP(S593,$C$22:$F$1023,2,0)))</f>
        <v xml:space="preserve"> </v>
      </c>
      <c r="U593" s="64" t="str">
        <f t="shared" ca="1" si="40"/>
        <v xml:space="preserve"> </v>
      </c>
      <c r="V593" s="150" t="str">
        <f t="shared" ca="1" si="43"/>
        <v xml:space="preserve"> </v>
      </c>
      <c r="W593" s="62" t="str">
        <f t="shared" ca="1" si="44"/>
        <v xml:space="preserve"> </v>
      </c>
      <c r="X593" s="141" t="str">
        <f ca="1">IF(S593=" "," ",IFERROR(VLOOKUP(U593,$F$23:$N$1023,7)+VLOOKUP(U593,$F$23:$N$1023,9)+IF(AND('депозитный калькулятор'!$G$13="нет",U593&lt;&gt;'депозитный калькулятор'!$D$8),VLOOKUP(U593,$F$23:$N$1023,4),0),0)+IF(U593='депозитный калькулятор'!$D$8,VLOOKUP(U593,$F$23:$N$1023,2)+VLOOKUP(U593,$F$23:$N$1023,4),0))</f>
        <v xml:space="preserve"> </v>
      </c>
      <c r="Y593" s="142" t="str">
        <f ca="1">IF(S593=" "," ",W593/(1+'депозитный калькулятор'!$K$8)^(T593/IF('депозитный калькулятор'!$G$7="30/360",360,365)))</f>
        <v xml:space="preserve"> </v>
      </c>
      <c r="Z593" s="142" t="str">
        <f ca="1">IF(S593=" "," ",X593/(1+'депозитный калькулятор'!$K$8)^(T593/IF('депозитный калькулятор'!$G$7="30/360",360,365)))</f>
        <v xml:space="preserve"> </v>
      </c>
      <c r="AA593" s="151"/>
      <c r="AB593" s="151"/>
      <c r="AC593" s="155"/>
      <c r="AD593" s="155"/>
    </row>
    <row r="594" spans="1:30" s="2" customFormat="1" ht="15.5" x14ac:dyDescent="0.35">
      <c r="A594" s="41" t="str">
        <f>IF(F594=" "," ",IF(OR('депозитный калькулятор'!$G$7="30/365",'депозитный калькулятор'!$G$7="30/360"),IF(AND(MONTH(F594)=2,DAY(F594)=DAY(EOMONTH(F594,0))),30-DAY(EOMONTH(F594,0)),IF(DAY(F594)=31,1," "))," "))</f>
        <v xml:space="preserve"> </v>
      </c>
      <c r="B594" s="130" t="str">
        <f t="shared" si="41"/>
        <v xml:space="preserve"> </v>
      </c>
      <c r="C594" s="130" t="str">
        <f>IF(OR(B594=0,B594=" ")," ",SUM($B$23:B594))</f>
        <v xml:space="preserve"> </v>
      </c>
      <c r="D594" s="62" t="str">
        <f>IF(D593=" "," ",IF(OR(F593='депозитный калькулятор'!$D$8,F593=" ")," ",D593+1))</f>
        <v xml:space="preserve"> </v>
      </c>
      <c r="E594" s="130" t="str">
        <f>IF(OR(F593='депозитный калькулятор'!$D$8,F593=" ")," ",IF(EOMONTH(F593,0)=F593,1,E593+1))</f>
        <v xml:space="preserve"> </v>
      </c>
      <c r="F594" s="64" t="str">
        <f>IF(F593=" "," ",IF(F593='депозитный калькулятор'!$D$8," ",F593+1))</f>
        <v xml:space="preserve"> </v>
      </c>
      <c r="G594" s="145" t="str">
        <f xml:space="preserve"> IF(F594&gt;'депозитный калькулятор'!$D$8," ",IF('депозитный калькулятор'!$G$13="есть",IF('депозитный калькулятор'!$G$14="есть",G593+IF(I593=" ",0,I593)-J594-K594+L594+M594-N594,G593+IF(I593=" ",0,I593)-J594-K594+M594-N594),IF('депозитный калькулятор'!$G$14="есть",G593-J594-K594+L594+M594-N594,G593-J594-K594+M594-N594)))</f>
        <v xml:space="preserve"> </v>
      </c>
      <c r="H594" s="133" t="str">
        <f>IF(F594&gt;'депозитный калькулятор'!$D$8," ",IF(AND(OR('депозитный калькулятор'!$G$7="30/365",'депозитный калькулятор'!$G$7="30/360"),AND(MONTH(F594)=2,EOMONTH(F594,0)=F594)),IF(DAY(F594)=28,3*G594*'депозитный калькулятор'!$G$8,2*G594*'депозитный калькулятор'!$G$8),IF(AND(OR('депозитный калькулятор'!$G$7="30/365",'депозитный калькулятор'!$G$7="30/360"),DAY(F594)=31)," ",IF(AND('депозитный калькулятор'!$G$7="факт/факт",MOD(YEAR(F594),4)=0),G594*'депозитный калькулятор'!$D$11/366,G594*'депозитный калькулятор'!$G$8))))</f>
        <v xml:space="preserve"> </v>
      </c>
      <c r="I594" s="134" t="str">
        <f ca="1">IF(F594=" "," ",IF('депозитный калькулятор'!$G$10="ежедневное",H594,IF(AND('депозитный калькулятор'!$G$10="еженедельное",WEEKDAY(F594,2)=7),SUM(OFFSET(H594,-6,0):H594),IF(AND('депозитный калькулятор'!$G$10="еженедельное",F594='депозитный калькулятор'!$D$8),SUM($H$23:H594)-SUM($I$23:I593),IF(AND('депозитный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недели",WEEKDAY(F594,2)=7),MIN(OFFSET(H594,-6,0):H594)*(COUNTIF(OFFSET(H594,-6,0):H594,"&gt;0")+SUMIF(OFFSET(A594,-WEEKDAY(F594,2),0):A594,"=2",OFFSET(A594,-WEEKDAY(F594,2),0):A594)),IF(AND('депозитный калькулятор'!$G$10="еженедельное, на минимальную сумму зафиксированную в течение недели",F594='депозитный калькулятор'!$D$8,WEEKDAY(F594,2)&lt;&gt;7),MIN(OFFSET(H594,-WEEKDAY(F594,2),0):H594)*(COUNTIF(OFFSET(H594,-WEEKDAY(F594,2)+1,0):H594,"&gt;0")+SUM(OFFSET(A594,-WEEKDAY(F594,2),0):A594)),IF(AND('депозитный калькулятор'!$G$10="ежемесячное (в конце месяца)",F594='депозитный калькулятор'!$D$8,EOMONTH(F594,0)&lt;&gt;F594),IF('депозитный калькулятор'!$F$1=1,$H$24,SUM($H$23:H594)-SUM($I$23:I593)),IF(AND('депозитный калькулятор'!$G$10="ежемесячное (в конце месяца)",EOMONTH(F594,0)=F594),SUM($H$23:H594)-SUM($I$23:I593),IF(AND('депозитный калькулятор'!$G$10="ежемесячное (по дням открытия вклада)",F594='депозитный калькулятор'!$D$8,DAY('депозитный калькулятор'!$D$7)&lt;&gt;DAY(F594)),IF('депозитный калькулятор'!$F$1=1,$H$24,SUM($H$23:H594)-SUM($I$23:I593)),IF(AND('депозитный калькулятор'!$G$10="ежемесячное (по дням открытия вклада)",DAY('депозитный калькулятор'!$D$7)=DAY(F594)),SUM($H$23:H594)-SUM($I$23:I593),IF(AND('депозитный калькулятор'!$G$10="ежемесячное, на минимальную сумму зафиксированную в течение месяца",F594='депозитный калькулятор'!$D$8,EOMONTH(F594,0)&lt;&gt;F594),IF('депозитный калькулятор'!$F$1=1,$H$24,IF(AND(OR('депозитный калькулятор'!$G$7="30/365",'депозитный калькулятор'!$G$7="30/360"),DAY(F594)=31),0,MIN(OFFSET(H594,-E594+1,0):H594)*(E594+SUMIF(OFFSET(A594,-E594+1,0):A594,"=2",OFFSET(A594,-E594+1,0):A594)))),IF(AND('депозитный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калькулятор'!$G$7="30/360"),DAY(EOMONTH(F594,0))=31),EOMONTH(F594,0)-1=F594,EOMONTH(F594,0)=F594)),IF(IF(AND(OR('депозитный калькулятор'!$G$7="30/365",'депозитный калькулятор'!$G$7="30/360"),DAY(EOMONTH($F$23,0))=31),F594=EOMONTH($F$23,0)-1,F594=EOMONTH($F$23,0)),MIN(OFFSET(H594,-(DAY(F594)-DAY($F$23)),0):H594)*E594,MIN(OFFSET(H594,-(DAY(F594)-1),0):H594)*IF(AND(OR('депозитный калькулятор'!$G$7="30/365",'депозитный калькулятор'!$G$7="30/360"),DAY(F594)&lt;30),30,DAY(F594))),IF(AND('депозитный калькулятор'!$G$10="ежемесячное, на средний остаток в течение месяца, при условии что остаток больше чем ограничение",F594='депозитный калькулятор'!$D$8,EOMONTH(F594,0)&lt;&gt;F594),IF('депозитный калькулятор'!$F$1=1,$H$24,SUM(OFFSET(Q594,-E594+1,0):Q594)),IF(AND('депозитный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калькулятор'!$G$7="30/360"),DAY(EOMONTH(F594,0))=31),EOMONTH(F594,0)-1=F594,EOMONTH(F594,0)=F594)),IF(IF(AND(OR('депозитный калькулятор'!$G$7="30/365",'депозитный калькулятор'!$G$7="30/360"),DAY(EOMONTH($F$24,0))=31),F594=EOMONTH($F$24,0)-1,F594=EOMONTH($F$24,0)),SUM(OFFSET(Q594,-E594+1,0):Q594),SUM(OFFSET(Q594,-E594+1,0):Q594)),IF('депозитный калькулятор'!$G$10="ежеквартальное",IF(F594&gt;'депозитный калькулятор'!$D$8," ",IF(AND(EOMONTH(F594,0)=F594,OR(MONTH(F594)=3,MONTH(F594)=6,MONTH(F594)=9,MONTH(F594)=12)),IF(EDATE(F594,-3)&lt;'депозитный калькулятор'!$D$7,SUM($H$23:H594),IF(MOD(YEAR(F594),4)=0,IF(AND(EOMONTH(F594,0)=F594,OR(MONTH(F594)=3,MONTH(F594)=6)),SUM(OFFSET(H594,-90,0):H594),IF(AND(EOMONTH(F594,0)=F594,OR(MONTH(F594)=9,MONTH(F594)=12)),SUM(OFFSET(H594,-91,0):H594))),IF(AND(EOMONTH(F594,0)=F594,MONTH(F594)=3),SUM(OFFSET(H594,-89,0):H594),IF(AND(EOMONTH(F594,0)=F594,MONTH(F594)=6),SUM(OFFSET(H594,-90,0):H594),IF(AND(EOMONTH(F594,0)=F594,OR(MONTH(F594)=9,MONTH(F594)=12)),SUM(OFFSET(H594,-91,0):H594)))))),IF(F594='депозитный калькулятор'!$D$8,SUM($H$23:H594)-SUM($I$23:I593),0))),IF('депозитный калькулятор'!$G$10="ежегодное",IF(F594&gt;'депозитный калькулятор'!$D$8," ",IF(F594='депозитный калькулятор'!$D$8,SUM($H$23:H594)-SUM($I$23:I593),IF(AND(EOMONTH(F594,0)=F594,MONTH(F594)=12),IF(MOD(YEAR(F593),4)=0,IF(F594-'депозитный калькулятор'!$D$7&lt;366,SUM($H$23:H594),SUM(OFFSET(H594,-365,0):H594)),IF(F594-'депозитный калькулятор'!$D$7&lt;365,SUM($H$23:H594),SUM(OFFSET(H594,-364,0):H594))),0))),IF(AND('депозитный калькулятор'!$G$10="в конце срока",'депозитный калькулятор'!$D$8=F594),SUM($H$23:H594),0))))))))))))))))))</f>
        <v xml:space="preserve"> </v>
      </c>
      <c r="J594" s="59" t="str">
        <f>IF(F594&gt;'депозитный калькулятор'!$D$8," ",IF('депозитный калькулятор'!$G$16="нет",0,IF(AND('депозитный калькулятор'!$G$17="разовая (в конце срока)",F594='депозитный калькулятор'!$D$8),'депозитный калькулятор'!$G$18,IF(AND('депозитный калькулятор'!$G$17="ежемесячная",EOMONTH(F593,0)=F593),'депозитный калькулятор'!$G$18,IF(AND('депозитный калькулятор'!$G$17="ежегодная",DAY(F593)=31,MONTH(F593)=12),'депозитный калькулятор'!$G$18,IF(AND('депозитный калькулятор'!$G$17="ежемесячная в зависимости от остатка",EOMONTH(F593,0)=F593,P593&gt;0),'депозитный калькулятор'!$G$18,IF(AND('депозитный калькулятор'!$G$17="ежегодная в зависимости от остатка",DAY(F593)=31,MONTH(F593)=12,P593&gt;0),'депозитный калькулятор'!$G$18,0)))))))</f>
        <v xml:space="preserve"> </v>
      </c>
      <c r="K594" s="135" t="str">
        <f>IF($F594=" "," ",IFERROR(VLOOKUP($F594,'депозитный калькулятор'!$B$26:$F$70,2,0),0))</f>
        <v xml:space="preserve"> </v>
      </c>
      <c r="L594" s="135" t="str">
        <f>IF($F594=" "," ",IFERROR(VLOOKUP($F594,'депозитный калькулятор'!$B$26:$F$70,3,0),0))</f>
        <v xml:space="preserve"> </v>
      </c>
      <c r="M594" s="135" t="str">
        <f>IF($F594=" "," ",IFERROR(VLOOKUP($F594,'депозитный калькулятор'!$B$26:$F$70,4,0),0))</f>
        <v xml:space="preserve"> </v>
      </c>
      <c r="N594" s="135" t="str">
        <f>IF($F594=" "," ",IFERROR(VLOOKUP($F594,'депозитный калькулятор'!$B$26:$F$70,5,0),0))</f>
        <v xml:space="preserve"> </v>
      </c>
      <c r="O594" s="146" t="str">
        <f>IF(F594&gt;'депозитный калькулятор'!$D$8," ",IF(F594='депозитный калькулятор'!$D$8,IF(AND($F$24='депозитный калькулятор'!$D$8,'депозитный калькулятор'!$G$13="нет"),-G594-IF(I594=" ",0,I594)-IF(AND(OR('депозитный калькулятор'!$G$7="30/365",'депозитный калькулятор'!$G$7="30/360"),'депозитный калькулятор'!$G$10="в начале срока"),I593,0)-L594+M594-N594,-G594-IF(I594=" ",0,I594)-L594+M594-N594),IF('депозитный калькулятор'!$G$13="есть",M594-N594+IF('депозитный калькулятор'!$G$14="есть",0,-L594),-IF(I594=" ",0,I594)-IF(AND(OR('депозитный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срока"),I593,0)+M594-N594+IF('депозитный калькулятор'!$G$14="есть",0,-L594))))</f>
        <v xml:space="preserve"> </v>
      </c>
      <c r="P594" s="147" t="str">
        <f>IF(F594&gt;'депозитный калькулятор'!$D$8," ",IF(EOMONTH(F593,0)=F593,0,IF(G594&gt;='депозитный калькулятор'!$G$19,P593,P593+1)))</f>
        <v xml:space="preserve"> </v>
      </c>
      <c r="Q594" s="138" t="str">
        <f>IF(F594=" "," ",IF(AND(OR('депозитный калькулятор'!$G$7="30/365",'депозитный калькулятор'!$G$7="30/360"),AND(MONTH(F594)=2,EOMONTH(F594,0)=F594)),IF(DAY(F594)=28,3,2),1)*IF(G594&gt;='депозитный калькулятор'!$G$11,IF(AND('депозитный калькулятор'!$G$7="факт/факт",MOD(YEAR(F594),4)=0),G594*'депозитный калькулятор'!$D$11/366,G594*'депозитный калькулятор'!$G$8),0))</f>
        <v xml:space="preserve"> </v>
      </c>
      <c r="R594" s="158"/>
      <c r="S594" s="62" t="str">
        <f t="shared" ca="1" si="42"/>
        <v xml:space="preserve"> </v>
      </c>
      <c r="T594" s="149" t="str">
        <f ca="1">IF(S594=" "," ",IF('депозитный калькулятор'!$G$7="30/360",DAYS360(U593,IF(DAY(U594)=31,U594-1,U594))+IF(AND(MONTH(U594)=2,U594=EOMONTH(U594,0)),30-DAY(EOMONTH(U594,0)))+T593,VLOOKUP(S594,$C$22:$F$1023,2,0)))</f>
        <v xml:space="preserve"> </v>
      </c>
      <c r="U594" s="64" t="str">
        <f t="shared" ca="1" si="40"/>
        <v xml:space="preserve"> </v>
      </c>
      <c r="V594" s="150" t="str">
        <f t="shared" ca="1" si="43"/>
        <v xml:space="preserve"> </v>
      </c>
      <c r="W594" s="62" t="str">
        <f t="shared" ca="1" si="44"/>
        <v xml:space="preserve"> </v>
      </c>
      <c r="X594" s="141" t="str">
        <f ca="1">IF(S594=" "," ",IFERROR(VLOOKUP(U594,$F$23:$N$1023,7)+VLOOKUP(U594,$F$23:$N$1023,9)+IF(AND('депозитный калькулятор'!$G$13="нет",U594&lt;&gt;'депозитный калькулятор'!$D$8),VLOOKUP(U594,$F$23:$N$1023,4),0),0)+IF(U594='депозитный калькулятор'!$D$8,VLOOKUP(U594,$F$23:$N$1023,2)+VLOOKUP(U594,$F$23:$N$1023,4),0))</f>
        <v xml:space="preserve"> </v>
      </c>
      <c r="Y594" s="142" t="str">
        <f ca="1">IF(S594=" "," ",W594/(1+'депозитный калькулятор'!$K$8)^(T594/IF('депозитный калькулятор'!$G$7="30/360",360,365)))</f>
        <v xml:space="preserve"> </v>
      </c>
      <c r="Z594" s="142" t="str">
        <f ca="1">IF(S594=" "," ",X594/(1+'депозитный калькулятор'!$K$8)^(T594/IF('депозитный калькулятор'!$G$7="30/360",360,365)))</f>
        <v xml:space="preserve"> </v>
      </c>
      <c r="AA594" s="151"/>
      <c r="AB594" s="151"/>
      <c r="AC594" s="155"/>
      <c r="AD594" s="155"/>
    </row>
    <row r="595" spans="1:30" s="2" customFormat="1" ht="15.5" x14ac:dyDescent="0.35">
      <c r="A595" s="41" t="str">
        <f>IF(F595=" "," ",IF(OR('депозитный калькулятор'!$G$7="30/365",'депозитный калькулятор'!$G$7="30/360"),IF(AND(MONTH(F595)=2,DAY(F595)=DAY(EOMONTH(F595,0))),30-DAY(EOMONTH(F595,0)),IF(DAY(F595)=31,1," "))," "))</f>
        <v xml:space="preserve"> </v>
      </c>
      <c r="B595" s="130" t="str">
        <f t="shared" si="41"/>
        <v xml:space="preserve"> </v>
      </c>
      <c r="C595" s="130" t="str">
        <f>IF(OR(B595=0,B595=" ")," ",SUM($B$23:B595))</f>
        <v xml:space="preserve"> </v>
      </c>
      <c r="D595" s="62" t="str">
        <f>IF(D594=" "," ",IF(OR(F594='депозитный калькулятор'!$D$8,F594=" ")," ",D594+1))</f>
        <v xml:space="preserve"> </v>
      </c>
      <c r="E595" s="130" t="str">
        <f>IF(OR(F594='депозитный калькулятор'!$D$8,F594=" ")," ",IF(EOMONTH(F594,0)=F594,1,E594+1))</f>
        <v xml:space="preserve"> </v>
      </c>
      <c r="F595" s="64" t="str">
        <f>IF(F594=" "," ",IF(F594='депозитный калькулятор'!$D$8," ",F594+1))</f>
        <v xml:space="preserve"> </v>
      </c>
      <c r="G595" s="145" t="str">
        <f xml:space="preserve"> IF(F595&gt;'депозитный калькулятор'!$D$8," ",IF('депозитный калькулятор'!$G$13="есть",IF('депозитный калькулятор'!$G$14="есть",G594+IF(I594=" ",0,I594)-J595-K595+L595+M595-N595,G594+IF(I594=" ",0,I594)-J595-K595+M595-N595),IF('депозитный калькулятор'!$G$14="есть",G594-J595-K595+L595+M595-N595,G594-J595-K595+M595-N595)))</f>
        <v xml:space="preserve"> </v>
      </c>
      <c r="H595" s="133" t="str">
        <f>IF(F595&gt;'депозитный калькулятор'!$D$8," ",IF(AND(OR('депозитный калькулятор'!$G$7="30/365",'депозитный калькулятор'!$G$7="30/360"),AND(MONTH(F595)=2,EOMONTH(F595,0)=F595)),IF(DAY(F595)=28,3*G595*'депозитный калькулятор'!$G$8,2*G595*'депозитный калькулятор'!$G$8),IF(AND(OR('депозитный калькулятор'!$G$7="30/365",'депозитный калькулятор'!$G$7="30/360"),DAY(F595)=31)," ",IF(AND('депозитный калькулятор'!$G$7="факт/факт",MOD(YEAR(F595),4)=0),G595*'депозитный калькулятор'!$D$11/366,G595*'депозитный калькулятор'!$G$8))))</f>
        <v xml:space="preserve"> </v>
      </c>
      <c r="I595" s="134" t="str">
        <f ca="1">IF(F595=" "," ",IF('депозитный калькулятор'!$G$10="ежедневное",H595,IF(AND('депозитный калькулятор'!$G$10="еженедельное",WEEKDAY(F595,2)=7),SUM(OFFSET(H595,-6,0):H595),IF(AND('депозитный калькулятор'!$G$10="еженедельное",F595='депозитный калькулятор'!$D$8),SUM($H$23:H595)-SUM($I$23:I594),IF(AND('депозитный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недели",WEEKDAY(F595,2)=7),MIN(OFFSET(H595,-6,0):H595)*(COUNTIF(OFFSET(H595,-6,0):H595,"&gt;0")+SUMIF(OFFSET(A595,-WEEKDAY(F595,2),0):A595,"=2",OFFSET(A595,-WEEKDAY(F595,2),0):A595)),IF(AND('депозитный калькулятор'!$G$10="еженедельное, на минимальную сумму зафиксированную в течение недели",F595='депозитный калькулятор'!$D$8,WEEKDAY(F595,2)&lt;&gt;7),MIN(OFFSET(H595,-WEEKDAY(F595,2),0):H595)*(COUNTIF(OFFSET(H595,-WEEKDAY(F595,2)+1,0):H595,"&gt;0")+SUM(OFFSET(A595,-WEEKDAY(F595,2),0):A595)),IF(AND('депозитный калькулятор'!$G$10="ежемесячное (в конце месяца)",F595='депозитный калькулятор'!$D$8,EOMONTH(F595,0)&lt;&gt;F595),IF('депозитный калькулятор'!$F$1=1,$H$24,SUM($H$23:H595)-SUM($I$23:I594)),IF(AND('депозитный калькулятор'!$G$10="ежемесячное (в конце месяца)",EOMONTH(F595,0)=F595),SUM($H$23:H595)-SUM($I$23:I594),IF(AND('депозитный калькулятор'!$G$10="ежемесячное (по дням открытия вклада)",F595='депозитный калькулятор'!$D$8,DAY('депозитный калькулятор'!$D$7)&lt;&gt;DAY(F595)),IF('депозитный калькулятор'!$F$1=1,$H$24,SUM($H$23:H595)-SUM($I$23:I594)),IF(AND('депозитный калькулятор'!$G$10="ежемесячное (по дням открытия вклада)",DAY('депозитный калькулятор'!$D$7)=DAY(F595)),SUM($H$23:H595)-SUM($I$23:I594),IF(AND('депозитный калькулятор'!$G$10="ежемесячное, на минимальную сумму зафиксированную в течение месяца",F595='депозитный калькулятор'!$D$8,EOMONTH(F595,0)&lt;&gt;F595),IF('депозитный калькулятор'!$F$1=1,$H$24,IF(AND(OR('депозитный калькулятор'!$G$7="30/365",'депозитный калькулятор'!$G$7="30/360"),DAY(F595)=31),0,MIN(OFFSET(H595,-E595+1,0):H595)*(E595+SUMIF(OFFSET(A595,-E595+1,0):A595,"=2",OFFSET(A595,-E595+1,0):A595)))),IF(AND('депозитный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калькулятор'!$G$7="30/360"),DAY(EOMONTH(F595,0))=31),EOMONTH(F595,0)-1=F595,EOMONTH(F595,0)=F595)),IF(IF(AND(OR('депозитный калькулятор'!$G$7="30/365",'депозитный калькулятор'!$G$7="30/360"),DAY(EOMONTH($F$23,0))=31),F595=EOMONTH($F$23,0)-1,F595=EOMONTH($F$23,0)),MIN(OFFSET(H595,-(DAY(F595)-DAY($F$23)),0):H595)*E595,MIN(OFFSET(H595,-(DAY(F595)-1),0):H595)*IF(AND(OR('депозитный калькулятор'!$G$7="30/365",'депозитный калькулятор'!$G$7="30/360"),DAY(F595)&lt;30),30,DAY(F595))),IF(AND('депозитный калькулятор'!$G$10="ежемесячное, на средний остаток в течение месяца, при условии что остаток больше чем ограничение",F595='депозитный калькулятор'!$D$8,EOMONTH(F595,0)&lt;&gt;F595),IF('депозитный калькулятор'!$F$1=1,$H$24,SUM(OFFSET(Q595,-E595+1,0):Q595)),IF(AND('депозитный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калькулятор'!$G$7="30/360"),DAY(EOMONTH(F595,0))=31),EOMONTH(F595,0)-1=F595,EOMONTH(F595,0)=F595)),IF(IF(AND(OR('депозитный калькулятор'!$G$7="30/365",'депозитный калькулятор'!$G$7="30/360"),DAY(EOMONTH($F$24,0))=31),F595=EOMONTH($F$24,0)-1,F595=EOMONTH($F$24,0)),SUM(OFFSET(Q595,-E595+1,0):Q595),SUM(OFFSET(Q595,-E595+1,0):Q595)),IF('депозитный калькулятор'!$G$10="ежеквартальное",IF(F595&gt;'депозитный калькулятор'!$D$8," ",IF(AND(EOMONTH(F595,0)=F595,OR(MONTH(F595)=3,MONTH(F595)=6,MONTH(F595)=9,MONTH(F595)=12)),IF(EDATE(F595,-3)&lt;'депозитный калькулятор'!$D$7,SUM($H$23:H595),IF(MOD(YEAR(F595),4)=0,IF(AND(EOMONTH(F595,0)=F595,OR(MONTH(F595)=3,MONTH(F595)=6)),SUM(OFFSET(H595,-90,0):H595),IF(AND(EOMONTH(F595,0)=F595,OR(MONTH(F595)=9,MONTH(F595)=12)),SUM(OFFSET(H595,-91,0):H595))),IF(AND(EOMONTH(F595,0)=F595,MONTH(F595)=3),SUM(OFFSET(H595,-89,0):H595),IF(AND(EOMONTH(F595,0)=F595,MONTH(F595)=6),SUM(OFFSET(H595,-90,0):H595),IF(AND(EOMONTH(F595,0)=F595,OR(MONTH(F595)=9,MONTH(F595)=12)),SUM(OFFSET(H595,-91,0):H595)))))),IF(F595='депозитный калькулятор'!$D$8,SUM($H$23:H595)-SUM($I$23:I594),0))),IF('депозитный калькулятор'!$G$10="ежегодное",IF(F595&gt;'депозитный калькулятор'!$D$8," ",IF(F595='депозитный калькулятор'!$D$8,SUM($H$23:H595)-SUM($I$23:I594),IF(AND(EOMONTH(F595,0)=F595,MONTH(F595)=12),IF(MOD(YEAR(F594),4)=0,IF(F595-'депозитный калькулятор'!$D$7&lt;366,SUM($H$23:H595),SUM(OFFSET(H595,-365,0):H595)),IF(F595-'депозитный калькулятор'!$D$7&lt;365,SUM($H$23:H595),SUM(OFFSET(H595,-364,0):H595))),0))),IF(AND('депозитный калькулятор'!$G$10="в конце срока",'депозитный калькулятор'!$D$8=F595),SUM($H$23:H595),0))))))))))))))))))</f>
        <v xml:space="preserve"> </v>
      </c>
      <c r="J595" s="59" t="str">
        <f>IF(F595&gt;'депозитный калькулятор'!$D$8," ",IF('депозитный калькулятор'!$G$16="нет",0,IF(AND('депозитный калькулятор'!$G$17="разовая (в конце срока)",F595='депозитный калькулятор'!$D$8),'депозитный калькулятор'!$G$18,IF(AND('депозитный калькулятор'!$G$17="ежемесячная",EOMONTH(F594,0)=F594),'депозитный калькулятор'!$G$18,IF(AND('депозитный калькулятор'!$G$17="ежегодная",DAY(F594)=31,MONTH(F594)=12),'депозитный калькулятор'!$G$18,IF(AND('депозитный калькулятор'!$G$17="ежемесячная в зависимости от остатка",EOMONTH(F594,0)=F594,P594&gt;0),'депозитный калькулятор'!$G$18,IF(AND('депозитный калькулятор'!$G$17="ежегодная в зависимости от остатка",DAY(F594)=31,MONTH(F594)=12,P594&gt;0),'депозитный калькулятор'!$G$18,0)))))))</f>
        <v xml:space="preserve"> </v>
      </c>
      <c r="K595" s="135" t="str">
        <f>IF($F595=" "," ",IFERROR(VLOOKUP($F595,'депозитный калькулятор'!$B$26:$F$70,2,0),0))</f>
        <v xml:space="preserve"> </v>
      </c>
      <c r="L595" s="135" t="str">
        <f>IF($F595=" "," ",IFERROR(VLOOKUP($F595,'депозитный калькулятор'!$B$26:$F$70,3,0),0))</f>
        <v xml:space="preserve"> </v>
      </c>
      <c r="M595" s="135" t="str">
        <f>IF($F595=" "," ",IFERROR(VLOOKUP($F595,'депозитный калькулятор'!$B$26:$F$70,4,0),0))</f>
        <v xml:space="preserve"> </v>
      </c>
      <c r="N595" s="135" t="str">
        <f>IF($F595=" "," ",IFERROR(VLOOKUP($F595,'депозитный калькулятор'!$B$26:$F$70,5,0),0))</f>
        <v xml:space="preserve"> </v>
      </c>
      <c r="O595" s="146" t="str">
        <f>IF(F595&gt;'депозитный калькулятор'!$D$8," ",IF(F595='депозитный калькулятор'!$D$8,IF(AND($F$24='депозитный калькулятор'!$D$8,'депозитный калькулятор'!$G$13="нет"),-G595-IF(I595=" ",0,I595)-IF(AND(OR('депозитный калькулятор'!$G$7="30/365",'депозитный калькулятор'!$G$7="30/360"),'депозитный калькулятор'!$G$10="в начале срока"),I594,0)-L595+M595-N595,-G595-IF(I595=" ",0,I595)-L595+M595-N595),IF('депозитный калькулятор'!$G$13="есть",M595-N595+IF('депозитный калькулятор'!$G$14="есть",0,-L595),-IF(I595=" ",0,I595)-IF(AND(OR('депозитный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срока"),I594,0)+M595-N595+IF('депозитный калькулятор'!$G$14="есть",0,-L595))))</f>
        <v xml:space="preserve"> </v>
      </c>
      <c r="P595" s="147" t="str">
        <f>IF(F595&gt;'депозитный калькулятор'!$D$8," ",IF(EOMONTH(F594,0)=F594,0,IF(G595&gt;='депозитный калькулятор'!$G$19,P594,P594+1)))</f>
        <v xml:space="preserve"> </v>
      </c>
      <c r="Q595" s="138" t="str">
        <f>IF(F595=" "," ",IF(AND(OR('депозитный калькулятор'!$G$7="30/365",'депозитный калькулятор'!$G$7="30/360"),AND(MONTH(F595)=2,EOMONTH(F595,0)=F595)),IF(DAY(F595)=28,3,2),1)*IF(G595&gt;='депозитный калькулятор'!$G$11,IF(AND('депозитный калькулятор'!$G$7="факт/факт",MOD(YEAR(F595),4)=0),G595*'депозитный калькулятор'!$D$11/366,G595*'депозитный калькулятор'!$G$8),0))</f>
        <v xml:space="preserve"> </v>
      </c>
      <c r="R595" s="158"/>
      <c r="S595" s="62" t="str">
        <f t="shared" ca="1" si="42"/>
        <v xml:space="preserve"> </v>
      </c>
      <c r="T595" s="149" t="str">
        <f ca="1">IF(S595=" "," ",IF('депозитный калькулятор'!$G$7="30/360",DAYS360(U594,IF(DAY(U595)=31,U595-1,U595))+IF(AND(MONTH(U595)=2,U595=EOMONTH(U595,0)),30-DAY(EOMONTH(U595,0)))+T594,VLOOKUP(S595,$C$22:$F$1023,2,0)))</f>
        <v xml:space="preserve"> </v>
      </c>
      <c r="U595" s="64" t="str">
        <f t="shared" ca="1" si="40"/>
        <v xml:space="preserve"> </v>
      </c>
      <c r="V595" s="150" t="str">
        <f t="shared" ca="1" si="43"/>
        <v xml:space="preserve"> </v>
      </c>
      <c r="W595" s="62" t="str">
        <f t="shared" ca="1" si="44"/>
        <v xml:space="preserve"> </v>
      </c>
      <c r="X595" s="141" t="str">
        <f ca="1">IF(S595=" "," ",IFERROR(VLOOKUP(U595,$F$23:$N$1023,7)+VLOOKUP(U595,$F$23:$N$1023,9)+IF(AND('депозитный калькулятор'!$G$13="нет",U595&lt;&gt;'депозитный калькулятор'!$D$8),VLOOKUP(U595,$F$23:$N$1023,4),0),0)+IF(U595='депозитный калькулятор'!$D$8,VLOOKUP(U595,$F$23:$N$1023,2)+VLOOKUP(U595,$F$23:$N$1023,4),0))</f>
        <v xml:space="preserve"> </v>
      </c>
      <c r="Y595" s="142" t="str">
        <f ca="1">IF(S595=" "," ",W595/(1+'депозитный калькулятор'!$K$8)^(T595/IF('депозитный калькулятор'!$G$7="30/360",360,365)))</f>
        <v xml:space="preserve"> </v>
      </c>
      <c r="Z595" s="142" t="str">
        <f ca="1">IF(S595=" "," ",X595/(1+'депозитный калькулятор'!$K$8)^(T595/IF('депозитный калькулятор'!$G$7="30/360",360,365)))</f>
        <v xml:space="preserve"> </v>
      </c>
      <c r="AA595" s="151"/>
      <c r="AB595" s="151"/>
      <c r="AC595" s="155"/>
      <c r="AD595" s="155"/>
    </row>
    <row r="596" spans="1:30" s="2" customFormat="1" ht="15.5" x14ac:dyDescent="0.35">
      <c r="A596" s="41" t="str">
        <f>IF(F596=" "," ",IF(OR('депозитный калькулятор'!$G$7="30/365",'депозитный калькулятор'!$G$7="30/360"),IF(AND(MONTH(F596)=2,DAY(F596)=DAY(EOMONTH(F596,0))),30-DAY(EOMONTH(F596,0)),IF(DAY(F596)=31,1," "))," "))</f>
        <v xml:space="preserve"> </v>
      </c>
      <c r="B596" s="130" t="str">
        <f t="shared" si="41"/>
        <v xml:space="preserve"> </v>
      </c>
      <c r="C596" s="130" t="str">
        <f>IF(OR(B596=0,B596=" ")," ",SUM($B$23:B596))</f>
        <v xml:space="preserve"> </v>
      </c>
      <c r="D596" s="62" t="str">
        <f>IF(D595=" "," ",IF(OR(F595='депозитный калькулятор'!$D$8,F595=" ")," ",D595+1))</f>
        <v xml:space="preserve"> </v>
      </c>
      <c r="E596" s="130" t="str">
        <f>IF(OR(F595='депозитный калькулятор'!$D$8,F595=" ")," ",IF(EOMONTH(F595,0)=F595,1,E595+1))</f>
        <v xml:space="preserve"> </v>
      </c>
      <c r="F596" s="64" t="str">
        <f>IF(F595=" "," ",IF(F595='депозитный калькулятор'!$D$8," ",F595+1))</f>
        <v xml:space="preserve"> </v>
      </c>
      <c r="G596" s="145" t="str">
        <f xml:space="preserve"> IF(F596&gt;'депозитный калькулятор'!$D$8," ",IF('депозитный калькулятор'!$G$13="есть",IF('депозитный калькулятор'!$G$14="есть",G595+IF(I595=" ",0,I595)-J596-K596+L596+M596-N596,G595+IF(I595=" ",0,I595)-J596-K596+M596-N596),IF('депозитный калькулятор'!$G$14="есть",G595-J596-K596+L596+M596-N596,G595-J596-K596+M596-N596)))</f>
        <v xml:space="preserve"> </v>
      </c>
      <c r="H596" s="133" t="str">
        <f>IF(F596&gt;'депозитный калькулятор'!$D$8," ",IF(AND(OR('депозитный калькулятор'!$G$7="30/365",'депозитный калькулятор'!$G$7="30/360"),AND(MONTH(F596)=2,EOMONTH(F596,0)=F596)),IF(DAY(F596)=28,3*G596*'депозитный калькулятор'!$G$8,2*G596*'депозитный калькулятор'!$G$8),IF(AND(OR('депозитный калькулятор'!$G$7="30/365",'депозитный калькулятор'!$G$7="30/360"),DAY(F596)=31)," ",IF(AND('депозитный калькулятор'!$G$7="факт/факт",MOD(YEAR(F596),4)=0),G596*'депозитный калькулятор'!$D$11/366,G596*'депозитный калькулятор'!$G$8))))</f>
        <v xml:space="preserve"> </v>
      </c>
      <c r="I596" s="134" t="str">
        <f ca="1">IF(F596=" "," ",IF('депозитный калькулятор'!$G$10="ежедневное",H596,IF(AND('депозитный калькулятор'!$G$10="еженедельное",WEEKDAY(F596,2)=7),SUM(OFFSET(H596,-6,0):H596),IF(AND('депозитный калькулятор'!$G$10="еженедельное",F596='депозитный калькулятор'!$D$8),SUM($H$23:H596)-SUM($I$23:I595),IF(AND('депозитный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недели",WEEKDAY(F596,2)=7),MIN(OFFSET(H596,-6,0):H596)*(COUNTIF(OFFSET(H596,-6,0):H596,"&gt;0")+SUMIF(OFFSET(A596,-WEEKDAY(F596,2),0):A596,"=2",OFFSET(A596,-WEEKDAY(F596,2),0):A596)),IF(AND('депозитный калькулятор'!$G$10="еженедельное, на минимальную сумму зафиксированную в течение недели",F596='депозитный калькулятор'!$D$8,WEEKDAY(F596,2)&lt;&gt;7),MIN(OFFSET(H596,-WEEKDAY(F596,2),0):H596)*(COUNTIF(OFFSET(H596,-WEEKDAY(F596,2)+1,0):H596,"&gt;0")+SUM(OFFSET(A596,-WEEKDAY(F596,2),0):A596)),IF(AND('депозитный калькулятор'!$G$10="ежемесячное (в конце месяца)",F596='депозитный калькулятор'!$D$8,EOMONTH(F596,0)&lt;&gt;F596),IF('депозитный калькулятор'!$F$1=1,$H$24,SUM($H$23:H596)-SUM($I$23:I595)),IF(AND('депозитный калькулятор'!$G$10="ежемесячное (в конце месяца)",EOMONTH(F596,0)=F596),SUM($H$23:H596)-SUM($I$23:I595),IF(AND('депозитный калькулятор'!$G$10="ежемесячное (по дням открытия вклада)",F596='депозитный калькулятор'!$D$8,DAY('депозитный калькулятор'!$D$7)&lt;&gt;DAY(F596)),IF('депозитный калькулятор'!$F$1=1,$H$24,SUM($H$23:H596)-SUM($I$23:I595)),IF(AND('депозитный калькулятор'!$G$10="ежемесячное (по дням открытия вклада)",DAY('депозитный калькулятор'!$D$7)=DAY(F596)),SUM($H$23:H596)-SUM($I$23:I595),IF(AND('депозитный калькулятор'!$G$10="ежемесячное, на минимальную сумму зафиксированную в течение месяца",F596='депозитный калькулятор'!$D$8,EOMONTH(F596,0)&lt;&gt;F596),IF('депозитный калькулятор'!$F$1=1,$H$24,IF(AND(OR('депозитный калькулятор'!$G$7="30/365",'депозитный калькулятор'!$G$7="30/360"),DAY(F596)=31),0,MIN(OFFSET(H596,-E596+1,0):H596)*(E596+SUMIF(OFFSET(A596,-E596+1,0):A596,"=2",OFFSET(A596,-E596+1,0):A596)))),IF(AND('депозитный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калькулятор'!$G$7="30/360"),DAY(EOMONTH(F596,0))=31),EOMONTH(F596,0)-1=F596,EOMONTH(F596,0)=F596)),IF(IF(AND(OR('депозитный калькулятор'!$G$7="30/365",'депозитный калькулятор'!$G$7="30/360"),DAY(EOMONTH($F$23,0))=31),F596=EOMONTH($F$23,0)-1,F596=EOMONTH($F$23,0)),MIN(OFFSET(H596,-(DAY(F596)-DAY($F$23)),0):H596)*E596,MIN(OFFSET(H596,-(DAY(F596)-1),0):H596)*IF(AND(OR('депозитный калькулятор'!$G$7="30/365",'депозитный калькулятор'!$G$7="30/360"),DAY(F596)&lt;30),30,DAY(F596))),IF(AND('депозитный калькулятор'!$G$10="ежемесячное, на средний остаток в течение месяца, при условии что остаток больше чем ограничение",F596='депозитный калькулятор'!$D$8,EOMONTH(F596,0)&lt;&gt;F596),IF('депозитный калькулятор'!$F$1=1,$H$24,SUM(OFFSET(Q596,-E596+1,0):Q596)),IF(AND('депозитный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калькулятор'!$G$7="30/360"),DAY(EOMONTH(F596,0))=31),EOMONTH(F596,0)-1=F596,EOMONTH(F596,0)=F596)),IF(IF(AND(OR('депозитный калькулятор'!$G$7="30/365",'депозитный калькулятор'!$G$7="30/360"),DAY(EOMONTH($F$24,0))=31),F596=EOMONTH($F$24,0)-1,F596=EOMONTH($F$24,0)),SUM(OFFSET(Q596,-E596+1,0):Q596),SUM(OFFSET(Q596,-E596+1,0):Q596)),IF('депозитный калькулятор'!$G$10="ежеквартальное",IF(F596&gt;'депозитный калькулятор'!$D$8," ",IF(AND(EOMONTH(F596,0)=F596,OR(MONTH(F596)=3,MONTH(F596)=6,MONTH(F596)=9,MONTH(F596)=12)),IF(EDATE(F596,-3)&lt;'депозитный калькулятор'!$D$7,SUM($H$23:H596),IF(MOD(YEAR(F596),4)=0,IF(AND(EOMONTH(F596,0)=F596,OR(MONTH(F596)=3,MONTH(F596)=6)),SUM(OFFSET(H596,-90,0):H596),IF(AND(EOMONTH(F596,0)=F596,OR(MONTH(F596)=9,MONTH(F596)=12)),SUM(OFFSET(H596,-91,0):H596))),IF(AND(EOMONTH(F596,0)=F596,MONTH(F596)=3),SUM(OFFSET(H596,-89,0):H596),IF(AND(EOMONTH(F596,0)=F596,MONTH(F596)=6),SUM(OFFSET(H596,-90,0):H596),IF(AND(EOMONTH(F596,0)=F596,OR(MONTH(F596)=9,MONTH(F596)=12)),SUM(OFFSET(H596,-91,0):H596)))))),IF(F596='депозитный калькулятор'!$D$8,SUM($H$23:H596)-SUM($I$23:I595),0))),IF('депозитный калькулятор'!$G$10="ежегодное",IF(F596&gt;'депозитный калькулятор'!$D$8," ",IF(F596='депозитный калькулятор'!$D$8,SUM($H$23:H596)-SUM($I$23:I595),IF(AND(EOMONTH(F596,0)=F596,MONTH(F596)=12),IF(MOD(YEAR(F595),4)=0,IF(F596-'депозитный калькулятор'!$D$7&lt;366,SUM($H$23:H596),SUM(OFFSET(H596,-365,0):H596)),IF(F596-'депозитный калькулятор'!$D$7&lt;365,SUM($H$23:H596),SUM(OFFSET(H596,-364,0):H596))),0))),IF(AND('депозитный калькулятор'!$G$10="в конце срока",'депозитный калькулятор'!$D$8=F596),SUM($H$23:H596),0))))))))))))))))))</f>
        <v xml:space="preserve"> </v>
      </c>
      <c r="J596" s="59" t="str">
        <f>IF(F596&gt;'депозитный калькулятор'!$D$8," ",IF('депозитный калькулятор'!$G$16="нет",0,IF(AND('депозитный калькулятор'!$G$17="разовая (в конце срока)",F596='депозитный калькулятор'!$D$8),'депозитный калькулятор'!$G$18,IF(AND('депозитный калькулятор'!$G$17="ежемесячная",EOMONTH(F595,0)=F595),'депозитный калькулятор'!$G$18,IF(AND('депозитный калькулятор'!$G$17="ежегодная",DAY(F595)=31,MONTH(F595)=12),'депозитный калькулятор'!$G$18,IF(AND('депозитный калькулятор'!$G$17="ежемесячная в зависимости от остатка",EOMONTH(F595,0)=F595,P595&gt;0),'депозитный калькулятор'!$G$18,IF(AND('депозитный калькулятор'!$G$17="ежегодная в зависимости от остатка",DAY(F595)=31,MONTH(F595)=12,P595&gt;0),'депозитный калькулятор'!$G$18,0)))))))</f>
        <v xml:space="preserve"> </v>
      </c>
      <c r="K596" s="135" t="str">
        <f>IF($F596=" "," ",IFERROR(VLOOKUP($F596,'депозитный калькулятор'!$B$26:$F$70,2,0),0))</f>
        <v xml:space="preserve"> </v>
      </c>
      <c r="L596" s="135" t="str">
        <f>IF($F596=" "," ",IFERROR(VLOOKUP($F596,'депозитный калькулятор'!$B$26:$F$70,3,0),0))</f>
        <v xml:space="preserve"> </v>
      </c>
      <c r="M596" s="135" t="str">
        <f>IF($F596=" "," ",IFERROR(VLOOKUP($F596,'депозитный калькулятор'!$B$26:$F$70,4,0),0))</f>
        <v xml:space="preserve"> </v>
      </c>
      <c r="N596" s="135" t="str">
        <f>IF($F596=" "," ",IFERROR(VLOOKUP($F596,'депозитный калькулятор'!$B$26:$F$70,5,0),0))</f>
        <v xml:space="preserve"> </v>
      </c>
      <c r="O596" s="146" t="str">
        <f>IF(F596&gt;'депозитный калькулятор'!$D$8," ",IF(F596='депозитный калькулятор'!$D$8,IF(AND($F$24='депозитный калькулятор'!$D$8,'депозитный калькулятор'!$G$13="нет"),-G596-IF(I596=" ",0,I596)-IF(AND(OR('депозитный калькулятор'!$G$7="30/365",'депозитный калькулятор'!$G$7="30/360"),'депозитный калькулятор'!$G$10="в начале срока"),I595,0)-L596+M596-N596,-G596-IF(I596=" ",0,I596)-L596+M596-N596),IF('депозитный калькулятор'!$G$13="есть",M596-N596+IF('депозитный калькулятор'!$G$14="есть",0,-L596),-IF(I596=" ",0,I596)-IF(AND(OR('депозитный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срока"),I595,0)+M596-N596+IF('депозитный калькулятор'!$G$14="есть",0,-L596))))</f>
        <v xml:space="preserve"> </v>
      </c>
      <c r="P596" s="147" t="str">
        <f>IF(F596&gt;'депозитный калькулятор'!$D$8," ",IF(EOMONTH(F595,0)=F595,0,IF(G596&gt;='депозитный калькулятор'!$G$19,P595,P595+1)))</f>
        <v xml:space="preserve"> </v>
      </c>
      <c r="Q596" s="138" t="str">
        <f>IF(F596=" "," ",IF(AND(OR('депозитный калькулятор'!$G$7="30/365",'депозитный калькулятор'!$G$7="30/360"),AND(MONTH(F596)=2,EOMONTH(F596,0)=F596)),IF(DAY(F596)=28,3,2),1)*IF(G596&gt;='депозитный калькулятор'!$G$11,IF(AND('депозитный калькулятор'!$G$7="факт/факт",MOD(YEAR(F596),4)=0),G596*'депозитный калькулятор'!$D$11/366,G596*'депозитный калькулятор'!$G$8),0))</f>
        <v xml:space="preserve"> </v>
      </c>
      <c r="R596" s="158"/>
      <c r="S596" s="62" t="str">
        <f t="shared" ca="1" si="42"/>
        <v xml:space="preserve"> </v>
      </c>
      <c r="T596" s="149" t="str">
        <f ca="1">IF(S596=" "," ",IF('депозитный калькулятор'!$G$7="30/360",DAYS360(U595,IF(DAY(U596)=31,U596-1,U596))+IF(AND(MONTH(U596)=2,U596=EOMONTH(U596,0)),30-DAY(EOMONTH(U596,0)))+T595,VLOOKUP(S596,$C$22:$F$1023,2,0)))</f>
        <v xml:space="preserve"> </v>
      </c>
      <c r="U596" s="64" t="str">
        <f t="shared" ca="1" si="40"/>
        <v xml:space="preserve"> </v>
      </c>
      <c r="V596" s="150" t="str">
        <f t="shared" ca="1" si="43"/>
        <v xml:space="preserve"> </v>
      </c>
      <c r="W596" s="62" t="str">
        <f t="shared" ca="1" si="44"/>
        <v xml:space="preserve"> </v>
      </c>
      <c r="X596" s="141" t="str">
        <f ca="1">IF(S596=" "," ",IFERROR(VLOOKUP(U596,$F$23:$N$1023,7)+VLOOKUP(U596,$F$23:$N$1023,9)+IF(AND('депозитный калькулятор'!$G$13="нет",U596&lt;&gt;'депозитный калькулятор'!$D$8),VLOOKUP(U596,$F$23:$N$1023,4),0),0)+IF(U596='депозитный калькулятор'!$D$8,VLOOKUP(U596,$F$23:$N$1023,2)+VLOOKUP(U596,$F$23:$N$1023,4),0))</f>
        <v xml:space="preserve"> </v>
      </c>
      <c r="Y596" s="142" t="str">
        <f ca="1">IF(S596=" "," ",W596/(1+'депозитный калькулятор'!$K$8)^(T596/IF('депозитный калькулятор'!$G$7="30/360",360,365)))</f>
        <v xml:space="preserve"> </v>
      </c>
      <c r="Z596" s="142" t="str">
        <f ca="1">IF(S596=" "," ",X596/(1+'депозитный калькулятор'!$K$8)^(T596/IF('депозитный калькулятор'!$G$7="30/360",360,365)))</f>
        <v xml:space="preserve"> </v>
      </c>
      <c r="AA596" s="151"/>
      <c r="AB596" s="151"/>
      <c r="AC596" s="155"/>
      <c r="AD596" s="155"/>
    </row>
    <row r="597" spans="1:30" s="2" customFormat="1" ht="15.5" x14ac:dyDescent="0.35">
      <c r="A597" s="41" t="str">
        <f>IF(F597=" "," ",IF(OR('депозитный калькулятор'!$G$7="30/365",'депозитный калькулятор'!$G$7="30/360"),IF(AND(MONTH(F597)=2,DAY(F597)=DAY(EOMONTH(F597,0))),30-DAY(EOMONTH(F597,0)),IF(DAY(F597)=31,1," "))," "))</f>
        <v xml:space="preserve"> </v>
      </c>
      <c r="B597" s="130" t="str">
        <f t="shared" si="41"/>
        <v xml:space="preserve"> </v>
      </c>
      <c r="C597" s="130" t="str">
        <f>IF(OR(B597=0,B597=" ")," ",SUM($B$23:B597))</f>
        <v xml:space="preserve"> </v>
      </c>
      <c r="D597" s="62" t="str">
        <f>IF(D596=" "," ",IF(OR(F596='депозитный калькулятор'!$D$8,F596=" ")," ",D596+1))</f>
        <v xml:space="preserve"> </v>
      </c>
      <c r="E597" s="130" t="str">
        <f>IF(OR(F596='депозитный калькулятор'!$D$8,F596=" ")," ",IF(EOMONTH(F596,0)=F596,1,E596+1))</f>
        <v xml:space="preserve"> </v>
      </c>
      <c r="F597" s="64" t="str">
        <f>IF(F596=" "," ",IF(F596='депозитный калькулятор'!$D$8," ",F596+1))</f>
        <v xml:space="preserve"> </v>
      </c>
      <c r="G597" s="145" t="str">
        <f xml:space="preserve"> IF(F597&gt;'депозитный калькулятор'!$D$8," ",IF('депозитный калькулятор'!$G$13="есть",IF('депозитный калькулятор'!$G$14="есть",G596+IF(I596=" ",0,I596)-J597-K597+L597+M597-N597,G596+IF(I596=" ",0,I596)-J597-K597+M597-N597),IF('депозитный калькулятор'!$G$14="есть",G596-J597-K597+L597+M597-N597,G596-J597-K597+M597-N597)))</f>
        <v xml:space="preserve"> </v>
      </c>
      <c r="H597" s="133" t="str">
        <f>IF(F597&gt;'депозитный калькулятор'!$D$8," ",IF(AND(OR('депозитный калькулятор'!$G$7="30/365",'депозитный калькулятор'!$G$7="30/360"),AND(MONTH(F597)=2,EOMONTH(F597,0)=F597)),IF(DAY(F597)=28,3*G597*'депозитный калькулятор'!$G$8,2*G597*'депозитный калькулятор'!$G$8),IF(AND(OR('депозитный калькулятор'!$G$7="30/365",'депозитный калькулятор'!$G$7="30/360"),DAY(F597)=31)," ",IF(AND('депозитный калькулятор'!$G$7="факт/факт",MOD(YEAR(F597),4)=0),G597*'депозитный калькулятор'!$D$11/366,G597*'депозитный калькулятор'!$G$8))))</f>
        <v xml:space="preserve"> </v>
      </c>
      <c r="I597" s="134" t="str">
        <f ca="1">IF(F597=" "," ",IF('депозитный калькулятор'!$G$10="ежедневное",H597,IF(AND('депозитный калькулятор'!$G$10="еженедельное",WEEKDAY(F597,2)=7),SUM(OFFSET(H597,-6,0):H597),IF(AND('депозитный калькулятор'!$G$10="еженедельное",F597='депозитный калькулятор'!$D$8),SUM($H$23:H597)-SUM($I$23:I596),IF(AND('депозитный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недели",WEEKDAY(F597,2)=7),MIN(OFFSET(H597,-6,0):H597)*(COUNTIF(OFFSET(H597,-6,0):H597,"&gt;0")+SUMIF(OFFSET(A597,-WEEKDAY(F597,2),0):A597,"=2",OFFSET(A597,-WEEKDAY(F597,2),0):A597)),IF(AND('депозитный калькулятор'!$G$10="еженедельное, на минимальную сумму зафиксированную в течение недели",F597='депозитный калькулятор'!$D$8,WEEKDAY(F597,2)&lt;&gt;7),MIN(OFFSET(H597,-WEEKDAY(F597,2),0):H597)*(COUNTIF(OFFSET(H597,-WEEKDAY(F597,2)+1,0):H597,"&gt;0")+SUM(OFFSET(A597,-WEEKDAY(F597,2),0):A597)),IF(AND('депозитный калькулятор'!$G$10="ежемесячное (в конце месяца)",F597='депозитный калькулятор'!$D$8,EOMONTH(F597,0)&lt;&gt;F597),IF('депозитный калькулятор'!$F$1=1,$H$24,SUM($H$23:H597)-SUM($I$23:I596)),IF(AND('депозитный калькулятор'!$G$10="ежемесячное (в конце месяца)",EOMONTH(F597,0)=F597),SUM($H$23:H597)-SUM($I$23:I596),IF(AND('депозитный калькулятор'!$G$10="ежемесячное (по дням открытия вклада)",F597='депозитный калькулятор'!$D$8,DAY('депозитный калькулятор'!$D$7)&lt;&gt;DAY(F597)),IF('депозитный калькулятор'!$F$1=1,$H$24,SUM($H$23:H597)-SUM($I$23:I596)),IF(AND('депозитный калькулятор'!$G$10="ежемесячное (по дням открытия вклада)",DAY('депозитный калькулятор'!$D$7)=DAY(F597)),SUM($H$23:H597)-SUM($I$23:I596),IF(AND('депозитный калькулятор'!$G$10="ежемесячное, на минимальную сумму зафиксированную в течение месяца",F597='депозитный калькулятор'!$D$8,EOMONTH(F597,0)&lt;&gt;F597),IF('депозитный калькулятор'!$F$1=1,$H$24,IF(AND(OR('депозитный калькулятор'!$G$7="30/365",'депозитный калькулятор'!$G$7="30/360"),DAY(F597)=31),0,MIN(OFFSET(H597,-E597+1,0):H597)*(E597+SUMIF(OFFSET(A597,-E597+1,0):A597,"=2",OFFSET(A597,-E597+1,0):A597)))),IF(AND('депозитный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калькулятор'!$G$7="30/360"),DAY(EOMONTH(F597,0))=31),EOMONTH(F597,0)-1=F597,EOMONTH(F597,0)=F597)),IF(IF(AND(OR('депозитный калькулятор'!$G$7="30/365",'депозитный калькулятор'!$G$7="30/360"),DAY(EOMONTH($F$23,0))=31),F597=EOMONTH($F$23,0)-1,F597=EOMONTH($F$23,0)),MIN(OFFSET(H597,-(DAY(F597)-DAY($F$23)),0):H597)*E597,MIN(OFFSET(H597,-(DAY(F597)-1),0):H597)*IF(AND(OR('депозитный калькулятор'!$G$7="30/365",'депозитный калькулятор'!$G$7="30/360"),DAY(F597)&lt;30),30,DAY(F597))),IF(AND('депозитный калькулятор'!$G$10="ежемесячное, на средний остаток в течение месяца, при условии что остаток больше чем ограничение",F597='депозитный калькулятор'!$D$8,EOMONTH(F597,0)&lt;&gt;F597),IF('депозитный калькулятор'!$F$1=1,$H$24,SUM(OFFSET(Q597,-E597+1,0):Q597)),IF(AND('депозитный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калькулятор'!$G$7="30/360"),DAY(EOMONTH(F597,0))=31),EOMONTH(F597,0)-1=F597,EOMONTH(F597,0)=F597)),IF(IF(AND(OR('депозитный калькулятор'!$G$7="30/365",'депозитный калькулятор'!$G$7="30/360"),DAY(EOMONTH($F$24,0))=31),F597=EOMONTH($F$24,0)-1,F597=EOMONTH($F$24,0)),SUM(OFFSET(Q597,-E597+1,0):Q597),SUM(OFFSET(Q597,-E597+1,0):Q597)),IF('депозитный калькулятор'!$G$10="ежеквартальное",IF(F597&gt;'депозитный калькулятор'!$D$8," ",IF(AND(EOMONTH(F597,0)=F597,OR(MONTH(F597)=3,MONTH(F597)=6,MONTH(F597)=9,MONTH(F597)=12)),IF(EDATE(F597,-3)&lt;'депозитный калькулятор'!$D$7,SUM($H$23:H597),IF(MOD(YEAR(F597),4)=0,IF(AND(EOMONTH(F597,0)=F597,OR(MONTH(F597)=3,MONTH(F597)=6)),SUM(OFFSET(H597,-90,0):H597),IF(AND(EOMONTH(F597,0)=F597,OR(MONTH(F597)=9,MONTH(F597)=12)),SUM(OFFSET(H597,-91,0):H597))),IF(AND(EOMONTH(F597,0)=F597,MONTH(F597)=3),SUM(OFFSET(H597,-89,0):H597),IF(AND(EOMONTH(F597,0)=F597,MONTH(F597)=6),SUM(OFFSET(H597,-90,0):H597),IF(AND(EOMONTH(F597,0)=F597,OR(MONTH(F597)=9,MONTH(F597)=12)),SUM(OFFSET(H597,-91,0):H597)))))),IF(F597='депозитный калькулятор'!$D$8,SUM($H$23:H597)-SUM($I$23:I596),0))),IF('депозитный калькулятор'!$G$10="ежегодное",IF(F597&gt;'депозитный калькулятор'!$D$8," ",IF(F597='депозитный калькулятор'!$D$8,SUM($H$23:H597)-SUM($I$23:I596),IF(AND(EOMONTH(F597,0)=F597,MONTH(F597)=12),IF(MOD(YEAR(F596),4)=0,IF(F597-'депозитный калькулятор'!$D$7&lt;366,SUM($H$23:H597),SUM(OFFSET(H597,-365,0):H597)),IF(F597-'депозитный калькулятор'!$D$7&lt;365,SUM($H$23:H597),SUM(OFFSET(H597,-364,0):H597))),0))),IF(AND('депозитный калькулятор'!$G$10="в конце срока",'депозитный калькулятор'!$D$8=F597),SUM($H$23:H597),0))))))))))))))))))</f>
        <v xml:space="preserve"> </v>
      </c>
      <c r="J597" s="59" t="str">
        <f>IF(F597&gt;'депозитный калькулятор'!$D$8," ",IF('депозитный калькулятор'!$G$16="нет",0,IF(AND('депозитный калькулятор'!$G$17="разовая (в конце срока)",F597='депозитный калькулятор'!$D$8),'депозитный калькулятор'!$G$18,IF(AND('депозитный калькулятор'!$G$17="ежемесячная",EOMONTH(F596,0)=F596),'депозитный калькулятор'!$G$18,IF(AND('депозитный калькулятор'!$G$17="ежегодная",DAY(F596)=31,MONTH(F596)=12),'депозитный калькулятор'!$G$18,IF(AND('депозитный калькулятор'!$G$17="ежемесячная в зависимости от остатка",EOMONTH(F596,0)=F596,P596&gt;0),'депозитный калькулятор'!$G$18,IF(AND('депозитный калькулятор'!$G$17="ежегодная в зависимости от остатка",DAY(F596)=31,MONTH(F596)=12,P596&gt;0),'депозитный калькулятор'!$G$18,0)))))))</f>
        <v xml:space="preserve"> </v>
      </c>
      <c r="K597" s="135" t="str">
        <f>IF($F597=" "," ",IFERROR(VLOOKUP($F597,'депозитный калькулятор'!$B$26:$F$70,2,0),0))</f>
        <v xml:space="preserve"> </v>
      </c>
      <c r="L597" s="135" t="str">
        <f>IF($F597=" "," ",IFERROR(VLOOKUP($F597,'депозитный калькулятор'!$B$26:$F$70,3,0),0))</f>
        <v xml:space="preserve"> </v>
      </c>
      <c r="M597" s="135" t="str">
        <f>IF($F597=" "," ",IFERROR(VLOOKUP($F597,'депозитный калькулятор'!$B$26:$F$70,4,0),0))</f>
        <v xml:space="preserve"> </v>
      </c>
      <c r="N597" s="135" t="str">
        <f>IF($F597=" "," ",IFERROR(VLOOKUP($F597,'депозитный калькулятор'!$B$26:$F$70,5,0),0))</f>
        <v xml:space="preserve"> </v>
      </c>
      <c r="O597" s="146" t="str">
        <f>IF(F597&gt;'депозитный калькулятор'!$D$8," ",IF(F597='депозитный калькулятор'!$D$8,IF(AND($F$24='депозитный калькулятор'!$D$8,'депозитный калькулятор'!$G$13="нет"),-G597-IF(I597=" ",0,I597)-IF(AND(OR('депозитный калькулятор'!$G$7="30/365",'депозитный калькулятор'!$G$7="30/360"),'депозитный калькулятор'!$G$10="в начале срока"),I596,0)-L597+M597-N597,-G597-IF(I597=" ",0,I597)-L597+M597-N597),IF('депозитный калькулятор'!$G$13="есть",M597-N597+IF('депозитный калькулятор'!$G$14="есть",0,-L597),-IF(I597=" ",0,I597)-IF(AND(OR('депозитный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срока"),I596,0)+M597-N597+IF('депозитный калькулятор'!$G$14="есть",0,-L597))))</f>
        <v xml:space="preserve"> </v>
      </c>
      <c r="P597" s="147" t="str">
        <f>IF(F597&gt;'депозитный калькулятор'!$D$8," ",IF(EOMONTH(F596,0)=F596,0,IF(G597&gt;='депозитный калькулятор'!$G$19,P596,P596+1)))</f>
        <v xml:space="preserve"> </v>
      </c>
      <c r="Q597" s="138" t="str">
        <f>IF(F597=" "," ",IF(AND(OR('депозитный калькулятор'!$G$7="30/365",'депозитный калькулятор'!$G$7="30/360"),AND(MONTH(F597)=2,EOMONTH(F597,0)=F597)),IF(DAY(F597)=28,3,2),1)*IF(G597&gt;='депозитный калькулятор'!$G$11,IF(AND('депозитный калькулятор'!$G$7="факт/факт",MOD(YEAR(F597),4)=0),G597*'депозитный калькулятор'!$D$11/366,G597*'депозитный калькулятор'!$G$8),0))</f>
        <v xml:space="preserve"> </v>
      </c>
      <c r="R597" s="158"/>
      <c r="S597" s="62" t="str">
        <f t="shared" ca="1" si="42"/>
        <v xml:space="preserve"> </v>
      </c>
      <c r="T597" s="149" t="str">
        <f ca="1">IF(S597=" "," ",IF('депозитный калькулятор'!$G$7="30/360",DAYS360(U596,IF(DAY(U597)=31,U597-1,U597))+IF(AND(MONTH(U597)=2,U597=EOMONTH(U597,0)),30-DAY(EOMONTH(U597,0)))+T596,VLOOKUP(S597,$C$22:$F$1023,2,0)))</f>
        <v xml:space="preserve"> </v>
      </c>
      <c r="U597" s="64" t="str">
        <f t="shared" ca="1" si="40"/>
        <v xml:space="preserve"> </v>
      </c>
      <c r="V597" s="150" t="str">
        <f t="shared" ca="1" si="43"/>
        <v xml:space="preserve"> </v>
      </c>
      <c r="W597" s="62" t="str">
        <f t="shared" ca="1" si="44"/>
        <v xml:space="preserve"> </v>
      </c>
      <c r="X597" s="141" t="str">
        <f ca="1">IF(S597=" "," ",IFERROR(VLOOKUP(U597,$F$23:$N$1023,7)+VLOOKUP(U597,$F$23:$N$1023,9)+IF(AND('депозитный калькулятор'!$G$13="нет",U597&lt;&gt;'депозитный калькулятор'!$D$8),VLOOKUP(U597,$F$23:$N$1023,4),0),0)+IF(U597='депозитный калькулятор'!$D$8,VLOOKUP(U597,$F$23:$N$1023,2)+VLOOKUP(U597,$F$23:$N$1023,4),0))</f>
        <v xml:space="preserve"> </v>
      </c>
      <c r="Y597" s="142" t="str">
        <f ca="1">IF(S597=" "," ",W597/(1+'депозитный калькулятор'!$K$8)^(T597/IF('депозитный калькулятор'!$G$7="30/360",360,365)))</f>
        <v xml:space="preserve"> </v>
      </c>
      <c r="Z597" s="142" t="str">
        <f ca="1">IF(S597=" "," ",X597/(1+'депозитный калькулятор'!$K$8)^(T597/IF('депозитный калькулятор'!$G$7="30/360",360,365)))</f>
        <v xml:space="preserve"> </v>
      </c>
      <c r="AA597" s="151"/>
      <c r="AB597" s="151"/>
      <c r="AC597" s="155"/>
      <c r="AD597" s="155"/>
    </row>
    <row r="598" spans="1:30" s="2" customFormat="1" ht="15.5" x14ac:dyDescent="0.35">
      <c r="A598" s="41" t="str">
        <f>IF(F598=" "," ",IF(OR('депозитный калькулятор'!$G$7="30/365",'депозитный калькулятор'!$G$7="30/360"),IF(AND(MONTH(F598)=2,DAY(F598)=DAY(EOMONTH(F598,0))),30-DAY(EOMONTH(F598,0)),IF(DAY(F598)=31,1," "))," "))</f>
        <v xml:space="preserve"> </v>
      </c>
      <c r="B598" s="130" t="str">
        <f t="shared" si="41"/>
        <v xml:space="preserve"> </v>
      </c>
      <c r="C598" s="130" t="str">
        <f>IF(OR(B598=0,B598=" ")," ",SUM($B$23:B598))</f>
        <v xml:space="preserve"> </v>
      </c>
      <c r="D598" s="62" t="str">
        <f>IF(D597=" "," ",IF(OR(F597='депозитный калькулятор'!$D$8,F597=" ")," ",D597+1))</f>
        <v xml:space="preserve"> </v>
      </c>
      <c r="E598" s="130" t="str">
        <f>IF(OR(F597='депозитный калькулятор'!$D$8,F597=" ")," ",IF(EOMONTH(F597,0)=F597,1,E597+1))</f>
        <v xml:space="preserve"> </v>
      </c>
      <c r="F598" s="64" t="str">
        <f>IF(F597=" "," ",IF(F597='депозитный калькулятор'!$D$8," ",F597+1))</f>
        <v xml:space="preserve"> </v>
      </c>
      <c r="G598" s="145" t="str">
        <f xml:space="preserve"> IF(F598&gt;'депозитный калькулятор'!$D$8," ",IF('депозитный калькулятор'!$G$13="есть",IF('депозитный калькулятор'!$G$14="есть",G597+IF(I597=" ",0,I597)-J598-K598+L598+M598-N598,G597+IF(I597=" ",0,I597)-J598-K598+M598-N598),IF('депозитный калькулятор'!$G$14="есть",G597-J598-K598+L598+M598-N598,G597-J598-K598+M598-N598)))</f>
        <v xml:space="preserve"> </v>
      </c>
      <c r="H598" s="133" t="str">
        <f>IF(F598&gt;'депозитный калькулятор'!$D$8," ",IF(AND(OR('депозитный калькулятор'!$G$7="30/365",'депозитный калькулятор'!$G$7="30/360"),AND(MONTH(F598)=2,EOMONTH(F598,0)=F598)),IF(DAY(F598)=28,3*G598*'депозитный калькулятор'!$G$8,2*G598*'депозитный калькулятор'!$G$8),IF(AND(OR('депозитный калькулятор'!$G$7="30/365",'депозитный калькулятор'!$G$7="30/360"),DAY(F598)=31)," ",IF(AND('депозитный калькулятор'!$G$7="факт/факт",MOD(YEAR(F598),4)=0),G598*'депозитный калькулятор'!$D$11/366,G598*'депозитный калькулятор'!$G$8))))</f>
        <v xml:space="preserve"> </v>
      </c>
      <c r="I598" s="134" t="str">
        <f ca="1">IF(F598=" "," ",IF('депозитный калькулятор'!$G$10="ежедневное",H598,IF(AND('депозитный калькулятор'!$G$10="еженедельное",WEEKDAY(F598,2)=7),SUM(OFFSET(H598,-6,0):H598),IF(AND('депозитный калькулятор'!$G$10="еженедельное",F598='депозитный калькулятор'!$D$8),SUM($H$23:H598)-SUM($I$23:I597),IF(AND('депозитный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недели",WEEKDAY(F598,2)=7),MIN(OFFSET(H598,-6,0):H598)*(COUNTIF(OFFSET(H598,-6,0):H598,"&gt;0")+SUMIF(OFFSET(A598,-WEEKDAY(F598,2),0):A598,"=2",OFFSET(A598,-WEEKDAY(F598,2),0):A598)),IF(AND('депозитный калькулятор'!$G$10="еженедельное, на минимальную сумму зафиксированную в течение недели",F598='депозитный калькулятор'!$D$8,WEEKDAY(F598,2)&lt;&gt;7),MIN(OFFSET(H598,-WEEKDAY(F598,2),0):H598)*(COUNTIF(OFFSET(H598,-WEEKDAY(F598,2)+1,0):H598,"&gt;0")+SUM(OFFSET(A598,-WEEKDAY(F598,2),0):A598)),IF(AND('депозитный калькулятор'!$G$10="ежемесячное (в конце месяца)",F598='депозитный калькулятор'!$D$8,EOMONTH(F598,0)&lt;&gt;F598),IF('депозитный калькулятор'!$F$1=1,$H$24,SUM($H$23:H598)-SUM($I$23:I597)),IF(AND('депозитный калькулятор'!$G$10="ежемесячное (в конце месяца)",EOMONTH(F598,0)=F598),SUM($H$23:H598)-SUM($I$23:I597),IF(AND('депозитный калькулятор'!$G$10="ежемесячное (по дням открытия вклада)",F598='депозитный калькулятор'!$D$8,DAY('депозитный калькулятор'!$D$7)&lt;&gt;DAY(F598)),IF('депозитный калькулятор'!$F$1=1,$H$24,SUM($H$23:H598)-SUM($I$23:I597)),IF(AND('депозитный калькулятор'!$G$10="ежемесячное (по дням открытия вклада)",DAY('депозитный калькулятор'!$D$7)=DAY(F598)),SUM($H$23:H598)-SUM($I$23:I597),IF(AND('депозитный калькулятор'!$G$10="ежемесячное, на минимальную сумму зафиксированную в течение месяца",F598='депозитный калькулятор'!$D$8,EOMONTH(F598,0)&lt;&gt;F598),IF('депозитный калькулятор'!$F$1=1,$H$24,IF(AND(OR('депозитный калькулятор'!$G$7="30/365",'депозитный калькулятор'!$G$7="30/360"),DAY(F598)=31),0,MIN(OFFSET(H598,-E598+1,0):H598)*(E598+SUMIF(OFFSET(A598,-E598+1,0):A598,"=2",OFFSET(A598,-E598+1,0):A598)))),IF(AND('депозитный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калькулятор'!$G$7="30/360"),DAY(EOMONTH(F598,0))=31),EOMONTH(F598,0)-1=F598,EOMONTH(F598,0)=F598)),IF(IF(AND(OR('депозитный калькулятор'!$G$7="30/365",'депозитный калькулятор'!$G$7="30/360"),DAY(EOMONTH($F$23,0))=31),F598=EOMONTH($F$23,0)-1,F598=EOMONTH($F$23,0)),MIN(OFFSET(H598,-(DAY(F598)-DAY($F$23)),0):H598)*E598,MIN(OFFSET(H598,-(DAY(F598)-1),0):H598)*IF(AND(OR('депозитный калькулятор'!$G$7="30/365",'депозитный калькулятор'!$G$7="30/360"),DAY(F598)&lt;30),30,DAY(F598))),IF(AND('депозитный калькулятор'!$G$10="ежемесячное, на средний остаток в течение месяца, при условии что остаток больше чем ограничение",F598='депозитный калькулятор'!$D$8,EOMONTH(F598,0)&lt;&gt;F598),IF('депозитный калькулятор'!$F$1=1,$H$24,SUM(OFFSET(Q598,-E598+1,0):Q598)),IF(AND('депозитный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калькулятор'!$G$7="30/360"),DAY(EOMONTH(F598,0))=31),EOMONTH(F598,0)-1=F598,EOMONTH(F598,0)=F598)),IF(IF(AND(OR('депозитный калькулятор'!$G$7="30/365",'депозитный калькулятор'!$G$7="30/360"),DAY(EOMONTH($F$24,0))=31),F598=EOMONTH($F$24,0)-1,F598=EOMONTH($F$24,0)),SUM(OFFSET(Q598,-E598+1,0):Q598),SUM(OFFSET(Q598,-E598+1,0):Q598)),IF('депозитный калькулятор'!$G$10="ежеквартальное",IF(F598&gt;'депозитный калькулятор'!$D$8," ",IF(AND(EOMONTH(F598,0)=F598,OR(MONTH(F598)=3,MONTH(F598)=6,MONTH(F598)=9,MONTH(F598)=12)),IF(EDATE(F598,-3)&lt;'депозитный калькулятор'!$D$7,SUM($H$23:H598),IF(MOD(YEAR(F598),4)=0,IF(AND(EOMONTH(F598,0)=F598,OR(MONTH(F598)=3,MONTH(F598)=6)),SUM(OFFSET(H598,-90,0):H598),IF(AND(EOMONTH(F598,0)=F598,OR(MONTH(F598)=9,MONTH(F598)=12)),SUM(OFFSET(H598,-91,0):H598))),IF(AND(EOMONTH(F598,0)=F598,MONTH(F598)=3),SUM(OFFSET(H598,-89,0):H598),IF(AND(EOMONTH(F598,0)=F598,MONTH(F598)=6),SUM(OFFSET(H598,-90,0):H598),IF(AND(EOMONTH(F598,0)=F598,OR(MONTH(F598)=9,MONTH(F598)=12)),SUM(OFFSET(H598,-91,0):H598)))))),IF(F598='депозитный калькулятор'!$D$8,SUM($H$23:H598)-SUM($I$23:I597),0))),IF('депозитный калькулятор'!$G$10="ежегодное",IF(F598&gt;'депозитный калькулятор'!$D$8," ",IF(F598='депозитный калькулятор'!$D$8,SUM($H$23:H598)-SUM($I$23:I597),IF(AND(EOMONTH(F598,0)=F598,MONTH(F598)=12),IF(MOD(YEAR(F597),4)=0,IF(F598-'депозитный калькулятор'!$D$7&lt;366,SUM($H$23:H598),SUM(OFFSET(H598,-365,0):H598)),IF(F598-'депозитный калькулятор'!$D$7&lt;365,SUM($H$23:H598),SUM(OFFSET(H598,-364,0):H598))),0))),IF(AND('депозитный калькулятор'!$G$10="в конце срока",'депозитный калькулятор'!$D$8=F598),SUM($H$23:H598),0))))))))))))))))))</f>
        <v xml:space="preserve"> </v>
      </c>
      <c r="J598" s="59" t="str">
        <f>IF(F598&gt;'депозитный калькулятор'!$D$8," ",IF('депозитный калькулятор'!$G$16="нет",0,IF(AND('депозитный калькулятор'!$G$17="разовая (в конце срока)",F598='депозитный калькулятор'!$D$8),'депозитный калькулятор'!$G$18,IF(AND('депозитный калькулятор'!$G$17="ежемесячная",EOMONTH(F597,0)=F597),'депозитный калькулятор'!$G$18,IF(AND('депозитный калькулятор'!$G$17="ежегодная",DAY(F597)=31,MONTH(F597)=12),'депозитный калькулятор'!$G$18,IF(AND('депозитный калькулятор'!$G$17="ежемесячная в зависимости от остатка",EOMONTH(F597,0)=F597,P597&gt;0),'депозитный калькулятор'!$G$18,IF(AND('депозитный калькулятор'!$G$17="ежегодная в зависимости от остатка",DAY(F597)=31,MONTH(F597)=12,P597&gt;0),'депозитный калькулятор'!$G$18,0)))))))</f>
        <v xml:space="preserve"> </v>
      </c>
      <c r="K598" s="135" t="str">
        <f>IF($F598=" "," ",IFERROR(VLOOKUP($F598,'депозитный калькулятор'!$B$26:$F$70,2,0),0))</f>
        <v xml:space="preserve"> </v>
      </c>
      <c r="L598" s="135" t="str">
        <f>IF($F598=" "," ",IFERROR(VLOOKUP($F598,'депозитный калькулятор'!$B$26:$F$70,3,0),0))</f>
        <v xml:space="preserve"> </v>
      </c>
      <c r="M598" s="135" t="str">
        <f>IF($F598=" "," ",IFERROR(VLOOKUP($F598,'депозитный калькулятор'!$B$26:$F$70,4,0),0))</f>
        <v xml:space="preserve"> </v>
      </c>
      <c r="N598" s="135" t="str">
        <f>IF($F598=" "," ",IFERROR(VLOOKUP($F598,'депозитный калькулятор'!$B$26:$F$70,5,0),0))</f>
        <v xml:space="preserve"> </v>
      </c>
      <c r="O598" s="146" t="str">
        <f>IF(F598&gt;'депозитный калькулятор'!$D$8," ",IF(F598='депозитный калькулятор'!$D$8,IF(AND($F$24='депозитный калькулятор'!$D$8,'депозитный калькулятор'!$G$13="нет"),-G598-IF(I598=" ",0,I598)-IF(AND(OR('депозитный калькулятор'!$G$7="30/365",'депозитный калькулятор'!$G$7="30/360"),'депозитный калькулятор'!$G$10="в начале срока"),I597,0)-L598+M598-N598,-G598-IF(I598=" ",0,I598)-L598+M598-N598),IF('депозитный калькулятор'!$G$13="есть",M598-N598+IF('депозитный калькулятор'!$G$14="есть",0,-L598),-IF(I598=" ",0,I598)-IF(AND(OR('депозитный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срока"),I597,0)+M598-N598+IF('депозитный калькулятор'!$G$14="есть",0,-L598))))</f>
        <v xml:space="preserve"> </v>
      </c>
      <c r="P598" s="147" t="str">
        <f>IF(F598&gt;'депозитный калькулятор'!$D$8," ",IF(EOMONTH(F597,0)=F597,0,IF(G598&gt;='депозитный калькулятор'!$G$19,P597,P597+1)))</f>
        <v xml:space="preserve"> </v>
      </c>
      <c r="Q598" s="138" t="str">
        <f>IF(F598=" "," ",IF(AND(OR('депозитный калькулятор'!$G$7="30/365",'депозитный калькулятор'!$G$7="30/360"),AND(MONTH(F598)=2,EOMONTH(F598,0)=F598)),IF(DAY(F598)=28,3,2),1)*IF(G598&gt;='депозитный калькулятор'!$G$11,IF(AND('депозитный калькулятор'!$G$7="факт/факт",MOD(YEAR(F598),4)=0),G598*'депозитный калькулятор'!$D$11/366,G598*'депозитный калькулятор'!$G$8),0))</f>
        <v xml:space="preserve"> </v>
      </c>
      <c r="R598" s="158"/>
      <c r="S598" s="62" t="str">
        <f t="shared" ca="1" si="42"/>
        <v xml:space="preserve"> </v>
      </c>
      <c r="T598" s="149" t="str">
        <f ca="1">IF(S598=" "," ",IF('депозитный калькулятор'!$G$7="30/360",DAYS360(U597,IF(DAY(U598)=31,U598-1,U598))+IF(AND(MONTH(U598)=2,U598=EOMONTH(U598,0)),30-DAY(EOMONTH(U598,0)))+T597,VLOOKUP(S598,$C$22:$F$1023,2,0)))</f>
        <v xml:space="preserve"> </v>
      </c>
      <c r="U598" s="64" t="str">
        <f t="shared" ca="1" si="40"/>
        <v xml:space="preserve"> </v>
      </c>
      <c r="V598" s="150" t="str">
        <f t="shared" ca="1" si="43"/>
        <v xml:space="preserve"> </v>
      </c>
      <c r="W598" s="62" t="str">
        <f t="shared" ca="1" si="44"/>
        <v xml:space="preserve"> </v>
      </c>
      <c r="X598" s="141" t="str">
        <f ca="1">IF(S598=" "," ",IFERROR(VLOOKUP(U598,$F$23:$N$1023,7)+VLOOKUP(U598,$F$23:$N$1023,9)+IF(AND('депозитный калькулятор'!$G$13="нет",U598&lt;&gt;'депозитный калькулятор'!$D$8),VLOOKUP(U598,$F$23:$N$1023,4),0),0)+IF(U598='депозитный калькулятор'!$D$8,VLOOKUP(U598,$F$23:$N$1023,2)+VLOOKUP(U598,$F$23:$N$1023,4),0))</f>
        <v xml:space="preserve"> </v>
      </c>
      <c r="Y598" s="142" t="str">
        <f ca="1">IF(S598=" "," ",W598/(1+'депозитный калькулятор'!$K$8)^(T598/IF('депозитный калькулятор'!$G$7="30/360",360,365)))</f>
        <v xml:space="preserve"> </v>
      </c>
      <c r="Z598" s="142" t="str">
        <f ca="1">IF(S598=" "," ",X598/(1+'депозитный калькулятор'!$K$8)^(T598/IF('депозитный калькулятор'!$G$7="30/360",360,365)))</f>
        <v xml:space="preserve"> </v>
      </c>
      <c r="AA598" s="151"/>
      <c r="AB598" s="151"/>
      <c r="AC598" s="155"/>
      <c r="AD598" s="155"/>
    </row>
    <row r="599" spans="1:30" s="2" customFormat="1" ht="15.5" x14ac:dyDescent="0.35">
      <c r="A599" s="41" t="str">
        <f>IF(F599=" "," ",IF(OR('депозитный калькулятор'!$G$7="30/365",'депозитный калькулятор'!$G$7="30/360"),IF(AND(MONTH(F599)=2,DAY(F599)=DAY(EOMONTH(F599,0))),30-DAY(EOMONTH(F599,0)),IF(DAY(F599)=31,1," "))," "))</f>
        <v xml:space="preserve"> </v>
      </c>
      <c r="B599" s="130" t="str">
        <f t="shared" si="41"/>
        <v xml:space="preserve"> </v>
      </c>
      <c r="C599" s="130" t="str">
        <f>IF(OR(B599=0,B599=" ")," ",SUM($B$23:B599))</f>
        <v xml:space="preserve"> </v>
      </c>
      <c r="D599" s="62" t="str">
        <f>IF(D598=" "," ",IF(OR(F598='депозитный калькулятор'!$D$8,F598=" ")," ",D598+1))</f>
        <v xml:space="preserve"> </v>
      </c>
      <c r="E599" s="130" t="str">
        <f>IF(OR(F598='депозитный калькулятор'!$D$8,F598=" ")," ",IF(EOMONTH(F598,0)=F598,1,E598+1))</f>
        <v xml:space="preserve"> </v>
      </c>
      <c r="F599" s="64" t="str">
        <f>IF(F598=" "," ",IF(F598='депозитный калькулятор'!$D$8," ",F598+1))</f>
        <v xml:space="preserve"> </v>
      </c>
      <c r="G599" s="145" t="str">
        <f xml:space="preserve"> IF(F599&gt;'депозитный калькулятор'!$D$8," ",IF('депозитный калькулятор'!$G$13="есть",IF('депозитный калькулятор'!$G$14="есть",G598+IF(I598=" ",0,I598)-J599-K599+L599+M599-N599,G598+IF(I598=" ",0,I598)-J599-K599+M599-N599),IF('депозитный калькулятор'!$G$14="есть",G598-J599-K599+L599+M599-N599,G598-J599-K599+M599-N599)))</f>
        <v xml:space="preserve"> </v>
      </c>
      <c r="H599" s="133" t="str">
        <f>IF(F599&gt;'депозитный калькулятор'!$D$8," ",IF(AND(OR('депозитный калькулятор'!$G$7="30/365",'депозитный калькулятор'!$G$7="30/360"),AND(MONTH(F599)=2,EOMONTH(F599,0)=F599)),IF(DAY(F599)=28,3*G599*'депозитный калькулятор'!$G$8,2*G599*'депозитный калькулятор'!$G$8),IF(AND(OR('депозитный калькулятор'!$G$7="30/365",'депозитный калькулятор'!$G$7="30/360"),DAY(F599)=31)," ",IF(AND('депозитный калькулятор'!$G$7="факт/факт",MOD(YEAR(F599),4)=0),G599*'депозитный калькулятор'!$D$11/366,G599*'депозитный калькулятор'!$G$8))))</f>
        <v xml:space="preserve"> </v>
      </c>
      <c r="I599" s="134" t="str">
        <f ca="1">IF(F599=" "," ",IF('депозитный калькулятор'!$G$10="ежедневное",H599,IF(AND('депозитный калькулятор'!$G$10="еженедельное",WEEKDAY(F599,2)=7),SUM(OFFSET(H599,-6,0):H599),IF(AND('депозитный калькулятор'!$G$10="еженедельное",F599='депозитный калькулятор'!$D$8),SUM($H$23:H599)-SUM($I$23:I598),IF(AND('депозитный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недели",WEEKDAY(F599,2)=7),MIN(OFFSET(H599,-6,0):H599)*(COUNTIF(OFFSET(H599,-6,0):H599,"&gt;0")+SUMIF(OFFSET(A599,-WEEKDAY(F599,2),0):A599,"=2",OFFSET(A599,-WEEKDAY(F599,2),0):A599)),IF(AND('депозитный калькулятор'!$G$10="еженедельное, на минимальную сумму зафиксированную в течение недели",F599='депозитный калькулятор'!$D$8,WEEKDAY(F599,2)&lt;&gt;7),MIN(OFFSET(H599,-WEEKDAY(F599,2),0):H599)*(COUNTIF(OFFSET(H599,-WEEKDAY(F599,2)+1,0):H599,"&gt;0")+SUM(OFFSET(A599,-WEEKDAY(F599,2),0):A599)),IF(AND('депозитный калькулятор'!$G$10="ежемесячное (в конце месяца)",F599='депозитный калькулятор'!$D$8,EOMONTH(F599,0)&lt;&gt;F599),IF('депозитный калькулятор'!$F$1=1,$H$24,SUM($H$23:H599)-SUM($I$23:I598)),IF(AND('депозитный калькулятор'!$G$10="ежемесячное (в конце месяца)",EOMONTH(F599,0)=F599),SUM($H$23:H599)-SUM($I$23:I598),IF(AND('депозитный калькулятор'!$G$10="ежемесячное (по дням открытия вклада)",F599='депозитный калькулятор'!$D$8,DAY('депозитный калькулятор'!$D$7)&lt;&gt;DAY(F599)),IF('депозитный калькулятор'!$F$1=1,$H$24,SUM($H$23:H599)-SUM($I$23:I598)),IF(AND('депозитный калькулятор'!$G$10="ежемесячное (по дням открытия вклада)",DAY('депозитный калькулятор'!$D$7)=DAY(F599)),SUM($H$23:H599)-SUM($I$23:I598),IF(AND('депозитный калькулятор'!$G$10="ежемесячное, на минимальную сумму зафиксированную в течение месяца",F599='депозитный калькулятор'!$D$8,EOMONTH(F599,0)&lt;&gt;F599),IF('депозитный калькулятор'!$F$1=1,$H$24,IF(AND(OR('депозитный калькулятор'!$G$7="30/365",'депозитный калькулятор'!$G$7="30/360"),DAY(F599)=31),0,MIN(OFFSET(H599,-E599+1,0):H599)*(E599+SUMIF(OFFSET(A599,-E599+1,0):A599,"=2",OFFSET(A599,-E599+1,0):A599)))),IF(AND('депозитный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калькулятор'!$G$7="30/360"),DAY(EOMONTH(F599,0))=31),EOMONTH(F599,0)-1=F599,EOMONTH(F599,0)=F599)),IF(IF(AND(OR('депозитный калькулятор'!$G$7="30/365",'депозитный калькулятор'!$G$7="30/360"),DAY(EOMONTH($F$23,0))=31),F599=EOMONTH($F$23,0)-1,F599=EOMONTH($F$23,0)),MIN(OFFSET(H599,-(DAY(F599)-DAY($F$23)),0):H599)*E599,MIN(OFFSET(H599,-(DAY(F599)-1),0):H599)*IF(AND(OR('депозитный калькулятор'!$G$7="30/365",'депозитный калькулятор'!$G$7="30/360"),DAY(F599)&lt;30),30,DAY(F599))),IF(AND('депозитный калькулятор'!$G$10="ежемесячное, на средний остаток в течение месяца, при условии что остаток больше чем ограничение",F599='депозитный калькулятор'!$D$8,EOMONTH(F599,0)&lt;&gt;F599),IF('депозитный калькулятор'!$F$1=1,$H$24,SUM(OFFSET(Q599,-E599+1,0):Q599)),IF(AND('депозитный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калькулятор'!$G$7="30/360"),DAY(EOMONTH(F599,0))=31),EOMONTH(F599,0)-1=F599,EOMONTH(F599,0)=F599)),IF(IF(AND(OR('депозитный калькулятор'!$G$7="30/365",'депозитный калькулятор'!$G$7="30/360"),DAY(EOMONTH($F$24,0))=31),F599=EOMONTH($F$24,0)-1,F599=EOMONTH($F$24,0)),SUM(OFFSET(Q599,-E599+1,0):Q599),SUM(OFFSET(Q599,-E599+1,0):Q599)),IF('депозитный калькулятор'!$G$10="ежеквартальное",IF(F599&gt;'депозитный калькулятор'!$D$8," ",IF(AND(EOMONTH(F599,0)=F599,OR(MONTH(F599)=3,MONTH(F599)=6,MONTH(F599)=9,MONTH(F599)=12)),IF(EDATE(F599,-3)&lt;'депозитный калькулятор'!$D$7,SUM($H$23:H599),IF(MOD(YEAR(F599),4)=0,IF(AND(EOMONTH(F599,0)=F599,OR(MONTH(F599)=3,MONTH(F599)=6)),SUM(OFFSET(H599,-90,0):H599),IF(AND(EOMONTH(F599,0)=F599,OR(MONTH(F599)=9,MONTH(F599)=12)),SUM(OFFSET(H599,-91,0):H599))),IF(AND(EOMONTH(F599,0)=F599,MONTH(F599)=3),SUM(OFFSET(H599,-89,0):H599),IF(AND(EOMONTH(F599,0)=F599,MONTH(F599)=6),SUM(OFFSET(H599,-90,0):H599),IF(AND(EOMONTH(F599,0)=F599,OR(MONTH(F599)=9,MONTH(F599)=12)),SUM(OFFSET(H599,-91,0):H599)))))),IF(F599='депозитный калькулятор'!$D$8,SUM($H$23:H599)-SUM($I$23:I598),0))),IF('депозитный калькулятор'!$G$10="ежегодное",IF(F599&gt;'депозитный калькулятор'!$D$8," ",IF(F599='депозитный калькулятор'!$D$8,SUM($H$23:H599)-SUM($I$23:I598),IF(AND(EOMONTH(F599,0)=F599,MONTH(F599)=12),IF(MOD(YEAR(F598),4)=0,IF(F599-'депозитный калькулятор'!$D$7&lt;366,SUM($H$23:H599),SUM(OFFSET(H599,-365,0):H599)),IF(F599-'депозитный калькулятор'!$D$7&lt;365,SUM($H$23:H599),SUM(OFFSET(H599,-364,0):H599))),0))),IF(AND('депозитный калькулятор'!$G$10="в конце срока",'депозитный калькулятор'!$D$8=F599),SUM($H$23:H599),0))))))))))))))))))</f>
        <v xml:space="preserve"> </v>
      </c>
      <c r="J599" s="59" t="str">
        <f>IF(F599&gt;'депозитный калькулятор'!$D$8," ",IF('депозитный калькулятор'!$G$16="нет",0,IF(AND('депозитный калькулятор'!$G$17="разовая (в конце срока)",F599='депозитный калькулятор'!$D$8),'депозитный калькулятор'!$G$18,IF(AND('депозитный калькулятор'!$G$17="ежемесячная",EOMONTH(F598,0)=F598),'депозитный калькулятор'!$G$18,IF(AND('депозитный калькулятор'!$G$17="ежегодная",DAY(F598)=31,MONTH(F598)=12),'депозитный калькулятор'!$G$18,IF(AND('депозитный калькулятор'!$G$17="ежемесячная в зависимости от остатка",EOMONTH(F598,0)=F598,P598&gt;0),'депозитный калькулятор'!$G$18,IF(AND('депозитный калькулятор'!$G$17="ежегодная в зависимости от остатка",DAY(F598)=31,MONTH(F598)=12,P598&gt;0),'депозитный калькулятор'!$G$18,0)))))))</f>
        <v xml:space="preserve"> </v>
      </c>
      <c r="K599" s="135" t="str">
        <f>IF($F599=" "," ",IFERROR(VLOOKUP($F599,'депозитный калькулятор'!$B$26:$F$70,2,0),0))</f>
        <v xml:space="preserve"> </v>
      </c>
      <c r="L599" s="135" t="str">
        <f>IF($F599=" "," ",IFERROR(VLOOKUP($F599,'депозитный калькулятор'!$B$26:$F$70,3,0),0))</f>
        <v xml:space="preserve"> </v>
      </c>
      <c r="M599" s="135" t="str">
        <f>IF($F599=" "," ",IFERROR(VLOOKUP($F599,'депозитный калькулятор'!$B$26:$F$70,4,0),0))</f>
        <v xml:space="preserve"> </v>
      </c>
      <c r="N599" s="135" t="str">
        <f>IF($F599=" "," ",IFERROR(VLOOKUP($F599,'депозитный калькулятор'!$B$26:$F$70,5,0),0))</f>
        <v xml:space="preserve"> </v>
      </c>
      <c r="O599" s="146" t="str">
        <f>IF(F599&gt;'депозитный калькулятор'!$D$8," ",IF(F599='депозитный калькулятор'!$D$8,IF(AND($F$24='депозитный калькулятор'!$D$8,'депозитный калькулятор'!$G$13="нет"),-G599-IF(I599=" ",0,I599)-IF(AND(OR('депозитный калькулятор'!$G$7="30/365",'депозитный калькулятор'!$G$7="30/360"),'депозитный калькулятор'!$G$10="в начале срока"),I598,0)-L599+M599-N599,-G599-IF(I599=" ",0,I599)-L599+M599-N599),IF('депозитный калькулятор'!$G$13="есть",M599-N599+IF('депозитный калькулятор'!$G$14="есть",0,-L599),-IF(I599=" ",0,I599)-IF(AND(OR('депозитный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срока"),I598,0)+M599-N599+IF('депозитный калькулятор'!$G$14="есть",0,-L599))))</f>
        <v xml:space="preserve"> </v>
      </c>
      <c r="P599" s="147" t="str">
        <f>IF(F599&gt;'депозитный калькулятор'!$D$8," ",IF(EOMONTH(F598,0)=F598,0,IF(G599&gt;='депозитный калькулятор'!$G$19,P598,P598+1)))</f>
        <v xml:space="preserve"> </v>
      </c>
      <c r="Q599" s="138" t="str">
        <f>IF(F599=" "," ",IF(AND(OR('депозитный калькулятор'!$G$7="30/365",'депозитный калькулятор'!$G$7="30/360"),AND(MONTH(F599)=2,EOMONTH(F599,0)=F599)),IF(DAY(F599)=28,3,2),1)*IF(G599&gt;='депозитный калькулятор'!$G$11,IF(AND('депозитный калькулятор'!$G$7="факт/факт",MOD(YEAR(F599),4)=0),G599*'депозитный калькулятор'!$D$11/366,G599*'депозитный калькулятор'!$G$8),0))</f>
        <v xml:space="preserve"> </v>
      </c>
      <c r="R599" s="158"/>
      <c r="S599" s="62" t="str">
        <f t="shared" ca="1" si="42"/>
        <v xml:space="preserve"> </v>
      </c>
      <c r="T599" s="149" t="str">
        <f ca="1">IF(S599=" "," ",IF('депозитный калькулятор'!$G$7="30/360",DAYS360(U598,IF(DAY(U599)=31,U599-1,U599))+IF(AND(MONTH(U599)=2,U599=EOMONTH(U599,0)),30-DAY(EOMONTH(U599,0)))+T598,VLOOKUP(S599,$C$22:$F$1023,2,0)))</f>
        <v xml:space="preserve"> </v>
      </c>
      <c r="U599" s="64" t="str">
        <f t="shared" ref="U599:U662" ca="1" si="45">IF(S599=" "," ",VLOOKUP(S599,$C$22:$F$1023,4,0))</f>
        <v xml:space="preserve"> </v>
      </c>
      <c r="V599" s="150" t="str">
        <f t="shared" ca="1" si="43"/>
        <v xml:space="preserve"> </v>
      </c>
      <c r="W599" s="62" t="str">
        <f t="shared" ca="1" si="44"/>
        <v xml:space="preserve"> </v>
      </c>
      <c r="X599" s="141" t="str">
        <f ca="1">IF(S599=" "," ",IFERROR(VLOOKUP(U599,$F$23:$N$1023,7)+VLOOKUP(U599,$F$23:$N$1023,9)+IF(AND('депозитный калькулятор'!$G$13="нет",U599&lt;&gt;'депозитный калькулятор'!$D$8),VLOOKUP(U599,$F$23:$N$1023,4),0),0)+IF(U599='депозитный калькулятор'!$D$8,VLOOKUP(U599,$F$23:$N$1023,2)+VLOOKUP(U599,$F$23:$N$1023,4),0))</f>
        <v xml:space="preserve"> </v>
      </c>
      <c r="Y599" s="142" t="str">
        <f ca="1">IF(S599=" "," ",W599/(1+'депозитный калькулятор'!$K$8)^(T599/IF('депозитный калькулятор'!$G$7="30/360",360,365)))</f>
        <v xml:space="preserve"> </v>
      </c>
      <c r="Z599" s="142" t="str">
        <f ca="1">IF(S599=" "," ",X599/(1+'депозитный калькулятор'!$K$8)^(T599/IF('депозитный калькулятор'!$G$7="30/360",360,365)))</f>
        <v xml:space="preserve"> </v>
      </c>
      <c r="AA599" s="151"/>
      <c r="AB599" s="151"/>
      <c r="AC599" s="155"/>
      <c r="AD599" s="155"/>
    </row>
    <row r="600" spans="1:30" s="2" customFormat="1" ht="15.5" x14ac:dyDescent="0.35">
      <c r="A600" s="41" t="str">
        <f>IF(F600=" "," ",IF(OR('депозитный калькулятор'!$G$7="30/365",'депозитный калькулятор'!$G$7="30/360"),IF(AND(MONTH(F600)=2,DAY(F600)=DAY(EOMONTH(F600,0))),30-DAY(EOMONTH(F600,0)),IF(DAY(F600)=31,1," "))," "))</f>
        <v xml:space="preserve"> </v>
      </c>
      <c r="B600" s="130" t="str">
        <f t="shared" ref="B600:B663" si="46">IF(F600=" "," ",IF(O600&lt;&gt;0,1,0))</f>
        <v xml:space="preserve"> </v>
      </c>
      <c r="C600" s="130" t="str">
        <f>IF(OR(B600=0,B600=" ")," ",SUM($B$23:B600))</f>
        <v xml:space="preserve"> </v>
      </c>
      <c r="D600" s="62" t="str">
        <f>IF(D599=" "," ",IF(OR(F599='депозитный калькулятор'!$D$8,F599=" ")," ",D599+1))</f>
        <v xml:space="preserve"> </v>
      </c>
      <c r="E600" s="130" t="str">
        <f>IF(OR(F599='депозитный калькулятор'!$D$8,F599=" ")," ",IF(EOMONTH(F599,0)=F599,1,E599+1))</f>
        <v xml:space="preserve"> </v>
      </c>
      <c r="F600" s="64" t="str">
        <f>IF(F599=" "," ",IF(F599='депозитный калькулятор'!$D$8," ",F599+1))</f>
        <v xml:space="preserve"> </v>
      </c>
      <c r="G600" s="145" t="str">
        <f xml:space="preserve"> IF(F600&gt;'депозитный калькулятор'!$D$8," ",IF('депозитный калькулятор'!$G$13="есть",IF('депозитный калькулятор'!$G$14="есть",G599+IF(I599=" ",0,I599)-J600-K600+L600+M600-N600,G599+IF(I599=" ",0,I599)-J600-K600+M600-N600),IF('депозитный калькулятор'!$G$14="есть",G599-J600-K600+L600+M600-N600,G599-J600-K600+M600-N600)))</f>
        <v xml:space="preserve"> </v>
      </c>
      <c r="H600" s="133" t="str">
        <f>IF(F600&gt;'депозитный калькулятор'!$D$8," ",IF(AND(OR('депозитный калькулятор'!$G$7="30/365",'депозитный калькулятор'!$G$7="30/360"),AND(MONTH(F600)=2,EOMONTH(F600,0)=F600)),IF(DAY(F600)=28,3*G600*'депозитный калькулятор'!$G$8,2*G600*'депозитный калькулятор'!$G$8),IF(AND(OR('депозитный калькулятор'!$G$7="30/365",'депозитный калькулятор'!$G$7="30/360"),DAY(F600)=31)," ",IF(AND('депозитный калькулятор'!$G$7="факт/факт",MOD(YEAR(F600),4)=0),G600*'депозитный калькулятор'!$D$11/366,G600*'депозитный калькулятор'!$G$8))))</f>
        <v xml:space="preserve"> </v>
      </c>
      <c r="I600" s="134" t="str">
        <f ca="1">IF(F600=" "," ",IF('депозитный калькулятор'!$G$10="ежедневное",H600,IF(AND('депозитный калькулятор'!$G$10="еженедельное",WEEKDAY(F600,2)=7),SUM(OFFSET(H600,-6,0):H600),IF(AND('депозитный калькулятор'!$G$10="еженедельное",F600='депозитный калькулятор'!$D$8),SUM($H$23:H600)-SUM($I$23:I599),IF(AND('депозитный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недели",WEEKDAY(F600,2)=7),MIN(OFFSET(H600,-6,0):H600)*(COUNTIF(OFFSET(H600,-6,0):H600,"&gt;0")+SUMIF(OFFSET(A600,-WEEKDAY(F600,2),0):A600,"=2",OFFSET(A600,-WEEKDAY(F600,2),0):A600)),IF(AND('депозитный калькулятор'!$G$10="еженедельное, на минимальную сумму зафиксированную в течение недели",F600='депозитный калькулятор'!$D$8,WEEKDAY(F600,2)&lt;&gt;7),MIN(OFFSET(H600,-WEEKDAY(F600,2),0):H600)*(COUNTIF(OFFSET(H600,-WEEKDAY(F600,2)+1,0):H600,"&gt;0")+SUM(OFFSET(A600,-WEEKDAY(F600,2),0):A600)),IF(AND('депозитный калькулятор'!$G$10="ежемесячное (в конце месяца)",F600='депозитный калькулятор'!$D$8,EOMONTH(F600,0)&lt;&gt;F600),IF('депозитный калькулятор'!$F$1=1,$H$24,SUM($H$23:H600)-SUM($I$23:I599)),IF(AND('депозитный калькулятор'!$G$10="ежемесячное (в конце месяца)",EOMONTH(F600,0)=F600),SUM($H$23:H600)-SUM($I$23:I599),IF(AND('депозитный калькулятор'!$G$10="ежемесячное (по дням открытия вклада)",F600='депозитный калькулятор'!$D$8,DAY('депозитный калькулятор'!$D$7)&lt;&gt;DAY(F600)),IF('депозитный калькулятор'!$F$1=1,$H$24,SUM($H$23:H600)-SUM($I$23:I599)),IF(AND('депозитный калькулятор'!$G$10="ежемесячное (по дням открытия вклада)",DAY('депозитный калькулятор'!$D$7)=DAY(F600)),SUM($H$23:H600)-SUM($I$23:I599),IF(AND('депозитный калькулятор'!$G$10="ежемесячное, на минимальную сумму зафиксированную в течение месяца",F600='депозитный калькулятор'!$D$8,EOMONTH(F600,0)&lt;&gt;F600),IF('депозитный калькулятор'!$F$1=1,$H$24,IF(AND(OR('депозитный калькулятор'!$G$7="30/365",'депозитный калькулятор'!$G$7="30/360"),DAY(F600)=31),0,MIN(OFFSET(H600,-E600+1,0):H600)*(E600+SUMIF(OFFSET(A600,-E600+1,0):A600,"=2",OFFSET(A600,-E600+1,0):A600)))),IF(AND('депозитный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калькулятор'!$G$7="30/360"),DAY(EOMONTH(F600,0))=31),EOMONTH(F600,0)-1=F600,EOMONTH(F600,0)=F600)),IF(IF(AND(OR('депозитный калькулятор'!$G$7="30/365",'депозитный калькулятор'!$G$7="30/360"),DAY(EOMONTH($F$23,0))=31),F600=EOMONTH($F$23,0)-1,F600=EOMONTH($F$23,0)),MIN(OFFSET(H600,-(DAY(F600)-DAY($F$23)),0):H600)*E600,MIN(OFFSET(H600,-(DAY(F600)-1),0):H600)*IF(AND(OR('депозитный калькулятор'!$G$7="30/365",'депозитный калькулятор'!$G$7="30/360"),DAY(F600)&lt;30),30,DAY(F600))),IF(AND('депозитный калькулятор'!$G$10="ежемесячное, на средний остаток в течение месяца, при условии что остаток больше чем ограничение",F600='депозитный калькулятор'!$D$8,EOMONTH(F600,0)&lt;&gt;F600),IF('депозитный калькулятор'!$F$1=1,$H$24,SUM(OFFSET(Q600,-E600+1,0):Q600)),IF(AND('депозитный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калькулятор'!$G$7="30/360"),DAY(EOMONTH(F600,0))=31),EOMONTH(F600,0)-1=F600,EOMONTH(F600,0)=F600)),IF(IF(AND(OR('депозитный калькулятор'!$G$7="30/365",'депозитный калькулятор'!$G$7="30/360"),DAY(EOMONTH($F$24,0))=31),F600=EOMONTH($F$24,0)-1,F600=EOMONTH($F$24,0)),SUM(OFFSET(Q600,-E600+1,0):Q600),SUM(OFFSET(Q600,-E600+1,0):Q600)),IF('депозитный калькулятор'!$G$10="ежеквартальное",IF(F600&gt;'депозитный калькулятор'!$D$8," ",IF(AND(EOMONTH(F600,0)=F600,OR(MONTH(F600)=3,MONTH(F600)=6,MONTH(F600)=9,MONTH(F600)=12)),IF(EDATE(F600,-3)&lt;'депозитный калькулятор'!$D$7,SUM($H$23:H600),IF(MOD(YEAR(F600),4)=0,IF(AND(EOMONTH(F600,0)=F600,OR(MONTH(F600)=3,MONTH(F600)=6)),SUM(OFFSET(H600,-90,0):H600),IF(AND(EOMONTH(F600,0)=F600,OR(MONTH(F600)=9,MONTH(F600)=12)),SUM(OFFSET(H600,-91,0):H600))),IF(AND(EOMONTH(F600,0)=F600,MONTH(F600)=3),SUM(OFFSET(H600,-89,0):H600),IF(AND(EOMONTH(F600,0)=F600,MONTH(F600)=6),SUM(OFFSET(H600,-90,0):H600),IF(AND(EOMONTH(F600,0)=F600,OR(MONTH(F600)=9,MONTH(F600)=12)),SUM(OFFSET(H600,-91,0):H600)))))),IF(F600='депозитный калькулятор'!$D$8,SUM($H$23:H600)-SUM($I$23:I599),0))),IF('депозитный калькулятор'!$G$10="ежегодное",IF(F600&gt;'депозитный калькулятор'!$D$8," ",IF(F600='депозитный калькулятор'!$D$8,SUM($H$23:H600)-SUM($I$23:I599),IF(AND(EOMONTH(F600,0)=F600,MONTH(F600)=12),IF(MOD(YEAR(F599),4)=0,IF(F600-'депозитный калькулятор'!$D$7&lt;366,SUM($H$23:H600),SUM(OFFSET(H600,-365,0):H600)),IF(F600-'депозитный калькулятор'!$D$7&lt;365,SUM($H$23:H600),SUM(OFFSET(H600,-364,0):H600))),0))),IF(AND('депозитный калькулятор'!$G$10="в конце срока",'депозитный калькулятор'!$D$8=F600),SUM($H$23:H600),0))))))))))))))))))</f>
        <v xml:space="preserve"> </v>
      </c>
      <c r="J600" s="59" t="str">
        <f>IF(F600&gt;'депозитный калькулятор'!$D$8," ",IF('депозитный калькулятор'!$G$16="нет",0,IF(AND('депозитный калькулятор'!$G$17="разовая (в конце срока)",F600='депозитный калькулятор'!$D$8),'депозитный калькулятор'!$G$18,IF(AND('депозитный калькулятор'!$G$17="ежемесячная",EOMONTH(F599,0)=F599),'депозитный калькулятор'!$G$18,IF(AND('депозитный калькулятор'!$G$17="ежегодная",DAY(F599)=31,MONTH(F599)=12),'депозитный калькулятор'!$G$18,IF(AND('депозитный калькулятор'!$G$17="ежемесячная в зависимости от остатка",EOMONTH(F599,0)=F599,P599&gt;0),'депозитный калькулятор'!$G$18,IF(AND('депозитный калькулятор'!$G$17="ежегодная в зависимости от остатка",DAY(F599)=31,MONTH(F599)=12,P599&gt;0),'депозитный калькулятор'!$G$18,0)))))))</f>
        <v xml:space="preserve"> </v>
      </c>
      <c r="K600" s="135" t="str">
        <f>IF($F600=" "," ",IFERROR(VLOOKUP($F600,'депозитный калькулятор'!$B$26:$F$70,2,0),0))</f>
        <v xml:space="preserve"> </v>
      </c>
      <c r="L600" s="135" t="str">
        <f>IF($F600=" "," ",IFERROR(VLOOKUP($F600,'депозитный калькулятор'!$B$26:$F$70,3,0),0))</f>
        <v xml:space="preserve"> </v>
      </c>
      <c r="M600" s="135" t="str">
        <f>IF($F600=" "," ",IFERROR(VLOOKUP($F600,'депозитный калькулятор'!$B$26:$F$70,4,0),0))</f>
        <v xml:space="preserve"> </v>
      </c>
      <c r="N600" s="135" t="str">
        <f>IF($F600=" "," ",IFERROR(VLOOKUP($F600,'депозитный калькулятор'!$B$26:$F$70,5,0),0))</f>
        <v xml:space="preserve"> </v>
      </c>
      <c r="O600" s="146" t="str">
        <f>IF(F600&gt;'депозитный калькулятор'!$D$8," ",IF(F600='депозитный калькулятор'!$D$8,IF(AND($F$24='депозитный калькулятор'!$D$8,'депозитный калькулятор'!$G$13="нет"),-G600-IF(I600=" ",0,I600)-IF(AND(OR('депозитный калькулятор'!$G$7="30/365",'депозитный калькулятор'!$G$7="30/360"),'депозитный калькулятор'!$G$10="в начале срока"),I599,0)-L600+M600-N600,-G600-IF(I600=" ",0,I600)-L600+M600-N600),IF('депозитный калькулятор'!$G$13="есть",M600-N600+IF('депозитный калькулятор'!$G$14="есть",0,-L600),-IF(I600=" ",0,I600)-IF(AND(OR('депозитный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срока"),I599,0)+M600-N600+IF('депозитный калькулятор'!$G$14="есть",0,-L600))))</f>
        <v xml:space="preserve"> </v>
      </c>
      <c r="P600" s="147" t="str">
        <f>IF(F600&gt;'депозитный калькулятор'!$D$8," ",IF(EOMONTH(F599,0)=F599,0,IF(G600&gt;='депозитный калькулятор'!$G$19,P599,P599+1)))</f>
        <v xml:space="preserve"> </v>
      </c>
      <c r="Q600" s="138" t="str">
        <f>IF(F600=" "," ",IF(AND(OR('депозитный калькулятор'!$G$7="30/365",'депозитный калькулятор'!$G$7="30/360"),AND(MONTH(F600)=2,EOMONTH(F600,0)=F600)),IF(DAY(F600)=28,3,2),1)*IF(G600&gt;='депозитный калькулятор'!$G$11,IF(AND('депозитный калькулятор'!$G$7="факт/факт",MOD(YEAR(F600),4)=0),G600*'депозитный калькулятор'!$D$11/366,G600*'депозитный калькулятор'!$G$8),0))</f>
        <v xml:space="preserve"> </v>
      </c>
      <c r="R600" s="158"/>
      <c r="S600" s="62" t="str">
        <f t="shared" ref="S600:S663" ca="1" si="47">IF(S599&lt;COUNTIFS($B$23:$B$1023,"&gt;0"),S599+1," ")</f>
        <v xml:space="preserve"> </v>
      </c>
      <c r="T600" s="149" t="str">
        <f ca="1">IF(S600=" "," ",IF('депозитный калькулятор'!$G$7="30/360",DAYS360(U599,IF(DAY(U600)=31,U600-1,U600))+IF(AND(MONTH(U600)=2,U600=EOMONTH(U600,0)),30-DAY(EOMONTH(U600,0)))+T599,VLOOKUP(S600,$C$22:$F$1023,2,0)))</f>
        <v xml:space="preserve"> </v>
      </c>
      <c r="U600" s="64" t="str">
        <f t="shared" ca="1" si="45"/>
        <v xml:space="preserve"> </v>
      </c>
      <c r="V600" s="150" t="str">
        <f t="shared" ref="V600:V663" ca="1" si="48">VLOOKUP(U600,$F$24:$O$1023,10)</f>
        <v xml:space="preserve"> </v>
      </c>
      <c r="W600" s="62" t="str">
        <f t="shared" ref="W600:W663" ca="1" si="49">IF(S600=" "," ",VLOOKUP(U600,$F$24:$N$1023,8))</f>
        <v xml:space="preserve"> </v>
      </c>
      <c r="X600" s="141" t="str">
        <f ca="1">IF(S600=" "," ",IFERROR(VLOOKUP(U600,$F$23:$N$1023,7)+VLOOKUP(U600,$F$23:$N$1023,9)+IF(AND('депозитный калькулятор'!$G$13="нет",U600&lt;&gt;'депозитный калькулятор'!$D$8),VLOOKUP(U600,$F$23:$N$1023,4),0),0)+IF(U600='депозитный калькулятор'!$D$8,VLOOKUP(U600,$F$23:$N$1023,2)+VLOOKUP(U600,$F$23:$N$1023,4),0))</f>
        <v xml:space="preserve"> </v>
      </c>
      <c r="Y600" s="142" t="str">
        <f ca="1">IF(S600=" "," ",W600/(1+'депозитный калькулятор'!$K$8)^(T600/IF('депозитный калькулятор'!$G$7="30/360",360,365)))</f>
        <v xml:space="preserve"> </v>
      </c>
      <c r="Z600" s="142" t="str">
        <f ca="1">IF(S600=" "," ",X600/(1+'депозитный калькулятор'!$K$8)^(T600/IF('депозитный калькулятор'!$G$7="30/360",360,365)))</f>
        <v xml:space="preserve"> </v>
      </c>
      <c r="AA600" s="151"/>
      <c r="AB600" s="151"/>
      <c r="AC600" s="155"/>
      <c r="AD600" s="155"/>
    </row>
    <row r="601" spans="1:30" s="2" customFormat="1" ht="15.5" x14ac:dyDescent="0.35">
      <c r="A601" s="41" t="str">
        <f>IF(F601=" "," ",IF(OR('депозитный калькулятор'!$G$7="30/365",'депозитный калькулятор'!$G$7="30/360"),IF(AND(MONTH(F601)=2,DAY(F601)=DAY(EOMONTH(F601,0))),30-DAY(EOMONTH(F601,0)),IF(DAY(F601)=31,1," "))," "))</f>
        <v xml:space="preserve"> </v>
      </c>
      <c r="B601" s="130" t="str">
        <f t="shared" si="46"/>
        <v xml:space="preserve"> </v>
      </c>
      <c r="C601" s="130" t="str">
        <f>IF(OR(B601=0,B601=" ")," ",SUM($B$23:B601))</f>
        <v xml:space="preserve"> </v>
      </c>
      <c r="D601" s="62" t="str">
        <f>IF(D600=" "," ",IF(OR(F600='депозитный калькулятор'!$D$8,F600=" ")," ",D600+1))</f>
        <v xml:space="preserve"> </v>
      </c>
      <c r="E601" s="130" t="str">
        <f>IF(OR(F600='депозитный калькулятор'!$D$8,F600=" ")," ",IF(EOMONTH(F600,0)=F600,1,E600+1))</f>
        <v xml:space="preserve"> </v>
      </c>
      <c r="F601" s="64" t="str">
        <f>IF(F600=" "," ",IF(F600='депозитный калькулятор'!$D$8," ",F600+1))</f>
        <v xml:space="preserve"> </v>
      </c>
      <c r="G601" s="145" t="str">
        <f xml:space="preserve"> IF(F601&gt;'депозитный калькулятор'!$D$8," ",IF('депозитный калькулятор'!$G$13="есть",IF('депозитный калькулятор'!$G$14="есть",G600+IF(I600=" ",0,I600)-J601-K601+L601+M601-N601,G600+IF(I600=" ",0,I600)-J601-K601+M601-N601),IF('депозитный калькулятор'!$G$14="есть",G600-J601-K601+L601+M601-N601,G600-J601-K601+M601-N601)))</f>
        <v xml:space="preserve"> </v>
      </c>
      <c r="H601" s="133" t="str">
        <f>IF(F601&gt;'депозитный калькулятор'!$D$8," ",IF(AND(OR('депозитный калькулятор'!$G$7="30/365",'депозитный калькулятор'!$G$7="30/360"),AND(MONTH(F601)=2,EOMONTH(F601,0)=F601)),IF(DAY(F601)=28,3*G601*'депозитный калькулятор'!$G$8,2*G601*'депозитный калькулятор'!$G$8),IF(AND(OR('депозитный калькулятор'!$G$7="30/365",'депозитный калькулятор'!$G$7="30/360"),DAY(F601)=31)," ",IF(AND('депозитный калькулятор'!$G$7="факт/факт",MOD(YEAR(F601),4)=0),G601*'депозитный калькулятор'!$D$11/366,G601*'депозитный калькулятор'!$G$8))))</f>
        <v xml:space="preserve"> </v>
      </c>
      <c r="I601" s="134" t="str">
        <f ca="1">IF(F601=" "," ",IF('депозитный калькулятор'!$G$10="ежедневное",H601,IF(AND('депозитный калькулятор'!$G$10="еженедельное",WEEKDAY(F601,2)=7),SUM(OFFSET(H601,-6,0):H601),IF(AND('депозитный калькулятор'!$G$10="еженедельное",F601='депозитный калькулятор'!$D$8),SUM($H$23:H601)-SUM($I$23:I600),IF(AND('депозитный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недели",WEEKDAY(F601,2)=7),MIN(OFFSET(H601,-6,0):H601)*(COUNTIF(OFFSET(H601,-6,0):H601,"&gt;0")+SUMIF(OFFSET(A601,-WEEKDAY(F601,2),0):A601,"=2",OFFSET(A601,-WEEKDAY(F601,2),0):A601)),IF(AND('депозитный калькулятор'!$G$10="еженедельное, на минимальную сумму зафиксированную в течение недели",F601='депозитный калькулятор'!$D$8,WEEKDAY(F601,2)&lt;&gt;7),MIN(OFFSET(H601,-WEEKDAY(F601,2),0):H601)*(COUNTIF(OFFSET(H601,-WEEKDAY(F601,2)+1,0):H601,"&gt;0")+SUM(OFFSET(A601,-WEEKDAY(F601,2),0):A601)),IF(AND('депозитный калькулятор'!$G$10="ежемесячное (в конце месяца)",F601='депозитный калькулятор'!$D$8,EOMONTH(F601,0)&lt;&gt;F601),IF('депозитный калькулятор'!$F$1=1,$H$24,SUM($H$23:H601)-SUM($I$23:I600)),IF(AND('депозитный калькулятор'!$G$10="ежемесячное (в конце месяца)",EOMONTH(F601,0)=F601),SUM($H$23:H601)-SUM($I$23:I600),IF(AND('депозитный калькулятор'!$G$10="ежемесячное (по дням открытия вклада)",F601='депозитный калькулятор'!$D$8,DAY('депозитный калькулятор'!$D$7)&lt;&gt;DAY(F601)),IF('депозитный калькулятор'!$F$1=1,$H$24,SUM($H$23:H601)-SUM($I$23:I600)),IF(AND('депозитный калькулятор'!$G$10="ежемесячное (по дням открытия вклада)",DAY('депозитный калькулятор'!$D$7)=DAY(F601)),SUM($H$23:H601)-SUM($I$23:I600),IF(AND('депозитный калькулятор'!$G$10="ежемесячное, на минимальную сумму зафиксированную в течение месяца",F601='депозитный калькулятор'!$D$8,EOMONTH(F601,0)&lt;&gt;F601),IF('депозитный калькулятор'!$F$1=1,$H$24,IF(AND(OR('депозитный калькулятор'!$G$7="30/365",'депозитный калькулятор'!$G$7="30/360"),DAY(F601)=31),0,MIN(OFFSET(H601,-E601+1,0):H601)*(E601+SUMIF(OFFSET(A601,-E601+1,0):A601,"=2",OFFSET(A601,-E601+1,0):A601)))),IF(AND('депозитный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калькулятор'!$G$7="30/360"),DAY(EOMONTH(F601,0))=31),EOMONTH(F601,0)-1=F601,EOMONTH(F601,0)=F601)),IF(IF(AND(OR('депозитный калькулятор'!$G$7="30/365",'депозитный калькулятор'!$G$7="30/360"),DAY(EOMONTH($F$23,0))=31),F601=EOMONTH($F$23,0)-1,F601=EOMONTH($F$23,0)),MIN(OFFSET(H601,-(DAY(F601)-DAY($F$23)),0):H601)*E601,MIN(OFFSET(H601,-(DAY(F601)-1),0):H601)*IF(AND(OR('депозитный калькулятор'!$G$7="30/365",'депозитный калькулятор'!$G$7="30/360"),DAY(F601)&lt;30),30,DAY(F601))),IF(AND('депозитный калькулятор'!$G$10="ежемесячное, на средний остаток в течение месяца, при условии что остаток больше чем ограничение",F601='депозитный калькулятор'!$D$8,EOMONTH(F601,0)&lt;&gt;F601),IF('депозитный калькулятор'!$F$1=1,$H$24,SUM(OFFSET(Q601,-E601+1,0):Q601)),IF(AND('депозитный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калькулятор'!$G$7="30/360"),DAY(EOMONTH(F601,0))=31),EOMONTH(F601,0)-1=F601,EOMONTH(F601,0)=F601)),IF(IF(AND(OR('депозитный калькулятор'!$G$7="30/365",'депозитный калькулятор'!$G$7="30/360"),DAY(EOMONTH($F$24,0))=31),F601=EOMONTH($F$24,0)-1,F601=EOMONTH($F$24,0)),SUM(OFFSET(Q601,-E601+1,0):Q601),SUM(OFFSET(Q601,-E601+1,0):Q601)),IF('депозитный калькулятор'!$G$10="ежеквартальное",IF(F601&gt;'депозитный калькулятор'!$D$8," ",IF(AND(EOMONTH(F601,0)=F601,OR(MONTH(F601)=3,MONTH(F601)=6,MONTH(F601)=9,MONTH(F601)=12)),IF(EDATE(F601,-3)&lt;'депозитный калькулятор'!$D$7,SUM($H$23:H601),IF(MOD(YEAR(F601),4)=0,IF(AND(EOMONTH(F601,0)=F601,OR(MONTH(F601)=3,MONTH(F601)=6)),SUM(OFFSET(H601,-90,0):H601),IF(AND(EOMONTH(F601,0)=F601,OR(MONTH(F601)=9,MONTH(F601)=12)),SUM(OFFSET(H601,-91,0):H601))),IF(AND(EOMONTH(F601,0)=F601,MONTH(F601)=3),SUM(OFFSET(H601,-89,0):H601),IF(AND(EOMONTH(F601,0)=F601,MONTH(F601)=6),SUM(OFFSET(H601,-90,0):H601),IF(AND(EOMONTH(F601,0)=F601,OR(MONTH(F601)=9,MONTH(F601)=12)),SUM(OFFSET(H601,-91,0):H601)))))),IF(F601='депозитный калькулятор'!$D$8,SUM($H$23:H601)-SUM($I$23:I600),0))),IF('депозитный калькулятор'!$G$10="ежегодное",IF(F601&gt;'депозитный калькулятор'!$D$8," ",IF(F601='депозитный калькулятор'!$D$8,SUM($H$23:H601)-SUM($I$23:I600),IF(AND(EOMONTH(F601,0)=F601,MONTH(F601)=12),IF(MOD(YEAR(F600),4)=0,IF(F601-'депозитный калькулятор'!$D$7&lt;366,SUM($H$23:H601),SUM(OFFSET(H601,-365,0):H601)),IF(F601-'депозитный калькулятор'!$D$7&lt;365,SUM($H$23:H601),SUM(OFFSET(H601,-364,0):H601))),0))),IF(AND('депозитный калькулятор'!$G$10="в конце срока",'депозитный калькулятор'!$D$8=F601),SUM($H$23:H601),0))))))))))))))))))</f>
        <v xml:space="preserve"> </v>
      </c>
      <c r="J601" s="59" t="str">
        <f>IF(F601&gt;'депозитный калькулятор'!$D$8," ",IF('депозитный калькулятор'!$G$16="нет",0,IF(AND('депозитный калькулятор'!$G$17="разовая (в конце срока)",F601='депозитный калькулятор'!$D$8),'депозитный калькулятор'!$G$18,IF(AND('депозитный калькулятор'!$G$17="ежемесячная",EOMONTH(F600,0)=F600),'депозитный калькулятор'!$G$18,IF(AND('депозитный калькулятор'!$G$17="ежегодная",DAY(F600)=31,MONTH(F600)=12),'депозитный калькулятор'!$G$18,IF(AND('депозитный калькулятор'!$G$17="ежемесячная в зависимости от остатка",EOMONTH(F600,0)=F600,P600&gt;0),'депозитный калькулятор'!$G$18,IF(AND('депозитный калькулятор'!$G$17="ежегодная в зависимости от остатка",DAY(F600)=31,MONTH(F600)=12,P600&gt;0),'депозитный калькулятор'!$G$18,0)))))))</f>
        <v xml:space="preserve"> </v>
      </c>
      <c r="K601" s="135" t="str">
        <f>IF($F601=" "," ",IFERROR(VLOOKUP($F601,'депозитный калькулятор'!$B$26:$F$70,2,0),0))</f>
        <v xml:space="preserve"> </v>
      </c>
      <c r="L601" s="135" t="str">
        <f>IF($F601=" "," ",IFERROR(VLOOKUP($F601,'депозитный калькулятор'!$B$26:$F$70,3,0),0))</f>
        <v xml:space="preserve"> </v>
      </c>
      <c r="M601" s="135" t="str">
        <f>IF($F601=" "," ",IFERROR(VLOOKUP($F601,'депозитный калькулятор'!$B$26:$F$70,4,0),0))</f>
        <v xml:space="preserve"> </v>
      </c>
      <c r="N601" s="135" t="str">
        <f>IF($F601=" "," ",IFERROR(VLOOKUP($F601,'депозитный калькулятор'!$B$26:$F$70,5,0),0))</f>
        <v xml:space="preserve"> </v>
      </c>
      <c r="O601" s="146" t="str">
        <f>IF(F601&gt;'депозитный калькулятор'!$D$8," ",IF(F601='депозитный калькулятор'!$D$8,IF(AND($F$24='депозитный калькулятор'!$D$8,'депозитный калькулятор'!$G$13="нет"),-G601-IF(I601=" ",0,I601)-IF(AND(OR('депозитный калькулятор'!$G$7="30/365",'депозитный калькулятор'!$G$7="30/360"),'депозитный калькулятор'!$G$10="в начале срока"),I600,0)-L601+M601-N601,-G601-IF(I601=" ",0,I601)-L601+M601-N601),IF('депозитный калькулятор'!$G$13="есть",M601-N601+IF('депозитный калькулятор'!$G$14="есть",0,-L601),-IF(I601=" ",0,I601)-IF(AND(OR('депозитный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срока"),I600,0)+M601-N601+IF('депозитный калькулятор'!$G$14="есть",0,-L601))))</f>
        <v xml:space="preserve"> </v>
      </c>
      <c r="P601" s="147" t="str">
        <f>IF(F601&gt;'депозитный калькулятор'!$D$8," ",IF(EOMONTH(F600,0)=F600,0,IF(G601&gt;='депозитный калькулятор'!$G$19,P600,P600+1)))</f>
        <v xml:space="preserve"> </v>
      </c>
      <c r="Q601" s="138" t="str">
        <f>IF(F601=" "," ",IF(AND(OR('депозитный калькулятор'!$G$7="30/365",'депозитный калькулятор'!$G$7="30/360"),AND(MONTH(F601)=2,EOMONTH(F601,0)=F601)),IF(DAY(F601)=28,3,2),1)*IF(G601&gt;='депозитный калькулятор'!$G$11,IF(AND('депозитный калькулятор'!$G$7="факт/факт",MOD(YEAR(F601),4)=0),G601*'депозитный калькулятор'!$D$11/366,G601*'депозитный калькулятор'!$G$8),0))</f>
        <v xml:space="preserve"> </v>
      </c>
      <c r="R601" s="158"/>
      <c r="S601" s="62" t="str">
        <f t="shared" ca="1" si="47"/>
        <v xml:space="preserve"> </v>
      </c>
      <c r="T601" s="149" t="str">
        <f ca="1">IF(S601=" "," ",IF('депозитный калькулятор'!$G$7="30/360",DAYS360(U600,IF(DAY(U601)=31,U601-1,U601))+IF(AND(MONTH(U601)=2,U601=EOMONTH(U601,0)),30-DAY(EOMONTH(U601,0)))+T600,VLOOKUP(S601,$C$22:$F$1023,2,0)))</f>
        <v xml:space="preserve"> </v>
      </c>
      <c r="U601" s="64" t="str">
        <f t="shared" ca="1" si="45"/>
        <v xml:space="preserve"> </v>
      </c>
      <c r="V601" s="150" t="str">
        <f t="shared" ca="1" si="48"/>
        <v xml:space="preserve"> </v>
      </c>
      <c r="W601" s="62" t="str">
        <f t="shared" ca="1" si="49"/>
        <v xml:space="preserve"> </v>
      </c>
      <c r="X601" s="141" t="str">
        <f ca="1">IF(S601=" "," ",IFERROR(VLOOKUP(U601,$F$23:$N$1023,7)+VLOOKUP(U601,$F$23:$N$1023,9)+IF(AND('депозитный калькулятор'!$G$13="нет",U601&lt;&gt;'депозитный калькулятор'!$D$8),VLOOKUP(U601,$F$23:$N$1023,4),0),0)+IF(U601='депозитный калькулятор'!$D$8,VLOOKUP(U601,$F$23:$N$1023,2)+VLOOKUP(U601,$F$23:$N$1023,4),0))</f>
        <v xml:space="preserve"> </v>
      </c>
      <c r="Y601" s="142" t="str">
        <f ca="1">IF(S601=" "," ",W601/(1+'депозитный калькулятор'!$K$8)^(T601/IF('депозитный калькулятор'!$G$7="30/360",360,365)))</f>
        <v xml:space="preserve"> </v>
      </c>
      <c r="Z601" s="142" t="str">
        <f ca="1">IF(S601=" "," ",X601/(1+'депозитный калькулятор'!$K$8)^(T601/IF('депозитный калькулятор'!$G$7="30/360",360,365)))</f>
        <v xml:space="preserve"> </v>
      </c>
      <c r="AA601" s="151"/>
      <c r="AB601" s="151"/>
      <c r="AC601" s="155"/>
      <c r="AD601" s="155"/>
    </row>
    <row r="602" spans="1:30" s="2" customFormat="1" ht="15.5" x14ac:dyDescent="0.35">
      <c r="A602" s="41" t="str">
        <f>IF(F602=" "," ",IF(OR('депозитный калькулятор'!$G$7="30/365",'депозитный калькулятор'!$G$7="30/360"),IF(AND(MONTH(F602)=2,DAY(F602)=DAY(EOMONTH(F602,0))),30-DAY(EOMONTH(F602,0)),IF(DAY(F602)=31,1," "))," "))</f>
        <v xml:space="preserve"> </v>
      </c>
      <c r="B602" s="130" t="str">
        <f t="shared" si="46"/>
        <v xml:space="preserve"> </v>
      </c>
      <c r="C602" s="130" t="str">
        <f>IF(OR(B602=0,B602=" ")," ",SUM($B$23:B602))</f>
        <v xml:space="preserve"> </v>
      </c>
      <c r="D602" s="62" t="str">
        <f>IF(D601=" "," ",IF(OR(F601='депозитный калькулятор'!$D$8,F601=" ")," ",D601+1))</f>
        <v xml:space="preserve"> </v>
      </c>
      <c r="E602" s="130" t="str">
        <f>IF(OR(F601='депозитный калькулятор'!$D$8,F601=" ")," ",IF(EOMONTH(F601,0)=F601,1,E601+1))</f>
        <v xml:space="preserve"> </v>
      </c>
      <c r="F602" s="64" t="str">
        <f>IF(F601=" "," ",IF(F601='депозитный калькулятор'!$D$8," ",F601+1))</f>
        <v xml:space="preserve"> </v>
      </c>
      <c r="G602" s="145" t="str">
        <f xml:space="preserve"> IF(F602&gt;'депозитный калькулятор'!$D$8," ",IF('депозитный калькулятор'!$G$13="есть",IF('депозитный калькулятор'!$G$14="есть",G601+IF(I601=" ",0,I601)-J602-K602+L602+M602-N602,G601+IF(I601=" ",0,I601)-J602-K602+M602-N602),IF('депозитный калькулятор'!$G$14="есть",G601-J602-K602+L602+M602-N602,G601-J602-K602+M602-N602)))</f>
        <v xml:space="preserve"> </v>
      </c>
      <c r="H602" s="133" t="str">
        <f>IF(F602&gt;'депозитный калькулятор'!$D$8," ",IF(AND(OR('депозитный калькулятор'!$G$7="30/365",'депозитный калькулятор'!$G$7="30/360"),AND(MONTH(F602)=2,EOMONTH(F602,0)=F602)),IF(DAY(F602)=28,3*G602*'депозитный калькулятор'!$G$8,2*G602*'депозитный калькулятор'!$G$8),IF(AND(OR('депозитный калькулятор'!$G$7="30/365",'депозитный калькулятор'!$G$7="30/360"),DAY(F602)=31)," ",IF(AND('депозитный калькулятор'!$G$7="факт/факт",MOD(YEAR(F602),4)=0),G602*'депозитный калькулятор'!$D$11/366,G602*'депозитный калькулятор'!$G$8))))</f>
        <v xml:space="preserve"> </v>
      </c>
      <c r="I602" s="134" t="str">
        <f ca="1">IF(F602=" "," ",IF('депозитный калькулятор'!$G$10="ежедневное",H602,IF(AND('депозитный калькулятор'!$G$10="еженедельное",WEEKDAY(F602,2)=7),SUM(OFFSET(H602,-6,0):H602),IF(AND('депозитный калькулятор'!$G$10="еженедельное",F602='депозитный калькулятор'!$D$8),SUM($H$23:H602)-SUM($I$23:I601),IF(AND('депозитный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недели",WEEKDAY(F602,2)=7),MIN(OFFSET(H602,-6,0):H602)*(COUNTIF(OFFSET(H602,-6,0):H602,"&gt;0")+SUMIF(OFFSET(A602,-WEEKDAY(F602,2),0):A602,"=2",OFFSET(A602,-WEEKDAY(F602,2),0):A602)),IF(AND('депозитный калькулятор'!$G$10="еженедельное, на минимальную сумму зафиксированную в течение недели",F602='депозитный калькулятор'!$D$8,WEEKDAY(F602,2)&lt;&gt;7),MIN(OFFSET(H602,-WEEKDAY(F602,2),0):H602)*(COUNTIF(OFFSET(H602,-WEEKDAY(F602,2)+1,0):H602,"&gt;0")+SUM(OFFSET(A602,-WEEKDAY(F602,2),0):A602)),IF(AND('депозитный калькулятор'!$G$10="ежемесячное (в конце месяца)",F602='депозитный калькулятор'!$D$8,EOMONTH(F602,0)&lt;&gt;F602),IF('депозитный калькулятор'!$F$1=1,$H$24,SUM($H$23:H602)-SUM($I$23:I601)),IF(AND('депозитный калькулятор'!$G$10="ежемесячное (в конце месяца)",EOMONTH(F602,0)=F602),SUM($H$23:H602)-SUM($I$23:I601),IF(AND('депозитный калькулятор'!$G$10="ежемесячное (по дням открытия вклада)",F602='депозитный калькулятор'!$D$8,DAY('депозитный калькулятор'!$D$7)&lt;&gt;DAY(F602)),IF('депозитный калькулятор'!$F$1=1,$H$24,SUM($H$23:H602)-SUM($I$23:I601)),IF(AND('депозитный калькулятор'!$G$10="ежемесячное (по дням открытия вклада)",DAY('депозитный калькулятор'!$D$7)=DAY(F602)),SUM($H$23:H602)-SUM($I$23:I601),IF(AND('депозитный калькулятор'!$G$10="ежемесячное, на минимальную сумму зафиксированную в течение месяца",F602='депозитный калькулятор'!$D$8,EOMONTH(F602,0)&lt;&gt;F602),IF('депозитный калькулятор'!$F$1=1,$H$24,IF(AND(OR('депозитный калькулятор'!$G$7="30/365",'депозитный калькулятор'!$G$7="30/360"),DAY(F602)=31),0,MIN(OFFSET(H602,-E602+1,0):H602)*(E602+SUMIF(OFFSET(A602,-E602+1,0):A602,"=2",OFFSET(A602,-E602+1,0):A602)))),IF(AND('депозитный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калькулятор'!$G$7="30/360"),DAY(EOMONTH(F602,0))=31),EOMONTH(F602,0)-1=F602,EOMONTH(F602,0)=F602)),IF(IF(AND(OR('депозитный калькулятор'!$G$7="30/365",'депозитный калькулятор'!$G$7="30/360"),DAY(EOMONTH($F$23,0))=31),F602=EOMONTH($F$23,0)-1,F602=EOMONTH($F$23,0)),MIN(OFFSET(H602,-(DAY(F602)-DAY($F$23)),0):H602)*E602,MIN(OFFSET(H602,-(DAY(F602)-1),0):H602)*IF(AND(OR('депозитный калькулятор'!$G$7="30/365",'депозитный калькулятор'!$G$7="30/360"),DAY(F602)&lt;30),30,DAY(F602))),IF(AND('депозитный калькулятор'!$G$10="ежемесячное, на средний остаток в течение месяца, при условии что остаток больше чем ограничение",F602='депозитный калькулятор'!$D$8,EOMONTH(F602,0)&lt;&gt;F602),IF('депозитный калькулятор'!$F$1=1,$H$24,SUM(OFFSET(Q602,-E602+1,0):Q602)),IF(AND('депозитный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калькулятор'!$G$7="30/360"),DAY(EOMONTH(F602,0))=31),EOMONTH(F602,0)-1=F602,EOMONTH(F602,0)=F602)),IF(IF(AND(OR('депозитный калькулятор'!$G$7="30/365",'депозитный калькулятор'!$G$7="30/360"),DAY(EOMONTH($F$24,0))=31),F602=EOMONTH($F$24,0)-1,F602=EOMONTH($F$24,0)),SUM(OFFSET(Q602,-E602+1,0):Q602),SUM(OFFSET(Q602,-E602+1,0):Q602)),IF('депозитный калькулятор'!$G$10="ежеквартальное",IF(F602&gt;'депозитный калькулятор'!$D$8," ",IF(AND(EOMONTH(F602,0)=F602,OR(MONTH(F602)=3,MONTH(F602)=6,MONTH(F602)=9,MONTH(F602)=12)),IF(EDATE(F602,-3)&lt;'депозитный калькулятор'!$D$7,SUM($H$23:H602),IF(MOD(YEAR(F602),4)=0,IF(AND(EOMONTH(F602,0)=F602,OR(MONTH(F602)=3,MONTH(F602)=6)),SUM(OFFSET(H602,-90,0):H602),IF(AND(EOMONTH(F602,0)=F602,OR(MONTH(F602)=9,MONTH(F602)=12)),SUM(OFFSET(H602,-91,0):H602))),IF(AND(EOMONTH(F602,0)=F602,MONTH(F602)=3),SUM(OFFSET(H602,-89,0):H602),IF(AND(EOMONTH(F602,0)=F602,MONTH(F602)=6),SUM(OFFSET(H602,-90,0):H602),IF(AND(EOMONTH(F602,0)=F602,OR(MONTH(F602)=9,MONTH(F602)=12)),SUM(OFFSET(H602,-91,0):H602)))))),IF(F602='депозитный калькулятор'!$D$8,SUM($H$23:H602)-SUM($I$23:I601),0))),IF('депозитный калькулятор'!$G$10="ежегодное",IF(F602&gt;'депозитный калькулятор'!$D$8," ",IF(F602='депозитный калькулятор'!$D$8,SUM($H$23:H602)-SUM($I$23:I601),IF(AND(EOMONTH(F602,0)=F602,MONTH(F602)=12),IF(MOD(YEAR(F601),4)=0,IF(F602-'депозитный калькулятор'!$D$7&lt;366,SUM($H$23:H602),SUM(OFFSET(H602,-365,0):H602)),IF(F602-'депозитный калькулятор'!$D$7&lt;365,SUM($H$23:H602),SUM(OFFSET(H602,-364,0):H602))),0))),IF(AND('депозитный калькулятор'!$G$10="в конце срока",'депозитный калькулятор'!$D$8=F602),SUM($H$23:H602),0))))))))))))))))))</f>
        <v xml:space="preserve"> </v>
      </c>
      <c r="J602" s="59" t="str">
        <f>IF(F602&gt;'депозитный калькулятор'!$D$8," ",IF('депозитный калькулятор'!$G$16="нет",0,IF(AND('депозитный калькулятор'!$G$17="разовая (в конце срока)",F602='депозитный калькулятор'!$D$8),'депозитный калькулятор'!$G$18,IF(AND('депозитный калькулятор'!$G$17="ежемесячная",EOMONTH(F601,0)=F601),'депозитный калькулятор'!$G$18,IF(AND('депозитный калькулятор'!$G$17="ежегодная",DAY(F601)=31,MONTH(F601)=12),'депозитный калькулятор'!$G$18,IF(AND('депозитный калькулятор'!$G$17="ежемесячная в зависимости от остатка",EOMONTH(F601,0)=F601,P601&gt;0),'депозитный калькулятор'!$G$18,IF(AND('депозитный калькулятор'!$G$17="ежегодная в зависимости от остатка",DAY(F601)=31,MONTH(F601)=12,P601&gt;0),'депозитный калькулятор'!$G$18,0)))))))</f>
        <v xml:space="preserve"> </v>
      </c>
      <c r="K602" s="135" t="str">
        <f>IF($F602=" "," ",IFERROR(VLOOKUP($F602,'депозитный калькулятор'!$B$26:$F$70,2,0),0))</f>
        <v xml:space="preserve"> </v>
      </c>
      <c r="L602" s="135" t="str">
        <f>IF($F602=" "," ",IFERROR(VLOOKUP($F602,'депозитный калькулятор'!$B$26:$F$70,3,0),0))</f>
        <v xml:space="preserve"> </v>
      </c>
      <c r="M602" s="135" t="str">
        <f>IF($F602=" "," ",IFERROR(VLOOKUP($F602,'депозитный калькулятор'!$B$26:$F$70,4,0),0))</f>
        <v xml:space="preserve"> </v>
      </c>
      <c r="N602" s="135" t="str">
        <f>IF($F602=" "," ",IFERROR(VLOOKUP($F602,'депозитный калькулятор'!$B$26:$F$70,5,0),0))</f>
        <v xml:space="preserve"> </v>
      </c>
      <c r="O602" s="146" t="str">
        <f>IF(F602&gt;'депозитный калькулятор'!$D$8," ",IF(F602='депозитный калькулятор'!$D$8,IF(AND($F$24='депозитный калькулятор'!$D$8,'депозитный калькулятор'!$G$13="нет"),-G602-IF(I602=" ",0,I602)-IF(AND(OR('депозитный калькулятор'!$G$7="30/365",'депозитный калькулятор'!$G$7="30/360"),'депозитный калькулятор'!$G$10="в начале срока"),I601,0)-L602+M602-N602,-G602-IF(I602=" ",0,I602)-L602+M602-N602),IF('депозитный калькулятор'!$G$13="есть",M602-N602+IF('депозитный калькулятор'!$G$14="есть",0,-L602),-IF(I602=" ",0,I602)-IF(AND(OR('депозитный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срока"),I601,0)+M602-N602+IF('депозитный калькулятор'!$G$14="есть",0,-L602))))</f>
        <v xml:space="preserve"> </v>
      </c>
      <c r="P602" s="147" t="str">
        <f>IF(F602&gt;'депозитный калькулятор'!$D$8," ",IF(EOMONTH(F601,0)=F601,0,IF(G602&gt;='депозитный калькулятор'!$G$19,P601,P601+1)))</f>
        <v xml:space="preserve"> </v>
      </c>
      <c r="Q602" s="138" t="str">
        <f>IF(F602=" "," ",IF(AND(OR('депозитный калькулятор'!$G$7="30/365",'депозитный калькулятор'!$G$7="30/360"),AND(MONTH(F602)=2,EOMONTH(F602,0)=F602)),IF(DAY(F602)=28,3,2),1)*IF(G602&gt;='депозитный калькулятор'!$G$11,IF(AND('депозитный калькулятор'!$G$7="факт/факт",MOD(YEAR(F602),4)=0),G602*'депозитный калькулятор'!$D$11/366,G602*'депозитный калькулятор'!$G$8),0))</f>
        <v xml:space="preserve"> </v>
      </c>
      <c r="R602" s="158"/>
      <c r="S602" s="62" t="str">
        <f t="shared" ca="1" si="47"/>
        <v xml:space="preserve"> </v>
      </c>
      <c r="T602" s="149" t="str">
        <f ca="1">IF(S602=" "," ",IF('депозитный калькулятор'!$G$7="30/360",DAYS360(U601,IF(DAY(U602)=31,U602-1,U602))+IF(AND(MONTH(U602)=2,U602=EOMONTH(U602,0)),30-DAY(EOMONTH(U602,0)))+T601,VLOOKUP(S602,$C$22:$F$1023,2,0)))</f>
        <v xml:space="preserve"> </v>
      </c>
      <c r="U602" s="64" t="str">
        <f t="shared" ca="1" si="45"/>
        <v xml:space="preserve"> </v>
      </c>
      <c r="V602" s="150" t="str">
        <f t="shared" ca="1" si="48"/>
        <v xml:space="preserve"> </v>
      </c>
      <c r="W602" s="62" t="str">
        <f t="shared" ca="1" si="49"/>
        <v xml:space="preserve"> </v>
      </c>
      <c r="X602" s="141" t="str">
        <f ca="1">IF(S602=" "," ",IFERROR(VLOOKUP(U602,$F$23:$N$1023,7)+VLOOKUP(U602,$F$23:$N$1023,9)+IF(AND('депозитный калькулятор'!$G$13="нет",U602&lt;&gt;'депозитный калькулятор'!$D$8),VLOOKUP(U602,$F$23:$N$1023,4),0),0)+IF(U602='депозитный калькулятор'!$D$8,VLOOKUP(U602,$F$23:$N$1023,2)+VLOOKUP(U602,$F$23:$N$1023,4),0))</f>
        <v xml:space="preserve"> </v>
      </c>
      <c r="Y602" s="142" t="str">
        <f ca="1">IF(S602=" "," ",W602/(1+'депозитный калькулятор'!$K$8)^(T602/IF('депозитный калькулятор'!$G$7="30/360",360,365)))</f>
        <v xml:space="preserve"> </v>
      </c>
      <c r="Z602" s="142" t="str">
        <f ca="1">IF(S602=" "," ",X602/(1+'депозитный калькулятор'!$K$8)^(T602/IF('депозитный калькулятор'!$G$7="30/360",360,365)))</f>
        <v xml:space="preserve"> </v>
      </c>
      <c r="AA602" s="151"/>
      <c r="AB602" s="151"/>
      <c r="AC602" s="155"/>
      <c r="AD602" s="155"/>
    </row>
    <row r="603" spans="1:30" s="2" customFormat="1" ht="15.5" x14ac:dyDescent="0.35">
      <c r="A603" s="41" t="str">
        <f>IF(F603=" "," ",IF(OR('депозитный калькулятор'!$G$7="30/365",'депозитный калькулятор'!$G$7="30/360"),IF(AND(MONTH(F603)=2,DAY(F603)=DAY(EOMONTH(F603,0))),30-DAY(EOMONTH(F603,0)),IF(DAY(F603)=31,1," "))," "))</f>
        <v xml:space="preserve"> </v>
      </c>
      <c r="B603" s="130" t="str">
        <f t="shared" si="46"/>
        <v xml:space="preserve"> </v>
      </c>
      <c r="C603" s="130" t="str">
        <f>IF(OR(B603=0,B603=" ")," ",SUM($B$23:B603))</f>
        <v xml:space="preserve"> </v>
      </c>
      <c r="D603" s="62" t="str">
        <f>IF(D602=" "," ",IF(OR(F602='депозитный калькулятор'!$D$8,F602=" ")," ",D602+1))</f>
        <v xml:space="preserve"> </v>
      </c>
      <c r="E603" s="130" t="str">
        <f>IF(OR(F602='депозитный калькулятор'!$D$8,F602=" ")," ",IF(EOMONTH(F602,0)=F602,1,E602+1))</f>
        <v xml:space="preserve"> </v>
      </c>
      <c r="F603" s="64" t="str">
        <f>IF(F602=" "," ",IF(F602='депозитный калькулятор'!$D$8," ",F602+1))</f>
        <v xml:space="preserve"> </v>
      </c>
      <c r="G603" s="145" t="str">
        <f xml:space="preserve"> IF(F603&gt;'депозитный калькулятор'!$D$8," ",IF('депозитный калькулятор'!$G$13="есть",IF('депозитный калькулятор'!$G$14="есть",G602+IF(I602=" ",0,I602)-J603-K603+L603+M603-N603,G602+IF(I602=" ",0,I602)-J603-K603+M603-N603),IF('депозитный калькулятор'!$G$14="есть",G602-J603-K603+L603+M603-N603,G602-J603-K603+M603-N603)))</f>
        <v xml:space="preserve"> </v>
      </c>
      <c r="H603" s="133" t="str">
        <f>IF(F603&gt;'депозитный калькулятор'!$D$8," ",IF(AND(OR('депозитный калькулятор'!$G$7="30/365",'депозитный калькулятор'!$G$7="30/360"),AND(MONTH(F603)=2,EOMONTH(F603,0)=F603)),IF(DAY(F603)=28,3*G603*'депозитный калькулятор'!$G$8,2*G603*'депозитный калькулятор'!$G$8),IF(AND(OR('депозитный калькулятор'!$G$7="30/365",'депозитный калькулятор'!$G$7="30/360"),DAY(F603)=31)," ",IF(AND('депозитный калькулятор'!$G$7="факт/факт",MOD(YEAR(F603),4)=0),G603*'депозитный калькулятор'!$D$11/366,G603*'депозитный калькулятор'!$G$8))))</f>
        <v xml:space="preserve"> </v>
      </c>
      <c r="I603" s="134" t="str">
        <f ca="1">IF(F603=" "," ",IF('депозитный калькулятор'!$G$10="ежедневное",H603,IF(AND('депозитный калькулятор'!$G$10="еженедельное",WEEKDAY(F603,2)=7),SUM(OFFSET(H603,-6,0):H603),IF(AND('депозитный калькулятор'!$G$10="еженедельное",F603='депозитный калькулятор'!$D$8),SUM($H$23:H603)-SUM($I$23:I602),IF(AND('депозитный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недели",WEEKDAY(F603,2)=7),MIN(OFFSET(H603,-6,0):H603)*(COUNTIF(OFFSET(H603,-6,0):H603,"&gt;0")+SUMIF(OFFSET(A603,-WEEKDAY(F603,2),0):A603,"=2",OFFSET(A603,-WEEKDAY(F603,2),0):A603)),IF(AND('депозитный калькулятор'!$G$10="еженедельное, на минимальную сумму зафиксированную в течение недели",F603='депозитный калькулятор'!$D$8,WEEKDAY(F603,2)&lt;&gt;7),MIN(OFFSET(H603,-WEEKDAY(F603,2),0):H603)*(COUNTIF(OFFSET(H603,-WEEKDAY(F603,2)+1,0):H603,"&gt;0")+SUM(OFFSET(A603,-WEEKDAY(F603,2),0):A603)),IF(AND('депозитный калькулятор'!$G$10="ежемесячное (в конце месяца)",F603='депозитный калькулятор'!$D$8,EOMONTH(F603,0)&lt;&gt;F603),IF('депозитный калькулятор'!$F$1=1,$H$24,SUM($H$23:H603)-SUM($I$23:I602)),IF(AND('депозитный калькулятор'!$G$10="ежемесячное (в конце месяца)",EOMONTH(F603,0)=F603),SUM($H$23:H603)-SUM($I$23:I602),IF(AND('депозитный калькулятор'!$G$10="ежемесячное (по дням открытия вклада)",F603='депозитный калькулятор'!$D$8,DAY('депозитный калькулятор'!$D$7)&lt;&gt;DAY(F603)),IF('депозитный калькулятор'!$F$1=1,$H$24,SUM($H$23:H603)-SUM($I$23:I602)),IF(AND('депозитный калькулятор'!$G$10="ежемесячное (по дням открытия вклада)",DAY('депозитный калькулятор'!$D$7)=DAY(F603)),SUM($H$23:H603)-SUM($I$23:I602),IF(AND('депозитный калькулятор'!$G$10="ежемесячное, на минимальную сумму зафиксированную в течение месяца",F603='депозитный калькулятор'!$D$8,EOMONTH(F603,0)&lt;&gt;F603),IF('депозитный калькулятор'!$F$1=1,$H$24,IF(AND(OR('депозитный калькулятор'!$G$7="30/365",'депозитный калькулятор'!$G$7="30/360"),DAY(F603)=31),0,MIN(OFFSET(H603,-E603+1,0):H603)*(E603+SUMIF(OFFSET(A603,-E603+1,0):A603,"=2",OFFSET(A603,-E603+1,0):A603)))),IF(AND('депозитный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калькулятор'!$G$7="30/360"),DAY(EOMONTH(F603,0))=31),EOMONTH(F603,0)-1=F603,EOMONTH(F603,0)=F603)),IF(IF(AND(OR('депозитный калькулятор'!$G$7="30/365",'депозитный калькулятор'!$G$7="30/360"),DAY(EOMONTH($F$23,0))=31),F603=EOMONTH($F$23,0)-1,F603=EOMONTH($F$23,0)),MIN(OFFSET(H603,-(DAY(F603)-DAY($F$23)),0):H603)*E603,MIN(OFFSET(H603,-(DAY(F603)-1),0):H603)*IF(AND(OR('депозитный калькулятор'!$G$7="30/365",'депозитный калькулятор'!$G$7="30/360"),DAY(F603)&lt;30),30,DAY(F603))),IF(AND('депозитный калькулятор'!$G$10="ежемесячное, на средний остаток в течение месяца, при условии что остаток больше чем ограничение",F603='депозитный калькулятор'!$D$8,EOMONTH(F603,0)&lt;&gt;F603),IF('депозитный калькулятор'!$F$1=1,$H$24,SUM(OFFSET(Q603,-E603+1,0):Q603)),IF(AND('депозитный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калькулятор'!$G$7="30/360"),DAY(EOMONTH(F603,0))=31),EOMONTH(F603,0)-1=F603,EOMONTH(F603,0)=F603)),IF(IF(AND(OR('депозитный калькулятор'!$G$7="30/365",'депозитный калькулятор'!$G$7="30/360"),DAY(EOMONTH($F$24,0))=31),F603=EOMONTH($F$24,0)-1,F603=EOMONTH($F$24,0)),SUM(OFFSET(Q603,-E603+1,0):Q603),SUM(OFFSET(Q603,-E603+1,0):Q603)),IF('депозитный калькулятор'!$G$10="ежеквартальное",IF(F603&gt;'депозитный калькулятор'!$D$8," ",IF(AND(EOMONTH(F603,0)=F603,OR(MONTH(F603)=3,MONTH(F603)=6,MONTH(F603)=9,MONTH(F603)=12)),IF(EDATE(F603,-3)&lt;'депозитный калькулятор'!$D$7,SUM($H$23:H603),IF(MOD(YEAR(F603),4)=0,IF(AND(EOMONTH(F603,0)=F603,OR(MONTH(F603)=3,MONTH(F603)=6)),SUM(OFFSET(H603,-90,0):H603),IF(AND(EOMONTH(F603,0)=F603,OR(MONTH(F603)=9,MONTH(F603)=12)),SUM(OFFSET(H603,-91,0):H603))),IF(AND(EOMONTH(F603,0)=F603,MONTH(F603)=3),SUM(OFFSET(H603,-89,0):H603),IF(AND(EOMONTH(F603,0)=F603,MONTH(F603)=6),SUM(OFFSET(H603,-90,0):H603),IF(AND(EOMONTH(F603,0)=F603,OR(MONTH(F603)=9,MONTH(F603)=12)),SUM(OFFSET(H603,-91,0):H603)))))),IF(F603='депозитный калькулятор'!$D$8,SUM($H$23:H603)-SUM($I$23:I602),0))),IF('депозитный калькулятор'!$G$10="ежегодное",IF(F603&gt;'депозитный калькулятор'!$D$8," ",IF(F603='депозитный калькулятор'!$D$8,SUM($H$23:H603)-SUM($I$23:I602),IF(AND(EOMONTH(F603,0)=F603,MONTH(F603)=12),IF(MOD(YEAR(F602),4)=0,IF(F603-'депозитный калькулятор'!$D$7&lt;366,SUM($H$23:H603),SUM(OFFSET(H603,-365,0):H603)),IF(F603-'депозитный калькулятор'!$D$7&lt;365,SUM($H$23:H603),SUM(OFFSET(H603,-364,0):H603))),0))),IF(AND('депозитный калькулятор'!$G$10="в конце срока",'депозитный калькулятор'!$D$8=F603),SUM($H$23:H603),0))))))))))))))))))</f>
        <v xml:space="preserve"> </v>
      </c>
      <c r="J603" s="59" t="str">
        <f>IF(F603&gt;'депозитный калькулятор'!$D$8," ",IF('депозитный калькулятор'!$G$16="нет",0,IF(AND('депозитный калькулятор'!$G$17="разовая (в конце срока)",F603='депозитный калькулятор'!$D$8),'депозитный калькулятор'!$G$18,IF(AND('депозитный калькулятор'!$G$17="ежемесячная",EOMONTH(F602,0)=F602),'депозитный калькулятор'!$G$18,IF(AND('депозитный калькулятор'!$G$17="ежегодная",DAY(F602)=31,MONTH(F602)=12),'депозитный калькулятор'!$G$18,IF(AND('депозитный калькулятор'!$G$17="ежемесячная в зависимости от остатка",EOMONTH(F602,0)=F602,P602&gt;0),'депозитный калькулятор'!$G$18,IF(AND('депозитный калькулятор'!$G$17="ежегодная в зависимости от остатка",DAY(F602)=31,MONTH(F602)=12,P602&gt;0),'депозитный калькулятор'!$G$18,0)))))))</f>
        <v xml:space="preserve"> </v>
      </c>
      <c r="K603" s="135" t="str">
        <f>IF($F603=" "," ",IFERROR(VLOOKUP($F603,'депозитный калькулятор'!$B$26:$F$70,2,0),0))</f>
        <v xml:space="preserve"> </v>
      </c>
      <c r="L603" s="135" t="str">
        <f>IF($F603=" "," ",IFERROR(VLOOKUP($F603,'депозитный калькулятор'!$B$26:$F$70,3,0),0))</f>
        <v xml:space="preserve"> </v>
      </c>
      <c r="M603" s="135" t="str">
        <f>IF($F603=" "," ",IFERROR(VLOOKUP($F603,'депозитный калькулятор'!$B$26:$F$70,4,0),0))</f>
        <v xml:space="preserve"> </v>
      </c>
      <c r="N603" s="135" t="str">
        <f>IF($F603=" "," ",IFERROR(VLOOKUP($F603,'депозитный калькулятор'!$B$26:$F$70,5,0),0))</f>
        <v xml:space="preserve"> </v>
      </c>
      <c r="O603" s="146" t="str">
        <f>IF(F603&gt;'депозитный калькулятор'!$D$8," ",IF(F603='депозитный калькулятор'!$D$8,IF(AND($F$24='депозитный калькулятор'!$D$8,'депозитный калькулятор'!$G$13="нет"),-G603-IF(I603=" ",0,I603)-IF(AND(OR('депозитный калькулятор'!$G$7="30/365",'депозитный калькулятор'!$G$7="30/360"),'депозитный калькулятор'!$G$10="в начале срока"),I602,0)-L603+M603-N603,-G603-IF(I603=" ",0,I603)-L603+M603-N603),IF('депозитный калькулятор'!$G$13="есть",M603-N603+IF('депозитный калькулятор'!$G$14="есть",0,-L603),-IF(I603=" ",0,I603)-IF(AND(OR('депозитный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срока"),I602,0)+M603-N603+IF('депозитный калькулятор'!$G$14="есть",0,-L603))))</f>
        <v xml:space="preserve"> </v>
      </c>
      <c r="P603" s="147" t="str">
        <f>IF(F603&gt;'депозитный калькулятор'!$D$8," ",IF(EOMONTH(F602,0)=F602,0,IF(G603&gt;='депозитный калькулятор'!$G$19,P602,P602+1)))</f>
        <v xml:space="preserve"> </v>
      </c>
      <c r="Q603" s="138" t="str">
        <f>IF(F603=" "," ",IF(AND(OR('депозитный калькулятор'!$G$7="30/365",'депозитный калькулятор'!$G$7="30/360"),AND(MONTH(F603)=2,EOMONTH(F603,0)=F603)),IF(DAY(F603)=28,3,2),1)*IF(G603&gt;='депозитный калькулятор'!$G$11,IF(AND('депозитный калькулятор'!$G$7="факт/факт",MOD(YEAR(F603),4)=0),G603*'депозитный калькулятор'!$D$11/366,G603*'депозитный калькулятор'!$G$8),0))</f>
        <v xml:space="preserve"> </v>
      </c>
      <c r="R603" s="158"/>
      <c r="S603" s="62" t="str">
        <f t="shared" ca="1" si="47"/>
        <v xml:space="preserve"> </v>
      </c>
      <c r="T603" s="149" t="str">
        <f ca="1">IF(S603=" "," ",IF('депозитный калькулятор'!$G$7="30/360",DAYS360(U602,IF(DAY(U603)=31,U603-1,U603))+IF(AND(MONTH(U603)=2,U603=EOMONTH(U603,0)),30-DAY(EOMONTH(U603,0)))+T602,VLOOKUP(S603,$C$22:$F$1023,2,0)))</f>
        <v xml:space="preserve"> </v>
      </c>
      <c r="U603" s="64" t="str">
        <f t="shared" ca="1" si="45"/>
        <v xml:space="preserve"> </v>
      </c>
      <c r="V603" s="150" t="str">
        <f t="shared" ca="1" si="48"/>
        <v xml:space="preserve"> </v>
      </c>
      <c r="W603" s="62" t="str">
        <f t="shared" ca="1" si="49"/>
        <v xml:space="preserve"> </v>
      </c>
      <c r="X603" s="141" t="str">
        <f ca="1">IF(S603=" "," ",IFERROR(VLOOKUP(U603,$F$23:$N$1023,7)+VLOOKUP(U603,$F$23:$N$1023,9)+IF(AND('депозитный калькулятор'!$G$13="нет",U603&lt;&gt;'депозитный калькулятор'!$D$8),VLOOKUP(U603,$F$23:$N$1023,4),0),0)+IF(U603='депозитный калькулятор'!$D$8,VLOOKUP(U603,$F$23:$N$1023,2)+VLOOKUP(U603,$F$23:$N$1023,4),0))</f>
        <v xml:space="preserve"> </v>
      </c>
      <c r="Y603" s="142" t="str">
        <f ca="1">IF(S603=" "," ",W603/(1+'депозитный калькулятор'!$K$8)^(T603/IF('депозитный калькулятор'!$G$7="30/360",360,365)))</f>
        <v xml:space="preserve"> </v>
      </c>
      <c r="Z603" s="142" t="str">
        <f ca="1">IF(S603=" "," ",X603/(1+'депозитный калькулятор'!$K$8)^(T603/IF('депозитный калькулятор'!$G$7="30/360",360,365)))</f>
        <v xml:space="preserve"> </v>
      </c>
      <c r="AA603" s="151"/>
      <c r="AB603" s="151"/>
      <c r="AC603" s="155"/>
      <c r="AD603" s="155"/>
    </row>
    <row r="604" spans="1:30" s="2" customFormat="1" ht="15.5" x14ac:dyDescent="0.35">
      <c r="A604" s="41" t="str">
        <f>IF(F604=" "," ",IF(OR('депозитный калькулятор'!$G$7="30/365",'депозитный калькулятор'!$G$7="30/360"),IF(AND(MONTH(F604)=2,DAY(F604)=DAY(EOMONTH(F604,0))),30-DAY(EOMONTH(F604,0)),IF(DAY(F604)=31,1," "))," "))</f>
        <v xml:space="preserve"> </v>
      </c>
      <c r="B604" s="130" t="str">
        <f t="shared" si="46"/>
        <v xml:space="preserve"> </v>
      </c>
      <c r="C604" s="130" t="str">
        <f>IF(OR(B604=0,B604=" ")," ",SUM($B$23:B604))</f>
        <v xml:space="preserve"> </v>
      </c>
      <c r="D604" s="62" t="str">
        <f>IF(D603=" "," ",IF(OR(F603='депозитный калькулятор'!$D$8,F603=" ")," ",D603+1))</f>
        <v xml:space="preserve"> </v>
      </c>
      <c r="E604" s="130" t="str">
        <f>IF(OR(F603='депозитный калькулятор'!$D$8,F603=" ")," ",IF(EOMONTH(F603,0)=F603,1,E603+1))</f>
        <v xml:space="preserve"> </v>
      </c>
      <c r="F604" s="64" t="str">
        <f>IF(F603=" "," ",IF(F603='депозитный калькулятор'!$D$8," ",F603+1))</f>
        <v xml:space="preserve"> </v>
      </c>
      <c r="G604" s="145" t="str">
        <f xml:space="preserve"> IF(F604&gt;'депозитный калькулятор'!$D$8," ",IF('депозитный калькулятор'!$G$13="есть",IF('депозитный калькулятор'!$G$14="есть",G603+IF(I603=" ",0,I603)-J604-K604+L604+M604-N604,G603+IF(I603=" ",0,I603)-J604-K604+M604-N604),IF('депозитный калькулятор'!$G$14="есть",G603-J604-K604+L604+M604-N604,G603-J604-K604+M604-N604)))</f>
        <v xml:space="preserve"> </v>
      </c>
      <c r="H604" s="133" t="str">
        <f>IF(F604&gt;'депозитный калькулятор'!$D$8," ",IF(AND(OR('депозитный калькулятор'!$G$7="30/365",'депозитный калькулятор'!$G$7="30/360"),AND(MONTH(F604)=2,EOMONTH(F604,0)=F604)),IF(DAY(F604)=28,3*G604*'депозитный калькулятор'!$G$8,2*G604*'депозитный калькулятор'!$G$8),IF(AND(OR('депозитный калькулятор'!$G$7="30/365",'депозитный калькулятор'!$G$7="30/360"),DAY(F604)=31)," ",IF(AND('депозитный калькулятор'!$G$7="факт/факт",MOD(YEAR(F604),4)=0),G604*'депозитный калькулятор'!$D$11/366,G604*'депозитный калькулятор'!$G$8))))</f>
        <v xml:space="preserve"> </v>
      </c>
      <c r="I604" s="134" t="str">
        <f ca="1">IF(F604=" "," ",IF('депозитный калькулятор'!$G$10="ежедневное",H604,IF(AND('депозитный калькулятор'!$G$10="еженедельное",WEEKDAY(F604,2)=7),SUM(OFFSET(H604,-6,0):H604),IF(AND('депозитный калькулятор'!$G$10="еженедельное",F604='депозитный калькулятор'!$D$8),SUM($H$23:H604)-SUM($I$23:I603),IF(AND('депозитный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недели",WEEKDAY(F604,2)=7),MIN(OFFSET(H604,-6,0):H604)*(COUNTIF(OFFSET(H604,-6,0):H604,"&gt;0")+SUMIF(OFFSET(A604,-WEEKDAY(F604,2),0):A604,"=2",OFFSET(A604,-WEEKDAY(F604,2),0):A604)),IF(AND('депозитный калькулятор'!$G$10="еженедельное, на минимальную сумму зафиксированную в течение недели",F604='депозитный калькулятор'!$D$8,WEEKDAY(F604,2)&lt;&gt;7),MIN(OFFSET(H604,-WEEKDAY(F604,2),0):H604)*(COUNTIF(OFFSET(H604,-WEEKDAY(F604,2)+1,0):H604,"&gt;0")+SUM(OFFSET(A604,-WEEKDAY(F604,2),0):A604)),IF(AND('депозитный калькулятор'!$G$10="ежемесячное (в конце месяца)",F604='депозитный калькулятор'!$D$8,EOMONTH(F604,0)&lt;&gt;F604),IF('депозитный калькулятор'!$F$1=1,$H$24,SUM($H$23:H604)-SUM($I$23:I603)),IF(AND('депозитный калькулятор'!$G$10="ежемесячное (в конце месяца)",EOMONTH(F604,0)=F604),SUM($H$23:H604)-SUM($I$23:I603),IF(AND('депозитный калькулятор'!$G$10="ежемесячное (по дням открытия вклада)",F604='депозитный калькулятор'!$D$8,DAY('депозитный калькулятор'!$D$7)&lt;&gt;DAY(F604)),IF('депозитный калькулятор'!$F$1=1,$H$24,SUM($H$23:H604)-SUM($I$23:I603)),IF(AND('депозитный калькулятор'!$G$10="ежемесячное (по дням открытия вклада)",DAY('депозитный калькулятор'!$D$7)=DAY(F604)),SUM($H$23:H604)-SUM($I$23:I603),IF(AND('депозитный калькулятор'!$G$10="ежемесячное, на минимальную сумму зафиксированную в течение месяца",F604='депозитный калькулятор'!$D$8,EOMONTH(F604,0)&lt;&gt;F604),IF('депозитный калькулятор'!$F$1=1,$H$24,IF(AND(OR('депозитный калькулятор'!$G$7="30/365",'депозитный калькулятор'!$G$7="30/360"),DAY(F604)=31),0,MIN(OFFSET(H604,-E604+1,0):H604)*(E604+SUMIF(OFFSET(A604,-E604+1,0):A604,"=2",OFFSET(A604,-E604+1,0):A604)))),IF(AND('депозитный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калькулятор'!$G$7="30/360"),DAY(EOMONTH(F604,0))=31),EOMONTH(F604,0)-1=F604,EOMONTH(F604,0)=F604)),IF(IF(AND(OR('депозитный калькулятор'!$G$7="30/365",'депозитный калькулятор'!$G$7="30/360"),DAY(EOMONTH($F$23,0))=31),F604=EOMONTH($F$23,0)-1,F604=EOMONTH($F$23,0)),MIN(OFFSET(H604,-(DAY(F604)-DAY($F$23)),0):H604)*E604,MIN(OFFSET(H604,-(DAY(F604)-1),0):H604)*IF(AND(OR('депозитный калькулятор'!$G$7="30/365",'депозитный калькулятор'!$G$7="30/360"),DAY(F604)&lt;30),30,DAY(F604))),IF(AND('депозитный калькулятор'!$G$10="ежемесячное, на средний остаток в течение месяца, при условии что остаток больше чем ограничение",F604='депозитный калькулятор'!$D$8,EOMONTH(F604,0)&lt;&gt;F604),IF('депозитный калькулятор'!$F$1=1,$H$24,SUM(OFFSET(Q604,-E604+1,0):Q604)),IF(AND('депозитный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калькулятор'!$G$7="30/360"),DAY(EOMONTH(F604,0))=31),EOMONTH(F604,0)-1=F604,EOMONTH(F604,0)=F604)),IF(IF(AND(OR('депозитный калькулятор'!$G$7="30/365",'депозитный калькулятор'!$G$7="30/360"),DAY(EOMONTH($F$24,0))=31),F604=EOMONTH($F$24,0)-1,F604=EOMONTH($F$24,0)),SUM(OFFSET(Q604,-E604+1,0):Q604),SUM(OFFSET(Q604,-E604+1,0):Q604)),IF('депозитный калькулятор'!$G$10="ежеквартальное",IF(F604&gt;'депозитный калькулятор'!$D$8," ",IF(AND(EOMONTH(F604,0)=F604,OR(MONTH(F604)=3,MONTH(F604)=6,MONTH(F604)=9,MONTH(F604)=12)),IF(EDATE(F604,-3)&lt;'депозитный калькулятор'!$D$7,SUM($H$23:H604),IF(MOD(YEAR(F604),4)=0,IF(AND(EOMONTH(F604,0)=F604,OR(MONTH(F604)=3,MONTH(F604)=6)),SUM(OFFSET(H604,-90,0):H604),IF(AND(EOMONTH(F604,0)=F604,OR(MONTH(F604)=9,MONTH(F604)=12)),SUM(OFFSET(H604,-91,0):H604))),IF(AND(EOMONTH(F604,0)=F604,MONTH(F604)=3),SUM(OFFSET(H604,-89,0):H604),IF(AND(EOMONTH(F604,0)=F604,MONTH(F604)=6),SUM(OFFSET(H604,-90,0):H604),IF(AND(EOMONTH(F604,0)=F604,OR(MONTH(F604)=9,MONTH(F604)=12)),SUM(OFFSET(H604,-91,0):H604)))))),IF(F604='депозитный калькулятор'!$D$8,SUM($H$23:H604)-SUM($I$23:I603),0))),IF('депозитный калькулятор'!$G$10="ежегодное",IF(F604&gt;'депозитный калькулятор'!$D$8," ",IF(F604='депозитный калькулятор'!$D$8,SUM($H$23:H604)-SUM($I$23:I603),IF(AND(EOMONTH(F604,0)=F604,MONTH(F604)=12),IF(MOD(YEAR(F603),4)=0,IF(F604-'депозитный калькулятор'!$D$7&lt;366,SUM($H$23:H604),SUM(OFFSET(H604,-365,0):H604)),IF(F604-'депозитный калькулятор'!$D$7&lt;365,SUM($H$23:H604),SUM(OFFSET(H604,-364,0):H604))),0))),IF(AND('депозитный калькулятор'!$G$10="в конце срока",'депозитный калькулятор'!$D$8=F604),SUM($H$23:H604),0))))))))))))))))))</f>
        <v xml:space="preserve"> </v>
      </c>
      <c r="J604" s="59" t="str">
        <f>IF(F604&gt;'депозитный калькулятор'!$D$8," ",IF('депозитный калькулятор'!$G$16="нет",0,IF(AND('депозитный калькулятор'!$G$17="разовая (в конце срока)",F604='депозитный калькулятор'!$D$8),'депозитный калькулятор'!$G$18,IF(AND('депозитный калькулятор'!$G$17="ежемесячная",EOMONTH(F603,0)=F603),'депозитный калькулятор'!$G$18,IF(AND('депозитный калькулятор'!$G$17="ежегодная",DAY(F603)=31,MONTH(F603)=12),'депозитный калькулятор'!$G$18,IF(AND('депозитный калькулятор'!$G$17="ежемесячная в зависимости от остатка",EOMONTH(F603,0)=F603,P603&gt;0),'депозитный калькулятор'!$G$18,IF(AND('депозитный калькулятор'!$G$17="ежегодная в зависимости от остатка",DAY(F603)=31,MONTH(F603)=12,P603&gt;0),'депозитный калькулятор'!$G$18,0)))))))</f>
        <v xml:space="preserve"> </v>
      </c>
      <c r="K604" s="135" t="str">
        <f>IF($F604=" "," ",IFERROR(VLOOKUP($F604,'депозитный калькулятор'!$B$26:$F$70,2,0),0))</f>
        <v xml:space="preserve"> </v>
      </c>
      <c r="L604" s="135" t="str">
        <f>IF($F604=" "," ",IFERROR(VLOOKUP($F604,'депозитный калькулятор'!$B$26:$F$70,3,0),0))</f>
        <v xml:space="preserve"> </v>
      </c>
      <c r="M604" s="135" t="str">
        <f>IF($F604=" "," ",IFERROR(VLOOKUP($F604,'депозитный калькулятор'!$B$26:$F$70,4,0),0))</f>
        <v xml:space="preserve"> </v>
      </c>
      <c r="N604" s="135" t="str">
        <f>IF($F604=" "," ",IFERROR(VLOOKUP($F604,'депозитный калькулятор'!$B$26:$F$70,5,0),0))</f>
        <v xml:space="preserve"> </v>
      </c>
      <c r="O604" s="146" t="str">
        <f>IF(F604&gt;'депозитный калькулятор'!$D$8," ",IF(F604='депозитный калькулятор'!$D$8,IF(AND($F$24='депозитный калькулятор'!$D$8,'депозитный калькулятор'!$G$13="нет"),-G604-IF(I604=" ",0,I604)-IF(AND(OR('депозитный калькулятор'!$G$7="30/365",'депозитный калькулятор'!$G$7="30/360"),'депозитный калькулятор'!$G$10="в начале срока"),I603,0)-L604+M604-N604,-G604-IF(I604=" ",0,I604)-L604+M604-N604),IF('депозитный калькулятор'!$G$13="есть",M604-N604+IF('депозитный калькулятор'!$G$14="есть",0,-L604),-IF(I604=" ",0,I604)-IF(AND(OR('депозитный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срока"),I603,0)+M604-N604+IF('депозитный калькулятор'!$G$14="есть",0,-L604))))</f>
        <v xml:space="preserve"> </v>
      </c>
      <c r="P604" s="147" t="str">
        <f>IF(F604&gt;'депозитный калькулятор'!$D$8," ",IF(EOMONTH(F603,0)=F603,0,IF(G604&gt;='депозитный калькулятор'!$G$19,P603,P603+1)))</f>
        <v xml:space="preserve"> </v>
      </c>
      <c r="Q604" s="138" t="str">
        <f>IF(F604=" "," ",IF(AND(OR('депозитный калькулятор'!$G$7="30/365",'депозитный калькулятор'!$G$7="30/360"),AND(MONTH(F604)=2,EOMONTH(F604,0)=F604)),IF(DAY(F604)=28,3,2),1)*IF(G604&gt;='депозитный калькулятор'!$G$11,IF(AND('депозитный калькулятор'!$G$7="факт/факт",MOD(YEAR(F604),4)=0),G604*'депозитный калькулятор'!$D$11/366,G604*'депозитный калькулятор'!$G$8),0))</f>
        <v xml:space="preserve"> </v>
      </c>
      <c r="R604" s="158"/>
      <c r="S604" s="62" t="str">
        <f t="shared" ca="1" si="47"/>
        <v xml:space="preserve"> </v>
      </c>
      <c r="T604" s="149" t="str">
        <f ca="1">IF(S604=" "," ",IF('депозитный калькулятор'!$G$7="30/360",DAYS360(U603,IF(DAY(U604)=31,U604-1,U604))+IF(AND(MONTH(U604)=2,U604=EOMONTH(U604,0)),30-DAY(EOMONTH(U604,0)))+T603,VLOOKUP(S604,$C$22:$F$1023,2,0)))</f>
        <v xml:space="preserve"> </v>
      </c>
      <c r="U604" s="64" t="str">
        <f t="shared" ca="1" si="45"/>
        <v xml:space="preserve"> </v>
      </c>
      <c r="V604" s="150" t="str">
        <f t="shared" ca="1" si="48"/>
        <v xml:space="preserve"> </v>
      </c>
      <c r="W604" s="62" t="str">
        <f t="shared" ca="1" si="49"/>
        <v xml:space="preserve"> </v>
      </c>
      <c r="X604" s="141" t="str">
        <f ca="1">IF(S604=" "," ",IFERROR(VLOOKUP(U604,$F$23:$N$1023,7)+VLOOKUP(U604,$F$23:$N$1023,9)+IF(AND('депозитный калькулятор'!$G$13="нет",U604&lt;&gt;'депозитный калькулятор'!$D$8),VLOOKUP(U604,$F$23:$N$1023,4),0),0)+IF(U604='депозитный калькулятор'!$D$8,VLOOKUP(U604,$F$23:$N$1023,2)+VLOOKUP(U604,$F$23:$N$1023,4),0))</f>
        <v xml:space="preserve"> </v>
      </c>
      <c r="Y604" s="142" t="str">
        <f ca="1">IF(S604=" "," ",W604/(1+'депозитный калькулятор'!$K$8)^(T604/IF('депозитный калькулятор'!$G$7="30/360",360,365)))</f>
        <v xml:space="preserve"> </v>
      </c>
      <c r="Z604" s="142" t="str">
        <f ca="1">IF(S604=" "," ",X604/(1+'депозитный калькулятор'!$K$8)^(T604/IF('депозитный калькулятор'!$G$7="30/360",360,365)))</f>
        <v xml:space="preserve"> </v>
      </c>
      <c r="AA604" s="151"/>
      <c r="AB604" s="151"/>
      <c r="AC604" s="155"/>
      <c r="AD604" s="155"/>
    </row>
    <row r="605" spans="1:30" s="2" customFormat="1" ht="15.5" x14ac:dyDescent="0.35">
      <c r="A605" s="41" t="str">
        <f>IF(F605=" "," ",IF(OR('депозитный калькулятор'!$G$7="30/365",'депозитный калькулятор'!$G$7="30/360"),IF(AND(MONTH(F605)=2,DAY(F605)=DAY(EOMONTH(F605,0))),30-DAY(EOMONTH(F605,0)),IF(DAY(F605)=31,1," "))," "))</f>
        <v xml:space="preserve"> </v>
      </c>
      <c r="B605" s="130" t="str">
        <f t="shared" si="46"/>
        <v xml:space="preserve"> </v>
      </c>
      <c r="C605" s="130" t="str">
        <f>IF(OR(B605=0,B605=" ")," ",SUM($B$23:B605))</f>
        <v xml:space="preserve"> </v>
      </c>
      <c r="D605" s="62" t="str">
        <f>IF(D604=" "," ",IF(OR(F604='депозитный калькулятор'!$D$8,F604=" ")," ",D604+1))</f>
        <v xml:space="preserve"> </v>
      </c>
      <c r="E605" s="130" t="str">
        <f>IF(OR(F604='депозитный калькулятор'!$D$8,F604=" ")," ",IF(EOMONTH(F604,0)=F604,1,E604+1))</f>
        <v xml:space="preserve"> </v>
      </c>
      <c r="F605" s="64" t="str">
        <f>IF(F604=" "," ",IF(F604='депозитный калькулятор'!$D$8," ",F604+1))</f>
        <v xml:space="preserve"> </v>
      </c>
      <c r="G605" s="145" t="str">
        <f xml:space="preserve"> IF(F605&gt;'депозитный калькулятор'!$D$8," ",IF('депозитный калькулятор'!$G$13="есть",IF('депозитный калькулятор'!$G$14="есть",G604+IF(I604=" ",0,I604)-J605-K605+L605+M605-N605,G604+IF(I604=" ",0,I604)-J605-K605+M605-N605),IF('депозитный калькулятор'!$G$14="есть",G604-J605-K605+L605+M605-N605,G604-J605-K605+M605-N605)))</f>
        <v xml:space="preserve"> </v>
      </c>
      <c r="H605" s="133" t="str">
        <f>IF(F605&gt;'депозитный калькулятор'!$D$8," ",IF(AND(OR('депозитный калькулятор'!$G$7="30/365",'депозитный калькулятор'!$G$7="30/360"),AND(MONTH(F605)=2,EOMONTH(F605,0)=F605)),IF(DAY(F605)=28,3*G605*'депозитный калькулятор'!$G$8,2*G605*'депозитный калькулятор'!$G$8),IF(AND(OR('депозитный калькулятор'!$G$7="30/365",'депозитный калькулятор'!$G$7="30/360"),DAY(F605)=31)," ",IF(AND('депозитный калькулятор'!$G$7="факт/факт",MOD(YEAR(F605),4)=0),G605*'депозитный калькулятор'!$D$11/366,G605*'депозитный калькулятор'!$G$8))))</f>
        <v xml:space="preserve"> </v>
      </c>
      <c r="I605" s="134" t="str">
        <f ca="1">IF(F605=" "," ",IF('депозитный калькулятор'!$G$10="ежедневное",H605,IF(AND('депозитный калькулятор'!$G$10="еженедельное",WEEKDAY(F605,2)=7),SUM(OFFSET(H605,-6,0):H605),IF(AND('депозитный калькулятор'!$G$10="еженедельное",F605='депозитный калькулятор'!$D$8),SUM($H$23:H605)-SUM($I$23:I604),IF(AND('депозитный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недели",WEEKDAY(F605,2)=7),MIN(OFFSET(H605,-6,0):H605)*(COUNTIF(OFFSET(H605,-6,0):H605,"&gt;0")+SUMIF(OFFSET(A605,-WEEKDAY(F605,2),0):A605,"=2",OFFSET(A605,-WEEKDAY(F605,2),0):A605)),IF(AND('депозитный калькулятор'!$G$10="еженедельное, на минимальную сумму зафиксированную в течение недели",F605='депозитный калькулятор'!$D$8,WEEKDAY(F605,2)&lt;&gt;7),MIN(OFFSET(H605,-WEEKDAY(F605,2),0):H605)*(COUNTIF(OFFSET(H605,-WEEKDAY(F605,2)+1,0):H605,"&gt;0")+SUM(OFFSET(A605,-WEEKDAY(F605,2),0):A605)),IF(AND('депозитный калькулятор'!$G$10="ежемесячное (в конце месяца)",F605='депозитный калькулятор'!$D$8,EOMONTH(F605,0)&lt;&gt;F605),IF('депозитный калькулятор'!$F$1=1,$H$24,SUM($H$23:H605)-SUM($I$23:I604)),IF(AND('депозитный калькулятор'!$G$10="ежемесячное (в конце месяца)",EOMONTH(F605,0)=F605),SUM($H$23:H605)-SUM($I$23:I604),IF(AND('депозитный калькулятор'!$G$10="ежемесячное (по дням открытия вклада)",F605='депозитный калькулятор'!$D$8,DAY('депозитный калькулятор'!$D$7)&lt;&gt;DAY(F605)),IF('депозитный калькулятор'!$F$1=1,$H$24,SUM($H$23:H605)-SUM($I$23:I604)),IF(AND('депозитный калькулятор'!$G$10="ежемесячное (по дням открытия вклада)",DAY('депозитный калькулятор'!$D$7)=DAY(F605)),SUM($H$23:H605)-SUM($I$23:I604),IF(AND('депозитный калькулятор'!$G$10="ежемесячное, на минимальную сумму зафиксированную в течение месяца",F605='депозитный калькулятор'!$D$8,EOMONTH(F605,0)&lt;&gt;F605),IF('депозитный калькулятор'!$F$1=1,$H$24,IF(AND(OR('депозитный калькулятор'!$G$7="30/365",'депозитный калькулятор'!$G$7="30/360"),DAY(F605)=31),0,MIN(OFFSET(H605,-E605+1,0):H605)*(E605+SUMIF(OFFSET(A605,-E605+1,0):A605,"=2",OFFSET(A605,-E605+1,0):A605)))),IF(AND('депозитный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калькулятор'!$G$7="30/360"),DAY(EOMONTH(F605,0))=31),EOMONTH(F605,0)-1=F605,EOMONTH(F605,0)=F605)),IF(IF(AND(OR('депозитный калькулятор'!$G$7="30/365",'депозитный калькулятор'!$G$7="30/360"),DAY(EOMONTH($F$23,0))=31),F605=EOMONTH($F$23,0)-1,F605=EOMONTH($F$23,0)),MIN(OFFSET(H605,-(DAY(F605)-DAY($F$23)),0):H605)*E605,MIN(OFFSET(H605,-(DAY(F605)-1),0):H605)*IF(AND(OR('депозитный калькулятор'!$G$7="30/365",'депозитный калькулятор'!$G$7="30/360"),DAY(F605)&lt;30),30,DAY(F605))),IF(AND('депозитный калькулятор'!$G$10="ежемесячное, на средний остаток в течение месяца, при условии что остаток больше чем ограничение",F605='депозитный калькулятор'!$D$8,EOMONTH(F605,0)&lt;&gt;F605),IF('депозитный калькулятор'!$F$1=1,$H$24,SUM(OFFSET(Q605,-E605+1,0):Q605)),IF(AND('депозитный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калькулятор'!$G$7="30/360"),DAY(EOMONTH(F605,0))=31),EOMONTH(F605,0)-1=F605,EOMONTH(F605,0)=F605)),IF(IF(AND(OR('депозитный калькулятор'!$G$7="30/365",'депозитный калькулятор'!$G$7="30/360"),DAY(EOMONTH($F$24,0))=31),F605=EOMONTH($F$24,0)-1,F605=EOMONTH($F$24,0)),SUM(OFFSET(Q605,-E605+1,0):Q605),SUM(OFFSET(Q605,-E605+1,0):Q605)),IF('депозитный калькулятор'!$G$10="ежеквартальное",IF(F605&gt;'депозитный калькулятор'!$D$8," ",IF(AND(EOMONTH(F605,0)=F605,OR(MONTH(F605)=3,MONTH(F605)=6,MONTH(F605)=9,MONTH(F605)=12)),IF(EDATE(F605,-3)&lt;'депозитный калькулятор'!$D$7,SUM($H$23:H605),IF(MOD(YEAR(F605),4)=0,IF(AND(EOMONTH(F605,0)=F605,OR(MONTH(F605)=3,MONTH(F605)=6)),SUM(OFFSET(H605,-90,0):H605),IF(AND(EOMONTH(F605,0)=F605,OR(MONTH(F605)=9,MONTH(F605)=12)),SUM(OFFSET(H605,-91,0):H605))),IF(AND(EOMONTH(F605,0)=F605,MONTH(F605)=3),SUM(OFFSET(H605,-89,0):H605),IF(AND(EOMONTH(F605,0)=F605,MONTH(F605)=6),SUM(OFFSET(H605,-90,0):H605),IF(AND(EOMONTH(F605,0)=F605,OR(MONTH(F605)=9,MONTH(F605)=12)),SUM(OFFSET(H605,-91,0):H605)))))),IF(F605='депозитный калькулятор'!$D$8,SUM($H$23:H605)-SUM($I$23:I604),0))),IF('депозитный калькулятор'!$G$10="ежегодное",IF(F605&gt;'депозитный калькулятор'!$D$8," ",IF(F605='депозитный калькулятор'!$D$8,SUM($H$23:H605)-SUM($I$23:I604),IF(AND(EOMONTH(F605,0)=F605,MONTH(F605)=12),IF(MOD(YEAR(F604),4)=0,IF(F605-'депозитный калькулятор'!$D$7&lt;366,SUM($H$23:H605),SUM(OFFSET(H605,-365,0):H605)),IF(F605-'депозитный калькулятор'!$D$7&lt;365,SUM($H$23:H605),SUM(OFFSET(H605,-364,0):H605))),0))),IF(AND('депозитный калькулятор'!$G$10="в конце срока",'депозитный калькулятор'!$D$8=F605),SUM($H$23:H605),0))))))))))))))))))</f>
        <v xml:space="preserve"> </v>
      </c>
      <c r="J605" s="59" t="str">
        <f>IF(F605&gt;'депозитный калькулятор'!$D$8," ",IF('депозитный калькулятор'!$G$16="нет",0,IF(AND('депозитный калькулятор'!$G$17="разовая (в конце срока)",F605='депозитный калькулятор'!$D$8),'депозитный калькулятор'!$G$18,IF(AND('депозитный калькулятор'!$G$17="ежемесячная",EOMONTH(F604,0)=F604),'депозитный калькулятор'!$G$18,IF(AND('депозитный калькулятор'!$G$17="ежегодная",DAY(F604)=31,MONTH(F604)=12),'депозитный калькулятор'!$G$18,IF(AND('депозитный калькулятор'!$G$17="ежемесячная в зависимости от остатка",EOMONTH(F604,0)=F604,P604&gt;0),'депозитный калькулятор'!$G$18,IF(AND('депозитный калькулятор'!$G$17="ежегодная в зависимости от остатка",DAY(F604)=31,MONTH(F604)=12,P604&gt;0),'депозитный калькулятор'!$G$18,0)))))))</f>
        <v xml:space="preserve"> </v>
      </c>
      <c r="K605" s="135" t="str">
        <f>IF($F605=" "," ",IFERROR(VLOOKUP($F605,'депозитный калькулятор'!$B$26:$F$70,2,0),0))</f>
        <v xml:space="preserve"> </v>
      </c>
      <c r="L605" s="135" t="str">
        <f>IF($F605=" "," ",IFERROR(VLOOKUP($F605,'депозитный калькулятор'!$B$26:$F$70,3,0),0))</f>
        <v xml:space="preserve"> </v>
      </c>
      <c r="M605" s="135" t="str">
        <f>IF($F605=" "," ",IFERROR(VLOOKUP($F605,'депозитный калькулятор'!$B$26:$F$70,4,0),0))</f>
        <v xml:space="preserve"> </v>
      </c>
      <c r="N605" s="135" t="str">
        <f>IF($F605=" "," ",IFERROR(VLOOKUP($F605,'депозитный калькулятор'!$B$26:$F$70,5,0),0))</f>
        <v xml:space="preserve"> </v>
      </c>
      <c r="O605" s="146" t="str">
        <f>IF(F605&gt;'депозитный калькулятор'!$D$8," ",IF(F605='депозитный калькулятор'!$D$8,IF(AND($F$24='депозитный калькулятор'!$D$8,'депозитный калькулятор'!$G$13="нет"),-G605-IF(I605=" ",0,I605)-IF(AND(OR('депозитный калькулятор'!$G$7="30/365",'депозитный калькулятор'!$G$7="30/360"),'депозитный калькулятор'!$G$10="в начале срока"),I604,0)-L605+M605-N605,-G605-IF(I605=" ",0,I605)-L605+M605-N605),IF('депозитный калькулятор'!$G$13="есть",M605-N605+IF('депозитный калькулятор'!$G$14="есть",0,-L605),-IF(I605=" ",0,I605)-IF(AND(OR('депозитный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срока"),I604,0)+M605-N605+IF('депозитный калькулятор'!$G$14="есть",0,-L605))))</f>
        <v xml:space="preserve"> </v>
      </c>
      <c r="P605" s="147" t="str">
        <f>IF(F605&gt;'депозитный калькулятор'!$D$8," ",IF(EOMONTH(F604,0)=F604,0,IF(G605&gt;='депозитный калькулятор'!$G$19,P604,P604+1)))</f>
        <v xml:space="preserve"> </v>
      </c>
      <c r="Q605" s="138" t="str">
        <f>IF(F605=" "," ",IF(AND(OR('депозитный калькулятор'!$G$7="30/365",'депозитный калькулятор'!$G$7="30/360"),AND(MONTH(F605)=2,EOMONTH(F605,0)=F605)),IF(DAY(F605)=28,3,2),1)*IF(G605&gt;='депозитный калькулятор'!$G$11,IF(AND('депозитный калькулятор'!$G$7="факт/факт",MOD(YEAR(F605),4)=0),G605*'депозитный калькулятор'!$D$11/366,G605*'депозитный калькулятор'!$G$8),0))</f>
        <v xml:space="preserve"> </v>
      </c>
      <c r="R605" s="158"/>
      <c r="S605" s="62" t="str">
        <f t="shared" ca="1" si="47"/>
        <v xml:space="preserve"> </v>
      </c>
      <c r="T605" s="149" t="str">
        <f ca="1">IF(S605=" "," ",IF('депозитный калькулятор'!$G$7="30/360",DAYS360(U604,IF(DAY(U605)=31,U605-1,U605))+IF(AND(MONTH(U605)=2,U605=EOMONTH(U605,0)),30-DAY(EOMONTH(U605,0)))+T604,VLOOKUP(S605,$C$22:$F$1023,2,0)))</f>
        <v xml:space="preserve"> </v>
      </c>
      <c r="U605" s="64" t="str">
        <f t="shared" ca="1" si="45"/>
        <v xml:space="preserve"> </v>
      </c>
      <c r="V605" s="150" t="str">
        <f t="shared" ca="1" si="48"/>
        <v xml:space="preserve"> </v>
      </c>
      <c r="W605" s="62" t="str">
        <f t="shared" ca="1" si="49"/>
        <v xml:space="preserve"> </v>
      </c>
      <c r="X605" s="141" t="str">
        <f ca="1">IF(S605=" "," ",IFERROR(VLOOKUP(U605,$F$23:$N$1023,7)+VLOOKUP(U605,$F$23:$N$1023,9)+IF(AND('депозитный калькулятор'!$G$13="нет",U605&lt;&gt;'депозитный калькулятор'!$D$8),VLOOKUP(U605,$F$23:$N$1023,4),0),0)+IF(U605='депозитный калькулятор'!$D$8,VLOOKUP(U605,$F$23:$N$1023,2)+VLOOKUP(U605,$F$23:$N$1023,4),0))</f>
        <v xml:space="preserve"> </v>
      </c>
      <c r="Y605" s="142" t="str">
        <f ca="1">IF(S605=" "," ",W605/(1+'депозитный калькулятор'!$K$8)^(T605/IF('депозитный калькулятор'!$G$7="30/360",360,365)))</f>
        <v xml:space="preserve"> </v>
      </c>
      <c r="Z605" s="142" t="str">
        <f ca="1">IF(S605=" "," ",X605/(1+'депозитный калькулятор'!$K$8)^(T605/IF('депозитный калькулятор'!$G$7="30/360",360,365)))</f>
        <v xml:space="preserve"> </v>
      </c>
      <c r="AA605" s="151"/>
      <c r="AB605" s="151"/>
      <c r="AC605" s="155"/>
      <c r="AD605" s="155"/>
    </row>
    <row r="606" spans="1:30" s="2" customFormat="1" ht="15.5" x14ac:dyDescent="0.35">
      <c r="A606" s="41" t="str">
        <f>IF(F606=" "," ",IF(OR('депозитный калькулятор'!$G$7="30/365",'депозитный калькулятор'!$G$7="30/360"),IF(AND(MONTH(F606)=2,DAY(F606)=DAY(EOMONTH(F606,0))),30-DAY(EOMONTH(F606,0)),IF(DAY(F606)=31,1," "))," "))</f>
        <v xml:space="preserve"> </v>
      </c>
      <c r="B606" s="130" t="str">
        <f t="shared" si="46"/>
        <v xml:space="preserve"> </v>
      </c>
      <c r="C606" s="130" t="str">
        <f>IF(OR(B606=0,B606=" ")," ",SUM($B$23:B606))</f>
        <v xml:space="preserve"> </v>
      </c>
      <c r="D606" s="62" t="str">
        <f>IF(D605=" "," ",IF(OR(F605='депозитный калькулятор'!$D$8,F605=" ")," ",D605+1))</f>
        <v xml:space="preserve"> </v>
      </c>
      <c r="E606" s="130" t="str">
        <f>IF(OR(F605='депозитный калькулятор'!$D$8,F605=" ")," ",IF(EOMONTH(F605,0)=F605,1,E605+1))</f>
        <v xml:space="preserve"> </v>
      </c>
      <c r="F606" s="64" t="str">
        <f>IF(F605=" "," ",IF(F605='депозитный калькулятор'!$D$8," ",F605+1))</f>
        <v xml:space="preserve"> </v>
      </c>
      <c r="G606" s="145" t="str">
        <f xml:space="preserve"> IF(F606&gt;'депозитный калькулятор'!$D$8," ",IF('депозитный калькулятор'!$G$13="есть",IF('депозитный калькулятор'!$G$14="есть",G605+IF(I605=" ",0,I605)-J606-K606+L606+M606-N606,G605+IF(I605=" ",0,I605)-J606-K606+M606-N606),IF('депозитный калькулятор'!$G$14="есть",G605-J606-K606+L606+M606-N606,G605-J606-K606+M606-N606)))</f>
        <v xml:space="preserve"> </v>
      </c>
      <c r="H606" s="133" t="str">
        <f>IF(F606&gt;'депозитный калькулятор'!$D$8," ",IF(AND(OR('депозитный калькулятор'!$G$7="30/365",'депозитный калькулятор'!$G$7="30/360"),AND(MONTH(F606)=2,EOMONTH(F606,0)=F606)),IF(DAY(F606)=28,3*G606*'депозитный калькулятор'!$G$8,2*G606*'депозитный калькулятор'!$G$8),IF(AND(OR('депозитный калькулятор'!$G$7="30/365",'депозитный калькулятор'!$G$7="30/360"),DAY(F606)=31)," ",IF(AND('депозитный калькулятор'!$G$7="факт/факт",MOD(YEAR(F606),4)=0),G606*'депозитный калькулятор'!$D$11/366,G606*'депозитный калькулятор'!$G$8))))</f>
        <v xml:space="preserve"> </v>
      </c>
      <c r="I606" s="134" t="str">
        <f ca="1">IF(F606=" "," ",IF('депозитный калькулятор'!$G$10="ежедневное",H606,IF(AND('депозитный калькулятор'!$G$10="еженедельное",WEEKDAY(F606,2)=7),SUM(OFFSET(H606,-6,0):H606),IF(AND('депозитный калькулятор'!$G$10="еженедельное",F606='депозитный калькулятор'!$D$8),SUM($H$23:H606)-SUM($I$23:I605),IF(AND('депозитный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недели",WEEKDAY(F606,2)=7),MIN(OFFSET(H606,-6,0):H606)*(COUNTIF(OFFSET(H606,-6,0):H606,"&gt;0")+SUMIF(OFFSET(A606,-WEEKDAY(F606,2),0):A606,"=2",OFFSET(A606,-WEEKDAY(F606,2),0):A606)),IF(AND('депозитный калькулятор'!$G$10="еженедельное, на минимальную сумму зафиксированную в течение недели",F606='депозитный калькулятор'!$D$8,WEEKDAY(F606,2)&lt;&gt;7),MIN(OFFSET(H606,-WEEKDAY(F606,2),0):H606)*(COUNTIF(OFFSET(H606,-WEEKDAY(F606,2)+1,0):H606,"&gt;0")+SUM(OFFSET(A606,-WEEKDAY(F606,2),0):A606)),IF(AND('депозитный калькулятор'!$G$10="ежемесячное (в конце месяца)",F606='депозитный калькулятор'!$D$8,EOMONTH(F606,0)&lt;&gt;F606),IF('депозитный калькулятор'!$F$1=1,$H$24,SUM($H$23:H606)-SUM($I$23:I605)),IF(AND('депозитный калькулятор'!$G$10="ежемесячное (в конце месяца)",EOMONTH(F606,0)=F606),SUM($H$23:H606)-SUM($I$23:I605),IF(AND('депозитный калькулятор'!$G$10="ежемесячное (по дням открытия вклада)",F606='депозитный калькулятор'!$D$8,DAY('депозитный калькулятор'!$D$7)&lt;&gt;DAY(F606)),IF('депозитный калькулятор'!$F$1=1,$H$24,SUM($H$23:H606)-SUM($I$23:I605)),IF(AND('депозитный калькулятор'!$G$10="ежемесячное (по дням открытия вклада)",DAY('депозитный калькулятор'!$D$7)=DAY(F606)),SUM($H$23:H606)-SUM($I$23:I605),IF(AND('депозитный калькулятор'!$G$10="ежемесячное, на минимальную сумму зафиксированную в течение месяца",F606='депозитный калькулятор'!$D$8,EOMONTH(F606,0)&lt;&gt;F606),IF('депозитный калькулятор'!$F$1=1,$H$24,IF(AND(OR('депозитный калькулятор'!$G$7="30/365",'депозитный калькулятор'!$G$7="30/360"),DAY(F606)=31),0,MIN(OFFSET(H606,-E606+1,0):H606)*(E606+SUMIF(OFFSET(A606,-E606+1,0):A606,"=2",OFFSET(A606,-E606+1,0):A606)))),IF(AND('депозитный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калькулятор'!$G$7="30/360"),DAY(EOMONTH(F606,0))=31),EOMONTH(F606,0)-1=F606,EOMONTH(F606,0)=F606)),IF(IF(AND(OR('депозитный калькулятор'!$G$7="30/365",'депозитный калькулятор'!$G$7="30/360"),DAY(EOMONTH($F$23,0))=31),F606=EOMONTH($F$23,0)-1,F606=EOMONTH($F$23,0)),MIN(OFFSET(H606,-(DAY(F606)-DAY($F$23)),0):H606)*E606,MIN(OFFSET(H606,-(DAY(F606)-1),0):H606)*IF(AND(OR('депозитный калькулятор'!$G$7="30/365",'депозитный калькулятор'!$G$7="30/360"),DAY(F606)&lt;30),30,DAY(F606))),IF(AND('депозитный калькулятор'!$G$10="ежемесячное, на средний остаток в течение месяца, при условии что остаток больше чем ограничение",F606='депозитный калькулятор'!$D$8,EOMONTH(F606,0)&lt;&gt;F606),IF('депозитный калькулятор'!$F$1=1,$H$24,SUM(OFFSET(Q606,-E606+1,0):Q606)),IF(AND('депозитный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калькулятор'!$G$7="30/360"),DAY(EOMONTH(F606,0))=31),EOMONTH(F606,0)-1=F606,EOMONTH(F606,0)=F606)),IF(IF(AND(OR('депозитный калькулятор'!$G$7="30/365",'депозитный калькулятор'!$G$7="30/360"),DAY(EOMONTH($F$24,0))=31),F606=EOMONTH($F$24,0)-1,F606=EOMONTH($F$24,0)),SUM(OFFSET(Q606,-E606+1,0):Q606),SUM(OFFSET(Q606,-E606+1,0):Q606)),IF('депозитный калькулятор'!$G$10="ежеквартальное",IF(F606&gt;'депозитный калькулятор'!$D$8," ",IF(AND(EOMONTH(F606,0)=F606,OR(MONTH(F606)=3,MONTH(F606)=6,MONTH(F606)=9,MONTH(F606)=12)),IF(EDATE(F606,-3)&lt;'депозитный калькулятор'!$D$7,SUM($H$23:H606),IF(MOD(YEAR(F606),4)=0,IF(AND(EOMONTH(F606,0)=F606,OR(MONTH(F606)=3,MONTH(F606)=6)),SUM(OFFSET(H606,-90,0):H606),IF(AND(EOMONTH(F606,0)=F606,OR(MONTH(F606)=9,MONTH(F606)=12)),SUM(OFFSET(H606,-91,0):H606))),IF(AND(EOMONTH(F606,0)=F606,MONTH(F606)=3),SUM(OFFSET(H606,-89,0):H606),IF(AND(EOMONTH(F606,0)=F606,MONTH(F606)=6),SUM(OFFSET(H606,-90,0):H606),IF(AND(EOMONTH(F606,0)=F606,OR(MONTH(F606)=9,MONTH(F606)=12)),SUM(OFFSET(H606,-91,0):H606)))))),IF(F606='депозитный калькулятор'!$D$8,SUM($H$23:H606)-SUM($I$23:I605),0))),IF('депозитный калькулятор'!$G$10="ежегодное",IF(F606&gt;'депозитный калькулятор'!$D$8," ",IF(F606='депозитный калькулятор'!$D$8,SUM($H$23:H606)-SUM($I$23:I605),IF(AND(EOMONTH(F606,0)=F606,MONTH(F606)=12),IF(MOD(YEAR(F605),4)=0,IF(F606-'депозитный калькулятор'!$D$7&lt;366,SUM($H$23:H606),SUM(OFFSET(H606,-365,0):H606)),IF(F606-'депозитный калькулятор'!$D$7&lt;365,SUM($H$23:H606),SUM(OFFSET(H606,-364,0):H606))),0))),IF(AND('депозитный калькулятор'!$G$10="в конце срока",'депозитный калькулятор'!$D$8=F606),SUM($H$23:H606),0))))))))))))))))))</f>
        <v xml:space="preserve"> </v>
      </c>
      <c r="J606" s="59" t="str">
        <f>IF(F606&gt;'депозитный калькулятор'!$D$8," ",IF('депозитный калькулятор'!$G$16="нет",0,IF(AND('депозитный калькулятор'!$G$17="разовая (в конце срока)",F606='депозитный калькулятор'!$D$8),'депозитный калькулятор'!$G$18,IF(AND('депозитный калькулятор'!$G$17="ежемесячная",EOMONTH(F605,0)=F605),'депозитный калькулятор'!$G$18,IF(AND('депозитный калькулятор'!$G$17="ежегодная",DAY(F605)=31,MONTH(F605)=12),'депозитный калькулятор'!$G$18,IF(AND('депозитный калькулятор'!$G$17="ежемесячная в зависимости от остатка",EOMONTH(F605,0)=F605,P605&gt;0),'депозитный калькулятор'!$G$18,IF(AND('депозитный калькулятор'!$G$17="ежегодная в зависимости от остатка",DAY(F605)=31,MONTH(F605)=12,P605&gt;0),'депозитный калькулятор'!$G$18,0)))))))</f>
        <v xml:space="preserve"> </v>
      </c>
      <c r="K606" s="135" t="str">
        <f>IF($F606=" "," ",IFERROR(VLOOKUP($F606,'депозитный калькулятор'!$B$26:$F$70,2,0),0))</f>
        <v xml:space="preserve"> </v>
      </c>
      <c r="L606" s="135" t="str">
        <f>IF($F606=" "," ",IFERROR(VLOOKUP($F606,'депозитный калькулятор'!$B$26:$F$70,3,0),0))</f>
        <v xml:space="preserve"> </v>
      </c>
      <c r="M606" s="135" t="str">
        <f>IF($F606=" "," ",IFERROR(VLOOKUP($F606,'депозитный калькулятор'!$B$26:$F$70,4,0),0))</f>
        <v xml:space="preserve"> </v>
      </c>
      <c r="N606" s="135" t="str">
        <f>IF($F606=" "," ",IFERROR(VLOOKUP($F606,'депозитный калькулятор'!$B$26:$F$70,5,0),0))</f>
        <v xml:space="preserve"> </v>
      </c>
      <c r="O606" s="146" t="str">
        <f>IF(F606&gt;'депозитный калькулятор'!$D$8," ",IF(F606='депозитный калькулятор'!$D$8,IF(AND($F$24='депозитный калькулятор'!$D$8,'депозитный калькулятор'!$G$13="нет"),-G606-IF(I606=" ",0,I606)-IF(AND(OR('депозитный калькулятор'!$G$7="30/365",'депозитный калькулятор'!$G$7="30/360"),'депозитный калькулятор'!$G$10="в начале срока"),I605,0)-L606+M606-N606,-G606-IF(I606=" ",0,I606)-L606+M606-N606),IF('депозитный калькулятор'!$G$13="есть",M606-N606+IF('депозитный калькулятор'!$G$14="есть",0,-L606),-IF(I606=" ",0,I606)-IF(AND(OR('депозитный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срока"),I605,0)+M606-N606+IF('депозитный калькулятор'!$G$14="есть",0,-L606))))</f>
        <v xml:space="preserve"> </v>
      </c>
      <c r="P606" s="147" t="str">
        <f>IF(F606&gt;'депозитный калькулятор'!$D$8," ",IF(EOMONTH(F605,0)=F605,0,IF(G606&gt;='депозитный калькулятор'!$G$19,P605,P605+1)))</f>
        <v xml:space="preserve"> </v>
      </c>
      <c r="Q606" s="138" t="str">
        <f>IF(F606=" "," ",IF(AND(OR('депозитный калькулятор'!$G$7="30/365",'депозитный калькулятор'!$G$7="30/360"),AND(MONTH(F606)=2,EOMONTH(F606,0)=F606)),IF(DAY(F606)=28,3,2),1)*IF(G606&gt;='депозитный калькулятор'!$G$11,IF(AND('депозитный калькулятор'!$G$7="факт/факт",MOD(YEAR(F606),4)=0),G606*'депозитный калькулятор'!$D$11/366,G606*'депозитный калькулятор'!$G$8),0))</f>
        <v xml:space="preserve"> </v>
      </c>
      <c r="R606" s="158"/>
      <c r="S606" s="62" t="str">
        <f t="shared" ca="1" si="47"/>
        <v xml:space="preserve"> </v>
      </c>
      <c r="T606" s="149" t="str">
        <f ca="1">IF(S606=" "," ",IF('депозитный калькулятор'!$G$7="30/360",DAYS360(U605,IF(DAY(U606)=31,U606-1,U606))+IF(AND(MONTH(U606)=2,U606=EOMONTH(U606,0)),30-DAY(EOMONTH(U606,0)))+T605,VLOOKUP(S606,$C$22:$F$1023,2,0)))</f>
        <v xml:space="preserve"> </v>
      </c>
      <c r="U606" s="64" t="str">
        <f t="shared" ca="1" si="45"/>
        <v xml:space="preserve"> </v>
      </c>
      <c r="V606" s="150" t="str">
        <f t="shared" ca="1" si="48"/>
        <v xml:space="preserve"> </v>
      </c>
      <c r="W606" s="62" t="str">
        <f t="shared" ca="1" si="49"/>
        <v xml:space="preserve"> </v>
      </c>
      <c r="X606" s="141" t="str">
        <f ca="1">IF(S606=" "," ",IFERROR(VLOOKUP(U606,$F$23:$N$1023,7)+VLOOKUP(U606,$F$23:$N$1023,9)+IF(AND('депозитный калькулятор'!$G$13="нет",U606&lt;&gt;'депозитный калькулятор'!$D$8),VLOOKUP(U606,$F$23:$N$1023,4),0),0)+IF(U606='депозитный калькулятор'!$D$8,VLOOKUP(U606,$F$23:$N$1023,2)+VLOOKUP(U606,$F$23:$N$1023,4),0))</f>
        <v xml:space="preserve"> </v>
      </c>
      <c r="Y606" s="142" t="str">
        <f ca="1">IF(S606=" "," ",W606/(1+'депозитный калькулятор'!$K$8)^(T606/IF('депозитный калькулятор'!$G$7="30/360",360,365)))</f>
        <v xml:space="preserve"> </v>
      </c>
      <c r="Z606" s="142" t="str">
        <f ca="1">IF(S606=" "," ",X606/(1+'депозитный калькулятор'!$K$8)^(T606/IF('депозитный калькулятор'!$G$7="30/360",360,365)))</f>
        <v xml:space="preserve"> </v>
      </c>
      <c r="AA606" s="151"/>
      <c r="AB606" s="151"/>
      <c r="AC606" s="155"/>
      <c r="AD606" s="155"/>
    </row>
    <row r="607" spans="1:30" s="2" customFormat="1" ht="15.5" x14ac:dyDescent="0.35">
      <c r="A607" s="41" t="str">
        <f>IF(F607=" "," ",IF(OR('депозитный калькулятор'!$G$7="30/365",'депозитный калькулятор'!$G$7="30/360"),IF(AND(MONTH(F607)=2,DAY(F607)=DAY(EOMONTH(F607,0))),30-DAY(EOMONTH(F607,0)),IF(DAY(F607)=31,1," "))," "))</f>
        <v xml:space="preserve"> </v>
      </c>
      <c r="B607" s="130" t="str">
        <f t="shared" si="46"/>
        <v xml:space="preserve"> </v>
      </c>
      <c r="C607" s="130" t="str">
        <f>IF(OR(B607=0,B607=" ")," ",SUM($B$23:B607))</f>
        <v xml:space="preserve"> </v>
      </c>
      <c r="D607" s="62" t="str">
        <f>IF(D606=" "," ",IF(OR(F606='депозитный калькулятор'!$D$8,F606=" ")," ",D606+1))</f>
        <v xml:space="preserve"> </v>
      </c>
      <c r="E607" s="130" t="str">
        <f>IF(OR(F606='депозитный калькулятор'!$D$8,F606=" ")," ",IF(EOMONTH(F606,0)=F606,1,E606+1))</f>
        <v xml:space="preserve"> </v>
      </c>
      <c r="F607" s="64" t="str">
        <f>IF(F606=" "," ",IF(F606='депозитный калькулятор'!$D$8," ",F606+1))</f>
        <v xml:space="preserve"> </v>
      </c>
      <c r="G607" s="145" t="str">
        <f xml:space="preserve"> IF(F607&gt;'депозитный калькулятор'!$D$8," ",IF('депозитный калькулятор'!$G$13="есть",IF('депозитный калькулятор'!$G$14="есть",G606+IF(I606=" ",0,I606)-J607-K607+L607+M607-N607,G606+IF(I606=" ",0,I606)-J607-K607+M607-N607),IF('депозитный калькулятор'!$G$14="есть",G606-J607-K607+L607+M607-N607,G606-J607-K607+M607-N607)))</f>
        <v xml:space="preserve"> </v>
      </c>
      <c r="H607" s="133" t="str">
        <f>IF(F607&gt;'депозитный калькулятор'!$D$8," ",IF(AND(OR('депозитный калькулятор'!$G$7="30/365",'депозитный калькулятор'!$G$7="30/360"),AND(MONTH(F607)=2,EOMONTH(F607,0)=F607)),IF(DAY(F607)=28,3*G607*'депозитный калькулятор'!$G$8,2*G607*'депозитный калькулятор'!$G$8),IF(AND(OR('депозитный калькулятор'!$G$7="30/365",'депозитный калькулятор'!$G$7="30/360"),DAY(F607)=31)," ",IF(AND('депозитный калькулятор'!$G$7="факт/факт",MOD(YEAR(F607),4)=0),G607*'депозитный калькулятор'!$D$11/366,G607*'депозитный калькулятор'!$G$8))))</f>
        <v xml:space="preserve"> </v>
      </c>
      <c r="I607" s="134" t="str">
        <f ca="1">IF(F607=" "," ",IF('депозитный калькулятор'!$G$10="ежедневное",H607,IF(AND('депозитный калькулятор'!$G$10="еженедельное",WEEKDAY(F607,2)=7),SUM(OFFSET(H607,-6,0):H607),IF(AND('депозитный калькулятор'!$G$10="еженедельное",F607='депозитный калькулятор'!$D$8),SUM($H$23:H607)-SUM($I$23:I606),IF(AND('депозитный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недели",WEEKDAY(F607,2)=7),MIN(OFFSET(H607,-6,0):H607)*(COUNTIF(OFFSET(H607,-6,0):H607,"&gt;0")+SUMIF(OFFSET(A607,-WEEKDAY(F607,2),0):A607,"=2",OFFSET(A607,-WEEKDAY(F607,2),0):A607)),IF(AND('депозитный калькулятор'!$G$10="еженедельное, на минимальную сумму зафиксированную в течение недели",F607='депозитный калькулятор'!$D$8,WEEKDAY(F607,2)&lt;&gt;7),MIN(OFFSET(H607,-WEEKDAY(F607,2),0):H607)*(COUNTIF(OFFSET(H607,-WEEKDAY(F607,2)+1,0):H607,"&gt;0")+SUM(OFFSET(A607,-WEEKDAY(F607,2),0):A607)),IF(AND('депозитный калькулятор'!$G$10="ежемесячное (в конце месяца)",F607='депозитный калькулятор'!$D$8,EOMONTH(F607,0)&lt;&gt;F607),IF('депозитный калькулятор'!$F$1=1,$H$24,SUM($H$23:H607)-SUM($I$23:I606)),IF(AND('депозитный калькулятор'!$G$10="ежемесячное (в конце месяца)",EOMONTH(F607,0)=F607),SUM($H$23:H607)-SUM($I$23:I606),IF(AND('депозитный калькулятор'!$G$10="ежемесячное (по дням открытия вклада)",F607='депозитный калькулятор'!$D$8,DAY('депозитный калькулятор'!$D$7)&lt;&gt;DAY(F607)),IF('депозитный калькулятор'!$F$1=1,$H$24,SUM($H$23:H607)-SUM($I$23:I606)),IF(AND('депозитный калькулятор'!$G$10="ежемесячное (по дням открытия вклада)",DAY('депозитный калькулятор'!$D$7)=DAY(F607)),SUM($H$23:H607)-SUM($I$23:I606),IF(AND('депозитный калькулятор'!$G$10="ежемесячное, на минимальную сумму зафиксированную в течение месяца",F607='депозитный калькулятор'!$D$8,EOMONTH(F607,0)&lt;&gt;F607),IF('депозитный калькулятор'!$F$1=1,$H$24,IF(AND(OR('депозитный калькулятор'!$G$7="30/365",'депозитный калькулятор'!$G$7="30/360"),DAY(F607)=31),0,MIN(OFFSET(H607,-E607+1,0):H607)*(E607+SUMIF(OFFSET(A607,-E607+1,0):A607,"=2",OFFSET(A607,-E607+1,0):A607)))),IF(AND('депозитный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калькулятор'!$G$7="30/360"),DAY(EOMONTH(F607,0))=31),EOMONTH(F607,0)-1=F607,EOMONTH(F607,0)=F607)),IF(IF(AND(OR('депозитный калькулятор'!$G$7="30/365",'депозитный калькулятор'!$G$7="30/360"),DAY(EOMONTH($F$23,0))=31),F607=EOMONTH($F$23,0)-1,F607=EOMONTH($F$23,0)),MIN(OFFSET(H607,-(DAY(F607)-DAY($F$23)),0):H607)*E607,MIN(OFFSET(H607,-(DAY(F607)-1),0):H607)*IF(AND(OR('депозитный калькулятор'!$G$7="30/365",'депозитный калькулятор'!$G$7="30/360"),DAY(F607)&lt;30),30,DAY(F607))),IF(AND('депозитный калькулятор'!$G$10="ежемесячное, на средний остаток в течение месяца, при условии что остаток больше чем ограничение",F607='депозитный калькулятор'!$D$8,EOMONTH(F607,0)&lt;&gt;F607),IF('депозитный калькулятор'!$F$1=1,$H$24,SUM(OFFSET(Q607,-E607+1,0):Q607)),IF(AND('депозитный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калькулятор'!$G$7="30/360"),DAY(EOMONTH(F607,0))=31),EOMONTH(F607,0)-1=F607,EOMONTH(F607,0)=F607)),IF(IF(AND(OR('депозитный калькулятор'!$G$7="30/365",'депозитный калькулятор'!$G$7="30/360"),DAY(EOMONTH($F$24,0))=31),F607=EOMONTH($F$24,0)-1,F607=EOMONTH($F$24,0)),SUM(OFFSET(Q607,-E607+1,0):Q607),SUM(OFFSET(Q607,-E607+1,0):Q607)),IF('депозитный калькулятор'!$G$10="ежеквартальное",IF(F607&gt;'депозитный калькулятор'!$D$8," ",IF(AND(EOMONTH(F607,0)=F607,OR(MONTH(F607)=3,MONTH(F607)=6,MONTH(F607)=9,MONTH(F607)=12)),IF(EDATE(F607,-3)&lt;'депозитный калькулятор'!$D$7,SUM($H$23:H607),IF(MOD(YEAR(F607),4)=0,IF(AND(EOMONTH(F607,0)=F607,OR(MONTH(F607)=3,MONTH(F607)=6)),SUM(OFFSET(H607,-90,0):H607),IF(AND(EOMONTH(F607,0)=F607,OR(MONTH(F607)=9,MONTH(F607)=12)),SUM(OFFSET(H607,-91,0):H607))),IF(AND(EOMONTH(F607,0)=F607,MONTH(F607)=3),SUM(OFFSET(H607,-89,0):H607),IF(AND(EOMONTH(F607,0)=F607,MONTH(F607)=6),SUM(OFFSET(H607,-90,0):H607),IF(AND(EOMONTH(F607,0)=F607,OR(MONTH(F607)=9,MONTH(F607)=12)),SUM(OFFSET(H607,-91,0):H607)))))),IF(F607='депозитный калькулятор'!$D$8,SUM($H$23:H607)-SUM($I$23:I606),0))),IF('депозитный калькулятор'!$G$10="ежегодное",IF(F607&gt;'депозитный калькулятор'!$D$8," ",IF(F607='депозитный калькулятор'!$D$8,SUM($H$23:H607)-SUM($I$23:I606),IF(AND(EOMONTH(F607,0)=F607,MONTH(F607)=12),IF(MOD(YEAR(F606),4)=0,IF(F607-'депозитный калькулятор'!$D$7&lt;366,SUM($H$23:H607),SUM(OFFSET(H607,-365,0):H607)),IF(F607-'депозитный калькулятор'!$D$7&lt;365,SUM($H$23:H607),SUM(OFFSET(H607,-364,0):H607))),0))),IF(AND('депозитный калькулятор'!$G$10="в конце срока",'депозитный калькулятор'!$D$8=F607),SUM($H$23:H607),0))))))))))))))))))</f>
        <v xml:space="preserve"> </v>
      </c>
      <c r="J607" s="59" t="str">
        <f>IF(F607&gt;'депозитный калькулятор'!$D$8," ",IF('депозитный калькулятор'!$G$16="нет",0,IF(AND('депозитный калькулятор'!$G$17="разовая (в конце срока)",F607='депозитный калькулятор'!$D$8),'депозитный калькулятор'!$G$18,IF(AND('депозитный калькулятор'!$G$17="ежемесячная",EOMONTH(F606,0)=F606),'депозитный калькулятор'!$G$18,IF(AND('депозитный калькулятор'!$G$17="ежегодная",DAY(F606)=31,MONTH(F606)=12),'депозитный калькулятор'!$G$18,IF(AND('депозитный калькулятор'!$G$17="ежемесячная в зависимости от остатка",EOMONTH(F606,0)=F606,P606&gt;0),'депозитный калькулятор'!$G$18,IF(AND('депозитный калькулятор'!$G$17="ежегодная в зависимости от остатка",DAY(F606)=31,MONTH(F606)=12,P606&gt;0),'депозитный калькулятор'!$G$18,0)))))))</f>
        <v xml:space="preserve"> </v>
      </c>
      <c r="K607" s="135" t="str">
        <f>IF($F607=" "," ",IFERROR(VLOOKUP($F607,'депозитный калькулятор'!$B$26:$F$70,2,0),0))</f>
        <v xml:space="preserve"> </v>
      </c>
      <c r="L607" s="135" t="str">
        <f>IF($F607=" "," ",IFERROR(VLOOKUP($F607,'депозитный калькулятор'!$B$26:$F$70,3,0),0))</f>
        <v xml:space="preserve"> </v>
      </c>
      <c r="M607" s="135" t="str">
        <f>IF($F607=" "," ",IFERROR(VLOOKUP($F607,'депозитный калькулятор'!$B$26:$F$70,4,0),0))</f>
        <v xml:space="preserve"> </v>
      </c>
      <c r="N607" s="135" t="str">
        <f>IF($F607=" "," ",IFERROR(VLOOKUP($F607,'депозитный калькулятор'!$B$26:$F$70,5,0),0))</f>
        <v xml:space="preserve"> </v>
      </c>
      <c r="O607" s="146" t="str">
        <f>IF(F607&gt;'депозитный калькулятор'!$D$8," ",IF(F607='депозитный калькулятор'!$D$8,IF(AND($F$24='депозитный калькулятор'!$D$8,'депозитный калькулятор'!$G$13="нет"),-G607-IF(I607=" ",0,I607)-IF(AND(OR('депозитный калькулятор'!$G$7="30/365",'депозитный калькулятор'!$G$7="30/360"),'депозитный калькулятор'!$G$10="в начале срока"),I606,0)-L607+M607-N607,-G607-IF(I607=" ",0,I607)-L607+M607-N607),IF('депозитный калькулятор'!$G$13="есть",M607-N607+IF('депозитный калькулятор'!$G$14="есть",0,-L607),-IF(I607=" ",0,I607)-IF(AND(OR('депозитный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срока"),I606,0)+M607-N607+IF('депозитный калькулятор'!$G$14="есть",0,-L607))))</f>
        <v xml:space="preserve"> </v>
      </c>
      <c r="P607" s="147" t="str">
        <f>IF(F607&gt;'депозитный калькулятор'!$D$8," ",IF(EOMONTH(F606,0)=F606,0,IF(G607&gt;='депозитный калькулятор'!$G$19,P606,P606+1)))</f>
        <v xml:space="preserve"> </v>
      </c>
      <c r="Q607" s="138" t="str">
        <f>IF(F607=" "," ",IF(AND(OR('депозитный калькулятор'!$G$7="30/365",'депозитный калькулятор'!$G$7="30/360"),AND(MONTH(F607)=2,EOMONTH(F607,0)=F607)),IF(DAY(F607)=28,3,2),1)*IF(G607&gt;='депозитный калькулятор'!$G$11,IF(AND('депозитный калькулятор'!$G$7="факт/факт",MOD(YEAR(F607),4)=0),G607*'депозитный калькулятор'!$D$11/366,G607*'депозитный калькулятор'!$G$8),0))</f>
        <v xml:space="preserve"> </v>
      </c>
      <c r="R607" s="158"/>
      <c r="S607" s="62" t="str">
        <f t="shared" ca="1" si="47"/>
        <v xml:space="preserve"> </v>
      </c>
      <c r="T607" s="149" t="str">
        <f ca="1">IF(S607=" "," ",IF('депозитный калькулятор'!$G$7="30/360",DAYS360(U606,IF(DAY(U607)=31,U607-1,U607))+IF(AND(MONTH(U607)=2,U607=EOMONTH(U607,0)),30-DAY(EOMONTH(U607,0)))+T606,VLOOKUP(S607,$C$22:$F$1023,2,0)))</f>
        <v xml:space="preserve"> </v>
      </c>
      <c r="U607" s="64" t="str">
        <f t="shared" ca="1" si="45"/>
        <v xml:space="preserve"> </v>
      </c>
      <c r="V607" s="150" t="str">
        <f t="shared" ca="1" si="48"/>
        <v xml:space="preserve"> </v>
      </c>
      <c r="W607" s="62" t="str">
        <f t="shared" ca="1" si="49"/>
        <v xml:space="preserve"> </v>
      </c>
      <c r="X607" s="141" t="str">
        <f ca="1">IF(S607=" "," ",IFERROR(VLOOKUP(U607,$F$23:$N$1023,7)+VLOOKUP(U607,$F$23:$N$1023,9)+IF(AND('депозитный калькулятор'!$G$13="нет",U607&lt;&gt;'депозитный калькулятор'!$D$8),VLOOKUP(U607,$F$23:$N$1023,4),0),0)+IF(U607='депозитный калькулятор'!$D$8,VLOOKUP(U607,$F$23:$N$1023,2)+VLOOKUP(U607,$F$23:$N$1023,4),0))</f>
        <v xml:space="preserve"> </v>
      </c>
      <c r="Y607" s="142" t="str">
        <f ca="1">IF(S607=" "," ",W607/(1+'депозитный калькулятор'!$K$8)^(T607/IF('депозитный калькулятор'!$G$7="30/360",360,365)))</f>
        <v xml:space="preserve"> </v>
      </c>
      <c r="Z607" s="142" t="str">
        <f ca="1">IF(S607=" "," ",X607/(1+'депозитный калькулятор'!$K$8)^(T607/IF('депозитный калькулятор'!$G$7="30/360",360,365)))</f>
        <v xml:space="preserve"> </v>
      </c>
      <c r="AA607" s="151"/>
      <c r="AB607" s="151"/>
      <c r="AC607" s="155"/>
      <c r="AD607" s="155"/>
    </row>
    <row r="608" spans="1:30" s="2" customFormat="1" ht="15.5" x14ac:dyDescent="0.35">
      <c r="A608" s="41" t="str">
        <f>IF(F608=" "," ",IF(OR('депозитный калькулятор'!$G$7="30/365",'депозитный калькулятор'!$G$7="30/360"),IF(AND(MONTH(F608)=2,DAY(F608)=DAY(EOMONTH(F608,0))),30-DAY(EOMONTH(F608,0)),IF(DAY(F608)=31,1," "))," "))</f>
        <v xml:space="preserve"> </v>
      </c>
      <c r="B608" s="130" t="str">
        <f t="shared" si="46"/>
        <v xml:space="preserve"> </v>
      </c>
      <c r="C608" s="130" t="str">
        <f>IF(OR(B608=0,B608=" ")," ",SUM($B$23:B608))</f>
        <v xml:space="preserve"> </v>
      </c>
      <c r="D608" s="62" t="str">
        <f>IF(D607=" "," ",IF(OR(F607='депозитный калькулятор'!$D$8,F607=" ")," ",D607+1))</f>
        <v xml:space="preserve"> </v>
      </c>
      <c r="E608" s="130" t="str">
        <f>IF(OR(F607='депозитный калькулятор'!$D$8,F607=" ")," ",IF(EOMONTH(F607,0)=F607,1,E607+1))</f>
        <v xml:space="preserve"> </v>
      </c>
      <c r="F608" s="64" t="str">
        <f>IF(F607=" "," ",IF(F607='депозитный калькулятор'!$D$8," ",F607+1))</f>
        <v xml:space="preserve"> </v>
      </c>
      <c r="G608" s="145" t="str">
        <f xml:space="preserve"> IF(F608&gt;'депозитный калькулятор'!$D$8," ",IF('депозитный калькулятор'!$G$13="есть",IF('депозитный калькулятор'!$G$14="есть",G607+IF(I607=" ",0,I607)-J608-K608+L608+M608-N608,G607+IF(I607=" ",0,I607)-J608-K608+M608-N608),IF('депозитный калькулятор'!$G$14="есть",G607-J608-K608+L608+M608-N608,G607-J608-K608+M608-N608)))</f>
        <v xml:space="preserve"> </v>
      </c>
      <c r="H608" s="133" t="str">
        <f>IF(F608&gt;'депозитный калькулятор'!$D$8," ",IF(AND(OR('депозитный калькулятор'!$G$7="30/365",'депозитный калькулятор'!$G$7="30/360"),AND(MONTH(F608)=2,EOMONTH(F608,0)=F608)),IF(DAY(F608)=28,3*G608*'депозитный калькулятор'!$G$8,2*G608*'депозитный калькулятор'!$G$8),IF(AND(OR('депозитный калькулятор'!$G$7="30/365",'депозитный калькулятор'!$G$7="30/360"),DAY(F608)=31)," ",IF(AND('депозитный калькулятор'!$G$7="факт/факт",MOD(YEAR(F608),4)=0),G608*'депозитный калькулятор'!$D$11/366,G608*'депозитный калькулятор'!$G$8))))</f>
        <v xml:space="preserve"> </v>
      </c>
      <c r="I608" s="134" t="str">
        <f ca="1">IF(F608=" "," ",IF('депозитный калькулятор'!$G$10="ежедневное",H608,IF(AND('депозитный калькулятор'!$G$10="еженедельное",WEEKDAY(F608,2)=7),SUM(OFFSET(H608,-6,0):H608),IF(AND('депозитный калькулятор'!$G$10="еженедельное",F608='депозитный калькулятор'!$D$8),SUM($H$23:H608)-SUM($I$23:I607),IF(AND('депозитный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недели",WEEKDAY(F608,2)=7),MIN(OFFSET(H608,-6,0):H608)*(COUNTIF(OFFSET(H608,-6,0):H608,"&gt;0")+SUMIF(OFFSET(A608,-WEEKDAY(F608,2),0):A608,"=2",OFFSET(A608,-WEEKDAY(F608,2),0):A608)),IF(AND('депозитный калькулятор'!$G$10="еженедельное, на минимальную сумму зафиксированную в течение недели",F608='депозитный калькулятор'!$D$8,WEEKDAY(F608,2)&lt;&gt;7),MIN(OFFSET(H608,-WEEKDAY(F608,2),0):H608)*(COUNTIF(OFFSET(H608,-WEEKDAY(F608,2)+1,0):H608,"&gt;0")+SUM(OFFSET(A608,-WEEKDAY(F608,2),0):A608)),IF(AND('депозитный калькулятор'!$G$10="ежемесячное (в конце месяца)",F608='депозитный калькулятор'!$D$8,EOMONTH(F608,0)&lt;&gt;F608),IF('депозитный калькулятор'!$F$1=1,$H$24,SUM($H$23:H608)-SUM($I$23:I607)),IF(AND('депозитный калькулятор'!$G$10="ежемесячное (в конце месяца)",EOMONTH(F608,0)=F608),SUM($H$23:H608)-SUM($I$23:I607),IF(AND('депозитный калькулятор'!$G$10="ежемесячное (по дням открытия вклада)",F608='депозитный калькулятор'!$D$8,DAY('депозитный калькулятор'!$D$7)&lt;&gt;DAY(F608)),IF('депозитный калькулятор'!$F$1=1,$H$24,SUM($H$23:H608)-SUM($I$23:I607)),IF(AND('депозитный калькулятор'!$G$10="ежемесячное (по дням открытия вклада)",DAY('депозитный калькулятор'!$D$7)=DAY(F608)),SUM($H$23:H608)-SUM($I$23:I607),IF(AND('депозитный калькулятор'!$G$10="ежемесячное, на минимальную сумму зафиксированную в течение месяца",F608='депозитный калькулятор'!$D$8,EOMONTH(F608,0)&lt;&gt;F608),IF('депозитный калькулятор'!$F$1=1,$H$24,IF(AND(OR('депозитный калькулятор'!$G$7="30/365",'депозитный калькулятор'!$G$7="30/360"),DAY(F608)=31),0,MIN(OFFSET(H608,-E608+1,0):H608)*(E608+SUMIF(OFFSET(A608,-E608+1,0):A608,"=2",OFFSET(A608,-E608+1,0):A608)))),IF(AND('депозитный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калькулятор'!$G$7="30/360"),DAY(EOMONTH(F608,0))=31),EOMONTH(F608,0)-1=F608,EOMONTH(F608,0)=F608)),IF(IF(AND(OR('депозитный калькулятор'!$G$7="30/365",'депозитный калькулятор'!$G$7="30/360"),DAY(EOMONTH($F$23,0))=31),F608=EOMONTH($F$23,0)-1,F608=EOMONTH($F$23,0)),MIN(OFFSET(H608,-(DAY(F608)-DAY($F$23)),0):H608)*E608,MIN(OFFSET(H608,-(DAY(F608)-1),0):H608)*IF(AND(OR('депозитный калькулятор'!$G$7="30/365",'депозитный калькулятор'!$G$7="30/360"),DAY(F608)&lt;30),30,DAY(F608))),IF(AND('депозитный калькулятор'!$G$10="ежемесячное, на средний остаток в течение месяца, при условии что остаток больше чем ограничение",F608='депозитный калькулятор'!$D$8,EOMONTH(F608,0)&lt;&gt;F608),IF('депозитный калькулятор'!$F$1=1,$H$24,SUM(OFFSET(Q608,-E608+1,0):Q608)),IF(AND('депозитный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калькулятор'!$G$7="30/360"),DAY(EOMONTH(F608,0))=31),EOMONTH(F608,0)-1=F608,EOMONTH(F608,0)=F608)),IF(IF(AND(OR('депозитный калькулятор'!$G$7="30/365",'депозитный калькулятор'!$G$7="30/360"),DAY(EOMONTH($F$24,0))=31),F608=EOMONTH($F$24,0)-1,F608=EOMONTH($F$24,0)),SUM(OFFSET(Q608,-E608+1,0):Q608),SUM(OFFSET(Q608,-E608+1,0):Q608)),IF('депозитный калькулятор'!$G$10="ежеквартальное",IF(F608&gt;'депозитный калькулятор'!$D$8," ",IF(AND(EOMONTH(F608,0)=F608,OR(MONTH(F608)=3,MONTH(F608)=6,MONTH(F608)=9,MONTH(F608)=12)),IF(EDATE(F608,-3)&lt;'депозитный калькулятор'!$D$7,SUM($H$23:H608),IF(MOD(YEAR(F608),4)=0,IF(AND(EOMONTH(F608,0)=F608,OR(MONTH(F608)=3,MONTH(F608)=6)),SUM(OFFSET(H608,-90,0):H608),IF(AND(EOMONTH(F608,0)=F608,OR(MONTH(F608)=9,MONTH(F608)=12)),SUM(OFFSET(H608,-91,0):H608))),IF(AND(EOMONTH(F608,0)=F608,MONTH(F608)=3),SUM(OFFSET(H608,-89,0):H608),IF(AND(EOMONTH(F608,0)=F608,MONTH(F608)=6),SUM(OFFSET(H608,-90,0):H608),IF(AND(EOMONTH(F608,0)=F608,OR(MONTH(F608)=9,MONTH(F608)=12)),SUM(OFFSET(H608,-91,0):H608)))))),IF(F608='депозитный калькулятор'!$D$8,SUM($H$23:H608)-SUM($I$23:I607),0))),IF('депозитный калькулятор'!$G$10="ежегодное",IF(F608&gt;'депозитный калькулятор'!$D$8," ",IF(F608='депозитный калькулятор'!$D$8,SUM($H$23:H608)-SUM($I$23:I607),IF(AND(EOMONTH(F608,0)=F608,MONTH(F608)=12),IF(MOD(YEAR(F607),4)=0,IF(F608-'депозитный калькулятор'!$D$7&lt;366,SUM($H$23:H608),SUM(OFFSET(H608,-365,0):H608)),IF(F608-'депозитный калькулятор'!$D$7&lt;365,SUM($H$23:H608),SUM(OFFSET(H608,-364,0):H608))),0))),IF(AND('депозитный калькулятор'!$G$10="в конце срока",'депозитный калькулятор'!$D$8=F608),SUM($H$23:H608),0))))))))))))))))))</f>
        <v xml:space="preserve"> </v>
      </c>
      <c r="J608" s="59" t="str">
        <f>IF(F608&gt;'депозитный калькулятор'!$D$8," ",IF('депозитный калькулятор'!$G$16="нет",0,IF(AND('депозитный калькулятор'!$G$17="разовая (в конце срока)",F608='депозитный калькулятор'!$D$8),'депозитный калькулятор'!$G$18,IF(AND('депозитный калькулятор'!$G$17="ежемесячная",EOMONTH(F607,0)=F607),'депозитный калькулятор'!$G$18,IF(AND('депозитный калькулятор'!$G$17="ежегодная",DAY(F607)=31,MONTH(F607)=12),'депозитный калькулятор'!$G$18,IF(AND('депозитный калькулятор'!$G$17="ежемесячная в зависимости от остатка",EOMONTH(F607,0)=F607,P607&gt;0),'депозитный калькулятор'!$G$18,IF(AND('депозитный калькулятор'!$G$17="ежегодная в зависимости от остатка",DAY(F607)=31,MONTH(F607)=12,P607&gt;0),'депозитный калькулятор'!$G$18,0)))))))</f>
        <v xml:space="preserve"> </v>
      </c>
      <c r="K608" s="135" t="str">
        <f>IF($F608=" "," ",IFERROR(VLOOKUP($F608,'депозитный калькулятор'!$B$26:$F$70,2,0),0))</f>
        <v xml:space="preserve"> </v>
      </c>
      <c r="L608" s="135" t="str">
        <f>IF($F608=" "," ",IFERROR(VLOOKUP($F608,'депозитный калькулятор'!$B$26:$F$70,3,0),0))</f>
        <v xml:space="preserve"> </v>
      </c>
      <c r="M608" s="135" t="str">
        <f>IF($F608=" "," ",IFERROR(VLOOKUP($F608,'депозитный калькулятор'!$B$26:$F$70,4,0),0))</f>
        <v xml:space="preserve"> </v>
      </c>
      <c r="N608" s="135" t="str">
        <f>IF($F608=" "," ",IFERROR(VLOOKUP($F608,'депозитный калькулятор'!$B$26:$F$70,5,0),0))</f>
        <v xml:space="preserve"> </v>
      </c>
      <c r="O608" s="146" t="str">
        <f>IF(F608&gt;'депозитный калькулятор'!$D$8," ",IF(F608='депозитный калькулятор'!$D$8,IF(AND($F$24='депозитный калькулятор'!$D$8,'депозитный калькулятор'!$G$13="нет"),-G608-IF(I608=" ",0,I608)-IF(AND(OR('депозитный калькулятор'!$G$7="30/365",'депозитный калькулятор'!$G$7="30/360"),'депозитный калькулятор'!$G$10="в начале срока"),I607,0)-L608+M608-N608,-G608-IF(I608=" ",0,I608)-L608+M608-N608),IF('депозитный калькулятор'!$G$13="есть",M608-N608+IF('депозитный калькулятор'!$G$14="есть",0,-L608),-IF(I608=" ",0,I608)-IF(AND(OR('депозитный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срока"),I607,0)+M608-N608+IF('депозитный калькулятор'!$G$14="есть",0,-L608))))</f>
        <v xml:space="preserve"> </v>
      </c>
      <c r="P608" s="147" t="str">
        <f>IF(F608&gt;'депозитный калькулятор'!$D$8," ",IF(EOMONTH(F607,0)=F607,0,IF(G608&gt;='депозитный калькулятор'!$G$19,P607,P607+1)))</f>
        <v xml:space="preserve"> </v>
      </c>
      <c r="Q608" s="138" t="str">
        <f>IF(F608=" "," ",IF(AND(OR('депозитный калькулятор'!$G$7="30/365",'депозитный калькулятор'!$G$7="30/360"),AND(MONTH(F608)=2,EOMONTH(F608,0)=F608)),IF(DAY(F608)=28,3,2),1)*IF(G608&gt;='депозитный калькулятор'!$G$11,IF(AND('депозитный калькулятор'!$G$7="факт/факт",MOD(YEAR(F608),4)=0),G608*'депозитный калькулятор'!$D$11/366,G608*'депозитный калькулятор'!$G$8),0))</f>
        <v xml:space="preserve"> </v>
      </c>
      <c r="R608" s="158"/>
      <c r="S608" s="62" t="str">
        <f t="shared" ca="1" si="47"/>
        <v xml:space="preserve"> </v>
      </c>
      <c r="T608" s="149" t="str">
        <f ca="1">IF(S608=" "," ",IF('депозитный калькулятор'!$G$7="30/360",DAYS360(U607,IF(DAY(U608)=31,U608-1,U608))+IF(AND(MONTH(U608)=2,U608=EOMONTH(U608,0)),30-DAY(EOMONTH(U608,0)))+T607,VLOOKUP(S608,$C$22:$F$1023,2,0)))</f>
        <v xml:space="preserve"> </v>
      </c>
      <c r="U608" s="64" t="str">
        <f t="shared" ca="1" si="45"/>
        <v xml:space="preserve"> </v>
      </c>
      <c r="V608" s="150" t="str">
        <f t="shared" ca="1" si="48"/>
        <v xml:space="preserve"> </v>
      </c>
      <c r="W608" s="62" t="str">
        <f t="shared" ca="1" si="49"/>
        <v xml:space="preserve"> </v>
      </c>
      <c r="X608" s="141" t="str">
        <f ca="1">IF(S608=" "," ",IFERROR(VLOOKUP(U608,$F$23:$N$1023,7)+VLOOKUP(U608,$F$23:$N$1023,9)+IF(AND('депозитный калькулятор'!$G$13="нет",U608&lt;&gt;'депозитный калькулятор'!$D$8),VLOOKUP(U608,$F$23:$N$1023,4),0),0)+IF(U608='депозитный калькулятор'!$D$8,VLOOKUP(U608,$F$23:$N$1023,2)+VLOOKUP(U608,$F$23:$N$1023,4),0))</f>
        <v xml:space="preserve"> </v>
      </c>
      <c r="Y608" s="142" t="str">
        <f ca="1">IF(S608=" "," ",W608/(1+'депозитный калькулятор'!$K$8)^(T608/IF('депозитный калькулятор'!$G$7="30/360",360,365)))</f>
        <v xml:space="preserve"> </v>
      </c>
      <c r="Z608" s="142" t="str">
        <f ca="1">IF(S608=" "," ",X608/(1+'депозитный калькулятор'!$K$8)^(T608/IF('депозитный калькулятор'!$G$7="30/360",360,365)))</f>
        <v xml:space="preserve"> </v>
      </c>
      <c r="AA608" s="151"/>
      <c r="AB608" s="151"/>
      <c r="AC608" s="155"/>
      <c r="AD608" s="155"/>
    </row>
    <row r="609" spans="1:30" s="2" customFormat="1" ht="15.5" x14ac:dyDescent="0.35">
      <c r="A609" s="41" t="str">
        <f>IF(F609=" "," ",IF(OR('депозитный калькулятор'!$G$7="30/365",'депозитный калькулятор'!$G$7="30/360"),IF(AND(MONTH(F609)=2,DAY(F609)=DAY(EOMONTH(F609,0))),30-DAY(EOMONTH(F609,0)),IF(DAY(F609)=31,1," "))," "))</f>
        <v xml:space="preserve"> </v>
      </c>
      <c r="B609" s="130" t="str">
        <f t="shared" si="46"/>
        <v xml:space="preserve"> </v>
      </c>
      <c r="C609" s="130" t="str">
        <f>IF(OR(B609=0,B609=" ")," ",SUM($B$23:B609))</f>
        <v xml:space="preserve"> </v>
      </c>
      <c r="D609" s="62" t="str">
        <f>IF(D608=" "," ",IF(OR(F608='депозитный калькулятор'!$D$8,F608=" ")," ",D608+1))</f>
        <v xml:space="preserve"> </v>
      </c>
      <c r="E609" s="130" t="str">
        <f>IF(OR(F608='депозитный калькулятор'!$D$8,F608=" ")," ",IF(EOMONTH(F608,0)=F608,1,E608+1))</f>
        <v xml:space="preserve"> </v>
      </c>
      <c r="F609" s="64" t="str">
        <f>IF(F608=" "," ",IF(F608='депозитный калькулятор'!$D$8," ",F608+1))</f>
        <v xml:space="preserve"> </v>
      </c>
      <c r="G609" s="145" t="str">
        <f xml:space="preserve"> IF(F609&gt;'депозитный калькулятор'!$D$8," ",IF('депозитный калькулятор'!$G$13="есть",IF('депозитный калькулятор'!$G$14="есть",G608+IF(I608=" ",0,I608)-J609-K609+L609+M609-N609,G608+IF(I608=" ",0,I608)-J609-K609+M609-N609),IF('депозитный калькулятор'!$G$14="есть",G608-J609-K609+L609+M609-N609,G608-J609-K609+M609-N609)))</f>
        <v xml:space="preserve"> </v>
      </c>
      <c r="H609" s="133" t="str">
        <f>IF(F609&gt;'депозитный калькулятор'!$D$8," ",IF(AND(OR('депозитный калькулятор'!$G$7="30/365",'депозитный калькулятор'!$G$7="30/360"),AND(MONTH(F609)=2,EOMONTH(F609,0)=F609)),IF(DAY(F609)=28,3*G609*'депозитный калькулятор'!$G$8,2*G609*'депозитный калькулятор'!$G$8),IF(AND(OR('депозитный калькулятор'!$G$7="30/365",'депозитный калькулятор'!$G$7="30/360"),DAY(F609)=31)," ",IF(AND('депозитный калькулятор'!$G$7="факт/факт",MOD(YEAR(F609),4)=0),G609*'депозитный калькулятор'!$D$11/366,G609*'депозитный калькулятор'!$G$8))))</f>
        <v xml:space="preserve"> </v>
      </c>
      <c r="I609" s="134" t="str">
        <f ca="1">IF(F609=" "," ",IF('депозитный калькулятор'!$G$10="ежедневное",H609,IF(AND('депозитный калькулятор'!$G$10="еженедельное",WEEKDAY(F609,2)=7),SUM(OFFSET(H609,-6,0):H609),IF(AND('депозитный калькулятор'!$G$10="еженедельное",F609='депозитный калькулятор'!$D$8),SUM($H$23:H609)-SUM($I$23:I608),IF(AND('депозитный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недели",WEEKDAY(F609,2)=7),MIN(OFFSET(H609,-6,0):H609)*(COUNTIF(OFFSET(H609,-6,0):H609,"&gt;0")+SUMIF(OFFSET(A609,-WEEKDAY(F609,2),0):A609,"=2",OFFSET(A609,-WEEKDAY(F609,2),0):A609)),IF(AND('депозитный калькулятор'!$G$10="еженедельное, на минимальную сумму зафиксированную в течение недели",F609='депозитный калькулятор'!$D$8,WEEKDAY(F609,2)&lt;&gt;7),MIN(OFFSET(H609,-WEEKDAY(F609,2),0):H609)*(COUNTIF(OFFSET(H609,-WEEKDAY(F609,2)+1,0):H609,"&gt;0")+SUM(OFFSET(A609,-WEEKDAY(F609,2),0):A609)),IF(AND('депозитный калькулятор'!$G$10="ежемесячное (в конце месяца)",F609='депозитный калькулятор'!$D$8,EOMONTH(F609,0)&lt;&gt;F609),IF('депозитный калькулятор'!$F$1=1,$H$24,SUM($H$23:H609)-SUM($I$23:I608)),IF(AND('депозитный калькулятор'!$G$10="ежемесячное (в конце месяца)",EOMONTH(F609,0)=F609),SUM($H$23:H609)-SUM($I$23:I608),IF(AND('депозитный калькулятор'!$G$10="ежемесячное (по дням открытия вклада)",F609='депозитный калькулятор'!$D$8,DAY('депозитный калькулятор'!$D$7)&lt;&gt;DAY(F609)),IF('депозитный калькулятор'!$F$1=1,$H$24,SUM($H$23:H609)-SUM($I$23:I608)),IF(AND('депозитный калькулятор'!$G$10="ежемесячное (по дням открытия вклада)",DAY('депозитный калькулятор'!$D$7)=DAY(F609)),SUM($H$23:H609)-SUM($I$23:I608),IF(AND('депозитный калькулятор'!$G$10="ежемесячное, на минимальную сумму зафиксированную в течение месяца",F609='депозитный калькулятор'!$D$8,EOMONTH(F609,0)&lt;&gt;F609),IF('депозитный калькулятор'!$F$1=1,$H$24,IF(AND(OR('депозитный калькулятор'!$G$7="30/365",'депозитный калькулятор'!$G$7="30/360"),DAY(F609)=31),0,MIN(OFFSET(H609,-E609+1,0):H609)*(E609+SUMIF(OFFSET(A609,-E609+1,0):A609,"=2",OFFSET(A609,-E609+1,0):A609)))),IF(AND('депозитный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калькулятор'!$G$7="30/360"),DAY(EOMONTH(F609,0))=31),EOMONTH(F609,0)-1=F609,EOMONTH(F609,0)=F609)),IF(IF(AND(OR('депозитный калькулятор'!$G$7="30/365",'депозитный калькулятор'!$G$7="30/360"),DAY(EOMONTH($F$23,0))=31),F609=EOMONTH($F$23,0)-1,F609=EOMONTH($F$23,0)),MIN(OFFSET(H609,-(DAY(F609)-DAY($F$23)),0):H609)*E609,MIN(OFFSET(H609,-(DAY(F609)-1),0):H609)*IF(AND(OR('депозитный калькулятор'!$G$7="30/365",'депозитный калькулятор'!$G$7="30/360"),DAY(F609)&lt;30),30,DAY(F609))),IF(AND('депозитный калькулятор'!$G$10="ежемесячное, на средний остаток в течение месяца, при условии что остаток больше чем ограничение",F609='депозитный калькулятор'!$D$8,EOMONTH(F609,0)&lt;&gt;F609),IF('депозитный калькулятор'!$F$1=1,$H$24,SUM(OFFSET(Q609,-E609+1,0):Q609)),IF(AND('депозитный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калькулятор'!$G$7="30/360"),DAY(EOMONTH(F609,0))=31),EOMONTH(F609,0)-1=F609,EOMONTH(F609,0)=F609)),IF(IF(AND(OR('депозитный калькулятор'!$G$7="30/365",'депозитный калькулятор'!$G$7="30/360"),DAY(EOMONTH($F$24,0))=31),F609=EOMONTH($F$24,0)-1,F609=EOMONTH($F$24,0)),SUM(OFFSET(Q609,-E609+1,0):Q609),SUM(OFFSET(Q609,-E609+1,0):Q609)),IF('депозитный калькулятор'!$G$10="ежеквартальное",IF(F609&gt;'депозитный калькулятор'!$D$8," ",IF(AND(EOMONTH(F609,0)=F609,OR(MONTH(F609)=3,MONTH(F609)=6,MONTH(F609)=9,MONTH(F609)=12)),IF(EDATE(F609,-3)&lt;'депозитный калькулятор'!$D$7,SUM($H$23:H609),IF(MOD(YEAR(F609),4)=0,IF(AND(EOMONTH(F609,0)=F609,OR(MONTH(F609)=3,MONTH(F609)=6)),SUM(OFFSET(H609,-90,0):H609),IF(AND(EOMONTH(F609,0)=F609,OR(MONTH(F609)=9,MONTH(F609)=12)),SUM(OFFSET(H609,-91,0):H609))),IF(AND(EOMONTH(F609,0)=F609,MONTH(F609)=3),SUM(OFFSET(H609,-89,0):H609),IF(AND(EOMONTH(F609,0)=F609,MONTH(F609)=6),SUM(OFFSET(H609,-90,0):H609),IF(AND(EOMONTH(F609,0)=F609,OR(MONTH(F609)=9,MONTH(F609)=12)),SUM(OFFSET(H609,-91,0):H609)))))),IF(F609='депозитный калькулятор'!$D$8,SUM($H$23:H609)-SUM($I$23:I608),0))),IF('депозитный калькулятор'!$G$10="ежегодное",IF(F609&gt;'депозитный калькулятор'!$D$8," ",IF(F609='депозитный калькулятор'!$D$8,SUM($H$23:H609)-SUM($I$23:I608),IF(AND(EOMONTH(F609,0)=F609,MONTH(F609)=12),IF(MOD(YEAR(F608),4)=0,IF(F609-'депозитный калькулятор'!$D$7&lt;366,SUM($H$23:H609),SUM(OFFSET(H609,-365,0):H609)),IF(F609-'депозитный калькулятор'!$D$7&lt;365,SUM($H$23:H609),SUM(OFFSET(H609,-364,0):H609))),0))),IF(AND('депозитный калькулятор'!$G$10="в конце срока",'депозитный калькулятор'!$D$8=F609),SUM($H$23:H609),0))))))))))))))))))</f>
        <v xml:space="preserve"> </v>
      </c>
      <c r="J609" s="59" t="str">
        <f>IF(F609&gt;'депозитный калькулятор'!$D$8," ",IF('депозитный калькулятор'!$G$16="нет",0,IF(AND('депозитный калькулятор'!$G$17="разовая (в конце срока)",F609='депозитный калькулятор'!$D$8),'депозитный калькулятор'!$G$18,IF(AND('депозитный калькулятор'!$G$17="ежемесячная",EOMONTH(F608,0)=F608),'депозитный калькулятор'!$G$18,IF(AND('депозитный калькулятор'!$G$17="ежегодная",DAY(F608)=31,MONTH(F608)=12),'депозитный калькулятор'!$G$18,IF(AND('депозитный калькулятор'!$G$17="ежемесячная в зависимости от остатка",EOMONTH(F608,0)=F608,P608&gt;0),'депозитный калькулятор'!$G$18,IF(AND('депозитный калькулятор'!$G$17="ежегодная в зависимости от остатка",DAY(F608)=31,MONTH(F608)=12,P608&gt;0),'депозитный калькулятор'!$G$18,0)))))))</f>
        <v xml:space="preserve"> </v>
      </c>
      <c r="K609" s="135" t="str">
        <f>IF($F609=" "," ",IFERROR(VLOOKUP($F609,'депозитный калькулятор'!$B$26:$F$70,2,0),0))</f>
        <v xml:space="preserve"> </v>
      </c>
      <c r="L609" s="135" t="str">
        <f>IF($F609=" "," ",IFERROR(VLOOKUP($F609,'депозитный калькулятор'!$B$26:$F$70,3,0),0))</f>
        <v xml:space="preserve"> </v>
      </c>
      <c r="M609" s="135" t="str">
        <f>IF($F609=" "," ",IFERROR(VLOOKUP($F609,'депозитный калькулятор'!$B$26:$F$70,4,0),0))</f>
        <v xml:space="preserve"> </v>
      </c>
      <c r="N609" s="135" t="str">
        <f>IF($F609=" "," ",IFERROR(VLOOKUP($F609,'депозитный калькулятор'!$B$26:$F$70,5,0),0))</f>
        <v xml:space="preserve"> </v>
      </c>
      <c r="O609" s="146" t="str">
        <f>IF(F609&gt;'депозитный калькулятор'!$D$8," ",IF(F609='депозитный калькулятор'!$D$8,IF(AND($F$24='депозитный калькулятор'!$D$8,'депозитный калькулятор'!$G$13="нет"),-G609-IF(I609=" ",0,I609)-IF(AND(OR('депозитный калькулятор'!$G$7="30/365",'депозитный калькулятор'!$G$7="30/360"),'депозитный калькулятор'!$G$10="в начале срока"),I608,0)-L609+M609-N609,-G609-IF(I609=" ",0,I609)-L609+M609-N609),IF('депозитный калькулятор'!$G$13="есть",M609-N609+IF('депозитный калькулятор'!$G$14="есть",0,-L609),-IF(I609=" ",0,I609)-IF(AND(OR('депозитный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срока"),I608,0)+M609-N609+IF('депозитный калькулятор'!$G$14="есть",0,-L609))))</f>
        <v xml:space="preserve"> </v>
      </c>
      <c r="P609" s="147" t="str">
        <f>IF(F609&gt;'депозитный калькулятор'!$D$8," ",IF(EOMONTH(F608,0)=F608,0,IF(G609&gt;='депозитный калькулятор'!$G$19,P608,P608+1)))</f>
        <v xml:space="preserve"> </v>
      </c>
      <c r="Q609" s="138" t="str">
        <f>IF(F609=" "," ",IF(AND(OR('депозитный калькулятор'!$G$7="30/365",'депозитный калькулятор'!$G$7="30/360"),AND(MONTH(F609)=2,EOMONTH(F609,0)=F609)),IF(DAY(F609)=28,3,2),1)*IF(G609&gt;='депозитный калькулятор'!$G$11,IF(AND('депозитный калькулятор'!$G$7="факт/факт",MOD(YEAR(F609),4)=0),G609*'депозитный калькулятор'!$D$11/366,G609*'депозитный калькулятор'!$G$8),0))</f>
        <v xml:space="preserve"> </v>
      </c>
      <c r="R609" s="158"/>
      <c r="S609" s="62" t="str">
        <f t="shared" ca="1" si="47"/>
        <v xml:space="preserve"> </v>
      </c>
      <c r="T609" s="149" t="str">
        <f ca="1">IF(S609=" "," ",IF('депозитный калькулятор'!$G$7="30/360",DAYS360(U608,IF(DAY(U609)=31,U609-1,U609))+IF(AND(MONTH(U609)=2,U609=EOMONTH(U609,0)),30-DAY(EOMONTH(U609,0)))+T608,VLOOKUP(S609,$C$22:$F$1023,2,0)))</f>
        <v xml:space="preserve"> </v>
      </c>
      <c r="U609" s="64" t="str">
        <f t="shared" ca="1" si="45"/>
        <v xml:space="preserve"> </v>
      </c>
      <c r="V609" s="150" t="str">
        <f t="shared" ca="1" si="48"/>
        <v xml:space="preserve"> </v>
      </c>
      <c r="W609" s="62" t="str">
        <f t="shared" ca="1" si="49"/>
        <v xml:space="preserve"> </v>
      </c>
      <c r="X609" s="141" t="str">
        <f ca="1">IF(S609=" "," ",IFERROR(VLOOKUP(U609,$F$23:$N$1023,7)+VLOOKUP(U609,$F$23:$N$1023,9)+IF(AND('депозитный калькулятор'!$G$13="нет",U609&lt;&gt;'депозитный калькулятор'!$D$8),VLOOKUP(U609,$F$23:$N$1023,4),0),0)+IF(U609='депозитный калькулятор'!$D$8,VLOOKUP(U609,$F$23:$N$1023,2)+VLOOKUP(U609,$F$23:$N$1023,4),0))</f>
        <v xml:space="preserve"> </v>
      </c>
      <c r="Y609" s="142" t="str">
        <f ca="1">IF(S609=" "," ",W609/(1+'депозитный калькулятор'!$K$8)^(T609/IF('депозитный калькулятор'!$G$7="30/360",360,365)))</f>
        <v xml:space="preserve"> </v>
      </c>
      <c r="Z609" s="142" t="str">
        <f ca="1">IF(S609=" "," ",X609/(1+'депозитный калькулятор'!$K$8)^(T609/IF('депозитный калькулятор'!$G$7="30/360",360,365)))</f>
        <v xml:space="preserve"> </v>
      </c>
      <c r="AA609" s="151"/>
      <c r="AB609" s="151"/>
      <c r="AC609" s="155"/>
      <c r="AD609" s="155"/>
    </row>
    <row r="610" spans="1:30" s="2" customFormat="1" ht="15.5" x14ac:dyDescent="0.35">
      <c r="A610" s="41" t="str">
        <f>IF(F610=" "," ",IF(OR('депозитный калькулятор'!$G$7="30/365",'депозитный калькулятор'!$G$7="30/360"),IF(AND(MONTH(F610)=2,DAY(F610)=DAY(EOMONTH(F610,0))),30-DAY(EOMONTH(F610,0)),IF(DAY(F610)=31,1," "))," "))</f>
        <v xml:space="preserve"> </v>
      </c>
      <c r="B610" s="130" t="str">
        <f t="shared" si="46"/>
        <v xml:space="preserve"> </v>
      </c>
      <c r="C610" s="130" t="str">
        <f>IF(OR(B610=0,B610=" ")," ",SUM($B$23:B610))</f>
        <v xml:space="preserve"> </v>
      </c>
      <c r="D610" s="62" t="str">
        <f>IF(D609=" "," ",IF(OR(F609='депозитный калькулятор'!$D$8,F609=" ")," ",D609+1))</f>
        <v xml:space="preserve"> </v>
      </c>
      <c r="E610" s="130" t="str">
        <f>IF(OR(F609='депозитный калькулятор'!$D$8,F609=" ")," ",IF(EOMONTH(F609,0)=F609,1,E609+1))</f>
        <v xml:space="preserve"> </v>
      </c>
      <c r="F610" s="64" t="str">
        <f>IF(F609=" "," ",IF(F609='депозитный калькулятор'!$D$8," ",F609+1))</f>
        <v xml:space="preserve"> </v>
      </c>
      <c r="G610" s="145" t="str">
        <f xml:space="preserve"> IF(F610&gt;'депозитный калькулятор'!$D$8," ",IF('депозитный калькулятор'!$G$13="есть",IF('депозитный калькулятор'!$G$14="есть",G609+IF(I609=" ",0,I609)-J610-K610+L610+M610-N610,G609+IF(I609=" ",0,I609)-J610-K610+M610-N610),IF('депозитный калькулятор'!$G$14="есть",G609-J610-K610+L610+M610-N610,G609-J610-K610+M610-N610)))</f>
        <v xml:space="preserve"> </v>
      </c>
      <c r="H610" s="133" t="str">
        <f>IF(F610&gt;'депозитный калькулятор'!$D$8," ",IF(AND(OR('депозитный калькулятор'!$G$7="30/365",'депозитный калькулятор'!$G$7="30/360"),AND(MONTH(F610)=2,EOMONTH(F610,0)=F610)),IF(DAY(F610)=28,3*G610*'депозитный калькулятор'!$G$8,2*G610*'депозитный калькулятор'!$G$8),IF(AND(OR('депозитный калькулятор'!$G$7="30/365",'депозитный калькулятор'!$G$7="30/360"),DAY(F610)=31)," ",IF(AND('депозитный калькулятор'!$G$7="факт/факт",MOD(YEAR(F610),4)=0),G610*'депозитный калькулятор'!$D$11/366,G610*'депозитный калькулятор'!$G$8))))</f>
        <v xml:space="preserve"> </v>
      </c>
      <c r="I610" s="134" t="str">
        <f ca="1">IF(F610=" "," ",IF('депозитный калькулятор'!$G$10="ежедневное",H610,IF(AND('депозитный калькулятор'!$G$10="еженедельное",WEEKDAY(F610,2)=7),SUM(OFFSET(H610,-6,0):H610),IF(AND('депозитный калькулятор'!$G$10="еженедельное",F610='депозитный калькулятор'!$D$8),SUM($H$23:H610)-SUM($I$23:I609),IF(AND('депозитный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недели",WEEKDAY(F610,2)=7),MIN(OFFSET(H610,-6,0):H610)*(COUNTIF(OFFSET(H610,-6,0):H610,"&gt;0")+SUMIF(OFFSET(A610,-WEEKDAY(F610,2),0):A610,"=2",OFFSET(A610,-WEEKDAY(F610,2),0):A610)),IF(AND('депозитный калькулятор'!$G$10="еженедельное, на минимальную сумму зафиксированную в течение недели",F610='депозитный калькулятор'!$D$8,WEEKDAY(F610,2)&lt;&gt;7),MIN(OFFSET(H610,-WEEKDAY(F610,2),0):H610)*(COUNTIF(OFFSET(H610,-WEEKDAY(F610,2)+1,0):H610,"&gt;0")+SUM(OFFSET(A610,-WEEKDAY(F610,2),0):A610)),IF(AND('депозитный калькулятор'!$G$10="ежемесячное (в конце месяца)",F610='депозитный калькулятор'!$D$8,EOMONTH(F610,0)&lt;&gt;F610),IF('депозитный калькулятор'!$F$1=1,$H$24,SUM($H$23:H610)-SUM($I$23:I609)),IF(AND('депозитный калькулятор'!$G$10="ежемесячное (в конце месяца)",EOMONTH(F610,0)=F610),SUM($H$23:H610)-SUM($I$23:I609),IF(AND('депозитный калькулятор'!$G$10="ежемесячное (по дням открытия вклада)",F610='депозитный калькулятор'!$D$8,DAY('депозитный калькулятор'!$D$7)&lt;&gt;DAY(F610)),IF('депозитный калькулятор'!$F$1=1,$H$24,SUM($H$23:H610)-SUM($I$23:I609)),IF(AND('депозитный калькулятор'!$G$10="ежемесячное (по дням открытия вклада)",DAY('депозитный калькулятор'!$D$7)=DAY(F610)),SUM($H$23:H610)-SUM($I$23:I609),IF(AND('депозитный калькулятор'!$G$10="ежемесячное, на минимальную сумму зафиксированную в течение месяца",F610='депозитный калькулятор'!$D$8,EOMONTH(F610,0)&lt;&gt;F610),IF('депозитный калькулятор'!$F$1=1,$H$24,IF(AND(OR('депозитный калькулятор'!$G$7="30/365",'депозитный калькулятор'!$G$7="30/360"),DAY(F610)=31),0,MIN(OFFSET(H610,-E610+1,0):H610)*(E610+SUMIF(OFFSET(A610,-E610+1,0):A610,"=2",OFFSET(A610,-E610+1,0):A610)))),IF(AND('депозитный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калькулятор'!$G$7="30/360"),DAY(EOMONTH(F610,0))=31),EOMONTH(F610,0)-1=F610,EOMONTH(F610,0)=F610)),IF(IF(AND(OR('депозитный калькулятор'!$G$7="30/365",'депозитный калькулятор'!$G$7="30/360"),DAY(EOMONTH($F$23,0))=31),F610=EOMONTH($F$23,0)-1,F610=EOMONTH($F$23,0)),MIN(OFFSET(H610,-(DAY(F610)-DAY($F$23)),0):H610)*E610,MIN(OFFSET(H610,-(DAY(F610)-1),0):H610)*IF(AND(OR('депозитный калькулятор'!$G$7="30/365",'депозитный калькулятор'!$G$7="30/360"),DAY(F610)&lt;30),30,DAY(F610))),IF(AND('депозитный калькулятор'!$G$10="ежемесячное, на средний остаток в течение месяца, при условии что остаток больше чем ограничение",F610='депозитный калькулятор'!$D$8,EOMONTH(F610,0)&lt;&gt;F610),IF('депозитный калькулятор'!$F$1=1,$H$24,SUM(OFFSET(Q610,-E610+1,0):Q610)),IF(AND('депозитный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калькулятор'!$G$7="30/360"),DAY(EOMONTH(F610,0))=31),EOMONTH(F610,0)-1=F610,EOMONTH(F610,0)=F610)),IF(IF(AND(OR('депозитный калькулятор'!$G$7="30/365",'депозитный калькулятор'!$G$7="30/360"),DAY(EOMONTH($F$24,0))=31),F610=EOMONTH($F$24,0)-1,F610=EOMONTH($F$24,0)),SUM(OFFSET(Q610,-E610+1,0):Q610),SUM(OFFSET(Q610,-E610+1,0):Q610)),IF('депозитный калькулятор'!$G$10="ежеквартальное",IF(F610&gt;'депозитный калькулятор'!$D$8," ",IF(AND(EOMONTH(F610,0)=F610,OR(MONTH(F610)=3,MONTH(F610)=6,MONTH(F610)=9,MONTH(F610)=12)),IF(EDATE(F610,-3)&lt;'депозитный калькулятор'!$D$7,SUM($H$23:H610),IF(MOD(YEAR(F610),4)=0,IF(AND(EOMONTH(F610,0)=F610,OR(MONTH(F610)=3,MONTH(F610)=6)),SUM(OFFSET(H610,-90,0):H610),IF(AND(EOMONTH(F610,0)=F610,OR(MONTH(F610)=9,MONTH(F610)=12)),SUM(OFFSET(H610,-91,0):H610))),IF(AND(EOMONTH(F610,0)=F610,MONTH(F610)=3),SUM(OFFSET(H610,-89,0):H610),IF(AND(EOMONTH(F610,0)=F610,MONTH(F610)=6),SUM(OFFSET(H610,-90,0):H610),IF(AND(EOMONTH(F610,0)=F610,OR(MONTH(F610)=9,MONTH(F610)=12)),SUM(OFFSET(H610,-91,0):H610)))))),IF(F610='депозитный калькулятор'!$D$8,SUM($H$23:H610)-SUM($I$23:I609),0))),IF('депозитный калькулятор'!$G$10="ежегодное",IF(F610&gt;'депозитный калькулятор'!$D$8," ",IF(F610='депозитный калькулятор'!$D$8,SUM($H$23:H610)-SUM($I$23:I609),IF(AND(EOMONTH(F610,0)=F610,MONTH(F610)=12),IF(MOD(YEAR(F609),4)=0,IF(F610-'депозитный калькулятор'!$D$7&lt;366,SUM($H$23:H610),SUM(OFFSET(H610,-365,0):H610)),IF(F610-'депозитный калькулятор'!$D$7&lt;365,SUM($H$23:H610),SUM(OFFSET(H610,-364,0):H610))),0))),IF(AND('депозитный калькулятор'!$G$10="в конце срока",'депозитный калькулятор'!$D$8=F610),SUM($H$23:H610),0))))))))))))))))))</f>
        <v xml:space="preserve"> </v>
      </c>
      <c r="J610" s="59" t="str">
        <f>IF(F610&gt;'депозитный калькулятор'!$D$8," ",IF('депозитный калькулятор'!$G$16="нет",0,IF(AND('депозитный калькулятор'!$G$17="разовая (в конце срока)",F610='депозитный калькулятор'!$D$8),'депозитный калькулятор'!$G$18,IF(AND('депозитный калькулятор'!$G$17="ежемесячная",EOMONTH(F609,0)=F609),'депозитный калькулятор'!$G$18,IF(AND('депозитный калькулятор'!$G$17="ежегодная",DAY(F609)=31,MONTH(F609)=12),'депозитный калькулятор'!$G$18,IF(AND('депозитный калькулятор'!$G$17="ежемесячная в зависимости от остатка",EOMONTH(F609,0)=F609,P609&gt;0),'депозитный калькулятор'!$G$18,IF(AND('депозитный калькулятор'!$G$17="ежегодная в зависимости от остатка",DAY(F609)=31,MONTH(F609)=12,P609&gt;0),'депозитный калькулятор'!$G$18,0)))))))</f>
        <v xml:space="preserve"> </v>
      </c>
      <c r="K610" s="135" t="str">
        <f>IF($F610=" "," ",IFERROR(VLOOKUP($F610,'депозитный калькулятор'!$B$26:$F$70,2,0),0))</f>
        <v xml:space="preserve"> </v>
      </c>
      <c r="L610" s="135" t="str">
        <f>IF($F610=" "," ",IFERROR(VLOOKUP($F610,'депозитный калькулятор'!$B$26:$F$70,3,0),0))</f>
        <v xml:space="preserve"> </v>
      </c>
      <c r="M610" s="135" t="str">
        <f>IF($F610=" "," ",IFERROR(VLOOKUP($F610,'депозитный калькулятор'!$B$26:$F$70,4,0),0))</f>
        <v xml:space="preserve"> </v>
      </c>
      <c r="N610" s="135" t="str">
        <f>IF($F610=" "," ",IFERROR(VLOOKUP($F610,'депозитный калькулятор'!$B$26:$F$70,5,0),0))</f>
        <v xml:space="preserve"> </v>
      </c>
      <c r="O610" s="146" t="str">
        <f>IF(F610&gt;'депозитный калькулятор'!$D$8," ",IF(F610='депозитный калькулятор'!$D$8,IF(AND($F$24='депозитный калькулятор'!$D$8,'депозитный калькулятор'!$G$13="нет"),-G610-IF(I610=" ",0,I610)-IF(AND(OR('депозитный калькулятор'!$G$7="30/365",'депозитный калькулятор'!$G$7="30/360"),'депозитный калькулятор'!$G$10="в начале срока"),I609,0)-L610+M610-N610,-G610-IF(I610=" ",0,I610)-L610+M610-N610),IF('депозитный калькулятор'!$G$13="есть",M610-N610+IF('депозитный калькулятор'!$G$14="есть",0,-L610),-IF(I610=" ",0,I610)-IF(AND(OR('депозитный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срока"),I609,0)+M610-N610+IF('депозитный калькулятор'!$G$14="есть",0,-L610))))</f>
        <v xml:space="preserve"> </v>
      </c>
      <c r="P610" s="147" t="str">
        <f>IF(F610&gt;'депозитный калькулятор'!$D$8," ",IF(EOMONTH(F609,0)=F609,0,IF(G610&gt;='депозитный калькулятор'!$G$19,P609,P609+1)))</f>
        <v xml:space="preserve"> </v>
      </c>
      <c r="Q610" s="138" t="str">
        <f>IF(F610=" "," ",IF(AND(OR('депозитный калькулятор'!$G$7="30/365",'депозитный калькулятор'!$G$7="30/360"),AND(MONTH(F610)=2,EOMONTH(F610,0)=F610)),IF(DAY(F610)=28,3,2),1)*IF(G610&gt;='депозитный калькулятор'!$G$11,IF(AND('депозитный калькулятор'!$G$7="факт/факт",MOD(YEAR(F610),4)=0),G610*'депозитный калькулятор'!$D$11/366,G610*'депозитный калькулятор'!$G$8),0))</f>
        <v xml:space="preserve"> </v>
      </c>
      <c r="R610" s="158"/>
      <c r="S610" s="62" t="str">
        <f t="shared" ca="1" si="47"/>
        <v xml:space="preserve"> </v>
      </c>
      <c r="T610" s="149" t="str">
        <f ca="1">IF(S610=" "," ",IF('депозитный калькулятор'!$G$7="30/360",DAYS360(U609,IF(DAY(U610)=31,U610-1,U610))+IF(AND(MONTH(U610)=2,U610=EOMONTH(U610,0)),30-DAY(EOMONTH(U610,0)))+T609,VLOOKUP(S610,$C$22:$F$1023,2,0)))</f>
        <v xml:space="preserve"> </v>
      </c>
      <c r="U610" s="64" t="str">
        <f t="shared" ca="1" si="45"/>
        <v xml:space="preserve"> </v>
      </c>
      <c r="V610" s="150" t="str">
        <f t="shared" ca="1" si="48"/>
        <v xml:space="preserve"> </v>
      </c>
      <c r="W610" s="62" t="str">
        <f t="shared" ca="1" si="49"/>
        <v xml:space="preserve"> </v>
      </c>
      <c r="X610" s="141" t="str">
        <f ca="1">IF(S610=" "," ",IFERROR(VLOOKUP(U610,$F$23:$N$1023,7)+VLOOKUP(U610,$F$23:$N$1023,9)+IF(AND('депозитный калькулятор'!$G$13="нет",U610&lt;&gt;'депозитный калькулятор'!$D$8),VLOOKUP(U610,$F$23:$N$1023,4),0),0)+IF(U610='депозитный калькулятор'!$D$8,VLOOKUP(U610,$F$23:$N$1023,2)+VLOOKUP(U610,$F$23:$N$1023,4),0))</f>
        <v xml:space="preserve"> </v>
      </c>
      <c r="Y610" s="142" t="str">
        <f ca="1">IF(S610=" "," ",W610/(1+'депозитный калькулятор'!$K$8)^(T610/IF('депозитный калькулятор'!$G$7="30/360",360,365)))</f>
        <v xml:space="preserve"> </v>
      </c>
      <c r="Z610" s="142" t="str">
        <f ca="1">IF(S610=" "," ",X610/(1+'депозитный калькулятор'!$K$8)^(T610/IF('депозитный калькулятор'!$G$7="30/360",360,365)))</f>
        <v xml:space="preserve"> </v>
      </c>
      <c r="AA610" s="151"/>
      <c r="AB610" s="151"/>
      <c r="AC610" s="155"/>
      <c r="AD610" s="155"/>
    </row>
    <row r="611" spans="1:30" s="2" customFormat="1" ht="15.5" x14ac:dyDescent="0.35">
      <c r="A611" s="41" t="str">
        <f>IF(F611=" "," ",IF(OR('депозитный калькулятор'!$G$7="30/365",'депозитный калькулятор'!$G$7="30/360"),IF(AND(MONTH(F611)=2,DAY(F611)=DAY(EOMONTH(F611,0))),30-DAY(EOMONTH(F611,0)),IF(DAY(F611)=31,1," "))," "))</f>
        <v xml:space="preserve"> </v>
      </c>
      <c r="B611" s="130" t="str">
        <f t="shared" si="46"/>
        <v xml:space="preserve"> </v>
      </c>
      <c r="C611" s="130" t="str">
        <f>IF(OR(B611=0,B611=" ")," ",SUM($B$23:B611))</f>
        <v xml:space="preserve"> </v>
      </c>
      <c r="D611" s="62" t="str">
        <f>IF(D610=" "," ",IF(OR(F610='депозитный калькулятор'!$D$8,F610=" ")," ",D610+1))</f>
        <v xml:space="preserve"> </v>
      </c>
      <c r="E611" s="130" t="str">
        <f>IF(OR(F610='депозитный калькулятор'!$D$8,F610=" ")," ",IF(EOMONTH(F610,0)=F610,1,E610+1))</f>
        <v xml:space="preserve"> </v>
      </c>
      <c r="F611" s="64" t="str">
        <f>IF(F610=" "," ",IF(F610='депозитный калькулятор'!$D$8," ",F610+1))</f>
        <v xml:space="preserve"> </v>
      </c>
      <c r="G611" s="145" t="str">
        <f xml:space="preserve"> IF(F611&gt;'депозитный калькулятор'!$D$8," ",IF('депозитный калькулятор'!$G$13="есть",IF('депозитный калькулятор'!$G$14="есть",G610+IF(I610=" ",0,I610)-J611-K611+L611+M611-N611,G610+IF(I610=" ",0,I610)-J611-K611+M611-N611),IF('депозитный калькулятор'!$G$14="есть",G610-J611-K611+L611+M611-N611,G610-J611-K611+M611-N611)))</f>
        <v xml:space="preserve"> </v>
      </c>
      <c r="H611" s="133" t="str">
        <f>IF(F611&gt;'депозитный калькулятор'!$D$8," ",IF(AND(OR('депозитный калькулятор'!$G$7="30/365",'депозитный калькулятор'!$G$7="30/360"),AND(MONTH(F611)=2,EOMONTH(F611,0)=F611)),IF(DAY(F611)=28,3*G611*'депозитный калькулятор'!$G$8,2*G611*'депозитный калькулятор'!$G$8),IF(AND(OR('депозитный калькулятор'!$G$7="30/365",'депозитный калькулятор'!$G$7="30/360"),DAY(F611)=31)," ",IF(AND('депозитный калькулятор'!$G$7="факт/факт",MOD(YEAR(F611),4)=0),G611*'депозитный калькулятор'!$D$11/366,G611*'депозитный калькулятор'!$G$8))))</f>
        <v xml:space="preserve"> </v>
      </c>
      <c r="I611" s="134" t="str">
        <f ca="1">IF(F611=" "," ",IF('депозитный калькулятор'!$G$10="ежедневное",H611,IF(AND('депозитный калькулятор'!$G$10="еженедельное",WEEKDAY(F611,2)=7),SUM(OFFSET(H611,-6,0):H611),IF(AND('депозитный калькулятор'!$G$10="еженедельное",F611='депозитный калькулятор'!$D$8),SUM($H$23:H611)-SUM($I$23:I610),IF(AND('депозитный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недели",WEEKDAY(F611,2)=7),MIN(OFFSET(H611,-6,0):H611)*(COUNTIF(OFFSET(H611,-6,0):H611,"&gt;0")+SUMIF(OFFSET(A611,-WEEKDAY(F611,2),0):A611,"=2",OFFSET(A611,-WEEKDAY(F611,2),0):A611)),IF(AND('депозитный калькулятор'!$G$10="еженедельное, на минимальную сумму зафиксированную в течение недели",F611='депозитный калькулятор'!$D$8,WEEKDAY(F611,2)&lt;&gt;7),MIN(OFFSET(H611,-WEEKDAY(F611,2),0):H611)*(COUNTIF(OFFSET(H611,-WEEKDAY(F611,2)+1,0):H611,"&gt;0")+SUM(OFFSET(A611,-WEEKDAY(F611,2),0):A611)),IF(AND('депозитный калькулятор'!$G$10="ежемесячное (в конце месяца)",F611='депозитный калькулятор'!$D$8,EOMONTH(F611,0)&lt;&gt;F611),IF('депозитный калькулятор'!$F$1=1,$H$24,SUM($H$23:H611)-SUM($I$23:I610)),IF(AND('депозитный калькулятор'!$G$10="ежемесячное (в конце месяца)",EOMONTH(F611,0)=F611),SUM($H$23:H611)-SUM($I$23:I610),IF(AND('депозитный калькулятор'!$G$10="ежемесячное (по дням открытия вклада)",F611='депозитный калькулятор'!$D$8,DAY('депозитный калькулятор'!$D$7)&lt;&gt;DAY(F611)),IF('депозитный калькулятор'!$F$1=1,$H$24,SUM($H$23:H611)-SUM($I$23:I610)),IF(AND('депозитный калькулятор'!$G$10="ежемесячное (по дням открытия вклада)",DAY('депозитный калькулятор'!$D$7)=DAY(F611)),SUM($H$23:H611)-SUM($I$23:I610),IF(AND('депозитный калькулятор'!$G$10="ежемесячное, на минимальную сумму зафиксированную в течение месяца",F611='депозитный калькулятор'!$D$8,EOMONTH(F611,0)&lt;&gt;F611),IF('депозитный калькулятор'!$F$1=1,$H$24,IF(AND(OR('депозитный калькулятор'!$G$7="30/365",'депозитный калькулятор'!$G$7="30/360"),DAY(F611)=31),0,MIN(OFFSET(H611,-E611+1,0):H611)*(E611+SUMIF(OFFSET(A611,-E611+1,0):A611,"=2",OFFSET(A611,-E611+1,0):A611)))),IF(AND('депозитный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калькулятор'!$G$7="30/360"),DAY(EOMONTH(F611,0))=31),EOMONTH(F611,0)-1=F611,EOMONTH(F611,0)=F611)),IF(IF(AND(OR('депозитный калькулятор'!$G$7="30/365",'депозитный калькулятор'!$G$7="30/360"),DAY(EOMONTH($F$23,0))=31),F611=EOMONTH($F$23,0)-1,F611=EOMONTH($F$23,0)),MIN(OFFSET(H611,-(DAY(F611)-DAY($F$23)),0):H611)*E611,MIN(OFFSET(H611,-(DAY(F611)-1),0):H611)*IF(AND(OR('депозитный калькулятор'!$G$7="30/365",'депозитный калькулятор'!$G$7="30/360"),DAY(F611)&lt;30),30,DAY(F611))),IF(AND('депозитный калькулятор'!$G$10="ежемесячное, на средний остаток в течение месяца, при условии что остаток больше чем ограничение",F611='депозитный калькулятор'!$D$8,EOMONTH(F611,0)&lt;&gt;F611),IF('депозитный калькулятор'!$F$1=1,$H$24,SUM(OFFSET(Q611,-E611+1,0):Q611)),IF(AND('депозитный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калькулятор'!$G$7="30/360"),DAY(EOMONTH(F611,0))=31),EOMONTH(F611,0)-1=F611,EOMONTH(F611,0)=F611)),IF(IF(AND(OR('депозитный калькулятор'!$G$7="30/365",'депозитный калькулятор'!$G$7="30/360"),DAY(EOMONTH($F$24,0))=31),F611=EOMONTH($F$24,0)-1,F611=EOMONTH($F$24,0)),SUM(OFFSET(Q611,-E611+1,0):Q611),SUM(OFFSET(Q611,-E611+1,0):Q611)),IF('депозитный калькулятор'!$G$10="ежеквартальное",IF(F611&gt;'депозитный калькулятор'!$D$8," ",IF(AND(EOMONTH(F611,0)=F611,OR(MONTH(F611)=3,MONTH(F611)=6,MONTH(F611)=9,MONTH(F611)=12)),IF(EDATE(F611,-3)&lt;'депозитный калькулятор'!$D$7,SUM($H$23:H611),IF(MOD(YEAR(F611),4)=0,IF(AND(EOMONTH(F611,0)=F611,OR(MONTH(F611)=3,MONTH(F611)=6)),SUM(OFFSET(H611,-90,0):H611),IF(AND(EOMONTH(F611,0)=F611,OR(MONTH(F611)=9,MONTH(F611)=12)),SUM(OFFSET(H611,-91,0):H611))),IF(AND(EOMONTH(F611,0)=F611,MONTH(F611)=3),SUM(OFFSET(H611,-89,0):H611),IF(AND(EOMONTH(F611,0)=F611,MONTH(F611)=6),SUM(OFFSET(H611,-90,0):H611),IF(AND(EOMONTH(F611,0)=F611,OR(MONTH(F611)=9,MONTH(F611)=12)),SUM(OFFSET(H611,-91,0):H611)))))),IF(F611='депозитный калькулятор'!$D$8,SUM($H$23:H611)-SUM($I$23:I610),0))),IF('депозитный калькулятор'!$G$10="ежегодное",IF(F611&gt;'депозитный калькулятор'!$D$8," ",IF(F611='депозитный калькулятор'!$D$8,SUM($H$23:H611)-SUM($I$23:I610),IF(AND(EOMONTH(F611,0)=F611,MONTH(F611)=12),IF(MOD(YEAR(F610),4)=0,IF(F611-'депозитный калькулятор'!$D$7&lt;366,SUM($H$23:H611),SUM(OFFSET(H611,-365,0):H611)),IF(F611-'депозитный калькулятор'!$D$7&lt;365,SUM($H$23:H611),SUM(OFFSET(H611,-364,0):H611))),0))),IF(AND('депозитный калькулятор'!$G$10="в конце срока",'депозитный калькулятор'!$D$8=F611),SUM($H$23:H611),0))))))))))))))))))</f>
        <v xml:space="preserve"> </v>
      </c>
      <c r="J611" s="59" t="str">
        <f>IF(F611&gt;'депозитный калькулятор'!$D$8," ",IF('депозитный калькулятор'!$G$16="нет",0,IF(AND('депозитный калькулятор'!$G$17="разовая (в конце срока)",F611='депозитный калькулятор'!$D$8),'депозитный калькулятор'!$G$18,IF(AND('депозитный калькулятор'!$G$17="ежемесячная",EOMONTH(F610,0)=F610),'депозитный калькулятор'!$G$18,IF(AND('депозитный калькулятор'!$G$17="ежегодная",DAY(F610)=31,MONTH(F610)=12),'депозитный калькулятор'!$G$18,IF(AND('депозитный калькулятор'!$G$17="ежемесячная в зависимости от остатка",EOMONTH(F610,0)=F610,P610&gt;0),'депозитный калькулятор'!$G$18,IF(AND('депозитный калькулятор'!$G$17="ежегодная в зависимости от остатка",DAY(F610)=31,MONTH(F610)=12,P610&gt;0),'депозитный калькулятор'!$G$18,0)))))))</f>
        <v xml:space="preserve"> </v>
      </c>
      <c r="K611" s="135" t="str">
        <f>IF($F611=" "," ",IFERROR(VLOOKUP($F611,'депозитный калькулятор'!$B$26:$F$70,2,0),0))</f>
        <v xml:space="preserve"> </v>
      </c>
      <c r="L611" s="135" t="str">
        <f>IF($F611=" "," ",IFERROR(VLOOKUP($F611,'депозитный калькулятор'!$B$26:$F$70,3,0),0))</f>
        <v xml:space="preserve"> </v>
      </c>
      <c r="M611" s="135" t="str">
        <f>IF($F611=" "," ",IFERROR(VLOOKUP($F611,'депозитный калькулятор'!$B$26:$F$70,4,0),0))</f>
        <v xml:space="preserve"> </v>
      </c>
      <c r="N611" s="135" t="str">
        <f>IF($F611=" "," ",IFERROR(VLOOKUP($F611,'депозитный калькулятор'!$B$26:$F$70,5,0),0))</f>
        <v xml:space="preserve"> </v>
      </c>
      <c r="O611" s="146" t="str">
        <f>IF(F611&gt;'депозитный калькулятор'!$D$8," ",IF(F611='депозитный калькулятор'!$D$8,IF(AND($F$24='депозитный калькулятор'!$D$8,'депозитный калькулятор'!$G$13="нет"),-G611-IF(I611=" ",0,I611)-IF(AND(OR('депозитный калькулятор'!$G$7="30/365",'депозитный калькулятор'!$G$7="30/360"),'депозитный калькулятор'!$G$10="в начале срока"),I610,0)-L611+M611-N611,-G611-IF(I611=" ",0,I611)-L611+M611-N611),IF('депозитный калькулятор'!$G$13="есть",M611-N611+IF('депозитный калькулятор'!$G$14="есть",0,-L611),-IF(I611=" ",0,I611)-IF(AND(OR('депозитный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срока"),I610,0)+M611-N611+IF('депозитный калькулятор'!$G$14="есть",0,-L611))))</f>
        <v xml:space="preserve"> </v>
      </c>
      <c r="P611" s="147" t="str">
        <f>IF(F611&gt;'депозитный калькулятор'!$D$8," ",IF(EOMONTH(F610,0)=F610,0,IF(G611&gt;='депозитный калькулятор'!$G$19,P610,P610+1)))</f>
        <v xml:space="preserve"> </v>
      </c>
      <c r="Q611" s="138" t="str">
        <f>IF(F611=" "," ",IF(AND(OR('депозитный калькулятор'!$G$7="30/365",'депозитный калькулятор'!$G$7="30/360"),AND(MONTH(F611)=2,EOMONTH(F611,0)=F611)),IF(DAY(F611)=28,3,2),1)*IF(G611&gt;='депозитный калькулятор'!$G$11,IF(AND('депозитный калькулятор'!$G$7="факт/факт",MOD(YEAR(F611),4)=0),G611*'депозитный калькулятор'!$D$11/366,G611*'депозитный калькулятор'!$G$8),0))</f>
        <v xml:space="preserve"> </v>
      </c>
      <c r="R611" s="158"/>
      <c r="S611" s="62" t="str">
        <f t="shared" ca="1" si="47"/>
        <v xml:space="preserve"> </v>
      </c>
      <c r="T611" s="149" t="str">
        <f ca="1">IF(S611=" "," ",IF('депозитный калькулятор'!$G$7="30/360",DAYS360(U610,IF(DAY(U611)=31,U611-1,U611))+IF(AND(MONTH(U611)=2,U611=EOMONTH(U611,0)),30-DAY(EOMONTH(U611,0)))+T610,VLOOKUP(S611,$C$22:$F$1023,2,0)))</f>
        <v xml:space="preserve"> </v>
      </c>
      <c r="U611" s="64" t="str">
        <f t="shared" ca="1" si="45"/>
        <v xml:space="preserve"> </v>
      </c>
      <c r="V611" s="150" t="str">
        <f t="shared" ca="1" si="48"/>
        <v xml:space="preserve"> </v>
      </c>
      <c r="W611" s="62" t="str">
        <f t="shared" ca="1" si="49"/>
        <v xml:space="preserve"> </v>
      </c>
      <c r="X611" s="141" t="str">
        <f ca="1">IF(S611=" "," ",IFERROR(VLOOKUP(U611,$F$23:$N$1023,7)+VLOOKUP(U611,$F$23:$N$1023,9)+IF(AND('депозитный калькулятор'!$G$13="нет",U611&lt;&gt;'депозитный калькулятор'!$D$8),VLOOKUP(U611,$F$23:$N$1023,4),0),0)+IF(U611='депозитный калькулятор'!$D$8,VLOOKUP(U611,$F$23:$N$1023,2)+VLOOKUP(U611,$F$23:$N$1023,4),0))</f>
        <v xml:space="preserve"> </v>
      </c>
      <c r="Y611" s="142" t="str">
        <f ca="1">IF(S611=" "," ",W611/(1+'депозитный калькулятор'!$K$8)^(T611/IF('депозитный калькулятор'!$G$7="30/360",360,365)))</f>
        <v xml:space="preserve"> </v>
      </c>
      <c r="Z611" s="142" t="str">
        <f ca="1">IF(S611=" "," ",X611/(1+'депозитный калькулятор'!$K$8)^(T611/IF('депозитный калькулятор'!$G$7="30/360",360,365)))</f>
        <v xml:space="preserve"> </v>
      </c>
      <c r="AA611" s="151"/>
      <c r="AB611" s="151"/>
      <c r="AC611" s="155"/>
      <c r="AD611" s="155"/>
    </row>
    <row r="612" spans="1:30" s="2" customFormat="1" ht="15.5" x14ac:dyDescent="0.35">
      <c r="A612" s="41" t="str">
        <f>IF(F612=" "," ",IF(OR('депозитный калькулятор'!$G$7="30/365",'депозитный калькулятор'!$G$7="30/360"),IF(AND(MONTH(F612)=2,DAY(F612)=DAY(EOMONTH(F612,0))),30-DAY(EOMONTH(F612,0)),IF(DAY(F612)=31,1," "))," "))</f>
        <v xml:space="preserve"> </v>
      </c>
      <c r="B612" s="130" t="str">
        <f t="shared" si="46"/>
        <v xml:space="preserve"> </v>
      </c>
      <c r="C612" s="130" t="str">
        <f>IF(OR(B612=0,B612=" ")," ",SUM($B$23:B612))</f>
        <v xml:space="preserve"> </v>
      </c>
      <c r="D612" s="62" t="str">
        <f>IF(D611=" "," ",IF(OR(F611='депозитный калькулятор'!$D$8,F611=" ")," ",D611+1))</f>
        <v xml:space="preserve"> </v>
      </c>
      <c r="E612" s="130" t="str">
        <f>IF(OR(F611='депозитный калькулятор'!$D$8,F611=" ")," ",IF(EOMONTH(F611,0)=F611,1,E611+1))</f>
        <v xml:space="preserve"> </v>
      </c>
      <c r="F612" s="64" t="str">
        <f>IF(F611=" "," ",IF(F611='депозитный калькулятор'!$D$8," ",F611+1))</f>
        <v xml:space="preserve"> </v>
      </c>
      <c r="G612" s="145" t="str">
        <f xml:space="preserve"> IF(F612&gt;'депозитный калькулятор'!$D$8," ",IF('депозитный калькулятор'!$G$13="есть",IF('депозитный калькулятор'!$G$14="есть",G611+IF(I611=" ",0,I611)-J612-K612+L612+M612-N612,G611+IF(I611=" ",0,I611)-J612-K612+M612-N612),IF('депозитный калькулятор'!$G$14="есть",G611-J612-K612+L612+M612-N612,G611-J612-K612+M612-N612)))</f>
        <v xml:space="preserve"> </v>
      </c>
      <c r="H612" s="133" t="str">
        <f>IF(F612&gt;'депозитный калькулятор'!$D$8," ",IF(AND(OR('депозитный калькулятор'!$G$7="30/365",'депозитный калькулятор'!$G$7="30/360"),AND(MONTH(F612)=2,EOMONTH(F612,0)=F612)),IF(DAY(F612)=28,3*G612*'депозитный калькулятор'!$G$8,2*G612*'депозитный калькулятор'!$G$8),IF(AND(OR('депозитный калькулятор'!$G$7="30/365",'депозитный калькулятор'!$G$7="30/360"),DAY(F612)=31)," ",IF(AND('депозитный калькулятор'!$G$7="факт/факт",MOD(YEAR(F612),4)=0),G612*'депозитный калькулятор'!$D$11/366,G612*'депозитный калькулятор'!$G$8))))</f>
        <v xml:space="preserve"> </v>
      </c>
      <c r="I612" s="134" t="str">
        <f ca="1">IF(F612=" "," ",IF('депозитный калькулятор'!$G$10="ежедневное",H612,IF(AND('депозитный калькулятор'!$G$10="еженедельное",WEEKDAY(F612,2)=7),SUM(OFFSET(H612,-6,0):H612),IF(AND('депозитный калькулятор'!$G$10="еженедельное",F612='депозитный калькулятор'!$D$8),SUM($H$23:H612)-SUM($I$23:I611),IF(AND('депозитный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недели",WEEKDAY(F612,2)=7),MIN(OFFSET(H612,-6,0):H612)*(COUNTIF(OFFSET(H612,-6,0):H612,"&gt;0")+SUMIF(OFFSET(A612,-WEEKDAY(F612,2),0):A612,"=2",OFFSET(A612,-WEEKDAY(F612,2),0):A612)),IF(AND('депозитный калькулятор'!$G$10="еженедельное, на минимальную сумму зафиксированную в течение недели",F612='депозитный калькулятор'!$D$8,WEEKDAY(F612,2)&lt;&gt;7),MIN(OFFSET(H612,-WEEKDAY(F612,2),0):H612)*(COUNTIF(OFFSET(H612,-WEEKDAY(F612,2)+1,0):H612,"&gt;0")+SUM(OFFSET(A612,-WEEKDAY(F612,2),0):A612)),IF(AND('депозитный калькулятор'!$G$10="ежемесячное (в конце месяца)",F612='депозитный калькулятор'!$D$8,EOMONTH(F612,0)&lt;&gt;F612),IF('депозитный калькулятор'!$F$1=1,$H$24,SUM($H$23:H612)-SUM($I$23:I611)),IF(AND('депозитный калькулятор'!$G$10="ежемесячное (в конце месяца)",EOMONTH(F612,0)=F612),SUM($H$23:H612)-SUM($I$23:I611),IF(AND('депозитный калькулятор'!$G$10="ежемесячное (по дням открытия вклада)",F612='депозитный калькулятор'!$D$8,DAY('депозитный калькулятор'!$D$7)&lt;&gt;DAY(F612)),IF('депозитный калькулятор'!$F$1=1,$H$24,SUM($H$23:H612)-SUM($I$23:I611)),IF(AND('депозитный калькулятор'!$G$10="ежемесячное (по дням открытия вклада)",DAY('депозитный калькулятор'!$D$7)=DAY(F612)),SUM($H$23:H612)-SUM($I$23:I611),IF(AND('депозитный калькулятор'!$G$10="ежемесячное, на минимальную сумму зафиксированную в течение месяца",F612='депозитный калькулятор'!$D$8,EOMONTH(F612,0)&lt;&gt;F612),IF('депозитный калькулятор'!$F$1=1,$H$24,IF(AND(OR('депозитный калькулятор'!$G$7="30/365",'депозитный калькулятор'!$G$7="30/360"),DAY(F612)=31),0,MIN(OFFSET(H612,-E612+1,0):H612)*(E612+SUMIF(OFFSET(A612,-E612+1,0):A612,"=2",OFFSET(A612,-E612+1,0):A612)))),IF(AND('депозитный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калькулятор'!$G$7="30/360"),DAY(EOMONTH(F612,0))=31),EOMONTH(F612,0)-1=F612,EOMONTH(F612,0)=F612)),IF(IF(AND(OR('депозитный калькулятор'!$G$7="30/365",'депозитный калькулятор'!$G$7="30/360"),DAY(EOMONTH($F$23,0))=31),F612=EOMONTH($F$23,0)-1,F612=EOMONTH($F$23,0)),MIN(OFFSET(H612,-(DAY(F612)-DAY($F$23)),0):H612)*E612,MIN(OFFSET(H612,-(DAY(F612)-1),0):H612)*IF(AND(OR('депозитный калькулятор'!$G$7="30/365",'депозитный калькулятор'!$G$7="30/360"),DAY(F612)&lt;30),30,DAY(F612))),IF(AND('депозитный калькулятор'!$G$10="ежемесячное, на средний остаток в течение месяца, при условии что остаток больше чем ограничение",F612='депозитный калькулятор'!$D$8,EOMONTH(F612,0)&lt;&gt;F612),IF('депозитный калькулятор'!$F$1=1,$H$24,SUM(OFFSET(Q612,-E612+1,0):Q612)),IF(AND('депозитный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калькулятор'!$G$7="30/360"),DAY(EOMONTH(F612,0))=31),EOMONTH(F612,0)-1=F612,EOMONTH(F612,0)=F612)),IF(IF(AND(OR('депозитный калькулятор'!$G$7="30/365",'депозитный калькулятор'!$G$7="30/360"),DAY(EOMONTH($F$24,0))=31),F612=EOMONTH($F$24,0)-1,F612=EOMONTH($F$24,0)),SUM(OFFSET(Q612,-E612+1,0):Q612),SUM(OFFSET(Q612,-E612+1,0):Q612)),IF('депозитный калькулятор'!$G$10="ежеквартальное",IF(F612&gt;'депозитный калькулятор'!$D$8," ",IF(AND(EOMONTH(F612,0)=F612,OR(MONTH(F612)=3,MONTH(F612)=6,MONTH(F612)=9,MONTH(F612)=12)),IF(EDATE(F612,-3)&lt;'депозитный калькулятор'!$D$7,SUM($H$23:H612),IF(MOD(YEAR(F612),4)=0,IF(AND(EOMONTH(F612,0)=F612,OR(MONTH(F612)=3,MONTH(F612)=6)),SUM(OFFSET(H612,-90,0):H612),IF(AND(EOMONTH(F612,0)=F612,OR(MONTH(F612)=9,MONTH(F612)=12)),SUM(OFFSET(H612,-91,0):H612))),IF(AND(EOMONTH(F612,0)=F612,MONTH(F612)=3),SUM(OFFSET(H612,-89,0):H612),IF(AND(EOMONTH(F612,0)=F612,MONTH(F612)=6),SUM(OFFSET(H612,-90,0):H612),IF(AND(EOMONTH(F612,0)=F612,OR(MONTH(F612)=9,MONTH(F612)=12)),SUM(OFFSET(H612,-91,0):H612)))))),IF(F612='депозитный калькулятор'!$D$8,SUM($H$23:H612)-SUM($I$23:I611),0))),IF('депозитный калькулятор'!$G$10="ежегодное",IF(F612&gt;'депозитный калькулятор'!$D$8," ",IF(F612='депозитный калькулятор'!$D$8,SUM($H$23:H612)-SUM($I$23:I611),IF(AND(EOMONTH(F612,0)=F612,MONTH(F612)=12),IF(MOD(YEAR(F611),4)=0,IF(F612-'депозитный калькулятор'!$D$7&lt;366,SUM($H$23:H612),SUM(OFFSET(H612,-365,0):H612)),IF(F612-'депозитный калькулятор'!$D$7&lt;365,SUM($H$23:H612),SUM(OFFSET(H612,-364,0):H612))),0))),IF(AND('депозитный калькулятор'!$G$10="в конце срока",'депозитный калькулятор'!$D$8=F612),SUM($H$23:H612),0))))))))))))))))))</f>
        <v xml:space="preserve"> </v>
      </c>
      <c r="J612" s="59" t="str">
        <f>IF(F612&gt;'депозитный калькулятор'!$D$8," ",IF('депозитный калькулятор'!$G$16="нет",0,IF(AND('депозитный калькулятор'!$G$17="разовая (в конце срока)",F612='депозитный калькулятор'!$D$8),'депозитный калькулятор'!$G$18,IF(AND('депозитный калькулятор'!$G$17="ежемесячная",EOMONTH(F611,0)=F611),'депозитный калькулятор'!$G$18,IF(AND('депозитный калькулятор'!$G$17="ежегодная",DAY(F611)=31,MONTH(F611)=12),'депозитный калькулятор'!$G$18,IF(AND('депозитный калькулятор'!$G$17="ежемесячная в зависимости от остатка",EOMONTH(F611,0)=F611,P611&gt;0),'депозитный калькулятор'!$G$18,IF(AND('депозитный калькулятор'!$G$17="ежегодная в зависимости от остатка",DAY(F611)=31,MONTH(F611)=12,P611&gt;0),'депозитный калькулятор'!$G$18,0)))))))</f>
        <v xml:space="preserve"> </v>
      </c>
      <c r="K612" s="135" t="str">
        <f>IF($F612=" "," ",IFERROR(VLOOKUP($F612,'депозитный калькулятор'!$B$26:$F$70,2,0),0))</f>
        <v xml:space="preserve"> </v>
      </c>
      <c r="L612" s="135" t="str">
        <f>IF($F612=" "," ",IFERROR(VLOOKUP($F612,'депозитный калькулятор'!$B$26:$F$70,3,0),0))</f>
        <v xml:space="preserve"> </v>
      </c>
      <c r="M612" s="135" t="str">
        <f>IF($F612=" "," ",IFERROR(VLOOKUP($F612,'депозитный калькулятор'!$B$26:$F$70,4,0),0))</f>
        <v xml:space="preserve"> </v>
      </c>
      <c r="N612" s="135" t="str">
        <f>IF($F612=" "," ",IFERROR(VLOOKUP($F612,'депозитный калькулятор'!$B$26:$F$70,5,0),0))</f>
        <v xml:space="preserve"> </v>
      </c>
      <c r="O612" s="146" t="str">
        <f>IF(F612&gt;'депозитный калькулятор'!$D$8," ",IF(F612='депозитный калькулятор'!$D$8,IF(AND($F$24='депозитный калькулятор'!$D$8,'депозитный калькулятор'!$G$13="нет"),-G612-IF(I612=" ",0,I612)-IF(AND(OR('депозитный калькулятор'!$G$7="30/365",'депозитный калькулятор'!$G$7="30/360"),'депозитный калькулятор'!$G$10="в начале срока"),I611,0)-L612+M612-N612,-G612-IF(I612=" ",0,I612)-L612+M612-N612),IF('депозитный калькулятор'!$G$13="есть",M612-N612+IF('депозитный калькулятор'!$G$14="есть",0,-L612),-IF(I612=" ",0,I612)-IF(AND(OR('депозитный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срока"),I611,0)+M612-N612+IF('депозитный калькулятор'!$G$14="есть",0,-L612))))</f>
        <v xml:space="preserve"> </v>
      </c>
      <c r="P612" s="147" t="str">
        <f>IF(F612&gt;'депозитный калькулятор'!$D$8," ",IF(EOMONTH(F611,0)=F611,0,IF(G612&gt;='депозитный калькулятор'!$G$19,P611,P611+1)))</f>
        <v xml:space="preserve"> </v>
      </c>
      <c r="Q612" s="138" t="str">
        <f>IF(F612=" "," ",IF(AND(OR('депозитный калькулятор'!$G$7="30/365",'депозитный калькулятор'!$G$7="30/360"),AND(MONTH(F612)=2,EOMONTH(F612,0)=F612)),IF(DAY(F612)=28,3,2),1)*IF(G612&gt;='депозитный калькулятор'!$G$11,IF(AND('депозитный калькулятор'!$G$7="факт/факт",MOD(YEAR(F612),4)=0),G612*'депозитный калькулятор'!$D$11/366,G612*'депозитный калькулятор'!$G$8),0))</f>
        <v xml:space="preserve"> </v>
      </c>
      <c r="R612" s="158"/>
      <c r="S612" s="62" t="str">
        <f t="shared" ca="1" si="47"/>
        <v xml:space="preserve"> </v>
      </c>
      <c r="T612" s="149" t="str">
        <f ca="1">IF(S612=" "," ",IF('депозитный калькулятор'!$G$7="30/360",DAYS360(U611,IF(DAY(U612)=31,U612-1,U612))+IF(AND(MONTH(U612)=2,U612=EOMONTH(U612,0)),30-DAY(EOMONTH(U612,0)))+T611,VLOOKUP(S612,$C$22:$F$1023,2,0)))</f>
        <v xml:space="preserve"> </v>
      </c>
      <c r="U612" s="64" t="str">
        <f t="shared" ca="1" si="45"/>
        <v xml:space="preserve"> </v>
      </c>
      <c r="V612" s="150" t="str">
        <f t="shared" ca="1" si="48"/>
        <v xml:space="preserve"> </v>
      </c>
      <c r="W612" s="62" t="str">
        <f t="shared" ca="1" si="49"/>
        <v xml:space="preserve"> </v>
      </c>
      <c r="X612" s="141" t="str">
        <f ca="1">IF(S612=" "," ",IFERROR(VLOOKUP(U612,$F$23:$N$1023,7)+VLOOKUP(U612,$F$23:$N$1023,9)+IF(AND('депозитный калькулятор'!$G$13="нет",U612&lt;&gt;'депозитный калькулятор'!$D$8),VLOOKUP(U612,$F$23:$N$1023,4),0),0)+IF(U612='депозитный калькулятор'!$D$8,VLOOKUP(U612,$F$23:$N$1023,2)+VLOOKUP(U612,$F$23:$N$1023,4),0))</f>
        <v xml:space="preserve"> </v>
      </c>
      <c r="Y612" s="142" t="str">
        <f ca="1">IF(S612=" "," ",W612/(1+'депозитный калькулятор'!$K$8)^(T612/IF('депозитный калькулятор'!$G$7="30/360",360,365)))</f>
        <v xml:space="preserve"> </v>
      </c>
      <c r="Z612" s="142" t="str">
        <f ca="1">IF(S612=" "," ",X612/(1+'депозитный калькулятор'!$K$8)^(T612/IF('депозитный калькулятор'!$G$7="30/360",360,365)))</f>
        <v xml:space="preserve"> </v>
      </c>
      <c r="AA612" s="151"/>
      <c r="AB612" s="151"/>
      <c r="AC612" s="155"/>
      <c r="AD612" s="155"/>
    </row>
    <row r="613" spans="1:30" s="2" customFormat="1" ht="15.5" x14ac:dyDescent="0.35">
      <c r="A613" s="41" t="str">
        <f>IF(F613=" "," ",IF(OR('депозитный калькулятор'!$G$7="30/365",'депозитный калькулятор'!$G$7="30/360"),IF(AND(MONTH(F613)=2,DAY(F613)=DAY(EOMONTH(F613,0))),30-DAY(EOMONTH(F613,0)),IF(DAY(F613)=31,1," "))," "))</f>
        <v xml:space="preserve"> </v>
      </c>
      <c r="B613" s="130" t="str">
        <f t="shared" si="46"/>
        <v xml:space="preserve"> </v>
      </c>
      <c r="C613" s="130" t="str">
        <f>IF(OR(B613=0,B613=" ")," ",SUM($B$23:B613))</f>
        <v xml:space="preserve"> </v>
      </c>
      <c r="D613" s="62" t="str">
        <f>IF(D612=" "," ",IF(OR(F612='депозитный калькулятор'!$D$8,F612=" ")," ",D612+1))</f>
        <v xml:space="preserve"> </v>
      </c>
      <c r="E613" s="130" t="str">
        <f>IF(OR(F612='депозитный калькулятор'!$D$8,F612=" ")," ",IF(EOMONTH(F612,0)=F612,1,E612+1))</f>
        <v xml:space="preserve"> </v>
      </c>
      <c r="F613" s="64" t="str">
        <f>IF(F612=" "," ",IF(F612='депозитный калькулятор'!$D$8," ",F612+1))</f>
        <v xml:space="preserve"> </v>
      </c>
      <c r="G613" s="145" t="str">
        <f xml:space="preserve"> IF(F613&gt;'депозитный калькулятор'!$D$8," ",IF('депозитный калькулятор'!$G$13="есть",IF('депозитный калькулятор'!$G$14="есть",G612+IF(I612=" ",0,I612)-J613-K613+L613+M613-N613,G612+IF(I612=" ",0,I612)-J613-K613+M613-N613),IF('депозитный калькулятор'!$G$14="есть",G612-J613-K613+L613+M613-N613,G612-J613-K613+M613-N613)))</f>
        <v xml:space="preserve"> </v>
      </c>
      <c r="H613" s="133" t="str">
        <f>IF(F613&gt;'депозитный калькулятор'!$D$8," ",IF(AND(OR('депозитный калькулятор'!$G$7="30/365",'депозитный калькулятор'!$G$7="30/360"),AND(MONTH(F613)=2,EOMONTH(F613,0)=F613)),IF(DAY(F613)=28,3*G613*'депозитный калькулятор'!$G$8,2*G613*'депозитный калькулятор'!$G$8),IF(AND(OR('депозитный калькулятор'!$G$7="30/365",'депозитный калькулятор'!$G$7="30/360"),DAY(F613)=31)," ",IF(AND('депозитный калькулятор'!$G$7="факт/факт",MOD(YEAR(F613),4)=0),G613*'депозитный калькулятор'!$D$11/366,G613*'депозитный калькулятор'!$G$8))))</f>
        <v xml:space="preserve"> </v>
      </c>
      <c r="I613" s="134" t="str">
        <f ca="1">IF(F613=" "," ",IF('депозитный калькулятор'!$G$10="ежедневное",H613,IF(AND('депозитный калькулятор'!$G$10="еженедельное",WEEKDAY(F613,2)=7),SUM(OFFSET(H613,-6,0):H613),IF(AND('депозитный калькулятор'!$G$10="еженедельное",F613='депозитный калькулятор'!$D$8),SUM($H$23:H613)-SUM($I$23:I612),IF(AND('депозитный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недели",WEEKDAY(F613,2)=7),MIN(OFFSET(H613,-6,0):H613)*(COUNTIF(OFFSET(H613,-6,0):H613,"&gt;0")+SUMIF(OFFSET(A613,-WEEKDAY(F613,2),0):A613,"=2",OFFSET(A613,-WEEKDAY(F613,2),0):A613)),IF(AND('депозитный калькулятор'!$G$10="еженедельное, на минимальную сумму зафиксированную в течение недели",F613='депозитный калькулятор'!$D$8,WEEKDAY(F613,2)&lt;&gt;7),MIN(OFFSET(H613,-WEEKDAY(F613,2),0):H613)*(COUNTIF(OFFSET(H613,-WEEKDAY(F613,2)+1,0):H613,"&gt;0")+SUM(OFFSET(A613,-WEEKDAY(F613,2),0):A613)),IF(AND('депозитный калькулятор'!$G$10="ежемесячное (в конце месяца)",F613='депозитный калькулятор'!$D$8,EOMONTH(F613,0)&lt;&gt;F613),IF('депозитный калькулятор'!$F$1=1,$H$24,SUM($H$23:H613)-SUM($I$23:I612)),IF(AND('депозитный калькулятор'!$G$10="ежемесячное (в конце месяца)",EOMONTH(F613,0)=F613),SUM($H$23:H613)-SUM($I$23:I612),IF(AND('депозитный калькулятор'!$G$10="ежемесячное (по дням открытия вклада)",F613='депозитный калькулятор'!$D$8,DAY('депозитный калькулятор'!$D$7)&lt;&gt;DAY(F613)),IF('депозитный калькулятор'!$F$1=1,$H$24,SUM($H$23:H613)-SUM($I$23:I612)),IF(AND('депозитный калькулятор'!$G$10="ежемесячное (по дням открытия вклада)",DAY('депозитный калькулятор'!$D$7)=DAY(F613)),SUM($H$23:H613)-SUM($I$23:I612),IF(AND('депозитный калькулятор'!$G$10="ежемесячное, на минимальную сумму зафиксированную в течение месяца",F613='депозитный калькулятор'!$D$8,EOMONTH(F613,0)&lt;&gt;F613),IF('депозитный калькулятор'!$F$1=1,$H$24,IF(AND(OR('депозитный калькулятор'!$G$7="30/365",'депозитный калькулятор'!$G$7="30/360"),DAY(F613)=31),0,MIN(OFFSET(H613,-E613+1,0):H613)*(E613+SUMIF(OFFSET(A613,-E613+1,0):A613,"=2",OFFSET(A613,-E613+1,0):A613)))),IF(AND('депозитный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калькулятор'!$G$7="30/360"),DAY(EOMONTH(F613,0))=31),EOMONTH(F613,0)-1=F613,EOMONTH(F613,0)=F613)),IF(IF(AND(OR('депозитный калькулятор'!$G$7="30/365",'депозитный калькулятор'!$G$7="30/360"),DAY(EOMONTH($F$23,0))=31),F613=EOMONTH($F$23,0)-1,F613=EOMONTH($F$23,0)),MIN(OFFSET(H613,-(DAY(F613)-DAY($F$23)),0):H613)*E613,MIN(OFFSET(H613,-(DAY(F613)-1),0):H613)*IF(AND(OR('депозитный калькулятор'!$G$7="30/365",'депозитный калькулятор'!$G$7="30/360"),DAY(F613)&lt;30),30,DAY(F613))),IF(AND('депозитный калькулятор'!$G$10="ежемесячное, на средний остаток в течение месяца, при условии что остаток больше чем ограничение",F613='депозитный калькулятор'!$D$8,EOMONTH(F613,0)&lt;&gt;F613),IF('депозитный калькулятор'!$F$1=1,$H$24,SUM(OFFSET(Q613,-E613+1,0):Q613)),IF(AND('депозитный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калькулятор'!$G$7="30/360"),DAY(EOMONTH(F613,0))=31),EOMONTH(F613,0)-1=F613,EOMONTH(F613,0)=F613)),IF(IF(AND(OR('депозитный калькулятор'!$G$7="30/365",'депозитный калькулятор'!$G$7="30/360"),DAY(EOMONTH($F$24,0))=31),F613=EOMONTH($F$24,0)-1,F613=EOMONTH($F$24,0)),SUM(OFFSET(Q613,-E613+1,0):Q613),SUM(OFFSET(Q613,-E613+1,0):Q613)),IF('депозитный калькулятор'!$G$10="ежеквартальное",IF(F613&gt;'депозитный калькулятор'!$D$8," ",IF(AND(EOMONTH(F613,0)=F613,OR(MONTH(F613)=3,MONTH(F613)=6,MONTH(F613)=9,MONTH(F613)=12)),IF(EDATE(F613,-3)&lt;'депозитный калькулятор'!$D$7,SUM($H$23:H613),IF(MOD(YEAR(F613),4)=0,IF(AND(EOMONTH(F613,0)=F613,OR(MONTH(F613)=3,MONTH(F613)=6)),SUM(OFFSET(H613,-90,0):H613),IF(AND(EOMONTH(F613,0)=F613,OR(MONTH(F613)=9,MONTH(F613)=12)),SUM(OFFSET(H613,-91,0):H613))),IF(AND(EOMONTH(F613,0)=F613,MONTH(F613)=3),SUM(OFFSET(H613,-89,0):H613),IF(AND(EOMONTH(F613,0)=F613,MONTH(F613)=6),SUM(OFFSET(H613,-90,0):H613),IF(AND(EOMONTH(F613,0)=F613,OR(MONTH(F613)=9,MONTH(F613)=12)),SUM(OFFSET(H613,-91,0):H613)))))),IF(F613='депозитный калькулятор'!$D$8,SUM($H$23:H613)-SUM($I$23:I612),0))),IF('депозитный калькулятор'!$G$10="ежегодное",IF(F613&gt;'депозитный калькулятор'!$D$8," ",IF(F613='депозитный калькулятор'!$D$8,SUM($H$23:H613)-SUM($I$23:I612),IF(AND(EOMONTH(F613,0)=F613,MONTH(F613)=12),IF(MOD(YEAR(F612),4)=0,IF(F613-'депозитный калькулятор'!$D$7&lt;366,SUM($H$23:H613),SUM(OFFSET(H613,-365,0):H613)),IF(F613-'депозитный калькулятор'!$D$7&lt;365,SUM($H$23:H613),SUM(OFFSET(H613,-364,0):H613))),0))),IF(AND('депозитный калькулятор'!$G$10="в конце срока",'депозитный калькулятор'!$D$8=F613),SUM($H$23:H613),0))))))))))))))))))</f>
        <v xml:space="preserve"> </v>
      </c>
      <c r="J613" s="59" t="str">
        <f>IF(F613&gt;'депозитный калькулятор'!$D$8," ",IF('депозитный калькулятор'!$G$16="нет",0,IF(AND('депозитный калькулятор'!$G$17="разовая (в конце срока)",F613='депозитный калькулятор'!$D$8),'депозитный калькулятор'!$G$18,IF(AND('депозитный калькулятор'!$G$17="ежемесячная",EOMONTH(F612,0)=F612),'депозитный калькулятор'!$G$18,IF(AND('депозитный калькулятор'!$G$17="ежегодная",DAY(F612)=31,MONTH(F612)=12),'депозитный калькулятор'!$G$18,IF(AND('депозитный калькулятор'!$G$17="ежемесячная в зависимости от остатка",EOMONTH(F612,0)=F612,P612&gt;0),'депозитный калькулятор'!$G$18,IF(AND('депозитный калькулятор'!$G$17="ежегодная в зависимости от остатка",DAY(F612)=31,MONTH(F612)=12,P612&gt;0),'депозитный калькулятор'!$G$18,0)))))))</f>
        <v xml:space="preserve"> </v>
      </c>
      <c r="K613" s="135" t="str">
        <f>IF($F613=" "," ",IFERROR(VLOOKUP($F613,'депозитный калькулятор'!$B$26:$F$70,2,0),0))</f>
        <v xml:space="preserve"> </v>
      </c>
      <c r="L613" s="135" t="str">
        <f>IF($F613=" "," ",IFERROR(VLOOKUP($F613,'депозитный калькулятор'!$B$26:$F$70,3,0),0))</f>
        <v xml:space="preserve"> </v>
      </c>
      <c r="M613" s="135" t="str">
        <f>IF($F613=" "," ",IFERROR(VLOOKUP($F613,'депозитный калькулятор'!$B$26:$F$70,4,0),0))</f>
        <v xml:space="preserve"> </v>
      </c>
      <c r="N613" s="135" t="str">
        <f>IF($F613=" "," ",IFERROR(VLOOKUP($F613,'депозитный калькулятор'!$B$26:$F$70,5,0),0))</f>
        <v xml:space="preserve"> </v>
      </c>
      <c r="O613" s="146" t="str">
        <f>IF(F613&gt;'депозитный калькулятор'!$D$8," ",IF(F613='депозитный калькулятор'!$D$8,IF(AND($F$24='депозитный калькулятор'!$D$8,'депозитный калькулятор'!$G$13="нет"),-G613-IF(I613=" ",0,I613)-IF(AND(OR('депозитный калькулятор'!$G$7="30/365",'депозитный калькулятор'!$G$7="30/360"),'депозитный калькулятор'!$G$10="в начале срока"),I612,0)-L613+M613-N613,-G613-IF(I613=" ",0,I613)-L613+M613-N613),IF('депозитный калькулятор'!$G$13="есть",M613-N613+IF('депозитный калькулятор'!$G$14="есть",0,-L613),-IF(I613=" ",0,I613)-IF(AND(OR('депозитный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срока"),I612,0)+M613-N613+IF('депозитный калькулятор'!$G$14="есть",0,-L613))))</f>
        <v xml:space="preserve"> </v>
      </c>
      <c r="P613" s="147" t="str">
        <f>IF(F613&gt;'депозитный калькулятор'!$D$8," ",IF(EOMONTH(F612,0)=F612,0,IF(G613&gt;='депозитный калькулятор'!$G$19,P612,P612+1)))</f>
        <v xml:space="preserve"> </v>
      </c>
      <c r="Q613" s="138" t="str">
        <f>IF(F613=" "," ",IF(AND(OR('депозитный калькулятор'!$G$7="30/365",'депозитный калькулятор'!$G$7="30/360"),AND(MONTH(F613)=2,EOMONTH(F613,0)=F613)),IF(DAY(F613)=28,3,2),1)*IF(G613&gt;='депозитный калькулятор'!$G$11,IF(AND('депозитный калькулятор'!$G$7="факт/факт",MOD(YEAR(F613),4)=0),G613*'депозитный калькулятор'!$D$11/366,G613*'депозитный калькулятор'!$G$8),0))</f>
        <v xml:space="preserve"> </v>
      </c>
      <c r="R613" s="158"/>
      <c r="S613" s="62" t="str">
        <f t="shared" ca="1" si="47"/>
        <v xml:space="preserve"> </v>
      </c>
      <c r="T613" s="149" t="str">
        <f ca="1">IF(S613=" "," ",IF('депозитный калькулятор'!$G$7="30/360",DAYS360(U612,IF(DAY(U613)=31,U613-1,U613))+IF(AND(MONTH(U613)=2,U613=EOMONTH(U613,0)),30-DAY(EOMONTH(U613,0)))+T612,VLOOKUP(S613,$C$22:$F$1023,2,0)))</f>
        <v xml:space="preserve"> </v>
      </c>
      <c r="U613" s="64" t="str">
        <f t="shared" ca="1" si="45"/>
        <v xml:space="preserve"> </v>
      </c>
      <c r="V613" s="150" t="str">
        <f t="shared" ca="1" si="48"/>
        <v xml:space="preserve"> </v>
      </c>
      <c r="W613" s="62" t="str">
        <f t="shared" ca="1" si="49"/>
        <v xml:space="preserve"> </v>
      </c>
      <c r="X613" s="141" t="str">
        <f ca="1">IF(S613=" "," ",IFERROR(VLOOKUP(U613,$F$23:$N$1023,7)+VLOOKUP(U613,$F$23:$N$1023,9)+IF(AND('депозитный калькулятор'!$G$13="нет",U613&lt;&gt;'депозитный калькулятор'!$D$8),VLOOKUP(U613,$F$23:$N$1023,4),0),0)+IF(U613='депозитный калькулятор'!$D$8,VLOOKUP(U613,$F$23:$N$1023,2)+VLOOKUP(U613,$F$23:$N$1023,4),0))</f>
        <v xml:space="preserve"> </v>
      </c>
      <c r="Y613" s="142" t="str">
        <f ca="1">IF(S613=" "," ",W613/(1+'депозитный калькулятор'!$K$8)^(T613/IF('депозитный калькулятор'!$G$7="30/360",360,365)))</f>
        <v xml:space="preserve"> </v>
      </c>
      <c r="Z613" s="142" t="str">
        <f ca="1">IF(S613=" "," ",X613/(1+'депозитный калькулятор'!$K$8)^(T613/IF('депозитный калькулятор'!$G$7="30/360",360,365)))</f>
        <v xml:space="preserve"> </v>
      </c>
      <c r="AA613" s="151"/>
      <c r="AB613" s="151"/>
      <c r="AC613" s="155"/>
      <c r="AD613" s="155"/>
    </row>
    <row r="614" spans="1:30" s="2" customFormat="1" ht="15.5" x14ac:dyDescent="0.35">
      <c r="A614" s="41" t="str">
        <f>IF(F614=" "," ",IF(OR('депозитный калькулятор'!$G$7="30/365",'депозитный калькулятор'!$G$7="30/360"),IF(AND(MONTH(F614)=2,DAY(F614)=DAY(EOMONTH(F614,0))),30-DAY(EOMONTH(F614,0)),IF(DAY(F614)=31,1," "))," "))</f>
        <v xml:space="preserve"> </v>
      </c>
      <c r="B614" s="130" t="str">
        <f t="shared" si="46"/>
        <v xml:space="preserve"> </v>
      </c>
      <c r="C614" s="130" t="str">
        <f>IF(OR(B614=0,B614=" ")," ",SUM($B$23:B614))</f>
        <v xml:space="preserve"> </v>
      </c>
      <c r="D614" s="62" t="str">
        <f>IF(D613=" "," ",IF(OR(F613='депозитный калькулятор'!$D$8,F613=" ")," ",D613+1))</f>
        <v xml:space="preserve"> </v>
      </c>
      <c r="E614" s="130" t="str">
        <f>IF(OR(F613='депозитный калькулятор'!$D$8,F613=" ")," ",IF(EOMONTH(F613,0)=F613,1,E613+1))</f>
        <v xml:space="preserve"> </v>
      </c>
      <c r="F614" s="64" t="str">
        <f>IF(F613=" "," ",IF(F613='депозитный калькулятор'!$D$8," ",F613+1))</f>
        <v xml:space="preserve"> </v>
      </c>
      <c r="G614" s="145" t="str">
        <f xml:space="preserve"> IF(F614&gt;'депозитный калькулятор'!$D$8," ",IF('депозитный калькулятор'!$G$13="есть",IF('депозитный калькулятор'!$G$14="есть",G613+IF(I613=" ",0,I613)-J614-K614+L614+M614-N614,G613+IF(I613=" ",0,I613)-J614-K614+M614-N614),IF('депозитный калькулятор'!$G$14="есть",G613-J614-K614+L614+M614-N614,G613-J614-K614+M614-N614)))</f>
        <v xml:space="preserve"> </v>
      </c>
      <c r="H614" s="133" t="str">
        <f>IF(F614&gt;'депозитный калькулятор'!$D$8," ",IF(AND(OR('депозитный калькулятор'!$G$7="30/365",'депозитный калькулятор'!$G$7="30/360"),AND(MONTH(F614)=2,EOMONTH(F614,0)=F614)),IF(DAY(F614)=28,3*G614*'депозитный калькулятор'!$G$8,2*G614*'депозитный калькулятор'!$G$8),IF(AND(OR('депозитный калькулятор'!$G$7="30/365",'депозитный калькулятор'!$G$7="30/360"),DAY(F614)=31)," ",IF(AND('депозитный калькулятор'!$G$7="факт/факт",MOD(YEAR(F614),4)=0),G614*'депозитный калькулятор'!$D$11/366,G614*'депозитный калькулятор'!$G$8))))</f>
        <v xml:space="preserve"> </v>
      </c>
      <c r="I614" s="134" t="str">
        <f ca="1">IF(F614=" "," ",IF('депозитный калькулятор'!$G$10="ежедневное",H614,IF(AND('депозитный калькулятор'!$G$10="еженедельное",WEEKDAY(F614,2)=7),SUM(OFFSET(H614,-6,0):H614),IF(AND('депозитный калькулятор'!$G$10="еженедельное",F614='депозитный калькулятор'!$D$8),SUM($H$23:H614)-SUM($I$23:I613),IF(AND('депозитный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недели",WEEKDAY(F614,2)=7),MIN(OFFSET(H614,-6,0):H614)*(COUNTIF(OFFSET(H614,-6,0):H614,"&gt;0")+SUMIF(OFFSET(A614,-WEEKDAY(F614,2),0):A614,"=2",OFFSET(A614,-WEEKDAY(F614,2),0):A614)),IF(AND('депозитный калькулятор'!$G$10="еженедельное, на минимальную сумму зафиксированную в течение недели",F614='депозитный калькулятор'!$D$8,WEEKDAY(F614,2)&lt;&gt;7),MIN(OFFSET(H614,-WEEKDAY(F614,2),0):H614)*(COUNTIF(OFFSET(H614,-WEEKDAY(F614,2)+1,0):H614,"&gt;0")+SUM(OFFSET(A614,-WEEKDAY(F614,2),0):A614)),IF(AND('депозитный калькулятор'!$G$10="ежемесячное (в конце месяца)",F614='депозитный калькулятор'!$D$8,EOMONTH(F614,0)&lt;&gt;F614),IF('депозитный калькулятор'!$F$1=1,$H$24,SUM($H$23:H614)-SUM($I$23:I613)),IF(AND('депозитный калькулятор'!$G$10="ежемесячное (в конце месяца)",EOMONTH(F614,0)=F614),SUM($H$23:H614)-SUM($I$23:I613),IF(AND('депозитный калькулятор'!$G$10="ежемесячное (по дням открытия вклада)",F614='депозитный калькулятор'!$D$8,DAY('депозитный калькулятор'!$D$7)&lt;&gt;DAY(F614)),IF('депозитный калькулятор'!$F$1=1,$H$24,SUM($H$23:H614)-SUM($I$23:I613)),IF(AND('депозитный калькулятор'!$G$10="ежемесячное (по дням открытия вклада)",DAY('депозитный калькулятор'!$D$7)=DAY(F614)),SUM($H$23:H614)-SUM($I$23:I613),IF(AND('депозитный калькулятор'!$G$10="ежемесячное, на минимальную сумму зафиксированную в течение месяца",F614='депозитный калькулятор'!$D$8,EOMONTH(F614,0)&lt;&gt;F614),IF('депозитный калькулятор'!$F$1=1,$H$24,IF(AND(OR('депозитный калькулятор'!$G$7="30/365",'депозитный калькулятор'!$G$7="30/360"),DAY(F614)=31),0,MIN(OFFSET(H614,-E614+1,0):H614)*(E614+SUMIF(OFFSET(A614,-E614+1,0):A614,"=2",OFFSET(A614,-E614+1,0):A614)))),IF(AND('депозитный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калькулятор'!$G$7="30/360"),DAY(EOMONTH(F614,0))=31),EOMONTH(F614,0)-1=F614,EOMONTH(F614,0)=F614)),IF(IF(AND(OR('депозитный калькулятор'!$G$7="30/365",'депозитный калькулятор'!$G$7="30/360"),DAY(EOMONTH($F$23,0))=31),F614=EOMONTH($F$23,0)-1,F614=EOMONTH($F$23,0)),MIN(OFFSET(H614,-(DAY(F614)-DAY($F$23)),0):H614)*E614,MIN(OFFSET(H614,-(DAY(F614)-1),0):H614)*IF(AND(OR('депозитный калькулятор'!$G$7="30/365",'депозитный калькулятор'!$G$7="30/360"),DAY(F614)&lt;30),30,DAY(F614))),IF(AND('депозитный калькулятор'!$G$10="ежемесячное, на средний остаток в течение месяца, при условии что остаток больше чем ограничение",F614='депозитный калькулятор'!$D$8,EOMONTH(F614,0)&lt;&gt;F614),IF('депозитный калькулятор'!$F$1=1,$H$24,SUM(OFFSET(Q614,-E614+1,0):Q614)),IF(AND('депозитный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калькулятор'!$G$7="30/360"),DAY(EOMONTH(F614,0))=31),EOMONTH(F614,0)-1=F614,EOMONTH(F614,0)=F614)),IF(IF(AND(OR('депозитный калькулятор'!$G$7="30/365",'депозитный калькулятор'!$G$7="30/360"),DAY(EOMONTH($F$24,0))=31),F614=EOMONTH($F$24,0)-1,F614=EOMONTH($F$24,0)),SUM(OFFSET(Q614,-E614+1,0):Q614),SUM(OFFSET(Q614,-E614+1,0):Q614)),IF('депозитный калькулятор'!$G$10="ежеквартальное",IF(F614&gt;'депозитный калькулятор'!$D$8," ",IF(AND(EOMONTH(F614,0)=F614,OR(MONTH(F614)=3,MONTH(F614)=6,MONTH(F614)=9,MONTH(F614)=12)),IF(EDATE(F614,-3)&lt;'депозитный калькулятор'!$D$7,SUM($H$23:H614),IF(MOD(YEAR(F614),4)=0,IF(AND(EOMONTH(F614,0)=F614,OR(MONTH(F614)=3,MONTH(F614)=6)),SUM(OFFSET(H614,-90,0):H614),IF(AND(EOMONTH(F614,0)=F614,OR(MONTH(F614)=9,MONTH(F614)=12)),SUM(OFFSET(H614,-91,0):H614))),IF(AND(EOMONTH(F614,0)=F614,MONTH(F614)=3),SUM(OFFSET(H614,-89,0):H614),IF(AND(EOMONTH(F614,0)=F614,MONTH(F614)=6),SUM(OFFSET(H614,-90,0):H614),IF(AND(EOMONTH(F614,0)=F614,OR(MONTH(F614)=9,MONTH(F614)=12)),SUM(OFFSET(H614,-91,0):H614)))))),IF(F614='депозитный калькулятор'!$D$8,SUM($H$23:H614)-SUM($I$23:I613),0))),IF('депозитный калькулятор'!$G$10="ежегодное",IF(F614&gt;'депозитный калькулятор'!$D$8," ",IF(F614='депозитный калькулятор'!$D$8,SUM($H$23:H614)-SUM($I$23:I613),IF(AND(EOMONTH(F614,0)=F614,MONTH(F614)=12),IF(MOD(YEAR(F613),4)=0,IF(F614-'депозитный калькулятор'!$D$7&lt;366,SUM($H$23:H614),SUM(OFFSET(H614,-365,0):H614)),IF(F614-'депозитный калькулятор'!$D$7&lt;365,SUM($H$23:H614),SUM(OFFSET(H614,-364,0):H614))),0))),IF(AND('депозитный калькулятор'!$G$10="в конце срока",'депозитный калькулятор'!$D$8=F614),SUM($H$23:H614),0))))))))))))))))))</f>
        <v xml:space="preserve"> </v>
      </c>
      <c r="J614" s="59" t="str">
        <f>IF(F614&gt;'депозитный калькулятор'!$D$8," ",IF('депозитный калькулятор'!$G$16="нет",0,IF(AND('депозитный калькулятор'!$G$17="разовая (в конце срока)",F614='депозитный калькулятор'!$D$8),'депозитный калькулятор'!$G$18,IF(AND('депозитный калькулятор'!$G$17="ежемесячная",EOMONTH(F613,0)=F613),'депозитный калькулятор'!$G$18,IF(AND('депозитный калькулятор'!$G$17="ежегодная",DAY(F613)=31,MONTH(F613)=12),'депозитный калькулятор'!$G$18,IF(AND('депозитный калькулятор'!$G$17="ежемесячная в зависимости от остатка",EOMONTH(F613,0)=F613,P613&gt;0),'депозитный калькулятор'!$G$18,IF(AND('депозитный калькулятор'!$G$17="ежегодная в зависимости от остатка",DAY(F613)=31,MONTH(F613)=12,P613&gt;0),'депозитный калькулятор'!$G$18,0)))))))</f>
        <v xml:space="preserve"> </v>
      </c>
      <c r="K614" s="135" t="str">
        <f>IF($F614=" "," ",IFERROR(VLOOKUP($F614,'депозитный калькулятор'!$B$26:$F$70,2,0),0))</f>
        <v xml:space="preserve"> </v>
      </c>
      <c r="L614" s="135" t="str">
        <f>IF($F614=" "," ",IFERROR(VLOOKUP($F614,'депозитный калькулятор'!$B$26:$F$70,3,0),0))</f>
        <v xml:space="preserve"> </v>
      </c>
      <c r="M614" s="135" t="str">
        <f>IF($F614=" "," ",IFERROR(VLOOKUP($F614,'депозитный калькулятор'!$B$26:$F$70,4,0),0))</f>
        <v xml:space="preserve"> </v>
      </c>
      <c r="N614" s="135" t="str">
        <f>IF($F614=" "," ",IFERROR(VLOOKUP($F614,'депозитный калькулятор'!$B$26:$F$70,5,0),0))</f>
        <v xml:space="preserve"> </v>
      </c>
      <c r="O614" s="146" t="str">
        <f>IF(F614&gt;'депозитный калькулятор'!$D$8," ",IF(F614='депозитный калькулятор'!$D$8,IF(AND($F$24='депозитный калькулятор'!$D$8,'депозитный калькулятор'!$G$13="нет"),-G614-IF(I614=" ",0,I614)-IF(AND(OR('депозитный калькулятор'!$G$7="30/365",'депозитный калькулятор'!$G$7="30/360"),'депозитный калькулятор'!$G$10="в начале срока"),I613,0)-L614+M614-N614,-G614-IF(I614=" ",0,I614)-L614+M614-N614),IF('депозитный калькулятор'!$G$13="есть",M614-N614+IF('депозитный калькулятор'!$G$14="есть",0,-L614),-IF(I614=" ",0,I614)-IF(AND(OR('депозитный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срока"),I613,0)+M614-N614+IF('депозитный калькулятор'!$G$14="есть",0,-L614))))</f>
        <v xml:space="preserve"> </v>
      </c>
      <c r="P614" s="147" t="str">
        <f>IF(F614&gt;'депозитный калькулятор'!$D$8," ",IF(EOMONTH(F613,0)=F613,0,IF(G614&gt;='депозитный калькулятор'!$G$19,P613,P613+1)))</f>
        <v xml:space="preserve"> </v>
      </c>
      <c r="Q614" s="138" t="str">
        <f>IF(F614=" "," ",IF(AND(OR('депозитный калькулятор'!$G$7="30/365",'депозитный калькулятор'!$G$7="30/360"),AND(MONTH(F614)=2,EOMONTH(F614,0)=F614)),IF(DAY(F614)=28,3,2),1)*IF(G614&gt;='депозитный калькулятор'!$G$11,IF(AND('депозитный калькулятор'!$G$7="факт/факт",MOD(YEAR(F614),4)=0),G614*'депозитный калькулятор'!$D$11/366,G614*'депозитный калькулятор'!$G$8),0))</f>
        <v xml:space="preserve"> </v>
      </c>
      <c r="R614" s="158"/>
      <c r="S614" s="62" t="str">
        <f t="shared" ca="1" si="47"/>
        <v xml:space="preserve"> </v>
      </c>
      <c r="T614" s="149" t="str">
        <f ca="1">IF(S614=" "," ",IF('депозитный калькулятор'!$G$7="30/360",DAYS360(U613,IF(DAY(U614)=31,U614-1,U614))+IF(AND(MONTH(U614)=2,U614=EOMONTH(U614,0)),30-DAY(EOMONTH(U614,0)))+T613,VLOOKUP(S614,$C$22:$F$1023,2,0)))</f>
        <v xml:space="preserve"> </v>
      </c>
      <c r="U614" s="64" t="str">
        <f t="shared" ca="1" si="45"/>
        <v xml:space="preserve"> </v>
      </c>
      <c r="V614" s="150" t="str">
        <f t="shared" ca="1" si="48"/>
        <v xml:space="preserve"> </v>
      </c>
      <c r="W614" s="62" t="str">
        <f t="shared" ca="1" si="49"/>
        <v xml:space="preserve"> </v>
      </c>
      <c r="X614" s="141" t="str">
        <f ca="1">IF(S614=" "," ",IFERROR(VLOOKUP(U614,$F$23:$N$1023,7)+VLOOKUP(U614,$F$23:$N$1023,9)+IF(AND('депозитный калькулятор'!$G$13="нет",U614&lt;&gt;'депозитный калькулятор'!$D$8),VLOOKUP(U614,$F$23:$N$1023,4),0),0)+IF(U614='депозитный калькулятор'!$D$8,VLOOKUP(U614,$F$23:$N$1023,2)+VLOOKUP(U614,$F$23:$N$1023,4),0))</f>
        <v xml:space="preserve"> </v>
      </c>
      <c r="Y614" s="142" t="str">
        <f ca="1">IF(S614=" "," ",W614/(1+'депозитный калькулятор'!$K$8)^(T614/IF('депозитный калькулятор'!$G$7="30/360",360,365)))</f>
        <v xml:space="preserve"> </v>
      </c>
      <c r="Z614" s="142" t="str">
        <f ca="1">IF(S614=" "," ",X614/(1+'депозитный калькулятор'!$K$8)^(T614/IF('депозитный калькулятор'!$G$7="30/360",360,365)))</f>
        <v xml:space="preserve"> </v>
      </c>
      <c r="AA614" s="151"/>
      <c r="AB614" s="151"/>
      <c r="AC614" s="155"/>
      <c r="AD614" s="155"/>
    </row>
    <row r="615" spans="1:30" s="2" customFormat="1" ht="15.5" x14ac:dyDescent="0.35">
      <c r="A615" s="41" t="str">
        <f>IF(F615=" "," ",IF(OR('депозитный калькулятор'!$G$7="30/365",'депозитный калькулятор'!$G$7="30/360"),IF(AND(MONTH(F615)=2,DAY(F615)=DAY(EOMONTH(F615,0))),30-DAY(EOMONTH(F615,0)),IF(DAY(F615)=31,1," "))," "))</f>
        <v xml:space="preserve"> </v>
      </c>
      <c r="B615" s="130" t="str">
        <f t="shared" si="46"/>
        <v xml:space="preserve"> </v>
      </c>
      <c r="C615" s="130" t="str">
        <f>IF(OR(B615=0,B615=" ")," ",SUM($B$23:B615))</f>
        <v xml:space="preserve"> </v>
      </c>
      <c r="D615" s="62" t="str">
        <f>IF(D614=" "," ",IF(OR(F614='депозитный калькулятор'!$D$8,F614=" ")," ",D614+1))</f>
        <v xml:space="preserve"> </v>
      </c>
      <c r="E615" s="130" t="str">
        <f>IF(OR(F614='депозитный калькулятор'!$D$8,F614=" ")," ",IF(EOMONTH(F614,0)=F614,1,E614+1))</f>
        <v xml:space="preserve"> </v>
      </c>
      <c r="F615" s="64" t="str">
        <f>IF(F614=" "," ",IF(F614='депозитный калькулятор'!$D$8," ",F614+1))</f>
        <v xml:space="preserve"> </v>
      </c>
      <c r="G615" s="145" t="str">
        <f xml:space="preserve"> IF(F615&gt;'депозитный калькулятор'!$D$8," ",IF('депозитный калькулятор'!$G$13="есть",IF('депозитный калькулятор'!$G$14="есть",G614+IF(I614=" ",0,I614)-J615-K615+L615+M615-N615,G614+IF(I614=" ",0,I614)-J615-K615+M615-N615),IF('депозитный калькулятор'!$G$14="есть",G614-J615-K615+L615+M615-N615,G614-J615-K615+M615-N615)))</f>
        <v xml:space="preserve"> </v>
      </c>
      <c r="H615" s="133" t="str">
        <f>IF(F615&gt;'депозитный калькулятор'!$D$8," ",IF(AND(OR('депозитный калькулятор'!$G$7="30/365",'депозитный калькулятор'!$G$7="30/360"),AND(MONTH(F615)=2,EOMONTH(F615,0)=F615)),IF(DAY(F615)=28,3*G615*'депозитный калькулятор'!$G$8,2*G615*'депозитный калькулятор'!$G$8),IF(AND(OR('депозитный калькулятор'!$G$7="30/365",'депозитный калькулятор'!$G$7="30/360"),DAY(F615)=31)," ",IF(AND('депозитный калькулятор'!$G$7="факт/факт",MOD(YEAR(F615),4)=0),G615*'депозитный калькулятор'!$D$11/366,G615*'депозитный калькулятор'!$G$8))))</f>
        <v xml:space="preserve"> </v>
      </c>
      <c r="I615" s="134" t="str">
        <f ca="1">IF(F615=" "," ",IF('депозитный калькулятор'!$G$10="ежедневное",H615,IF(AND('депозитный калькулятор'!$G$10="еженедельное",WEEKDAY(F615,2)=7),SUM(OFFSET(H615,-6,0):H615),IF(AND('депозитный калькулятор'!$G$10="еженедельное",F615='депозитный калькулятор'!$D$8),SUM($H$23:H615)-SUM($I$23:I614),IF(AND('депозитный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недели",WEEKDAY(F615,2)=7),MIN(OFFSET(H615,-6,0):H615)*(COUNTIF(OFFSET(H615,-6,0):H615,"&gt;0")+SUMIF(OFFSET(A615,-WEEKDAY(F615,2),0):A615,"=2",OFFSET(A615,-WEEKDAY(F615,2),0):A615)),IF(AND('депозитный калькулятор'!$G$10="еженедельное, на минимальную сумму зафиксированную в течение недели",F615='депозитный калькулятор'!$D$8,WEEKDAY(F615,2)&lt;&gt;7),MIN(OFFSET(H615,-WEEKDAY(F615,2),0):H615)*(COUNTIF(OFFSET(H615,-WEEKDAY(F615,2)+1,0):H615,"&gt;0")+SUM(OFFSET(A615,-WEEKDAY(F615,2),0):A615)),IF(AND('депозитный калькулятор'!$G$10="ежемесячное (в конце месяца)",F615='депозитный калькулятор'!$D$8,EOMONTH(F615,0)&lt;&gt;F615),IF('депозитный калькулятор'!$F$1=1,$H$24,SUM($H$23:H615)-SUM($I$23:I614)),IF(AND('депозитный калькулятор'!$G$10="ежемесячное (в конце месяца)",EOMONTH(F615,0)=F615),SUM($H$23:H615)-SUM($I$23:I614),IF(AND('депозитный калькулятор'!$G$10="ежемесячное (по дням открытия вклада)",F615='депозитный калькулятор'!$D$8,DAY('депозитный калькулятор'!$D$7)&lt;&gt;DAY(F615)),IF('депозитный калькулятор'!$F$1=1,$H$24,SUM($H$23:H615)-SUM($I$23:I614)),IF(AND('депозитный калькулятор'!$G$10="ежемесячное (по дням открытия вклада)",DAY('депозитный калькулятор'!$D$7)=DAY(F615)),SUM($H$23:H615)-SUM($I$23:I614),IF(AND('депозитный калькулятор'!$G$10="ежемесячное, на минимальную сумму зафиксированную в течение месяца",F615='депозитный калькулятор'!$D$8,EOMONTH(F615,0)&lt;&gt;F615),IF('депозитный калькулятор'!$F$1=1,$H$24,IF(AND(OR('депозитный калькулятор'!$G$7="30/365",'депозитный калькулятор'!$G$7="30/360"),DAY(F615)=31),0,MIN(OFFSET(H615,-E615+1,0):H615)*(E615+SUMIF(OFFSET(A615,-E615+1,0):A615,"=2",OFFSET(A615,-E615+1,0):A615)))),IF(AND('депозитный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калькулятор'!$G$7="30/360"),DAY(EOMONTH(F615,0))=31),EOMONTH(F615,0)-1=F615,EOMONTH(F615,0)=F615)),IF(IF(AND(OR('депозитный калькулятор'!$G$7="30/365",'депозитный калькулятор'!$G$7="30/360"),DAY(EOMONTH($F$23,0))=31),F615=EOMONTH($F$23,0)-1,F615=EOMONTH($F$23,0)),MIN(OFFSET(H615,-(DAY(F615)-DAY($F$23)),0):H615)*E615,MIN(OFFSET(H615,-(DAY(F615)-1),0):H615)*IF(AND(OR('депозитный калькулятор'!$G$7="30/365",'депозитный калькулятор'!$G$7="30/360"),DAY(F615)&lt;30),30,DAY(F615))),IF(AND('депозитный калькулятор'!$G$10="ежемесячное, на средний остаток в течение месяца, при условии что остаток больше чем ограничение",F615='депозитный калькулятор'!$D$8,EOMONTH(F615,0)&lt;&gt;F615),IF('депозитный калькулятор'!$F$1=1,$H$24,SUM(OFFSET(Q615,-E615+1,0):Q615)),IF(AND('депозитный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калькулятор'!$G$7="30/360"),DAY(EOMONTH(F615,0))=31),EOMONTH(F615,0)-1=F615,EOMONTH(F615,0)=F615)),IF(IF(AND(OR('депозитный калькулятор'!$G$7="30/365",'депозитный калькулятор'!$G$7="30/360"),DAY(EOMONTH($F$24,0))=31),F615=EOMONTH($F$24,0)-1,F615=EOMONTH($F$24,0)),SUM(OFFSET(Q615,-E615+1,0):Q615),SUM(OFFSET(Q615,-E615+1,0):Q615)),IF('депозитный калькулятор'!$G$10="ежеквартальное",IF(F615&gt;'депозитный калькулятор'!$D$8," ",IF(AND(EOMONTH(F615,0)=F615,OR(MONTH(F615)=3,MONTH(F615)=6,MONTH(F615)=9,MONTH(F615)=12)),IF(EDATE(F615,-3)&lt;'депозитный калькулятор'!$D$7,SUM($H$23:H615),IF(MOD(YEAR(F615),4)=0,IF(AND(EOMONTH(F615,0)=F615,OR(MONTH(F615)=3,MONTH(F615)=6)),SUM(OFFSET(H615,-90,0):H615),IF(AND(EOMONTH(F615,0)=F615,OR(MONTH(F615)=9,MONTH(F615)=12)),SUM(OFFSET(H615,-91,0):H615))),IF(AND(EOMONTH(F615,0)=F615,MONTH(F615)=3),SUM(OFFSET(H615,-89,0):H615),IF(AND(EOMONTH(F615,0)=F615,MONTH(F615)=6),SUM(OFFSET(H615,-90,0):H615),IF(AND(EOMONTH(F615,0)=F615,OR(MONTH(F615)=9,MONTH(F615)=12)),SUM(OFFSET(H615,-91,0):H615)))))),IF(F615='депозитный калькулятор'!$D$8,SUM($H$23:H615)-SUM($I$23:I614),0))),IF('депозитный калькулятор'!$G$10="ежегодное",IF(F615&gt;'депозитный калькулятор'!$D$8," ",IF(F615='депозитный калькулятор'!$D$8,SUM($H$23:H615)-SUM($I$23:I614),IF(AND(EOMONTH(F615,0)=F615,MONTH(F615)=12),IF(MOD(YEAR(F614),4)=0,IF(F615-'депозитный калькулятор'!$D$7&lt;366,SUM($H$23:H615),SUM(OFFSET(H615,-365,0):H615)),IF(F615-'депозитный калькулятор'!$D$7&lt;365,SUM($H$23:H615),SUM(OFFSET(H615,-364,0):H615))),0))),IF(AND('депозитный калькулятор'!$G$10="в конце срока",'депозитный калькулятор'!$D$8=F615),SUM($H$23:H615),0))))))))))))))))))</f>
        <v xml:space="preserve"> </v>
      </c>
      <c r="J615" s="59" t="str">
        <f>IF(F615&gt;'депозитный калькулятор'!$D$8," ",IF('депозитный калькулятор'!$G$16="нет",0,IF(AND('депозитный калькулятор'!$G$17="разовая (в конце срока)",F615='депозитный калькулятор'!$D$8),'депозитный калькулятор'!$G$18,IF(AND('депозитный калькулятор'!$G$17="ежемесячная",EOMONTH(F614,0)=F614),'депозитный калькулятор'!$G$18,IF(AND('депозитный калькулятор'!$G$17="ежегодная",DAY(F614)=31,MONTH(F614)=12),'депозитный калькулятор'!$G$18,IF(AND('депозитный калькулятор'!$G$17="ежемесячная в зависимости от остатка",EOMONTH(F614,0)=F614,P614&gt;0),'депозитный калькулятор'!$G$18,IF(AND('депозитный калькулятор'!$G$17="ежегодная в зависимости от остатка",DAY(F614)=31,MONTH(F614)=12,P614&gt;0),'депозитный калькулятор'!$G$18,0)))))))</f>
        <v xml:space="preserve"> </v>
      </c>
      <c r="K615" s="135" t="str">
        <f>IF($F615=" "," ",IFERROR(VLOOKUP($F615,'депозитный калькулятор'!$B$26:$F$70,2,0),0))</f>
        <v xml:space="preserve"> </v>
      </c>
      <c r="L615" s="135" t="str">
        <f>IF($F615=" "," ",IFERROR(VLOOKUP($F615,'депозитный калькулятор'!$B$26:$F$70,3,0),0))</f>
        <v xml:space="preserve"> </v>
      </c>
      <c r="M615" s="135" t="str">
        <f>IF($F615=" "," ",IFERROR(VLOOKUP($F615,'депозитный калькулятор'!$B$26:$F$70,4,0),0))</f>
        <v xml:space="preserve"> </v>
      </c>
      <c r="N615" s="135" t="str">
        <f>IF($F615=" "," ",IFERROR(VLOOKUP($F615,'депозитный калькулятор'!$B$26:$F$70,5,0),0))</f>
        <v xml:space="preserve"> </v>
      </c>
      <c r="O615" s="146" t="str">
        <f>IF(F615&gt;'депозитный калькулятор'!$D$8," ",IF(F615='депозитный калькулятор'!$D$8,IF(AND($F$24='депозитный калькулятор'!$D$8,'депозитный калькулятор'!$G$13="нет"),-G615-IF(I615=" ",0,I615)-IF(AND(OR('депозитный калькулятор'!$G$7="30/365",'депозитный калькулятор'!$G$7="30/360"),'депозитный калькулятор'!$G$10="в начале срока"),I614,0)-L615+M615-N615,-G615-IF(I615=" ",0,I615)-L615+M615-N615),IF('депозитный калькулятор'!$G$13="есть",M615-N615+IF('депозитный калькулятор'!$G$14="есть",0,-L615),-IF(I615=" ",0,I615)-IF(AND(OR('депозитный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срока"),I614,0)+M615-N615+IF('депозитный калькулятор'!$G$14="есть",0,-L615))))</f>
        <v xml:space="preserve"> </v>
      </c>
      <c r="P615" s="147" t="str">
        <f>IF(F615&gt;'депозитный калькулятор'!$D$8," ",IF(EOMONTH(F614,0)=F614,0,IF(G615&gt;='депозитный калькулятор'!$G$19,P614,P614+1)))</f>
        <v xml:space="preserve"> </v>
      </c>
      <c r="Q615" s="138" t="str">
        <f>IF(F615=" "," ",IF(AND(OR('депозитный калькулятор'!$G$7="30/365",'депозитный калькулятор'!$G$7="30/360"),AND(MONTH(F615)=2,EOMONTH(F615,0)=F615)),IF(DAY(F615)=28,3,2),1)*IF(G615&gt;='депозитный калькулятор'!$G$11,IF(AND('депозитный калькулятор'!$G$7="факт/факт",MOD(YEAR(F615),4)=0),G615*'депозитный калькулятор'!$D$11/366,G615*'депозитный калькулятор'!$G$8),0))</f>
        <v xml:space="preserve"> </v>
      </c>
      <c r="R615" s="158"/>
      <c r="S615" s="62" t="str">
        <f t="shared" ca="1" si="47"/>
        <v xml:space="preserve"> </v>
      </c>
      <c r="T615" s="149" t="str">
        <f ca="1">IF(S615=" "," ",IF('депозитный калькулятор'!$G$7="30/360",DAYS360(U614,IF(DAY(U615)=31,U615-1,U615))+IF(AND(MONTH(U615)=2,U615=EOMONTH(U615,0)),30-DAY(EOMONTH(U615,0)))+T614,VLOOKUP(S615,$C$22:$F$1023,2,0)))</f>
        <v xml:space="preserve"> </v>
      </c>
      <c r="U615" s="64" t="str">
        <f t="shared" ca="1" si="45"/>
        <v xml:space="preserve"> </v>
      </c>
      <c r="V615" s="150" t="str">
        <f t="shared" ca="1" si="48"/>
        <v xml:space="preserve"> </v>
      </c>
      <c r="W615" s="62" t="str">
        <f t="shared" ca="1" si="49"/>
        <v xml:space="preserve"> </v>
      </c>
      <c r="X615" s="141" t="str">
        <f ca="1">IF(S615=" "," ",IFERROR(VLOOKUP(U615,$F$23:$N$1023,7)+VLOOKUP(U615,$F$23:$N$1023,9)+IF(AND('депозитный калькулятор'!$G$13="нет",U615&lt;&gt;'депозитный калькулятор'!$D$8),VLOOKUP(U615,$F$23:$N$1023,4),0),0)+IF(U615='депозитный калькулятор'!$D$8,VLOOKUP(U615,$F$23:$N$1023,2)+VLOOKUP(U615,$F$23:$N$1023,4),0))</f>
        <v xml:space="preserve"> </v>
      </c>
      <c r="Y615" s="142" t="str">
        <f ca="1">IF(S615=" "," ",W615/(1+'депозитный калькулятор'!$K$8)^(T615/IF('депозитный калькулятор'!$G$7="30/360",360,365)))</f>
        <v xml:space="preserve"> </v>
      </c>
      <c r="Z615" s="142" t="str">
        <f ca="1">IF(S615=" "," ",X615/(1+'депозитный калькулятор'!$K$8)^(T615/IF('депозитный калькулятор'!$G$7="30/360",360,365)))</f>
        <v xml:space="preserve"> </v>
      </c>
      <c r="AA615" s="151"/>
      <c r="AB615" s="151"/>
      <c r="AC615" s="155"/>
      <c r="AD615" s="155"/>
    </row>
    <row r="616" spans="1:30" s="2" customFormat="1" ht="15.5" x14ac:dyDescent="0.35">
      <c r="A616" s="41" t="str">
        <f>IF(F616=" "," ",IF(OR('депозитный калькулятор'!$G$7="30/365",'депозитный калькулятор'!$G$7="30/360"),IF(AND(MONTH(F616)=2,DAY(F616)=DAY(EOMONTH(F616,0))),30-DAY(EOMONTH(F616,0)),IF(DAY(F616)=31,1," "))," "))</f>
        <v xml:space="preserve"> </v>
      </c>
      <c r="B616" s="130" t="str">
        <f t="shared" si="46"/>
        <v xml:space="preserve"> </v>
      </c>
      <c r="C616" s="130" t="str">
        <f>IF(OR(B616=0,B616=" ")," ",SUM($B$23:B616))</f>
        <v xml:space="preserve"> </v>
      </c>
      <c r="D616" s="62" t="str">
        <f>IF(D615=" "," ",IF(OR(F615='депозитный калькулятор'!$D$8,F615=" ")," ",D615+1))</f>
        <v xml:space="preserve"> </v>
      </c>
      <c r="E616" s="130" t="str">
        <f>IF(OR(F615='депозитный калькулятор'!$D$8,F615=" ")," ",IF(EOMONTH(F615,0)=F615,1,E615+1))</f>
        <v xml:space="preserve"> </v>
      </c>
      <c r="F616" s="64" t="str">
        <f>IF(F615=" "," ",IF(F615='депозитный калькулятор'!$D$8," ",F615+1))</f>
        <v xml:space="preserve"> </v>
      </c>
      <c r="G616" s="145" t="str">
        <f xml:space="preserve"> IF(F616&gt;'депозитный калькулятор'!$D$8," ",IF('депозитный калькулятор'!$G$13="есть",IF('депозитный калькулятор'!$G$14="есть",G615+IF(I615=" ",0,I615)-J616-K616+L616+M616-N616,G615+IF(I615=" ",0,I615)-J616-K616+M616-N616),IF('депозитный калькулятор'!$G$14="есть",G615-J616-K616+L616+M616-N616,G615-J616-K616+M616-N616)))</f>
        <v xml:space="preserve"> </v>
      </c>
      <c r="H616" s="133" t="str">
        <f>IF(F616&gt;'депозитный калькулятор'!$D$8," ",IF(AND(OR('депозитный калькулятор'!$G$7="30/365",'депозитный калькулятор'!$G$7="30/360"),AND(MONTH(F616)=2,EOMONTH(F616,0)=F616)),IF(DAY(F616)=28,3*G616*'депозитный калькулятор'!$G$8,2*G616*'депозитный калькулятор'!$G$8),IF(AND(OR('депозитный калькулятор'!$G$7="30/365",'депозитный калькулятор'!$G$7="30/360"),DAY(F616)=31)," ",IF(AND('депозитный калькулятор'!$G$7="факт/факт",MOD(YEAR(F616),4)=0),G616*'депозитный калькулятор'!$D$11/366,G616*'депозитный калькулятор'!$G$8))))</f>
        <v xml:space="preserve"> </v>
      </c>
      <c r="I616" s="134" t="str">
        <f ca="1">IF(F616=" "," ",IF('депозитный калькулятор'!$G$10="ежедневное",H616,IF(AND('депозитный калькулятор'!$G$10="еженедельное",WEEKDAY(F616,2)=7),SUM(OFFSET(H616,-6,0):H616),IF(AND('депозитный калькулятор'!$G$10="еженедельное",F616='депозитный калькулятор'!$D$8),SUM($H$23:H616)-SUM($I$23:I615),IF(AND('депозитный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недели",WEEKDAY(F616,2)=7),MIN(OFFSET(H616,-6,0):H616)*(COUNTIF(OFFSET(H616,-6,0):H616,"&gt;0")+SUMIF(OFFSET(A616,-WEEKDAY(F616,2),0):A616,"=2",OFFSET(A616,-WEEKDAY(F616,2),0):A616)),IF(AND('депозитный калькулятор'!$G$10="еженедельное, на минимальную сумму зафиксированную в течение недели",F616='депозитный калькулятор'!$D$8,WEEKDAY(F616,2)&lt;&gt;7),MIN(OFFSET(H616,-WEEKDAY(F616,2),0):H616)*(COUNTIF(OFFSET(H616,-WEEKDAY(F616,2)+1,0):H616,"&gt;0")+SUM(OFFSET(A616,-WEEKDAY(F616,2),0):A616)),IF(AND('депозитный калькулятор'!$G$10="ежемесячное (в конце месяца)",F616='депозитный калькулятор'!$D$8,EOMONTH(F616,0)&lt;&gt;F616),IF('депозитный калькулятор'!$F$1=1,$H$24,SUM($H$23:H616)-SUM($I$23:I615)),IF(AND('депозитный калькулятор'!$G$10="ежемесячное (в конце месяца)",EOMONTH(F616,0)=F616),SUM($H$23:H616)-SUM($I$23:I615),IF(AND('депозитный калькулятор'!$G$10="ежемесячное (по дням открытия вклада)",F616='депозитный калькулятор'!$D$8,DAY('депозитный калькулятор'!$D$7)&lt;&gt;DAY(F616)),IF('депозитный калькулятор'!$F$1=1,$H$24,SUM($H$23:H616)-SUM($I$23:I615)),IF(AND('депозитный калькулятор'!$G$10="ежемесячное (по дням открытия вклада)",DAY('депозитный калькулятор'!$D$7)=DAY(F616)),SUM($H$23:H616)-SUM($I$23:I615),IF(AND('депозитный калькулятор'!$G$10="ежемесячное, на минимальную сумму зафиксированную в течение месяца",F616='депозитный калькулятор'!$D$8,EOMONTH(F616,0)&lt;&gt;F616),IF('депозитный калькулятор'!$F$1=1,$H$24,IF(AND(OR('депозитный калькулятор'!$G$7="30/365",'депозитный калькулятор'!$G$7="30/360"),DAY(F616)=31),0,MIN(OFFSET(H616,-E616+1,0):H616)*(E616+SUMIF(OFFSET(A616,-E616+1,0):A616,"=2",OFFSET(A616,-E616+1,0):A616)))),IF(AND('депозитный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калькулятор'!$G$7="30/360"),DAY(EOMONTH(F616,0))=31),EOMONTH(F616,0)-1=F616,EOMONTH(F616,0)=F616)),IF(IF(AND(OR('депозитный калькулятор'!$G$7="30/365",'депозитный калькулятор'!$G$7="30/360"),DAY(EOMONTH($F$23,0))=31),F616=EOMONTH($F$23,0)-1,F616=EOMONTH($F$23,0)),MIN(OFFSET(H616,-(DAY(F616)-DAY($F$23)),0):H616)*E616,MIN(OFFSET(H616,-(DAY(F616)-1),0):H616)*IF(AND(OR('депозитный калькулятор'!$G$7="30/365",'депозитный калькулятор'!$G$7="30/360"),DAY(F616)&lt;30),30,DAY(F616))),IF(AND('депозитный калькулятор'!$G$10="ежемесячное, на средний остаток в течение месяца, при условии что остаток больше чем ограничение",F616='депозитный калькулятор'!$D$8,EOMONTH(F616,0)&lt;&gt;F616),IF('депозитный калькулятор'!$F$1=1,$H$24,SUM(OFFSET(Q616,-E616+1,0):Q616)),IF(AND('депозитный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калькулятор'!$G$7="30/360"),DAY(EOMONTH(F616,0))=31),EOMONTH(F616,0)-1=F616,EOMONTH(F616,0)=F616)),IF(IF(AND(OR('депозитный калькулятор'!$G$7="30/365",'депозитный калькулятор'!$G$7="30/360"),DAY(EOMONTH($F$24,0))=31),F616=EOMONTH($F$24,0)-1,F616=EOMONTH($F$24,0)),SUM(OFFSET(Q616,-E616+1,0):Q616),SUM(OFFSET(Q616,-E616+1,0):Q616)),IF('депозитный калькулятор'!$G$10="ежеквартальное",IF(F616&gt;'депозитный калькулятор'!$D$8," ",IF(AND(EOMONTH(F616,0)=F616,OR(MONTH(F616)=3,MONTH(F616)=6,MONTH(F616)=9,MONTH(F616)=12)),IF(EDATE(F616,-3)&lt;'депозитный калькулятор'!$D$7,SUM($H$23:H616),IF(MOD(YEAR(F616),4)=0,IF(AND(EOMONTH(F616,0)=F616,OR(MONTH(F616)=3,MONTH(F616)=6)),SUM(OFFSET(H616,-90,0):H616),IF(AND(EOMONTH(F616,0)=F616,OR(MONTH(F616)=9,MONTH(F616)=12)),SUM(OFFSET(H616,-91,0):H616))),IF(AND(EOMONTH(F616,0)=F616,MONTH(F616)=3),SUM(OFFSET(H616,-89,0):H616),IF(AND(EOMONTH(F616,0)=F616,MONTH(F616)=6),SUM(OFFSET(H616,-90,0):H616),IF(AND(EOMONTH(F616,0)=F616,OR(MONTH(F616)=9,MONTH(F616)=12)),SUM(OFFSET(H616,-91,0):H616)))))),IF(F616='депозитный калькулятор'!$D$8,SUM($H$23:H616)-SUM($I$23:I615),0))),IF('депозитный калькулятор'!$G$10="ежегодное",IF(F616&gt;'депозитный калькулятор'!$D$8," ",IF(F616='депозитный калькулятор'!$D$8,SUM($H$23:H616)-SUM($I$23:I615),IF(AND(EOMONTH(F616,0)=F616,MONTH(F616)=12),IF(MOD(YEAR(F615),4)=0,IF(F616-'депозитный калькулятор'!$D$7&lt;366,SUM($H$23:H616),SUM(OFFSET(H616,-365,0):H616)),IF(F616-'депозитный калькулятор'!$D$7&lt;365,SUM($H$23:H616),SUM(OFFSET(H616,-364,0):H616))),0))),IF(AND('депозитный калькулятор'!$G$10="в конце срока",'депозитный калькулятор'!$D$8=F616),SUM($H$23:H616),0))))))))))))))))))</f>
        <v xml:space="preserve"> </v>
      </c>
      <c r="J616" s="59" t="str">
        <f>IF(F616&gt;'депозитный калькулятор'!$D$8," ",IF('депозитный калькулятор'!$G$16="нет",0,IF(AND('депозитный калькулятор'!$G$17="разовая (в конце срока)",F616='депозитный калькулятор'!$D$8),'депозитный калькулятор'!$G$18,IF(AND('депозитный калькулятор'!$G$17="ежемесячная",EOMONTH(F615,0)=F615),'депозитный калькулятор'!$G$18,IF(AND('депозитный калькулятор'!$G$17="ежегодная",DAY(F615)=31,MONTH(F615)=12),'депозитный калькулятор'!$G$18,IF(AND('депозитный калькулятор'!$G$17="ежемесячная в зависимости от остатка",EOMONTH(F615,0)=F615,P615&gt;0),'депозитный калькулятор'!$G$18,IF(AND('депозитный калькулятор'!$G$17="ежегодная в зависимости от остатка",DAY(F615)=31,MONTH(F615)=12,P615&gt;0),'депозитный калькулятор'!$G$18,0)))))))</f>
        <v xml:space="preserve"> </v>
      </c>
      <c r="K616" s="135" t="str">
        <f>IF($F616=" "," ",IFERROR(VLOOKUP($F616,'депозитный калькулятор'!$B$26:$F$70,2,0),0))</f>
        <v xml:space="preserve"> </v>
      </c>
      <c r="L616" s="135" t="str">
        <f>IF($F616=" "," ",IFERROR(VLOOKUP($F616,'депозитный калькулятор'!$B$26:$F$70,3,0),0))</f>
        <v xml:space="preserve"> </v>
      </c>
      <c r="M616" s="135" t="str">
        <f>IF($F616=" "," ",IFERROR(VLOOKUP($F616,'депозитный калькулятор'!$B$26:$F$70,4,0),0))</f>
        <v xml:space="preserve"> </v>
      </c>
      <c r="N616" s="135" t="str">
        <f>IF($F616=" "," ",IFERROR(VLOOKUP($F616,'депозитный калькулятор'!$B$26:$F$70,5,0),0))</f>
        <v xml:space="preserve"> </v>
      </c>
      <c r="O616" s="146" t="str">
        <f>IF(F616&gt;'депозитный калькулятор'!$D$8," ",IF(F616='депозитный калькулятор'!$D$8,IF(AND($F$24='депозитный калькулятор'!$D$8,'депозитный калькулятор'!$G$13="нет"),-G616-IF(I616=" ",0,I616)-IF(AND(OR('депозитный калькулятор'!$G$7="30/365",'депозитный калькулятор'!$G$7="30/360"),'депозитный калькулятор'!$G$10="в начале срока"),I615,0)-L616+M616-N616,-G616-IF(I616=" ",0,I616)-L616+M616-N616),IF('депозитный калькулятор'!$G$13="есть",M616-N616+IF('депозитный калькулятор'!$G$14="есть",0,-L616),-IF(I616=" ",0,I616)-IF(AND(OR('депозитный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срока"),I615,0)+M616-N616+IF('депозитный калькулятор'!$G$14="есть",0,-L616))))</f>
        <v xml:space="preserve"> </v>
      </c>
      <c r="P616" s="147" t="str">
        <f>IF(F616&gt;'депозитный калькулятор'!$D$8," ",IF(EOMONTH(F615,0)=F615,0,IF(G616&gt;='депозитный калькулятор'!$G$19,P615,P615+1)))</f>
        <v xml:space="preserve"> </v>
      </c>
      <c r="Q616" s="138" t="str">
        <f>IF(F616=" "," ",IF(AND(OR('депозитный калькулятор'!$G$7="30/365",'депозитный калькулятор'!$G$7="30/360"),AND(MONTH(F616)=2,EOMONTH(F616,0)=F616)),IF(DAY(F616)=28,3,2),1)*IF(G616&gt;='депозитный калькулятор'!$G$11,IF(AND('депозитный калькулятор'!$G$7="факт/факт",MOD(YEAR(F616),4)=0),G616*'депозитный калькулятор'!$D$11/366,G616*'депозитный калькулятор'!$G$8),0))</f>
        <v xml:space="preserve"> </v>
      </c>
      <c r="R616" s="158"/>
      <c r="S616" s="62" t="str">
        <f t="shared" ca="1" si="47"/>
        <v xml:space="preserve"> </v>
      </c>
      <c r="T616" s="149" t="str">
        <f ca="1">IF(S616=" "," ",IF('депозитный калькулятор'!$G$7="30/360",DAYS360(U615,IF(DAY(U616)=31,U616-1,U616))+IF(AND(MONTH(U616)=2,U616=EOMONTH(U616,0)),30-DAY(EOMONTH(U616,0)))+T615,VLOOKUP(S616,$C$22:$F$1023,2,0)))</f>
        <v xml:space="preserve"> </v>
      </c>
      <c r="U616" s="64" t="str">
        <f t="shared" ca="1" si="45"/>
        <v xml:space="preserve"> </v>
      </c>
      <c r="V616" s="150" t="str">
        <f t="shared" ca="1" si="48"/>
        <v xml:space="preserve"> </v>
      </c>
      <c r="W616" s="62" t="str">
        <f t="shared" ca="1" si="49"/>
        <v xml:space="preserve"> </v>
      </c>
      <c r="X616" s="141" t="str">
        <f ca="1">IF(S616=" "," ",IFERROR(VLOOKUP(U616,$F$23:$N$1023,7)+VLOOKUP(U616,$F$23:$N$1023,9)+IF(AND('депозитный калькулятор'!$G$13="нет",U616&lt;&gt;'депозитный калькулятор'!$D$8),VLOOKUP(U616,$F$23:$N$1023,4),0),0)+IF(U616='депозитный калькулятор'!$D$8,VLOOKUP(U616,$F$23:$N$1023,2)+VLOOKUP(U616,$F$23:$N$1023,4),0))</f>
        <v xml:space="preserve"> </v>
      </c>
      <c r="Y616" s="142" t="str">
        <f ca="1">IF(S616=" "," ",W616/(1+'депозитный калькулятор'!$K$8)^(T616/IF('депозитный калькулятор'!$G$7="30/360",360,365)))</f>
        <v xml:space="preserve"> </v>
      </c>
      <c r="Z616" s="142" t="str">
        <f ca="1">IF(S616=" "," ",X616/(1+'депозитный калькулятор'!$K$8)^(T616/IF('депозитный калькулятор'!$G$7="30/360",360,365)))</f>
        <v xml:space="preserve"> </v>
      </c>
      <c r="AA616" s="151"/>
      <c r="AB616" s="151"/>
      <c r="AC616" s="155"/>
      <c r="AD616" s="155"/>
    </row>
    <row r="617" spans="1:30" s="2" customFormat="1" ht="15.5" x14ac:dyDescent="0.35">
      <c r="A617" s="41" t="str">
        <f>IF(F617=" "," ",IF(OR('депозитный калькулятор'!$G$7="30/365",'депозитный калькулятор'!$G$7="30/360"),IF(AND(MONTH(F617)=2,DAY(F617)=DAY(EOMONTH(F617,0))),30-DAY(EOMONTH(F617,0)),IF(DAY(F617)=31,1," "))," "))</f>
        <v xml:space="preserve"> </v>
      </c>
      <c r="B617" s="130" t="str">
        <f t="shared" si="46"/>
        <v xml:space="preserve"> </v>
      </c>
      <c r="C617" s="130" t="str">
        <f>IF(OR(B617=0,B617=" ")," ",SUM($B$23:B617))</f>
        <v xml:space="preserve"> </v>
      </c>
      <c r="D617" s="62" t="str">
        <f>IF(D616=" "," ",IF(OR(F616='депозитный калькулятор'!$D$8,F616=" ")," ",D616+1))</f>
        <v xml:space="preserve"> </v>
      </c>
      <c r="E617" s="130" t="str">
        <f>IF(OR(F616='депозитный калькулятор'!$D$8,F616=" ")," ",IF(EOMONTH(F616,0)=F616,1,E616+1))</f>
        <v xml:space="preserve"> </v>
      </c>
      <c r="F617" s="64" t="str">
        <f>IF(F616=" "," ",IF(F616='депозитный калькулятор'!$D$8," ",F616+1))</f>
        <v xml:space="preserve"> </v>
      </c>
      <c r="G617" s="145" t="str">
        <f xml:space="preserve"> IF(F617&gt;'депозитный калькулятор'!$D$8," ",IF('депозитный калькулятор'!$G$13="есть",IF('депозитный калькулятор'!$G$14="есть",G616+IF(I616=" ",0,I616)-J617-K617+L617+M617-N617,G616+IF(I616=" ",0,I616)-J617-K617+M617-N617),IF('депозитный калькулятор'!$G$14="есть",G616-J617-K617+L617+M617-N617,G616-J617-K617+M617-N617)))</f>
        <v xml:space="preserve"> </v>
      </c>
      <c r="H617" s="133" t="str">
        <f>IF(F617&gt;'депозитный калькулятор'!$D$8," ",IF(AND(OR('депозитный калькулятор'!$G$7="30/365",'депозитный калькулятор'!$G$7="30/360"),AND(MONTH(F617)=2,EOMONTH(F617,0)=F617)),IF(DAY(F617)=28,3*G617*'депозитный калькулятор'!$G$8,2*G617*'депозитный калькулятор'!$G$8),IF(AND(OR('депозитный калькулятор'!$G$7="30/365",'депозитный калькулятор'!$G$7="30/360"),DAY(F617)=31)," ",IF(AND('депозитный калькулятор'!$G$7="факт/факт",MOD(YEAR(F617),4)=0),G617*'депозитный калькулятор'!$D$11/366,G617*'депозитный калькулятор'!$G$8))))</f>
        <v xml:space="preserve"> </v>
      </c>
      <c r="I617" s="134" t="str">
        <f ca="1">IF(F617=" "," ",IF('депозитный калькулятор'!$G$10="ежедневное",H617,IF(AND('депозитный калькулятор'!$G$10="еженедельное",WEEKDAY(F617,2)=7),SUM(OFFSET(H617,-6,0):H617),IF(AND('депозитный калькулятор'!$G$10="еженедельное",F617='депозитный калькулятор'!$D$8),SUM($H$23:H617)-SUM($I$23:I616),IF(AND('депозитный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недели",WEEKDAY(F617,2)=7),MIN(OFFSET(H617,-6,0):H617)*(COUNTIF(OFFSET(H617,-6,0):H617,"&gt;0")+SUMIF(OFFSET(A617,-WEEKDAY(F617,2),0):A617,"=2",OFFSET(A617,-WEEKDAY(F617,2),0):A617)),IF(AND('депозитный калькулятор'!$G$10="еженедельное, на минимальную сумму зафиксированную в течение недели",F617='депозитный калькулятор'!$D$8,WEEKDAY(F617,2)&lt;&gt;7),MIN(OFFSET(H617,-WEEKDAY(F617,2),0):H617)*(COUNTIF(OFFSET(H617,-WEEKDAY(F617,2)+1,0):H617,"&gt;0")+SUM(OFFSET(A617,-WEEKDAY(F617,2),0):A617)),IF(AND('депозитный калькулятор'!$G$10="ежемесячное (в конце месяца)",F617='депозитный калькулятор'!$D$8,EOMONTH(F617,0)&lt;&gt;F617),IF('депозитный калькулятор'!$F$1=1,$H$24,SUM($H$23:H617)-SUM($I$23:I616)),IF(AND('депозитный калькулятор'!$G$10="ежемесячное (в конце месяца)",EOMONTH(F617,0)=F617),SUM($H$23:H617)-SUM($I$23:I616),IF(AND('депозитный калькулятор'!$G$10="ежемесячное (по дням открытия вклада)",F617='депозитный калькулятор'!$D$8,DAY('депозитный калькулятор'!$D$7)&lt;&gt;DAY(F617)),IF('депозитный калькулятор'!$F$1=1,$H$24,SUM($H$23:H617)-SUM($I$23:I616)),IF(AND('депозитный калькулятор'!$G$10="ежемесячное (по дням открытия вклада)",DAY('депозитный калькулятор'!$D$7)=DAY(F617)),SUM($H$23:H617)-SUM($I$23:I616),IF(AND('депозитный калькулятор'!$G$10="ежемесячное, на минимальную сумму зафиксированную в течение месяца",F617='депозитный калькулятор'!$D$8,EOMONTH(F617,0)&lt;&gt;F617),IF('депозитный калькулятор'!$F$1=1,$H$24,IF(AND(OR('депозитный калькулятор'!$G$7="30/365",'депозитный калькулятор'!$G$7="30/360"),DAY(F617)=31),0,MIN(OFFSET(H617,-E617+1,0):H617)*(E617+SUMIF(OFFSET(A617,-E617+1,0):A617,"=2",OFFSET(A617,-E617+1,0):A617)))),IF(AND('депозитный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калькулятор'!$G$7="30/360"),DAY(EOMONTH(F617,0))=31),EOMONTH(F617,0)-1=F617,EOMONTH(F617,0)=F617)),IF(IF(AND(OR('депозитный калькулятор'!$G$7="30/365",'депозитный калькулятор'!$G$7="30/360"),DAY(EOMONTH($F$23,0))=31),F617=EOMONTH($F$23,0)-1,F617=EOMONTH($F$23,0)),MIN(OFFSET(H617,-(DAY(F617)-DAY($F$23)),0):H617)*E617,MIN(OFFSET(H617,-(DAY(F617)-1),0):H617)*IF(AND(OR('депозитный калькулятор'!$G$7="30/365",'депозитный калькулятор'!$G$7="30/360"),DAY(F617)&lt;30),30,DAY(F617))),IF(AND('депозитный калькулятор'!$G$10="ежемесячное, на средний остаток в течение месяца, при условии что остаток больше чем ограничение",F617='депозитный калькулятор'!$D$8,EOMONTH(F617,0)&lt;&gt;F617),IF('депозитный калькулятор'!$F$1=1,$H$24,SUM(OFFSET(Q617,-E617+1,0):Q617)),IF(AND('депозитный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калькулятор'!$G$7="30/360"),DAY(EOMONTH(F617,0))=31),EOMONTH(F617,0)-1=F617,EOMONTH(F617,0)=F617)),IF(IF(AND(OR('депозитный калькулятор'!$G$7="30/365",'депозитный калькулятор'!$G$7="30/360"),DAY(EOMONTH($F$24,0))=31),F617=EOMONTH($F$24,0)-1,F617=EOMONTH($F$24,0)),SUM(OFFSET(Q617,-E617+1,0):Q617),SUM(OFFSET(Q617,-E617+1,0):Q617)),IF('депозитный калькулятор'!$G$10="ежеквартальное",IF(F617&gt;'депозитный калькулятор'!$D$8," ",IF(AND(EOMONTH(F617,0)=F617,OR(MONTH(F617)=3,MONTH(F617)=6,MONTH(F617)=9,MONTH(F617)=12)),IF(EDATE(F617,-3)&lt;'депозитный калькулятор'!$D$7,SUM($H$23:H617),IF(MOD(YEAR(F617),4)=0,IF(AND(EOMONTH(F617,0)=F617,OR(MONTH(F617)=3,MONTH(F617)=6)),SUM(OFFSET(H617,-90,0):H617),IF(AND(EOMONTH(F617,0)=F617,OR(MONTH(F617)=9,MONTH(F617)=12)),SUM(OFFSET(H617,-91,0):H617))),IF(AND(EOMONTH(F617,0)=F617,MONTH(F617)=3),SUM(OFFSET(H617,-89,0):H617),IF(AND(EOMONTH(F617,0)=F617,MONTH(F617)=6),SUM(OFFSET(H617,-90,0):H617),IF(AND(EOMONTH(F617,0)=F617,OR(MONTH(F617)=9,MONTH(F617)=12)),SUM(OFFSET(H617,-91,0):H617)))))),IF(F617='депозитный калькулятор'!$D$8,SUM($H$23:H617)-SUM($I$23:I616),0))),IF('депозитный калькулятор'!$G$10="ежегодное",IF(F617&gt;'депозитный калькулятор'!$D$8," ",IF(F617='депозитный калькулятор'!$D$8,SUM($H$23:H617)-SUM($I$23:I616),IF(AND(EOMONTH(F617,0)=F617,MONTH(F617)=12),IF(MOD(YEAR(F616),4)=0,IF(F617-'депозитный калькулятор'!$D$7&lt;366,SUM($H$23:H617),SUM(OFFSET(H617,-365,0):H617)),IF(F617-'депозитный калькулятор'!$D$7&lt;365,SUM($H$23:H617),SUM(OFFSET(H617,-364,0):H617))),0))),IF(AND('депозитный калькулятор'!$G$10="в конце срока",'депозитный калькулятор'!$D$8=F617),SUM($H$23:H617),0))))))))))))))))))</f>
        <v xml:space="preserve"> </v>
      </c>
      <c r="J617" s="59" t="str">
        <f>IF(F617&gt;'депозитный калькулятор'!$D$8," ",IF('депозитный калькулятор'!$G$16="нет",0,IF(AND('депозитный калькулятор'!$G$17="разовая (в конце срока)",F617='депозитный калькулятор'!$D$8),'депозитный калькулятор'!$G$18,IF(AND('депозитный калькулятор'!$G$17="ежемесячная",EOMONTH(F616,0)=F616),'депозитный калькулятор'!$G$18,IF(AND('депозитный калькулятор'!$G$17="ежегодная",DAY(F616)=31,MONTH(F616)=12),'депозитный калькулятор'!$G$18,IF(AND('депозитный калькулятор'!$G$17="ежемесячная в зависимости от остатка",EOMONTH(F616,0)=F616,P616&gt;0),'депозитный калькулятор'!$G$18,IF(AND('депозитный калькулятор'!$G$17="ежегодная в зависимости от остатка",DAY(F616)=31,MONTH(F616)=12,P616&gt;0),'депозитный калькулятор'!$G$18,0)))))))</f>
        <v xml:space="preserve"> </v>
      </c>
      <c r="K617" s="135" t="str">
        <f>IF($F617=" "," ",IFERROR(VLOOKUP($F617,'депозитный калькулятор'!$B$26:$F$70,2,0),0))</f>
        <v xml:space="preserve"> </v>
      </c>
      <c r="L617" s="135" t="str">
        <f>IF($F617=" "," ",IFERROR(VLOOKUP($F617,'депозитный калькулятор'!$B$26:$F$70,3,0),0))</f>
        <v xml:space="preserve"> </v>
      </c>
      <c r="M617" s="135" t="str">
        <f>IF($F617=" "," ",IFERROR(VLOOKUP($F617,'депозитный калькулятор'!$B$26:$F$70,4,0),0))</f>
        <v xml:space="preserve"> </v>
      </c>
      <c r="N617" s="135" t="str">
        <f>IF($F617=" "," ",IFERROR(VLOOKUP($F617,'депозитный калькулятор'!$B$26:$F$70,5,0),0))</f>
        <v xml:space="preserve"> </v>
      </c>
      <c r="O617" s="146" t="str">
        <f>IF(F617&gt;'депозитный калькулятор'!$D$8," ",IF(F617='депозитный калькулятор'!$D$8,IF(AND($F$24='депозитный калькулятор'!$D$8,'депозитный калькулятор'!$G$13="нет"),-G617-IF(I617=" ",0,I617)-IF(AND(OR('депозитный калькулятор'!$G$7="30/365",'депозитный калькулятор'!$G$7="30/360"),'депозитный калькулятор'!$G$10="в начале срока"),I616,0)-L617+M617-N617,-G617-IF(I617=" ",0,I617)-L617+M617-N617),IF('депозитный калькулятор'!$G$13="есть",M617-N617+IF('депозитный калькулятор'!$G$14="есть",0,-L617),-IF(I617=" ",0,I617)-IF(AND(OR('депозитный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срока"),I616,0)+M617-N617+IF('депозитный калькулятор'!$G$14="есть",0,-L617))))</f>
        <v xml:space="preserve"> </v>
      </c>
      <c r="P617" s="147" t="str">
        <f>IF(F617&gt;'депозитный калькулятор'!$D$8," ",IF(EOMONTH(F616,0)=F616,0,IF(G617&gt;='депозитный калькулятор'!$G$19,P616,P616+1)))</f>
        <v xml:space="preserve"> </v>
      </c>
      <c r="Q617" s="138" t="str">
        <f>IF(F617=" "," ",IF(AND(OR('депозитный калькулятор'!$G$7="30/365",'депозитный калькулятор'!$G$7="30/360"),AND(MONTH(F617)=2,EOMONTH(F617,0)=F617)),IF(DAY(F617)=28,3,2),1)*IF(G617&gt;='депозитный калькулятор'!$G$11,IF(AND('депозитный калькулятор'!$G$7="факт/факт",MOD(YEAR(F617),4)=0),G617*'депозитный калькулятор'!$D$11/366,G617*'депозитный калькулятор'!$G$8),0))</f>
        <v xml:space="preserve"> </v>
      </c>
      <c r="R617" s="158"/>
      <c r="S617" s="62" t="str">
        <f t="shared" ca="1" si="47"/>
        <v xml:space="preserve"> </v>
      </c>
      <c r="T617" s="149" t="str">
        <f ca="1">IF(S617=" "," ",IF('депозитный калькулятор'!$G$7="30/360",DAYS360(U616,IF(DAY(U617)=31,U617-1,U617))+IF(AND(MONTH(U617)=2,U617=EOMONTH(U617,0)),30-DAY(EOMONTH(U617,0)))+T616,VLOOKUP(S617,$C$22:$F$1023,2,0)))</f>
        <v xml:space="preserve"> </v>
      </c>
      <c r="U617" s="64" t="str">
        <f t="shared" ca="1" si="45"/>
        <v xml:space="preserve"> </v>
      </c>
      <c r="V617" s="150" t="str">
        <f t="shared" ca="1" si="48"/>
        <v xml:space="preserve"> </v>
      </c>
      <c r="W617" s="62" t="str">
        <f t="shared" ca="1" si="49"/>
        <v xml:space="preserve"> </v>
      </c>
      <c r="X617" s="141" t="str">
        <f ca="1">IF(S617=" "," ",IFERROR(VLOOKUP(U617,$F$23:$N$1023,7)+VLOOKUP(U617,$F$23:$N$1023,9)+IF(AND('депозитный калькулятор'!$G$13="нет",U617&lt;&gt;'депозитный калькулятор'!$D$8),VLOOKUP(U617,$F$23:$N$1023,4),0),0)+IF(U617='депозитный калькулятор'!$D$8,VLOOKUP(U617,$F$23:$N$1023,2)+VLOOKUP(U617,$F$23:$N$1023,4),0))</f>
        <v xml:space="preserve"> </v>
      </c>
      <c r="Y617" s="142" t="str">
        <f ca="1">IF(S617=" "," ",W617/(1+'депозитный калькулятор'!$K$8)^(T617/IF('депозитный калькулятор'!$G$7="30/360",360,365)))</f>
        <v xml:space="preserve"> </v>
      </c>
      <c r="Z617" s="142" t="str">
        <f ca="1">IF(S617=" "," ",X617/(1+'депозитный калькулятор'!$K$8)^(T617/IF('депозитный калькулятор'!$G$7="30/360",360,365)))</f>
        <v xml:space="preserve"> </v>
      </c>
      <c r="AA617" s="151"/>
      <c r="AB617" s="151"/>
      <c r="AC617" s="155"/>
      <c r="AD617" s="155"/>
    </row>
    <row r="618" spans="1:30" s="2" customFormat="1" ht="15.5" x14ac:dyDescent="0.35">
      <c r="A618" s="41" t="str">
        <f>IF(F618=" "," ",IF(OR('депозитный калькулятор'!$G$7="30/365",'депозитный калькулятор'!$G$7="30/360"),IF(AND(MONTH(F618)=2,DAY(F618)=DAY(EOMONTH(F618,0))),30-DAY(EOMONTH(F618,0)),IF(DAY(F618)=31,1," "))," "))</f>
        <v xml:space="preserve"> </v>
      </c>
      <c r="B618" s="130" t="str">
        <f t="shared" si="46"/>
        <v xml:space="preserve"> </v>
      </c>
      <c r="C618" s="130" t="str">
        <f>IF(OR(B618=0,B618=" ")," ",SUM($B$23:B618))</f>
        <v xml:space="preserve"> </v>
      </c>
      <c r="D618" s="62" t="str">
        <f>IF(D617=" "," ",IF(OR(F617='депозитный калькулятор'!$D$8,F617=" ")," ",D617+1))</f>
        <v xml:space="preserve"> </v>
      </c>
      <c r="E618" s="130" t="str">
        <f>IF(OR(F617='депозитный калькулятор'!$D$8,F617=" ")," ",IF(EOMONTH(F617,0)=F617,1,E617+1))</f>
        <v xml:space="preserve"> </v>
      </c>
      <c r="F618" s="64" t="str">
        <f>IF(F617=" "," ",IF(F617='депозитный калькулятор'!$D$8," ",F617+1))</f>
        <v xml:space="preserve"> </v>
      </c>
      <c r="G618" s="145" t="str">
        <f xml:space="preserve"> IF(F618&gt;'депозитный калькулятор'!$D$8," ",IF('депозитный калькулятор'!$G$13="есть",IF('депозитный калькулятор'!$G$14="есть",G617+IF(I617=" ",0,I617)-J618-K618+L618+M618-N618,G617+IF(I617=" ",0,I617)-J618-K618+M618-N618),IF('депозитный калькулятор'!$G$14="есть",G617-J618-K618+L618+M618-N618,G617-J618-K618+M618-N618)))</f>
        <v xml:space="preserve"> </v>
      </c>
      <c r="H618" s="133" t="str">
        <f>IF(F618&gt;'депозитный калькулятор'!$D$8," ",IF(AND(OR('депозитный калькулятор'!$G$7="30/365",'депозитный калькулятор'!$G$7="30/360"),AND(MONTH(F618)=2,EOMONTH(F618,0)=F618)),IF(DAY(F618)=28,3*G618*'депозитный калькулятор'!$G$8,2*G618*'депозитный калькулятор'!$G$8),IF(AND(OR('депозитный калькулятор'!$G$7="30/365",'депозитный калькулятор'!$G$7="30/360"),DAY(F618)=31)," ",IF(AND('депозитный калькулятор'!$G$7="факт/факт",MOD(YEAR(F618),4)=0),G618*'депозитный калькулятор'!$D$11/366,G618*'депозитный калькулятор'!$G$8))))</f>
        <v xml:space="preserve"> </v>
      </c>
      <c r="I618" s="134" t="str">
        <f ca="1">IF(F618=" "," ",IF('депозитный калькулятор'!$G$10="ежедневное",H618,IF(AND('депозитный калькулятор'!$G$10="еженедельное",WEEKDAY(F618,2)=7),SUM(OFFSET(H618,-6,0):H618),IF(AND('депозитный калькулятор'!$G$10="еженедельное",F618='депозитный калькулятор'!$D$8),SUM($H$23:H618)-SUM($I$23:I617),IF(AND('депозитный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недели",WEEKDAY(F618,2)=7),MIN(OFFSET(H618,-6,0):H618)*(COUNTIF(OFFSET(H618,-6,0):H618,"&gt;0")+SUMIF(OFFSET(A618,-WEEKDAY(F618,2),0):A618,"=2",OFFSET(A618,-WEEKDAY(F618,2),0):A618)),IF(AND('депозитный калькулятор'!$G$10="еженедельное, на минимальную сумму зафиксированную в течение недели",F618='депозитный калькулятор'!$D$8,WEEKDAY(F618,2)&lt;&gt;7),MIN(OFFSET(H618,-WEEKDAY(F618,2),0):H618)*(COUNTIF(OFFSET(H618,-WEEKDAY(F618,2)+1,0):H618,"&gt;0")+SUM(OFFSET(A618,-WEEKDAY(F618,2),0):A618)),IF(AND('депозитный калькулятор'!$G$10="ежемесячное (в конце месяца)",F618='депозитный калькулятор'!$D$8,EOMONTH(F618,0)&lt;&gt;F618),IF('депозитный калькулятор'!$F$1=1,$H$24,SUM($H$23:H618)-SUM($I$23:I617)),IF(AND('депозитный калькулятор'!$G$10="ежемесячное (в конце месяца)",EOMONTH(F618,0)=F618),SUM($H$23:H618)-SUM($I$23:I617),IF(AND('депозитный калькулятор'!$G$10="ежемесячное (по дням открытия вклада)",F618='депозитный калькулятор'!$D$8,DAY('депозитный калькулятор'!$D$7)&lt;&gt;DAY(F618)),IF('депозитный калькулятор'!$F$1=1,$H$24,SUM($H$23:H618)-SUM($I$23:I617)),IF(AND('депозитный калькулятор'!$G$10="ежемесячное (по дням открытия вклада)",DAY('депозитный калькулятор'!$D$7)=DAY(F618)),SUM($H$23:H618)-SUM($I$23:I617),IF(AND('депозитный калькулятор'!$G$10="ежемесячное, на минимальную сумму зафиксированную в течение месяца",F618='депозитный калькулятор'!$D$8,EOMONTH(F618,0)&lt;&gt;F618),IF('депозитный калькулятор'!$F$1=1,$H$24,IF(AND(OR('депозитный калькулятор'!$G$7="30/365",'депозитный калькулятор'!$G$7="30/360"),DAY(F618)=31),0,MIN(OFFSET(H618,-E618+1,0):H618)*(E618+SUMIF(OFFSET(A618,-E618+1,0):A618,"=2",OFFSET(A618,-E618+1,0):A618)))),IF(AND('депозитный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калькулятор'!$G$7="30/360"),DAY(EOMONTH(F618,0))=31),EOMONTH(F618,0)-1=F618,EOMONTH(F618,0)=F618)),IF(IF(AND(OR('депозитный калькулятор'!$G$7="30/365",'депозитный калькулятор'!$G$7="30/360"),DAY(EOMONTH($F$23,0))=31),F618=EOMONTH($F$23,0)-1,F618=EOMONTH($F$23,0)),MIN(OFFSET(H618,-(DAY(F618)-DAY($F$23)),0):H618)*E618,MIN(OFFSET(H618,-(DAY(F618)-1),0):H618)*IF(AND(OR('депозитный калькулятор'!$G$7="30/365",'депозитный калькулятор'!$G$7="30/360"),DAY(F618)&lt;30),30,DAY(F618))),IF(AND('депозитный калькулятор'!$G$10="ежемесячное, на средний остаток в течение месяца, при условии что остаток больше чем ограничение",F618='депозитный калькулятор'!$D$8,EOMONTH(F618,0)&lt;&gt;F618),IF('депозитный калькулятор'!$F$1=1,$H$24,SUM(OFFSET(Q618,-E618+1,0):Q618)),IF(AND('депозитный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калькулятор'!$G$7="30/360"),DAY(EOMONTH(F618,0))=31),EOMONTH(F618,0)-1=F618,EOMONTH(F618,0)=F618)),IF(IF(AND(OR('депозитный калькулятор'!$G$7="30/365",'депозитный калькулятор'!$G$7="30/360"),DAY(EOMONTH($F$24,0))=31),F618=EOMONTH($F$24,0)-1,F618=EOMONTH($F$24,0)),SUM(OFFSET(Q618,-E618+1,0):Q618),SUM(OFFSET(Q618,-E618+1,0):Q618)),IF('депозитный калькулятор'!$G$10="ежеквартальное",IF(F618&gt;'депозитный калькулятор'!$D$8," ",IF(AND(EOMONTH(F618,0)=F618,OR(MONTH(F618)=3,MONTH(F618)=6,MONTH(F618)=9,MONTH(F618)=12)),IF(EDATE(F618,-3)&lt;'депозитный калькулятор'!$D$7,SUM($H$23:H618),IF(MOD(YEAR(F618),4)=0,IF(AND(EOMONTH(F618,0)=F618,OR(MONTH(F618)=3,MONTH(F618)=6)),SUM(OFFSET(H618,-90,0):H618),IF(AND(EOMONTH(F618,0)=F618,OR(MONTH(F618)=9,MONTH(F618)=12)),SUM(OFFSET(H618,-91,0):H618))),IF(AND(EOMONTH(F618,0)=F618,MONTH(F618)=3),SUM(OFFSET(H618,-89,0):H618),IF(AND(EOMONTH(F618,0)=F618,MONTH(F618)=6),SUM(OFFSET(H618,-90,0):H618),IF(AND(EOMONTH(F618,0)=F618,OR(MONTH(F618)=9,MONTH(F618)=12)),SUM(OFFSET(H618,-91,0):H618)))))),IF(F618='депозитный калькулятор'!$D$8,SUM($H$23:H618)-SUM($I$23:I617),0))),IF('депозитный калькулятор'!$G$10="ежегодное",IF(F618&gt;'депозитный калькулятор'!$D$8," ",IF(F618='депозитный калькулятор'!$D$8,SUM($H$23:H618)-SUM($I$23:I617),IF(AND(EOMONTH(F618,0)=F618,MONTH(F618)=12),IF(MOD(YEAR(F617),4)=0,IF(F618-'депозитный калькулятор'!$D$7&lt;366,SUM($H$23:H618),SUM(OFFSET(H618,-365,0):H618)),IF(F618-'депозитный калькулятор'!$D$7&lt;365,SUM($H$23:H618),SUM(OFFSET(H618,-364,0):H618))),0))),IF(AND('депозитный калькулятор'!$G$10="в конце срока",'депозитный калькулятор'!$D$8=F618),SUM($H$23:H618),0))))))))))))))))))</f>
        <v xml:space="preserve"> </v>
      </c>
      <c r="J618" s="59" t="str">
        <f>IF(F618&gt;'депозитный калькулятор'!$D$8," ",IF('депозитный калькулятор'!$G$16="нет",0,IF(AND('депозитный калькулятор'!$G$17="разовая (в конце срока)",F618='депозитный калькулятор'!$D$8),'депозитный калькулятор'!$G$18,IF(AND('депозитный калькулятор'!$G$17="ежемесячная",EOMONTH(F617,0)=F617),'депозитный калькулятор'!$G$18,IF(AND('депозитный калькулятор'!$G$17="ежегодная",DAY(F617)=31,MONTH(F617)=12),'депозитный калькулятор'!$G$18,IF(AND('депозитный калькулятор'!$G$17="ежемесячная в зависимости от остатка",EOMONTH(F617,0)=F617,P617&gt;0),'депозитный калькулятор'!$G$18,IF(AND('депозитный калькулятор'!$G$17="ежегодная в зависимости от остатка",DAY(F617)=31,MONTH(F617)=12,P617&gt;0),'депозитный калькулятор'!$G$18,0)))))))</f>
        <v xml:space="preserve"> </v>
      </c>
      <c r="K618" s="135" t="str">
        <f>IF($F618=" "," ",IFERROR(VLOOKUP($F618,'депозитный калькулятор'!$B$26:$F$70,2,0),0))</f>
        <v xml:space="preserve"> </v>
      </c>
      <c r="L618" s="135" t="str">
        <f>IF($F618=" "," ",IFERROR(VLOOKUP($F618,'депозитный калькулятор'!$B$26:$F$70,3,0),0))</f>
        <v xml:space="preserve"> </v>
      </c>
      <c r="M618" s="135" t="str">
        <f>IF($F618=" "," ",IFERROR(VLOOKUP($F618,'депозитный калькулятор'!$B$26:$F$70,4,0),0))</f>
        <v xml:space="preserve"> </v>
      </c>
      <c r="N618" s="135" t="str">
        <f>IF($F618=" "," ",IFERROR(VLOOKUP($F618,'депозитный калькулятор'!$B$26:$F$70,5,0),0))</f>
        <v xml:space="preserve"> </v>
      </c>
      <c r="O618" s="146" t="str">
        <f>IF(F618&gt;'депозитный калькулятор'!$D$8," ",IF(F618='депозитный калькулятор'!$D$8,IF(AND($F$24='депозитный калькулятор'!$D$8,'депозитный калькулятор'!$G$13="нет"),-G618-IF(I618=" ",0,I618)-IF(AND(OR('депозитный калькулятор'!$G$7="30/365",'депозитный калькулятор'!$G$7="30/360"),'депозитный калькулятор'!$G$10="в начале срока"),I617,0)-L618+M618-N618,-G618-IF(I618=" ",0,I618)-L618+M618-N618),IF('депозитный калькулятор'!$G$13="есть",M618-N618+IF('депозитный калькулятор'!$G$14="есть",0,-L618),-IF(I618=" ",0,I618)-IF(AND(OR('депозитный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срока"),I617,0)+M618-N618+IF('депозитный калькулятор'!$G$14="есть",0,-L618))))</f>
        <v xml:space="preserve"> </v>
      </c>
      <c r="P618" s="147" t="str">
        <f>IF(F618&gt;'депозитный калькулятор'!$D$8," ",IF(EOMONTH(F617,0)=F617,0,IF(G618&gt;='депозитный калькулятор'!$G$19,P617,P617+1)))</f>
        <v xml:space="preserve"> </v>
      </c>
      <c r="Q618" s="138" t="str">
        <f>IF(F618=" "," ",IF(AND(OR('депозитный калькулятор'!$G$7="30/365",'депозитный калькулятор'!$G$7="30/360"),AND(MONTH(F618)=2,EOMONTH(F618,0)=F618)),IF(DAY(F618)=28,3,2),1)*IF(G618&gt;='депозитный калькулятор'!$G$11,IF(AND('депозитный калькулятор'!$G$7="факт/факт",MOD(YEAR(F618),4)=0),G618*'депозитный калькулятор'!$D$11/366,G618*'депозитный калькулятор'!$G$8),0))</f>
        <v xml:space="preserve"> </v>
      </c>
      <c r="R618" s="158"/>
      <c r="S618" s="62" t="str">
        <f t="shared" ca="1" si="47"/>
        <v xml:space="preserve"> </v>
      </c>
      <c r="T618" s="149" t="str">
        <f ca="1">IF(S618=" "," ",IF('депозитный калькулятор'!$G$7="30/360",DAYS360(U617,IF(DAY(U618)=31,U618-1,U618))+IF(AND(MONTH(U618)=2,U618=EOMONTH(U618,0)),30-DAY(EOMONTH(U618,0)))+T617,VLOOKUP(S618,$C$22:$F$1023,2,0)))</f>
        <v xml:space="preserve"> </v>
      </c>
      <c r="U618" s="64" t="str">
        <f t="shared" ca="1" si="45"/>
        <v xml:space="preserve"> </v>
      </c>
      <c r="V618" s="150" t="str">
        <f t="shared" ca="1" si="48"/>
        <v xml:space="preserve"> </v>
      </c>
      <c r="W618" s="62" t="str">
        <f t="shared" ca="1" si="49"/>
        <v xml:space="preserve"> </v>
      </c>
      <c r="X618" s="141" t="str">
        <f ca="1">IF(S618=" "," ",IFERROR(VLOOKUP(U618,$F$23:$N$1023,7)+VLOOKUP(U618,$F$23:$N$1023,9)+IF(AND('депозитный калькулятор'!$G$13="нет",U618&lt;&gt;'депозитный калькулятор'!$D$8),VLOOKUP(U618,$F$23:$N$1023,4),0),0)+IF(U618='депозитный калькулятор'!$D$8,VLOOKUP(U618,$F$23:$N$1023,2)+VLOOKUP(U618,$F$23:$N$1023,4),0))</f>
        <v xml:space="preserve"> </v>
      </c>
      <c r="Y618" s="142" t="str">
        <f ca="1">IF(S618=" "," ",W618/(1+'депозитный калькулятор'!$K$8)^(T618/IF('депозитный калькулятор'!$G$7="30/360",360,365)))</f>
        <v xml:space="preserve"> </v>
      </c>
      <c r="Z618" s="142" t="str">
        <f ca="1">IF(S618=" "," ",X618/(1+'депозитный калькулятор'!$K$8)^(T618/IF('депозитный калькулятор'!$G$7="30/360",360,365)))</f>
        <v xml:space="preserve"> </v>
      </c>
      <c r="AA618" s="151"/>
      <c r="AB618" s="151"/>
      <c r="AC618" s="155"/>
      <c r="AD618" s="155"/>
    </row>
    <row r="619" spans="1:30" s="2" customFormat="1" ht="15.5" x14ac:dyDescent="0.35">
      <c r="A619" s="41" t="str">
        <f>IF(F619=" "," ",IF(OR('депозитный калькулятор'!$G$7="30/365",'депозитный калькулятор'!$G$7="30/360"),IF(AND(MONTH(F619)=2,DAY(F619)=DAY(EOMONTH(F619,0))),30-DAY(EOMONTH(F619,0)),IF(DAY(F619)=31,1," "))," "))</f>
        <v xml:space="preserve"> </v>
      </c>
      <c r="B619" s="130" t="str">
        <f t="shared" si="46"/>
        <v xml:space="preserve"> </v>
      </c>
      <c r="C619" s="130" t="str">
        <f>IF(OR(B619=0,B619=" ")," ",SUM($B$23:B619))</f>
        <v xml:space="preserve"> </v>
      </c>
      <c r="D619" s="62" t="str">
        <f>IF(D618=" "," ",IF(OR(F618='депозитный калькулятор'!$D$8,F618=" ")," ",D618+1))</f>
        <v xml:space="preserve"> </v>
      </c>
      <c r="E619" s="130" t="str">
        <f>IF(OR(F618='депозитный калькулятор'!$D$8,F618=" ")," ",IF(EOMONTH(F618,0)=F618,1,E618+1))</f>
        <v xml:space="preserve"> </v>
      </c>
      <c r="F619" s="64" t="str">
        <f>IF(F618=" "," ",IF(F618='депозитный калькулятор'!$D$8," ",F618+1))</f>
        <v xml:space="preserve"> </v>
      </c>
      <c r="G619" s="145" t="str">
        <f xml:space="preserve"> IF(F619&gt;'депозитный калькулятор'!$D$8," ",IF('депозитный калькулятор'!$G$13="есть",IF('депозитный калькулятор'!$G$14="есть",G618+IF(I618=" ",0,I618)-J619-K619+L619+M619-N619,G618+IF(I618=" ",0,I618)-J619-K619+M619-N619),IF('депозитный калькулятор'!$G$14="есть",G618-J619-K619+L619+M619-N619,G618-J619-K619+M619-N619)))</f>
        <v xml:space="preserve"> </v>
      </c>
      <c r="H619" s="133" t="str">
        <f>IF(F619&gt;'депозитный калькулятор'!$D$8," ",IF(AND(OR('депозитный калькулятор'!$G$7="30/365",'депозитный калькулятор'!$G$7="30/360"),AND(MONTH(F619)=2,EOMONTH(F619,0)=F619)),IF(DAY(F619)=28,3*G619*'депозитный калькулятор'!$G$8,2*G619*'депозитный калькулятор'!$G$8),IF(AND(OR('депозитный калькулятор'!$G$7="30/365",'депозитный калькулятор'!$G$7="30/360"),DAY(F619)=31)," ",IF(AND('депозитный калькулятор'!$G$7="факт/факт",MOD(YEAR(F619),4)=0),G619*'депозитный калькулятор'!$D$11/366,G619*'депозитный калькулятор'!$G$8))))</f>
        <v xml:space="preserve"> </v>
      </c>
      <c r="I619" s="134" t="str">
        <f ca="1">IF(F619=" "," ",IF('депозитный калькулятор'!$G$10="ежедневное",H619,IF(AND('депозитный калькулятор'!$G$10="еженедельное",WEEKDAY(F619,2)=7),SUM(OFFSET(H619,-6,0):H619),IF(AND('депозитный калькулятор'!$G$10="еженедельное",F619='депозитный калькулятор'!$D$8),SUM($H$23:H619)-SUM($I$23:I618),IF(AND('депозитный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недели",WEEKDAY(F619,2)=7),MIN(OFFSET(H619,-6,0):H619)*(COUNTIF(OFFSET(H619,-6,0):H619,"&gt;0")+SUMIF(OFFSET(A619,-WEEKDAY(F619,2),0):A619,"=2",OFFSET(A619,-WEEKDAY(F619,2),0):A619)),IF(AND('депозитный калькулятор'!$G$10="еженедельное, на минимальную сумму зафиксированную в течение недели",F619='депозитный калькулятор'!$D$8,WEEKDAY(F619,2)&lt;&gt;7),MIN(OFFSET(H619,-WEEKDAY(F619,2),0):H619)*(COUNTIF(OFFSET(H619,-WEEKDAY(F619,2)+1,0):H619,"&gt;0")+SUM(OFFSET(A619,-WEEKDAY(F619,2),0):A619)),IF(AND('депозитный калькулятор'!$G$10="ежемесячное (в конце месяца)",F619='депозитный калькулятор'!$D$8,EOMONTH(F619,0)&lt;&gt;F619),IF('депозитный калькулятор'!$F$1=1,$H$24,SUM($H$23:H619)-SUM($I$23:I618)),IF(AND('депозитный калькулятор'!$G$10="ежемесячное (в конце месяца)",EOMONTH(F619,0)=F619),SUM($H$23:H619)-SUM($I$23:I618),IF(AND('депозитный калькулятор'!$G$10="ежемесячное (по дням открытия вклада)",F619='депозитный калькулятор'!$D$8,DAY('депозитный калькулятор'!$D$7)&lt;&gt;DAY(F619)),IF('депозитный калькулятор'!$F$1=1,$H$24,SUM($H$23:H619)-SUM($I$23:I618)),IF(AND('депозитный калькулятор'!$G$10="ежемесячное (по дням открытия вклада)",DAY('депозитный калькулятор'!$D$7)=DAY(F619)),SUM($H$23:H619)-SUM($I$23:I618),IF(AND('депозитный калькулятор'!$G$10="ежемесячное, на минимальную сумму зафиксированную в течение месяца",F619='депозитный калькулятор'!$D$8,EOMONTH(F619,0)&lt;&gt;F619),IF('депозитный калькулятор'!$F$1=1,$H$24,IF(AND(OR('депозитный калькулятор'!$G$7="30/365",'депозитный калькулятор'!$G$7="30/360"),DAY(F619)=31),0,MIN(OFFSET(H619,-E619+1,0):H619)*(E619+SUMIF(OFFSET(A619,-E619+1,0):A619,"=2",OFFSET(A619,-E619+1,0):A619)))),IF(AND('депозитный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калькулятор'!$G$7="30/360"),DAY(EOMONTH(F619,0))=31),EOMONTH(F619,0)-1=F619,EOMONTH(F619,0)=F619)),IF(IF(AND(OR('депозитный калькулятор'!$G$7="30/365",'депозитный калькулятор'!$G$7="30/360"),DAY(EOMONTH($F$23,0))=31),F619=EOMONTH($F$23,0)-1,F619=EOMONTH($F$23,0)),MIN(OFFSET(H619,-(DAY(F619)-DAY($F$23)),0):H619)*E619,MIN(OFFSET(H619,-(DAY(F619)-1),0):H619)*IF(AND(OR('депозитный калькулятор'!$G$7="30/365",'депозитный калькулятор'!$G$7="30/360"),DAY(F619)&lt;30),30,DAY(F619))),IF(AND('депозитный калькулятор'!$G$10="ежемесячное, на средний остаток в течение месяца, при условии что остаток больше чем ограничение",F619='депозитный калькулятор'!$D$8,EOMONTH(F619,0)&lt;&gt;F619),IF('депозитный калькулятор'!$F$1=1,$H$24,SUM(OFFSET(Q619,-E619+1,0):Q619)),IF(AND('депозитный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калькулятор'!$G$7="30/360"),DAY(EOMONTH(F619,0))=31),EOMONTH(F619,0)-1=F619,EOMONTH(F619,0)=F619)),IF(IF(AND(OR('депозитный калькулятор'!$G$7="30/365",'депозитный калькулятор'!$G$7="30/360"),DAY(EOMONTH($F$24,0))=31),F619=EOMONTH($F$24,0)-1,F619=EOMONTH($F$24,0)),SUM(OFFSET(Q619,-E619+1,0):Q619),SUM(OFFSET(Q619,-E619+1,0):Q619)),IF('депозитный калькулятор'!$G$10="ежеквартальное",IF(F619&gt;'депозитный калькулятор'!$D$8," ",IF(AND(EOMONTH(F619,0)=F619,OR(MONTH(F619)=3,MONTH(F619)=6,MONTH(F619)=9,MONTH(F619)=12)),IF(EDATE(F619,-3)&lt;'депозитный калькулятор'!$D$7,SUM($H$23:H619),IF(MOD(YEAR(F619),4)=0,IF(AND(EOMONTH(F619,0)=F619,OR(MONTH(F619)=3,MONTH(F619)=6)),SUM(OFFSET(H619,-90,0):H619),IF(AND(EOMONTH(F619,0)=F619,OR(MONTH(F619)=9,MONTH(F619)=12)),SUM(OFFSET(H619,-91,0):H619))),IF(AND(EOMONTH(F619,0)=F619,MONTH(F619)=3),SUM(OFFSET(H619,-89,0):H619),IF(AND(EOMONTH(F619,0)=F619,MONTH(F619)=6),SUM(OFFSET(H619,-90,0):H619),IF(AND(EOMONTH(F619,0)=F619,OR(MONTH(F619)=9,MONTH(F619)=12)),SUM(OFFSET(H619,-91,0):H619)))))),IF(F619='депозитный калькулятор'!$D$8,SUM($H$23:H619)-SUM($I$23:I618),0))),IF('депозитный калькулятор'!$G$10="ежегодное",IF(F619&gt;'депозитный калькулятор'!$D$8," ",IF(F619='депозитный калькулятор'!$D$8,SUM($H$23:H619)-SUM($I$23:I618),IF(AND(EOMONTH(F619,0)=F619,MONTH(F619)=12),IF(MOD(YEAR(F618),4)=0,IF(F619-'депозитный калькулятор'!$D$7&lt;366,SUM($H$23:H619),SUM(OFFSET(H619,-365,0):H619)),IF(F619-'депозитный калькулятор'!$D$7&lt;365,SUM($H$23:H619),SUM(OFFSET(H619,-364,0):H619))),0))),IF(AND('депозитный калькулятор'!$G$10="в конце срока",'депозитный калькулятор'!$D$8=F619),SUM($H$23:H619),0))))))))))))))))))</f>
        <v xml:space="preserve"> </v>
      </c>
      <c r="J619" s="59" t="str">
        <f>IF(F619&gt;'депозитный калькулятор'!$D$8," ",IF('депозитный калькулятор'!$G$16="нет",0,IF(AND('депозитный калькулятор'!$G$17="разовая (в конце срока)",F619='депозитный калькулятор'!$D$8),'депозитный калькулятор'!$G$18,IF(AND('депозитный калькулятор'!$G$17="ежемесячная",EOMONTH(F618,0)=F618),'депозитный калькулятор'!$G$18,IF(AND('депозитный калькулятор'!$G$17="ежегодная",DAY(F618)=31,MONTH(F618)=12),'депозитный калькулятор'!$G$18,IF(AND('депозитный калькулятор'!$G$17="ежемесячная в зависимости от остатка",EOMONTH(F618,0)=F618,P618&gt;0),'депозитный калькулятор'!$G$18,IF(AND('депозитный калькулятор'!$G$17="ежегодная в зависимости от остатка",DAY(F618)=31,MONTH(F618)=12,P618&gt;0),'депозитный калькулятор'!$G$18,0)))))))</f>
        <v xml:space="preserve"> </v>
      </c>
      <c r="K619" s="135" t="str">
        <f>IF($F619=" "," ",IFERROR(VLOOKUP($F619,'депозитный калькулятор'!$B$26:$F$70,2,0),0))</f>
        <v xml:space="preserve"> </v>
      </c>
      <c r="L619" s="135" t="str">
        <f>IF($F619=" "," ",IFERROR(VLOOKUP($F619,'депозитный калькулятор'!$B$26:$F$70,3,0),0))</f>
        <v xml:space="preserve"> </v>
      </c>
      <c r="M619" s="135" t="str">
        <f>IF($F619=" "," ",IFERROR(VLOOKUP($F619,'депозитный калькулятор'!$B$26:$F$70,4,0),0))</f>
        <v xml:space="preserve"> </v>
      </c>
      <c r="N619" s="135" t="str">
        <f>IF($F619=" "," ",IFERROR(VLOOKUP($F619,'депозитный калькулятор'!$B$26:$F$70,5,0),0))</f>
        <v xml:space="preserve"> </v>
      </c>
      <c r="O619" s="146" t="str">
        <f>IF(F619&gt;'депозитный калькулятор'!$D$8," ",IF(F619='депозитный калькулятор'!$D$8,IF(AND($F$24='депозитный калькулятор'!$D$8,'депозитный калькулятор'!$G$13="нет"),-G619-IF(I619=" ",0,I619)-IF(AND(OR('депозитный калькулятор'!$G$7="30/365",'депозитный калькулятор'!$G$7="30/360"),'депозитный калькулятор'!$G$10="в начале срока"),I618,0)-L619+M619-N619,-G619-IF(I619=" ",0,I619)-L619+M619-N619),IF('депозитный калькулятор'!$G$13="есть",M619-N619+IF('депозитный калькулятор'!$G$14="есть",0,-L619),-IF(I619=" ",0,I619)-IF(AND(OR('депозитный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срока"),I618,0)+M619-N619+IF('депозитный калькулятор'!$G$14="есть",0,-L619))))</f>
        <v xml:space="preserve"> </v>
      </c>
      <c r="P619" s="147" t="str">
        <f>IF(F619&gt;'депозитный калькулятор'!$D$8," ",IF(EOMONTH(F618,0)=F618,0,IF(G619&gt;='депозитный калькулятор'!$G$19,P618,P618+1)))</f>
        <v xml:space="preserve"> </v>
      </c>
      <c r="Q619" s="138" t="str">
        <f>IF(F619=" "," ",IF(AND(OR('депозитный калькулятор'!$G$7="30/365",'депозитный калькулятор'!$G$7="30/360"),AND(MONTH(F619)=2,EOMONTH(F619,0)=F619)),IF(DAY(F619)=28,3,2),1)*IF(G619&gt;='депозитный калькулятор'!$G$11,IF(AND('депозитный калькулятор'!$G$7="факт/факт",MOD(YEAR(F619),4)=0),G619*'депозитный калькулятор'!$D$11/366,G619*'депозитный калькулятор'!$G$8),0))</f>
        <v xml:space="preserve"> </v>
      </c>
      <c r="R619" s="158"/>
      <c r="S619" s="62" t="str">
        <f t="shared" ca="1" si="47"/>
        <v xml:space="preserve"> </v>
      </c>
      <c r="T619" s="149" t="str">
        <f ca="1">IF(S619=" "," ",IF('депозитный калькулятор'!$G$7="30/360",DAYS360(U618,IF(DAY(U619)=31,U619-1,U619))+IF(AND(MONTH(U619)=2,U619=EOMONTH(U619,0)),30-DAY(EOMONTH(U619,0)))+T618,VLOOKUP(S619,$C$22:$F$1023,2,0)))</f>
        <v xml:space="preserve"> </v>
      </c>
      <c r="U619" s="64" t="str">
        <f t="shared" ca="1" si="45"/>
        <v xml:space="preserve"> </v>
      </c>
      <c r="V619" s="150" t="str">
        <f t="shared" ca="1" si="48"/>
        <v xml:space="preserve"> </v>
      </c>
      <c r="W619" s="62" t="str">
        <f t="shared" ca="1" si="49"/>
        <v xml:space="preserve"> </v>
      </c>
      <c r="X619" s="141" t="str">
        <f ca="1">IF(S619=" "," ",IFERROR(VLOOKUP(U619,$F$23:$N$1023,7)+VLOOKUP(U619,$F$23:$N$1023,9)+IF(AND('депозитный калькулятор'!$G$13="нет",U619&lt;&gt;'депозитный калькулятор'!$D$8),VLOOKUP(U619,$F$23:$N$1023,4),0),0)+IF(U619='депозитный калькулятор'!$D$8,VLOOKUP(U619,$F$23:$N$1023,2)+VLOOKUP(U619,$F$23:$N$1023,4),0))</f>
        <v xml:space="preserve"> </v>
      </c>
      <c r="Y619" s="142" t="str">
        <f ca="1">IF(S619=" "," ",W619/(1+'депозитный калькулятор'!$K$8)^(T619/IF('депозитный калькулятор'!$G$7="30/360",360,365)))</f>
        <v xml:space="preserve"> </v>
      </c>
      <c r="Z619" s="142" t="str">
        <f ca="1">IF(S619=" "," ",X619/(1+'депозитный калькулятор'!$K$8)^(T619/IF('депозитный калькулятор'!$G$7="30/360",360,365)))</f>
        <v xml:space="preserve"> </v>
      </c>
      <c r="AA619" s="151"/>
      <c r="AB619" s="151"/>
      <c r="AC619" s="155"/>
      <c r="AD619" s="155"/>
    </row>
    <row r="620" spans="1:30" s="2" customFormat="1" ht="15.5" x14ac:dyDescent="0.35">
      <c r="A620" s="41" t="str">
        <f>IF(F620=" "," ",IF(OR('депозитный калькулятор'!$G$7="30/365",'депозитный калькулятор'!$G$7="30/360"),IF(AND(MONTH(F620)=2,DAY(F620)=DAY(EOMONTH(F620,0))),30-DAY(EOMONTH(F620,0)),IF(DAY(F620)=31,1," "))," "))</f>
        <v xml:space="preserve"> </v>
      </c>
      <c r="B620" s="130" t="str">
        <f t="shared" si="46"/>
        <v xml:space="preserve"> </v>
      </c>
      <c r="C620" s="130" t="str">
        <f>IF(OR(B620=0,B620=" ")," ",SUM($B$23:B620))</f>
        <v xml:space="preserve"> </v>
      </c>
      <c r="D620" s="62" t="str">
        <f>IF(D619=" "," ",IF(OR(F619='депозитный калькулятор'!$D$8,F619=" ")," ",D619+1))</f>
        <v xml:space="preserve"> </v>
      </c>
      <c r="E620" s="130" t="str">
        <f>IF(OR(F619='депозитный калькулятор'!$D$8,F619=" ")," ",IF(EOMONTH(F619,0)=F619,1,E619+1))</f>
        <v xml:space="preserve"> </v>
      </c>
      <c r="F620" s="64" t="str">
        <f>IF(F619=" "," ",IF(F619='депозитный калькулятор'!$D$8," ",F619+1))</f>
        <v xml:space="preserve"> </v>
      </c>
      <c r="G620" s="145" t="str">
        <f xml:space="preserve"> IF(F620&gt;'депозитный калькулятор'!$D$8," ",IF('депозитный калькулятор'!$G$13="есть",IF('депозитный калькулятор'!$G$14="есть",G619+IF(I619=" ",0,I619)-J620-K620+L620+M620-N620,G619+IF(I619=" ",0,I619)-J620-K620+M620-N620),IF('депозитный калькулятор'!$G$14="есть",G619-J620-K620+L620+M620-N620,G619-J620-K620+M620-N620)))</f>
        <v xml:space="preserve"> </v>
      </c>
      <c r="H620" s="133" t="str">
        <f>IF(F620&gt;'депозитный калькулятор'!$D$8," ",IF(AND(OR('депозитный калькулятор'!$G$7="30/365",'депозитный калькулятор'!$G$7="30/360"),AND(MONTH(F620)=2,EOMONTH(F620,0)=F620)),IF(DAY(F620)=28,3*G620*'депозитный калькулятор'!$G$8,2*G620*'депозитный калькулятор'!$G$8),IF(AND(OR('депозитный калькулятор'!$G$7="30/365",'депозитный калькулятор'!$G$7="30/360"),DAY(F620)=31)," ",IF(AND('депозитный калькулятор'!$G$7="факт/факт",MOD(YEAR(F620),4)=0),G620*'депозитный калькулятор'!$D$11/366,G620*'депозитный калькулятор'!$G$8))))</f>
        <v xml:space="preserve"> </v>
      </c>
      <c r="I620" s="134" t="str">
        <f ca="1">IF(F620=" "," ",IF('депозитный калькулятор'!$G$10="ежедневное",H620,IF(AND('депозитный калькулятор'!$G$10="еженедельное",WEEKDAY(F620,2)=7),SUM(OFFSET(H620,-6,0):H620),IF(AND('депозитный калькулятор'!$G$10="еженедельное",F620='депозитный калькулятор'!$D$8),SUM($H$23:H620)-SUM($I$23:I619),IF(AND('депозитный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недели",WEEKDAY(F620,2)=7),MIN(OFFSET(H620,-6,0):H620)*(COUNTIF(OFFSET(H620,-6,0):H620,"&gt;0")+SUMIF(OFFSET(A620,-WEEKDAY(F620,2),0):A620,"=2",OFFSET(A620,-WEEKDAY(F620,2),0):A620)),IF(AND('депозитный калькулятор'!$G$10="еженедельное, на минимальную сумму зафиксированную в течение недели",F620='депозитный калькулятор'!$D$8,WEEKDAY(F620,2)&lt;&gt;7),MIN(OFFSET(H620,-WEEKDAY(F620,2),0):H620)*(COUNTIF(OFFSET(H620,-WEEKDAY(F620,2)+1,0):H620,"&gt;0")+SUM(OFFSET(A620,-WEEKDAY(F620,2),0):A620)),IF(AND('депозитный калькулятор'!$G$10="ежемесячное (в конце месяца)",F620='депозитный калькулятор'!$D$8,EOMONTH(F620,0)&lt;&gt;F620),IF('депозитный калькулятор'!$F$1=1,$H$24,SUM($H$23:H620)-SUM($I$23:I619)),IF(AND('депозитный калькулятор'!$G$10="ежемесячное (в конце месяца)",EOMONTH(F620,0)=F620),SUM($H$23:H620)-SUM($I$23:I619),IF(AND('депозитный калькулятор'!$G$10="ежемесячное (по дням открытия вклада)",F620='депозитный калькулятор'!$D$8,DAY('депозитный калькулятор'!$D$7)&lt;&gt;DAY(F620)),IF('депозитный калькулятор'!$F$1=1,$H$24,SUM($H$23:H620)-SUM($I$23:I619)),IF(AND('депозитный калькулятор'!$G$10="ежемесячное (по дням открытия вклада)",DAY('депозитный калькулятор'!$D$7)=DAY(F620)),SUM($H$23:H620)-SUM($I$23:I619),IF(AND('депозитный калькулятор'!$G$10="ежемесячное, на минимальную сумму зафиксированную в течение месяца",F620='депозитный калькулятор'!$D$8,EOMONTH(F620,0)&lt;&gt;F620),IF('депозитный калькулятор'!$F$1=1,$H$24,IF(AND(OR('депозитный калькулятор'!$G$7="30/365",'депозитный калькулятор'!$G$7="30/360"),DAY(F620)=31),0,MIN(OFFSET(H620,-E620+1,0):H620)*(E620+SUMIF(OFFSET(A620,-E620+1,0):A620,"=2",OFFSET(A620,-E620+1,0):A620)))),IF(AND('депозитный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калькулятор'!$G$7="30/360"),DAY(EOMONTH(F620,0))=31),EOMONTH(F620,0)-1=F620,EOMONTH(F620,0)=F620)),IF(IF(AND(OR('депозитный калькулятор'!$G$7="30/365",'депозитный калькулятор'!$G$7="30/360"),DAY(EOMONTH($F$23,0))=31),F620=EOMONTH($F$23,0)-1,F620=EOMONTH($F$23,0)),MIN(OFFSET(H620,-(DAY(F620)-DAY($F$23)),0):H620)*E620,MIN(OFFSET(H620,-(DAY(F620)-1),0):H620)*IF(AND(OR('депозитный калькулятор'!$G$7="30/365",'депозитный калькулятор'!$G$7="30/360"),DAY(F620)&lt;30),30,DAY(F620))),IF(AND('депозитный калькулятор'!$G$10="ежемесячное, на средний остаток в течение месяца, при условии что остаток больше чем ограничение",F620='депозитный калькулятор'!$D$8,EOMONTH(F620,0)&lt;&gt;F620),IF('депозитный калькулятор'!$F$1=1,$H$24,SUM(OFFSET(Q620,-E620+1,0):Q620)),IF(AND('депозитный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калькулятор'!$G$7="30/360"),DAY(EOMONTH(F620,0))=31),EOMONTH(F620,0)-1=F620,EOMONTH(F620,0)=F620)),IF(IF(AND(OR('депозитный калькулятор'!$G$7="30/365",'депозитный калькулятор'!$G$7="30/360"),DAY(EOMONTH($F$24,0))=31),F620=EOMONTH($F$24,0)-1,F620=EOMONTH($F$24,0)),SUM(OFFSET(Q620,-E620+1,0):Q620),SUM(OFFSET(Q620,-E620+1,0):Q620)),IF('депозитный калькулятор'!$G$10="ежеквартальное",IF(F620&gt;'депозитный калькулятор'!$D$8," ",IF(AND(EOMONTH(F620,0)=F620,OR(MONTH(F620)=3,MONTH(F620)=6,MONTH(F620)=9,MONTH(F620)=12)),IF(EDATE(F620,-3)&lt;'депозитный калькулятор'!$D$7,SUM($H$23:H620),IF(MOD(YEAR(F620),4)=0,IF(AND(EOMONTH(F620,0)=F620,OR(MONTH(F620)=3,MONTH(F620)=6)),SUM(OFFSET(H620,-90,0):H620),IF(AND(EOMONTH(F620,0)=F620,OR(MONTH(F620)=9,MONTH(F620)=12)),SUM(OFFSET(H620,-91,0):H620))),IF(AND(EOMONTH(F620,0)=F620,MONTH(F620)=3),SUM(OFFSET(H620,-89,0):H620),IF(AND(EOMONTH(F620,0)=F620,MONTH(F620)=6),SUM(OFFSET(H620,-90,0):H620),IF(AND(EOMONTH(F620,0)=F620,OR(MONTH(F620)=9,MONTH(F620)=12)),SUM(OFFSET(H620,-91,0):H620)))))),IF(F620='депозитный калькулятор'!$D$8,SUM($H$23:H620)-SUM($I$23:I619),0))),IF('депозитный калькулятор'!$G$10="ежегодное",IF(F620&gt;'депозитный калькулятор'!$D$8," ",IF(F620='депозитный калькулятор'!$D$8,SUM($H$23:H620)-SUM($I$23:I619),IF(AND(EOMONTH(F620,0)=F620,MONTH(F620)=12),IF(MOD(YEAR(F619),4)=0,IF(F620-'депозитный калькулятор'!$D$7&lt;366,SUM($H$23:H620),SUM(OFFSET(H620,-365,0):H620)),IF(F620-'депозитный калькулятор'!$D$7&lt;365,SUM($H$23:H620),SUM(OFFSET(H620,-364,0):H620))),0))),IF(AND('депозитный калькулятор'!$G$10="в конце срока",'депозитный калькулятор'!$D$8=F620),SUM($H$23:H620),0))))))))))))))))))</f>
        <v xml:space="preserve"> </v>
      </c>
      <c r="J620" s="59" t="str">
        <f>IF(F620&gt;'депозитный калькулятор'!$D$8," ",IF('депозитный калькулятор'!$G$16="нет",0,IF(AND('депозитный калькулятор'!$G$17="разовая (в конце срока)",F620='депозитный калькулятор'!$D$8),'депозитный калькулятор'!$G$18,IF(AND('депозитный калькулятор'!$G$17="ежемесячная",EOMONTH(F619,0)=F619),'депозитный калькулятор'!$G$18,IF(AND('депозитный калькулятор'!$G$17="ежегодная",DAY(F619)=31,MONTH(F619)=12),'депозитный калькулятор'!$G$18,IF(AND('депозитный калькулятор'!$G$17="ежемесячная в зависимости от остатка",EOMONTH(F619,0)=F619,P619&gt;0),'депозитный калькулятор'!$G$18,IF(AND('депозитный калькулятор'!$G$17="ежегодная в зависимости от остатка",DAY(F619)=31,MONTH(F619)=12,P619&gt;0),'депозитный калькулятор'!$G$18,0)))))))</f>
        <v xml:space="preserve"> </v>
      </c>
      <c r="K620" s="135" t="str">
        <f>IF($F620=" "," ",IFERROR(VLOOKUP($F620,'депозитный калькулятор'!$B$26:$F$70,2,0),0))</f>
        <v xml:space="preserve"> </v>
      </c>
      <c r="L620" s="135" t="str">
        <f>IF($F620=" "," ",IFERROR(VLOOKUP($F620,'депозитный калькулятор'!$B$26:$F$70,3,0),0))</f>
        <v xml:space="preserve"> </v>
      </c>
      <c r="M620" s="135" t="str">
        <f>IF($F620=" "," ",IFERROR(VLOOKUP($F620,'депозитный калькулятор'!$B$26:$F$70,4,0),0))</f>
        <v xml:space="preserve"> </v>
      </c>
      <c r="N620" s="135" t="str">
        <f>IF($F620=" "," ",IFERROR(VLOOKUP($F620,'депозитный калькулятор'!$B$26:$F$70,5,0),0))</f>
        <v xml:space="preserve"> </v>
      </c>
      <c r="O620" s="146" t="str">
        <f>IF(F620&gt;'депозитный калькулятор'!$D$8," ",IF(F620='депозитный калькулятор'!$D$8,IF(AND($F$24='депозитный калькулятор'!$D$8,'депозитный калькулятор'!$G$13="нет"),-G620-IF(I620=" ",0,I620)-IF(AND(OR('депозитный калькулятор'!$G$7="30/365",'депозитный калькулятор'!$G$7="30/360"),'депозитный калькулятор'!$G$10="в начале срока"),I619,0)-L620+M620-N620,-G620-IF(I620=" ",0,I620)-L620+M620-N620),IF('депозитный калькулятор'!$G$13="есть",M620-N620+IF('депозитный калькулятор'!$G$14="есть",0,-L620),-IF(I620=" ",0,I620)-IF(AND(OR('депозитный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срока"),I619,0)+M620-N620+IF('депозитный калькулятор'!$G$14="есть",0,-L620))))</f>
        <v xml:space="preserve"> </v>
      </c>
      <c r="P620" s="147" t="str">
        <f>IF(F620&gt;'депозитный калькулятор'!$D$8," ",IF(EOMONTH(F619,0)=F619,0,IF(G620&gt;='депозитный калькулятор'!$G$19,P619,P619+1)))</f>
        <v xml:space="preserve"> </v>
      </c>
      <c r="Q620" s="138" t="str">
        <f>IF(F620=" "," ",IF(AND(OR('депозитный калькулятор'!$G$7="30/365",'депозитный калькулятор'!$G$7="30/360"),AND(MONTH(F620)=2,EOMONTH(F620,0)=F620)),IF(DAY(F620)=28,3,2),1)*IF(G620&gt;='депозитный калькулятор'!$G$11,IF(AND('депозитный калькулятор'!$G$7="факт/факт",MOD(YEAR(F620),4)=0),G620*'депозитный калькулятор'!$D$11/366,G620*'депозитный калькулятор'!$G$8),0))</f>
        <v xml:space="preserve"> </v>
      </c>
      <c r="R620" s="158"/>
      <c r="S620" s="62" t="str">
        <f t="shared" ca="1" si="47"/>
        <v xml:space="preserve"> </v>
      </c>
      <c r="T620" s="149" t="str">
        <f ca="1">IF(S620=" "," ",IF('депозитный калькулятор'!$G$7="30/360",DAYS360(U619,IF(DAY(U620)=31,U620-1,U620))+IF(AND(MONTH(U620)=2,U620=EOMONTH(U620,0)),30-DAY(EOMONTH(U620,0)))+T619,VLOOKUP(S620,$C$22:$F$1023,2,0)))</f>
        <v xml:space="preserve"> </v>
      </c>
      <c r="U620" s="64" t="str">
        <f t="shared" ca="1" si="45"/>
        <v xml:space="preserve"> </v>
      </c>
      <c r="V620" s="150" t="str">
        <f t="shared" ca="1" si="48"/>
        <v xml:space="preserve"> </v>
      </c>
      <c r="W620" s="62" t="str">
        <f t="shared" ca="1" si="49"/>
        <v xml:space="preserve"> </v>
      </c>
      <c r="X620" s="141" t="str">
        <f ca="1">IF(S620=" "," ",IFERROR(VLOOKUP(U620,$F$23:$N$1023,7)+VLOOKUP(U620,$F$23:$N$1023,9)+IF(AND('депозитный калькулятор'!$G$13="нет",U620&lt;&gt;'депозитный калькулятор'!$D$8),VLOOKUP(U620,$F$23:$N$1023,4),0),0)+IF(U620='депозитный калькулятор'!$D$8,VLOOKUP(U620,$F$23:$N$1023,2)+VLOOKUP(U620,$F$23:$N$1023,4),0))</f>
        <v xml:space="preserve"> </v>
      </c>
      <c r="Y620" s="142" t="str">
        <f ca="1">IF(S620=" "," ",W620/(1+'депозитный калькулятор'!$K$8)^(T620/IF('депозитный калькулятор'!$G$7="30/360",360,365)))</f>
        <v xml:space="preserve"> </v>
      </c>
      <c r="Z620" s="142" t="str">
        <f ca="1">IF(S620=" "," ",X620/(1+'депозитный калькулятор'!$K$8)^(T620/IF('депозитный калькулятор'!$G$7="30/360",360,365)))</f>
        <v xml:space="preserve"> </v>
      </c>
      <c r="AA620" s="151"/>
      <c r="AB620" s="151"/>
      <c r="AC620" s="155"/>
      <c r="AD620" s="155"/>
    </row>
    <row r="621" spans="1:30" s="2" customFormat="1" ht="15.5" x14ac:dyDescent="0.35">
      <c r="A621" s="41" t="str">
        <f>IF(F621=" "," ",IF(OR('депозитный калькулятор'!$G$7="30/365",'депозитный калькулятор'!$G$7="30/360"),IF(AND(MONTH(F621)=2,DAY(F621)=DAY(EOMONTH(F621,0))),30-DAY(EOMONTH(F621,0)),IF(DAY(F621)=31,1," "))," "))</f>
        <v xml:space="preserve"> </v>
      </c>
      <c r="B621" s="130" t="str">
        <f t="shared" si="46"/>
        <v xml:space="preserve"> </v>
      </c>
      <c r="C621" s="130" t="str">
        <f>IF(OR(B621=0,B621=" ")," ",SUM($B$23:B621))</f>
        <v xml:space="preserve"> </v>
      </c>
      <c r="D621" s="62" t="str">
        <f>IF(D620=" "," ",IF(OR(F620='депозитный калькулятор'!$D$8,F620=" ")," ",D620+1))</f>
        <v xml:space="preserve"> </v>
      </c>
      <c r="E621" s="130" t="str">
        <f>IF(OR(F620='депозитный калькулятор'!$D$8,F620=" ")," ",IF(EOMONTH(F620,0)=F620,1,E620+1))</f>
        <v xml:space="preserve"> </v>
      </c>
      <c r="F621" s="64" t="str">
        <f>IF(F620=" "," ",IF(F620='депозитный калькулятор'!$D$8," ",F620+1))</f>
        <v xml:space="preserve"> </v>
      </c>
      <c r="G621" s="145" t="str">
        <f xml:space="preserve"> IF(F621&gt;'депозитный калькулятор'!$D$8," ",IF('депозитный калькулятор'!$G$13="есть",IF('депозитный калькулятор'!$G$14="есть",G620+IF(I620=" ",0,I620)-J621-K621+L621+M621-N621,G620+IF(I620=" ",0,I620)-J621-K621+M621-N621),IF('депозитный калькулятор'!$G$14="есть",G620-J621-K621+L621+M621-N621,G620-J621-K621+M621-N621)))</f>
        <v xml:space="preserve"> </v>
      </c>
      <c r="H621" s="133" t="str">
        <f>IF(F621&gt;'депозитный калькулятор'!$D$8," ",IF(AND(OR('депозитный калькулятор'!$G$7="30/365",'депозитный калькулятор'!$G$7="30/360"),AND(MONTH(F621)=2,EOMONTH(F621,0)=F621)),IF(DAY(F621)=28,3*G621*'депозитный калькулятор'!$G$8,2*G621*'депозитный калькулятор'!$G$8),IF(AND(OR('депозитный калькулятор'!$G$7="30/365",'депозитный калькулятор'!$G$7="30/360"),DAY(F621)=31)," ",IF(AND('депозитный калькулятор'!$G$7="факт/факт",MOD(YEAR(F621),4)=0),G621*'депозитный калькулятор'!$D$11/366,G621*'депозитный калькулятор'!$G$8))))</f>
        <v xml:space="preserve"> </v>
      </c>
      <c r="I621" s="134" t="str">
        <f ca="1">IF(F621=" "," ",IF('депозитный калькулятор'!$G$10="ежедневное",H621,IF(AND('депозитный калькулятор'!$G$10="еженедельное",WEEKDAY(F621,2)=7),SUM(OFFSET(H621,-6,0):H621),IF(AND('депозитный калькулятор'!$G$10="еженедельное",F621='депозитный калькулятор'!$D$8),SUM($H$23:H621)-SUM($I$23:I620),IF(AND('депозитный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недели",WEEKDAY(F621,2)=7),MIN(OFFSET(H621,-6,0):H621)*(COUNTIF(OFFSET(H621,-6,0):H621,"&gt;0")+SUMIF(OFFSET(A621,-WEEKDAY(F621,2),0):A621,"=2",OFFSET(A621,-WEEKDAY(F621,2),0):A621)),IF(AND('депозитный калькулятор'!$G$10="еженедельное, на минимальную сумму зафиксированную в течение недели",F621='депозитный калькулятор'!$D$8,WEEKDAY(F621,2)&lt;&gt;7),MIN(OFFSET(H621,-WEEKDAY(F621,2),0):H621)*(COUNTIF(OFFSET(H621,-WEEKDAY(F621,2)+1,0):H621,"&gt;0")+SUM(OFFSET(A621,-WEEKDAY(F621,2),0):A621)),IF(AND('депозитный калькулятор'!$G$10="ежемесячное (в конце месяца)",F621='депозитный калькулятор'!$D$8,EOMONTH(F621,0)&lt;&gt;F621),IF('депозитный калькулятор'!$F$1=1,$H$24,SUM($H$23:H621)-SUM($I$23:I620)),IF(AND('депозитный калькулятор'!$G$10="ежемесячное (в конце месяца)",EOMONTH(F621,0)=F621),SUM($H$23:H621)-SUM($I$23:I620),IF(AND('депозитный калькулятор'!$G$10="ежемесячное (по дням открытия вклада)",F621='депозитный калькулятор'!$D$8,DAY('депозитный калькулятор'!$D$7)&lt;&gt;DAY(F621)),IF('депозитный калькулятор'!$F$1=1,$H$24,SUM($H$23:H621)-SUM($I$23:I620)),IF(AND('депозитный калькулятор'!$G$10="ежемесячное (по дням открытия вклада)",DAY('депозитный калькулятор'!$D$7)=DAY(F621)),SUM($H$23:H621)-SUM($I$23:I620),IF(AND('депозитный калькулятор'!$G$10="ежемесячное, на минимальную сумму зафиксированную в течение месяца",F621='депозитный калькулятор'!$D$8,EOMONTH(F621,0)&lt;&gt;F621),IF('депозитный калькулятор'!$F$1=1,$H$24,IF(AND(OR('депозитный калькулятор'!$G$7="30/365",'депозитный калькулятор'!$G$7="30/360"),DAY(F621)=31),0,MIN(OFFSET(H621,-E621+1,0):H621)*(E621+SUMIF(OFFSET(A621,-E621+1,0):A621,"=2",OFFSET(A621,-E621+1,0):A621)))),IF(AND('депозитный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калькулятор'!$G$7="30/360"),DAY(EOMONTH(F621,0))=31),EOMONTH(F621,0)-1=F621,EOMONTH(F621,0)=F621)),IF(IF(AND(OR('депозитный калькулятор'!$G$7="30/365",'депозитный калькулятор'!$G$7="30/360"),DAY(EOMONTH($F$23,0))=31),F621=EOMONTH($F$23,0)-1,F621=EOMONTH($F$23,0)),MIN(OFFSET(H621,-(DAY(F621)-DAY($F$23)),0):H621)*E621,MIN(OFFSET(H621,-(DAY(F621)-1),0):H621)*IF(AND(OR('депозитный калькулятор'!$G$7="30/365",'депозитный калькулятор'!$G$7="30/360"),DAY(F621)&lt;30),30,DAY(F621))),IF(AND('депозитный калькулятор'!$G$10="ежемесячное, на средний остаток в течение месяца, при условии что остаток больше чем ограничение",F621='депозитный калькулятор'!$D$8,EOMONTH(F621,0)&lt;&gt;F621),IF('депозитный калькулятор'!$F$1=1,$H$24,SUM(OFFSET(Q621,-E621+1,0):Q621)),IF(AND('депозитный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калькулятор'!$G$7="30/360"),DAY(EOMONTH(F621,0))=31),EOMONTH(F621,0)-1=F621,EOMONTH(F621,0)=F621)),IF(IF(AND(OR('депозитный калькулятор'!$G$7="30/365",'депозитный калькулятор'!$G$7="30/360"),DAY(EOMONTH($F$24,0))=31),F621=EOMONTH($F$24,0)-1,F621=EOMONTH($F$24,0)),SUM(OFFSET(Q621,-E621+1,0):Q621),SUM(OFFSET(Q621,-E621+1,0):Q621)),IF('депозитный калькулятор'!$G$10="ежеквартальное",IF(F621&gt;'депозитный калькулятор'!$D$8," ",IF(AND(EOMONTH(F621,0)=F621,OR(MONTH(F621)=3,MONTH(F621)=6,MONTH(F621)=9,MONTH(F621)=12)),IF(EDATE(F621,-3)&lt;'депозитный калькулятор'!$D$7,SUM($H$23:H621),IF(MOD(YEAR(F621),4)=0,IF(AND(EOMONTH(F621,0)=F621,OR(MONTH(F621)=3,MONTH(F621)=6)),SUM(OFFSET(H621,-90,0):H621),IF(AND(EOMONTH(F621,0)=F621,OR(MONTH(F621)=9,MONTH(F621)=12)),SUM(OFFSET(H621,-91,0):H621))),IF(AND(EOMONTH(F621,0)=F621,MONTH(F621)=3),SUM(OFFSET(H621,-89,0):H621),IF(AND(EOMONTH(F621,0)=F621,MONTH(F621)=6),SUM(OFFSET(H621,-90,0):H621),IF(AND(EOMONTH(F621,0)=F621,OR(MONTH(F621)=9,MONTH(F621)=12)),SUM(OFFSET(H621,-91,0):H621)))))),IF(F621='депозитный калькулятор'!$D$8,SUM($H$23:H621)-SUM($I$23:I620),0))),IF('депозитный калькулятор'!$G$10="ежегодное",IF(F621&gt;'депозитный калькулятор'!$D$8," ",IF(F621='депозитный калькулятор'!$D$8,SUM($H$23:H621)-SUM($I$23:I620),IF(AND(EOMONTH(F621,0)=F621,MONTH(F621)=12),IF(MOD(YEAR(F620),4)=0,IF(F621-'депозитный калькулятор'!$D$7&lt;366,SUM($H$23:H621),SUM(OFFSET(H621,-365,0):H621)),IF(F621-'депозитный калькулятор'!$D$7&lt;365,SUM($H$23:H621),SUM(OFFSET(H621,-364,0):H621))),0))),IF(AND('депозитный калькулятор'!$G$10="в конце срока",'депозитный калькулятор'!$D$8=F621),SUM($H$23:H621),0))))))))))))))))))</f>
        <v xml:space="preserve"> </v>
      </c>
      <c r="J621" s="59" t="str">
        <f>IF(F621&gt;'депозитный калькулятор'!$D$8," ",IF('депозитный калькулятор'!$G$16="нет",0,IF(AND('депозитный калькулятор'!$G$17="разовая (в конце срока)",F621='депозитный калькулятор'!$D$8),'депозитный калькулятор'!$G$18,IF(AND('депозитный калькулятор'!$G$17="ежемесячная",EOMONTH(F620,0)=F620),'депозитный калькулятор'!$G$18,IF(AND('депозитный калькулятор'!$G$17="ежегодная",DAY(F620)=31,MONTH(F620)=12),'депозитный калькулятор'!$G$18,IF(AND('депозитный калькулятор'!$G$17="ежемесячная в зависимости от остатка",EOMONTH(F620,0)=F620,P620&gt;0),'депозитный калькулятор'!$G$18,IF(AND('депозитный калькулятор'!$G$17="ежегодная в зависимости от остатка",DAY(F620)=31,MONTH(F620)=12,P620&gt;0),'депозитный калькулятор'!$G$18,0)))))))</f>
        <v xml:space="preserve"> </v>
      </c>
      <c r="K621" s="135" t="str">
        <f>IF($F621=" "," ",IFERROR(VLOOKUP($F621,'депозитный калькулятор'!$B$26:$F$70,2,0),0))</f>
        <v xml:space="preserve"> </v>
      </c>
      <c r="L621" s="135" t="str">
        <f>IF($F621=" "," ",IFERROR(VLOOKUP($F621,'депозитный калькулятор'!$B$26:$F$70,3,0),0))</f>
        <v xml:space="preserve"> </v>
      </c>
      <c r="M621" s="135" t="str">
        <f>IF($F621=" "," ",IFERROR(VLOOKUP($F621,'депозитный калькулятор'!$B$26:$F$70,4,0),0))</f>
        <v xml:space="preserve"> </v>
      </c>
      <c r="N621" s="135" t="str">
        <f>IF($F621=" "," ",IFERROR(VLOOKUP($F621,'депозитный калькулятор'!$B$26:$F$70,5,0),0))</f>
        <v xml:space="preserve"> </v>
      </c>
      <c r="O621" s="146" t="str">
        <f>IF(F621&gt;'депозитный калькулятор'!$D$8," ",IF(F621='депозитный калькулятор'!$D$8,IF(AND($F$24='депозитный калькулятор'!$D$8,'депозитный калькулятор'!$G$13="нет"),-G621-IF(I621=" ",0,I621)-IF(AND(OR('депозитный калькулятор'!$G$7="30/365",'депозитный калькулятор'!$G$7="30/360"),'депозитный калькулятор'!$G$10="в начале срока"),I620,0)-L621+M621-N621,-G621-IF(I621=" ",0,I621)-L621+M621-N621),IF('депозитный калькулятор'!$G$13="есть",M621-N621+IF('депозитный калькулятор'!$G$14="есть",0,-L621),-IF(I621=" ",0,I621)-IF(AND(OR('депозитный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срока"),I620,0)+M621-N621+IF('депозитный калькулятор'!$G$14="есть",0,-L621))))</f>
        <v xml:space="preserve"> </v>
      </c>
      <c r="P621" s="147" t="str">
        <f>IF(F621&gt;'депозитный калькулятор'!$D$8," ",IF(EOMONTH(F620,0)=F620,0,IF(G621&gt;='депозитный калькулятор'!$G$19,P620,P620+1)))</f>
        <v xml:space="preserve"> </v>
      </c>
      <c r="Q621" s="138" t="str">
        <f>IF(F621=" "," ",IF(AND(OR('депозитный калькулятор'!$G$7="30/365",'депозитный калькулятор'!$G$7="30/360"),AND(MONTH(F621)=2,EOMONTH(F621,0)=F621)),IF(DAY(F621)=28,3,2),1)*IF(G621&gt;='депозитный калькулятор'!$G$11,IF(AND('депозитный калькулятор'!$G$7="факт/факт",MOD(YEAR(F621),4)=0),G621*'депозитный калькулятор'!$D$11/366,G621*'депозитный калькулятор'!$G$8),0))</f>
        <v xml:space="preserve"> </v>
      </c>
      <c r="R621" s="158"/>
      <c r="S621" s="62" t="str">
        <f t="shared" ca="1" si="47"/>
        <v xml:space="preserve"> </v>
      </c>
      <c r="T621" s="149" t="str">
        <f ca="1">IF(S621=" "," ",IF('депозитный калькулятор'!$G$7="30/360",DAYS360(U620,IF(DAY(U621)=31,U621-1,U621))+IF(AND(MONTH(U621)=2,U621=EOMONTH(U621,0)),30-DAY(EOMONTH(U621,0)))+T620,VLOOKUP(S621,$C$22:$F$1023,2,0)))</f>
        <v xml:space="preserve"> </v>
      </c>
      <c r="U621" s="64" t="str">
        <f t="shared" ca="1" si="45"/>
        <v xml:space="preserve"> </v>
      </c>
      <c r="V621" s="150" t="str">
        <f t="shared" ca="1" si="48"/>
        <v xml:space="preserve"> </v>
      </c>
      <c r="W621" s="62" t="str">
        <f t="shared" ca="1" si="49"/>
        <v xml:space="preserve"> </v>
      </c>
      <c r="X621" s="141" t="str">
        <f ca="1">IF(S621=" "," ",IFERROR(VLOOKUP(U621,$F$23:$N$1023,7)+VLOOKUP(U621,$F$23:$N$1023,9)+IF(AND('депозитный калькулятор'!$G$13="нет",U621&lt;&gt;'депозитный калькулятор'!$D$8),VLOOKUP(U621,$F$23:$N$1023,4),0),0)+IF(U621='депозитный калькулятор'!$D$8,VLOOKUP(U621,$F$23:$N$1023,2)+VLOOKUP(U621,$F$23:$N$1023,4),0))</f>
        <v xml:space="preserve"> </v>
      </c>
      <c r="Y621" s="142" t="str">
        <f ca="1">IF(S621=" "," ",W621/(1+'депозитный калькулятор'!$K$8)^(T621/IF('депозитный калькулятор'!$G$7="30/360",360,365)))</f>
        <v xml:space="preserve"> </v>
      </c>
      <c r="Z621" s="142" t="str">
        <f ca="1">IF(S621=" "," ",X621/(1+'депозитный калькулятор'!$K$8)^(T621/IF('депозитный калькулятор'!$G$7="30/360",360,365)))</f>
        <v xml:space="preserve"> </v>
      </c>
      <c r="AA621" s="151"/>
      <c r="AB621" s="151"/>
      <c r="AC621" s="155"/>
      <c r="AD621" s="155"/>
    </row>
    <row r="622" spans="1:30" s="2" customFormat="1" ht="15.5" x14ac:dyDescent="0.35">
      <c r="A622" s="41" t="str">
        <f>IF(F622=" "," ",IF(OR('депозитный калькулятор'!$G$7="30/365",'депозитный калькулятор'!$G$7="30/360"),IF(AND(MONTH(F622)=2,DAY(F622)=DAY(EOMONTH(F622,0))),30-DAY(EOMONTH(F622,0)),IF(DAY(F622)=31,1," "))," "))</f>
        <v xml:space="preserve"> </v>
      </c>
      <c r="B622" s="130" t="str">
        <f t="shared" si="46"/>
        <v xml:space="preserve"> </v>
      </c>
      <c r="C622" s="130" t="str">
        <f>IF(OR(B622=0,B622=" ")," ",SUM($B$23:B622))</f>
        <v xml:space="preserve"> </v>
      </c>
      <c r="D622" s="62" t="str">
        <f>IF(D621=" "," ",IF(OR(F621='депозитный калькулятор'!$D$8,F621=" ")," ",D621+1))</f>
        <v xml:space="preserve"> </v>
      </c>
      <c r="E622" s="130" t="str">
        <f>IF(OR(F621='депозитный калькулятор'!$D$8,F621=" ")," ",IF(EOMONTH(F621,0)=F621,1,E621+1))</f>
        <v xml:space="preserve"> </v>
      </c>
      <c r="F622" s="64" t="str">
        <f>IF(F621=" "," ",IF(F621='депозитный калькулятор'!$D$8," ",F621+1))</f>
        <v xml:space="preserve"> </v>
      </c>
      <c r="G622" s="145" t="str">
        <f xml:space="preserve"> IF(F622&gt;'депозитный калькулятор'!$D$8," ",IF('депозитный калькулятор'!$G$13="есть",IF('депозитный калькулятор'!$G$14="есть",G621+IF(I621=" ",0,I621)-J622-K622+L622+M622-N622,G621+IF(I621=" ",0,I621)-J622-K622+M622-N622),IF('депозитный калькулятор'!$G$14="есть",G621-J622-K622+L622+M622-N622,G621-J622-K622+M622-N622)))</f>
        <v xml:space="preserve"> </v>
      </c>
      <c r="H622" s="133" t="str">
        <f>IF(F622&gt;'депозитный калькулятор'!$D$8," ",IF(AND(OR('депозитный калькулятор'!$G$7="30/365",'депозитный калькулятор'!$G$7="30/360"),AND(MONTH(F622)=2,EOMONTH(F622,0)=F622)),IF(DAY(F622)=28,3*G622*'депозитный калькулятор'!$G$8,2*G622*'депозитный калькулятор'!$G$8),IF(AND(OR('депозитный калькулятор'!$G$7="30/365",'депозитный калькулятор'!$G$7="30/360"),DAY(F622)=31)," ",IF(AND('депозитный калькулятор'!$G$7="факт/факт",MOD(YEAR(F622),4)=0),G622*'депозитный калькулятор'!$D$11/366,G622*'депозитный калькулятор'!$G$8))))</f>
        <v xml:space="preserve"> </v>
      </c>
      <c r="I622" s="134" t="str">
        <f ca="1">IF(F622=" "," ",IF('депозитный калькулятор'!$G$10="ежедневное",H622,IF(AND('депозитный калькулятор'!$G$10="еженедельное",WEEKDAY(F622,2)=7),SUM(OFFSET(H622,-6,0):H622),IF(AND('депозитный калькулятор'!$G$10="еженедельное",F622='депозитный калькулятор'!$D$8),SUM($H$23:H622)-SUM($I$23:I621),IF(AND('депозитный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недели",WEEKDAY(F622,2)=7),MIN(OFFSET(H622,-6,0):H622)*(COUNTIF(OFFSET(H622,-6,0):H622,"&gt;0")+SUMIF(OFFSET(A622,-WEEKDAY(F622,2),0):A622,"=2",OFFSET(A622,-WEEKDAY(F622,2),0):A622)),IF(AND('депозитный калькулятор'!$G$10="еженедельное, на минимальную сумму зафиксированную в течение недели",F622='депозитный калькулятор'!$D$8,WEEKDAY(F622,2)&lt;&gt;7),MIN(OFFSET(H622,-WEEKDAY(F622,2),0):H622)*(COUNTIF(OFFSET(H622,-WEEKDAY(F622,2)+1,0):H622,"&gt;0")+SUM(OFFSET(A622,-WEEKDAY(F622,2),0):A622)),IF(AND('депозитный калькулятор'!$G$10="ежемесячное (в конце месяца)",F622='депозитный калькулятор'!$D$8,EOMONTH(F622,0)&lt;&gt;F622),IF('депозитный калькулятор'!$F$1=1,$H$24,SUM($H$23:H622)-SUM($I$23:I621)),IF(AND('депозитный калькулятор'!$G$10="ежемесячное (в конце месяца)",EOMONTH(F622,0)=F622),SUM($H$23:H622)-SUM($I$23:I621),IF(AND('депозитный калькулятор'!$G$10="ежемесячное (по дням открытия вклада)",F622='депозитный калькулятор'!$D$8,DAY('депозитный калькулятор'!$D$7)&lt;&gt;DAY(F622)),IF('депозитный калькулятор'!$F$1=1,$H$24,SUM($H$23:H622)-SUM($I$23:I621)),IF(AND('депозитный калькулятор'!$G$10="ежемесячное (по дням открытия вклада)",DAY('депозитный калькулятор'!$D$7)=DAY(F622)),SUM($H$23:H622)-SUM($I$23:I621),IF(AND('депозитный калькулятор'!$G$10="ежемесячное, на минимальную сумму зафиксированную в течение месяца",F622='депозитный калькулятор'!$D$8,EOMONTH(F622,0)&lt;&gt;F622),IF('депозитный калькулятор'!$F$1=1,$H$24,IF(AND(OR('депозитный калькулятор'!$G$7="30/365",'депозитный калькулятор'!$G$7="30/360"),DAY(F622)=31),0,MIN(OFFSET(H622,-E622+1,0):H622)*(E622+SUMIF(OFFSET(A622,-E622+1,0):A622,"=2",OFFSET(A622,-E622+1,0):A622)))),IF(AND('депозитный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калькулятор'!$G$7="30/360"),DAY(EOMONTH(F622,0))=31),EOMONTH(F622,0)-1=F622,EOMONTH(F622,0)=F622)),IF(IF(AND(OR('депозитный калькулятор'!$G$7="30/365",'депозитный калькулятор'!$G$7="30/360"),DAY(EOMONTH($F$23,0))=31),F622=EOMONTH($F$23,0)-1,F622=EOMONTH($F$23,0)),MIN(OFFSET(H622,-(DAY(F622)-DAY($F$23)),0):H622)*E622,MIN(OFFSET(H622,-(DAY(F622)-1),0):H622)*IF(AND(OR('депозитный калькулятор'!$G$7="30/365",'депозитный калькулятор'!$G$7="30/360"),DAY(F622)&lt;30),30,DAY(F622))),IF(AND('депозитный калькулятор'!$G$10="ежемесячное, на средний остаток в течение месяца, при условии что остаток больше чем ограничение",F622='депозитный калькулятор'!$D$8,EOMONTH(F622,0)&lt;&gt;F622),IF('депозитный калькулятор'!$F$1=1,$H$24,SUM(OFFSET(Q622,-E622+1,0):Q622)),IF(AND('депозитный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калькулятор'!$G$7="30/360"),DAY(EOMONTH(F622,0))=31),EOMONTH(F622,0)-1=F622,EOMONTH(F622,0)=F622)),IF(IF(AND(OR('депозитный калькулятор'!$G$7="30/365",'депозитный калькулятор'!$G$7="30/360"),DAY(EOMONTH($F$24,0))=31),F622=EOMONTH($F$24,0)-1,F622=EOMONTH($F$24,0)),SUM(OFFSET(Q622,-E622+1,0):Q622),SUM(OFFSET(Q622,-E622+1,0):Q622)),IF('депозитный калькулятор'!$G$10="ежеквартальное",IF(F622&gt;'депозитный калькулятор'!$D$8," ",IF(AND(EOMONTH(F622,0)=F622,OR(MONTH(F622)=3,MONTH(F622)=6,MONTH(F622)=9,MONTH(F622)=12)),IF(EDATE(F622,-3)&lt;'депозитный калькулятор'!$D$7,SUM($H$23:H622),IF(MOD(YEAR(F622),4)=0,IF(AND(EOMONTH(F622,0)=F622,OR(MONTH(F622)=3,MONTH(F622)=6)),SUM(OFFSET(H622,-90,0):H622),IF(AND(EOMONTH(F622,0)=F622,OR(MONTH(F622)=9,MONTH(F622)=12)),SUM(OFFSET(H622,-91,0):H622))),IF(AND(EOMONTH(F622,0)=F622,MONTH(F622)=3),SUM(OFFSET(H622,-89,0):H622),IF(AND(EOMONTH(F622,0)=F622,MONTH(F622)=6),SUM(OFFSET(H622,-90,0):H622),IF(AND(EOMONTH(F622,0)=F622,OR(MONTH(F622)=9,MONTH(F622)=12)),SUM(OFFSET(H622,-91,0):H622)))))),IF(F622='депозитный калькулятор'!$D$8,SUM($H$23:H622)-SUM($I$23:I621),0))),IF('депозитный калькулятор'!$G$10="ежегодное",IF(F622&gt;'депозитный калькулятор'!$D$8," ",IF(F622='депозитный калькулятор'!$D$8,SUM($H$23:H622)-SUM($I$23:I621),IF(AND(EOMONTH(F622,0)=F622,MONTH(F622)=12),IF(MOD(YEAR(F621),4)=0,IF(F622-'депозитный калькулятор'!$D$7&lt;366,SUM($H$23:H622),SUM(OFFSET(H622,-365,0):H622)),IF(F622-'депозитный калькулятор'!$D$7&lt;365,SUM($H$23:H622),SUM(OFFSET(H622,-364,0):H622))),0))),IF(AND('депозитный калькулятор'!$G$10="в конце срока",'депозитный калькулятор'!$D$8=F622),SUM($H$23:H622),0))))))))))))))))))</f>
        <v xml:space="preserve"> </v>
      </c>
      <c r="J622" s="59" t="str">
        <f>IF(F622&gt;'депозитный калькулятор'!$D$8," ",IF('депозитный калькулятор'!$G$16="нет",0,IF(AND('депозитный калькулятор'!$G$17="разовая (в конце срока)",F622='депозитный калькулятор'!$D$8),'депозитный калькулятор'!$G$18,IF(AND('депозитный калькулятор'!$G$17="ежемесячная",EOMONTH(F621,0)=F621),'депозитный калькулятор'!$G$18,IF(AND('депозитный калькулятор'!$G$17="ежегодная",DAY(F621)=31,MONTH(F621)=12),'депозитный калькулятор'!$G$18,IF(AND('депозитный калькулятор'!$G$17="ежемесячная в зависимости от остатка",EOMONTH(F621,0)=F621,P621&gt;0),'депозитный калькулятор'!$G$18,IF(AND('депозитный калькулятор'!$G$17="ежегодная в зависимости от остатка",DAY(F621)=31,MONTH(F621)=12,P621&gt;0),'депозитный калькулятор'!$G$18,0)))))))</f>
        <v xml:space="preserve"> </v>
      </c>
      <c r="K622" s="135" t="str">
        <f>IF($F622=" "," ",IFERROR(VLOOKUP($F622,'депозитный калькулятор'!$B$26:$F$70,2,0),0))</f>
        <v xml:space="preserve"> </v>
      </c>
      <c r="L622" s="135" t="str">
        <f>IF($F622=" "," ",IFERROR(VLOOKUP($F622,'депозитный калькулятор'!$B$26:$F$70,3,0),0))</f>
        <v xml:space="preserve"> </v>
      </c>
      <c r="M622" s="135" t="str">
        <f>IF($F622=" "," ",IFERROR(VLOOKUP($F622,'депозитный калькулятор'!$B$26:$F$70,4,0),0))</f>
        <v xml:space="preserve"> </v>
      </c>
      <c r="N622" s="135" t="str">
        <f>IF($F622=" "," ",IFERROR(VLOOKUP($F622,'депозитный калькулятор'!$B$26:$F$70,5,0),0))</f>
        <v xml:space="preserve"> </v>
      </c>
      <c r="O622" s="146" t="str">
        <f>IF(F622&gt;'депозитный калькулятор'!$D$8," ",IF(F622='депозитный калькулятор'!$D$8,IF(AND($F$24='депозитный калькулятор'!$D$8,'депозитный калькулятор'!$G$13="нет"),-G622-IF(I622=" ",0,I622)-IF(AND(OR('депозитный калькулятор'!$G$7="30/365",'депозитный калькулятор'!$G$7="30/360"),'депозитный калькулятор'!$G$10="в начале срока"),I621,0)-L622+M622-N622,-G622-IF(I622=" ",0,I622)-L622+M622-N622),IF('депозитный калькулятор'!$G$13="есть",M622-N622+IF('депозитный калькулятор'!$G$14="есть",0,-L622),-IF(I622=" ",0,I622)-IF(AND(OR('депозитный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срока"),I621,0)+M622-N622+IF('депозитный калькулятор'!$G$14="есть",0,-L622))))</f>
        <v xml:space="preserve"> </v>
      </c>
      <c r="P622" s="147" t="str">
        <f>IF(F622&gt;'депозитный калькулятор'!$D$8," ",IF(EOMONTH(F621,0)=F621,0,IF(G622&gt;='депозитный калькулятор'!$G$19,P621,P621+1)))</f>
        <v xml:space="preserve"> </v>
      </c>
      <c r="Q622" s="138" t="str">
        <f>IF(F622=" "," ",IF(AND(OR('депозитный калькулятор'!$G$7="30/365",'депозитный калькулятор'!$G$7="30/360"),AND(MONTH(F622)=2,EOMONTH(F622,0)=F622)),IF(DAY(F622)=28,3,2),1)*IF(G622&gt;='депозитный калькулятор'!$G$11,IF(AND('депозитный калькулятор'!$G$7="факт/факт",MOD(YEAR(F622),4)=0),G622*'депозитный калькулятор'!$D$11/366,G622*'депозитный калькулятор'!$G$8),0))</f>
        <v xml:space="preserve"> </v>
      </c>
      <c r="R622" s="158"/>
      <c r="S622" s="62" t="str">
        <f t="shared" ca="1" si="47"/>
        <v xml:space="preserve"> </v>
      </c>
      <c r="T622" s="149" t="str">
        <f ca="1">IF(S622=" "," ",IF('депозитный калькулятор'!$G$7="30/360",DAYS360(U621,IF(DAY(U622)=31,U622-1,U622))+IF(AND(MONTH(U622)=2,U622=EOMONTH(U622,0)),30-DAY(EOMONTH(U622,0)))+T621,VLOOKUP(S622,$C$22:$F$1023,2,0)))</f>
        <v xml:space="preserve"> </v>
      </c>
      <c r="U622" s="64" t="str">
        <f t="shared" ca="1" si="45"/>
        <v xml:space="preserve"> </v>
      </c>
      <c r="V622" s="150" t="str">
        <f t="shared" ca="1" si="48"/>
        <v xml:space="preserve"> </v>
      </c>
      <c r="W622" s="62" t="str">
        <f t="shared" ca="1" si="49"/>
        <v xml:space="preserve"> </v>
      </c>
      <c r="X622" s="141" t="str">
        <f ca="1">IF(S622=" "," ",IFERROR(VLOOKUP(U622,$F$23:$N$1023,7)+VLOOKUP(U622,$F$23:$N$1023,9)+IF(AND('депозитный калькулятор'!$G$13="нет",U622&lt;&gt;'депозитный калькулятор'!$D$8),VLOOKUP(U622,$F$23:$N$1023,4),0),0)+IF(U622='депозитный калькулятор'!$D$8,VLOOKUP(U622,$F$23:$N$1023,2)+VLOOKUP(U622,$F$23:$N$1023,4),0))</f>
        <v xml:space="preserve"> </v>
      </c>
      <c r="Y622" s="142" t="str">
        <f ca="1">IF(S622=" "," ",W622/(1+'депозитный калькулятор'!$K$8)^(T622/IF('депозитный калькулятор'!$G$7="30/360",360,365)))</f>
        <v xml:space="preserve"> </v>
      </c>
      <c r="Z622" s="142" t="str">
        <f ca="1">IF(S622=" "," ",X622/(1+'депозитный калькулятор'!$K$8)^(T622/IF('депозитный калькулятор'!$G$7="30/360",360,365)))</f>
        <v xml:space="preserve"> </v>
      </c>
      <c r="AA622" s="151"/>
      <c r="AB622" s="151"/>
      <c r="AC622" s="155"/>
      <c r="AD622" s="155"/>
    </row>
    <row r="623" spans="1:30" s="2" customFormat="1" ht="15.5" x14ac:dyDescent="0.35">
      <c r="A623" s="41" t="str">
        <f>IF(F623=" "," ",IF(OR('депозитный калькулятор'!$G$7="30/365",'депозитный калькулятор'!$G$7="30/360"),IF(AND(MONTH(F623)=2,DAY(F623)=DAY(EOMONTH(F623,0))),30-DAY(EOMONTH(F623,0)),IF(DAY(F623)=31,1," "))," "))</f>
        <v xml:space="preserve"> </v>
      </c>
      <c r="B623" s="130" t="str">
        <f t="shared" si="46"/>
        <v xml:space="preserve"> </v>
      </c>
      <c r="C623" s="130" t="str">
        <f>IF(OR(B623=0,B623=" ")," ",SUM($B$23:B623))</f>
        <v xml:space="preserve"> </v>
      </c>
      <c r="D623" s="62" t="str">
        <f>IF(D622=" "," ",IF(OR(F622='депозитный калькулятор'!$D$8,F622=" ")," ",D622+1))</f>
        <v xml:space="preserve"> </v>
      </c>
      <c r="E623" s="130" t="str">
        <f>IF(OR(F622='депозитный калькулятор'!$D$8,F622=" ")," ",IF(EOMONTH(F622,0)=F622,1,E622+1))</f>
        <v xml:space="preserve"> </v>
      </c>
      <c r="F623" s="64" t="str">
        <f>IF(F622=" "," ",IF(F622='депозитный калькулятор'!$D$8," ",F622+1))</f>
        <v xml:space="preserve"> </v>
      </c>
      <c r="G623" s="145" t="str">
        <f xml:space="preserve"> IF(F623&gt;'депозитный калькулятор'!$D$8," ",IF('депозитный калькулятор'!$G$13="есть",IF('депозитный калькулятор'!$G$14="есть",G622+IF(I622=" ",0,I622)-J623-K623+L623+M623-N623,G622+IF(I622=" ",0,I622)-J623-K623+M623-N623),IF('депозитный калькулятор'!$G$14="есть",G622-J623-K623+L623+M623-N623,G622-J623-K623+M623-N623)))</f>
        <v xml:space="preserve"> </v>
      </c>
      <c r="H623" s="133" t="str">
        <f>IF(F623&gt;'депозитный калькулятор'!$D$8," ",IF(AND(OR('депозитный калькулятор'!$G$7="30/365",'депозитный калькулятор'!$G$7="30/360"),AND(MONTH(F623)=2,EOMONTH(F623,0)=F623)),IF(DAY(F623)=28,3*G623*'депозитный калькулятор'!$G$8,2*G623*'депозитный калькулятор'!$G$8),IF(AND(OR('депозитный калькулятор'!$G$7="30/365",'депозитный калькулятор'!$G$7="30/360"),DAY(F623)=31)," ",IF(AND('депозитный калькулятор'!$G$7="факт/факт",MOD(YEAR(F623),4)=0),G623*'депозитный калькулятор'!$D$11/366,G623*'депозитный калькулятор'!$G$8))))</f>
        <v xml:space="preserve"> </v>
      </c>
      <c r="I623" s="134" t="str">
        <f ca="1">IF(F623=" "," ",IF('депозитный калькулятор'!$G$10="ежедневное",H623,IF(AND('депозитный калькулятор'!$G$10="еженедельное",WEEKDAY(F623,2)=7),SUM(OFFSET(H623,-6,0):H623),IF(AND('депозитный калькулятор'!$G$10="еженедельное",F623='депозитный калькулятор'!$D$8),SUM($H$23:H623)-SUM($I$23:I622),IF(AND('депозитный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недели",WEEKDAY(F623,2)=7),MIN(OFFSET(H623,-6,0):H623)*(COUNTIF(OFFSET(H623,-6,0):H623,"&gt;0")+SUMIF(OFFSET(A623,-WEEKDAY(F623,2),0):A623,"=2",OFFSET(A623,-WEEKDAY(F623,2),0):A623)),IF(AND('депозитный калькулятор'!$G$10="еженедельное, на минимальную сумму зафиксированную в течение недели",F623='депозитный калькулятор'!$D$8,WEEKDAY(F623,2)&lt;&gt;7),MIN(OFFSET(H623,-WEEKDAY(F623,2),0):H623)*(COUNTIF(OFFSET(H623,-WEEKDAY(F623,2)+1,0):H623,"&gt;0")+SUM(OFFSET(A623,-WEEKDAY(F623,2),0):A623)),IF(AND('депозитный калькулятор'!$G$10="ежемесячное (в конце месяца)",F623='депозитный калькулятор'!$D$8,EOMONTH(F623,0)&lt;&gt;F623),IF('депозитный калькулятор'!$F$1=1,$H$24,SUM($H$23:H623)-SUM($I$23:I622)),IF(AND('депозитный калькулятор'!$G$10="ежемесячное (в конце месяца)",EOMONTH(F623,0)=F623),SUM($H$23:H623)-SUM($I$23:I622),IF(AND('депозитный калькулятор'!$G$10="ежемесячное (по дням открытия вклада)",F623='депозитный калькулятор'!$D$8,DAY('депозитный калькулятор'!$D$7)&lt;&gt;DAY(F623)),IF('депозитный калькулятор'!$F$1=1,$H$24,SUM($H$23:H623)-SUM($I$23:I622)),IF(AND('депозитный калькулятор'!$G$10="ежемесячное (по дням открытия вклада)",DAY('депозитный калькулятор'!$D$7)=DAY(F623)),SUM($H$23:H623)-SUM($I$23:I622),IF(AND('депозитный калькулятор'!$G$10="ежемесячное, на минимальную сумму зафиксированную в течение месяца",F623='депозитный калькулятор'!$D$8,EOMONTH(F623,0)&lt;&gt;F623),IF('депозитный калькулятор'!$F$1=1,$H$24,IF(AND(OR('депозитный калькулятор'!$G$7="30/365",'депозитный калькулятор'!$G$7="30/360"),DAY(F623)=31),0,MIN(OFFSET(H623,-E623+1,0):H623)*(E623+SUMIF(OFFSET(A623,-E623+1,0):A623,"=2",OFFSET(A623,-E623+1,0):A623)))),IF(AND('депозитный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калькулятор'!$G$7="30/360"),DAY(EOMONTH(F623,0))=31),EOMONTH(F623,0)-1=F623,EOMONTH(F623,0)=F623)),IF(IF(AND(OR('депозитный калькулятор'!$G$7="30/365",'депозитный калькулятор'!$G$7="30/360"),DAY(EOMONTH($F$23,0))=31),F623=EOMONTH($F$23,0)-1,F623=EOMONTH($F$23,0)),MIN(OFFSET(H623,-(DAY(F623)-DAY($F$23)),0):H623)*E623,MIN(OFFSET(H623,-(DAY(F623)-1),0):H623)*IF(AND(OR('депозитный калькулятор'!$G$7="30/365",'депозитный калькулятор'!$G$7="30/360"),DAY(F623)&lt;30),30,DAY(F623))),IF(AND('депозитный калькулятор'!$G$10="ежемесячное, на средний остаток в течение месяца, при условии что остаток больше чем ограничение",F623='депозитный калькулятор'!$D$8,EOMONTH(F623,0)&lt;&gt;F623),IF('депозитный калькулятор'!$F$1=1,$H$24,SUM(OFFSET(Q623,-E623+1,0):Q623)),IF(AND('депозитный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калькулятор'!$G$7="30/360"),DAY(EOMONTH(F623,0))=31),EOMONTH(F623,0)-1=F623,EOMONTH(F623,0)=F623)),IF(IF(AND(OR('депозитный калькулятор'!$G$7="30/365",'депозитный калькулятор'!$G$7="30/360"),DAY(EOMONTH($F$24,0))=31),F623=EOMONTH($F$24,0)-1,F623=EOMONTH($F$24,0)),SUM(OFFSET(Q623,-E623+1,0):Q623),SUM(OFFSET(Q623,-E623+1,0):Q623)),IF('депозитный калькулятор'!$G$10="ежеквартальное",IF(F623&gt;'депозитный калькулятор'!$D$8," ",IF(AND(EOMONTH(F623,0)=F623,OR(MONTH(F623)=3,MONTH(F623)=6,MONTH(F623)=9,MONTH(F623)=12)),IF(EDATE(F623,-3)&lt;'депозитный калькулятор'!$D$7,SUM($H$23:H623),IF(MOD(YEAR(F623),4)=0,IF(AND(EOMONTH(F623,0)=F623,OR(MONTH(F623)=3,MONTH(F623)=6)),SUM(OFFSET(H623,-90,0):H623),IF(AND(EOMONTH(F623,0)=F623,OR(MONTH(F623)=9,MONTH(F623)=12)),SUM(OFFSET(H623,-91,0):H623))),IF(AND(EOMONTH(F623,0)=F623,MONTH(F623)=3),SUM(OFFSET(H623,-89,0):H623),IF(AND(EOMONTH(F623,0)=F623,MONTH(F623)=6),SUM(OFFSET(H623,-90,0):H623),IF(AND(EOMONTH(F623,0)=F623,OR(MONTH(F623)=9,MONTH(F623)=12)),SUM(OFFSET(H623,-91,0):H623)))))),IF(F623='депозитный калькулятор'!$D$8,SUM($H$23:H623)-SUM($I$23:I622),0))),IF('депозитный калькулятор'!$G$10="ежегодное",IF(F623&gt;'депозитный калькулятор'!$D$8," ",IF(F623='депозитный калькулятор'!$D$8,SUM($H$23:H623)-SUM($I$23:I622),IF(AND(EOMONTH(F623,0)=F623,MONTH(F623)=12),IF(MOD(YEAR(F622),4)=0,IF(F623-'депозитный калькулятор'!$D$7&lt;366,SUM($H$23:H623),SUM(OFFSET(H623,-365,0):H623)),IF(F623-'депозитный калькулятор'!$D$7&lt;365,SUM($H$23:H623),SUM(OFFSET(H623,-364,0):H623))),0))),IF(AND('депозитный калькулятор'!$G$10="в конце срока",'депозитный калькулятор'!$D$8=F623),SUM($H$23:H623),0))))))))))))))))))</f>
        <v xml:space="preserve"> </v>
      </c>
      <c r="J623" s="59" t="str">
        <f>IF(F623&gt;'депозитный калькулятор'!$D$8," ",IF('депозитный калькулятор'!$G$16="нет",0,IF(AND('депозитный калькулятор'!$G$17="разовая (в конце срока)",F623='депозитный калькулятор'!$D$8),'депозитный калькулятор'!$G$18,IF(AND('депозитный калькулятор'!$G$17="ежемесячная",EOMONTH(F622,0)=F622),'депозитный калькулятор'!$G$18,IF(AND('депозитный калькулятор'!$G$17="ежегодная",DAY(F622)=31,MONTH(F622)=12),'депозитный калькулятор'!$G$18,IF(AND('депозитный калькулятор'!$G$17="ежемесячная в зависимости от остатка",EOMONTH(F622,0)=F622,P622&gt;0),'депозитный калькулятор'!$G$18,IF(AND('депозитный калькулятор'!$G$17="ежегодная в зависимости от остатка",DAY(F622)=31,MONTH(F622)=12,P622&gt;0),'депозитный калькулятор'!$G$18,0)))))))</f>
        <v xml:space="preserve"> </v>
      </c>
      <c r="K623" s="135" t="str">
        <f>IF($F623=" "," ",IFERROR(VLOOKUP($F623,'депозитный калькулятор'!$B$26:$F$70,2,0),0))</f>
        <v xml:space="preserve"> </v>
      </c>
      <c r="L623" s="135" t="str">
        <f>IF($F623=" "," ",IFERROR(VLOOKUP($F623,'депозитный калькулятор'!$B$26:$F$70,3,0),0))</f>
        <v xml:space="preserve"> </v>
      </c>
      <c r="M623" s="135" t="str">
        <f>IF($F623=" "," ",IFERROR(VLOOKUP($F623,'депозитный калькулятор'!$B$26:$F$70,4,0),0))</f>
        <v xml:space="preserve"> </v>
      </c>
      <c r="N623" s="135" t="str">
        <f>IF($F623=" "," ",IFERROR(VLOOKUP($F623,'депозитный калькулятор'!$B$26:$F$70,5,0),0))</f>
        <v xml:space="preserve"> </v>
      </c>
      <c r="O623" s="146" t="str">
        <f>IF(F623&gt;'депозитный калькулятор'!$D$8," ",IF(F623='депозитный калькулятор'!$D$8,IF(AND($F$24='депозитный калькулятор'!$D$8,'депозитный калькулятор'!$G$13="нет"),-G623-IF(I623=" ",0,I623)-IF(AND(OR('депозитный калькулятор'!$G$7="30/365",'депозитный калькулятор'!$G$7="30/360"),'депозитный калькулятор'!$G$10="в начале срока"),I622,0)-L623+M623-N623,-G623-IF(I623=" ",0,I623)-L623+M623-N623),IF('депозитный калькулятор'!$G$13="есть",M623-N623+IF('депозитный калькулятор'!$G$14="есть",0,-L623),-IF(I623=" ",0,I623)-IF(AND(OR('депозитный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срока"),I622,0)+M623-N623+IF('депозитный калькулятор'!$G$14="есть",0,-L623))))</f>
        <v xml:space="preserve"> </v>
      </c>
      <c r="P623" s="147" t="str">
        <f>IF(F623&gt;'депозитный калькулятор'!$D$8," ",IF(EOMONTH(F622,0)=F622,0,IF(G623&gt;='депозитный калькулятор'!$G$19,P622,P622+1)))</f>
        <v xml:space="preserve"> </v>
      </c>
      <c r="Q623" s="138" t="str">
        <f>IF(F623=" "," ",IF(AND(OR('депозитный калькулятор'!$G$7="30/365",'депозитный калькулятор'!$G$7="30/360"),AND(MONTH(F623)=2,EOMONTH(F623,0)=F623)),IF(DAY(F623)=28,3,2),1)*IF(G623&gt;='депозитный калькулятор'!$G$11,IF(AND('депозитный калькулятор'!$G$7="факт/факт",MOD(YEAR(F623),4)=0),G623*'депозитный калькулятор'!$D$11/366,G623*'депозитный калькулятор'!$G$8),0))</f>
        <v xml:space="preserve"> </v>
      </c>
      <c r="R623" s="158"/>
      <c r="S623" s="62" t="str">
        <f t="shared" ca="1" si="47"/>
        <v xml:space="preserve"> </v>
      </c>
      <c r="T623" s="149" t="str">
        <f ca="1">IF(S623=" "," ",IF('депозитный калькулятор'!$G$7="30/360",DAYS360(U622,IF(DAY(U623)=31,U623-1,U623))+IF(AND(MONTH(U623)=2,U623=EOMONTH(U623,0)),30-DAY(EOMONTH(U623,0)))+T622,VLOOKUP(S623,$C$22:$F$1023,2,0)))</f>
        <v xml:space="preserve"> </v>
      </c>
      <c r="U623" s="64" t="str">
        <f t="shared" ca="1" si="45"/>
        <v xml:space="preserve"> </v>
      </c>
      <c r="V623" s="150" t="str">
        <f t="shared" ca="1" si="48"/>
        <v xml:space="preserve"> </v>
      </c>
      <c r="W623" s="62" t="str">
        <f t="shared" ca="1" si="49"/>
        <v xml:space="preserve"> </v>
      </c>
      <c r="X623" s="141" t="str">
        <f ca="1">IF(S623=" "," ",IFERROR(VLOOKUP(U623,$F$23:$N$1023,7)+VLOOKUP(U623,$F$23:$N$1023,9)+IF(AND('депозитный калькулятор'!$G$13="нет",U623&lt;&gt;'депозитный калькулятор'!$D$8),VLOOKUP(U623,$F$23:$N$1023,4),0),0)+IF(U623='депозитный калькулятор'!$D$8,VLOOKUP(U623,$F$23:$N$1023,2)+VLOOKUP(U623,$F$23:$N$1023,4),0))</f>
        <v xml:space="preserve"> </v>
      </c>
      <c r="Y623" s="142" t="str">
        <f ca="1">IF(S623=" "," ",W623/(1+'депозитный калькулятор'!$K$8)^(T623/IF('депозитный калькулятор'!$G$7="30/360",360,365)))</f>
        <v xml:space="preserve"> </v>
      </c>
      <c r="Z623" s="142" t="str">
        <f ca="1">IF(S623=" "," ",X623/(1+'депозитный калькулятор'!$K$8)^(T623/IF('депозитный калькулятор'!$G$7="30/360",360,365)))</f>
        <v xml:space="preserve"> </v>
      </c>
      <c r="AA623" s="151"/>
      <c r="AB623" s="151"/>
      <c r="AC623" s="155"/>
      <c r="AD623" s="155"/>
    </row>
    <row r="624" spans="1:30" s="2" customFormat="1" ht="15.5" x14ac:dyDescent="0.35">
      <c r="A624" s="41" t="str">
        <f>IF(F624=" "," ",IF(OR('депозитный калькулятор'!$G$7="30/365",'депозитный калькулятор'!$G$7="30/360"),IF(AND(MONTH(F624)=2,DAY(F624)=DAY(EOMONTH(F624,0))),30-DAY(EOMONTH(F624,0)),IF(DAY(F624)=31,1," "))," "))</f>
        <v xml:space="preserve"> </v>
      </c>
      <c r="B624" s="130" t="str">
        <f t="shared" si="46"/>
        <v xml:space="preserve"> </v>
      </c>
      <c r="C624" s="130" t="str">
        <f>IF(OR(B624=0,B624=" ")," ",SUM($B$23:B624))</f>
        <v xml:space="preserve"> </v>
      </c>
      <c r="D624" s="62" t="str">
        <f>IF(D623=" "," ",IF(OR(F623='депозитный калькулятор'!$D$8,F623=" ")," ",D623+1))</f>
        <v xml:space="preserve"> </v>
      </c>
      <c r="E624" s="130" t="str">
        <f>IF(OR(F623='депозитный калькулятор'!$D$8,F623=" ")," ",IF(EOMONTH(F623,0)=F623,1,E623+1))</f>
        <v xml:space="preserve"> </v>
      </c>
      <c r="F624" s="64" t="str">
        <f>IF(F623=" "," ",IF(F623='депозитный калькулятор'!$D$8," ",F623+1))</f>
        <v xml:space="preserve"> </v>
      </c>
      <c r="G624" s="145" t="str">
        <f xml:space="preserve"> IF(F624&gt;'депозитный калькулятор'!$D$8," ",IF('депозитный калькулятор'!$G$13="есть",IF('депозитный калькулятор'!$G$14="есть",G623+IF(I623=" ",0,I623)-J624-K624+L624+M624-N624,G623+IF(I623=" ",0,I623)-J624-K624+M624-N624),IF('депозитный калькулятор'!$G$14="есть",G623-J624-K624+L624+M624-N624,G623-J624-K624+M624-N624)))</f>
        <v xml:space="preserve"> </v>
      </c>
      <c r="H624" s="133" t="str">
        <f>IF(F624&gt;'депозитный калькулятор'!$D$8," ",IF(AND(OR('депозитный калькулятор'!$G$7="30/365",'депозитный калькулятор'!$G$7="30/360"),AND(MONTH(F624)=2,EOMONTH(F624,0)=F624)),IF(DAY(F624)=28,3*G624*'депозитный калькулятор'!$G$8,2*G624*'депозитный калькулятор'!$G$8),IF(AND(OR('депозитный калькулятор'!$G$7="30/365",'депозитный калькулятор'!$G$7="30/360"),DAY(F624)=31)," ",IF(AND('депозитный калькулятор'!$G$7="факт/факт",MOD(YEAR(F624),4)=0),G624*'депозитный калькулятор'!$D$11/366,G624*'депозитный калькулятор'!$G$8))))</f>
        <v xml:space="preserve"> </v>
      </c>
      <c r="I624" s="134" t="str">
        <f ca="1">IF(F624=" "," ",IF('депозитный калькулятор'!$G$10="ежедневное",H624,IF(AND('депозитный калькулятор'!$G$10="еженедельное",WEEKDAY(F624,2)=7),SUM(OFFSET(H624,-6,0):H624),IF(AND('депозитный калькулятор'!$G$10="еженедельное",F624='депозитный калькулятор'!$D$8),SUM($H$23:H624)-SUM($I$23:I623),IF(AND('депозитный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недели",WEEKDAY(F624,2)=7),MIN(OFFSET(H624,-6,0):H624)*(COUNTIF(OFFSET(H624,-6,0):H624,"&gt;0")+SUMIF(OFFSET(A624,-WEEKDAY(F624,2),0):A624,"=2",OFFSET(A624,-WEEKDAY(F624,2),0):A624)),IF(AND('депозитный калькулятор'!$G$10="еженедельное, на минимальную сумму зафиксированную в течение недели",F624='депозитный калькулятор'!$D$8,WEEKDAY(F624,2)&lt;&gt;7),MIN(OFFSET(H624,-WEEKDAY(F624,2),0):H624)*(COUNTIF(OFFSET(H624,-WEEKDAY(F624,2)+1,0):H624,"&gt;0")+SUM(OFFSET(A624,-WEEKDAY(F624,2),0):A624)),IF(AND('депозитный калькулятор'!$G$10="ежемесячное (в конце месяца)",F624='депозитный калькулятор'!$D$8,EOMONTH(F624,0)&lt;&gt;F624),IF('депозитный калькулятор'!$F$1=1,$H$24,SUM($H$23:H624)-SUM($I$23:I623)),IF(AND('депозитный калькулятор'!$G$10="ежемесячное (в конце месяца)",EOMONTH(F624,0)=F624),SUM($H$23:H624)-SUM($I$23:I623),IF(AND('депозитный калькулятор'!$G$10="ежемесячное (по дням открытия вклада)",F624='депозитный калькулятор'!$D$8,DAY('депозитный калькулятор'!$D$7)&lt;&gt;DAY(F624)),IF('депозитный калькулятор'!$F$1=1,$H$24,SUM($H$23:H624)-SUM($I$23:I623)),IF(AND('депозитный калькулятор'!$G$10="ежемесячное (по дням открытия вклада)",DAY('депозитный калькулятор'!$D$7)=DAY(F624)),SUM($H$23:H624)-SUM($I$23:I623),IF(AND('депозитный калькулятор'!$G$10="ежемесячное, на минимальную сумму зафиксированную в течение месяца",F624='депозитный калькулятор'!$D$8,EOMONTH(F624,0)&lt;&gt;F624),IF('депозитный калькулятор'!$F$1=1,$H$24,IF(AND(OR('депозитный калькулятор'!$G$7="30/365",'депозитный калькулятор'!$G$7="30/360"),DAY(F624)=31),0,MIN(OFFSET(H624,-E624+1,0):H624)*(E624+SUMIF(OFFSET(A624,-E624+1,0):A624,"=2",OFFSET(A624,-E624+1,0):A624)))),IF(AND('депозитный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калькулятор'!$G$7="30/360"),DAY(EOMONTH(F624,0))=31),EOMONTH(F624,0)-1=F624,EOMONTH(F624,0)=F624)),IF(IF(AND(OR('депозитный калькулятор'!$G$7="30/365",'депозитный калькулятор'!$G$7="30/360"),DAY(EOMONTH($F$23,0))=31),F624=EOMONTH($F$23,0)-1,F624=EOMONTH($F$23,0)),MIN(OFFSET(H624,-(DAY(F624)-DAY($F$23)),0):H624)*E624,MIN(OFFSET(H624,-(DAY(F624)-1),0):H624)*IF(AND(OR('депозитный калькулятор'!$G$7="30/365",'депозитный калькулятор'!$G$7="30/360"),DAY(F624)&lt;30),30,DAY(F624))),IF(AND('депозитный калькулятор'!$G$10="ежемесячное, на средний остаток в течение месяца, при условии что остаток больше чем ограничение",F624='депозитный калькулятор'!$D$8,EOMONTH(F624,0)&lt;&gt;F624),IF('депозитный калькулятор'!$F$1=1,$H$24,SUM(OFFSET(Q624,-E624+1,0):Q624)),IF(AND('депозитный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калькулятор'!$G$7="30/360"),DAY(EOMONTH(F624,0))=31),EOMONTH(F624,0)-1=F624,EOMONTH(F624,0)=F624)),IF(IF(AND(OR('депозитный калькулятор'!$G$7="30/365",'депозитный калькулятор'!$G$7="30/360"),DAY(EOMONTH($F$24,0))=31),F624=EOMONTH($F$24,0)-1,F624=EOMONTH($F$24,0)),SUM(OFFSET(Q624,-E624+1,0):Q624),SUM(OFFSET(Q624,-E624+1,0):Q624)),IF('депозитный калькулятор'!$G$10="ежеквартальное",IF(F624&gt;'депозитный калькулятор'!$D$8," ",IF(AND(EOMONTH(F624,0)=F624,OR(MONTH(F624)=3,MONTH(F624)=6,MONTH(F624)=9,MONTH(F624)=12)),IF(EDATE(F624,-3)&lt;'депозитный калькулятор'!$D$7,SUM($H$23:H624),IF(MOD(YEAR(F624),4)=0,IF(AND(EOMONTH(F624,0)=F624,OR(MONTH(F624)=3,MONTH(F624)=6)),SUM(OFFSET(H624,-90,0):H624),IF(AND(EOMONTH(F624,0)=F624,OR(MONTH(F624)=9,MONTH(F624)=12)),SUM(OFFSET(H624,-91,0):H624))),IF(AND(EOMONTH(F624,0)=F624,MONTH(F624)=3),SUM(OFFSET(H624,-89,0):H624),IF(AND(EOMONTH(F624,0)=F624,MONTH(F624)=6),SUM(OFFSET(H624,-90,0):H624),IF(AND(EOMONTH(F624,0)=F624,OR(MONTH(F624)=9,MONTH(F624)=12)),SUM(OFFSET(H624,-91,0):H624)))))),IF(F624='депозитный калькулятор'!$D$8,SUM($H$23:H624)-SUM($I$23:I623),0))),IF('депозитный калькулятор'!$G$10="ежегодное",IF(F624&gt;'депозитный калькулятор'!$D$8," ",IF(F624='депозитный калькулятор'!$D$8,SUM($H$23:H624)-SUM($I$23:I623),IF(AND(EOMONTH(F624,0)=F624,MONTH(F624)=12),IF(MOD(YEAR(F623),4)=0,IF(F624-'депозитный калькулятор'!$D$7&lt;366,SUM($H$23:H624),SUM(OFFSET(H624,-365,0):H624)),IF(F624-'депозитный калькулятор'!$D$7&lt;365,SUM($H$23:H624),SUM(OFFSET(H624,-364,0):H624))),0))),IF(AND('депозитный калькулятор'!$G$10="в конце срока",'депозитный калькулятор'!$D$8=F624),SUM($H$23:H624),0))))))))))))))))))</f>
        <v xml:space="preserve"> </v>
      </c>
      <c r="J624" s="59" t="str">
        <f>IF(F624&gt;'депозитный калькулятор'!$D$8," ",IF('депозитный калькулятор'!$G$16="нет",0,IF(AND('депозитный калькулятор'!$G$17="разовая (в конце срока)",F624='депозитный калькулятор'!$D$8),'депозитный калькулятор'!$G$18,IF(AND('депозитный калькулятор'!$G$17="ежемесячная",EOMONTH(F623,0)=F623),'депозитный калькулятор'!$G$18,IF(AND('депозитный калькулятор'!$G$17="ежегодная",DAY(F623)=31,MONTH(F623)=12),'депозитный калькулятор'!$G$18,IF(AND('депозитный калькулятор'!$G$17="ежемесячная в зависимости от остатка",EOMONTH(F623,0)=F623,P623&gt;0),'депозитный калькулятор'!$G$18,IF(AND('депозитный калькулятор'!$G$17="ежегодная в зависимости от остатка",DAY(F623)=31,MONTH(F623)=12,P623&gt;0),'депозитный калькулятор'!$G$18,0)))))))</f>
        <v xml:space="preserve"> </v>
      </c>
      <c r="K624" s="135" t="str">
        <f>IF($F624=" "," ",IFERROR(VLOOKUP($F624,'депозитный калькулятор'!$B$26:$F$70,2,0),0))</f>
        <v xml:space="preserve"> </v>
      </c>
      <c r="L624" s="135" t="str">
        <f>IF($F624=" "," ",IFERROR(VLOOKUP($F624,'депозитный калькулятор'!$B$26:$F$70,3,0),0))</f>
        <v xml:space="preserve"> </v>
      </c>
      <c r="M624" s="135" t="str">
        <f>IF($F624=" "," ",IFERROR(VLOOKUP($F624,'депозитный калькулятор'!$B$26:$F$70,4,0),0))</f>
        <v xml:space="preserve"> </v>
      </c>
      <c r="N624" s="135" t="str">
        <f>IF($F624=" "," ",IFERROR(VLOOKUP($F624,'депозитный калькулятор'!$B$26:$F$70,5,0),0))</f>
        <v xml:space="preserve"> </v>
      </c>
      <c r="O624" s="146" t="str">
        <f>IF(F624&gt;'депозитный калькулятор'!$D$8," ",IF(F624='депозитный калькулятор'!$D$8,IF(AND($F$24='депозитный калькулятор'!$D$8,'депозитный калькулятор'!$G$13="нет"),-G624-IF(I624=" ",0,I624)-IF(AND(OR('депозитный калькулятор'!$G$7="30/365",'депозитный калькулятор'!$G$7="30/360"),'депозитный калькулятор'!$G$10="в начале срока"),I623,0)-L624+M624-N624,-G624-IF(I624=" ",0,I624)-L624+M624-N624),IF('депозитный калькулятор'!$G$13="есть",M624-N624+IF('депозитный калькулятор'!$G$14="есть",0,-L624),-IF(I624=" ",0,I624)-IF(AND(OR('депозитный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срока"),I623,0)+M624-N624+IF('депозитный калькулятор'!$G$14="есть",0,-L624))))</f>
        <v xml:space="preserve"> </v>
      </c>
      <c r="P624" s="147" t="str">
        <f>IF(F624&gt;'депозитный калькулятор'!$D$8," ",IF(EOMONTH(F623,0)=F623,0,IF(G624&gt;='депозитный калькулятор'!$G$19,P623,P623+1)))</f>
        <v xml:space="preserve"> </v>
      </c>
      <c r="Q624" s="138" t="str">
        <f>IF(F624=" "," ",IF(AND(OR('депозитный калькулятор'!$G$7="30/365",'депозитный калькулятор'!$G$7="30/360"),AND(MONTH(F624)=2,EOMONTH(F624,0)=F624)),IF(DAY(F624)=28,3,2),1)*IF(G624&gt;='депозитный калькулятор'!$G$11,IF(AND('депозитный калькулятор'!$G$7="факт/факт",MOD(YEAR(F624),4)=0),G624*'депозитный калькулятор'!$D$11/366,G624*'депозитный калькулятор'!$G$8),0))</f>
        <v xml:space="preserve"> </v>
      </c>
      <c r="R624" s="158"/>
      <c r="S624" s="62" t="str">
        <f t="shared" ca="1" si="47"/>
        <v xml:space="preserve"> </v>
      </c>
      <c r="T624" s="149" t="str">
        <f ca="1">IF(S624=" "," ",IF('депозитный калькулятор'!$G$7="30/360",DAYS360(U623,IF(DAY(U624)=31,U624-1,U624))+IF(AND(MONTH(U624)=2,U624=EOMONTH(U624,0)),30-DAY(EOMONTH(U624,0)))+T623,VLOOKUP(S624,$C$22:$F$1023,2,0)))</f>
        <v xml:space="preserve"> </v>
      </c>
      <c r="U624" s="64" t="str">
        <f t="shared" ca="1" si="45"/>
        <v xml:space="preserve"> </v>
      </c>
      <c r="V624" s="150" t="str">
        <f t="shared" ca="1" si="48"/>
        <v xml:space="preserve"> </v>
      </c>
      <c r="W624" s="62" t="str">
        <f t="shared" ca="1" si="49"/>
        <v xml:space="preserve"> </v>
      </c>
      <c r="X624" s="141" t="str">
        <f ca="1">IF(S624=" "," ",IFERROR(VLOOKUP(U624,$F$23:$N$1023,7)+VLOOKUP(U624,$F$23:$N$1023,9)+IF(AND('депозитный калькулятор'!$G$13="нет",U624&lt;&gt;'депозитный калькулятор'!$D$8),VLOOKUP(U624,$F$23:$N$1023,4),0),0)+IF(U624='депозитный калькулятор'!$D$8,VLOOKUP(U624,$F$23:$N$1023,2)+VLOOKUP(U624,$F$23:$N$1023,4),0))</f>
        <v xml:space="preserve"> </v>
      </c>
      <c r="Y624" s="142" t="str">
        <f ca="1">IF(S624=" "," ",W624/(1+'депозитный калькулятор'!$K$8)^(T624/IF('депозитный калькулятор'!$G$7="30/360",360,365)))</f>
        <v xml:space="preserve"> </v>
      </c>
      <c r="Z624" s="142" t="str">
        <f ca="1">IF(S624=" "," ",X624/(1+'депозитный калькулятор'!$K$8)^(T624/IF('депозитный калькулятор'!$G$7="30/360",360,365)))</f>
        <v xml:space="preserve"> </v>
      </c>
      <c r="AA624" s="151"/>
      <c r="AB624" s="151"/>
      <c r="AC624" s="155"/>
      <c r="AD624" s="155"/>
    </row>
    <row r="625" spans="1:30" s="2" customFormat="1" ht="15.5" x14ac:dyDescent="0.35">
      <c r="A625" s="41" t="str">
        <f>IF(F625=" "," ",IF(OR('депозитный калькулятор'!$G$7="30/365",'депозитный калькулятор'!$G$7="30/360"),IF(AND(MONTH(F625)=2,DAY(F625)=DAY(EOMONTH(F625,0))),30-DAY(EOMONTH(F625,0)),IF(DAY(F625)=31,1," "))," "))</f>
        <v xml:space="preserve"> </v>
      </c>
      <c r="B625" s="130" t="str">
        <f t="shared" si="46"/>
        <v xml:space="preserve"> </v>
      </c>
      <c r="C625" s="130" t="str">
        <f>IF(OR(B625=0,B625=" ")," ",SUM($B$23:B625))</f>
        <v xml:space="preserve"> </v>
      </c>
      <c r="D625" s="62" t="str">
        <f>IF(D624=" "," ",IF(OR(F624='депозитный калькулятор'!$D$8,F624=" ")," ",D624+1))</f>
        <v xml:space="preserve"> </v>
      </c>
      <c r="E625" s="130" t="str">
        <f>IF(OR(F624='депозитный калькулятор'!$D$8,F624=" ")," ",IF(EOMONTH(F624,0)=F624,1,E624+1))</f>
        <v xml:space="preserve"> </v>
      </c>
      <c r="F625" s="64" t="str">
        <f>IF(F624=" "," ",IF(F624='депозитный калькулятор'!$D$8," ",F624+1))</f>
        <v xml:space="preserve"> </v>
      </c>
      <c r="G625" s="145" t="str">
        <f xml:space="preserve"> IF(F625&gt;'депозитный калькулятор'!$D$8," ",IF('депозитный калькулятор'!$G$13="есть",IF('депозитный калькулятор'!$G$14="есть",G624+IF(I624=" ",0,I624)-J625-K625+L625+M625-N625,G624+IF(I624=" ",0,I624)-J625-K625+M625-N625),IF('депозитный калькулятор'!$G$14="есть",G624-J625-K625+L625+M625-N625,G624-J625-K625+M625-N625)))</f>
        <v xml:space="preserve"> </v>
      </c>
      <c r="H625" s="133" t="str">
        <f>IF(F625&gt;'депозитный калькулятор'!$D$8," ",IF(AND(OR('депозитный калькулятор'!$G$7="30/365",'депозитный калькулятор'!$G$7="30/360"),AND(MONTH(F625)=2,EOMONTH(F625,0)=F625)),IF(DAY(F625)=28,3*G625*'депозитный калькулятор'!$G$8,2*G625*'депозитный калькулятор'!$G$8),IF(AND(OR('депозитный калькулятор'!$G$7="30/365",'депозитный калькулятор'!$G$7="30/360"),DAY(F625)=31)," ",IF(AND('депозитный калькулятор'!$G$7="факт/факт",MOD(YEAR(F625),4)=0),G625*'депозитный калькулятор'!$D$11/366,G625*'депозитный калькулятор'!$G$8))))</f>
        <v xml:space="preserve"> </v>
      </c>
      <c r="I625" s="134" t="str">
        <f ca="1">IF(F625=" "," ",IF('депозитный калькулятор'!$G$10="ежедневное",H625,IF(AND('депозитный калькулятор'!$G$10="еженедельное",WEEKDAY(F625,2)=7),SUM(OFFSET(H625,-6,0):H625),IF(AND('депозитный калькулятор'!$G$10="еженедельное",F625='депозитный калькулятор'!$D$8),SUM($H$23:H625)-SUM($I$23:I624),IF(AND('депозитный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недели",WEEKDAY(F625,2)=7),MIN(OFFSET(H625,-6,0):H625)*(COUNTIF(OFFSET(H625,-6,0):H625,"&gt;0")+SUMIF(OFFSET(A625,-WEEKDAY(F625,2),0):A625,"=2",OFFSET(A625,-WEEKDAY(F625,2),0):A625)),IF(AND('депозитный калькулятор'!$G$10="еженедельное, на минимальную сумму зафиксированную в течение недели",F625='депозитный калькулятор'!$D$8,WEEKDAY(F625,2)&lt;&gt;7),MIN(OFFSET(H625,-WEEKDAY(F625,2),0):H625)*(COUNTIF(OFFSET(H625,-WEEKDAY(F625,2)+1,0):H625,"&gt;0")+SUM(OFFSET(A625,-WEEKDAY(F625,2),0):A625)),IF(AND('депозитный калькулятор'!$G$10="ежемесячное (в конце месяца)",F625='депозитный калькулятор'!$D$8,EOMONTH(F625,0)&lt;&gt;F625),IF('депозитный калькулятор'!$F$1=1,$H$24,SUM($H$23:H625)-SUM($I$23:I624)),IF(AND('депозитный калькулятор'!$G$10="ежемесячное (в конце месяца)",EOMONTH(F625,0)=F625),SUM($H$23:H625)-SUM($I$23:I624),IF(AND('депозитный калькулятор'!$G$10="ежемесячное (по дням открытия вклада)",F625='депозитный калькулятор'!$D$8,DAY('депозитный калькулятор'!$D$7)&lt;&gt;DAY(F625)),IF('депозитный калькулятор'!$F$1=1,$H$24,SUM($H$23:H625)-SUM($I$23:I624)),IF(AND('депозитный калькулятор'!$G$10="ежемесячное (по дням открытия вклада)",DAY('депозитный калькулятор'!$D$7)=DAY(F625)),SUM($H$23:H625)-SUM($I$23:I624),IF(AND('депозитный калькулятор'!$G$10="ежемесячное, на минимальную сумму зафиксированную в течение месяца",F625='депозитный калькулятор'!$D$8,EOMONTH(F625,0)&lt;&gt;F625),IF('депозитный калькулятор'!$F$1=1,$H$24,IF(AND(OR('депозитный калькулятор'!$G$7="30/365",'депозитный калькулятор'!$G$7="30/360"),DAY(F625)=31),0,MIN(OFFSET(H625,-E625+1,0):H625)*(E625+SUMIF(OFFSET(A625,-E625+1,0):A625,"=2",OFFSET(A625,-E625+1,0):A625)))),IF(AND('депозитный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калькулятор'!$G$7="30/360"),DAY(EOMONTH(F625,0))=31),EOMONTH(F625,0)-1=F625,EOMONTH(F625,0)=F625)),IF(IF(AND(OR('депозитный калькулятор'!$G$7="30/365",'депозитный калькулятор'!$G$7="30/360"),DAY(EOMONTH($F$23,0))=31),F625=EOMONTH($F$23,0)-1,F625=EOMONTH($F$23,0)),MIN(OFFSET(H625,-(DAY(F625)-DAY($F$23)),0):H625)*E625,MIN(OFFSET(H625,-(DAY(F625)-1),0):H625)*IF(AND(OR('депозитный калькулятор'!$G$7="30/365",'депозитный калькулятор'!$G$7="30/360"),DAY(F625)&lt;30),30,DAY(F625))),IF(AND('депозитный калькулятор'!$G$10="ежемесячное, на средний остаток в течение месяца, при условии что остаток больше чем ограничение",F625='депозитный калькулятор'!$D$8,EOMONTH(F625,0)&lt;&gt;F625),IF('депозитный калькулятор'!$F$1=1,$H$24,SUM(OFFSET(Q625,-E625+1,0):Q625)),IF(AND('депозитный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калькулятор'!$G$7="30/360"),DAY(EOMONTH(F625,0))=31),EOMONTH(F625,0)-1=F625,EOMONTH(F625,0)=F625)),IF(IF(AND(OR('депозитный калькулятор'!$G$7="30/365",'депозитный калькулятор'!$G$7="30/360"),DAY(EOMONTH($F$24,0))=31),F625=EOMONTH($F$24,0)-1,F625=EOMONTH($F$24,0)),SUM(OFFSET(Q625,-E625+1,0):Q625),SUM(OFFSET(Q625,-E625+1,0):Q625)),IF('депозитный калькулятор'!$G$10="ежеквартальное",IF(F625&gt;'депозитный калькулятор'!$D$8," ",IF(AND(EOMONTH(F625,0)=F625,OR(MONTH(F625)=3,MONTH(F625)=6,MONTH(F625)=9,MONTH(F625)=12)),IF(EDATE(F625,-3)&lt;'депозитный калькулятор'!$D$7,SUM($H$23:H625),IF(MOD(YEAR(F625),4)=0,IF(AND(EOMONTH(F625,0)=F625,OR(MONTH(F625)=3,MONTH(F625)=6)),SUM(OFFSET(H625,-90,0):H625),IF(AND(EOMONTH(F625,0)=F625,OR(MONTH(F625)=9,MONTH(F625)=12)),SUM(OFFSET(H625,-91,0):H625))),IF(AND(EOMONTH(F625,0)=F625,MONTH(F625)=3),SUM(OFFSET(H625,-89,0):H625),IF(AND(EOMONTH(F625,0)=F625,MONTH(F625)=6),SUM(OFFSET(H625,-90,0):H625),IF(AND(EOMONTH(F625,0)=F625,OR(MONTH(F625)=9,MONTH(F625)=12)),SUM(OFFSET(H625,-91,0):H625)))))),IF(F625='депозитный калькулятор'!$D$8,SUM($H$23:H625)-SUM($I$23:I624),0))),IF('депозитный калькулятор'!$G$10="ежегодное",IF(F625&gt;'депозитный калькулятор'!$D$8," ",IF(F625='депозитный калькулятор'!$D$8,SUM($H$23:H625)-SUM($I$23:I624),IF(AND(EOMONTH(F625,0)=F625,MONTH(F625)=12),IF(MOD(YEAR(F624),4)=0,IF(F625-'депозитный калькулятор'!$D$7&lt;366,SUM($H$23:H625),SUM(OFFSET(H625,-365,0):H625)),IF(F625-'депозитный калькулятор'!$D$7&lt;365,SUM($H$23:H625),SUM(OFFSET(H625,-364,0):H625))),0))),IF(AND('депозитный калькулятор'!$G$10="в конце срока",'депозитный калькулятор'!$D$8=F625),SUM($H$23:H625),0))))))))))))))))))</f>
        <v xml:space="preserve"> </v>
      </c>
      <c r="J625" s="59" t="str">
        <f>IF(F625&gt;'депозитный калькулятор'!$D$8," ",IF('депозитный калькулятор'!$G$16="нет",0,IF(AND('депозитный калькулятор'!$G$17="разовая (в конце срока)",F625='депозитный калькулятор'!$D$8),'депозитный калькулятор'!$G$18,IF(AND('депозитный калькулятор'!$G$17="ежемесячная",EOMONTH(F624,0)=F624),'депозитный калькулятор'!$G$18,IF(AND('депозитный калькулятор'!$G$17="ежегодная",DAY(F624)=31,MONTH(F624)=12),'депозитный калькулятор'!$G$18,IF(AND('депозитный калькулятор'!$G$17="ежемесячная в зависимости от остатка",EOMONTH(F624,0)=F624,P624&gt;0),'депозитный калькулятор'!$G$18,IF(AND('депозитный калькулятор'!$G$17="ежегодная в зависимости от остатка",DAY(F624)=31,MONTH(F624)=12,P624&gt;0),'депозитный калькулятор'!$G$18,0)))))))</f>
        <v xml:space="preserve"> </v>
      </c>
      <c r="K625" s="135" t="str">
        <f>IF($F625=" "," ",IFERROR(VLOOKUP($F625,'депозитный калькулятор'!$B$26:$F$70,2,0),0))</f>
        <v xml:space="preserve"> </v>
      </c>
      <c r="L625" s="135" t="str">
        <f>IF($F625=" "," ",IFERROR(VLOOKUP($F625,'депозитный калькулятор'!$B$26:$F$70,3,0),0))</f>
        <v xml:space="preserve"> </v>
      </c>
      <c r="M625" s="135" t="str">
        <f>IF($F625=" "," ",IFERROR(VLOOKUP($F625,'депозитный калькулятор'!$B$26:$F$70,4,0),0))</f>
        <v xml:space="preserve"> </v>
      </c>
      <c r="N625" s="135" t="str">
        <f>IF($F625=" "," ",IFERROR(VLOOKUP($F625,'депозитный калькулятор'!$B$26:$F$70,5,0),0))</f>
        <v xml:space="preserve"> </v>
      </c>
      <c r="O625" s="146" t="str">
        <f>IF(F625&gt;'депозитный калькулятор'!$D$8," ",IF(F625='депозитный калькулятор'!$D$8,IF(AND($F$24='депозитный калькулятор'!$D$8,'депозитный калькулятор'!$G$13="нет"),-G625-IF(I625=" ",0,I625)-IF(AND(OR('депозитный калькулятор'!$G$7="30/365",'депозитный калькулятор'!$G$7="30/360"),'депозитный калькулятор'!$G$10="в начале срока"),I624,0)-L625+M625-N625,-G625-IF(I625=" ",0,I625)-L625+M625-N625),IF('депозитный калькулятор'!$G$13="есть",M625-N625+IF('депозитный калькулятор'!$G$14="есть",0,-L625),-IF(I625=" ",0,I625)-IF(AND(OR('депозитный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срока"),I624,0)+M625-N625+IF('депозитный калькулятор'!$G$14="есть",0,-L625))))</f>
        <v xml:space="preserve"> </v>
      </c>
      <c r="P625" s="147" t="str">
        <f>IF(F625&gt;'депозитный калькулятор'!$D$8," ",IF(EOMONTH(F624,0)=F624,0,IF(G625&gt;='депозитный калькулятор'!$G$19,P624,P624+1)))</f>
        <v xml:space="preserve"> </v>
      </c>
      <c r="Q625" s="138" t="str">
        <f>IF(F625=" "," ",IF(AND(OR('депозитный калькулятор'!$G$7="30/365",'депозитный калькулятор'!$G$7="30/360"),AND(MONTH(F625)=2,EOMONTH(F625,0)=F625)),IF(DAY(F625)=28,3,2),1)*IF(G625&gt;='депозитный калькулятор'!$G$11,IF(AND('депозитный калькулятор'!$G$7="факт/факт",MOD(YEAR(F625),4)=0),G625*'депозитный калькулятор'!$D$11/366,G625*'депозитный калькулятор'!$G$8),0))</f>
        <v xml:space="preserve"> </v>
      </c>
      <c r="R625" s="158"/>
      <c r="S625" s="62" t="str">
        <f t="shared" ca="1" si="47"/>
        <v xml:space="preserve"> </v>
      </c>
      <c r="T625" s="149" t="str">
        <f ca="1">IF(S625=" "," ",IF('депозитный калькулятор'!$G$7="30/360",DAYS360(U624,IF(DAY(U625)=31,U625-1,U625))+IF(AND(MONTH(U625)=2,U625=EOMONTH(U625,0)),30-DAY(EOMONTH(U625,0)))+T624,VLOOKUP(S625,$C$22:$F$1023,2,0)))</f>
        <v xml:space="preserve"> </v>
      </c>
      <c r="U625" s="64" t="str">
        <f t="shared" ca="1" si="45"/>
        <v xml:space="preserve"> </v>
      </c>
      <c r="V625" s="150" t="str">
        <f t="shared" ca="1" si="48"/>
        <v xml:space="preserve"> </v>
      </c>
      <c r="W625" s="62" t="str">
        <f t="shared" ca="1" si="49"/>
        <v xml:space="preserve"> </v>
      </c>
      <c r="X625" s="141" t="str">
        <f ca="1">IF(S625=" "," ",IFERROR(VLOOKUP(U625,$F$23:$N$1023,7)+VLOOKUP(U625,$F$23:$N$1023,9)+IF(AND('депозитный калькулятор'!$G$13="нет",U625&lt;&gt;'депозитный калькулятор'!$D$8),VLOOKUP(U625,$F$23:$N$1023,4),0),0)+IF(U625='депозитный калькулятор'!$D$8,VLOOKUP(U625,$F$23:$N$1023,2)+VLOOKUP(U625,$F$23:$N$1023,4),0))</f>
        <v xml:space="preserve"> </v>
      </c>
      <c r="Y625" s="142" t="str">
        <f ca="1">IF(S625=" "," ",W625/(1+'депозитный калькулятор'!$K$8)^(T625/IF('депозитный калькулятор'!$G$7="30/360",360,365)))</f>
        <v xml:space="preserve"> </v>
      </c>
      <c r="Z625" s="142" t="str">
        <f ca="1">IF(S625=" "," ",X625/(1+'депозитный калькулятор'!$K$8)^(T625/IF('депозитный калькулятор'!$G$7="30/360",360,365)))</f>
        <v xml:space="preserve"> </v>
      </c>
      <c r="AA625" s="151"/>
      <c r="AB625" s="151"/>
      <c r="AC625" s="155"/>
      <c r="AD625" s="155"/>
    </row>
    <row r="626" spans="1:30" s="2" customFormat="1" ht="15.5" x14ac:dyDescent="0.35">
      <c r="A626" s="41" t="str">
        <f>IF(F626=" "," ",IF(OR('депозитный калькулятор'!$G$7="30/365",'депозитный калькулятор'!$G$7="30/360"),IF(AND(MONTH(F626)=2,DAY(F626)=DAY(EOMONTH(F626,0))),30-DAY(EOMONTH(F626,0)),IF(DAY(F626)=31,1," "))," "))</f>
        <v xml:space="preserve"> </v>
      </c>
      <c r="B626" s="130" t="str">
        <f t="shared" si="46"/>
        <v xml:space="preserve"> </v>
      </c>
      <c r="C626" s="130" t="str">
        <f>IF(OR(B626=0,B626=" ")," ",SUM($B$23:B626))</f>
        <v xml:space="preserve"> </v>
      </c>
      <c r="D626" s="62" t="str">
        <f>IF(D625=" "," ",IF(OR(F625='депозитный калькулятор'!$D$8,F625=" ")," ",D625+1))</f>
        <v xml:space="preserve"> </v>
      </c>
      <c r="E626" s="130" t="str">
        <f>IF(OR(F625='депозитный калькулятор'!$D$8,F625=" ")," ",IF(EOMONTH(F625,0)=F625,1,E625+1))</f>
        <v xml:space="preserve"> </v>
      </c>
      <c r="F626" s="64" t="str">
        <f>IF(F625=" "," ",IF(F625='депозитный калькулятор'!$D$8," ",F625+1))</f>
        <v xml:space="preserve"> </v>
      </c>
      <c r="G626" s="145" t="str">
        <f xml:space="preserve"> IF(F626&gt;'депозитный калькулятор'!$D$8," ",IF('депозитный калькулятор'!$G$13="есть",IF('депозитный калькулятор'!$G$14="есть",G625+IF(I625=" ",0,I625)-J626-K626+L626+M626-N626,G625+IF(I625=" ",0,I625)-J626-K626+M626-N626),IF('депозитный калькулятор'!$G$14="есть",G625-J626-K626+L626+M626-N626,G625-J626-K626+M626-N626)))</f>
        <v xml:space="preserve"> </v>
      </c>
      <c r="H626" s="133" t="str">
        <f>IF(F626&gt;'депозитный калькулятор'!$D$8," ",IF(AND(OR('депозитный калькулятор'!$G$7="30/365",'депозитный калькулятор'!$G$7="30/360"),AND(MONTH(F626)=2,EOMONTH(F626,0)=F626)),IF(DAY(F626)=28,3*G626*'депозитный калькулятор'!$G$8,2*G626*'депозитный калькулятор'!$G$8),IF(AND(OR('депозитный калькулятор'!$G$7="30/365",'депозитный калькулятор'!$G$7="30/360"),DAY(F626)=31)," ",IF(AND('депозитный калькулятор'!$G$7="факт/факт",MOD(YEAR(F626),4)=0),G626*'депозитный калькулятор'!$D$11/366,G626*'депозитный калькулятор'!$G$8))))</f>
        <v xml:space="preserve"> </v>
      </c>
      <c r="I626" s="134" t="str">
        <f ca="1">IF(F626=" "," ",IF('депозитный калькулятор'!$G$10="ежедневное",H626,IF(AND('депозитный калькулятор'!$G$10="еженедельное",WEEKDAY(F626,2)=7),SUM(OFFSET(H626,-6,0):H626),IF(AND('депозитный калькулятор'!$G$10="еженедельное",F626='депозитный калькулятор'!$D$8),SUM($H$23:H626)-SUM($I$23:I625),IF(AND('депозитный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недели",WEEKDAY(F626,2)=7),MIN(OFFSET(H626,-6,0):H626)*(COUNTIF(OFFSET(H626,-6,0):H626,"&gt;0")+SUMIF(OFFSET(A626,-WEEKDAY(F626,2),0):A626,"=2",OFFSET(A626,-WEEKDAY(F626,2),0):A626)),IF(AND('депозитный калькулятор'!$G$10="еженедельное, на минимальную сумму зафиксированную в течение недели",F626='депозитный калькулятор'!$D$8,WEEKDAY(F626,2)&lt;&gt;7),MIN(OFFSET(H626,-WEEKDAY(F626,2),0):H626)*(COUNTIF(OFFSET(H626,-WEEKDAY(F626,2)+1,0):H626,"&gt;0")+SUM(OFFSET(A626,-WEEKDAY(F626,2),0):A626)),IF(AND('депозитный калькулятор'!$G$10="ежемесячное (в конце месяца)",F626='депозитный калькулятор'!$D$8,EOMONTH(F626,0)&lt;&gt;F626),IF('депозитный калькулятор'!$F$1=1,$H$24,SUM($H$23:H626)-SUM($I$23:I625)),IF(AND('депозитный калькулятор'!$G$10="ежемесячное (в конце месяца)",EOMONTH(F626,0)=F626),SUM($H$23:H626)-SUM($I$23:I625),IF(AND('депозитный калькулятор'!$G$10="ежемесячное (по дням открытия вклада)",F626='депозитный калькулятор'!$D$8,DAY('депозитный калькулятор'!$D$7)&lt;&gt;DAY(F626)),IF('депозитный калькулятор'!$F$1=1,$H$24,SUM($H$23:H626)-SUM($I$23:I625)),IF(AND('депозитный калькулятор'!$G$10="ежемесячное (по дням открытия вклада)",DAY('депозитный калькулятор'!$D$7)=DAY(F626)),SUM($H$23:H626)-SUM($I$23:I625),IF(AND('депозитный калькулятор'!$G$10="ежемесячное, на минимальную сумму зафиксированную в течение месяца",F626='депозитный калькулятор'!$D$8,EOMONTH(F626,0)&lt;&gt;F626),IF('депозитный калькулятор'!$F$1=1,$H$24,IF(AND(OR('депозитный калькулятор'!$G$7="30/365",'депозитный калькулятор'!$G$7="30/360"),DAY(F626)=31),0,MIN(OFFSET(H626,-E626+1,0):H626)*(E626+SUMIF(OFFSET(A626,-E626+1,0):A626,"=2",OFFSET(A626,-E626+1,0):A626)))),IF(AND('депозитный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калькулятор'!$G$7="30/360"),DAY(EOMONTH(F626,0))=31),EOMONTH(F626,0)-1=F626,EOMONTH(F626,0)=F626)),IF(IF(AND(OR('депозитный калькулятор'!$G$7="30/365",'депозитный калькулятор'!$G$7="30/360"),DAY(EOMONTH($F$23,0))=31),F626=EOMONTH($F$23,0)-1,F626=EOMONTH($F$23,0)),MIN(OFFSET(H626,-(DAY(F626)-DAY($F$23)),0):H626)*E626,MIN(OFFSET(H626,-(DAY(F626)-1),0):H626)*IF(AND(OR('депозитный калькулятор'!$G$7="30/365",'депозитный калькулятор'!$G$7="30/360"),DAY(F626)&lt;30),30,DAY(F626))),IF(AND('депозитный калькулятор'!$G$10="ежемесячное, на средний остаток в течение месяца, при условии что остаток больше чем ограничение",F626='депозитный калькулятор'!$D$8,EOMONTH(F626,0)&lt;&gt;F626),IF('депозитный калькулятор'!$F$1=1,$H$24,SUM(OFFSET(Q626,-E626+1,0):Q626)),IF(AND('депозитный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калькулятор'!$G$7="30/360"),DAY(EOMONTH(F626,0))=31),EOMONTH(F626,0)-1=F626,EOMONTH(F626,0)=F626)),IF(IF(AND(OR('депозитный калькулятор'!$G$7="30/365",'депозитный калькулятор'!$G$7="30/360"),DAY(EOMONTH($F$24,0))=31),F626=EOMONTH($F$24,0)-1,F626=EOMONTH($F$24,0)),SUM(OFFSET(Q626,-E626+1,0):Q626),SUM(OFFSET(Q626,-E626+1,0):Q626)),IF('депозитный калькулятор'!$G$10="ежеквартальное",IF(F626&gt;'депозитный калькулятор'!$D$8," ",IF(AND(EOMONTH(F626,0)=F626,OR(MONTH(F626)=3,MONTH(F626)=6,MONTH(F626)=9,MONTH(F626)=12)),IF(EDATE(F626,-3)&lt;'депозитный калькулятор'!$D$7,SUM($H$23:H626),IF(MOD(YEAR(F626),4)=0,IF(AND(EOMONTH(F626,0)=F626,OR(MONTH(F626)=3,MONTH(F626)=6)),SUM(OFFSET(H626,-90,0):H626),IF(AND(EOMONTH(F626,0)=F626,OR(MONTH(F626)=9,MONTH(F626)=12)),SUM(OFFSET(H626,-91,0):H626))),IF(AND(EOMONTH(F626,0)=F626,MONTH(F626)=3),SUM(OFFSET(H626,-89,0):H626),IF(AND(EOMONTH(F626,0)=F626,MONTH(F626)=6),SUM(OFFSET(H626,-90,0):H626),IF(AND(EOMONTH(F626,0)=F626,OR(MONTH(F626)=9,MONTH(F626)=12)),SUM(OFFSET(H626,-91,0):H626)))))),IF(F626='депозитный калькулятор'!$D$8,SUM($H$23:H626)-SUM($I$23:I625),0))),IF('депозитный калькулятор'!$G$10="ежегодное",IF(F626&gt;'депозитный калькулятор'!$D$8," ",IF(F626='депозитный калькулятор'!$D$8,SUM($H$23:H626)-SUM($I$23:I625),IF(AND(EOMONTH(F626,0)=F626,MONTH(F626)=12),IF(MOD(YEAR(F625),4)=0,IF(F626-'депозитный калькулятор'!$D$7&lt;366,SUM($H$23:H626),SUM(OFFSET(H626,-365,0):H626)),IF(F626-'депозитный калькулятор'!$D$7&lt;365,SUM($H$23:H626),SUM(OFFSET(H626,-364,0):H626))),0))),IF(AND('депозитный калькулятор'!$G$10="в конце срока",'депозитный калькулятор'!$D$8=F626),SUM($H$23:H626),0))))))))))))))))))</f>
        <v xml:space="preserve"> </v>
      </c>
      <c r="J626" s="59" t="str">
        <f>IF(F626&gt;'депозитный калькулятор'!$D$8," ",IF('депозитный калькулятор'!$G$16="нет",0,IF(AND('депозитный калькулятор'!$G$17="разовая (в конце срока)",F626='депозитный калькулятор'!$D$8),'депозитный калькулятор'!$G$18,IF(AND('депозитный калькулятор'!$G$17="ежемесячная",EOMONTH(F625,0)=F625),'депозитный калькулятор'!$G$18,IF(AND('депозитный калькулятор'!$G$17="ежегодная",DAY(F625)=31,MONTH(F625)=12),'депозитный калькулятор'!$G$18,IF(AND('депозитный калькулятор'!$G$17="ежемесячная в зависимости от остатка",EOMONTH(F625,0)=F625,P625&gt;0),'депозитный калькулятор'!$G$18,IF(AND('депозитный калькулятор'!$G$17="ежегодная в зависимости от остатка",DAY(F625)=31,MONTH(F625)=12,P625&gt;0),'депозитный калькулятор'!$G$18,0)))))))</f>
        <v xml:space="preserve"> </v>
      </c>
      <c r="K626" s="135" t="str">
        <f>IF($F626=" "," ",IFERROR(VLOOKUP($F626,'депозитный калькулятор'!$B$26:$F$70,2,0),0))</f>
        <v xml:space="preserve"> </v>
      </c>
      <c r="L626" s="135" t="str">
        <f>IF($F626=" "," ",IFERROR(VLOOKUP($F626,'депозитный калькулятор'!$B$26:$F$70,3,0),0))</f>
        <v xml:space="preserve"> </v>
      </c>
      <c r="M626" s="135" t="str">
        <f>IF($F626=" "," ",IFERROR(VLOOKUP($F626,'депозитный калькулятор'!$B$26:$F$70,4,0),0))</f>
        <v xml:space="preserve"> </v>
      </c>
      <c r="N626" s="135" t="str">
        <f>IF($F626=" "," ",IFERROR(VLOOKUP($F626,'депозитный калькулятор'!$B$26:$F$70,5,0),0))</f>
        <v xml:space="preserve"> </v>
      </c>
      <c r="O626" s="146" t="str">
        <f>IF(F626&gt;'депозитный калькулятор'!$D$8," ",IF(F626='депозитный калькулятор'!$D$8,IF(AND($F$24='депозитный калькулятор'!$D$8,'депозитный калькулятор'!$G$13="нет"),-G626-IF(I626=" ",0,I626)-IF(AND(OR('депозитный калькулятор'!$G$7="30/365",'депозитный калькулятор'!$G$7="30/360"),'депозитный калькулятор'!$G$10="в начале срока"),I625,0)-L626+M626-N626,-G626-IF(I626=" ",0,I626)-L626+M626-N626),IF('депозитный калькулятор'!$G$13="есть",M626-N626+IF('депозитный калькулятор'!$G$14="есть",0,-L626),-IF(I626=" ",0,I626)-IF(AND(OR('депозитный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срока"),I625,0)+M626-N626+IF('депозитный калькулятор'!$G$14="есть",0,-L626))))</f>
        <v xml:space="preserve"> </v>
      </c>
      <c r="P626" s="147" t="str">
        <f>IF(F626&gt;'депозитный калькулятор'!$D$8," ",IF(EOMONTH(F625,0)=F625,0,IF(G626&gt;='депозитный калькулятор'!$G$19,P625,P625+1)))</f>
        <v xml:space="preserve"> </v>
      </c>
      <c r="Q626" s="138" t="str">
        <f>IF(F626=" "," ",IF(AND(OR('депозитный калькулятор'!$G$7="30/365",'депозитный калькулятор'!$G$7="30/360"),AND(MONTH(F626)=2,EOMONTH(F626,0)=F626)),IF(DAY(F626)=28,3,2),1)*IF(G626&gt;='депозитный калькулятор'!$G$11,IF(AND('депозитный калькулятор'!$G$7="факт/факт",MOD(YEAR(F626),4)=0),G626*'депозитный калькулятор'!$D$11/366,G626*'депозитный калькулятор'!$G$8),0))</f>
        <v xml:space="preserve"> </v>
      </c>
      <c r="R626" s="158"/>
      <c r="S626" s="62" t="str">
        <f t="shared" ca="1" si="47"/>
        <v xml:space="preserve"> </v>
      </c>
      <c r="T626" s="149" t="str">
        <f ca="1">IF(S626=" "," ",IF('депозитный калькулятор'!$G$7="30/360",DAYS360(U625,IF(DAY(U626)=31,U626-1,U626))+IF(AND(MONTH(U626)=2,U626=EOMONTH(U626,0)),30-DAY(EOMONTH(U626,0)))+T625,VLOOKUP(S626,$C$22:$F$1023,2,0)))</f>
        <v xml:space="preserve"> </v>
      </c>
      <c r="U626" s="64" t="str">
        <f t="shared" ca="1" si="45"/>
        <v xml:space="preserve"> </v>
      </c>
      <c r="V626" s="150" t="str">
        <f t="shared" ca="1" si="48"/>
        <v xml:space="preserve"> </v>
      </c>
      <c r="W626" s="62" t="str">
        <f t="shared" ca="1" si="49"/>
        <v xml:space="preserve"> </v>
      </c>
      <c r="X626" s="141" t="str">
        <f ca="1">IF(S626=" "," ",IFERROR(VLOOKUP(U626,$F$23:$N$1023,7)+VLOOKUP(U626,$F$23:$N$1023,9)+IF(AND('депозитный калькулятор'!$G$13="нет",U626&lt;&gt;'депозитный калькулятор'!$D$8),VLOOKUP(U626,$F$23:$N$1023,4),0),0)+IF(U626='депозитный калькулятор'!$D$8,VLOOKUP(U626,$F$23:$N$1023,2)+VLOOKUP(U626,$F$23:$N$1023,4),0))</f>
        <v xml:space="preserve"> </v>
      </c>
      <c r="Y626" s="142" t="str">
        <f ca="1">IF(S626=" "," ",W626/(1+'депозитный калькулятор'!$K$8)^(T626/IF('депозитный калькулятор'!$G$7="30/360",360,365)))</f>
        <v xml:space="preserve"> </v>
      </c>
      <c r="Z626" s="142" t="str">
        <f ca="1">IF(S626=" "," ",X626/(1+'депозитный калькулятор'!$K$8)^(T626/IF('депозитный калькулятор'!$G$7="30/360",360,365)))</f>
        <v xml:space="preserve"> </v>
      </c>
      <c r="AA626" s="151"/>
      <c r="AB626" s="151"/>
      <c r="AC626" s="155"/>
      <c r="AD626" s="155"/>
    </row>
    <row r="627" spans="1:30" s="2" customFormat="1" ht="15.5" x14ac:dyDescent="0.35">
      <c r="A627" s="41" t="str">
        <f>IF(F627=" "," ",IF(OR('депозитный калькулятор'!$G$7="30/365",'депозитный калькулятор'!$G$7="30/360"),IF(AND(MONTH(F627)=2,DAY(F627)=DAY(EOMONTH(F627,0))),30-DAY(EOMONTH(F627,0)),IF(DAY(F627)=31,1," "))," "))</f>
        <v xml:space="preserve"> </v>
      </c>
      <c r="B627" s="130" t="str">
        <f t="shared" si="46"/>
        <v xml:space="preserve"> </v>
      </c>
      <c r="C627" s="130" t="str">
        <f>IF(OR(B627=0,B627=" ")," ",SUM($B$23:B627))</f>
        <v xml:space="preserve"> </v>
      </c>
      <c r="D627" s="62" t="str">
        <f>IF(D626=" "," ",IF(OR(F626='депозитный калькулятор'!$D$8,F626=" ")," ",D626+1))</f>
        <v xml:space="preserve"> </v>
      </c>
      <c r="E627" s="130" t="str">
        <f>IF(OR(F626='депозитный калькулятор'!$D$8,F626=" ")," ",IF(EOMONTH(F626,0)=F626,1,E626+1))</f>
        <v xml:space="preserve"> </v>
      </c>
      <c r="F627" s="64" t="str">
        <f>IF(F626=" "," ",IF(F626='депозитный калькулятор'!$D$8," ",F626+1))</f>
        <v xml:space="preserve"> </v>
      </c>
      <c r="G627" s="145" t="str">
        <f xml:space="preserve"> IF(F627&gt;'депозитный калькулятор'!$D$8," ",IF('депозитный калькулятор'!$G$13="есть",IF('депозитный калькулятор'!$G$14="есть",G626+IF(I626=" ",0,I626)-J627-K627+L627+M627-N627,G626+IF(I626=" ",0,I626)-J627-K627+M627-N627),IF('депозитный калькулятор'!$G$14="есть",G626-J627-K627+L627+M627-N627,G626-J627-K627+M627-N627)))</f>
        <v xml:space="preserve"> </v>
      </c>
      <c r="H627" s="133" t="str">
        <f>IF(F627&gt;'депозитный калькулятор'!$D$8," ",IF(AND(OR('депозитный калькулятор'!$G$7="30/365",'депозитный калькулятор'!$G$7="30/360"),AND(MONTH(F627)=2,EOMONTH(F627,0)=F627)),IF(DAY(F627)=28,3*G627*'депозитный калькулятор'!$G$8,2*G627*'депозитный калькулятор'!$G$8),IF(AND(OR('депозитный калькулятор'!$G$7="30/365",'депозитный калькулятор'!$G$7="30/360"),DAY(F627)=31)," ",IF(AND('депозитный калькулятор'!$G$7="факт/факт",MOD(YEAR(F627),4)=0),G627*'депозитный калькулятор'!$D$11/366,G627*'депозитный калькулятор'!$G$8))))</f>
        <v xml:space="preserve"> </v>
      </c>
      <c r="I627" s="134" t="str">
        <f ca="1">IF(F627=" "," ",IF('депозитный калькулятор'!$G$10="ежедневное",H627,IF(AND('депозитный калькулятор'!$G$10="еженедельное",WEEKDAY(F627,2)=7),SUM(OFFSET(H627,-6,0):H627),IF(AND('депозитный калькулятор'!$G$10="еженедельное",F627='депозитный калькулятор'!$D$8),SUM($H$23:H627)-SUM($I$23:I626),IF(AND('депозитный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недели",WEEKDAY(F627,2)=7),MIN(OFFSET(H627,-6,0):H627)*(COUNTIF(OFFSET(H627,-6,0):H627,"&gt;0")+SUMIF(OFFSET(A627,-WEEKDAY(F627,2),0):A627,"=2",OFFSET(A627,-WEEKDAY(F627,2),0):A627)),IF(AND('депозитный калькулятор'!$G$10="еженедельное, на минимальную сумму зафиксированную в течение недели",F627='депозитный калькулятор'!$D$8,WEEKDAY(F627,2)&lt;&gt;7),MIN(OFFSET(H627,-WEEKDAY(F627,2),0):H627)*(COUNTIF(OFFSET(H627,-WEEKDAY(F627,2)+1,0):H627,"&gt;0")+SUM(OFFSET(A627,-WEEKDAY(F627,2),0):A627)),IF(AND('депозитный калькулятор'!$G$10="ежемесячное (в конце месяца)",F627='депозитный калькулятор'!$D$8,EOMONTH(F627,0)&lt;&gt;F627),IF('депозитный калькулятор'!$F$1=1,$H$24,SUM($H$23:H627)-SUM($I$23:I626)),IF(AND('депозитный калькулятор'!$G$10="ежемесячное (в конце месяца)",EOMONTH(F627,0)=F627),SUM($H$23:H627)-SUM($I$23:I626),IF(AND('депозитный калькулятор'!$G$10="ежемесячное (по дням открытия вклада)",F627='депозитный калькулятор'!$D$8,DAY('депозитный калькулятор'!$D$7)&lt;&gt;DAY(F627)),IF('депозитный калькулятор'!$F$1=1,$H$24,SUM($H$23:H627)-SUM($I$23:I626)),IF(AND('депозитный калькулятор'!$G$10="ежемесячное (по дням открытия вклада)",DAY('депозитный калькулятор'!$D$7)=DAY(F627)),SUM($H$23:H627)-SUM($I$23:I626),IF(AND('депозитный калькулятор'!$G$10="ежемесячное, на минимальную сумму зафиксированную в течение месяца",F627='депозитный калькулятор'!$D$8,EOMONTH(F627,0)&lt;&gt;F627),IF('депозитный калькулятор'!$F$1=1,$H$24,IF(AND(OR('депозитный калькулятор'!$G$7="30/365",'депозитный калькулятор'!$G$7="30/360"),DAY(F627)=31),0,MIN(OFFSET(H627,-E627+1,0):H627)*(E627+SUMIF(OFFSET(A627,-E627+1,0):A627,"=2",OFFSET(A627,-E627+1,0):A627)))),IF(AND('депозитный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калькулятор'!$G$7="30/360"),DAY(EOMONTH(F627,0))=31),EOMONTH(F627,0)-1=F627,EOMONTH(F627,0)=F627)),IF(IF(AND(OR('депозитный калькулятор'!$G$7="30/365",'депозитный калькулятор'!$G$7="30/360"),DAY(EOMONTH($F$23,0))=31),F627=EOMONTH($F$23,0)-1,F627=EOMONTH($F$23,0)),MIN(OFFSET(H627,-(DAY(F627)-DAY($F$23)),0):H627)*E627,MIN(OFFSET(H627,-(DAY(F627)-1),0):H627)*IF(AND(OR('депозитный калькулятор'!$G$7="30/365",'депозитный калькулятор'!$G$7="30/360"),DAY(F627)&lt;30),30,DAY(F627))),IF(AND('депозитный калькулятор'!$G$10="ежемесячное, на средний остаток в течение месяца, при условии что остаток больше чем ограничение",F627='депозитный калькулятор'!$D$8,EOMONTH(F627,0)&lt;&gt;F627),IF('депозитный калькулятор'!$F$1=1,$H$24,SUM(OFFSET(Q627,-E627+1,0):Q627)),IF(AND('депозитный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калькулятор'!$G$7="30/360"),DAY(EOMONTH(F627,0))=31),EOMONTH(F627,0)-1=F627,EOMONTH(F627,0)=F627)),IF(IF(AND(OR('депозитный калькулятор'!$G$7="30/365",'депозитный калькулятор'!$G$7="30/360"),DAY(EOMONTH($F$24,0))=31),F627=EOMONTH($F$24,0)-1,F627=EOMONTH($F$24,0)),SUM(OFFSET(Q627,-E627+1,0):Q627),SUM(OFFSET(Q627,-E627+1,0):Q627)),IF('депозитный калькулятор'!$G$10="ежеквартальное",IF(F627&gt;'депозитный калькулятор'!$D$8," ",IF(AND(EOMONTH(F627,0)=F627,OR(MONTH(F627)=3,MONTH(F627)=6,MONTH(F627)=9,MONTH(F627)=12)),IF(EDATE(F627,-3)&lt;'депозитный калькулятор'!$D$7,SUM($H$23:H627),IF(MOD(YEAR(F627),4)=0,IF(AND(EOMONTH(F627,0)=F627,OR(MONTH(F627)=3,MONTH(F627)=6)),SUM(OFFSET(H627,-90,0):H627),IF(AND(EOMONTH(F627,0)=F627,OR(MONTH(F627)=9,MONTH(F627)=12)),SUM(OFFSET(H627,-91,0):H627))),IF(AND(EOMONTH(F627,0)=F627,MONTH(F627)=3),SUM(OFFSET(H627,-89,0):H627),IF(AND(EOMONTH(F627,0)=F627,MONTH(F627)=6),SUM(OFFSET(H627,-90,0):H627),IF(AND(EOMONTH(F627,0)=F627,OR(MONTH(F627)=9,MONTH(F627)=12)),SUM(OFFSET(H627,-91,0):H627)))))),IF(F627='депозитный калькулятор'!$D$8,SUM($H$23:H627)-SUM($I$23:I626),0))),IF('депозитный калькулятор'!$G$10="ежегодное",IF(F627&gt;'депозитный калькулятор'!$D$8," ",IF(F627='депозитный калькулятор'!$D$8,SUM($H$23:H627)-SUM($I$23:I626),IF(AND(EOMONTH(F627,0)=F627,MONTH(F627)=12),IF(MOD(YEAR(F626),4)=0,IF(F627-'депозитный калькулятор'!$D$7&lt;366,SUM($H$23:H627),SUM(OFFSET(H627,-365,0):H627)),IF(F627-'депозитный калькулятор'!$D$7&lt;365,SUM($H$23:H627),SUM(OFFSET(H627,-364,0):H627))),0))),IF(AND('депозитный калькулятор'!$G$10="в конце срока",'депозитный калькулятор'!$D$8=F627),SUM($H$23:H627),0))))))))))))))))))</f>
        <v xml:space="preserve"> </v>
      </c>
      <c r="J627" s="59" t="str">
        <f>IF(F627&gt;'депозитный калькулятор'!$D$8," ",IF('депозитный калькулятор'!$G$16="нет",0,IF(AND('депозитный калькулятор'!$G$17="разовая (в конце срока)",F627='депозитный калькулятор'!$D$8),'депозитный калькулятор'!$G$18,IF(AND('депозитный калькулятор'!$G$17="ежемесячная",EOMONTH(F626,0)=F626),'депозитный калькулятор'!$G$18,IF(AND('депозитный калькулятор'!$G$17="ежегодная",DAY(F626)=31,MONTH(F626)=12),'депозитный калькулятор'!$G$18,IF(AND('депозитный калькулятор'!$G$17="ежемесячная в зависимости от остатка",EOMONTH(F626,0)=F626,P626&gt;0),'депозитный калькулятор'!$G$18,IF(AND('депозитный калькулятор'!$G$17="ежегодная в зависимости от остатка",DAY(F626)=31,MONTH(F626)=12,P626&gt;0),'депозитный калькулятор'!$G$18,0)))))))</f>
        <v xml:space="preserve"> </v>
      </c>
      <c r="K627" s="135" t="str">
        <f>IF($F627=" "," ",IFERROR(VLOOKUP($F627,'депозитный калькулятор'!$B$26:$F$70,2,0),0))</f>
        <v xml:space="preserve"> </v>
      </c>
      <c r="L627" s="135" t="str">
        <f>IF($F627=" "," ",IFERROR(VLOOKUP($F627,'депозитный калькулятор'!$B$26:$F$70,3,0),0))</f>
        <v xml:space="preserve"> </v>
      </c>
      <c r="M627" s="135" t="str">
        <f>IF($F627=" "," ",IFERROR(VLOOKUP($F627,'депозитный калькулятор'!$B$26:$F$70,4,0),0))</f>
        <v xml:space="preserve"> </v>
      </c>
      <c r="N627" s="135" t="str">
        <f>IF($F627=" "," ",IFERROR(VLOOKUP($F627,'депозитный калькулятор'!$B$26:$F$70,5,0),0))</f>
        <v xml:space="preserve"> </v>
      </c>
      <c r="O627" s="146" t="str">
        <f>IF(F627&gt;'депозитный калькулятор'!$D$8," ",IF(F627='депозитный калькулятор'!$D$8,IF(AND($F$24='депозитный калькулятор'!$D$8,'депозитный калькулятор'!$G$13="нет"),-G627-IF(I627=" ",0,I627)-IF(AND(OR('депозитный калькулятор'!$G$7="30/365",'депозитный калькулятор'!$G$7="30/360"),'депозитный калькулятор'!$G$10="в начале срока"),I626,0)-L627+M627-N627,-G627-IF(I627=" ",0,I627)-L627+M627-N627),IF('депозитный калькулятор'!$G$13="есть",M627-N627+IF('депозитный калькулятор'!$G$14="есть",0,-L627),-IF(I627=" ",0,I627)-IF(AND(OR('депозитный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срока"),I626,0)+M627-N627+IF('депозитный калькулятор'!$G$14="есть",0,-L627))))</f>
        <v xml:space="preserve"> </v>
      </c>
      <c r="P627" s="147" t="str">
        <f>IF(F627&gt;'депозитный калькулятор'!$D$8," ",IF(EOMONTH(F626,0)=F626,0,IF(G627&gt;='депозитный калькулятор'!$G$19,P626,P626+1)))</f>
        <v xml:space="preserve"> </v>
      </c>
      <c r="Q627" s="138" t="str">
        <f>IF(F627=" "," ",IF(AND(OR('депозитный калькулятор'!$G$7="30/365",'депозитный калькулятор'!$G$7="30/360"),AND(MONTH(F627)=2,EOMONTH(F627,0)=F627)),IF(DAY(F627)=28,3,2),1)*IF(G627&gt;='депозитный калькулятор'!$G$11,IF(AND('депозитный калькулятор'!$G$7="факт/факт",MOD(YEAR(F627),4)=0),G627*'депозитный калькулятор'!$D$11/366,G627*'депозитный калькулятор'!$G$8),0))</f>
        <v xml:space="preserve"> </v>
      </c>
      <c r="R627" s="158"/>
      <c r="S627" s="62" t="str">
        <f t="shared" ca="1" si="47"/>
        <v xml:space="preserve"> </v>
      </c>
      <c r="T627" s="149" t="str">
        <f ca="1">IF(S627=" "," ",IF('депозитный калькулятор'!$G$7="30/360",DAYS360(U626,IF(DAY(U627)=31,U627-1,U627))+IF(AND(MONTH(U627)=2,U627=EOMONTH(U627,0)),30-DAY(EOMONTH(U627,0)))+T626,VLOOKUP(S627,$C$22:$F$1023,2,0)))</f>
        <v xml:space="preserve"> </v>
      </c>
      <c r="U627" s="64" t="str">
        <f t="shared" ca="1" si="45"/>
        <v xml:space="preserve"> </v>
      </c>
      <c r="V627" s="150" t="str">
        <f t="shared" ca="1" si="48"/>
        <v xml:space="preserve"> </v>
      </c>
      <c r="W627" s="62" t="str">
        <f t="shared" ca="1" si="49"/>
        <v xml:space="preserve"> </v>
      </c>
      <c r="X627" s="141" t="str">
        <f ca="1">IF(S627=" "," ",IFERROR(VLOOKUP(U627,$F$23:$N$1023,7)+VLOOKUP(U627,$F$23:$N$1023,9)+IF(AND('депозитный калькулятор'!$G$13="нет",U627&lt;&gt;'депозитный калькулятор'!$D$8),VLOOKUP(U627,$F$23:$N$1023,4),0),0)+IF(U627='депозитный калькулятор'!$D$8,VLOOKUP(U627,$F$23:$N$1023,2)+VLOOKUP(U627,$F$23:$N$1023,4),0))</f>
        <v xml:space="preserve"> </v>
      </c>
      <c r="Y627" s="142" t="str">
        <f ca="1">IF(S627=" "," ",W627/(1+'депозитный калькулятор'!$K$8)^(T627/IF('депозитный калькулятор'!$G$7="30/360",360,365)))</f>
        <v xml:space="preserve"> </v>
      </c>
      <c r="Z627" s="142" t="str">
        <f ca="1">IF(S627=" "," ",X627/(1+'депозитный калькулятор'!$K$8)^(T627/IF('депозитный калькулятор'!$G$7="30/360",360,365)))</f>
        <v xml:space="preserve"> </v>
      </c>
      <c r="AA627" s="151"/>
      <c r="AB627" s="151"/>
      <c r="AC627" s="155"/>
      <c r="AD627" s="155"/>
    </row>
    <row r="628" spans="1:30" s="2" customFormat="1" ht="15.5" x14ac:dyDescent="0.35">
      <c r="A628" s="41" t="str">
        <f>IF(F628=" "," ",IF(OR('депозитный калькулятор'!$G$7="30/365",'депозитный калькулятор'!$G$7="30/360"),IF(AND(MONTH(F628)=2,DAY(F628)=DAY(EOMONTH(F628,0))),30-DAY(EOMONTH(F628,0)),IF(DAY(F628)=31,1," "))," "))</f>
        <v xml:space="preserve"> </v>
      </c>
      <c r="B628" s="130" t="str">
        <f t="shared" si="46"/>
        <v xml:space="preserve"> </v>
      </c>
      <c r="C628" s="130" t="str">
        <f>IF(OR(B628=0,B628=" ")," ",SUM($B$23:B628))</f>
        <v xml:space="preserve"> </v>
      </c>
      <c r="D628" s="62" t="str">
        <f>IF(D627=" "," ",IF(OR(F627='депозитный калькулятор'!$D$8,F627=" ")," ",D627+1))</f>
        <v xml:space="preserve"> </v>
      </c>
      <c r="E628" s="130" t="str">
        <f>IF(OR(F627='депозитный калькулятор'!$D$8,F627=" ")," ",IF(EOMONTH(F627,0)=F627,1,E627+1))</f>
        <v xml:space="preserve"> </v>
      </c>
      <c r="F628" s="64" t="str">
        <f>IF(F627=" "," ",IF(F627='депозитный калькулятор'!$D$8," ",F627+1))</f>
        <v xml:space="preserve"> </v>
      </c>
      <c r="G628" s="145" t="str">
        <f xml:space="preserve"> IF(F628&gt;'депозитный калькулятор'!$D$8," ",IF('депозитный калькулятор'!$G$13="есть",IF('депозитный калькулятор'!$G$14="есть",G627+IF(I627=" ",0,I627)-J628-K628+L628+M628-N628,G627+IF(I627=" ",0,I627)-J628-K628+M628-N628),IF('депозитный калькулятор'!$G$14="есть",G627-J628-K628+L628+M628-N628,G627-J628-K628+M628-N628)))</f>
        <v xml:space="preserve"> </v>
      </c>
      <c r="H628" s="133" t="str">
        <f>IF(F628&gt;'депозитный калькулятор'!$D$8," ",IF(AND(OR('депозитный калькулятор'!$G$7="30/365",'депозитный калькулятор'!$G$7="30/360"),AND(MONTH(F628)=2,EOMONTH(F628,0)=F628)),IF(DAY(F628)=28,3*G628*'депозитный калькулятор'!$G$8,2*G628*'депозитный калькулятор'!$G$8),IF(AND(OR('депозитный калькулятор'!$G$7="30/365",'депозитный калькулятор'!$G$7="30/360"),DAY(F628)=31)," ",IF(AND('депозитный калькулятор'!$G$7="факт/факт",MOD(YEAR(F628),4)=0),G628*'депозитный калькулятор'!$D$11/366,G628*'депозитный калькулятор'!$G$8))))</f>
        <v xml:space="preserve"> </v>
      </c>
      <c r="I628" s="134" t="str">
        <f ca="1">IF(F628=" "," ",IF('депозитный калькулятор'!$G$10="ежедневное",H628,IF(AND('депозитный калькулятор'!$G$10="еженедельное",WEEKDAY(F628,2)=7),SUM(OFFSET(H628,-6,0):H628),IF(AND('депозитный калькулятор'!$G$10="еженедельное",F628='депозитный калькулятор'!$D$8),SUM($H$23:H628)-SUM($I$23:I627),IF(AND('депозитный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недели",WEEKDAY(F628,2)=7),MIN(OFFSET(H628,-6,0):H628)*(COUNTIF(OFFSET(H628,-6,0):H628,"&gt;0")+SUMIF(OFFSET(A628,-WEEKDAY(F628,2),0):A628,"=2",OFFSET(A628,-WEEKDAY(F628,2),0):A628)),IF(AND('депозитный калькулятор'!$G$10="еженедельное, на минимальную сумму зафиксированную в течение недели",F628='депозитный калькулятор'!$D$8,WEEKDAY(F628,2)&lt;&gt;7),MIN(OFFSET(H628,-WEEKDAY(F628,2),0):H628)*(COUNTIF(OFFSET(H628,-WEEKDAY(F628,2)+1,0):H628,"&gt;0")+SUM(OFFSET(A628,-WEEKDAY(F628,2),0):A628)),IF(AND('депозитный калькулятор'!$G$10="ежемесячное (в конце месяца)",F628='депозитный калькулятор'!$D$8,EOMONTH(F628,0)&lt;&gt;F628),IF('депозитный калькулятор'!$F$1=1,$H$24,SUM($H$23:H628)-SUM($I$23:I627)),IF(AND('депозитный калькулятор'!$G$10="ежемесячное (в конце месяца)",EOMONTH(F628,0)=F628),SUM($H$23:H628)-SUM($I$23:I627),IF(AND('депозитный калькулятор'!$G$10="ежемесячное (по дням открытия вклада)",F628='депозитный калькулятор'!$D$8,DAY('депозитный калькулятор'!$D$7)&lt;&gt;DAY(F628)),IF('депозитный калькулятор'!$F$1=1,$H$24,SUM($H$23:H628)-SUM($I$23:I627)),IF(AND('депозитный калькулятор'!$G$10="ежемесячное (по дням открытия вклада)",DAY('депозитный калькулятор'!$D$7)=DAY(F628)),SUM($H$23:H628)-SUM($I$23:I627),IF(AND('депозитный калькулятор'!$G$10="ежемесячное, на минимальную сумму зафиксированную в течение месяца",F628='депозитный калькулятор'!$D$8,EOMONTH(F628,0)&lt;&gt;F628),IF('депозитный калькулятор'!$F$1=1,$H$24,IF(AND(OR('депозитный калькулятор'!$G$7="30/365",'депозитный калькулятор'!$G$7="30/360"),DAY(F628)=31),0,MIN(OFFSET(H628,-E628+1,0):H628)*(E628+SUMIF(OFFSET(A628,-E628+1,0):A628,"=2",OFFSET(A628,-E628+1,0):A628)))),IF(AND('депозитный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калькулятор'!$G$7="30/360"),DAY(EOMONTH(F628,0))=31),EOMONTH(F628,0)-1=F628,EOMONTH(F628,0)=F628)),IF(IF(AND(OR('депозитный калькулятор'!$G$7="30/365",'депозитный калькулятор'!$G$7="30/360"),DAY(EOMONTH($F$23,0))=31),F628=EOMONTH($F$23,0)-1,F628=EOMONTH($F$23,0)),MIN(OFFSET(H628,-(DAY(F628)-DAY($F$23)),0):H628)*E628,MIN(OFFSET(H628,-(DAY(F628)-1),0):H628)*IF(AND(OR('депозитный калькулятор'!$G$7="30/365",'депозитный калькулятор'!$G$7="30/360"),DAY(F628)&lt;30),30,DAY(F628))),IF(AND('депозитный калькулятор'!$G$10="ежемесячное, на средний остаток в течение месяца, при условии что остаток больше чем ограничение",F628='депозитный калькулятор'!$D$8,EOMONTH(F628,0)&lt;&gt;F628),IF('депозитный калькулятор'!$F$1=1,$H$24,SUM(OFFSET(Q628,-E628+1,0):Q628)),IF(AND('депозитный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калькулятор'!$G$7="30/360"),DAY(EOMONTH(F628,0))=31),EOMONTH(F628,0)-1=F628,EOMONTH(F628,0)=F628)),IF(IF(AND(OR('депозитный калькулятор'!$G$7="30/365",'депозитный калькулятор'!$G$7="30/360"),DAY(EOMONTH($F$24,0))=31),F628=EOMONTH($F$24,0)-1,F628=EOMONTH($F$24,0)),SUM(OFFSET(Q628,-E628+1,0):Q628),SUM(OFFSET(Q628,-E628+1,0):Q628)),IF('депозитный калькулятор'!$G$10="ежеквартальное",IF(F628&gt;'депозитный калькулятор'!$D$8," ",IF(AND(EOMONTH(F628,0)=F628,OR(MONTH(F628)=3,MONTH(F628)=6,MONTH(F628)=9,MONTH(F628)=12)),IF(EDATE(F628,-3)&lt;'депозитный калькулятор'!$D$7,SUM($H$23:H628),IF(MOD(YEAR(F628),4)=0,IF(AND(EOMONTH(F628,0)=F628,OR(MONTH(F628)=3,MONTH(F628)=6)),SUM(OFFSET(H628,-90,0):H628),IF(AND(EOMONTH(F628,0)=F628,OR(MONTH(F628)=9,MONTH(F628)=12)),SUM(OFFSET(H628,-91,0):H628))),IF(AND(EOMONTH(F628,0)=F628,MONTH(F628)=3),SUM(OFFSET(H628,-89,0):H628),IF(AND(EOMONTH(F628,0)=F628,MONTH(F628)=6),SUM(OFFSET(H628,-90,0):H628),IF(AND(EOMONTH(F628,0)=F628,OR(MONTH(F628)=9,MONTH(F628)=12)),SUM(OFFSET(H628,-91,0):H628)))))),IF(F628='депозитный калькулятор'!$D$8,SUM($H$23:H628)-SUM($I$23:I627),0))),IF('депозитный калькулятор'!$G$10="ежегодное",IF(F628&gt;'депозитный калькулятор'!$D$8," ",IF(F628='депозитный калькулятор'!$D$8,SUM($H$23:H628)-SUM($I$23:I627),IF(AND(EOMONTH(F628,0)=F628,MONTH(F628)=12),IF(MOD(YEAR(F627),4)=0,IF(F628-'депозитный калькулятор'!$D$7&lt;366,SUM($H$23:H628),SUM(OFFSET(H628,-365,0):H628)),IF(F628-'депозитный калькулятор'!$D$7&lt;365,SUM($H$23:H628),SUM(OFFSET(H628,-364,0):H628))),0))),IF(AND('депозитный калькулятор'!$G$10="в конце срока",'депозитный калькулятор'!$D$8=F628),SUM($H$23:H628),0))))))))))))))))))</f>
        <v xml:space="preserve"> </v>
      </c>
      <c r="J628" s="59" t="str">
        <f>IF(F628&gt;'депозитный калькулятор'!$D$8," ",IF('депозитный калькулятор'!$G$16="нет",0,IF(AND('депозитный калькулятор'!$G$17="разовая (в конце срока)",F628='депозитный калькулятор'!$D$8),'депозитный калькулятор'!$G$18,IF(AND('депозитный калькулятор'!$G$17="ежемесячная",EOMONTH(F627,0)=F627),'депозитный калькулятор'!$G$18,IF(AND('депозитный калькулятор'!$G$17="ежегодная",DAY(F627)=31,MONTH(F627)=12),'депозитный калькулятор'!$G$18,IF(AND('депозитный калькулятор'!$G$17="ежемесячная в зависимости от остатка",EOMONTH(F627,0)=F627,P627&gt;0),'депозитный калькулятор'!$G$18,IF(AND('депозитный калькулятор'!$G$17="ежегодная в зависимости от остатка",DAY(F627)=31,MONTH(F627)=12,P627&gt;0),'депозитный калькулятор'!$G$18,0)))))))</f>
        <v xml:space="preserve"> </v>
      </c>
      <c r="K628" s="135" t="str">
        <f>IF($F628=" "," ",IFERROR(VLOOKUP($F628,'депозитный калькулятор'!$B$26:$F$70,2,0),0))</f>
        <v xml:space="preserve"> </v>
      </c>
      <c r="L628" s="135" t="str">
        <f>IF($F628=" "," ",IFERROR(VLOOKUP($F628,'депозитный калькулятор'!$B$26:$F$70,3,0),0))</f>
        <v xml:space="preserve"> </v>
      </c>
      <c r="M628" s="135" t="str">
        <f>IF($F628=" "," ",IFERROR(VLOOKUP($F628,'депозитный калькулятор'!$B$26:$F$70,4,0),0))</f>
        <v xml:space="preserve"> </v>
      </c>
      <c r="N628" s="135" t="str">
        <f>IF($F628=" "," ",IFERROR(VLOOKUP($F628,'депозитный калькулятор'!$B$26:$F$70,5,0),0))</f>
        <v xml:space="preserve"> </v>
      </c>
      <c r="O628" s="146" t="str">
        <f>IF(F628&gt;'депозитный калькулятор'!$D$8," ",IF(F628='депозитный калькулятор'!$D$8,IF(AND($F$24='депозитный калькулятор'!$D$8,'депозитный калькулятор'!$G$13="нет"),-G628-IF(I628=" ",0,I628)-IF(AND(OR('депозитный калькулятор'!$G$7="30/365",'депозитный калькулятор'!$G$7="30/360"),'депозитный калькулятор'!$G$10="в начале срока"),I627,0)-L628+M628-N628,-G628-IF(I628=" ",0,I628)-L628+M628-N628),IF('депозитный калькулятор'!$G$13="есть",M628-N628+IF('депозитный калькулятор'!$G$14="есть",0,-L628),-IF(I628=" ",0,I628)-IF(AND(OR('депозитный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срока"),I627,0)+M628-N628+IF('депозитный калькулятор'!$G$14="есть",0,-L628))))</f>
        <v xml:space="preserve"> </v>
      </c>
      <c r="P628" s="147" t="str">
        <f>IF(F628&gt;'депозитный калькулятор'!$D$8," ",IF(EOMONTH(F627,0)=F627,0,IF(G628&gt;='депозитный калькулятор'!$G$19,P627,P627+1)))</f>
        <v xml:space="preserve"> </v>
      </c>
      <c r="Q628" s="138" t="str">
        <f>IF(F628=" "," ",IF(AND(OR('депозитный калькулятор'!$G$7="30/365",'депозитный калькулятор'!$G$7="30/360"),AND(MONTH(F628)=2,EOMONTH(F628,0)=F628)),IF(DAY(F628)=28,3,2),1)*IF(G628&gt;='депозитный калькулятор'!$G$11,IF(AND('депозитный калькулятор'!$G$7="факт/факт",MOD(YEAR(F628),4)=0),G628*'депозитный калькулятор'!$D$11/366,G628*'депозитный калькулятор'!$G$8),0))</f>
        <v xml:space="preserve"> </v>
      </c>
      <c r="R628" s="158"/>
      <c r="S628" s="62" t="str">
        <f t="shared" ca="1" si="47"/>
        <v xml:space="preserve"> </v>
      </c>
      <c r="T628" s="149" t="str">
        <f ca="1">IF(S628=" "," ",IF('депозитный калькулятор'!$G$7="30/360",DAYS360(U627,IF(DAY(U628)=31,U628-1,U628))+IF(AND(MONTH(U628)=2,U628=EOMONTH(U628,0)),30-DAY(EOMONTH(U628,0)))+T627,VLOOKUP(S628,$C$22:$F$1023,2,0)))</f>
        <v xml:space="preserve"> </v>
      </c>
      <c r="U628" s="64" t="str">
        <f t="shared" ca="1" si="45"/>
        <v xml:space="preserve"> </v>
      </c>
      <c r="V628" s="150" t="str">
        <f t="shared" ca="1" si="48"/>
        <v xml:space="preserve"> </v>
      </c>
      <c r="W628" s="62" t="str">
        <f t="shared" ca="1" si="49"/>
        <v xml:space="preserve"> </v>
      </c>
      <c r="X628" s="141" t="str">
        <f ca="1">IF(S628=" "," ",IFERROR(VLOOKUP(U628,$F$23:$N$1023,7)+VLOOKUP(U628,$F$23:$N$1023,9)+IF(AND('депозитный калькулятор'!$G$13="нет",U628&lt;&gt;'депозитный калькулятор'!$D$8),VLOOKUP(U628,$F$23:$N$1023,4),0),0)+IF(U628='депозитный калькулятор'!$D$8,VLOOKUP(U628,$F$23:$N$1023,2)+VLOOKUP(U628,$F$23:$N$1023,4),0))</f>
        <v xml:space="preserve"> </v>
      </c>
      <c r="Y628" s="142" t="str">
        <f ca="1">IF(S628=" "," ",W628/(1+'депозитный калькулятор'!$K$8)^(T628/IF('депозитный калькулятор'!$G$7="30/360",360,365)))</f>
        <v xml:space="preserve"> </v>
      </c>
      <c r="Z628" s="142" t="str">
        <f ca="1">IF(S628=" "," ",X628/(1+'депозитный калькулятор'!$K$8)^(T628/IF('депозитный калькулятор'!$G$7="30/360",360,365)))</f>
        <v xml:space="preserve"> </v>
      </c>
      <c r="AA628" s="151"/>
      <c r="AB628" s="151"/>
      <c r="AC628" s="155"/>
      <c r="AD628" s="155"/>
    </row>
    <row r="629" spans="1:30" s="2" customFormat="1" ht="15.5" x14ac:dyDescent="0.35">
      <c r="A629" s="41" t="str">
        <f>IF(F629=" "," ",IF(OR('депозитный калькулятор'!$G$7="30/365",'депозитный калькулятор'!$G$7="30/360"),IF(AND(MONTH(F629)=2,DAY(F629)=DAY(EOMONTH(F629,0))),30-DAY(EOMONTH(F629,0)),IF(DAY(F629)=31,1," "))," "))</f>
        <v xml:space="preserve"> </v>
      </c>
      <c r="B629" s="130" t="str">
        <f t="shared" si="46"/>
        <v xml:space="preserve"> </v>
      </c>
      <c r="C629" s="130" t="str">
        <f>IF(OR(B629=0,B629=" ")," ",SUM($B$23:B629))</f>
        <v xml:space="preserve"> </v>
      </c>
      <c r="D629" s="62" t="str">
        <f>IF(D628=" "," ",IF(OR(F628='депозитный калькулятор'!$D$8,F628=" ")," ",D628+1))</f>
        <v xml:space="preserve"> </v>
      </c>
      <c r="E629" s="130" t="str">
        <f>IF(OR(F628='депозитный калькулятор'!$D$8,F628=" ")," ",IF(EOMONTH(F628,0)=F628,1,E628+1))</f>
        <v xml:space="preserve"> </v>
      </c>
      <c r="F629" s="64" t="str">
        <f>IF(F628=" "," ",IF(F628='депозитный калькулятор'!$D$8," ",F628+1))</f>
        <v xml:space="preserve"> </v>
      </c>
      <c r="G629" s="145" t="str">
        <f xml:space="preserve"> IF(F629&gt;'депозитный калькулятор'!$D$8," ",IF('депозитный калькулятор'!$G$13="есть",IF('депозитный калькулятор'!$G$14="есть",G628+IF(I628=" ",0,I628)-J629-K629+L629+M629-N629,G628+IF(I628=" ",0,I628)-J629-K629+M629-N629),IF('депозитный калькулятор'!$G$14="есть",G628-J629-K629+L629+M629-N629,G628-J629-K629+M629-N629)))</f>
        <v xml:space="preserve"> </v>
      </c>
      <c r="H629" s="133" t="str">
        <f>IF(F629&gt;'депозитный калькулятор'!$D$8," ",IF(AND(OR('депозитный калькулятор'!$G$7="30/365",'депозитный калькулятор'!$G$7="30/360"),AND(MONTH(F629)=2,EOMONTH(F629,0)=F629)),IF(DAY(F629)=28,3*G629*'депозитный калькулятор'!$G$8,2*G629*'депозитный калькулятор'!$G$8),IF(AND(OR('депозитный калькулятор'!$G$7="30/365",'депозитный калькулятор'!$G$7="30/360"),DAY(F629)=31)," ",IF(AND('депозитный калькулятор'!$G$7="факт/факт",MOD(YEAR(F629),4)=0),G629*'депозитный калькулятор'!$D$11/366,G629*'депозитный калькулятор'!$G$8))))</f>
        <v xml:space="preserve"> </v>
      </c>
      <c r="I629" s="134" t="str">
        <f ca="1">IF(F629=" "," ",IF('депозитный калькулятор'!$G$10="ежедневное",H629,IF(AND('депозитный калькулятор'!$G$10="еженедельное",WEEKDAY(F629,2)=7),SUM(OFFSET(H629,-6,0):H629),IF(AND('депозитный калькулятор'!$G$10="еженедельное",F629='депозитный калькулятор'!$D$8),SUM($H$23:H629)-SUM($I$23:I628),IF(AND('депозитный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недели",WEEKDAY(F629,2)=7),MIN(OFFSET(H629,-6,0):H629)*(COUNTIF(OFFSET(H629,-6,0):H629,"&gt;0")+SUMIF(OFFSET(A629,-WEEKDAY(F629,2),0):A629,"=2",OFFSET(A629,-WEEKDAY(F629,2),0):A629)),IF(AND('депозитный калькулятор'!$G$10="еженедельное, на минимальную сумму зафиксированную в течение недели",F629='депозитный калькулятор'!$D$8,WEEKDAY(F629,2)&lt;&gt;7),MIN(OFFSET(H629,-WEEKDAY(F629,2),0):H629)*(COUNTIF(OFFSET(H629,-WEEKDAY(F629,2)+1,0):H629,"&gt;0")+SUM(OFFSET(A629,-WEEKDAY(F629,2),0):A629)),IF(AND('депозитный калькулятор'!$G$10="ежемесячное (в конце месяца)",F629='депозитный калькулятор'!$D$8,EOMONTH(F629,0)&lt;&gt;F629),IF('депозитный калькулятор'!$F$1=1,$H$24,SUM($H$23:H629)-SUM($I$23:I628)),IF(AND('депозитный калькулятор'!$G$10="ежемесячное (в конце месяца)",EOMONTH(F629,0)=F629),SUM($H$23:H629)-SUM($I$23:I628),IF(AND('депозитный калькулятор'!$G$10="ежемесячное (по дням открытия вклада)",F629='депозитный калькулятор'!$D$8,DAY('депозитный калькулятор'!$D$7)&lt;&gt;DAY(F629)),IF('депозитный калькулятор'!$F$1=1,$H$24,SUM($H$23:H629)-SUM($I$23:I628)),IF(AND('депозитный калькулятор'!$G$10="ежемесячное (по дням открытия вклада)",DAY('депозитный калькулятор'!$D$7)=DAY(F629)),SUM($H$23:H629)-SUM($I$23:I628),IF(AND('депозитный калькулятор'!$G$10="ежемесячное, на минимальную сумму зафиксированную в течение месяца",F629='депозитный калькулятор'!$D$8,EOMONTH(F629,0)&lt;&gt;F629),IF('депозитный калькулятор'!$F$1=1,$H$24,IF(AND(OR('депозитный калькулятор'!$G$7="30/365",'депозитный калькулятор'!$G$7="30/360"),DAY(F629)=31),0,MIN(OFFSET(H629,-E629+1,0):H629)*(E629+SUMIF(OFFSET(A629,-E629+1,0):A629,"=2",OFFSET(A629,-E629+1,0):A629)))),IF(AND('депозитный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калькулятор'!$G$7="30/360"),DAY(EOMONTH(F629,0))=31),EOMONTH(F629,0)-1=F629,EOMONTH(F629,0)=F629)),IF(IF(AND(OR('депозитный калькулятор'!$G$7="30/365",'депозитный калькулятор'!$G$7="30/360"),DAY(EOMONTH($F$23,0))=31),F629=EOMONTH($F$23,0)-1,F629=EOMONTH($F$23,0)),MIN(OFFSET(H629,-(DAY(F629)-DAY($F$23)),0):H629)*E629,MIN(OFFSET(H629,-(DAY(F629)-1),0):H629)*IF(AND(OR('депозитный калькулятор'!$G$7="30/365",'депозитный калькулятор'!$G$7="30/360"),DAY(F629)&lt;30),30,DAY(F629))),IF(AND('депозитный калькулятор'!$G$10="ежемесячное, на средний остаток в течение месяца, при условии что остаток больше чем ограничение",F629='депозитный калькулятор'!$D$8,EOMONTH(F629,0)&lt;&gt;F629),IF('депозитный калькулятор'!$F$1=1,$H$24,SUM(OFFSET(Q629,-E629+1,0):Q629)),IF(AND('депозитный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калькулятор'!$G$7="30/360"),DAY(EOMONTH(F629,0))=31),EOMONTH(F629,0)-1=F629,EOMONTH(F629,0)=F629)),IF(IF(AND(OR('депозитный калькулятор'!$G$7="30/365",'депозитный калькулятор'!$G$7="30/360"),DAY(EOMONTH($F$24,0))=31),F629=EOMONTH($F$24,0)-1,F629=EOMONTH($F$24,0)),SUM(OFFSET(Q629,-E629+1,0):Q629),SUM(OFFSET(Q629,-E629+1,0):Q629)),IF('депозитный калькулятор'!$G$10="ежеквартальное",IF(F629&gt;'депозитный калькулятор'!$D$8," ",IF(AND(EOMONTH(F629,0)=F629,OR(MONTH(F629)=3,MONTH(F629)=6,MONTH(F629)=9,MONTH(F629)=12)),IF(EDATE(F629,-3)&lt;'депозитный калькулятор'!$D$7,SUM($H$23:H629),IF(MOD(YEAR(F629),4)=0,IF(AND(EOMONTH(F629,0)=F629,OR(MONTH(F629)=3,MONTH(F629)=6)),SUM(OFFSET(H629,-90,0):H629),IF(AND(EOMONTH(F629,0)=F629,OR(MONTH(F629)=9,MONTH(F629)=12)),SUM(OFFSET(H629,-91,0):H629))),IF(AND(EOMONTH(F629,0)=F629,MONTH(F629)=3),SUM(OFFSET(H629,-89,0):H629),IF(AND(EOMONTH(F629,0)=F629,MONTH(F629)=6),SUM(OFFSET(H629,-90,0):H629),IF(AND(EOMONTH(F629,0)=F629,OR(MONTH(F629)=9,MONTH(F629)=12)),SUM(OFFSET(H629,-91,0):H629)))))),IF(F629='депозитный калькулятор'!$D$8,SUM($H$23:H629)-SUM($I$23:I628),0))),IF('депозитный калькулятор'!$G$10="ежегодное",IF(F629&gt;'депозитный калькулятор'!$D$8," ",IF(F629='депозитный калькулятор'!$D$8,SUM($H$23:H629)-SUM($I$23:I628),IF(AND(EOMONTH(F629,0)=F629,MONTH(F629)=12),IF(MOD(YEAR(F628),4)=0,IF(F629-'депозитный калькулятор'!$D$7&lt;366,SUM($H$23:H629),SUM(OFFSET(H629,-365,0):H629)),IF(F629-'депозитный калькулятор'!$D$7&lt;365,SUM($H$23:H629),SUM(OFFSET(H629,-364,0):H629))),0))),IF(AND('депозитный калькулятор'!$G$10="в конце срока",'депозитный калькулятор'!$D$8=F629),SUM($H$23:H629),0))))))))))))))))))</f>
        <v xml:space="preserve"> </v>
      </c>
      <c r="J629" s="59" t="str">
        <f>IF(F629&gt;'депозитный калькулятор'!$D$8," ",IF('депозитный калькулятор'!$G$16="нет",0,IF(AND('депозитный калькулятор'!$G$17="разовая (в конце срока)",F629='депозитный калькулятор'!$D$8),'депозитный калькулятор'!$G$18,IF(AND('депозитный калькулятор'!$G$17="ежемесячная",EOMONTH(F628,0)=F628),'депозитный калькулятор'!$G$18,IF(AND('депозитный калькулятор'!$G$17="ежегодная",DAY(F628)=31,MONTH(F628)=12),'депозитный калькулятор'!$G$18,IF(AND('депозитный калькулятор'!$G$17="ежемесячная в зависимости от остатка",EOMONTH(F628,0)=F628,P628&gt;0),'депозитный калькулятор'!$G$18,IF(AND('депозитный калькулятор'!$G$17="ежегодная в зависимости от остатка",DAY(F628)=31,MONTH(F628)=12,P628&gt;0),'депозитный калькулятор'!$G$18,0)))))))</f>
        <v xml:space="preserve"> </v>
      </c>
      <c r="K629" s="135" t="str">
        <f>IF($F629=" "," ",IFERROR(VLOOKUP($F629,'депозитный калькулятор'!$B$26:$F$70,2,0),0))</f>
        <v xml:space="preserve"> </v>
      </c>
      <c r="L629" s="135" t="str">
        <f>IF($F629=" "," ",IFERROR(VLOOKUP($F629,'депозитный калькулятор'!$B$26:$F$70,3,0),0))</f>
        <v xml:space="preserve"> </v>
      </c>
      <c r="M629" s="135" t="str">
        <f>IF($F629=" "," ",IFERROR(VLOOKUP($F629,'депозитный калькулятор'!$B$26:$F$70,4,0),0))</f>
        <v xml:space="preserve"> </v>
      </c>
      <c r="N629" s="135" t="str">
        <f>IF($F629=" "," ",IFERROR(VLOOKUP($F629,'депозитный калькулятор'!$B$26:$F$70,5,0),0))</f>
        <v xml:space="preserve"> </v>
      </c>
      <c r="O629" s="146" t="str">
        <f>IF(F629&gt;'депозитный калькулятор'!$D$8," ",IF(F629='депозитный калькулятор'!$D$8,IF(AND($F$24='депозитный калькулятор'!$D$8,'депозитный калькулятор'!$G$13="нет"),-G629-IF(I629=" ",0,I629)-IF(AND(OR('депозитный калькулятор'!$G$7="30/365",'депозитный калькулятор'!$G$7="30/360"),'депозитный калькулятор'!$G$10="в начале срока"),I628,0)-L629+M629-N629,-G629-IF(I629=" ",0,I629)-L629+M629-N629),IF('депозитный калькулятор'!$G$13="есть",M629-N629+IF('депозитный калькулятор'!$G$14="есть",0,-L629),-IF(I629=" ",0,I629)-IF(AND(OR('депозитный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срока"),I628,0)+M629-N629+IF('депозитный калькулятор'!$G$14="есть",0,-L629))))</f>
        <v xml:space="preserve"> </v>
      </c>
      <c r="P629" s="147" t="str">
        <f>IF(F629&gt;'депозитный калькулятор'!$D$8," ",IF(EOMONTH(F628,0)=F628,0,IF(G629&gt;='депозитный калькулятор'!$G$19,P628,P628+1)))</f>
        <v xml:space="preserve"> </v>
      </c>
      <c r="Q629" s="138" t="str">
        <f>IF(F629=" "," ",IF(AND(OR('депозитный калькулятор'!$G$7="30/365",'депозитный калькулятор'!$G$7="30/360"),AND(MONTH(F629)=2,EOMONTH(F629,0)=F629)),IF(DAY(F629)=28,3,2),1)*IF(G629&gt;='депозитный калькулятор'!$G$11,IF(AND('депозитный калькулятор'!$G$7="факт/факт",MOD(YEAR(F629),4)=0),G629*'депозитный калькулятор'!$D$11/366,G629*'депозитный калькулятор'!$G$8),0))</f>
        <v xml:space="preserve"> </v>
      </c>
      <c r="R629" s="158"/>
      <c r="S629" s="62" t="str">
        <f t="shared" ca="1" si="47"/>
        <v xml:space="preserve"> </v>
      </c>
      <c r="T629" s="149" t="str">
        <f ca="1">IF(S629=" "," ",IF('депозитный калькулятор'!$G$7="30/360",DAYS360(U628,IF(DAY(U629)=31,U629-1,U629))+IF(AND(MONTH(U629)=2,U629=EOMONTH(U629,0)),30-DAY(EOMONTH(U629,0)))+T628,VLOOKUP(S629,$C$22:$F$1023,2,0)))</f>
        <v xml:space="preserve"> </v>
      </c>
      <c r="U629" s="64" t="str">
        <f t="shared" ca="1" si="45"/>
        <v xml:space="preserve"> </v>
      </c>
      <c r="V629" s="150" t="str">
        <f t="shared" ca="1" si="48"/>
        <v xml:space="preserve"> </v>
      </c>
      <c r="W629" s="62" t="str">
        <f t="shared" ca="1" si="49"/>
        <v xml:space="preserve"> </v>
      </c>
      <c r="X629" s="141" t="str">
        <f ca="1">IF(S629=" "," ",IFERROR(VLOOKUP(U629,$F$23:$N$1023,7)+VLOOKUP(U629,$F$23:$N$1023,9)+IF(AND('депозитный калькулятор'!$G$13="нет",U629&lt;&gt;'депозитный калькулятор'!$D$8),VLOOKUP(U629,$F$23:$N$1023,4),0),0)+IF(U629='депозитный калькулятор'!$D$8,VLOOKUP(U629,$F$23:$N$1023,2)+VLOOKUP(U629,$F$23:$N$1023,4),0))</f>
        <v xml:space="preserve"> </v>
      </c>
      <c r="Y629" s="142" t="str">
        <f ca="1">IF(S629=" "," ",W629/(1+'депозитный калькулятор'!$K$8)^(T629/IF('депозитный калькулятор'!$G$7="30/360",360,365)))</f>
        <v xml:space="preserve"> </v>
      </c>
      <c r="Z629" s="142" t="str">
        <f ca="1">IF(S629=" "," ",X629/(1+'депозитный калькулятор'!$K$8)^(T629/IF('депозитный калькулятор'!$G$7="30/360",360,365)))</f>
        <v xml:space="preserve"> </v>
      </c>
      <c r="AA629" s="151"/>
      <c r="AB629" s="151"/>
      <c r="AC629" s="155"/>
      <c r="AD629" s="155"/>
    </row>
    <row r="630" spans="1:30" s="2" customFormat="1" ht="15.5" x14ac:dyDescent="0.35">
      <c r="A630" s="41" t="str">
        <f>IF(F630=" "," ",IF(OR('депозитный калькулятор'!$G$7="30/365",'депозитный калькулятор'!$G$7="30/360"),IF(AND(MONTH(F630)=2,DAY(F630)=DAY(EOMONTH(F630,0))),30-DAY(EOMONTH(F630,0)),IF(DAY(F630)=31,1," "))," "))</f>
        <v xml:space="preserve"> </v>
      </c>
      <c r="B630" s="130" t="str">
        <f t="shared" si="46"/>
        <v xml:space="preserve"> </v>
      </c>
      <c r="C630" s="130" t="str">
        <f>IF(OR(B630=0,B630=" ")," ",SUM($B$23:B630))</f>
        <v xml:space="preserve"> </v>
      </c>
      <c r="D630" s="62" t="str">
        <f>IF(D629=" "," ",IF(OR(F629='депозитный калькулятор'!$D$8,F629=" ")," ",D629+1))</f>
        <v xml:space="preserve"> </v>
      </c>
      <c r="E630" s="130" t="str">
        <f>IF(OR(F629='депозитный калькулятор'!$D$8,F629=" ")," ",IF(EOMONTH(F629,0)=F629,1,E629+1))</f>
        <v xml:space="preserve"> </v>
      </c>
      <c r="F630" s="64" t="str">
        <f>IF(F629=" "," ",IF(F629='депозитный калькулятор'!$D$8," ",F629+1))</f>
        <v xml:space="preserve"> </v>
      </c>
      <c r="G630" s="145" t="str">
        <f xml:space="preserve"> IF(F630&gt;'депозитный калькулятор'!$D$8," ",IF('депозитный калькулятор'!$G$13="есть",IF('депозитный калькулятор'!$G$14="есть",G629+IF(I629=" ",0,I629)-J630-K630+L630+M630-N630,G629+IF(I629=" ",0,I629)-J630-K630+M630-N630),IF('депозитный калькулятор'!$G$14="есть",G629-J630-K630+L630+M630-N630,G629-J630-K630+M630-N630)))</f>
        <v xml:space="preserve"> </v>
      </c>
      <c r="H630" s="133" t="str">
        <f>IF(F630&gt;'депозитный калькулятор'!$D$8," ",IF(AND(OR('депозитный калькулятор'!$G$7="30/365",'депозитный калькулятор'!$G$7="30/360"),AND(MONTH(F630)=2,EOMONTH(F630,0)=F630)),IF(DAY(F630)=28,3*G630*'депозитный калькулятор'!$G$8,2*G630*'депозитный калькулятор'!$G$8),IF(AND(OR('депозитный калькулятор'!$G$7="30/365",'депозитный калькулятор'!$G$7="30/360"),DAY(F630)=31)," ",IF(AND('депозитный калькулятор'!$G$7="факт/факт",MOD(YEAR(F630),4)=0),G630*'депозитный калькулятор'!$D$11/366,G630*'депозитный калькулятор'!$G$8))))</f>
        <v xml:space="preserve"> </v>
      </c>
      <c r="I630" s="134" t="str">
        <f ca="1">IF(F630=" "," ",IF('депозитный калькулятор'!$G$10="ежедневное",H630,IF(AND('депозитный калькулятор'!$G$10="еженедельное",WEEKDAY(F630,2)=7),SUM(OFFSET(H630,-6,0):H630),IF(AND('депозитный калькулятор'!$G$10="еженедельное",F630='депозитный калькулятор'!$D$8),SUM($H$23:H630)-SUM($I$23:I629),IF(AND('депозитный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недели",WEEKDAY(F630,2)=7),MIN(OFFSET(H630,-6,0):H630)*(COUNTIF(OFFSET(H630,-6,0):H630,"&gt;0")+SUMIF(OFFSET(A630,-WEEKDAY(F630,2),0):A630,"=2",OFFSET(A630,-WEEKDAY(F630,2),0):A630)),IF(AND('депозитный калькулятор'!$G$10="еженедельное, на минимальную сумму зафиксированную в течение недели",F630='депозитный калькулятор'!$D$8,WEEKDAY(F630,2)&lt;&gt;7),MIN(OFFSET(H630,-WEEKDAY(F630,2),0):H630)*(COUNTIF(OFFSET(H630,-WEEKDAY(F630,2)+1,0):H630,"&gt;0")+SUM(OFFSET(A630,-WEEKDAY(F630,2),0):A630)),IF(AND('депозитный калькулятор'!$G$10="ежемесячное (в конце месяца)",F630='депозитный калькулятор'!$D$8,EOMONTH(F630,0)&lt;&gt;F630),IF('депозитный калькулятор'!$F$1=1,$H$24,SUM($H$23:H630)-SUM($I$23:I629)),IF(AND('депозитный калькулятор'!$G$10="ежемесячное (в конце месяца)",EOMONTH(F630,0)=F630),SUM($H$23:H630)-SUM($I$23:I629),IF(AND('депозитный калькулятор'!$G$10="ежемесячное (по дням открытия вклада)",F630='депозитный калькулятор'!$D$8,DAY('депозитный калькулятор'!$D$7)&lt;&gt;DAY(F630)),IF('депозитный калькулятор'!$F$1=1,$H$24,SUM($H$23:H630)-SUM($I$23:I629)),IF(AND('депозитный калькулятор'!$G$10="ежемесячное (по дням открытия вклада)",DAY('депозитный калькулятор'!$D$7)=DAY(F630)),SUM($H$23:H630)-SUM($I$23:I629),IF(AND('депозитный калькулятор'!$G$10="ежемесячное, на минимальную сумму зафиксированную в течение месяца",F630='депозитный калькулятор'!$D$8,EOMONTH(F630,0)&lt;&gt;F630),IF('депозитный калькулятор'!$F$1=1,$H$24,IF(AND(OR('депозитный калькулятор'!$G$7="30/365",'депозитный калькулятор'!$G$7="30/360"),DAY(F630)=31),0,MIN(OFFSET(H630,-E630+1,0):H630)*(E630+SUMIF(OFFSET(A630,-E630+1,0):A630,"=2",OFFSET(A630,-E630+1,0):A630)))),IF(AND('депозитный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калькулятор'!$G$7="30/360"),DAY(EOMONTH(F630,0))=31),EOMONTH(F630,0)-1=F630,EOMONTH(F630,0)=F630)),IF(IF(AND(OR('депозитный калькулятор'!$G$7="30/365",'депозитный калькулятор'!$G$7="30/360"),DAY(EOMONTH($F$23,0))=31),F630=EOMONTH($F$23,0)-1,F630=EOMONTH($F$23,0)),MIN(OFFSET(H630,-(DAY(F630)-DAY($F$23)),0):H630)*E630,MIN(OFFSET(H630,-(DAY(F630)-1),0):H630)*IF(AND(OR('депозитный калькулятор'!$G$7="30/365",'депозитный калькулятор'!$G$7="30/360"),DAY(F630)&lt;30),30,DAY(F630))),IF(AND('депозитный калькулятор'!$G$10="ежемесячное, на средний остаток в течение месяца, при условии что остаток больше чем ограничение",F630='депозитный калькулятор'!$D$8,EOMONTH(F630,0)&lt;&gt;F630),IF('депозитный калькулятор'!$F$1=1,$H$24,SUM(OFFSET(Q630,-E630+1,0):Q630)),IF(AND('депозитный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калькулятор'!$G$7="30/360"),DAY(EOMONTH(F630,0))=31),EOMONTH(F630,0)-1=F630,EOMONTH(F630,0)=F630)),IF(IF(AND(OR('депозитный калькулятор'!$G$7="30/365",'депозитный калькулятор'!$G$7="30/360"),DAY(EOMONTH($F$24,0))=31),F630=EOMONTH($F$24,0)-1,F630=EOMONTH($F$24,0)),SUM(OFFSET(Q630,-E630+1,0):Q630),SUM(OFFSET(Q630,-E630+1,0):Q630)),IF('депозитный калькулятор'!$G$10="ежеквартальное",IF(F630&gt;'депозитный калькулятор'!$D$8," ",IF(AND(EOMONTH(F630,0)=F630,OR(MONTH(F630)=3,MONTH(F630)=6,MONTH(F630)=9,MONTH(F630)=12)),IF(EDATE(F630,-3)&lt;'депозитный калькулятор'!$D$7,SUM($H$23:H630),IF(MOD(YEAR(F630),4)=0,IF(AND(EOMONTH(F630,0)=F630,OR(MONTH(F630)=3,MONTH(F630)=6)),SUM(OFFSET(H630,-90,0):H630),IF(AND(EOMONTH(F630,0)=F630,OR(MONTH(F630)=9,MONTH(F630)=12)),SUM(OFFSET(H630,-91,0):H630))),IF(AND(EOMONTH(F630,0)=F630,MONTH(F630)=3),SUM(OFFSET(H630,-89,0):H630),IF(AND(EOMONTH(F630,0)=F630,MONTH(F630)=6),SUM(OFFSET(H630,-90,0):H630),IF(AND(EOMONTH(F630,0)=F630,OR(MONTH(F630)=9,MONTH(F630)=12)),SUM(OFFSET(H630,-91,0):H630)))))),IF(F630='депозитный калькулятор'!$D$8,SUM($H$23:H630)-SUM($I$23:I629),0))),IF('депозитный калькулятор'!$G$10="ежегодное",IF(F630&gt;'депозитный калькулятор'!$D$8," ",IF(F630='депозитный калькулятор'!$D$8,SUM($H$23:H630)-SUM($I$23:I629),IF(AND(EOMONTH(F630,0)=F630,MONTH(F630)=12),IF(MOD(YEAR(F629),4)=0,IF(F630-'депозитный калькулятор'!$D$7&lt;366,SUM($H$23:H630),SUM(OFFSET(H630,-365,0):H630)),IF(F630-'депозитный калькулятор'!$D$7&lt;365,SUM($H$23:H630),SUM(OFFSET(H630,-364,0):H630))),0))),IF(AND('депозитный калькулятор'!$G$10="в конце срока",'депозитный калькулятор'!$D$8=F630),SUM($H$23:H630),0))))))))))))))))))</f>
        <v xml:space="preserve"> </v>
      </c>
      <c r="J630" s="59" t="str">
        <f>IF(F630&gt;'депозитный калькулятор'!$D$8," ",IF('депозитный калькулятор'!$G$16="нет",0,IF(AND('депозитный калькулятор'!$G$17="разовая (в конце срока)",F630='депозитный калькулятор'!$D$8),'депозитный калькулятор'!$G$18,IF(AND('депозитный калькулятор'!$G$17="ежемесячная",EOMONTH(F629,0)=F629),'депозитный калькулятор'!$G$18,IF(AND('депозитный калькулятор'!$G$17="ежегодная",DAY(F629)=31,MONTH(F629)=12),'депозитный калькулятор'!$G$18,IF(AND('депозитный калькулятор'!$G$17="ежемесячная в зависимости от остатка",EOMONTH(F629,0)=F629,P629&gt;0),'депозитный калькулятор'!$G$18,IF(AND('депозитный калькулятор'!$G$17="ежегодная в зависимости от остатка",DAY(F629)=31,MONTH(F629)=12,P629&gt;0),'депозитный калькулятор'!$G$18,0)))))))</f>
        <v xml:space="preserve"> </v>
      </c>
      <c r="K630" s="135" t="str">
        <f>IF($F630=" "," ",IFERROR(VLOOKUP($F630,'депозитный калькулятор'!$B$26:$F$70,2,0),0))</f>
        <v xml:space="preserve"> </v>
      </c>
      <c r="L630" s="135" t="str">
        <f>IF($F630=" "," ",IFERROR(VLOOKUP($F630,'депозитный калькулятор'!$B$26:$F$70,3,0),0))</f>
        <v xml:space="preserve"> </v>
      </c>
      <c r="M630" s="135" t="str">
        <f>IF($F630=" "," ",IFERROR(VLOOKUP($F630,'депозитный калькулятор'!$B$26:$F$70,4,0),0))</f>
        <v xml:space="preserve"> </v>
      </c>
      <c r="N630" s="135" t="str">
        <f>IF($F630=" "," ",IFERROR(VLOOKUP($F630,'депозитный калькулятор'!$B$26:$F$70,5,0),0))</f>
        <v xml:space="preserve"> </v>
      </c>
      <c r="O630" s="146" t="str">
        <f>IF(F630&gt;'депозитный калькулятор'!$D$8," ",IF(F630='депозитный калькулятор'!$D$8,IF(AND($F$24='депозитный калькулятор'!$D$8,'депозитный калькулятор'!$G$13="нет"),-G630-IF(I630=" ",0,I630)-IF(AND(OR('депозитный калькулятор'!$G$7="30/365",'депозитный калькулятор'!$G$7="30/360"),'депозитный калькулятор'!$G$10="в начале срока"),I629,0)-L630+M630-N630,-G630-IF(I630=" ",0,I630)-L630+M630-N630),IF('депозитный калькулятор'!$G$13="есть",M630-N630+IF('депозитный калькулятор'!$G$14="есть",0,-L630),-IF(I630=" ",0,I630)-IF(AND(OR('депозитный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срока"),I629,0)+M630-N630+IF('депозитный калькулятор'!$G$14="есть",0,-L630))))</f>
        <v xml:space="preserve"> </v>
      </c>
      <c r="P630" s="147" t="str">
        <f>IF(F630&gt;'депозитный калькулятор'!$D$8," ",IF(EOMONTH(F629,0)=F629,0,IF(G630&gt;='депозитный калькулятор'!$G$19,P629,P629+1)))</f>
        <v xml:space="preserve"> </v>
      </c>
      <c r="Q630" s="138" t="str">
        <f>IF(F630=" "," ",IF(AND(OR('депозитный калькулятор'!$G$7="30/365",'депозитный калькулятор'!$G$7="30/360"),AND(MONTH(F630)=2,EOMONTH(F630,0)=F630)),IF(DAY(F630)=28,3,2),1)*IF(G630&gt;='депозитный калькулятор'!$G$11,IF(AND('депозитный калькулятор'!$G$7="факт/факт",MOD(YEAR(F630),4)=0),G630*'депозитный калькулятор'!$D$11/366,G630*'депозитный калькулятор'!$G$8),0))</f>
        <v xml:space="preserve"> </v>
      </c>
      <c r="R630" s="158"/>
      <c r="S630" s="62" t="str">
        <f t="shared" ca="1" si="47"/>
        <v xml:space="preserve"> </v>
      </c>
      <c r="T630" s="149" t="str">
        <f ca="1">IF(S630=" "," ",IF('депозитный калькулятор'!$G$7="30/360",DAYS360(U629,IF(DAY(U630)=31,U630-1,U630))+IF(AND(MONTH(U630)=2,U630=EOMONTH(U630,0)),30-DAY(EOMONTH(U630,0)))+T629,VLOOKUP(S630,$C$22:$F$1023,2,0)))</f>
        <v xml:space="preserve"> </v>
      </c>
      <c r="U630" s="64" t="str">
        <f t="shared" ca="1" si="45"/>
        <v xml:space="preserve"> </v>
      </c>
      <c r="V630" s="150" t="str">
        <f t="shared" ca="1" si="48"/>
        <v xml:space="preserve"> </v>
      </c>
      <c r="W630" s="62" t="str">
        <f t="shared" ca="1" si="49"/>
        <v xml:space="preserve"> </v>
      </c>
      <c r="X630" s="141" t="str">
        <f ca="1">IF(S630=" "," ",IFERROR(VLOOKUP(U630,$F$23:$N$1023,7)+VLOOKUP(U630,$F$23:$N$1023,9)+IF(AND('депозитный калькулятор'!$G$13="нет",U630&lt;&gt;'депозитный калькулятор'!$D$8),VLOOKUP(U630,$F$23:$N$1023,4),0),0)+IF(U630='депозитный калькулятор'!$D$8,VLOOKUP(U630,$F$23:$N$1023,2)+VLOOKUP(U630,$F$23:$N$1023,4),0))</f>
        <v xml:space="preserve"> </v>
      </c>
      <c r="Y630" s="142" t="str">
        <f ca="1">IF(S630=" "," ",W630/(1+'депозитный калькулятор'!$K$8)^(T630/IF('депозитный калькулятор'!$G$7="30/360",360,365)))</f>
        <v xml:space="preserve"> </v>
      </c>
      <c r="Z630" s="142" t="str">
        <f ca="1">IF(S630=" "," ",X630/(1+'депозитный калькулятор'!$K$8)^(T630/IF('депозитный калькулятор'!$G$7="30/360",360,365)))</f>
        <v xml:space="preserve"> </v>
      </c>
      <c r="AA630" s="151"/>
      <c r="AB630" s="151"/>
      <c r="AC630" s="155"/>
      <c r="AD630" s="155"/>
    </row>
    <row r="631" spans="1:30" s="2" customFormat="1" ht="15.5" x14ac:dyDescent="0.35">
      <c r="A631" s="41" t="str">
        <f>IF(F631=" "," ",IF(OR('депозитный калькулятор'!$G$7="30/365",'депозитный калькулятор'!$G$7="30/360"),IF(AND(MONTH(F631)=2,DAY(F631)=DAY(EOMONTH(F631,0))),30-DAY(EOMONTH(F631,0)),IF(DAY(F631)=31,1," "))," "))</f>
        <v xml:space="preserve"> </v>
      </c>
      <c r="B631" s="130" t="str">
        <f t="shared" si="46"/>
        <v xml:space="preserve"> </v>
      </c>
      <c r="C631" s="130" t="str">
        <f>IF(OR(B631=0,B631=" ")," ",SUM($B$23:B631))</f>
        <v xml:space="preserve"> </v>
      </c>
      <c r="D631" s="62" t="str">
        <f>IF(D630=" "," ",IF(OR(F630='депозитный калькулятор'!$D$8,F630=" ")," ",D630+1))</f>
        <v xml:space="preserve"> </v>
      </c>
      <c r="E631" s="130" t="str">
        <f>IF(OR(F630='депозитный калькулятор'!$D$8,F630=" ")," ",IF(EOMONTH(F630,0)=F630,1,E630+1))</f>
        <v xml:space="preserve"> </v>
      </c>
      <c r="F631" s="64" t="str">
        <f>IF(F630=" "," ",IF(F630='депозитный калькулятор'!$D$8," ",F630+1))</f>
        <v xml:space="preserve"> </v>
      </c>
      <c r="G631" s="145" t="str">
        <f xml:space="preserve"> IF(F631&gt;'депозитный калькулятор'!$D$8," ",IF('депозитный калькулятор'!$G$13="есть",IF('депозитный калькулятор'!$G$14="есть",G630+IF(I630=" ",0,I630)-J631-K631+L631+M631-N631,G630+IF(I630=" ",0,I630)-J631-K631+M631-N631),IF('депозитный калькулятор'!$G$14="есть",G630-J631-K631+L631+M631-N631,G630-J631-K631+M631-N631)))</f>
        <v xml:space="preserve"> </v>
      </c>
      <c r="H631" s="133" t="str">
        <f>IF(F631&gt;'депозитный калькулятор'!$D$8," ",IF(AND(OR('депозитный калькулятор'!$G$7="30/365",'депозитный калькулятор'!$G$7="30/360"),AND(MONTH(F631)=2,EOMONTH(F631,0)=F631)),IF(DAY(F631)=28,3*G631*'депозитный калькулятор'!$G$8,2*G631*'депозитный калькулятор'!$G$8),IF(AND(OR('депозитный калькулятор'!$G$7="30/365",'депозитный калькулятор'!$G$7="30/360"),DAY(F631)=31)," ",IF(AND('депозитный калькулятор'!$G$7="факт/факт",MOD(YEAR(F631),4)=0),G631*'депозитный калькулятор'!$D$11/366,G631*'депозитный калькулятор'!$G$8))))</f>
        <v xml:space="preserve"> </v>
      </c>
      <c r="I631" s="134" t="str">
        <f ca="1">IF(F631=" "," ",IF('депозитный калькулятор'!$G$10="ежедневное",H631,IF(AND('депозитный калькулятор'!$G$10="еженедельное",WEEKDAY(F631,2)=7),SUM(OFFSET(H631,-6,0):H631),IF(AND('депозитный калькулятор'!$G$10="еженедельное",F631='депозитный калькулятор'!$D$8),SUM($H$23:H631)-SUM($I$23:I630),IF(AND('депозитный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недели",WEEKDAY(F631,2)=7),MIN(OFFSET(H631,-6,0):H631)*(COUNTIF(OFFSET(H631,-6,0):H631,"&gt;0")+SUMIF(OFFSET(A631,-WEEKDAY(F631,2),0):A631,"=2",OFFSET(A631,-WEEKDAY(F631,2),0):A631)),IF(AND('депозитный калькулятор'!$G$10="еженедельное, на минимальную сумму зафиксированную в течение недели",F631='депозитный калькулятор'!$D$8,WEEKDAY(F631,2)&lt;&gt;7),MIN(OFFSET(H631,-WEEKDAY(F631,2),0):H631)*(COUNTIF(OFFSET(H631,-WEEKDAY(F631,2)+1,0):H631,"&gt;0")+SUM(OFFSET(A631,-WEEKDAY(F631,2),0):A631)),IF(AND('депозитный калькулятор'!$G$10="ежемесячное (в конце месяца)",F631='депозитный калькулятор'!$D$8,EOMONTH(F631,0)&lt;&gt;F631),IF('депозитный калькулятор'!$F$1=1,$H$24,SUM($H$23:H631)-SUM($I$23:I630)),IF(AND('депозитный калькулятор'!$G$10="ежемесячное (в конце месяца)",EOMONTH(F631,0)=F631),SUM($H$23:H631)-SUM($I$23:I630),IF(AND('депозитный калькулятор'!$G$10="ежемесячное (по дням открытия вклада)",F631='депозитный калькулятор'!$D$8,DAY('депозитный калькулятор'!$D$7)&lt;&gt;DAY(F631)),IF('депозитный калькулятор'!$F$1=1,$H$24,SUM($H$23:H631)-SUM($I$23:I630)),IF(AND('депозитный калькулятор'!$G$10="ежемесячное (по дням открытия вклада)",DAY('депозитный калькулятор'!$D$7)=DAY(F631)),SUM($H$23:H631)-SUM($I$23:I630),IF(AND('депозитный калькулятор'!$G$10="ежемесячное, на минимальную сумму зафиксированную в течение месяца",F631='депозитный калькулятор'!$D$8,EOMONTH(F631,0)&lt;&gt;F631),IF('депозитный калькулятор'!$F$1=1,$H$24,IF(AND(OR('депозитный калькулятор'!$G$7="30/365",'депозитный калькулятор'!$G$7="30/360"),DAY(F631)=31),0,MIN(OFFSET(H631,-E631+1,0):H631)*(E631+SUMIF(OFFSET(A631,-E631+1,0):A631,"=2",OFFSET(A631,-E631+1,0):A631)))),IF(AND('депозитный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калькулятор'!$G$7="30/360"),DAY(EOMONTH(F631,0))=31),EOMONTH(F631,0)-1=F631,EOMONTH(F631,0)=F631)),IF(IF(AND(OR('депозитный калькулятор'!$G$7="30/365",'депозитный калькулятор'!$G$7="30/360"),DAY(EOMONTH($F$23,0))=31),F631=EOMONTH($F$23,0)-1,F631=EOMONTH($F$23,0)),MIN(OFFSET(H631,-(DAY(F631)-DAY($F$23)),0):H631)*E631,MIN(OFFSET(H631,-(DAY(F631)-1),0):H631)*IF(AND(OR('депозитный калькулятор'!$G$7="30/365",'депозитный калькулятор'!$G$7="30/360"),DAY(F631)&lt;30),30,DAY(F631))),IF(AND('депозитный калькулятор'!$G$10="ежемесячное, на средний остаток в течение месяца, при условии что остаток больше чем ограничение",F631='депозитный калькулятор'!$D$8,EOMONTH(F631,0)&lt;&gt;F631),IF('депозитный калькулятор'!$F$1=1,$H$24,SUM(OFFSET(Q631,-E631+1,0):Q631)),IF(AND('депозитный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калькулятор'!$G$7="30/360"),DAY(EOMONTH(F631,0))=31),EOMONTH(F631,0)-1=F631,EOMONTH(F631,0)=F631)),IF(IF(AND(OR('депозитный калькулятор'!$G$7="30/365",'депозитный калькулятор'!$G$7="30/360"),DAY(EOMONTH($F$24,0))=31),F631=EOMONTH($F$24,0)-1,F631=EOMONTH($F$24,0)),SUM(OFFSET(Q631,-E631+1,0):Q631),SUM(OFFSET(Q631,-E631+1,0):Q631)),IF('депозитный калькулятор'!$G$10="ежеквартальное",IF(F631&gt;'депозитный калькулятор'!$D$8," ",IF(AND(EOMONTH(F631,0)=F631,OR(MONTH(F631)=3,MONTH(F631)=6,MONTH(F631)=9,MONTH(F631)=12)),IF(EDATE(F631,-3)&lt;'депозитный калькулятор'!$D$7,SUM($H$23:H631),IF(MOD(YEAR(F631),4)=0,IF(AND(EOMONTH(F631,0)=F631,OR(MONTH(F631)=3,MONTH(F631)=6)),SUM(OFFSET(H631,-90,0):H631),IF(AND(EOMONTH(F631,0)=F631,OR(MONTH(F631)=9,MONTH(F631)=12)),SUM(OFFSET(H631,-91,0):H631))),IF(AND(EOMONTH(F631,0)=F631,MONTH(F631)=3),SUM(OFFSET(H631,-89,0):H631),IF(AND(EOMONTH(F631,0)=F631,MONTH(F631)=6),SUM(OFFSET(H631,-90,0):H631),IF(AND(EOMONTH(F631,0)=F631,OR(MONTH(F631)=9,MONTH(F631)=12)),SUM(OFFSET(H631,-91,0):H631)))))),IF(F631='депозитный калькулятор'!$D$8,SUM($H$23:H631)-SUM($I$23:I630),0))),IF('депозитный калькулятор'!$G$10="ежегодное",IF(F631&gt;'депозитный калькулятор'!$D$8," ",IF(F631='депозитный калькулятор'!$D$8,SUM($H$23:H631)-SUM($I$23:I630),IF(AND(EOMONTH(F631,0)=F631,MONTH(F631)=12),IF(MOD(YEAR(F630),4)=0,IF(F631-'депозитный калькулятор'!$D$7&lt;366,SUM($H$23:H631),SUM(OFFSET(H631,-365,0):H631)),IF(F631-'депозитный калькулятор'!$D$7&lt;365,SUM($H$23:H631),SUM(OFFSET(H631,-364,0):H631))),0))),IF(AND('депозитный калькулятор'!$G$10="в конце срока",'депозитный калькулятор'!$D$8=F631),SUM($H$23:H631),0))))))))))))))))))</f>
        <v xml:space="preserve"> </v>
      </c>
      <c r="J631" s="59" t="str">
        <f>IF(F631&gt;'депозитный калькулятор'!$D$8," ",IF('депозитный калькулятор'!$G$16="нет",0,IF(AND('депозитный калькулятор'!$G$17="разовая (в конце срока)",F631='депозитный калькулятор'!$D$8),'депозитный калькулятор'!$G$18,IF(AND('депозитный калькулятор'!$G$17="ежемесячная",EOMONTH(F630,0)=F630),'депозитный калькулятор'!$G$18,IF(AND('депозитный калькулятор'!$G$17="ежегодная",DAY(F630)=31,MONTH(F630)=12),'депозитный калькулятор'!$G$18,IF(AND('депозитный калькулятор'!$G$17="ежемесячная в зависимости от остатка",EOMONTH(F630,0)=F630,P630&gt;0),'депозитный калькулятор'!$G$18,IF(AND('депозитный калькулятор'!$G$17="ежегодная в зависимости от остатка",DAY(F630)=31,MONTH(F630)=12,P630&gt;0),'депозитный калькулятор'!$G$18,0)))))))</f>
        <v xml:space="preserve"> </v>
      </c>
      <c r="K631" s="135" t="str">
        <f>IF($F631=" "," ",IFERROR(VLOOKUP($F631,'депозитный калькулятор'!$B$26:$F$70,2,0),0))</f>
        <v xml:space="preserve"> </v>
      </c>
      <c r="L631" s="135" t="str">
        <f>IF($F631=" "," ",IFERROR(VLOOKUP($F631,'депозитный калькулятор'!$B$26:$F$70,3,0),0))</f>
        <v xml:space="preserve"> </v>
      </c>
      <c r="M631" s="135" t="str">
        <f>IF($F631=" "," ",IFERROR(VLOOKUP($F631,'депозитный калькулятор'!$B$26:$F$70,4,0),0))</f>
        <v xml:space="preserve"> </v>
      </c>
      <c r="N631" s="135" t="str">
        <f>IF($F631=" "," ",IFERROR(VLOOKUP($F631,'депозитный калькулятор'!$B$26:$F$70,5,0),0))</f>
        <v xml:space="preserve"> </v>
      </c>
      <c r="O631" s="146" t="str">
        <f>IF(F631&gt;'депозитный калькулятор'!$D$8," ",IF(F631='депозитный калькулятор'!$D$8,IF(AND($F$24='депозитный калькулятор'!$D$8,'депозитный калькулятор'!$G$13="нет"),-G631-IF(I631=" ",0,I631)-IF(AND(OR('депозитный калькулятор'!$G$7="30/365",'депозитный калькулятор'!$G$7="30/360"),'депозитный калькулятор'!$G$10="в начале срока"),I630,0)-L631+M631-N631,-G631-IF(I631=" ",0,I631)-L631+M631-N631),IF('депозитный калькулятор'!$G$13="есть",M631-N631+IF('депозитный калькулятор'!$G$14="есть",0,-L631),-IF(I631=" ",0,I631)-IF(AND(OR('депозитный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срока"),I630,0)+M631-N631+IF('депозитный калькулятор'!$G$14="есть",0,-L631))))</f>
        <v xml:space="preserve"> </v>
      </c>
      <c r="P631" s="147" t="str">
        <f>IF(F631&gt;'депозитный калькулятор'!$D$8," ",IF(EOMONTH(F630,0)=F630,0,IF(G631&gt;='депозитный калькулятор'!$G$19,P630,P630+1)))</f>
        <v xml:space="preserve"> </v>
      </c>
      <c r="Q631" s="138" t="str">
        <f>IF(F631=" "," ",IF(AND(OR('депозитный калькулятор'!$G$7="30/365",'депозитный калькулятор'!$G$7="30/360"),AND(MONTH(F631)=2,EOMONTH(F631,0)=F631)),IF(DAY(F631)=28,3,2),1)*IF(G631&gt;='депозитный калькулятор'!$G$11,IF(AND('депозитный калькулятор'!$G$7="факт/факт",MOD(YEAR(F631),4)=0),G631*'депозитный калькулятор'!$D$11/366,G631*'депозитный калькулятор'!$G$8),0))</f>
        <v xml:space="preserve"> </v>
      </c>
      <c r="R631" s="158"/>
      <c r="S631" s="62" t="str">
        <f t="shared" ca="1" si="47"/>
        <v xml:space="preserve"> </v>
      </c>
      <c r="T631" s="149" t="str">
        <f ca="1">IF(S631=" "," ",IF('депозитный калькулятор'!$G$7="30/360",DAYS360(U630,IF(DAY(U631)=31,U631-1,U631))+IF(AND(MONTH(U631)=2,U631=EOMONTH(U631,0)),30-DAY(EOMONTH(U631,0)))+T630,VLOOKUP(S631,$C$22:$F$1023,2,0)))</f>
        <v xml:space="preserve"> </v>
      </c>
      <c r="U631" s="64" t="str">
        <f t="shared" ca="1" si="45"/>
        <v xml:space="preserve"> </v>
      </c>
      <c r="V631" s="150" t="str">
        <f t="shared" ca="1" si="48"/>
        <v xml:space="preserve"> </v>
      </c>
      <c r="W631" s="62" t="str">
        <f t="shared" ca="1" si="49"/>
        <v xml:space="preserve"> </v>
      </c>
      <c r="X631" s="141" t="str">
        <f ca="1">IF(S631=" "," ",IFERROR(VLOOKUP(U631,$F$23:$N$1023,7)+VLOOKUP(U631,$F$23:$N$1023,9)+IF(AND('депозитный калькулятор'!$G$13="нет",U631&lt;&gt;'депозитный калькулятор'!$D$8),VLOOKUP(U631,$F$23:$N$1023,4),0),0)+IF(U631='депозитный калькулятор'!$D$8,VLOOKUP(U631,$F$23:$N$1023,2)+VLOOKUP(U631,$F$23:$N$1023,4),0))</f>
        <v xml:space="preserve"> </v>
      </c>
      <c r="Y631" s="142" t="str">
        <f ca="1">IF(S631=" "," ",W631/(1+'депозитный калькулятор'!$K$8)^(T631/IF('депозитный калькулятор'!$G$7="30/360",360,365)))</f>
        <v xml:space="preserve"> </v>
      </c>
      <c r="Z631" s="142" t="str">
        <f ca="1">IF(S631=" "," ",X631/(1+'депозитный калькулятор'!$K$8)^(T631/IF('депозитный калькулятор'!$G$7="30/360",360,365)))</f>
        <v xml:space="preserve"> </v>
      </c>
      <c r="AA631" s="151"/>
      <c r="AB631" s="151"/>
      <c r="AC631" s="155"/>
      <c r="AD631" s="155"/>
    </row>
    <row r="632" spans="1:30" s="2" customFormat="1" ht="15.5" x14ac:dyDescent="0.35">
      <c r="A632" s="41" t="str">
        <f>IF(F632=" "," ",IF(OR('депозитный калькулятор'!$G$7="30/365",'депозитный калькулятор'!$G$7="30/360"),IF(AND(MONTH(F632)=2,DAY(F632)=DAY(EOMONTH(F632,0))),30-DAY(EOMONTH(F632,0)),IF(DAY(F632)=31,1," "))," "))</f>
        <v xml:space="preserve"> </v>
      </c>
      <c r="B632" s="130" t="str">
        <f t="shared" si="46"/>
        <v xml:space="preserve"> </v>
      </c>
      <c r="C632" s="130" t="str">
        <f>IF(OR(B632=0,B632=" ")," ",SUM($B$23:B632))</f>
        <v xml:space="preserve"> </v>
      </c>
      <c r="D632" s="62" t="str">
        <f>IF(D631=" "," ",IF(OR(F631='депозитный калькулятор'!$D$8,F631=" ")," ",D631+1))</f>
        <v xml:space="preserve"> </v>
      </c>
      <c r="E632" s="130" t="str">
        <f>IF(OR(F631='депозитный калькулятор'!$D$8,F631=" ")," ",IF(EOMONTH(F631,0)=F631,1,E631+1))</f>
        <v xml:space="preserve"> </v>
      </c>
      <c r="F632" s="64" t="str">
        <f>IF(F631=" "," ",IF(F631='депозитный калькулятор'!$D$8," ",F631+1))</f>
        <v xml:space="preserve"> </v>
      </c>
      <c r="G632" s="145" t="str">
        <f xml:space="preserve"> IF(F632&gt;'депозитный калькулятор'!$D$8," ",IF('депозитный калькулятор'!$G$13="есть",IF('депозитный калькулятор'!$G$14="есть",G631+IF(I631=" ",0,I631)-J632-K632+L632+M632-N632,G631+IF(I631=" ",0,I631)-J632-K632+M632-N632),IF('депозитный калькулятор'!$G$14="есть",G631-J632-K632+L632+M632-N632,G631-J632-K632+M632-N632)))</f>
        <v xml:space="preserve"> </v>
      </c>
      <c r="H632" s="133" t="str">
        <f>IF(F632&gt;'депозитный калькулятор'!$D$8," ",IF(AND(OR('депозитный калькулятор'!$G$7="30/365",'депозитный калькулятор'!$G$7="30/360"),AND(MONTH(F632)=2,EOMONTH(F632,0)=F632)),IF(DAY(F632)=28,3*G632*'депозитный калькулятор'!$G$8,2*G632*'депозитный калькулятор'!$G$8),IF(AND(OR('депозитный калькулятор'!$G$7="30/365",'депозитный калькулятор'!$G$7="30/360"),DAY(F632)=31)," ",IF(AND('депозитный калькулятор'!$G$7="факт/факт",MOD(YEAR(F632),4)=0),G632*'депозитный калькулятор'!$D$11/366,G632*'депозитный калькулятор'!$G$8))))</f>
        <v xml:space="preserve"> </v>
      </c>
      <c r="I632" s="134" t="str">
        <f ca="1">IF(F632=" "," ",IF('депозитный калькулятор'!$G$10="ежедневное",H632,IF(AND('депозитный калькулятор'!$G$10="еженедельное",WEEKDAY(F632,2)=7),SUM(OFFSET(H632,-6,0):H632),IF(AND('депозитный калькулятор'!$G$10="еженедельное",F632='депозитный калькулятор'!$D$8),SUM($H$23:H632)-SUM($I$23:I631),IF(AND('депозитный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недели",WEEKDAY(F632,2)=7),MIN(OFFSET(H632,-6,0):H632)*(COUNTIF(OFFSET(H632,-6,0):H632,"&gt;0")+SUMIF(OFFSET(A632,-WEEKDAY(F632,2),0):A632,"=2",OFFSET(A632,-WEEKDAY(F632,2),0):A632)),IF(AND('депозитный калькулятор'!$G$10="еженедельное, на минимальную сумму зафиксированную в течение недели",F632='депозитный калькулятор'!$D$8,WEEKDAY(F632,2)&lt;&gt;7),MIN(OFFSET(H632,-WEEKDAY(F632,2),0):H632)*(COUNTIF(OFFSET(H632,-WEEKDAY(F632,2)+1,0):H632,"&gt;0")+SUM(OFFSET(A632,-WEEKDAY(F632,2),0):A632)),IF(AND('депозитный калькулятор'!$G$10="ежемесячное (в конце месяца)",F632='депозитный калькулятор'!$D$8,EOMONTH(F632,0)&lt;&gt;F632),IF('депозитный калькулятор'!$F$1=1,$H$24,SUM($H$23:H632)-SUM($I$23:I631)),IF(AND('депозитный калькулятор'!$G$10="ежемесячное (в конце месяца)",EOMONTH(F632,0)=F632),SUM($H$23:H632)-SUM($I$23:I631),IF(AND('депозитный калькулятор'!$G$10="ежемесячное (по дням открытия вклада)",F632='депозитный калькулятор'!$D$8,DAY('депозитный калькулятор'!$D$7)&lt;&gt;DAY(F632)),IF('депозитный калькулятор'!$F$1=1,$H$24,SUM($H$23:H632)-SUM($I$23:I631)),IF(AND('депозитный калькулятор'!$G$10="ежемесячное (по дням открытия вклада)",DAY('депозитный калькулятор'!$D$7)=DAY(F632)),SUM($H$23:H632)-SUM($I$23:I631),IF(AND('депозитный калькулятор'!$G$10="ежемесячное, на минимальную сумму зафиксированную в течение месяца",F632='депозитный калькулятор'!$D$8,EOMONTH(F632,0)&lt;&gt;F632),IF('депозитный калькулятор'!$F$1=1,$H$24,IF(AND(OR('депозитный калькулятор'!$G$7="30/365",'депозитный калькулятор'!$G$7="30/360"),DAY(F632)=31),0,MIN(OFFSET(H632,-E632+1,0):H632)*(E632+SUMIF(OFFSET(A632,-E632+1,0):A632,"=2",OFFSET(A632,-E632+1,0):A632)))),IF(AND('депозитный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калькулятор'!$G$7="30/360"),DAY(EOMONTH(F632,0))=31),EOMONTH(F632,0)-1=F632,EOMONTH(F632,0)=F632)),IF(IF(AND(OR('депозитный калькулятор'!$G$7="30/365",'депозитный калькулятор'!$G$7="30/360"),DAY(EOMONTH($F$23,0))=31),F632=EOMONTH($F$23,0)-1,F632=EOMONTH($F$23,0)),MIN(OFFSET(H632,-(DAY(F632)-DAY($F$23)),0):H632)*E632,MIN(OFFSET(H632,-(DAY(F632)-1),0):H632)*IF(AND(OR('депозитный калькулятор'!$G$7="30/365",'депозитный калькулятор'!$G$7="30/360"),DAY(F632)&lt;30),30,DAY(F632))),IF(AND('депозитный калькулятор'!$G$10="ежемесячное, на средний остаток в течение месяца, при условии что остаток больше чем ограничение",F632='депозитный калькулятор'!$D$8,EOMONTH(F632,0)&lt;&gt;F632),IF('депозитный калькулятор'!$F$1=1,$H$24,SUM(OFFSET(Q632,-E632+1,0):Q632)),IF(AND('депозитный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калькулятор'!$G$7="30/360"),DAY(EOMONTH(F632,0))=31),EOMONTH(F632,0)-1=F632,EOMONTH(F632,0)=F632)),IF(IF(AND(OR('депозитный калькулятор'!$G$7="30/365",'депозитный калькулятор'!$G$7="30/360"),DAY(EOMONTH($F$24,0))=31),F632=EOMONTH($F$24,0)-1,F632=EOMONTH($F$24,0)),SUM(OFFSET(Q632,-E632+1,0):Q632),SUM(OFFSET(Q632,-E632+1,0):Q632)),IF('депозитный калькулятор'!$G$10="ежеквартальное",IF(F632&gt;'депозитный калькулятор'!$D$8," ",IF(AND(EOMONTH(F632,0)=F632,OR(MONTH(F632)=3,MONTH(F632)=6,MONTH(F632)=9,MONTH(F632)=12)),IF(EDATE(F632,-3)&lt;'депозитный калькулятор'!$D$7,SUM($H$23:H632),IF(MOD(YEAR(F632),4)=0,IF(AND(EOMONTH(F632,0)=F632,OR(MONTH(F632)=3,MONTH(F632)=6)),SUM(OFFSET(H632,-90,0):H632),IF(AND(EOMONTH(F632,0)=F632,OR(MONTH(F632)=9,MONTH(F632)=12)),SUM(OFFSET(H632,-91,0):H632))),IF(AND(EOMONTH(F632,0)=F632,MONTH(F632)=3),SUM(OFFSET(H632,-89,0):H632),IF(AND(EOMONTH(F632,0)=F632,MONTH(F632)=6),SUM(OFFSET(H632,-90,0):H632),IF(AND(EOMONTH(F632,0)=F632,OR(MONTH(F632)=9,MONTH(F632)=12)),SUM(OFFSET(H632,-91,0):H632)))))),IF(F632='депозитный калькулятор'!$D$8,SUM($H$23:H632)-SUM($I$23:I631),0))),IF('депозитный калькулятор'!$G$10="ежегодное",IF(F632&gt;'депозитный калькулятор'!$D$8," ",IF(F632='депозитный калькулятор'!$D$8,SUM($H$23:H632)-SUM($I$23:I631),IF(AND(EOMONTH(F632,0)=F632,MONTH(F632)=12),IF(MOD(YEAR(F631),4)=0,IF(F632-'депозитный калькулятор'!$D$7&lt;366,SUM($H$23:H632),SUM(OFFSET(H632,-365,0):H632)),IF(F632-'депозитный калькулятор'!$D$7&lt;365,SUM($H$23:H632),SUM(OFFSET(H632,-364,0):H632))),0))),IF(AND('депозитный калькулятор'!$G$10="в конце срока",'депозитный калькулятор'!$D$8=F632),SUM($H$23:H632),0))))))))))))))))))</f>
        <v xml:space="preserve"> </v>
      </c>
      <c r="J632" s="59" t="str">
        <f>IF(F632&gt;'депозитный калькулятор'!$D$8," ",IF('депозитный калькулятор'!$G$16="нет",0,IF(AND('депозитный калькулятор'!$G$17="разовая (в конце срока)",F632='депозитный калькулятор'!$D$8),'депозитный калькулятор'!$G$18,IF(AND('депозитный калькулятор'!$G$17="ежемесячная",EOMONTH(F631,0)=F631),'депозитный калькулятор'!$G$18,IF(AND('депозитный калькулятор'!$G$17="ежегодная",DAY(F631)=31,MONTH(F631)=12),'депозитный калькулятор'!$G$18,IF(AND('депозитный калькулятор'!$G$17="ежемесячная в зависимости от остатка",EOMONTH(F631,0)=F631,P631&gt;0),'депозитный калькулятор'!$G$18,IF(AND('депозитный калькулятор'!$G$17="ежегодная в зависимости от остатка",DAY(F631)=31,MONTH(F631)=12,P631&gt;0),'депозитный калькулятор'!$G$18,0)))))))</f>
        <v xml:space="preserve"> </v>
      </c>
      <c r="K632" s="135" t="str">
        <f>IF($F632=" "," ",IFERROR(VLOOKUP($F632,'депозитный калькулятор'!$B$26:$F$70,2,0),0))</f>
        <v xml:space="preserve"> </v>
      </c>
      <c r="L632" s="135" t="str">
        <f>IF($F632=" "," ",IFERROR(VLOOKUP($F632,'депозитный калькулятор'!$B$26:$F$70,3,0),0))</f>
        <v xml:space="preserve"> </v>
      </c>
      <c r="M632" s="135" t="str">
        <f>IF($F632=" "," ",IFERROR(VLOOKUP($F632,'депозитный калькулятор'!$B$26:$F$70,4,0),0))</f>
        <v xml:space="preserve"> </v>
      </c>
      <c r="N632" s="135" t="str">
        <f>IF($F632=" "," ",IFERROR(VLOOKUP($F632,'депозитный калькулятор'!$B$26:$F$70,5,0),0))</f>
        <v xml:space="preserve"> </v>
      </c>
      <c r="O632" s="146" t="str">
        <f>IF(F632&gt;'депозитный калькулятор'!$D$8," ",IF(F632='депозитный калькулятор'!$D$8,IF(AND($F$24='депозитный калькулятор'!$D$8,'депозитный калькулятор'!$G$13="нет"),-G632-IF(I632=" ",0,I632)-IF(AND(OR('депозитный калькулятор'!$G$7="30/365",'депозитный калькулятор'!$G$7="30/360"),'депозитный калькулятор'!$G$10="в начале срока"),I631,0)-L632+M632-N632,-G632-IF(I632=" ",0,I632)-L632+M632-N632),IF('депозитный калькулятор'!$G$13="есть",M632-N632+IF('депозитный калькулятор'!$G$14="есть",0,-L632),-IF(I632=" ",0,I632)-IF(AND(OR('депозитный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срока"),I631,0)+M632-N632+IF('депозитный калькулятор'!$G$14="есть",0,-L632))))</f>
        <v xml:space="preserve"> </v>
      </c>
      <c r="P632" s="147" t="str">
        <f>IF(F632&gt;'депозитный калькулятор'!$D$8," ",IF(EOMONTH(F631,0)=F631,0,IF(G632&gt;='депозитный калькулятор'!$G$19,P631,P631+1)))</f>
        <v xml:space="preserve"> </v>
      </c>
      <c r="Q632" s="138" t="str">
        <f>IF(F632=" "," ",IF(AND(OR('депозитный калькулятор'!$G$7="30/365",'депозитный калькулятор'!$G$7="30/360"),AND(MONTH(F632)=2,EOMONTH(F632,0)=F632)),IF(DAY(F632)=28,3,2),1)*IF(G632&gt;='депозитный калькулятор'!$G$11,IF(AND('депозитный калькулятор'!$G$7="факт/факт",MOD(YEAR(F632),4)=0),G632*'депозитный калькулятор'!$D$11/366,G632*'депозитный калькулятор'!$G$8),0))</f>
        <v xml:space="preserve"> </v>
      </c>
      <c r="R632" s="158"/>
      <c r="S632" s="62" t="str">
        <f t="shared" ca="1" si="47"/>
        <v xml:space="preserve"> </v>
      </c>
      <c r="T632" s="149" t="str">
        <f ca="1">IF(S632=" "," ",IF('депозитный калькулятор'!$G$7="30/360",DAYS360(U631,IF(DAY(U632)=31,U632-1,U632))+IF(AND(MONTH(U632)=2,U632=EOMONTH(U632,0)),30-DAY(EOMONTH(U632,0)))+T631,VLOOKUP(S632,$C$22:$F$1023,2,0)))</f>
        <v xml:space="preserve"> </v>
      </c>
      <c r="U632" s="64" t="str">
        <f t="shared" ca="1" si="45"/>
        <v xml:space="preserve"> </v>
      </c>
      <c r="V632" s="150" t="str">
        <f t="shared" ca="1" si="48"/>
        <v xml:space="preserve"> </v>
      </c>
      <c r="W632" s="62" t="str">
        <f t="shared" ca="1" si="49"/>
        <v xml:space="preserve"> </v>
      </c>
      <c r="X632" s="141" t="str">
        <f ca="1">IF(S632=" "," ",IFERROR(VLOOKUP(U632,$F$23:$N$1023,7)+VLOOKUP(U632,$F$23:$N$1023,9)+IF(AND('депозитный калькулятор'!$G$13="нет",U632&lt;&gt;'депозитный калькулятор'!$D$8),VLOOKUP(U632,$F$23:$N$1023,4),0),0)+IF(U632='депозитный калькулятор'!$D$8,VLOOKUP(U632,$F$23:$N$1023,2)+VLOOKUP(U632,$F$23:$N$1023,4),0))</f>
        <v xml:space="preserve"> </v>
      </c>
      <c r="Y632" s="142" t="str">
        <f ca="1">IF(S632=" "," ",W632/(1+'депозитный калькулятор'!$K$8)^(T632/IF('депозитный калькулятор'!$G$7="30/360",360,365)))</f>
        <v xml:space="preserve"> </v>
      </c>
      <c r="Z632" s="142" t="str">
        <f ca="1">IF(S632=" "," ",X632/(1+'депозитный калькулятор'!$K$8)^(T632/IF('депозитный калькулятор'!$G$7="30/360",360,365)))</f>
        <v xml:space="preserve"> </v>
      </c>
      <c r="AA632" s="151"/>
      <c r="AB632" s="151"/>
      <c r="AC632" s="155"/>
      <c r="AD632" s="155"/>
    </row>
    <row r="633" spans="1:30" s="2" customFormat="1" ht="15.5" x14ac:dyDescent="0.35">
      <c r="A633" s="41" t="str">
        <f>IF(F633=" "," ",IF(OR('депозитный калькулятор'!$G$7="30/365",'депозитный калькулятор'!$G$7="30/360"),IF(AND(MONTH(F633)=2,DAY(F633)=DAY(EOMONTH(F633,0))),30-DAY(EOMONTH(F633,0)),IF(DAY(F633)=31,1," "))," "))</f>
        <v xml:space="preserve"> </v>
      </c>
      <c r="B633" s="130" t="str">
        <f t="shared" si="46"/>
        <v xml:space="preserve"> </v>
      </c>
      <c r="C633" s="130" t="str">
        <f>IF(OR(B633=0,B633=" ")," ",SUM($B$23:B633))</f>
        <v xml:space="preserve"> </v>
      </c>
      <c r="D633" s="62" t="str">
        <f>IF(D632=" "," ",IF(OR(F632='депозитный калькулятор'!$D$8,F632=" ")," ",D632+1))</f>
        <v xml:space="preserve"> </v>
      </c>
      <c r="E633" s="130" t="str">
        <f>IF(OR(F632='депозитный калькулятор'!$D$8,F632=" ")," ",IF(EOMONTH(F632,0)=F632,1,E632+1))</f>
        <v xml:space="preserve"> </v>
      </c>
      <c r="F633" s="64" t="str">
        <f>IF(F632=" "," ",IF(F632='депозитный калькулятор'!$D$8," ",F632+1))</f>
        <v xml:space="preserve"> </v>
      </c>
      <c r="G633" s="145" t="str">
        <f xml:space="preserve"> IF(F633&gt;'депозитный калькулятор'!$D$8," ",IF('депозитный калькулятор'!$G$13="есть",IF('депозитный калькулятор'!$G$14="есть",G632+IF(I632=" ",0,I632)-J633-K633+L633+M633-N633,G632+IF(I632=" ",0,I632)-J633-K633+M633-N633),IF('депозитный калькулятор'!$G$14="есть",G632-J633-K633+L633+M633-N633,G632-J633-K633+M633-N633)))</f>
        <v xml:space="preserve"> </v>
      </c>
      <c r="H633" s="133" t="str">
        <f>IF(F633&gt;'депозитный калькулятор'!$D$8," ",IF(AND(OR('депозитный калькулятор'!$G$7="30/365",'депозитный калькулятор'!$G$7="30/360"),AND(MONTH(F633)=2,EOMONTH(F633,0)=F633)),IF(DAY(F633)=28,3*G633*'депозитный калькулятор'!$G$8,2*G633*'депозитный калькулятор'!$G$8),IF(AND(OR('депозитный калькулятор'!$G$7="30/365",'депозитный калькулятор'!$G$7="30/360"),DAY(F633)=31)," ",IF(AND('депозитный калькулятор'!$G$7="факт/факт",MOD(YEAR(F633),4)=0),G633*'депозитный калькулятор'!$D$11/366,G633*'депозитный калькулятор'!$G$8))))</f>
        <v xml:space="preserve"> </v>
      </c>
      <c r="I633" s="134" t="str">
        <f ca="1">IF(F633=" "," ",IF('депозитный калькулятор'!$G$10="ежедневное",H633,IF(AND('депозитный калькулятор'!$G$10="еженедельное",WEEKDAY(F633,2)=7),SUM(OFFSET(H633,-6,0):H633),IF(AND('депозитный калькулятор'!$G$10="еженедельное",F633='депозитный калькулятор'!$D$8),SUM($H$23:H633)-SUM($I$23:I632),IF(AND('депозитный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недели",WEEKDAY(F633,2)=7),MIN(OFFSET(H633,-6,0):H633)*(COUNTIF(OFFSET(H633,-6,0):H633,"&gt;0")+SUMIF(OFFSET(A633,-WEEKDAY(F633,2),0):A633,"=2",OFFSET(A633,-WEEKDAY(F633,2),0):A633)),IF(AND('депозитный калькулятор'!$G$10="еженедельное, на минимальную сумму зафиксированную в течение недели",F633='депозитный калькулятор'!$D$8,WEEKDAY(F633,2)&lt;&gt;7),MIN(OFFSET(H633,-WEEKDAY(F633,2),0):H633)*(COUNTIF(OFFSET(H633,-WEEKDAY(F633,2)+1,0):H633,"&gt;0")+SUM(OFFSET(A633,-WEEKDAY(F633,2),0):A633)),IF(AND('депозитный калькулятор'!$G$10="ежемесячное (в конце месяца)",F633='депозитный калькулятор'!$D$8,EOMONTH(F633,0)&lt;&gt;F633),IF('депозитный калькулятор'!$F$1=1,$H$24,SUM($H$23:H633)-SUM($I$23:I632)),IF(AND('депозитный калькулятор'!$G$10="ежемесячное (в конце месяца)",EOMONTH(F633,0)=F633),SUM($H$23:H633)-SUM($I$23:I632),IF(AND('депозитный калькулятор'!$G$10="ежемесячное (по дням открытия вклада)",F633='депозитный калькулятор'!$D$8,DAY('депозитный калькулятор'!$D$7)&lt;&gt;DAY(F633)),IF('депозитный калькулятор'!$F$1=1,$H$24,SUM($H$23:H633)-SUM($I$23:I632)),IF(AND('депозитный калькулятор'!$G$10="ежемесячное (по дням открытия вклада)",DAY('депозитный калькулятор'!$D$7)=DAY(F633)),SUM($H$23:H633)-SUM($I$23:I632),IF(AND('депозитный калькулятор'!$G$10="ежемесячное, на минимальную сумму зафиксированную в течение месяца",F633='депозитный калькулятор'!$D$8,EOMONTH(F633,0)&lt;&gt;F633),IF('депозитный калькулятор'!$F$1=1,$H$24,IF(AND(OR('депозитный калькулятор'!$G$7="30/365",'депозитный калькулятор'!$G$7="30/360"),DAY(F633)=31),0,MIN(OFFSET(H633,-E633+1,0):H633)*(E633+SUMIF(OFFSET(A633,-E633+1,0):A633,"=2",OFFSET(A633,-E633+1,0):A633)))),IF(AND('депозитный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калькулятор'!$G$7="30/360"),DAY(EOMONTH(F633,0))=31),EOMONTH(F633,0)-1=F633,EOMONTH(F633,0)=F633)),IF(IF(AND(OR('депозитный калькулятор'!$G$7="30/365",'депозитный калькулятор'!$G$7="30/360"),DAY(EOMONTH($F$23,0))=31),F633=EOMONTH($F$23,0)-1,F633=EOMONTH($F$23,0)),MIN(OFFSET(H633,-(DAY(F633)-DAY($F$23)),0):H633)*E633,MIN(OFFSET(H633,-(DAY(F633)-1),0):H633)*IF(AND(OR('депозитный калькулятор'!$G$7="30/365",'депозитный калькулятор'!$G$7="30/360"),DAY(F633)&lt;30),30,DAY(F633))),IF(AND('депозитный калькулятор'!$G$10="ежемесячное, на средний остаток в течение месяца, при условии что остаток больше чем ограничение",F633='депозитный калькулятор'!$D$8,EOMONTH(F633,0)&lt;&gt;F633),IF('депозитный калькулятор'!$F$1=1,$H$24,SUM(OFFSET(Q633,-E633+1,0):Q633)),IF(AND('депозитный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калькулятор'!$G$7="30/360"),DAY(EOMONTH(F633,0))=31),EOMONTH(F633,0)-1=F633,EOMONTH(F633,0)=F633)),IF(IF(AND(OR('депозитный калькулятор'!$G$7="30/365",'депозитный калькулятор'!$G$7="30/360"),DAY(EOMONTH($F$24,0))=31),F633=EOMONTH($F$24,0)-1,F633=EOMONTH($F$24,0)),SUM(OFFSET(Q633,-E633+1,0):Q633),SUM(OFFSET(Q633,-E633+1,0):Q633)),IF('депозитный калькулятор'!$G$10="ежеквартальное",IF(F633&gt;'депозитный калькулятор'!$D$8," ",IF(AND(EOMONTH(F633,0)=F633,OR(MONTH(F633)=3,MONTH(F633)=6,MONTH(F633)=9,MONTH(F633)=12)),IF(EDATE(F633,-3)&lt;'депозитный калькулятор'!$D$7,SUM($H$23:H633),IF(MOD(YEAR(F633),4)=0,IF(AND(EOMONTH(F633,0)=F633,OR(MONTH(F633)=3,MONTH(F633)=6)),SUM(OFFSET(H633,-90,0):H633),IF(AND(EOMONTH(F633,0)=F633,OR(MONTH(F633)=9,MONTH(F633)=12)),SUM(OFFSET(H633,-91,0):H633))),IF(AND(EOMONTH(F633,0)=F633,MONTH(F633)=3),SUM(OFFSET(H633,-89,0):H633),IF(AND(EOMONTH(F633,0)=F633,MONTH(F633)=6),SUM(OFFSET(H633,-90,0):H633),IF(AND(EOMONTH(F633,0)=F633,OR(MONTH(F633)=9,MONTH(F633)=12)),SUM(OFFSET(H633,-91,0):H633)))))),IF(F633='депозитный калькулятор'!$D$8,SUM($H$23:H633)-SUM($I$23:I632),0))),IF('депозитный калькулятор'!$G$10="ежегодное",IF(F633&gt;'депозитный калькулятор'!$D$8," ",IF(F633='депозитный калькулятор'!$D$8,SUM($H$23:H633)-SUM($I$23:I632),IF(AND(EOMONTH(F633,0)=F633,MONTH(F633)=12),IF(MOD(YEAR(F632),4)=0,IF(F633-'депозитный калькулятор'!$D$7&lt;366,SUM($H$23:H633),SUM(OFFSET(H633,-365,0):H633)),IF(F633-'депозитный калькулятор'!$D$7&lt;365,SUM($H$23:H633),SUM(OFFSET(H633,-364,0):H633))),0))),IF(AND('депозитный калькулятор'!$G$10="в конце срока",'депозитный калькулятор'!$D$8=F633),SUM($H$23:H633),0))))))))))))))))))</f>
        <v xml:space="preserve"> </v>
      </c>
      <c r="J633" s="59" t="str">
        <f>IF(F633&gt;'депозитный калькулятор'!$D$8," ",IF('депозитный калькулятор'!$G$16="нет",0,IF(AND('депозитный калькулятор'!$G$17="разовая (в конце срока)",F633='депозитный калькулятор'!$D$8),'депозитный калькулятор'!$G$18,IF(AND('депозитный калькулятор'!$G$17="ежемесячная",EOMONTH(F632,0)=F632),'депозитный калькулятор'!$G$18,IF(AND('депозитный калькулятор'!$G$17="ежегодная",DAY(F632)=31,MONTH(F632)=12),'депозитный калькулятор'!$G$18,IF(AND('депозитный калькулятор'!$G$17="ежемесячная в зависимости от остатка",EOMONTH(F632,0)=F632,P632&gt;0),'депозитный калькулятор'!$G$18,IF(AND('депозитный калькулятор'!$G$17="ежегодная в зависимости от остатка",DAY(F632)=31,MONTH(F632)=12,P632&gt;0),'депозитный калькулятор'!$G$18,0)))))))</f>
        <v xml:space="preserve"> </v>
      </c>
      <c r="K633" s="135" t="str">
        <f>IF($F633=" "," ",IFERROR(VLOOKUP($F633,'депозитный калькулятор'!$B$26:$F$70,2,0),0))</f>
        <v xml:space="preserve"> </v>
      </c>
      <c r="L633" s="135" t="str">
        <f>IF($F633=" "," ",IFERROR(VLOOKUP($F633,'депозитный калькулятор'!$B$26:$F$70,3,0),0))</f>
        <v xml:space="preserve"> </v>
      </c>
      <c r="M633" s="135" t="str">
        <f>IF($F633=" "," ",IFERROR(VLOOKUP($F633,'депозитный калькулятор'!$B$26:$F$70,4,0),0))</f>
        <v xml:space="preserve"> </v>
      </c>
      <c r="N633" s="135" t="str">
        <f>IF($F633=" "," ",IFERROR(VLOOKUP($F633,'депозитный калькулятор'!$B$26:$F$70,5,0),0))</f>
        <v xml:space="preserve"> </v>
      </c>
      <c r="O633" s="146" t="str">
        <f>IF(F633&gt;'депозитный калькулятор'!$D$8," ",IF(F633='депозитный калькулятор'!$D$8,IF(AND($F$24='депозитный калькулятор'!$D$8,'депозитный калькулятор'!$G$13="нет"),-G633-IF(I633=" ",0,I633)-IF(AND(OR('депозитный калькулятор'!$G$7="30/365",'депозитный калькулятор'!$G$7="30/360"),'депозитный калькулятор'!$G$10="в начале срока"),I632,0)-L633+M633-N633,-G633-IF(I633=" ",0,I633)-L633+M633-N633),IF('депозитный калькулятор'!$G$13="есть",M633-N633+IF('депозитный калькулятор'!$G$14="есть",0,-L633),-IF(I633=" ",0,I633)-IF(AND(OR('депозитный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срока"),I632,0)+M633-N633+IF('депозитный калькулятор'!$G$14="есть",0,-L633))))</f>
        <v xml:space="preserve"> </v>
      </c>
      <c r="P633" s="147" t="str">
        <f>IF(F633&gt;'депозитный калькулятор'!$D$8," ",IF(EOMONTH(F632,0)=F632,0,IF(G633&gt;='депозитный калькулятор'!$G$19,P632,P632+1)))</f>
        <v xml:space="preserve"> </v>
      </c>
      <c r="Q633" s="138" t="str">
        <f>IF(F633=" "," ",IF(AND(OR('депозитный калькулятор'!$G$7="30/365",'депозитный калькулятор'!$G$7="30/360"),AND(MONTH(F633)=2,EOMONTH(F633,0)=F633)),IF(DAY(F633)=28,3,2),1)*IF(G633&gt;='депозитный калькулятор'!$G$11,IF(AND('депозитный калькулятор'!$G$7="факт/факт",MOD(YEAR(F633),4)=0),G633*'депозитный калькулятор'!$D$11/366,G633*'депозитный калькулятор'!$G$8),0))</f>
        <v xml:space="preserve"> </v>
      </c>
      <c r="R633" s="158"/>
      <c r="S633" s="62" t="str">
        <f t="shared" ca="1" si="47"/>
        <v xml:space="preserve"> </v>
      </c>
      <c r="T633" s="149" t="str">
        <f ca="1">IF(S633=" "," ",IF('депозитный калькулятор'!$G$7="30/360",DAYS360(U632,IF(DAY(U633)=31,U633-1,U633))+IF(AND(MONTH(U633)=2,U633=EOMONTH(U633,0)),30-DAY(EOMONTH(U633,0)))+T632,VLOOKUP(S633,$C$22:$F$1023,2,0)))</f>
        <v xml:space="preserve"> </v>
      </c>
      <c r="U633" s="64" t="str">
        <f t="shared" ca="1" si="45"/>
        <v xml:space="preserve"> </v>
      </c>
      <c r="V633" s="150" t="str">
        <f t="shared" ca="1" si="48"/>
        <v xml:space="preserve"> </v>
      </c>
      <c r="W633" s="62" t="str">
        <f t="shared" ca="1" si="49"/>
        <v xml:space="preserve"> </v>
      </c>
      <c r="X633" s="141" t="str">
        <f ca="1">IF(S633=" "," ",IFERROR(VLOOKUP(U633,$F$23:$N$1023,7)+VLOOKUP(U633,$F$23:$N$1023,9)+IF(AND('депозитный калькулятор'!$G$13="нет",U633&lt;&gt;'депозитный калькулятор'!$D$8),VLOOKUP(U633,$F$23:$N$1023,4),0),0)+IF(U633='депозитный калькулятор'!$D$8,VLOOKUP(U633,$F$23:$N$1023,2)+VLOOKUP(U633,$F$23:$N$1023,4),0))</f>
        <v xml:space="preserve"> </v>
      </c>
      <c r="Y633" s="142" t="str">
        <f ca="1">IF(S633=" "," ",W633/(1+'депозитный калькулятор'!$K$8)^(T633/IF('депозитный калькулятор'!$G$7="30/360",360,365)))</f>
        <v xml:space="preserve"> </v>
      </c>
      <c r="Z633" s="142" t="str">
        <f ca="1">IF(S633=" "," ",X633/(1+'депозитный калькулятор'!$K$8)^(T633/IF('депозитный калькулятор'!$G$7="30/360",360,365)))</f>
        <v xml:space="preserve"> </v>
      </c>
      <c r="AA633" s="151"/>
      <c r="AB633" s="151"/>
      <c r="AC633" s="155"/>
      <c r="AD633" s="155"/>
    </row>
    <row r="634" spans="1:30" s="2" customFormat="1" ht="15.5" x14ac:dyDescent="0.35">
      <c r="A634" s="41" t="str">
        <f>IF(F634=" "," ",IF(OR('депозитный калькулятор'!$G$7="30/365",'депозитный калькулятор'!$G$7="30/360"),IF(AND(MONTH(F634)=2,DAY(F634)=DAY(EOMONTH(F634,0))),30-DAY(EOMONTH(F634,0)),IF(DAY(F634)=31,1," "))," "))</f>
        <v xml:space="preserve"> </v>
      </c>
      <c r="B634" s="130" t="str">
        <f t="shared" si="46"/>
        <v xml:space="preserve"> </v>
      </c>
      <c r="C634" s="130" t="str">
        <f>IF(OR(B634=0,B634=" ")," ",SUM($B$23:B634))</f>
        <v xml:space="preserve"> </v>
      </c>
      <c r="D634" s="62" t="str">
        <f>IF(D633=" "," ",IF(OR(F633='депозитный калькулятор'!$D$8,F633=" ")," ",D633+1))</f>
        <v xml:space="preserve"> </v>
      </c>
      <c r="E634" s="130" t="str">
        <f>IF(OR(F633='депозитный калькулятор'!$D$8,F633=" ")," ",IF(EOMONTH(F633,0)=F633,1,E633+1))</f>
        <v xml:space="preserve"> </v>
      </c>
      <c r="F634" s="64" t="str">
        <f>IF(F633=" "," ",IF(F633='депозитный калькулятор'!$D$8," ",F633+1))</f>
        <v xml:space="preserve"> </v>
      </c>
      <c r="G634" s="145" t="str">
        <f xml:space="preserve"> IF(F634&gt;'депозитный калькулятор'!$D$8," ",IF('депозитный калькулятор'!$G$13="есть",IF('депозитный калькулятор'!$G$14="есть",G633+IF(I633=" ",0,I633)-J634-K634+L634+M634-N634,G633+IF(I633=" ",0,I633)-J634-K634+M634-N634),IF('депозитный калькулятор'!$G$14="есть",G633-J634-K634+L634+M634-N634,G633-J634-K634+M634-N634)))</f>
        <v xml:space="preserve"> </v>
      </c>
      <c r="H634" s="133" t="str">
        <f>IF(F634&gt;'депозитный калькулятор'!$D$8," ",IF(AND(OR('депозитный калькулятор'!$G$7="30/365",'депозитный калькулятор'!$G$7="30/360"),AND(MONTH(F634)=2,EOMONTH(F634,0)=F634)),IF(DAY(F634)=28,3*G634*'депозитный калькулятор'!$G$8,2*G634*'депозитный калькулятор'!$G$8),IF(AND(OR('депозитный калькулятор'!$G$7="30/365",'депозитный калькулятор'!$G$7="30/360"),DAY(F634)=31)," ",IF(AND('депозитный калькулятор'!$G$7="факт/факт",MOD(YEAR(F634),4)=0),G634*'депозитный калькулятор'!$D$11/366,G634*'депозитный калькулятор'!$G$8))))</f>
        <v xml:space="preserve"> </v>
      </c>
      <c r="I634" s="134" t="str">
        <f ca="1">IF(F634=" "," ",IF('депозитный калькулятор'!$G$10="ежедневное",H634,IF(AND('депозитный калькулятор'!$G$10="еженедельное",WEEKDAY(F634,2)=7),SUM(OFFSET(H634,-6,0):H634),IF(AND('депозитный калькулятор'!$G$10="еженедельное",F634='депозитный калькулятор'!$D$8),SUM($H$23:H634)-SUM($I$23:I633),IF(AND('депозитный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недели",WEEKDAY(F634,2)=7),MIN(OFFSET(H634,-6,0):H634)*(COUNTIF(OFFSET(H634,-6,0):H634,"&gt;0")+SUMIF(OFFSET(A634,-WEEKDAY(F634,2),0):A634,"=2",OFFSET(A634,-WEEKDAY(F634,2),0):A634)),IF(AND('депозитный калькулятор'!$G$10="еженедельное, на минимальную сумму зафиксированную в течение недели",F634='депозитный калькулятор'!$D$8,WEEKDAY(F634,2)&lt;&gt;7),MIN(OFFSET(H634,-WEEKDAY(F634,2),0):H634)*(COUNTIF(OFFSET(H634,-WEEKDAY(F634,2)+1,0):H634,"&gt;0")+SUM(OFFSET(A634,-WEEKDAY(F634,2),0):A634)),IF(AND('депозитный калькулятор'!$G$10="ежемесячное (в конце месяца)",F634='депозитный калькулятор'!$D$8,EOMONTH(F634,0)&lt;&gt;F634),IF('депозитный калькулятор'!$F$1=1,$H$24,SUM($H$23:H634)-SUM($I$23:I633)),IF(AND('депозитный калькулятор'!$G$10="ежемесячное (в конце месяца)",EOMONTH(F634,0)=F634),SUM($H$23:H634)-SUM($I$23:I633),IF(AND('депозитный калькулятор'!$G$10="ежемесячное (по дням открытия вклада)",F634='депозитный калькулятор'!$D$8,DAY('депозитный калькулятор'!$D$7)&lt;&gt;DAY(F634)),IF('депозитный калькулятор'!$F$1=1,$H$24,SUM($H$23:H634)-SUM($I$23:I633)),IF(AND('депозитный калькулятор'!$G$10="ежемесячное (по дням открытия вклада)",DAY('депозитный калькулятор'!$D$7)=DAY(F634)),SUM($H$23:H634)-SUM($I$23:I633),IF(AND('депозитный калькулятор'!$G$10="ежемесячное, на минимальную сумму зафиксированную в течение месяца",F634='депозитный калькулятор'!$D$8,EOMONTH(F634,0)&lt;&gt;F634),IF('депозитный калькулятор'!$F$1=1,$H$24,IF(AND(OR('депозитный калькулятор'!$G$7="30/365",'депозитный калькулятор'!$G$7="30/360"),DAY(F634)=31),0,MIN(OFFSET(H634,-E634+1,0):H634)*(E634+SUMIF(OFFSET(A634,-E634+1,0):A634,"=2",OFFSET(A634,-E634+1,0):A634)))),IF(AND('депозитный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калькулятор'!$G$7="30/360"),DAY(EOMONTH(F634,0))=31),EOMONTH(F634,0)-1=F634,EOMONTH(F634,0)=F634)),IF(IF(AND(OR('депозитный калькулятор'!$G$7="30/365",'депозитный калькулятор'!$G$7="30/360"),DAY(EOMONTH($F$23,0))=31),F634=EOMONTH($F$23,0)-1,F634=EOMONTH($F$23,0)),MIN(OFFSET(H634,-(DAY(F634)-DAY($F$23)),0):H634)*E634,MIN(OFFSET(H634,-(DAY(F634)-1),0):H634)*IF(AND(OR('депозитный калькулятор'!$G$7="30/365",'депозитный калькулятор'!$G$7="30/360"),DAY(F634)&lt;30),30,DAY(F634))),IF(AND('депозитный калькулятор'!$G$10="ежемесячное, на средний остаток в течение месяца, при условии что остаток больше чем ограничение",F634='депозитный калькулятор'!$D$8,EOMONTH(F634,0)&lt;&gt;F634),IF('депозитный калькулятор'!$F$1=1,$H$24,SUM(OFFSET(Q634,-E634+1,0):Q634)),IF(AND('депозитный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калькулятор'!$G$7="30/360"),DAY(EOMONTH(F634,0))=31),EOMONTH(F634,0)-1=F634,EOMONTH(F634,0)=F634)),IF(IF(AND(OR('депозитный калькулятор'!$G$7="30/365",'депозитный калькулятор'!$G$7="30/360"),DAY(EOMONTH($F$24,0))=31),F634=EOMONTH($F$24,0)-1,F634=EOMONTH($F$24,0)),SUM(OFFSET(Q634,-E634+1,0):Q634),SUM(OFFSET(Q634,-E634+1,0):Q634)),IF('депозитный калькулятор'!$G$10="ежеквартальное",IF(F634&gt;'депозитный калькулятор'!$D$8," ",IF(AND(EOMONTH(F634,0)=F634,OR(MONTH(F634)=3,MONTH(F634)=6,MONTH(F634)=9,MONTH(F634)=12)),IF(EDATE(F634,-3)&lt;'депозитный калькулятор'!$D$7,SUM($H$23:H634),IF(MOD(YEAR(F634),4)=0,IF(AND(EOMONTH(F634,0)=F634,OR(MONTH(F634)=3,MONTH(F634)=6)),SUM(OFFSET(H634,-90,0):H634),IF(AND(EOMONTH(F634,0)=F634,OR(MONTH(F634)=9,MONTH(F634)=12)),SUM(OFFSET(H634,-91,0):H634))),IF(AND(EOMONTH(F634,0)=F634,MONTH(F634)=3),SUM(OFFSET(H634,-89,0):H634),IF(AND(EOMONTH(F634,0)=F634,MONTH(F634)=6),SUM(OFFSET(H634,-90,0):H634),IF(AND(EOMONTH(F634,0)=F634,OR(MONTH(F634)=9,MONTH(F634)=12)),SUM(OFFSET(H634,-91,0):H634)))))),IF(F634='депозитный калькулятор'!$D$8,SUM($H$23:H634)-SUM($I$23:I633),0))),IF('депозитный калькулятор'!$G$10="ежегодное",IF(F634&gt;'депозитный калькулятор'!$D$8," ",IF(F634='депозитный калькулятор'!$D$8,SUM($H$23:H634)-SUM($I$23:I633),IF(AND(EOMONTH(F634,0)=F634,MONTH(F634)=12),IF(MOD(YEAR(F633),4)=0,IF(F634-'депозитный калькулятор'!$D$7&lt;366,SUM($H$23:H634),SUM(OFFSET(H634,-365,0):H634)),IF(F634-'депозитный калькулятор'!$D$7&lt;365,SUM($H$23:H634),SUM(OFFSET(H634,-364,0):H634))),0))),IF(AND('депозитный калькулятор'!$G$10="в конце срока",'депозитный калькулятор'!$D$8=F634),SUM($H$23:H634),0))))))))))))))))))</f>
        <v xml:space="preserve"> </v>
      </c>
      <c r="J634" s="59" t="str">
        <f>IF(F634&gt;'депозитный калькулятор'!$D$8," ",IF('депозитный калькулятор'!$G$16="нет",0,IF(AND('депозитный калькулятор'!$G$17="разовая (в конце срока)",F634='депозитный калькулятор'!$D$8),'депозитный калькулятор'!$G$18,IF(AND('депозитный калькулятор'!$G$17="ежемесячная",EOMONTH(F633,0)=F633),'депозитный калькулятор'!$G$18,IF(AND('депозитный калькулятор'!$G$17="ежегодная",DAY(F633)=31,MONTH(F633)=12),'депозитный калькулятор'!$G$18,IF(AND('депозитный калькулятор'!$G$17="ежемесячная в зависимости от остатка",EOMONTH(F633,0)=F633,P633&gt;0),'депозитный калькулятор'!$G$18,IF(AND('депозитный калькулятор'!$G$17="ежегодная в зависимости от остатка",DAY(F633)=31,MONTH(F633)=12,P633&gt;0),'депозитный калькулятор'!$G$18,0)))))))</f>
        <v xml:space="preserve"> </v>
      </c>
      <c r="K634" s="135" t="str">
        <f>IF($F634=" "," ",IFERROR(VLOOKUP($F634,'депозитный калькулятор'!$B$26:$F$70,2,0),0))</f>
        <v xml:space="preserve"> </v>
      </c>
      <c r="L634" s="135" t="str">
        <f>IF($F634=" "," ",IFERROR(VLOOKUP($F634,'депозитный калькулятор'!$B$26:$F$70,3,0),0))</f>
        <v xml:space="preserve"> </v>
      </c>
      <c r="M634" s="135" t="str">
        <f>IF($F634=" "," ",IFERROR(VLOOKUP($F634,'депозитный калькулятор'!$B$26:$F$70,4,0),0))</f>
        <v xml:space="preserve"> </v>
      </c>
      <c r="N634" s="135" t="str">
        <f>IF($F634=" "," ",IFERROR(VLOOKUP($F634,'депозитный калькулятор'!$B$26:$F$70,5,0),0))</f>
        <v xml:space="preserve"> </v>
      </c>
      <c r="O634" s="146" t="str">
        <f>IF(F634&gt;'депозитный калькулятор'!$D$8," ",IF(F634='депозитный калькулятор'!$D$8,IF(AND($F$24='депозитный калькулятор'!$D$8,'депозитный калькулятор'!$G$13="нет"),-G634-IF(I634=" ",0,I634)-IF(AND(OR('депозитный калькулятор'!$G$7="30/365",'депозитный калькулятор'!$G$7="30/360"),'депозитный калькулятор'!$G$10="в начале срока"),I633,0)-L634+M634-N634,-G634-IF(I634=" ",0,I634)-L634+M634-N634),IF('депозитный калькулятор'!$G$13="есть",M634-N634+IF('депозитный калькулятор'!$G$14="есть",0,-L634),-IF(I634=" ",0,I634)-IF(AND(OR('депозитный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срока"),I633,0)+M634-N634+IF('депозитный калькулятор'!$G$14="есть",0,-L634))))</f>
        <v xml:space="preserve"> </v>
      </c>
      <c r="P634" s="147" t="str">
        <f>IF(F634&gt;'депозитный калькулятор'!$D$8," ",IF(EOMONTH(F633,0)=F633,0,IF(G634&gt;='депозитный калькулятор'!$G$19,P633,P633+1)))</f>
        <v xml:space="preserve"> </v>
      </c>
      <c r="Q634" s="138" t="str">
        <f>IF(F634=" "," ",IF(AND(OR('депозитный калькулятор'!$G$7="30/365",'депозитный калькулятор'!$G$7="30/360"),AND(MONTH(F634)=2,EOMONTH(F634,0)=F634)),IF(DAY(F634)=28,3,2),1)*IF(G634&gt;='депозитный калькулятор'!$G$11,IF(AND('депозитный калькулятор'!$G$7="факт/факт",MOD(YEAR(F634),4)=0),G634*'депозитный калькулятор'!$D$11/366,G634*'депозитный калькулятор'!$G$8),0))</f>
        <v xml:space="preserve"> </v>
      </c>
      <c r="R634" s="158"/>
      <c r="S634" s="62" t="str">
        <f t="shared" ca="1" si="47"/>
        <v xml:space="preserve"> </v>
      </c>
      <c r="T634" s="149" t="str">
        <f ca="1">IF(S634=" "," ",IF('депозитный калькулятор'!$G$7="30/360",DAYS360(U633,IF(DAY(U634)=31,U634-1,U634))+IF(AND(MONTH(U634)=2,U634=EOMONTH(U634,0)),30-DAY(EOMONTH(U634,0)))+T633,VLOOKUP(S634,$C$22:$F$1023,2,0)))</f>
        <v xml:space="preserve"> </v>
      </c>
      <c r="U634" s="64" t="str">
        <f t="shared" ca="1" si="45"/>
        <v xml:space="preserve"> </v>
      </c>
      <c r="V634" s="150" t="str">
        <f t="shared" ca="1" si="48"/>
        <v xml:space="preserve"> </v>
      </c>
      <c r="W634" s="62" t="str">
        <f t="shared" ca="1" si="49"/>
        <v xml:space="preserve"> </v>
      </c>
      <c r="X634" s="141" t="str">
        <f ca="1">IF(S634=" "," ",IFERROR(VLOOKUP(U634,$F$23:$N$1023,7)+VLOOKUP(U634,$F$23:$N$1023,9)+IF(AND('депозитный калькулятор'!$G$13="нет",U634&lt;&gt;'депозитный калькулятор'!$D$8),VLOOKUP(U634,$F$23:$N$1023,4),0),0)+IF(U634='депозитный калькулятор'!$D$8,VLOOKUP(U634,$F$23:$N$1023,2)+VLOOKUP(U634,$F$23:$N$1023,4),0))</f>
        <v xml:space="preserve"> </v>
      </c>
      <c r="Y634" s="142" t="str">
        <f ca="1">IF(S634=" "," ",W634/(1+'депозитный калькулятор'!$K$8)^(T634/IF('депозитный калькулятор'!$G$7="30/360",360,365)))</f>
        <v xml:space="preserve"> </v>
      </c>
      <c r="Z634" s="142" t="str">
        <f ca="1">IF(S634=" "," ",X634/(1+'депозитный калькулятор'!$K$8)^(T634/IF('депозитный калькулятор'!$G$7="30/360",360,365)))</f>
        <v xml:space="preserve"> </v>
      </c>
      <c r="AA634" s="151"/>
      <c r="AB634" s="151"/>
      <c r="AC634" s="155"/>
      <c r="AD634" s="155"/>
    </row>
    <row r="635" spans="1:30" s="2" customFormat="1" ht="15.5" x14ac:dyDescent="0.35">
      <c r="A635" s="41" t="str">
        <f>IF(F635=" "," ",IF(OR('депозитный калькулятор'!$G$7="30/365",'депозитный калькулятор'!$G$7="30/360"),IF(AND(MONTH(F635)=2,DAY(F635)=DAY(EOMONTH(F635,0))),30-DAY(EOMONTH(F635,0)),IF(DAY(F635)=31,1," "))," "))</f>
        <v xml:space="preserve"> </v>
      </c>
      <c r="B635" s="130" t="str">
        <f t="shared" si="46"/>
        <v xml:space="preserve"> </v>
      </c>
      <c r="C635" s="130" t="str">
        <f>IF(OR(B635=0,B635=" ")," ",SUM($B$23:B635))</f>
        <v xml:space="preserve"> </v>
      </c>
      <c r="D635" s="62" t="str">
        <f>IF(D634=" "," ",IF(OR(F634='депозитный калькулятор'!$D$8,F634=" ")," ",D634+1))</f>
        <v xml:space="preserve"> </v>
      </c>
      <c r="E635" s="130" t="str">
        <f>IF(OR(F634='депозитный калькулятор'!$D$8,F634=" ")," ",IF(EOMONTH(F634,0)=F634,1,E634+1))</f>
        <v xml:space="preserve"> </v>
      </c>
      <c r="F635" s="64" t="str">
        <f>IF(F634=" "," ",IF(F634='депозитный калькулятор'!$D$8," ",F634+1))</f>
        <v xml:space="preserve"> </v>
      </c>
      <c r="G635" s="145" t="str">
        <f xml:space="preserve"> IF(F635&gt;'депозитный калькулятор'!$D$8," ",IF('депозитный калькулятор'!$G$13="есть",IF('депозитный калькулятор'!$G$14="есть",G634+IF(I634=" ",0,I634)-J635-K635+L635+M635-N635,G634+IF(I634=" ",0,I634)-J635-K635+M635-N635),IF('депозитный калькулятор'!$G$14="есть",G634-J635-K635+L635+M635-N635,G634-J635-K635+M635-N635)))</f>
        <v xml:space="preserve"> </v>
      </c>
      <c r="H635" s="133" t="str">
        <f>IF(F635&gt;'депозитный калькулятор'!$D$8," ",IF(AND(OR('депозитный калькулятор'!$G$7="30/365",'депозитный калькулятор'!$G$7="30/360"),AND(MONTH(F635)=2,EOMONTH(F635,0)=F635)),IF(DAY(F635)=28,3*G635*'депозитный калькулятор'!$G$8,2*G635*'депозитный калькулятор'!$G$8),IF(AND(OR('депозитный калькулятор'!$G$7="30/365",'депозитный калькулятор'!$G$7="30/360"),DAY(F635)=31)," ",IF(AND('депозитный калькулятор'!$G$7="факт/факт",MOD(YEAR(F635),4)=0),G635*'депозитный калькулятор'!$D$11/366,G635*'депозитный калькулятор'!$G$8))))</f>
        <v xml:space="preserve"> </v>
      </c>
      <c r="I635" s="134" t="str">
        <f ca="1">IF(F635=" "," ",IF('депозитный калькулятор'!$G$10="ежедневное",H635,IF(AND('депозитный калькулятор'!$G$10="еженедельное",WEEKDAY(F635,2)=7),SUM(OFFSET(H635,-6,0):H635),IF(AND('депозитный калькулятор'!$G$10="еженедельное",F635='депозитный калькулятор'!$D$8),SUM($H$23:H635)-SUM($I$23:I634),IF(AND('депозитный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недели",WEEKDAY(F635,2)=7),MIN(OFFSET(H635,-6,0):H635)*(COUNTIF(OFFSET(H635,-6,0):H635,"&gt;0")+SUMIF(OFFSET(A635,-WEEKDAY(F635,2),0):A635,"=2",OFFSET(A635,-WEEKDAY(F635,2),0):A635)),IF(AND('депозитный калькулятор'!$G$10="еженедельное, на минимальную сумму зафиксированную в течение недели",F635='депозитный калькулятор'!$D$8,WEEKDAY(F635,2)&lt;&gt;7),MIN(OFFSET(H635,-WEEKDAY(F635,2),0):H635)*(COUNTIF(OFFSET(H635,-WEEKDAY(F635,2)+1,0):H635,"&gt;0")+SUM(OFFSET(A635,-WEEKDAY(F635,2),0):A635)),IF(AND('депозитный калькулятор'!$G$10="ежемесячное (в конце месяца)",F635='депозитный калькулятор'!$D$8,EOMONTH(F635,0)&lt;&gt;F635),IF('депозитный калькулятор'!$F$1=1,$H$24,SUM($H$23:H635)-SUM($I$23:I634)),IF(AND('депозитный калькулятор'!$G$10="ежемесячное (в конце месяца)",EOMONTH(F635,0)=F635),SUM($H$23:H635)-SUM($I$23:I634),IF(AND('депозитный калькулятор'!$G$10="ежемесячное (по дням открытия вклада)",F635='депозитный калькулятор'!$D$8,DAY('депозитный калькулятор'!$D$7)&lt;&gt;DAY(F635)),IF('депозитный калькулятор'!$F$1=1,$H$24,SUM($H$23:H635)-SUM($I$23:I634)),IF(AND('депозитный калькулятор'!$G$10="ежемесячное (по дням открытия вклада)",DAY('депозитный калькулятор'!$D$7)=DAY(F635)),SUM($H$23:H635)-SUM($I$23:I634),IF(AND('депозитный калькулятор'!$G$10="ежемесячное, на минимальную сумму зафиксированную в течение месяца",F635='депозитный калькулятор'!$D$8,EOMONTH(F635,0)&lt;&gt;F635),IF('депозитный калькулятор'!$F$1=1,$H$24,IF(AND(OR('депозитный калькулятор'!$G$7="30/365",'депозитный калькулятор'!$G$7="30/360"),DAY(F635)=31),0,MIN(OFFSET(H635,-E635+1,0):H635)*(E635+SUMIF(OFFSET(A635,-E635+1,0):A635,"=2",OFFSET(A635,-E635+1,0):A635)))),IF(AND('депозитный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калькулятор'!$G$7="30/360"),DAY(EOMONTH(F635,0))=31),EOMONTH(F635,0)-1=F635,EOMONTH(F635,0)=F635)),IF(IF(AND(OR('депозитный калькулятор'!$G$7="30/365",'депозитный калькулятор'!$G$7="30/360"),DAY(EOMONTH($F$23,0))=31),F635=EOMONTH($F$23,0)-1,F635=EOMONTH($F$23,0)),MIN(OFFSET(H635,-(DAY(F635)-DAY($F$23)),0):H635)*E635,MIN(OFFSET(H635,-(DAY(F635)-1),0):H635)*IF(AND(OR('депозитный калькулятор'!$G$7="30/365",'депозитный калькулятор'!$G$7="30/360"),DAY(F635)&lt;30),30,DAY(F635))),IF(AND('депозитный калькулятор'!$G$10="ежемесячное, на средний остаток в течение месяца, при условии что остаток больше чем ограничение",F635='депозитный калькулятор'!$D$8,EOMONTH(F635,0)&lt;&gt;F635),IF('депозитный калькулятор'!$F$1=1,$H$24,SUM(OFFSET(Q635,-E635+1,0):Q635)),IF(AND('депозитный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калькулятор'!$G$7="30/360"),DAY(EOMONTH(F635,0))=31),EOMONTH(F635,0)-1=F635,EOMONTH(F635,0)=F635)),IF(IF(AND(OR('депозитный калькулятор'!$G$7="30/365",'депозитный калькулятор'!$G$7="30/360"),DAY(EOMONTH($F$24,0))=31),F635=EOMONTH($F$24,0)-1,F635=EOMONTH($F$24,0)),SUM(OFFSET(Q635,-E635+1,0):Q635),SUM(OFFSET(Q635,-E635+1,0):Q635)),IF('депозитный калькулятор'!$G$10="ежеквартальное",IF(F635&gt;'депозитный калькулятор'!$D$8," ",IF(AND(EOMONTH(F635,0)=F635,OR(MONTH(F635)=3,MONTH(F635)=6,MONTH(F635)=9,MONTH(F635)=12)),IF(EDATE(F635,-3)&lt;'депозитный калькулятор'!$D$7,SUM($H$23:H635),IF(MOD(YEAR(F635),4)=0,IF(AND(EOMONTH(F635,0)=F635,OR(MONTH(F635)=3,MONTH(F635)=6)),SUM(OFFSET(H635,-90,0):H635),IF(AND(EOMONTH(F635,0)=F635,OR(MONTH(F635)=9,MONTH(F635)=12)),SUM(OFFSET(H635,-91,0):H635))),IF(AND(EOMONTH(F635,0)=F635,MONTH(F635)=3),SUM(OFFSET(H635,-89,0):H635),IF(AND(EOMONTH(F635,0)=F635,MONTH(F635)=6),SUM(OFFSET(H635,-90,0):H635),IF(AND(EOMONTH(F635,0)=F635,OR(MONTH(F635)=9,MONTH(F635)=12)),SUM(OFFSET(H635,-91,0):H635)))))),IF(F635='депозитный калькулятор'!$D$8,SUM($H$23:H635)-SUM($I$23:I634),0))),IF('депозитный калькулятор'!$G$10="ежегодное",IF(F635&gt;'депозитный калькулятор'!$D$8," ",IF(F635='депозитный калькулятор'!$D$8,SUM($H$23:H635)-SUM($I$23:I634),IF(AND(EOMONTH(F635,0)=F635,MONTH(F635)=12),IF(MOD(YEAR(F634),4)=0,IF(F635-'депозитный калькулятор'!$D$7&lt;366,SUM($H$23:H635),SUM(OFFSET(H635,-365,0):H635)),IF(F635-'депозитный калькулятор'!$D$7&lt;365,SUM($H$23:H635),SUM(OFFSET(H635,-364,0):H635))),0))),IF(AND('депозитный калькулятор'!$G$10="в конце срока",'депозитный калькулятор'!$D$8=F635),SUM($H$23:H635),0))))))))))))))))))</f>
        <v xml:space="preserve"> </v>
      </c>
      <c r="J635" s="59" t="str">
        <f>IF(F635&gt;'депозитный калькулятор'!$D$8," ",IF('депозитный калькулятор'!$G$16="нет",0,IF(AND('депозитный калькулятор'!$G$17="разовая (в конце срока)",F635='депозитный калькулятор'!$D$8),'депозитный калькулятор'!$G$18,IF(AND('депозитный калькулятор'!$G$17="ежемесячная",EOMONTH(F634,0)=F634),'депозитный калькулятор'!$G$18,IF(AND('депозитный калькулятор'!$G$17="ежегодная",DAY(F634)=31,MONTH(F634)=12),'депозитный калькулятор'!$G$18,IF(AND('депозитный калькулятор'!$G$17="ежемесячная в зависимости от остатка",EOMONTH(F634,0)=F634,P634&gt;0),'депозитный калькулятор'!$G$18,IF(AND('депозитный калькулятор'!$G$17="ежегодная в зависимости от остатка",DAY(F634)=31,MONTH(F634)=12,P634&gt;0),'депозитный калькулятор'!$G$18,0)))))))</f>
        <v xml:space="preserve"> </v>
      </c>
      <c r="K635" s="135" t="str">
        <f>IF($F635=" "," ",IFERROR(VLOOKUP($F635,'депозитный калькулятор'!$B$26:$F$70,2,0),0))</f>
        <v xml:space="preserve"> </v>
      </c>
      <c r="L635" s="135" t="str">
        <f>IF($F635=" "," ",IFERROR(VLOOKUP($F635,'депозитный калькулятор'!$B$26:$F$70,3,0),0))</f>
        <v xml:space="preserve"> </v>
      </c>
      <c r="M635" s="135" t="str">
        <f>IF($F635=" "," ",IFERROR(VLOOKUP($F635,'депозитный калькулятор'!$B$26:$F$70,4,0),0))</f>
        <v xml:space="preserve"> </v>
      </c>
      <c r="N635" s="135" t="str">
        <f>IF($F635=" "," ",IFERROR(VLOOKUP($F635,'депозитный калькулятор'!$B$26:$F$70,5,0),0))</f>
        <v xml:space="preserve"> </v>
      </c>
      <c r="O635" s="146" t="str">
        <f>IF(F635&gt;'депозитный калькулятор'!$D$8," ",IF(F635='депозитный калькулятор'!$D$8,IF(AND($F$24='депозитный калькулятор'!$D$8,'депозитный калькулятор'!$G$13="нет"),-G635-IF(I635=" ",0,I635)-IF(AND(OR('депозитный калькулятор'!$G$7="30/365",'депозитный калькулятор'!$G$7="30/360"),'депозитный калькулятор'!$G$10="в начале срока"),I634,0)-L635+M635-N635,-G635-IF(I635=" ",0,I635)-L635+M635-N635),IF('депозитный калькулятор'!$G$13="есть",M635-N635+IF('депозитный калькулятор'!$G$14="есть",0,-L635),-IF(I635=" ",0,I635)-IF(AND(OR('депозитный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срока"),I634,0)+M635-N635+IF('депозитный калькулятор'!$G$14="есть",0,-L635))))</f>
        <v xml:space="preserve"> </v>
      </c>
      <c r="P635" s="147" t="str">
        <f>IF(F635&gt;'депозитный калькулятор'!$D$8," ",IF(EOMONTH(F634,0)=F634,0,IF(G635&gt;='депозитный калькулятор'!$G$19,P634,P634+1)))</f>
        <v xml:space="preserve"> </v>
      </c>
      <c r="Q635" s="138" t="str">
        <f>IF(F635=" "," ",IF(AND(OR('депозитный калькулятор'!$G$7="30/365",'депозитный калькулятор'!$G$7="30/360"),AND(MONTH(F635)=2,EOMONTH(F635,0)=F635)),IF(DAY(F635)=28,3,2),1)*IF(G635&gt;='депозитный калькулятор'!$G$11,IF(AND('депозитный калькулятор'!$G$7="факт/факт",MOD(YEAR(F635),4)=0),G635*'депозитный калькулятор'!$D$11/366,G635*'депозитный калькулятор'!$G$8),0))</f>
        <v xml:space="preserve"> </v>
      </c>
      <c r="R635" s="158"/>
      <c r="S635" s="62" t="str">
        <f t="shared" ca="1" si="47"/>
        <v xml:space="preserve"> </v>
      </c>
      <c r="T635" s="149" t="str">
        <f ca="1">IF(S635=" "," ",IF('депозитный калькулятор'!$G$7="30/360",DAYS360(U634,IF(DAY(U635)=31,U635-1,U635))+IF(AND(MONTH(U635)=2,U635=EOMONTH(U635,0)),30-DAY(EOMONTH(U635,0)))+T634,VLOOKUP(S635,$C$22:$F$1023,2,0)))</f>
        <v xml:space="preserve"> </v>
      </c>
      <c r="U635" s="64" t="str">
        <f t="shared" ca="1" si="45"/>
        <v xml:space="preserve"> </v>
      </c>
      <c r="V635" s="150" t="str">
        <f t="shared" ca="1" si="48"/>
        <v xml:space="preserve"> </v>
      </c>
      <c r="W635" s="62" t="str">
        <f t="shared" ca="1" si="49"/>
        <v xml:space="preserve"> </v>
      </c>
      <c r="X635" s="141" t="str">
        <f ca="1">IF(S635=" "," ",IFERROR(VLOOKUP(U635,$F$23:$N$1023,7)+VLOOKUP(U635,$F$23:$N$1023,9)+IF(AND('депозитный калькулятор'!$G$13="нет",U635&lt;&gt;'депозитный калькулятор'!$D$8),VLOOKUP(U635,$F$23:$N$1023,4),0),0)+IF(U635='депозитный калькулятор'!$D$8,VLOOKUP(U635,$F$23:$N$1023,2)+VLOOKUP(U635,$F$23:$N$1023,4),0))</f>
        <v xml:space="preserve"> </v>
      </c>
      <c r="Y635" s="142" t="str">
        <f ca="1">IF(S635=" "," ",W635/(1+'депозитный калькулятор'!$K$8)^(T635/IF('депозитный калькулятор'!$G$7="30/360",360,365)))</f>
        <v xml:space="preserve"> </v>
      </c>
      <c r="Z635" s="142" t="str">
        <f ca="1">IF(S635=" "," ",X635/(1+'депозитный калькулятор'!$K$8)^(T635/IF('депозитный калькулятор'!$G$7="30/360",360,365)))</f>
        <v xml:space="preserve"> </v>
      </c>
      <c r="AA635" s="151"/>
      <c r="AB635" s="151"/>
      <c r="AC635" s="155"/>
      <c r="AD635" s="155"/>
    </row>
    <row r="636" spans="1:30" s="2" customFormat="1" ht="15.5" x14ac:dyDescent="0.35">
      <c r="A636" s="41" t="str">
        <f>IF(F636=" "," ",IF(OR('депозитный калькулятор'!$G$7="30/365",'депозитный калькулятор'!$G$7="30/360"),IF(AND(MONTH(F636)=2,DAY(F636)=DAY(EOMONTH(F636,0))),30-DAY(EOMONTH(F636,0)),IF(DAY(F636)=31,1," "))," "))</f>
        <v xml:space="preserve"> </v>
      </c>
      <c r="B636" s="130" t="str">
        <f t="shared" si="46"/>
        <v xml:space="preserve"> </v>
      </c>
      <c r="C636" s="130" t="str">
        <f>IF(OR(B636=0,B636=" ")," ",SUM($B$23:B636))</f>
        <v xml:space="preserve"> </v>
      </c>
      <c r="D636" s="62" t="str">
        <f>IF(D635=" "," ",IF(OR(F635='депозитный калькулятор'!$D$8,F635=" ")," ",D635+1))</f>
        <v xml:space="preserve"> </v>
      </c>
      <c r="E636" s="130" t="str">
        <f>IF(OR(F635='депозитный калькулятор'!$D$8,F635=" ")," ",IF(EOMONTH(F635,0)=F635,1,E635+1))</f>
        <v xml:space="preserve"> </v>
      </c>
      <c r="F636" s="64" t="str">
        <f>IF(F635=" "," ",IF(F635='депозитный калькулятор'!$D$8," ",F635+1))</f>
        <v xml:space="preserve"> </v>
      </c>
      <c r="G636" s="145" t="str">
        <f xml:space="preserve"> IF(F636&gt;'депозитный калькулятор'!$D$8," ",IF('депозитный калькулятор'!$G$13="есть",IF('депозитный калькулятор'!$G$14="есть",G635+IF(I635=" ",0,I635)-J636-K636+L636+M636-N636,G635+IF(I635=" ",0,I635)-J636-K636+M636-N636),IF('депозитный калькулятор'!$G$14="есть",G635-J636-K636+L636+M636-N636,G635-J636-K636+M636-N636)))</f>
        <v xml:space="preserve"> </v>
      </c>
      <c r="H636" s="133" t="str">
        <f>IF(F636&gt;'депозитный калькулятор'!$D$8," ",IF(AND(OR('депозитный калькулятор'!$G$7="30/365",'депозитный калькулятор'!$G$7="30/360"),AND(MONTH(F636)=2,EOMONTH(F636,0)=F636)),IF(DAY(F636)=28,3*G636*'депозитный калькулятор'!$G$8,2*G636*'депозитный калькулятор'!$G$8),IF(AND(OR('депозитный калькулятор'!$G$7="30/365",'депозитный калькулятор'!$G$7="30/360"),DAY(F636)=31)," ",IF(AND('депозитный калькулятор'!$G$7="факт/факт",MOD(YEAR(F636),4)=0),G636*'депозитный калькулятор'!$D$11/366,G636*'депозитный калькулятор'!$G$8))))</f>
        <v xml:space="preserve"> </v>
      </c>
      <c r="I636" s="134" t="str">
        <f ca="1">IF(F636=" "," ",IF('депозитный калькулятор'!$G$10="ежедневное",H636,IF(AND('депозитный калькулятор'!$G$10="еженедельное",WEEKDAY(F636,2)=7),SUM(OFFSET(H636,-6,0):H636),IF(AND('депозитный калькулятор'!$G$10="еженедельное",F636='депозитный калькулятор'!$D$8),SUM($H$23:H636)-SUM($I$23:I635),IF(AND('депозитный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недели",WEEKDAY(F636,2)=7),MIN(OFFSET(H636,-6,0):H636)*(COUNTIF(OFFSET(H636,-6,0):H636,"&gt;0")+SUMIF(OFFSET(A636,-WEEKDAY(F636,2),0):A636,"=2",OFFSET(A636,-WEEKDAY(F636,2),0):A636)),IF(AND('депозитный калькулятор'!$G$10="еженедельное, на минимальную сумму зафиксированную в течение недели",F636='депозитный калькулятор'!$D$8,WEEKDAY(F636,2)&lt;&gt;7),MIN(OFFSET(H636,-WEEKDAY(F636,2),0):H636)*(COUNTIF(OFFSET(H636,-WEEKDAY(F636,2)+1,0):H636,"&gt;0")+SUM(OFFSET(A636,-WEEKDAY(F636,2),0):A636)),IF(AND('депозитный калькулятор'!$G$10="ежемесячное (в конце месяца)",F636='депозитный калькулятор'!$D$8,EOMONTH(F636,0)&lt;&gt;F636),IF('депозитный калькулятор'!$F$1=1,$H$24,SUM($H$23:H636)-SUM($I$23:I635)),IF(AND('депозитный калькулятор'!$G$10="ежемесячное (в конце месяца)",EOMONTH(F636,0)=F636),SUM($H$23:H636)-SUM($I$23:I635),IF(AND('депозитный калькулятор'!$G$10="ежемесячное (по дням открытия вклада)",F636='депозитный калькулятор'!$D$8,DAY('депозитный калькулятор'!$D$7)&lt;&gt;DAY(F636)),IF('депозитный калькулятор'!$F$1=1,$H$24,SUM($H$23:H636)-SUM($I$23:I635)),IF(AND('депозитный калькулятор'!$G$10="ежемесячное (по дням открытия вклада)",DAY('депозитный калькулятор'!$D$7)=DAY(F636)),SUM($H$23:H636)-SUM($I$23:I635),IF(AND('депозитный калькулятор'!$G$10="ежемесячное, на минимальную сумму зафиксированную в течение месяца",F636='депозитный калькулятор'!$D$8,EOMONTH(F636,0)&lt;&gt;F636),IF('депозитный калькулятор'!$F$1=1,$H$24,IF(AND(OR('депозитный калькулятор'!$G$7="30/365",'депозитный калькулятор'!$G$7="30/360"),DAY(F636)=31),0,MIN(OFFSET(H636,-E636+1,0):H636)*(E636+SUMIF(OFFSET(A636,-E636+1,0):A636,"=2",OFFSET(A636,-E636+1,0):A636)))),IF(AND('депозитный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калькулятор'!$G$7="30/360"),DAY(EOMONTH(F636,0))=31),EOMONTH(F636,0)-1=F636,EOMONTH(F636,0)=F636)),IF(IF(AND(OR('депозитный калькулятор'!$G$7="30/365",'депозитный калькулятор'!$G$7="30/360"),DAY(EOMONTH($F$23,0))=31),F636=EOMONTH($F$23,0)-1,F636=EOMONTH($F$23,0)),MIN(OFFSET(H636,-(DAY(F636)-DAY($F$23)),0):H636)*E636,MIN(OFFSET(H636,-(DAY(F636)-1),0):H636)*IF(AND(OR('депозитный калькулятор'!$G$7="30/365",'депозитный калькулятор'!$G$7="30/360"),DAY(F636)&lt;30),30,DAY(F636))),IF(AND('депозитный калькулятор'!$G$10="ежемесячное, на средний остаток в течение месяца, при условии что остаток больше чем ограничение",F636='депозитный калькулятор'!$D$8,EOMONTH(F636,0)&lt;&gt;F636),IF('депозитный калькулятор'!$F$1=1,$H$24,SUM(OFFSET(Q636,-E636+1,0):Q636)),IF(AND('депозитный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калькулятор'!$G$7="30/360"),DAY(EOMONTH(F636,0))=31),EOMONTH(F636,0)-1=F636,EOMONTH(F636,0)=F636)),IF(IF(AND(OR('депозитный калькулятор'!$G$7="30/365",'депозитный калькулятор'!$G$7="30/360"),DAY(EOMONTH($F$24,0))=31),F636=EOMONTH($F$24,0)-1,F636=EOMONTH($F$24,0)),SUM(OFFSET(Q636,-E636+1,0):Q636),SUM(OFFSET(Q636,-E636+1,0):Q636)),IF('депозитный калькулятор'!$G$10="ежеквартальное",IF(F636&gt;'депозитный калькулятор'!$D$8," ",IF(AND(EOMONTH(F636,0)=F636,OR(MONTH(F636)=3,MONTH(F636)=6,MONTH(F636)=9,MONTH(F636)=12)),IF(EDATE(F636,-3)&lt;'депозитный калькулятор'!$D$7,SUM($H$23:H636),IF(MOD(YEAR(F636),4)=0,IF(AND(EOMONTH(F636,0)=F636,OR(MONTH(F636)=3,MONTH(F636)=6)),SUM(OFFSET(H636,-90,0):H636),IF(AND(EOMONTH(F636,0)=F636,OR(MONTH(F636)=9,MONTH(F636)=12)),SUM(OFFSET(H636,-91,0):H636))),IF(AND(EOMONTH(F636,0)=F636,MONTH(F636)=3),SUM(OFFSET(H636,-89,0):H636),IF(AND(EOMONTH(F636,0)=F636,MONTH(F636)=6),SUM(OFFSET(H636,-90,0):H636),IF(AND(EOMONTH(F636,0)=F636,OR(MONTH(F636)=9,MONTH(F636)=12)),SUM(OFFSET(H636,-91,0):H636)))))),IF(F636='депозитный калькулятор'!$D$8,SUM($H$23:H636)-SUM($I$23:I635),0))),IF('депозитный калькулятор'!$G$10="ежегодное",IF(F636&gt;'депозитный калькулятор'!$D$8," ",IF(F636='депозитный калькулятор'!$D$8,SUM($H$23:H636)-SUM($I$23:I635),IF(AND(EOMONTH(F636,0)=F636,MONTH(F636)=12),IF(MOD(YEAR(F635),4)=0,IF(F636-'депозитный калькулятор'!$D$7&lt;366,SUM($H$23:H636),SUM(OFFSET(H636,-365,0):H636)),IF(F636-'депозитный калькулятор'!$D$7&lt;365,SUM($H$23:H636),SUM(OFFSET(H636,-364,0):H636))),0))),IF(AND('депозитный калькулятор'!$G$10="в конце срока",'депозитный калькулятор'!$D$8=F636),SUM($H$23:H636),0))))))))))))))))))</f>
        <v xml:space="preserve"> </v>
      </c>
      <c r="J636" s="59" t="str">
        <f>IF(F636&gt;'депозитный калькулятор'!$D$8," ",IF('депозитный калькулятор'!$G$16="нет",0,IF(AND('депозитный калькулятор'!$G$17="разовая (в конце срока)",F636='депозитный калькулятор'!$D$8),'депозитный калькулятор'!$G$18,IF(AND('депозитный калькулятор'!$G$17="ежемесячная",EOMONTH(F635,0)=F635),'депозитный калькулятор'!$G$18,IF(AND('депозитный калькулятор'!$G$17="ежегодная",DAY(F635)=31,MONTH(F635)=12),'депозитный калькулятор'!$G$18,IF(AND('депозитный калькулятор'!$G$17="ежемесячная в зависимости от остатка",EOMONTH(F635,0)=F635,P635&gt;0),'депозитный калькулятор'!$G$18,IF(AND('депозитный калькулятор'!$G$17="ежегодная в зависимости от остатка",DAY(F635)=31,MONTH(F635)=12,P635&gt;0),'депозитный калькулятор'!$G$18,0)))))))</f>
        <v xml:space="preserve"> </v>
      </c>
      <c r="K636" s="135" t="str">
        <f>IF($F636=" "," ",IFERROR(VLOOKUP($F636,'депозитный калькулятор'!$B$26:$F$70,2,0),0))</f>
        <v xml:space="preserve"> </v>
      </c>
      <c r="L636" s="135" t="str">
        <f>IF($F636=" "," ",IFERROR(VLOOKUP($F636,'депозитный калькулятор'!$B$26:$F$70,3,0),0))</f>
        <v xml:space="preserve"> </v>
      </c>
      <c r="M636" s="135" t="str">
        <f>IF($F636=" "," ",IFERROR(VLOOKUP($F636,'депозитный калькулятор'!$B$26:$F$70,4,0),0))</f>
        <v xml:space="preserve"> </v>
      </c>
      <c r="N636" s="135" t="str">
        <f>IF($F636=" "," ",IFERROR(VLOOKUP($F636,'депозитный калькулятор'!$B$26:$F$70,5,0),0))</f>
        <v xml:space="preserve"> </v>
      </c>
      <c r="O636" s="146" t="str">
        <f>IF(F636&gt;'депозитный калькулятор'!$D$8," ",IF(F636='депозитный калькулятор'!$D$8,IF(AND($F$24='депозитный калькулятор'!$D$8,'депозитный калькулятор'!$G$13="нет"),-G636-IF(I636=" ",0,I636)-IF(AND(OR('депозитный калькулятор'!$G$7="30/365",'депозитный калькулятор'!$G$7="30/360"),'депозитный калькулятор'!$G$10="в начале срока"),I635,0)-L636+M636-N636,-G636-IF(I636=" ",0,I636)-L636+M636-N636),IF('депозитный калькулятор'!$G$13="есть",M636-N636+IF('депозитный калькулятор'!$G$14="есть",0,-L636),-IF(I636=" ",0,I636)-IF(AND(OR('депозитный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срока"),I635,0)+M636-N636+IF('депозитный калькулятор'!$G$14="есть",0,-L636))))</f>
        <v xml:space="preserve"> </v>
      </c>
      <c r="P636" s="147" t="str">
        <f>IF(F636&gt;'депозитный калькулятор'!$D$8," ",IF(EOMONTH(F635,0)=F635,0,IF(G636&gt;='депозитный калькулятор'!$G$19,P635,P635+1)))</f>
        <v xml:space="preserve"> </v>
      </c>
      <c r="Q636" s="138" t="str">
        <f>IF(F636=" "," ",IF(AND(OR('депозитный калькулятор'!$G$7="30/365",'депозитный калькулятор'!$G$7="30/360"),AND(MONTH(F636)=2,EOMONTH(F636,0)=F636)),IF(DAY(F636)=28,3,2),1)*IF(G636&gt;='депозитный калькулятор'!$G$11,IF(AND('депозитный калькулятор'!$G$7="факт/факт",MOD(YEAR(F636),4)=0),G636*'депозитный калькулятор'!$D$11/366,G636*'депозитный калькулятор'!$G$8),0))</f>
        <v xml:space="preserve"> </v>
      </c>
      <c r="R636" s="158"/>
      <c r="S636" s="62" t="str">
        <f t="shared" ca="1" si="47"/>
        <v xml:space="preserve"> </v>
      </c>
      <c r="T636" s="149" t="str">
        <f ca="1">IF(S636=" "," ",IF('депозитный калькулятор'!$G$7="30/360",DAYS360(U635,IF(DAY(U636)=31,U636-1,U636))+IF(AND(MONTH(U636)=2,U636=EOMONTH(U636,0)),30-DAY(EOMONTH(U636,0)))+T635,VLOOKUP(S636,$C$22:$F$1023,2,0)))</f>
        <v xml:space="preserve"> </v>
      </c>
      <c r="U636" s="64" t="str">
        <f t="shared" ca="1" si="45"/>
        <v xml:space="preserve"> </v>
      </c>
      <c r="V636" s="150" t="str">
        <f t="shared" ca="1" si="48"/>
        <v xml:space="preserve"> </v>
      </c>
      <c r="W636" s="62" t="str">
        <f t="shared" ca="1" si="49"/>
        <v xml:space="preserve"> </v>
      </c>
      <c r="X636" s="141" t="str">
        <f ca="1">IF(S636=" "," ",IFERROR(VLOOKUP(U636,$F$23:$N$1023,7)+VLOOKUP(U636,$F$23:$N$1023,9)+IF(AND('депозитный калькулятор'!$G$13="нет",U636&lt;&gt;'депозитный калькулятор'!$D$8),VLOOKUP(U636,$F$23:$N$1023,4),0),0)+IF(U636='депозитный калькулятор'!$D$8,VLOOKUP(U636,$F$23:$N$1023,2)+VLOOKUP(U636,$F$23:$N$1023,4),0))</f>
        <v xml:space="preserve"> </v>
      </c>
      <c r="Y636" s="142" t="str">
        <f ca="1">IF(S636=" "," ",W636/(1+'депозитный калькулятор'!$K$8)^(T636/IF('депозитный калькулятор'!$G$7="30/360",360,365)))</f>
        <v xml:space="preserve"> </v>
      </c>
      <c r="Z636" s="142" t="str">
        <f ca="1">IF(S636=" "," ",X636/(1+'депозитный калькулятор'!$K$8)^(T636/IF('депозитный калькулятор'!$G$7="30/360",360,365)))</f>
        <v xml:space="preserve"> </v>
      </c>
      <c r="AA636" s="151"/>
      <c r="AB636" s="151"/>
      <c r="AC636" s="155"/>
      <c r="AD636" s="155"/>
    </row>
    <row r="637" spans="1:30" s="2" customFormat="1" ht="15.5" x14ac:dyDescent="0.35">
      <c r="A637" s="41" t="str">
        <f>IF(F637=" "," ",IF(OR('депозитный калькулятор'!$G$7="30/365",'депозитный калькулятор'!$G$7="30/360"),IF(AND(MONTH(F637)=2,DAY(F637)=DAY(EOMONTH(F637,0))),30-DAY(EOMONTH(F637,0)),IF(DAY(F637)=31,1," "))," "))</f>
        <v xml:space="preserve"> </v>
      </c>
      <c r="B637" s="130" t="str">
        <f t="shared" si="46"/>
        <v xml:space="preserve"> </v>
      </c>
      <c r="C637" s="130" t="str">
        <f>IF(OR(B637=0,B637=" ")," ",SUM($B$23:B637))</f>
        <v xml:space="preserve"> </v>
      </c>
      <c r="D637" s="62" t="str">
        <f>IF(D636=" "," ",IF(OR(F636='депозитный калькулятор'!$D$8,F636=" ")," ",D636+1))</f>
        <v xml:space="preserve"> </v>
      </c>
      <c r="E637" s="130" t="str">
        <f>IF(OR(F636='депозитный калькулятор'!$D$8,F636=" ")," ",IF(EOMONTH(F636,0)=F636,1,E636+1))</f>
        <v xml:space="preserve"> </v>
      </c>
      <c r="F637" s="64" t="str">
        <f>IF(F636=" "," ",IF(F636='депозитный калькулятор'!$D$8," ",F636+1))</f>
        <v xml:space="preserve"> </v>
      </c>
      <c r="G637" s="145" t="str">
        <f xml:space="preserve"> IF(F637&gt;'депозитный калькулятор'!$D$8," ",IF('депозитный калькулятор'!$G$13="есть",IF('депозитный калькулятор'!$G$14="есть",G636+IF(I636=" ",0,I636)-J637-K637+L637+M637-N637,G636+IF(I636=" ",0,I636)-J637-K637+M637-N637),IF('депозитный калькулятор'!$G$14="есть",G636-J637-K637+L637+M637-N637,G636-J637-K637+M637-N637)))</f>
        <v xml:space="preserve"> </v>
      </c>
      <c r="H637" s="133" t="str">
        <f>IF(F637&gt;'депозитный калькулятор'!$D$8," ",IF(AND(OR('депозитный калькулятор'!$G$7="30/365",'депозитный калькулятор'!$G$7="30/360"),AND(MONTH(F637)=2,EOMONTH(F637,0)=F637)),IF(DAY(F637)=28,3*G637*'депозитный калькулятор'!$G$8,2*G637*'депозитный калькулятор'!$G$8),IF(AND(OR('депозитный калькулятор'!$G$7="30/365",'депозитный калькулятор'!$G$7="30/360"),DAY(F637)=31)," ",IF(AND('депозитный калькулятор'!$G$7="факт/факт",MOD(YEAR(F637),4)=0),G637*'депозитный калькулятор'!$D$11/366,G637*'депозитный калькулятор'!$G$8))))</f>
        <v xml:space="preserve"> </v>
      </c>
      <c r="I637" s="134" t="str">
        <f ca="1">IF(F637=" "," ",IF('депозитный калькулятор'!$G$10="ежедневное",H637,IF(AND('депозитный калькулятор'!$G$10="еженедельное",WEEKDAY(F637,2)=7),SUM(OFFSET(H637,-6,0):H637),IF(AND('депозитный калькулятор'!$G$10="еженедельное",F637='депозитный калькулятор'!$D$8),SUM($H$23:H637)-SUM($I$23:I636),IF(AND('депозитный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недели",WEEKDAY(F637,2)=7),MIN(OFFSET(H637,-6,0):H637)*(COUNTIF(OFFSET(H637,-6,0):H637,"&gt;0")+SUMIF(OFFSET(A637,-WEEKDAY(F637,2),0):A637,"=2",OFFSET(A637,-WEEKDAY(F637,2),0):A637)),IF(AND('депозитный калькулятор'!$G$10="еженедельное, на минимальную сумму зафиксированную в течение недели",F637='депозитный калькулятор'!$D$8,WEEKDAY(F637,2)&lt;&gt;7),MIN(OFFSET(H637,-WEEKDAY(F637,2),0):H637)*(COUNTIF(OFFSET(H637,-WEEKDAY(F637,2)+1,0):H637,"&gt;0")+SUM(OFFSET(A637,-WEEKDAY(F637,2),0):A637)),IF(AND('депозитный калькулятор'!$G$10="ежемесячное (в конце месяца)",F637='депозитный калькулятор'!$D$8,EOMONTH(F637,0)&lt;&gt;F637),IF('депозитный калькулятор'!$F$1=1,$H$24,SUM($H$23:H637)-SUM($I$23:I636)),IF(AND('депозитный калькулятор'!$G$10="ежемесячное (в конце месяца)",EOMONTH(F637,0)=F637),SUM($H$23:H637)-SUM($I$23:I636),IF(AND('депозитный калькулятор'!$G$10="ежемесячное (по дням открытия вклада)",F637='депозитный калькулятор'!$D$8,DAY('депозитный калькулятор'!$D$7)&lt;&gt;DAY(F637)),IF('депозитный калькулятор'!$F$1=1,$H$24,SUM($H$23:H637)-SUM($I$23:I636)),IF(AND('депозитный калькулятор'!$G$10="ежемесячное (по дням открытия вклада)",DAY('депозитный калькулятор'!$D$7)=DAY(F637)),SUM($H$23:H637)-SUM($I$23:I636),IF(AND('депозитный калькулятор'!$G$10="ежемесячное, на минимальную сумму зафиксированную в течение месяца",F637='депозитный калькулятор'!$D$8,EOMONTH(F637,0)&lt;&gt;F637),IF('депозитный калькулятор'!$F$1=1,$H$24,IF(AND(OR('депозитный калькулятор'!$G$7="30/365",'депозитный калькулятор'!$G$7="30/360"),DAY(F637)=31),0,MIN(OFFSET(H637,-E637+1,0):H637)*(E637+SUMIF(OFFSET(A637,-E637+1,0):A637,"=2",OFFSET(A637,-E637+1,0):A637)))),IF(AND('депозитный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калькулятор'!$G$7="30/360"),DAY(EOMONTH(F637,0))=31),EOMONTH(F637,0)-1=F637,EOMONTH(F637,0)=F637)),IF(IF(AND(OR('депозитный калькулятор'!$G$7="30/365",'депозитный калькулятор'!$G$7="30/360"),DAY(EOMONTH($F$23,0))=31),F637=EOMONTH($F$23,0)-1,F637=EOMONTH($F$23,0)),MIN(OFFSET(H637,-(DAY(F637)-DAY($F$23)),0):H637)*E637,MIN(OFFSET(H637,-(DAY(F637)-1),0):H637)*IF(AND(OR('депозитный калькулятор'!$G$7="30/365",'депозитный калькулятор'!$G$7="30/360"),DAY(F637)&lt;30),30,DAY(F637))),IF(AND('депозитный калькулятор'!$G$10="ежемесячное, на средний остаток в течение месяца, при условии что остаток больше чем ограничение",F637='депозитный калькулятор'!$D$8,EOMONTH(F637,0)&lt;&gt;F637),IF('депозитный калькулятор'!$F$1=1,$H$24,SUM(OFFSET(Q637,-E637+1,0):Q637)),IF(AND('депозитный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калькулятор'!$G$7="30/360"),DAY(EOMONTH(F637,0))=31),EOMONTH(F637,0)-1=F637,EOMONTH(F637,0)=F637)),IF(IF(AND(OR('депозитный калькулятор'!$G$7="30/365",'депозитный калькулятор'!$G$7="30/360"),DAY(EOMONTH($F$24,0))=31),F637=EOMONTH($F$24,0)-1,F637=EOMONTH($F$24,0)),SUM(OFFSET(Q637,-E637+1,0):Q637),SUM(OFFSET(Q637,-E637+1,0):Q637)),IF('депозитный калькулятор'!$G$10="ежеквартальное",IF(F637&gt;'депозитный калькулятор'!$D$8," ",IF(AND(EOMONTH(F637,0)=F637,OR(MONTH(F637)=3,MONTH(F637)=6,MONTH(F637)=9,MONTH(F637)=12)),IF(EDATE(F637,-3)&lt;'депозитный калькулятор'!$D$7,SUM($H$23:H637),IF(MOD(YEAR(F637),4)=0,IF(AND(EOMONTH(F637,0)=F637,OR(MONTH(F637)=3,MONTH(F637)=6)),SUM(OFFSET(H637,-90,0):H637),IF(AND(EOMONTH(F637,0)=F637,OR(MONTH(F637)=9,MONTH(F637)=12)),SUM(OFFSET(H637,-91,0):H637))),IF(AND(EOMONTH(F637,0)=F637,MONTH(F637)=3),SUM(OFFSET(H637,-89,0):H637),IF(AND(EOMONTH(F637,0)=F637,MONTH(F637)=6),SUM(OFFSET(H637,-90,0):H637),IF(AND(EOMONTH(F637,0)=F637,OR(MONTH(F637)=9,MONTH(F637)=12)),SUM(OFFSET(H637,-91,0):H637)))))),IF(F637='депозитный калькулятор'!$D$8,SUM($H$23:H637)-SUM($I$23:I636),0))),IF('депозитный калькулятор'!$G$10="ежегодное",IF(F637&gt;'депозитный калькулятор'!$D$8," ",IF(F637='депозитный калькулятор'!$D$8,SUM($H$23:H637)-SUM($I$23:I636),IF(AND(EOMONTH(F637,0)=F637,MONTH(F637)=12),IF(MOD(YEAR(F636),4)=0,IF(F637-'депозитный калькулятор'!$D$7&lt;366,SUM($H$23:H637),SUM(OFFSET(H637,-365,0):H637)),IF(F637-'депозитный калькулятор'!$D$7&lt;365,SUM($H$23:H637),SUM(OFFSET(H637,-364,0):H637))),0))),IF(AND('депозитный калькулятор'!$G$10="в конце срока",'депозитный калькулятор'!$D$8=F637),SUM($H$23:H637),0))))))))))))))))))</f>
        <v xml:space="preserve"> </v>
      </c>
      <c r="J637" s="59" t="str">
        <f>IF(F637&gt;'депозитный калькулятор'!$D$8," ",IF('депозитный калькулятор'!$G$16="нет",0,IF(AND('депозитный калькулятор'!$G$17="разовая (в конце срока)",F637='депозитный калькулятор'!$D$8),'депозитный калькулятор'!$G$18,IF(AND('депозитный калькулятор'!$G$17="ежемесячная",EOMONTH(F636,0)=F636),'депозитный калькулятор'!$G$18,IF(AND('депозитный калькулятор'!$G$17="ежегодная",DAY(F636)=31,MONTH(F636)=12),'депозитный калькулятор'!$G$18,IF(AND('депозитный калькулятор'!$G$17="ежемесячная в зависимости от остатка",EOMONTH(F636,0)=F636,P636&gt;0),'депозитный калькулятор'!$G$18,IF(AND('депозитный калькулятор'!$G$17="ежегодная в зависимости от остатка",DAY(F636)=31,MONTH(F636)=12,P636&gt;0),'депозитный калькулятор'!$G$18,0)))))))</f>
        <v xml:space="preserve"> </v>
      </c>
      <c r="K637" s="135" t="str">
        <f>IF($F637=" "," ",IFERROR(VLOOKUP($F637,'депозитный калькулятор'!$B$26:$F$70,2,0),0))</f>
        <v xml:space="preserve"> </v>
      </c>
      <c r="L637" s="135" t="str">
        <f>IF($F637=" "," ",IFERROR(VLOOKUP($F637,'депозитный калькулятор'!$B$26:$F$70,3,0),0))</f>
        <v xml:space="preserve"> </v>
      </c>
      <c r="M637" s="135" t="str">
        <f>IF($F637=" "," ",IFERROR(VLOOKUP($F637,'депозитный калькулятор'!$B$26:$F$70,4,0),0))</f>
        <v xml:space="preserve"> </v>
      </c>
      <c r="N637" s="135" t="str">
        <f>IF($F637=" "," ",IFERROR(VLOOKUP($F637,'депозитный калькулятор'!$B$26:$F$70,5,0),0))</f>
        <v xml:space="preserve"> </v>
      </c>
      <c r="O637" s="146" t="str">
        <f>IF(F637&gt;'депозитный калькулятор'!$D$8," ",IF(F637='депозитный калькулятор'!$D$8,IF(AND($F$24='депозитный калькулятор'!$D$8,'депозитный калькулятор'!$G$13="нет"),-G637-IF(I637=" ",0,I637)-IF(AND(OR('депозитный калькулятор'!$G$7="30/365",'депозитный калькулятор'!$G$7="30/360"),'депозитный калькулятор'!$G$10="в начале срока"),I636,0)-L637+M637-N637,-G637-IF(I637=" ",0,I637)-L637+M637-N637),IF('депозитный калькулятор'!$G$13="есть",M637-N637+IF('депозитный калькулятор'!$G$14="есть",0,-L637),-IF(I637=" ",0,I637)-IF(AND(OR('депозитный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срока"),I636,0)+M637-N637+IF('депозитный калькулятор'!$G$14="есть",0,-L637))))</f>
        <v xml:space="preserve"> </v>
      </c>
      <c r="P637" s="147" t="str">
        <f>IF(F637&gt;'депозитный калькулятор'!$D$8," ",IF(EOMONTH(F636,0)=F636,0,IF(G637&gt;='депозитный калькулятор'!$G$19,P636,P636+1)))</f>
        <v xml:space="preserve"> </v>
      </c>
      <c r="Q637" s="138" t="str">
        <f>IF(F637=" "," ",IF(AND(OR('депозитный калькулятор'!$G$7="30/365",'депозитный калькулятор'!$G$7="30/360"),AND(MONTH(F637)=2,EOMONTH(F637,0)=F637)),IF(DAY(F637)=28,3,2),1)*IF(G637&gt;='депозитный калькулятор'!$G$11,IF(AND('депозитный калькулятор'!$G$7="факт/факт",MOD(YEAR(F637),4)=0),G637*'депозитный калькулятор'!$D$11/366,G637*'депозитный калькулятор'!$G$8),0))</f>
        <v xml:space="preserve"> </v>
      </c>
      <c r="R637" s="158"/>
      <c r="S637" s="62" t="str">
        <f t="shared" ca="1" si="47"/>
        <v xml:space="preserve"> </v>
      </c>
      <c r="T637" s="149" t="str">
        <f ca="1">IF(S637=" "," ",IF('депозитный калькулятор'!$G$7="30/360",DAYS360(U636,IF(DAY(U637)=31,U637-1,U637))+IF(AND(MONTH(U637)=2,U637=EOMONTH(U637,0)),30-DAY(EOMONTH(U637,0)))+T636,VLOOKUP(S637,$C$22:$F$1023,2,0)))</f>
        <v xml:space="preserve"> </v>
      </c>
      <c r="U637" s="64" t="str">
        <f t="shared" ca="1" si="45"/>
        <v xml:space="preserve"> </v>
      </c>
      <c r="V637" s="150" t="str">
        <f t="shared" ca="1" si="48"/>
        <v xml:space="preserve"> </v>
      </c>
      <c r="W637" s="62" t="str">
        <f t="shared" ca="1" si="49"/>
        <v xml:space="preserve"> </v>
      </c>
      <c r="X637" s="141" t="str">
        <f ca="1">IF(S637=" "," ",IFERROR(VLOOKUP(U637,$F$23:$N$1023,7)+VLOOKUP(U637,$F$23:$N$1023,9)+IF(AND('депозитный калькулятор'!$G$13="нет",U637&lt;&gt;'депозитный калькулятор'!$D$8),VLOOKUP(U637,$F$23:$N$1023,4),0),0)+IF(U637='депозитный калькулятор'!$D$8,VLOOKUP(U637,$F$23:$N$1023,2)+VLOOKUP(U637,$F$23:$N$1023,4),0))</f>
        <v xml:space="preserve"> </v>
      </c>
      <c r="Y637" s="142" t="str">
        <f ca="1">IF(S637=" "," ",W637/(1+'депозитный калькулятор'!$K$8)^(T637/IF('депозитный калькулятор'!$G$7="30/360",360,365)))</f>
        <v xml:space="preserve"> </v>
      </c>
      <c r="Z637" s="142" t="str">
        <f ca="1">IF(S637=" "," ",X637/(1+'депозитный калькулятор'!$K$8)^(T637/IF('депозитный калькулятор'!$G$7="30/360",360,365)))</f>
        <v xml:space="preserve"> </v>
      </c>
      <c r="AA637" s="151"/>
      <c r="AB637" s="151"/>
      <c r="AC637" s="155"/>
      <c r="AD637" s="155"/>
    </row>
    <row r="638" spans="1:30" s="2" customFormat="1" ht="15.5" x14ac:dyDescent="0.35">
      <c r="A638" s="41" t="str">
        <f>IF(F638=" "," ",IF(OR('депозитный калькулятор'!$G$7="30/365",'депозитный калькулятор'!$G$7="30/360"),IF(AND(MONTH(F638)=2,DAY(F638)=DAY(EOMONTH(F638,0))),30-DAY(EOMONTH(F638,0)),IF(DAY(F638)=31,1," "))," "))</f>
        <v xml:space="preserve"> </v>
      </c>
      <c r="B638" s="130" t="str">
        <f t="shared" si="46"/>
        <v xml:space="preserve"> </v>
      </c>
      <c r="C638" s="130" t="str">
        <f>IF(OR(B638=0,B638=" ")," ",SUM($B$23:B638))</f>
        <v xml:space="preserve"> </v>
      </c>
      <c r="D638" s="62" t="str">
        <f>IF(D637=" "," ",IF(OR(F637='депозитный калькулятор'!$D$8,F637=" ")," ",D637+1))</f>
        <v xml:space="preserve"> </v>
      </c>
      <c r="E638" s="130" t="str">
        <f>IF(OR(F637='депозитный калькулятор'!$D$8,F637=" ")," ",IF(EOMONTH(F637,0)=F637,1,E637+1))</f>
        <v xml:space="preserve"> </v>
      </c>
      <c r="F638" s="64" t="str">
        <f>IF(F637=" "," ",IF(F637='депозитный калькулятор'!$D$8," ",F637+1))</f>
        <v xml:space="preserve"> </v>
      </c>
      <c r="G638" s="145" t="str">
        <f xml:space="preserve"> IF(F638&gt;'депозитный калькулятор'!$D$8," ",IF('депозитный калькулятор'!$G$13="есть",IF('депозитный калькулятор'!$G$14="есть",G637+IF(I637=" ",0,I637)-J638-K638+L638+M638-N638,G637+IF(I637=" ",0,I637)-J638-K638+M638-N638),IF('депозитный калькулятор'!$G$14="есть",G637-J638-K638+L638+M638-N638,G637-J638-K638+M638-N638)))</f>
        <v xml:space="preserve"> </v>
      </c>
      <c r="H638" s="133" t="str">
        <f>IF(F638&gt;'депозитный калькулятор'!$D$8," ",IF(AND(OR('депозитный калькулятор'!$G$7="30/365",'депозитный калькулятор'!$G$7="30/360"),AND(MONTH(F638)=2,EOMONTH(F638,0)=F638)),IF(DAY(F638)=28,3*G638*'депозитный калькулятор'!$G$8,2*G638*'депозитный калькулятор'!$G$8),IF(AND(OR('депозитный калькулятор'!$G$7="30/365",'депозитный калькулятор'!$G$7="30/360"),DAY(F638)=31)," ",IF(AND('депозитный калькулятор'!$G$7="факт/факт",MOD(YEAR(F638),4)=0),G638*'депозитный калькулятор'!$D$11/366,G638*'депозитный калькулятор'!$G$8))))</f>
        <v xml:space="preserve"> </v>
      </c>
      <c r="I638" s="134" t="str">
        <f ca="1">IF(F638=" "," ",IF('депозитный калькулятор'!$G$10="ежедневное",H638,IF(AND('депозитный калькулятор'!$G$10="еженедельное",WEEKDAY(F638,2)=7),SUM(OFFSET(H638,-6,0):H638),IF(AND('депозитный калькулятор'!$G$10="еженедельное",F638='депозитный калькулятор'!$D$8),SUM($H$23:H638)-SUM($I$23:I637),IF(AND('депозитный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недели",WEEKDAY(F638,2)=7),MIN(OFFSET(H638,-6,0):H638)*(COUNTIF(OFFSET(H638,-6,0):H638,"&gt;0")+SUMIF(OFFSET(A638,-WEEKDAY(F638,2),0):A638,"=2",OFFSET(A638,-WEEKDAY(F638,2),0):A638)),IF(AND('депозитный калькулятор'!$G$10="еженедельное, на минимальную сумму зафиксированную в течение недели",F638='депозитный калькулятор'!$D$8,WEEKDAY(F638,2)&lt;&gt;7),MIN(OFFSET(H638,-WEEKDAY(F638,2),0):H638)*(COUNTIF(OFFSET(H638,-WEEKDAY(F638,2)+1,0):H638,"&gt;0")+SUM(OFFSET(A638,-WEEKDAY(F638,2),0):A638)),IF(AND('депозитный калькулятор'!$G$10="ежемесячное (в конце месяца)",F638='депозитный калькулятор'!$D$8,EOMONTH(F638,0)&lt;&gt;F638),IF('депозитный калькулятор'!$F$1=1,$H$24,SUM($H$23:H638)-SUM($I$23:I637)),IF(AND('депозитный калькулятор'!$G$10="ежемесячное (в конце месяца)",EOMONTH(F638,0)=F638),SUM($H$23:H638)-SUM($I$23:I637),IF(AND('депозитный калькулятор'!$G$10="ежемесячное (по дням открытия вклада)",F638='депозитный калькулятор'!$D$8,DAY('депозитный калькулятор'!$D$7)&lt;&gt;DAY(F638)),IF('депозитный калькулятор'!$F$1=1,$H$24,SUM($H$23:H638)-SUM($I$23:I637)),IF(AND('депозитный калькулятор'!$G$10="ежемесячное (по дням открытия вклада)",DAY('депозитный калькулятор'!$D$7)=DAY(F638)),SUM($H$23:H638)-SUM($I$23:I637),IF(AND('депозитный калькулятор'!$G$10="ежемесячное, на минимальную сумму зафиксированную в течение месяца",F638='депозитный калькулятор'!$D$8,EOMONTH(F638,0)&lt;&gt;F638),IF('депозитный калькулятор'!$F$1=1,$H$24,IF(AND(OR('депозитный калькулятор'!$G$7="30/365",'депозитный калькулятор'!$G$7="30/360"),DAY(F638)=31),0,MIN(OFFSET(H638,-E638+1,0):H638)*(E638+SUMIF(OFFSET(A638,-E638+1,0):A638,"=2",OFFSET(A638,-E638+1,0):A638)))),IF(AND('депозитный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калькулятор'!$G$7="30/360"),DAY(EOMONTH(F638,0))=31),EOMONTH(F638,0)-1=F638,EOMONTH(F638,0)=F638)),IF(IF(AND(OR('депозитный калькулятор'!$G$7="30/365",'депозитный калькулятор'!$G$7="30/360"),DAY(EOMONTH($F$23,0))=31),F638=EOMONTH($F$23,0)-1,F638=EOMONTH($F$23,0)),MIN(OFFSET(H638,-(DAY(F638)-DAY($F$23)),0):H638)*E638,MIN(OFFSET(H638,-(DAY(F638)-1),0):H638)*IF(AND(OR('депозитный калькулятор'!$G$7="30/365",'депозитный калькулятор'!$G$7="30/360"),DAY(F638)&lt;30),30,DAY(F638))),IF(AND('депозитный калькулятор'!$G$10="ежемесячное, на средний остаток в течение месяца, при условии что остаток больше чем ограничение",F638='депозитный калькулятор'!$D$8,EOMONTH(F638,0)&lt;&gt;F638),IF('депозитный калькулятор'!$F$1=1,$H$24,SUM(OFFSET(Q638,-E638+1,0):Q638)),IF(AND('депозитный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калькулятор'!$G$7="30/360"),DAY(EOMONTH(F638,0))=31),EOMONTH(F638,0)-1=F638,EOMONTH(F638,0)=F638)),IF(IF(AND(OR('депозитный калькулятор'!$G$7="30/365",'депозитный калькулятор'!$G$7="30/360"),DAY(EOMONTH($F$24,0))=31),F638=EOMONTH($F$24,0)-1,F638=EOMONTH($F$24,0)),SUM(OFFSET(Q638,-E638+1,0):Q638),SUM(OFFSET(Q638,-E638+1,0):Q638)),IF('депозитный калькулятор'!$G$10="ежеквартальное",IF(F638&gt;'депозитный калькулятор'!$D$8," ",IF(AND(EOMONTH(F638,0)=F638,OR(MONTH(F638)=3,MONTH(F638)=6,MONTH(F638)=9,MONTH(F638)=12)),IF(EDATE(F638,-3)&lt;'депозитный калькулятор'!$D$7,SUM($H$23:H638),IF(MOD(YEAR(F638),4)=0,IF(AND(EOMONTH(F638,0)=F638,OR(MONTH(F638)=3,MONTH(F638)=6)),SUM(OFFSET(H638,-90,0):H638),IF(AND(EOMONTH(F638,0)=F638,OR(MONTH(F638)=9,MONTH(F638)=12)),SUM(OFFSET(H638,-91,0):H638))),IF(AND(EOMONTH(F638,0)=F638,MONTH(F638)=3),SUM(OFFSET(H638,-89,0):H638),IF(AND(EOMONTH(F638,0)=F638,MONTH(F638)=6),SUM(OFFSET(H638,-90,0):H638),IF(AND(EOMONTH(F638,0)=F638,OR(MONTH(F638)=9,MONTH(F638)=12)),SUM(OFFSET(H638,-91,0):H638)))))),IF(F638='депозитный калькулятор'!$D$8,SUM($H$23:H638)-SUM($I$23:I637),0))),IF('депозитный калькулятор'!$G$10="ежегодное",IF(F638&gt;'депозитный калькулятор'!$D$8," ",IF(F638='депозитный калькулятор'!$D$8,SUM($H$23:H638)-SUM($I$23:I637),IF(AND(EOMONTH(F638,0)=F638,MONTH(F638)=12),IF(MOD(YEAR(F637),4)=0,IF(F638-'депозитный калькулятор'!$D$7&lt;366,SUM($H$23:H638),SUM(OFFSET(H638,-365,0):H638)),IF(F638-'депозитный калькулятор'!$D$7&lt;365,SUM($H$23:H638),SUM(OFFSET(H638,-364,0):H638))),0))),IF(AND('депозитный калькулятор'!$G$10="в конце срока",'депозитный калькулятор'!$D$8=F638),SUM($H$23:H638),0))))))))))))))))))</f>
        <v xml:space="preserve"> </v>
      </c>
      <c r="J638" s="59" t="str">
        <f>IF(F638&gt;'депозитный калькулятор'!$D$8," ",IF('депозитный калькулятор'!$G$16="нет",0,IF(AND('депозитный калькулятор'!$G$17="разовая (в конце срока)",F638='депозитный калькулятор'!$D$8),'депозитный калькулятор'!$G$18,IF(AND('депозитный калькулятор'!$G$17="ежемесячная",EOMONTH(F637,0)=F637),'депозитный калькулятор'!$G$18,IF(AND('депозитный калькулятор'!$G$17="ежегодная",DAY(F637)=31,MONTH(F637)=12),'депозитный калькулятор'!$G$18,IF(AND('депозитный калькулятор'!$G$17="ежемесячная в зависимости от остатка",EOMONTH(F637,0)=F637,P637&gt;0),'депозитный калькулятор'!$G$18,IF(AND('депозитный калькулятор'!$G$17="ежегодная в зависимости от остатка",DAY(F637)=31,MONTH(F637)=12,P637&gt;0),'депозитный калькулятор'!$G$18,0)))))))</f>
        <v xml:space="preserve"> </v>
      </c>
      <c r="K638" s="135" t="str">
        <f>IF($F638=" "," ",IFERROR(VLOOKUP($F638,'депозитный калькулятор'!$B$26:$F$70,2,0),0))</f>
        <v xml:space="preserve"> </v>
      </c>
      <c r="L638" s="135" t="str">
        <f>IF($F638=" "," ",IFERROR(VLOOKUP($F638,'депозитный калькулятор'!$B$26:$F$70,3,0),0))</f>
        <v xml:space="preserve"> </v>
      </c>
      <c r="M638" s="135" t="str">
        <f>IF($F638=" "," ",IFERROR(VLOOKUP($F638,'депозитный калькулятор'!$B$26:$F$70,4,0),0))</f>
        <v xml:space="preserve"> </v>
      </c>
      <c r="N638" s="135" t="str">
        <f>IF($F638=" "," ",IFERROR(VLOOKUP($F638,'депозитный калькулятор'!$B$26:$F$70,5,0),0))</f>
        <v xml:space="preserve"> </v>
      </c>
      <c r="O638" s="146" t="str">
        <f>IF(F638&gt;'депозитный калькулятор'!$D$8," ",IF(F638='депозитный калькулятор'!$D$8,IF(AND($F$24='депозитный калькулятор'!$D$8,'депозитный калькулятор'!$G$13="нет"),-G638-IF(I638=" ",0,I638)-IF(AND(OR('депозитный калькулятор'!$G$7="30/365",'депозитный калькулятор'!$G$7="30/360"),'депозитный калькулятор'!$G$10="в начале срока"),I637,0)-L638+M638-N638,-G638-IF(I638=" ",0,I638)-L638+M638-N638),IF('депозитный калькулятор'!$G$13="есть",M638-N638+IF('депозитный калькулятор'!$G$14="есть",0,-L638),-IF(I638=" ",0,I638)-IF(AND(OR('депозитный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срока"),I637,0)+M638-N638+IF('депозитный калькулятор'!$G$14="есть",0,-L638))))</f>
        <v xml:space="preserve"> </v>
      </c>
      <c r="P638" s="147" t="str">
        <f>IF(F638&gt;'депозитный калькулятор'!$D$8," ",IF(EOMONTH(F637,0)=F637,0,IF(G638&gt;='депозитный калькулятор'!$G$19,P637,P637+1)))</f>
        <v xml:space="preserve"> </v>
      </c>
      <c r="Q638" s="138" t="str">
        <f>IF(F638=" "," ",IF(AND(OR('депозитный калькулятор'!$G$7="30/365",'депозитный калькулятор'!$G$7="30/360"),AND(MONTH(F638)=2,EOMONTH(F638,0)=F638)),IF(DAY(F638)=28,3,2),1)*IF(G638&gt;='депозитный калькулятор'!$G$11,IF(AND('депозитный калькулятор'!$G$7="факт/факт",MOD(YEAR(F638),4)=0),G638*'депозитный калькулятор'!$D$11/366,G638*'депозитный калькулятор'!$G$8),0))</f>
        <v xml:space="preserve"> </v>
      </c>
      <c r="R638" s="158"/>
      <c r="S638" s="62" t="str">
        <f t="shared" ca="1" si="47"/>
        <v xml:space="preserve"> </v>
      </c>
      <c r="T638" s="149" t="str">
        <f ca="1">IF(S638=" "," ",IF('депозитный калькулятор'!$G$7="30/360",DAYS360(U637,IF(DAY(U638)=31,U638-1,U638))+IF(AND(MONTH(U638)=2,U638=EOMONTH(U638,0)),30-DAY(EOMONTH(U638,0)))+T637,VLOOKUP(S638,$C$22:$F$1023,2,0)))</f>
        <v xml:space="preserve"> </v>
      </c>
      <c r="U638" s="64" t="str">
        <f t="shared" ca="1" si="45"/>
        <v xml:space="preserve"> </v>
      </c>
      <c r="V638" s="150" t="str">
        <f t="shared" ca="1" si="48"/>
        <v xml:space="preserve"> </v>
      </c>
      <c r="W638" s="62" t="str">
        <f t="shared" ca="1" si="49"/>
        <v xml:space="preserve"> </v>
      </c>
      <c r="X638" s="141" t="str">
        <f ca="1">IF(S638=" "," ",IFERROR(VLOOKUP(U638,$F$23:$N$1023,7)+VLOOKUP(U638,$F$23:$N$1023,9)+IF(AND('депозитный калькулятор'!$G$13="нет",U638&lt;&gt;'депозитный калькулятор'!$D$8),VLOOKUP(U638,$F$23:$N$1023,4),0),0)+IF(U638='депозитный калькулятор'!$D$8,VLOOKUP(U638,$F$23:$N$1023,2)+VLOOKUP(U638,$F$23:$N$1023,4),0))</f>
        <v xml:space="preserve"> </v>
      </c>
      <c r="Y638" s="142" t="str">
        <f ca="1">IF(S638=" "," ",W638/(1+'депозитный калькулятор'!$K$8)^(T638/IF('депозитный калькулятор'!$G$7="30/360",360,365)))</f>
        <v xml:space="preserve"> </v>
      </c>
      <c r="Z638" s="142" t="str">
        <f ca="1">IF(S638=" "," ",X638/(1+'депозитный калькулятор'!$K$8)^(T638/IF('депозитный калькулятор'!$G$7="30/360",360,365)))</f>
        <v xml:space="preserve"> </v>
      </c>
      <c r="AA638" s="151"/>
      <c r="AB638" s="151"/>
      <c r="AC638" s="155"/>
      <c r="AD638" s="155"/>
    </row>
    <row r="639" spans="1:30" s="2" customFormat="1" ht="15.5" x14ac:dyDescent="0.35">
      <c r="A639" s="41" t="str">
        <f>IF(F639=" "," ",IF(OR('депозитный калькулятор'!$G$7="30/365",'депозитный калькулятор'!$G$7="30/360"),IF(AND(MONTH(F639)=2,DAY(F639)=DAY(EOMONTH(F639,0))),30-DAY(EOMONTH(F639,0)),IF(DAY(F639)=31,1," "))," "))</f>
        <v xml:space="preserve"> </v>
      </c>
      <c r="B639" s="130" t="str">
        <f t="shared" si="46"/>
        <v xml:space="preserve"> </v>
      </c>
      <c r="C639" s="130" t="str">
        <f>IF(OR(B639=0,B639=" ")," ",SUM($B$23:B639))</f>
        <v xml:space="preserve"> </v>
      </c>
      <c r="D639" s="62" t="str">
        <f>IF(D638=" "," ",IF(OR(F638='депозитный калькулятор'!$D$8,F638=" ")," ",D638+1))</f>
        <v xml:space="preserve"> </v>
      </c>
      <c r="E639" s="130" t="str">
        <f>IF(OR(F638='депозитный калькулятор'!$D$8,F638=" ")," ",IF(EOMONTH(F638,0)=F638,1,E638+1))</f>
        <v xml:space="preserve"> </v>
      </c>
      <c r="F639" s="64" t="str">
        <f>IF(F638=" "," ",IF(F638='депозитный калькулятор'!$D$8," ",F638+1))</f>
        <v xml:space="preserve"> </v>
      </c>
      <c r="G639" s="145" t="str">
        <f xml:space="preserve"> IF(F639&gt;'депозитный калькулятор'!$D$8," ",IF('депозитный калькулятор'!$G$13="есть",IF('депозитный калькулятор'!$G$14="есть",G638+IF(I638=" ",0,I638)-J639-K639+L639+M639-N639,G638+IF(I638=" ",0,I638)-J639-K639+M639-N639),IF('депозитный калькулятор'!$G$14="есть",G638-J639-K639+L639+M639-N639,G638-J639-K639+M639-N639)))</f>
        <v xml:space="preserve"> </v>
      </c>
      <c r="H639" s="133" t="str">
        <f>IF(F639&gt;'депозитный калькулятор'!$D$8," ",IF(AND(OR('депозитный калькулятор'!$G$7="30/365",'депозитный калькулятор'!$G$7="30/360"),AND(MONTH(F639)=2,EOMONTH(F639,0)=F639)),IF(DAY(F639)=28,3*G639*'депозитный калькулятор'!$G$8,2*G639*'депозитный калькулятор'!$G$8),IF(AND(OR('депозитный калькулятор'!$G$7="30/365",'депозитный калькулятор'!$G$7="30/360"),DAY(F639)=31)," ",IF(AND('депозитный калькулятор'!$G$7="факт/факт",MOD(YEAR(F639),4)=0),G639*'депозитный калькулятор'!$D$11/366,G639*'депозитный калькулятор'!$G$8))))</f>
        <v xml:space="preserve"> </v>
      </c>
      <c r="I639" s="134" t="str">
        <f ca="1">IF(F639=" "," ",IF('депозитный калькулятор'!$G$10="ежедневное",H639,IF(AND('депозитный калькулятор'!$G$10="еженедельное",WEEKDAY(F639,2)=7),SUM(OFFSET(H639,-6,0):H639),IF(AND('депозитный калькулятор'!$G$10="еженедельное",F639='депозитный калькулятор'!$D$8),SUM($H$23:H639)-SUM($I$23:I638),IF(AND('депозитный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недели",WEEKDAY(F639,2)=7),MIN(OFFSET(H639,-6,0):H639)*(COUNTIF(OFFSET(H639,-6,0):H639,"&gt;0")+SUMIF(OFFSET(A639,-WEEKDAY(F639,2),0):A639,"=2",OFFSET(A639,-WEEKDAY(F639,2),0):A639)),IF(AND('депозитный калькулятор'!$G$10="еженедельное, на минимальную сумму зафиксированную в течение недели",F639='депозитный калькулятор'!$D$8,WEEKDAY(F639,2)&lt;&gt;7),MIN(OFFSET(H639,-WEEKDAY(F639,2),0):H639)*(COUNTIF(OFFSET(H639,-WEEKDAY(F639,2)+1,0):H639,"&gt;0")+SUM(OFFSET(A639,-WEEKDAY(F639,2),0):A639)),IF(AND('депозитный калькулятор'!$G$10="ежемесячное (в конце месяца)",F639='депозитный калькулятор'!$D$8,EOMONTH(F639,0)&lt;&gt;F639),IF('депозитный калькулятор'!$F$1=1,$H$24,SUM($H$23:H639)-SUM($I$23:I638)),IF(AND('депозитный калькулятор'!$G$10="ежемесячное (в конце месяца)",EOMONTH(F639,0)=F639),SUM($H$23:H639)-SUM($I$23:I638),IF(AND('депозитный калькулятор'!$G$10="ежемесячное (по дням открытия вклада)",F639='депозитный калькулятор'!$D$8,DAY('депозитный калькулятор'!$D$7)&lt;&gt;DAY(F639)),IF('депозитный калькулятор'!$F$1=1,$H$24,SUM($H$23:H639)-SUM($I$23:I638)),IF(AND('депозитный калькулятор'!$G$10="ежемесячное (по дням открытия вклада)",DAY('депозитный калькулятор'!$D$7)=DAY(F639)),SUM($H$23:H639)-SUM($I$23:I638),IF(AND('депозитный калькулятор'!$G$10="ежемесячное, на минимальную сумму зафиксированную в течение месяца",F639='депозитный калькулятор'!$D$8,EOMONTH(F639,0)&lt;&gt;F639),IF('депозитный калькулятор'!$F$1=1,$H$24,IF(AND(OR('депозитный калькулятор'!$G$7="30/365",'депозитный калькулятор'!$G$7="30/360"),DAY(F639)=31),0,MIN(OFFSET(H639,-E639+1,0):H639)*(E639+SUMIF(OFFSET(A639,-E639+1,0):A639,"=2",OFFSET(A639,-E639+1,0):A639)))),IF(AND('депозитный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калькулятор'!$G$7="30/360"),DAY(EOMONTH(F639,0))=31),EOMONTH(F639,0)-1=F639,EOMONTH(F639,0)=F639)),IF(IF(AND(OR('депозитный калькулятор'!$G$7="30/365",'депозитный калькулятор'!$G$7="30/360"),DAY(EOMONTH($F$23,0))=31),F639=EOMONTH($F$23,0)-1,F639=EOMONTH($F$23,0)),MIN(OFFSET(H639,-(DAY(F639)-DAY($F$23)),0):H639)*E639,MIN(OFFSET(H639,-(DAY(F639)-1),0):H639)*IF(AND(OR('депозитный калькулятор'!$G$7="30/365",'депозитный калькулятор'!$G$7="30/360"),DAY(F639)&lt;30),30,DAY(F639))),IF(AND('депозитный калькулятор'!$G$10="ежемесячное, на средний остаток в течение месяца, при условии что остаток больше чем ограничение",F639='депозитный калькулятор'!$D$8,EOMONTH(F639,0)&lt;&gt;F639),IF('депозитный калькулятор'!$F$1=1,$H$24,SUM(OFFSET(Q639,-E639+1,0):Q639)),IF(AND('депозитный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калькулятор'!$G$7="30/360"),DAY(EOMONTH(F639,0))=31),EOMONTH(F639,0)-1=F639,EOMONTH(F639,0)=F639)),IF(IF(AND(OR('депозитный калькулятор'!$G$7="30/365",'депозитный калькулятор'!$G$7="30/360"),DAY(EOMONTH($F$24,0))=31),F639=EOMONTH($F$24,0)-1,F639=EOMONTH($F$24,0)),SUM(OFFSET(Q639,-E639+1,0):Q639),SUM(OFFSET(Q639,-E639+1,0):Q639)),IF('депозитный калькулятор'!$G$10="ежеквартальное",IF(F639&gt;'депозитный калькулятор'!$D$8," ",IF(AND(EOMONTH(F639,0)=F639,OR(MONTH(F639)=3,MONTH(F639)=6,MONTH(F639)=9,MONTH(F639)=12)),IF(EDATE(F639,-3)&lt;'депозитный калькулятор'!$D$7,SUM($H$23:H639),IF(MOD(YEAR(F639),4)=0,IF(AND(EOMONTH(F639,0)=F639,OR(MONTH(F639)=3,MONTH(F639)=6)),SUM(OFFSET(H639,-90,0):H639),IF(AND(EOMONTH(F639,0)=F639,OR(MONTH(F639)=9,MONTH(F639)=12)),SUM(OFFSET(H639,-91,0):H639))),IF(AND(EOMONTH(F639,0)=F639,MONTH(F639)=3),SUM(OFFSET(H639,-89,0):H639),IF(AND(EOMONTH(F639,0)=F639,MONTH(F639)=6),SUM(OFFSET(H639,-90,0):H639),IF(AND(EOMONTH(F639,0)=F639,OR(MONTH(F639)=9,MONTH(F639)=12)),SUM(OFFSET(H639,-91,0):H639)))))),IF(F639='депозитный калькулятор'!$D$8,SUM($H$23:H639)-SUM($I$23:I638),0))),IF('депозитный калькулятор'!$G$10="ежегодное",IF(F639&gt;'депозитный калькулятор'!$D$8," ",IF(F639='депозитный калькулятор'!$D$8,SUM($H$23:H639)-SUM($I$23:I638),IF(AND(EOMONTH(F639,0)=F639,MONTH(F639)=12),IF(MOD(YEAR(F638),4)=0,IF(F639-'депозитный калькулятор'!$D$7&lt;366,SUM($H$23:H639),SUM(OFFSET(H639,-365,0):H639)),IF(F639-'депозитный калькулятор'!$D$7&lt;365,SUM($H$23:H639),SUM(OFFSET(H639,-364,0):H639))),0))),IF(AND('депозитный калькулятор'!$G$10="в конце срока",'депозитный калькулятор'!$D$8=F639),SUM($H$23:H639),0))))))))))))))))))</f>
        <v xml:space="preserve"> </v>
      </c>
      <c r="J639" s="59" t="str">
        <f>IF(F639&gt;'депозитный калькулятор'!$D$8," ",IF('депозитный калькулятор'!$G$16="нет",0,IF(AND('депозитный калькулятор'!$G$17="разовая (в конце срока)",F639='депозитный калькулятор'!$D$8),'депозитный калькулятор'!$G$18,IF(AND('депозитный калькулятор'!$G$17="ежемесячная",EOMONTH(F638,0)=F638),'депозитный калькулятор'!$G$18,IF(AND('депозитный калькулятор'!$G$17="ежегодная",DAY(F638)=31,MONTH(F638)=12),'депозитный калькулятор'!$G$18,IF(AND('депозитный калькулятор'!$G$17="ежемесячная в зависимости от остатка",EOMONTH(F638,0)=F638,P638&gt;0),'депозитный калькулятор'!$G$18,IF(AND('депозитный калькулятор'!$G$17="ежегодная в зависимости от остатка",DAY(F638)=31,MONTH(F638)=12,P638&gt;0),'депозитный калькулятор'!$G$18,0)))))))</f>
        <v xml:space="preserve"> </v>
      </c>
      <c r="K639" s="135" t="str">
        <f>IF($F639=" "," ",IFERROR(VLOOKUP($F639,'депозитный калькулятор'!$B$26:$F$70,2,0),0))</f>
        <v xml:space="preserve"> </v>
      </c>
      <c r="L639" s="135" t="str">
        <f>IF($F639=" "," ",IFERROR(VLOOKUP($F639,'депозитный калькулятор'!$B$26:$F$70,3,0),0))</f>
        <v xml:space="preserve"> </v>
      </c>
      <c r="M639" s="135" t="str">
        <f>IF($F639=" "," ",IFERROR(VLOOKUP($F639,'депозитный калькулятор'!$B$26:$F$70,4,0),0))</f>
        <v xml:space="preserve"> </v>
      </c>
      <c r="N639" s="135" t="str">
        <f>IF($F639=" "," ",IFERROR(VLOOKUP($F639,'депозитный калькулятор'!$B$26:$F$70,5,0),0))</f>
        <v xml:space="preserve"> </v>
      </c>
      <c r="O639" s="146" t="str">
        <f>IF(F639&gt;'депозитный калькулятор'!$D$8," ",IF(F639='депозитный калькулятор'!$D$8,IF(AND($F$24='депозитный калькулятор'!$D$8,'депозитный калькулятор'!$G$13="нет"),-G639-IF(I639=" ",0,I639)-IF(AND(OR('депозитный калькулятор'!$G$7="30/365",'депозитный калькулятор'!$G$7="30/360"),'депозитный калькулятор'!$G$10="в начале срока"),I638,0)-L639+M639-N639,-G639-IF(I639=" ",0,I639)-L639+M639-N639),IF('депозитный калькулятор'!$G$13="есть",M639-N639+IF('депозитный калькулятор'!$G$14="есть",0,-L639),-IF(I639=" ",0,I639)-IF(AND(OR('депозитный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срока"),I638,0)+M639-N639+IF('депозитный калькулятор'!$G$14="есть",0,-L639))))</f>
        <v xml:space="preserve"> </v>
      </c>
      <c r="P639" s="147" t="str">
        <f>IF(F639&gt;'депозитный калькулятор'!$D$8," ",IF(EOMONTH(F638,0)=F638,0,IF(G639&gt;='депозитный калькулятор'!$G$19,P638,P638+1)))</f>
        <v xml:space="preserve"> </v>
      </c>
      <c r="Q639" s="138" t="str">
        <f>IF(F639=" "," ",IF(AND(OR('депозитный калькулятор'!$G$7="30/365",'депозитный калькулятор'!$G$7="30/360"),AND(MONTH(F639)=2,EOMONTH(F639,0)=F639)),IF(DAY(F639)=28,3,2),1)*IF(G639&gt;='депозитный калькулятор'!$G$11,IF(AND('депозитный калькулятор'!$G$7="факт/факт",MOD(YEAR(F639),4)=0),G639*'депозитный калькулятор'!$D$11/366,G639*'депозитный калькулятор'!$G$8),0))</f>
        <v xml:space="preserve"> </v>
      </c>
      <c r="R639" s="158"/>
      <c r="S639" s="62" t="str">
        <f t="shared" ca="1" si="47"/>
        <v xml:space="preserve"> </v>
      </c>
      <c r="T639" s="149" t="str">
        <f ca="1">IF(S639=" "," ",IF('депозитный калькулятор'!$G$7="30/360",DAYS360(U638,IF(DAY(U639)=31,U639-1,U639))+IF(AND(MONTH(U639)=2,U639=EOMONTH(U639,0)),30-DAY(EOMONTH(U639,0)))+T638,VLOOKUP(S639,$C$22:$F$1023,2,0)))</f>
        <v xml:space="preserve"> </v>
      </c>
      <c r="U639" s="64" t="str">
        <f t="shared" ca="1" si="45"/>
        <v xml:space="preserve"> </v>
      </c>
      <c r="V639" s="150" t="str">
        <f t="shared" ca="1" si="48"/>
        <v xml:space="preserve"> </v>
      </c>
      <c r="W639" s="62" t="str">
        <f t="shared" ca="1" si="49"/>
        <v xml:space="preserve"> </v>
      </c>
      <c r="X639" s="141" t="str">
        <f ca="1">IF(S639=" "," ",IFERROR(VLOOKUP(U639,$F$23:$N$1023,7)+VLOOKUP(U639,$F$23:$N$1023,9)+IF(AND('депозитный калькулятор'!$G$13="нет",U639&lt;&gt;'депозитный калькулятор'!$D$8),VLOOKUP(U639,$F$23:$N$1023,4),0),0)+IF(U639='депозитный калькулятор'!$D$8,VLOOKUP(U639,$F$23:$N$1023,2)+VLOOKUP(U639,$F$23:$N$1023,4),0))</f>
        <v xml:space="preserve"> </v>
      </c>
      <c r="Y639" s="142" t="str">
        <f ca="1">IF(S639=" "," ",W639/(1+'депозитный калькулятор'!$K$8)^(T639/IF('депозитный калькулятор'!$G$7="30/360",360,365)))</f>
        <v xml:space="preserve"> </v>
      </c>
      <c r="Z639" s="142" t="str">
        <f ca="1">IF(S639=" "," ",X639/(1+'депозитный калькулятор'!$K$8)^(T639/IF('депозитный калькулятор'!$G$7="30/360",360,365)))</f>
        <v xml:space="preserve"> </v>
      </c>
      <c r="AA639" s="151"/>
      <c r="AB639" s="151"/>
      <c r="AC639" s="155"/>
      <c r="AD639" s="155"/>
    </row>
    <row r="640" spans="1:30" s="2" customFormat="1" ht="15.5" x14ac:dyDescent="0.35">
      <c r="A640" s="41" t="str">
        <f>IF(F640=" "," ",IF(OR('депозитный калькулятор'!$G$7="30/365",'депозитный калькулятор'!$G$7="30/360"),IF(AND(MONTH(F640)=2,DAY(F640)=DAY(EOMONTH(F640,0))),30-DAY(EOMONTH(F640,0)),IF(DAY(F640)=31,1," "))," "))</f>
        <v xml:space="preserve"> </v>
      </c>
      <c r="B640" s="130" t="str">
        <f t="shared" si="46"/>
        <v xml:space="preserve"> </v>
      </c>
      <c r="C640" s="130" t="str">
        <f>IF(OR(B640=0,B640=" ")," ",SUM($B$23:B640))</f>
        <v xml:space="preserve"> </v>
      </c>
      <c r="D640" s="62" t="str">
        <f>IF(D639=" "," ",IF(OR(F639='депозитный калькулятор'!$D$8,F639=" ")," ",D639+1))</f>
        <v xml:space="preserve"> </v>
      </c>
      <c r="E640" s="130" t="str">
        <f>IF(OR(F639='депозитный калькулятор'!$D$8,F639=" ")," ",IF(EOMONTH(F639,0)=F639,1,E639+1))</f>
        <v xml:space="preserve"> </v>
      </c>
      <c r="F640" s="64" t="str">
        <f>IF(F639=" "," ",IF(F639='депозитный калькулятор'!$D$8," ",F639+1))</f>
        <v xml:space="preserve"> </v>
      </c>
      <c r="G640" s="145" t="str">
        <f xml:space="preserve"> IF(F640&gt;'депозитный калькулятор'!$D$8," ",IF('депозитный калькулятор'!$G$13="есть",IF('депозитный калькулятор'!$G$14="есть",G639+IF(I639=" ",0,I639)-J640-K640+L640+M640-N640,G639+IF(I639=" ",0,I639)-J640-K640+M640-N640),IF('депозитный калькулятор'!$G$14="есть",G639-J640-K640+L640+M640-N640,G639-J640-K640+M640-N640)))</f>
        <v xml:space="preserve"> </v>
      </c>
      <c r="H640" s="133" t="str">
        <f>IF(F640&gt;'депозитный калькулятор'!$D$8," ",IF(AND(OR('депозитный калькулятор'!$G$7="30/365",'депозитный калькулятор'!$G$7="30/360"),AND(MONTH(F640)=2,EOMONTH(F640,0)=F640)),IF(DAY(F640)=28,3*G640*'депозитный калькулятор'!$G$8,2*G640*'депозитный калькулятор'!$G$8),IF(AND(OR('депозитный калькулятор'!$G$7="30/365",'депозитный калькулятор'!$G$7="30/360"),DAY(F640)=31)," ",IF(AND('депозитный калькулятор'!$G$7="факт/факт",MOD(YEAR(F640),4)=0),G640*'депозитный калькулятор'!$D$11/366,G640*'депозитный калькулятор'!$G$8))))</f>
        <v xml:space="preserve"> </v>
      </c>
      <c r="I640" s="134" t="str">
        <f ca="1">IF(F640=" "," ",IF('депозитный калькулятор'!$G$10="ежедневное",H640,IF(AND('депозитный калькулятор'!$G$10="еженедельное",WEEKDAY(F640,2)=7),SUM(OFFSET(H640,-6,0):H640),IF(AND('депозитный калькулятор'!$G$10="еженедельное",F640='депозитный калькулятор'!$D$8),SUM($H$23:H640)-SUM($I$23:I639),IF(AND('депозитный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недели",WEEKDAY(F640,2)=7),MIN(OFFSET(H640,-6,0):H640)*(COUNTIF(OFFSET(H640,-6,0):H640,"&gt;0")+SUMIF(OFFSET(A640,-WEEKDAY(F640,2),0):A640,"=2",OFFSET(A640,-WEEKDAY(F640,2),0):A640)),IF(AND('депозитный калькулятор'!$G$10="еженедельное, на минимальную сумму зафиксированную в течение недели",F640='депозитный калькулятор'!$D$8,WEEKDAY(F640,2)&lt;&gt;7),MIN(OFFSET(H640,-WEEKDAY(F640,2),0):H640)*(COUNTIF(OFFSET(H640,-WEEKDAY(F640,2)+1,0):H640,"&gt;0")+SUM(OFFSET(A640,-WEEKDAY(F640,2),0):A640)),IF(AND('депозитный калькулятор'!$G$10="ежемесячное (в конце месяца)",F640='депозитный калькулятор'!$D$8,EOMONTH(F640,0)&lt;&gt;F640),IF('депозитный калькулятор'!$F$1=1,$H$24,SUM($H$23:H640)-SUM($I$23:I639)),IF(AND('депозитный калькулятор'!$G$10="ежемесячное (в конце месяца)",EOMONTH(F640,0)=F640),SUM($H$23:H640)-SUM($I$23:I639),IF(AND('депозитный калькулятор'!$G$10="ежемесячное (по дням открытия вклада)",F640='депозитный калькулятор'!$D$8,DAY('депозитный калькулятор'!$D$7)&lt;&gt;DAY(F640)),IF('депозитный калькулятор'!$F$1=1,$H$24,SUM($H$23:H640)-SUM($I$23:I639)),IF(AND('депозитный калькулятор'!$G$10="ежемесячное (по дням открытия вклада)",DAY('депозитный калькулятор'!$D$7)=DAY(F640)),SUM($H$23:H640)-SUM($I$23:I639),IF(AND('депозитный калькулятор'!$G$10="ежемесячное, на минимальную сумму зафиксированную в течение месяца",F640='депозитный калькулятор'!$D$8,EOMONTH(F640,0)&lt;&gt;F640),IF('депозитный калькулятор'!$F$1=1,$H$24,IF(AND(OR('депозитный калькулятор'!$G$7="30/365",'депозитный калькулятор'!$G$7="30/360"),DAY(F640)=31),0,MIN(OFFSET(H640,-E640+1,0):H640)*(E640+SUMIF(OFFSET(A640,-E640+1,0):A640,"=2",OFFSET(A640,-E640+1,0):A640)))),IF(AND('депозитный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калькулятор'!$G$7="30/360"),DAY(EOMONTH(F640,0))=31),EOMONTH(F640,0)-1=F640,EOMONTH(F640,0)=F640)),IF(IF(AND(OR('депозитный калькулятор'!$G$7="30/365",'депозитный калькулятор'!$G$7="30/360"),DAY(EOMONTH($F$23,0))=31),F640=EOMONTH($F$23,0)-1,F640=EOMONTH($F$23,0)),MIN(OFFSET(H640,-(DAY(F640)-DAY($F$23)),0):H640)*E640,MIN(OFFSET(H640,-(DAY(F640)-1),0):H640)*IF(AND(OR('депозитный калькулятор'!$G$7="30/365",'депозитный калькулятор'!$G$7="30/360"),DAY(F640)&lt;30),30,DAY(F640))),IF(AND('депозитный калькулятор'!$G$10="ежемесячное, на средний остаток в течение месяца, при условии что остаток больше чем ограничение",F640='депозитный калькулятор'!$D$8,EOMONTH(F640,0)&lt;&gt;F640),IF('депозитный калькулятор'!$F$1=1,$H$24,SUM(OFFSET(Q640,-E640+1,0):Q640)),IF(AND('депозитный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калькулятор'!$G$7="30/360"),DAY(EOMONTH(F640,0))=31),EOMONTH(F640,0)-1=F640,EOMONTH(F640,0)=F640)),IF(IF(AND(OR('депозитный калькулятор'!$G$7="30/365",'депозитный калькулятор'!$G$7="30/360"),DAY(EOMONTH($F$24,0))=31),F640=EOMONTH($F$24,0)-1,F640=EOMONTH($F$24,0)),SUM(OFFSET(Q640,-E640+1,0):Q640),SUM(OFFSET(Q640,-E640+1,0):Q640)),IF('депозитный калькулятор'!$G$10="ежеквартальное",IF(F640&gt;'депозитный калькулятор'!$D$8," ",IF(AND(EOMONTH(F640,0)=F640,OR(MONTH(F640)=3,MONTH(F640)=6,MONTH(F640)=9,MONTH(F640)=12)),IF(EDATE(F640,-3)&lt;'депозитный калькулятор'!$D$7,SUM($H$23:H640),IF(MOD(YEAR(F640),4)=0,IF(AND(EOMONTH(F640,0)=F640,OR(MONTH(F640)=3,MONTH(F640)=6)),SUM(OFFSET(H640,-90,0):H640),IF(AND(EOMONTH(F640,0)=F640,OR(MONTH(F640)=9,MONTH(F640)=12)),SUM(OFFSET(H640,-91,0):H640))),IF(AND(EOMONTH(F640,0)=F640,MONTH(F640)=3),SUM(OFFSET(H640,-89,0):H640),IF(AND(EOMONTH(F640,0)=F640,MONTH(F640)=6),SUM(OFFSET(H640,-90,0):H640),IF(AND(EOMONTH(F640,0)=F640,OR(MONTH(F640)=9,MONTH(F640)=12)),SUM(OFFSET(H640,-91,0):H640)))))),IF(F640='депозитный калькулятор'!$D$8,SUM($H$23:H640)-SUM($I$23:I639),0))),IF('депозитный калькулятор'!$G$10="ежегодное",IF(F640&gt;'депозитный калькулятор'!$D$8," ",IF(F640='депозитный калькулятор'!$D$8,SUM($H$23:H640)-SUM($I$23:I639),IF(AND(EOMONTH(F640,0)=F640,MONTH(F640)=12),IF(MOD(YEAR(F639),4)=0,IF(F640-'депозитный калькулятор'!$D$7&lt;366,SUM($H$23:H640),SUM(OFFSET(H640,-365,0):H640)),IF(F640-'депозитный калькулятор'!$D$7&lt;365,SUM($H$23:H640),SUM(OFFSET(H640,-364,0):H640))),0))),IF(AND('депозитный калькулятор'!$G$10="в конце срока",'депозитный калькулятор'!$D$8=F640),SUM($H$23:H640),0))))))))))))))))))</f>
        <v xml:space="preserve"> </v>
      </c>
      <c r="J640" s="59" t="str">
        <f>IF(F640&gt;'депозитный калькулятор'!$D$8," ",IF('депозитный калькулятор'!$G$16="нет",0,IF(AND('депозитный калькулятор'!$G$17="разовая (в конце срока)",F640='депозитный калькулятор'!$D$8),'депозитный калькулятор'!$G$18,IF(AND('депозитный калькулятор'!$G$17="ежемесячная",EOMONTH(F639,0)=F639),'депозитный калькулятор'!$G$18,IF(AND('депозитный калькулятор'!$G$17="ежегодная",DAY(F639)=31,MONTH(F639)=12),'депозитный калькулятор'!$G$18,IF(AND('депозитный калькулятор'!$G$17="ежемесячная в зависимости от остатка",EOMONTH(F639,0)=F639,P639&gt;0),'депозитный калькулятор'!$G$18,IF(AND('депозитный калькулятор'!$G$17="ежегодная в зависимости от остатка",DAY(F639)=31,MONTH(F639)=12,P639&gt;0),'депозитный калькулятор'!$G$18,0)))))))</f>
        <v xml:space="preserve"> </v>
      </c>
      <c r="K640" s="135" t="str">
        <f>IF($F640=" "," ",IFERROR(VLOOKUP($F640,'депозитный калькулятор'!$B$26:$F$70,2,0),0))</f>
        <v xml:space="preserve"> </v>
      </c>
      <c r="L640" s="135" t="str">
        <f>IF($F640=" "," ",IFERROR(VLOOKUP($F640,'депозитный калькулятор'!$B$26:$F$70,3,0),0))</f>
        <v xml:space="preserve"> </v>
      </c>
      <c r="M640" s="135" t="str">
        <f>IF($F640=" "," ",IFERROR(VLOOKUP($F640,'депозитный калькулятор'!$B$26:$F$70,4,0),0))</f>
        <v xml:space="preserve"> </v>
      </c>
      <c r="N640" s="135" t="str">
        <f>IF($F640=" "," ",IFERROR(VLOOKUP($F640,'депозитный калькулятор'!$B$26:$F$70,5,0),0))</f>
        <v xml:space="preserve"> </v>
      </c>
      <c r="O640" s="146" t="str">
        <f>IF(F640&gt;'депозитный калькулятор'!$D$8," ",IF(F640='депозитный калькулятор'!$D$8,IF(AND($F$24='депозитный калькулятор'!$D$8,'депозитный калькулятор'!$G$13="нет"),-G640-IF(I640=" ",0,I640)-IF(AND(OR('депозитный калькулятор'!$G$7="30/365",'депозитный калькулятор'!$G$7="30/360"),'депозитный калькулятор'!$G$10="в начале срока"),I639,0)-L640+M640-N640,-G640-IF(I640=" ",0,I640)-L640+M640-N640),IF('депозитный калькулятор'!$G$13="есть",M640-N640+IF('депозитный калькулятор'!$G$14="есть",0,-L640),-IF(I640=" ",0,I640)-IF(AND(OR('депозитный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срока"),I639,0)+M640-N640+IF('депозитный калькулятор'!$G$14="есть",0,-L640))))</f>
        <v xml:space="preserve"> </v>
      </c>
      <c r="P640" s="147" t="str">
        <f>IF(F640&gt;'депозитный калькулятор'!$D$8," ",IF(EOMONTH(F639,0)=F639,0,IF(G640&gt;='депозитный калькулятор'!$G$19,P639,P639+1)))</f>
        <v xml:space="preserve"> </v>
      </c>
      <c r="Q640" s="138" t="str">
        <f>IF(F640=" "," ",IF(AND(OR('депозитный калькулятор'!$G$7="30/365",'депозитный калькулятор'!$G$7="30/360"),AND(MONTH(F640)=2,EOMONTH(F640,0)=F640)),IF(DAY(F640)=28,3,2),1)*IF(G640&gt;='депозитный калькулятор'!$G$11,IF(AND('депозитный калькулятор'!$G$7="факт/факт",MOD(YEAR(F640),4)=0),G640*'депозитный калькулятор'!$D$11/366,G640*'депозитный калькулятор'!$G$8),0))</f>
        <v xml:space="preserve"> </v>
      </c>
      <c r="R640" s="158"/>
      <c r="S640" s="62" t="str">
        <f t="shared" ca="1" si="47"/>
        <v xml:space="preserve"> </v>
      </c>
      <c r="T640" s="149" t="str">
        <f ca="1">IF(S640=" "," ",IF('депозитный калькулятор'!$G$7="30/360",DAYS360(U639,IF(DAY(U640)=31,U640-1,U640))+IF(AND(MONTH(U640)=2,U640=EOMONTH(U640,0)),30-DAY(EOMONTH(U640,0)))+T639,VLOOKUP(S640,$C$22:$F$1023,2,0)))</f>
        <v xml:space="preserve"> </v>
      </c>
      <c r="U640" s="64" t="str">
        <f t="shared" ca="1" si="45"/>
        <v xml:space="preserve"> </v>
      </c>
      <c r="V640" s="150" t="str">
        <f t="shared" ca="1" si="48"/>
        <v xml:space="preserve"> </v>
      </c>
      <c r="W640" s="62" t="str">
        <f t="shared" ca="1" si="49"/>
        <v xml:space="preserve"> </v>
      </c>
      <c r="X640" s="141" t="str">
        <f ca="1">IF(S640=" "," ",IFERROR(VLOOKUP(U640,$F$23:$N$1023,7)+VLOOKUP(U640,$F$23:$N$1023,9)+IF(AND('депозитный калькулятор'!$G$13="нет",U640&lt;&gt;'депозитный калькулятор'!$D$8),VLOOKUP(U640,$F$23:$N$1023,4),0),0)+IF(U640='депозитный калькулятор'!$D$8,VLOOKUP(U640,$F$23:$N$1023,2)+VLOOKUP(U640,$F$23:$N$1023,4),0))</f>
        <v xml:space="preserve"> </v>
      </c>
      <c r="Y640" s="142" t="str">
        <f ca="1">IF(S640=" "," ",W640/(1+'депозитный калькулятор'!$K$8)^(T640/IF('депозитный калькулятор'!$G$7="30/360",360,365)))</f>
        <v xml:space="preserve"> </v>
      </c>
      <c r="Z640" s="142" t="str">
        <f ca="1">IF(S640=" "," ",X640/(1+'депозитный калькулятор'!$K$8)^(T640/IF('депозитный калькулятор'!$G$7="30/360",360,365)))</f>
        <v xml:space="preserve"> </v>
      </c>
      <c r="AA640" s="151"/>
      <c r="AB640" s="151"/>
      <c r="AC640" s="155"/>
      <c r="AD640" s="155"/>
    </row>
    <row r="641" spans="1:30" s="2" customFormat="1" ht="15.5" x14ac:dyDescent="0.35">
      <c r="A641" s="41" t="str">
        <f>IF(F641=" "," ",IF(OR('депозитный калькулятор'!$G$7="30/365",'депозитный калькулятор'!$G$7="30/360"),IF(AND(MONTH(F641)=2,DAY(F641)=DAY(EOMONTH(F641,0))),30-DAY(EOMONTH(F641,0)),IF(DAY(F641)=31,1," "))," "))</f>
        <v xml:space="preserve"> </v>
      </c>
      <c r="B641" s="130" t="str">
        <f t="shared" si="46"/>
        <v xml:space="preserve"> </v>
      </c>
      <c r="C641" s="130" t="str">
        <f>IF(OR(B641=0,B641=" ")," ",SUM($B$23:B641))</f>
        <v xml:space="preserve"> </v>
      </c>
      <c r="D641" s="62" t="str">
        <f>IF(D640=" "," ",IF(OR(F640='депозитный калькулятор'!$D$8,F640=" ")," ",D640+1))</f>
        <v xml:space="preserve"> </v>
      </c>
      <c r="E641" s="130" t="str">
        <f>IF(OR(F640='депозитный калькулятор'!$D$8,F640=" ")," ",IF(EOMONTH(F640,0)=F640,1,E640+1))</f>
        <v xml:space="preserve"> </v>
      </c>
      <c r="F641" s="64" t="str">
        <f>IF(F640=" "," ",IF(F640='депозитный калькулятор'!$D$8," ",F640+1))</f>
        <v xml:space="preserve"> </v>
      </c>
      <c r="G641" s="145" t="str">
        <f xml:space="preserve"> IF(F641&gt;'депозитный калькулятор'!$D$8," ",IF('депозитный калькулятор'!$G$13="есть",IF('депозитный калькулятор'!$G$14="есть",G640+IF(I640=" ",0,I640)-J641-K641+L641+M641-N641,G640+IF(I640=" ",0,I640)-J641-K641+M641-N641),IF('депозитный калькулятор'!$G$14="есть",G640-J641-K641+L641+M641-N641,G640-J641-K641+M641-N641)))</f>
        <v xml:space="preserve"> </v>
      </c>
      <c r="H641" s="133" t="str">
        <f>IF(F641&gt;'депозитный калькулятор'!$D$8," ",IF(AND(OR('депозитный калькулятор'!$G$7="30/365",'депозитный калькулятор'!$G$7="30/360"),AND(MONTH(F641)=2,EOMONTH(F641,0)=F641)),IF(DAY(F641)=28,3*G641*'депозитный калькулятор'!$G$8,2*G641*'депозитный калькулятор'!$G$8),IF(AND(OR('депозитный калькулятор'!$G$7="30/365",'депозитный калькулятор'!$G$7="30/360"),DAY(F641)=31)," ",IF(AND('депозитный калькулятор'!$G$7="факт/факт",MOD(YEAR(F641),4)=0),G641*'депозитный калькулятор'!$D$11/366,G641*'депозитный калькулятор'!$G$8))))</f>
        <v xml:space="preserve"> </v>
      </c>
      <c r="I641" s="134" t="str">
        <f ca="1">IF(F641=" "," ",IF('депозитный калькулятор'!$G$10="ежедневное",H641,IF(AND('депозитный калькулятор'!$G$10="еженедельное",WEEKDAY(F641,2)=7),SUM(OFFSET(H641,-6,0):H641),IF(AND('депозитный калькулятор'!$G$10="еженедельное",F641='депозитный калькулятор'!$D$8),SUM($H$23:H641)-SUM($I$23:I640),IF(AND('депозитный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недели",WEEKDAY(F641,2)=7),MIN(OFFSET(H641,-6,0):H641)*(COUNTIF(OFFSET(H641,-6,0):H641,"&gt;0")+SUMIF(OFFSET(A641,-WEEKDAY(F641,2),0):A641,"=2",OFFSET(A641,-WEEKDAY(F641,2),0):A641)),IF(AND('депозитный калькулятор'!$G$10="еженедельное, на минимальную сумму зафиксированную в течение недели",F641='депозитный калькулятор'!$D$8,WEEKDAY(F641,2)&lt;&gt;7),MIN(OFFSET(H641,-WEEKDAY(F641,2),0):H641)*(COUNTIF(OFFSET(H641,-WEEKDAY(F641,2)+1,0):H641,"&gt;0")+SUM(OFFSET(A641,-WEEKDAY(F641,2),0):A641)),IF(AND('депозитный калькулятор'!$G$10="ежемесячное (в конце месяца)",F641='депозитный калькулятор'!$D$8,EOMONTH(F641,0)&lt;&gt;F641),IF('депозитный калькулятор'!$F$1=1,$H$24,SUM($H$23:H641)-SUM($I$23:I640)),IF(AND('депозитный калькулятор'!$G$10="ежемесячное (в конце месяца)",EOMONTH(F641,0)=F641),SUM($H$23:H641)-SUM($I$23:I640),IF(AND('депозитный калькулятор'!$G$10="ежемесячное (по дням открытия вклада)",F641='депозитный калькулятор'!$D$8,DAY('депозитный калькулятор'!$D$7)&lt;&gt;DAY(F641)),IF('депозитный калькулятор'!$F$1=1,$H$24,SUM($H$23:H641)-SUM($I$23:I640)),IF(AND('депозитный калькулятор'!$G$10="ежемесячное (по дням открытия вклада)",DAY('депозитный калькулятор'!$D$7)=DAY(F641)),SUM($H$23:H641)-SUM($I$23:I640),IF(AND('депозитный калькулятор'!$G$10="ежемесячное, на минимальную сумму зафиксированную в течение месяца",F641='депозитный калькулятор'!$D$8,EOMONTH(F641,0)&lt;&gt;F641),IF('депозитный калькулятор'!$F$1=1,$H$24,IF(AND(OR('депозитный калькулятор'!$G$7="30/365",'депозитный калькулятор'!$G$7="30/360"),DAY(F641)=31),0,MIN(OFFSET(H641,-E641+1,0):H641)*(E641+SUMIF(OFFSET(A641,-E641+1,0):A641,"=2",OFFSET(A641,-E641+1,0):A641)))),IF(AND('депозитный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калькулятор'!$G$7="30/360"),DAY(EOMONTH(F641,0))=31),EOMONTH(F641,0)-1=F641,EOMONTH(F641,0)=F641)),IF(IF(AND(OR('депозитный калькулятор'!$G$7="30/365",'депозитный калькулятор'!$G$7="30/360"),DAY(EOMONTH($F$23,0))=31),F641=EOMONTH($F$23,0)-1,F641=EOMONTH($F$23,0)),MIN(OFFSET(H641,-(DAY(F641)-DAY($F$23)),0):H641)*E641,MIN(OFFSET(H641,-(DAY(F641)-1),0):H641)*IF(AND(OR('депозитный калькулятор'!$G$7="30/365",'депозитный калькулятор'!$G$7="30/360"),DAY(F641)&lt;30),30,DAY(F641))),IF(AND('депозитный калькулятор'!$G$10="ежемесячное, на средний остаток в течение месяца, при условии что остаток больше чем ограничение",F641='депозитный калькулятор'!$D$8,EOMONTH(F641,0)&lt;&gt;F641),IF('депозитный калькулятор'!$F$1=1,$H$24,SUM(OFFSET(Q641,-E641+1,0):Q641)),IF(AND('депозитный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калькулятор'!$G$7="30/360"),DAY(EOMONTH(F641,0))=31),EOMONTH(F641,0)-1=F641,EOMONTH(F641,0)=F641)),IF(IF(AND(OR('депозитный калькулятор'!$G$7="30/365",'депозитный калькулятор'!$G$7="30/360"),DAY(EOMONTH($F$24,0))=31),F641=EOMONTH($F$24,0)-1,F641=EOMONTH($F$24,0)),SUM(OFFSET(Q641,-E641+1,0):Q641),SUM(OFFSET(Q641,-E641+1,0):Q641)),IF('депозитный калькулятор'!$G$10="ежеквартальное",IF(F641&gt;'депозитный калькулятор'!$D$8," ",IF(AND(EOMONTH(F641,0)=F641,OR(MONTH(F641)=3,MONTH(F641)=6,MONTH(F641)=9,MONTH(F641)=12)),IF(EDATE(F641,-3)&lt;'депозитный калькулятор'!$D$7,SUM($H$23:H641),IF(MOD(YEAR(F641),4)=0,IF(AND(EOMONTH(F641,0)=F641,OR(MONTH(F641)=3,MONTH(F641)=6)),SUM(OFFSET(H641,-90,0):H641),IF(AND(EOMONTH(F641,0)=F641,OR(MONTH(F641)=9,MONTH(F641)=12)),SUM(OFFSET(H641,-91,0):H641))),IF(AND(EOMONTH(F641,0)=F641,MONTH(F641)=3),SUM(OFFSET(H641,-89,0):H641),IF(AND(EOMONTH(F641,0)=F641,MONTH(F641)=6),SUM(OFFSET(H641,-90,0):H641),IF(AND(EOMONTH(F641,0)=F641,OR(MONTH(F641)=9,MONTH(F641)=12)),SUM(OFFSET(H641,-91,0):H641)))))),IF(F641='депозитный калькулятор'!$D$8,SUM($H$23:H641)-SUM($I$23:I640),0))),IF('депозитный калькулятор'!$G$10="ежегодное",IF(F641&gt;'депозитный калькулятор'!$D$8," ",IF(F641='депозитный калькулятор'!$D$8,SUM($H$23:H641)-SUM($I$23:I640),IF(AND(EOMONTH(F641,0)=F641,MONTH(F641)=12),IF(MOD(YEAR(F640),4)=0,IF(F641-'депозитный калькулятор'!$D$7&lt;366,SUM($H$23:H641),SUM(OFFSET(H641,-365,0):H641)),IF(F641-'депозитный калькулятор'!$D$7&lt;365,SUM($H$23:H641),SUM(OFFSET(H641,-364,0):H641))),0))),IF(AND('депозитный калькулятор'!$G$10="в конце срока",'депозитный калькулятор'!$D$8=F641),SUM($H$23:H641),0))))))))))))))))))</f>
        <v xml:space="preserve"> </v>
      </c>
      <c r="J641" s="59" t="str">
        <f>IF(F641&gt;'депозитный калькулятор'!$D$8," ",IF('депозитный калькулятор'!$G$16="нет",0,IF(AND('депозитный калькулятор'!$G$17="разовая (в конце срока)",F641='депозитный калькулятор'!$D$8),'депозитный калькулятор'!$G$18,IF(AND('депозитный калькулятор'!$G$17="ежемесячная",EOMONTH(F640,0)=F640),'депозитный калькулятор'!$G$18,IF(AND('депозитный калькулятор'!$G$17="ежегодная",DAY(F640)=31,MONTH(F640)=12),'депозитный калькулятор'!$G$18,IF(AND('депозитный калькулятор'!$G$17="ежемесячная в зависимости от остатка",EOMONTH(F640,0)=F640,P640&gt;0),'депозитный калькулятор'!$G$18,IF(AND('депозитный калькулятор'!$G$17="ежегодная в зависимости от остатка",DAY(F640)=31,MONTH(F640)=12,P640&gt;0),'депозитный калькулятор'!$G$18,0)))))))</f>
        <v xml:space="preserve"> </v>
      </c>
      <c r="K641" s="135" t="str">
        <f>IF($F641=" "," ",IFERROR(VLOOKUP($F641,'депозитный калькулятор'!$B$26:$F$70,2,0),0))</f>
        <v xml:space="preserve"> </v>
      </c>
      <c r="L641" s="135" t="str">
        <f>IF($F641=" "," ",IFERROR(VLOOKUP($F641,'депозитный калькулятор'!$B$26:$F$70,3,0),0))</f>
        <v xml:space="preserve"> </v>
      </c>
      <c r="M641" s="135" t="str">
        <f>IF($F641=" "," ",IFERROR(VLOOKUP($F641,'депозитный калькулятор'!$B$26:$F$70,4,0),0))</f>
        <v xml:space="preserve"> </v>
      </c>
      <c r="N641" s="135" t="str">
        <f>IF($F641=" "," ",IFERROR(VLOOKUP($F641,'депозитный калькулятор'!$B$26:$F$70,5,0),0))</f>
        <v xml:space="preserve"> </v>
      </c>
      <c r="O641" s="146" t="str">
        <f>IF(F641&gt;'депозитный калькулятор'!$D$8," ",IF(F641='депозитный калькулятор'!$D$8,IF(AND($F$24='депозитный калькулятор'!$D$8,'депозитный калькулятор'!$G$13="нет"),-G641-IF(I641=" ",0,I641)-IF(AND(OR('депозитный калькулятор'!$G$7="30/365",'депозитный калькулятор'!$G$7="30/360"),'депозитный калькулятор'!$G$10="в начале срока"),I640,0)-L641+M641-N641,-G641-IF(I641=" ",0,I641)-L641+M641-N641),IF('депозитный калькулятор'!$G$13="есть",M641-N641+IF('депозитный калькулятор'!$G$14="есть",0,-L641),-IF(I641=" ",0,I641)-IF(AND(OR('депозитный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срока"),I640,0)+M641-N641+IF('депозитный калькулятор'!$G$14="есть",0,-L641))))</f>
        <v xml:space="preserve"> </v>
      </c>
      <c r="P641" s="147" t="str">
        <f>IF(F641&gt;'депозитный калькулятор'!$D$8," ",IF(EOMONTH(F640,0)=F640,0,IF(G641&gt;='депозитный калькулятор'!$G$19,P640,P640+1)))</f>
        <v xml:space="preserve"> </v>
      </c>
      <c r="Q641" s="138" t="str">
        <f>IF(F641=" "," ",IF(AND(OR('депозитный калькулятор'!$G$7="30/365",'депозитный калькулятор'!$G$7="30/360"),AND(MONTH(F641)=2,EOMONTH(F641,0)=F641)),IF(DAY(F641)=28,3,2),1)*IF(G641&gt;='депозитный калькулятор'!$G$11,IF(AND('депозитный калькулятор'!$G$7="факт/факт",MOD(YEAR(F641),4)=0),G641*'депозитный калькулятор'!$D$11/366,G641*'депозитный калькулятор'!$G$8),0))</f>
        <v xml:space="preserve"> </v>
      </c>
      <c r="R641" s="158"/>
      <c r="S641" s="62" t="str">
        <f t="shared" ca="1" si="47"/>
        <v xml:space="preserve"> </v>
      </c>
      <c r="T641" s="149" t="str">
        <f ca="1">IF(S641=" "," ",IF('депозитный калькулятор'!$G$7="30/360",DAYS360(U640,IF(DAY(U641)=31,U641-1,U641))+IF(AND(MONTH(U641)=2,U641=EOMONTH(U641,0)),30-DAY(EOMONTH(U641,0)))+T640,VLOOKUP(S641,$C$22:$F$1023,2,0)))</f>
        <v xml:space="preserve"> </v>
      </c>
      <c r="U641" s="64" t="str">
        <f t="shared" ca="1" si="45"/>
        <v xml:space="preserve"> </v>
      </c>
      <c r="V641" s="150" t="str">
        <f t="shared" ca="1" si="48"/>
        <v xml:space="preserve"> </v>
      </c>
      <c r="W641" s="62" t="str">
        <f t="shared" ca="1" si="49"/>
        <v xml:space="preserve"> </v>
      </c>
      <c r="X641" s="141" t="str">
        <f ca="1">IF(S641=" "," ",IFERROR(VLOOKUP(U641,$F$23:$N$1023,7)+VLOOKUP(U641,$F$23:$N$1023,9)+IF(AND('депозитный калькулятор'!$G$13="нет",U641&lt;&gt;'депозитный калькулятор'!$D$8),VLOOKUP(U641,$F$23:$N$1023,4),0),0)+IF(U641='депозитный калькулятор'!$D$8,VLOOKUP(U641,$F$23:$N$1023,2)+VLOOKUP(U641,$F$23:$N$1023,4),0))</f>
        <v xml:space="preserve"> </v>
      </c>
      <c r="Y641" s="142" t="str">
        <f ca="1">IF(S641=" "," ",W641/(1+'депозитный калькулятор'!$K$8)^(T641/IF('депозитный калькулятор'!$G$7="30/360",360,365)))</f>
        <v xml:space="preserve"> </v>
      </c>
      <c r="Z641" s="142" t="str">
        <f ca="1">IF(S641=" "," ",X641/(1+'депозитный калькулятор'!$K$8)^(T641/IF('депозитный калькулятор'!$G$7="30/360",360,365)))</f>
        <v xml:space="preserve"> </v>
      </c>
      <c r="AA641" s="151"/>
      <c r="AB641" s="151"/>
      <c r="AC641" s="155"/>
      <c r="AD641" s="155"/>
    </row>
    <row r="642" spans="1:30" s="2" customFormat="1" ht="15.5" x14ac:dyDescent="0.35">
      <c r="A642" s="41" t="str">
        <f>IF(F642=" "," ",IF(OR('депозитный калькулятор'!$G$7="30/365",'депозитный калькулятор'!$G$7="30/360"),IF(AND(MONTH(F642)=2,DAY(F642)=DAY(EOMONTH(F642,0))),30-DAY(EOMONTH(F642,0)),IF(DAY(F642)=31,1," "))," "))</f>
        <v xml:space="preserve"> </v>
      </c>
      <c r="B642" s="130" t="str">
        <f t="shared" si="46"/>
        <v xml:space="preserve"> </v>
      </c>
      <c r="C642" s="130" t="str">
        <f>IF(OR(B642=0,B642=" ")," ",SUM($B$23:B642))</f>
        <v xml:space="preserve"> </v>
      </c>
      <c r="D642" s="62" t="str">
        <f>IF(D641=" "," ",IF(OR(F641='депозитный калькулятор'!$D$8,F641=" ")," ",D641+1))</f>
        <v xml:space="preserve"> </v>
      </c>
      <c r="E642" s="130" t="str">
        <f>IF(OR(F641='депозитный калькулятор'!$D$8,F641=" ")," ",IF(EOMONTH(F641,0)=F641,1,E641+1))</f>
        <v xml:space="preserve"> </v>
      </c>
      <c r="F642" s="64" t="str">
        <f>IF(F641=" "," ",IF(F641='депозитный калькулятор'!$D$8," ",F641+1))</f>
        <v xml:space="preserve"> </v>
      </c>
      <c r="G642" s="145" t="str">
        <f xml:space="preserve"> IF(F642&gt;'депозитный калькулятор'!$D$8," ",IF('депозитный калькулятор'!$G$13="есть",IF('депозитный калькулятор'!$G$14="есть",G641+IF(I641=" ",0,I641)-J642-K642+L642+M642-N642,G641+IF(I641=" ",0,I641)-J642-K642+M642-N642),IF('депозитный калькулятор'!$G$14="есть",G641-J642-K642+L642+M642-N642,G641-J642-K642+M642-N642)))</f>
        <v xml:space="preserve"> </v>
      </c>
      <c r="H642" s="133" t="str">
        <f>IF(F642&gt;'депозитный калькулятор'!$D$8," ",IF(AND(OR('депозитный калькулятор'!$G$7="30/365",'депозитный калькулятор'!$G$7="30/360"),AND(MONTH(F642)=2,EOMONTH(F642,0)=F642)),IF(DAY(F642)=28,3*G642*'депозитный калькулятор'!$G$8,2*G642*'депозитный калькулятор'!$G$8),IF(AND(OR('депозитный калькулятор'!$G$7="30/365",'депозитный калькулятор'!$G$7="30/360"),DAY(F642)=31)," ",IF(AND('депозитный калькулятор'!$G$7="факт/факт",MOD(YEAR(F642),4)=0),G642*'депозитный калькулятор'!$D$11/366,G642*'депозитный калькулятор'!$G$8))))</f>
        <v xml:space="preserve"> </v>
      </c>
      <c r="I642" s="134" t="str">
        <f ca="1">IF(F642=" "," ",IF('депозитный калькулятор'!$G$10="ежедневное",H642,IF(AND('депозитный калькулятор'!$G$10="еженедельное",WEEKDAY(F642,2)=7),SUM(OFFSET(H642,-6,0):H642),IF(AND('депозитный калькулятор'!$G$10="еженедельное",F642='депозитный калькулятор'!$D$8),SUM($H$23:H642)-SUM($I$23:I641),IF(AND('депозитный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недели",WEEKDAY(F642,2)=7),MIN(OFFSET(H642,-6,0):H642)*(COUNTIF(OFFSET(H642,-6,0):H642,"&gt;0")+SUMIF(OFFSET(A642,-WEEKDAY(F642,2),0):A642,"=2",OFFSET(A642,-WEEKDAY(F642,2),0):A642)),IF(AND('депозитный калькулятор'!$G$10="еженедельное, на минимальную сумму зафиксированную в течение недели",F642='депозитный калькулятор'!$D$8,WEEKDAY(F642,2)&lt;&gt;7),MIN(OFFSET(H642,-WEEKDAY(F642,2),0):H642)*(COUNTIF(OFFSET(H642,-WEEKDAY(F642,2)+1,0):H642,"&gt;0")+SUM(OFFSET(A642,-WEEKDAY(F642,2),0):A642)),IF(AND('депозитный калькулятор'!$G$10="ежемесячное (в конце месяца)",F642='депозитный калькулятор'!$D$8,EOMONTH(F642,0)&lt;&gt;F642),IF('депозитный калькулятор'!$F$1=1,$H$24,SUM($H$23:H642)-SUM($I$23:I641)),IF(AND('депозитный калькулятор'!$G$10="ежемесячное (в конце месяца)",EOMONTH(F642,0)=F642),SUM($H$23:H642)-SUM($I$23:I641),IF(AND('депозитный калькулятор'!$G$10="ежемесячное (по дням открытия вклада)",F642='депозитный калькулятор'!$D$8,DAY('депозитный калькулятор'!$D$7)&lt;&gt;DAY(F642)),IF('депозитный калькулятор'!$F$1=1,$H$24,SUM($H$23:H642)-SUM($I$23:I641)),IF(AND('депозитный калькулятор'!$G$10="ежемесячное (по дням открытия вклада)",DAY('депозитный калькулятор'!$D$7)=DAY(F642)),SUM($H$23:H642)-SUM($I$23:I641),IF(AND('депозитный калькулятор'!$G$10="ежемесячное, на минимальную сумму зафиксированную в течение месяца",F642='депозитный калькулятор'!$D$8,EOMONTH(F642,0)&lt;&gt;F642),IF('депозитный калькулятор'!$F$1=1,$H$24,IF(AND(OR('депозитный калькулятор'!$G$7="30/365",'депозитный калькулятор'!$G$7="30/360"),DAY(F642)=31),0,MIN(OFFSET(H642,-E642+1,0):H642)*(E642+SUMIF(OFFSET(A642,-E642+1,0):A642,"=2",OFFSET(A642,-E642+1,0):A642)))),IF(AND('депозитный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калькулятор'!$G$7="30/360"),DAY(EOMONTH(F642,0))=31),EOMONTH(F642,0)-1=F642,EOMONTH(F642,0)=F642)),IF(IF(AND(OR('депозитный калькулятор'!$G$7="30/365",'депозитный калькулятор'!$G$7="30/360"),DAY(EOMONTH($F$23,0))=31),F642=EOMONTH($F$23,0)-1,F642=EOMONTH($F$23,0)),MIN(OFFSET(H642,-(DAY(F642)-DAY($F$23)),0):H642)*E642,MIN(OFFSET(H642,-(DAY(F642)-1),0):H642)*IF(AND(OR('депозитный калькулятор'!$G$7="30/365",'депозитный калькулятор'!$G$7="30/360"),DAY(F642)&lt;30),30,DAY(F642))),IF(AND('депозитный калькулятор'!$G$10="ежемесячное, на средний остаток в течение месяца, при условии что остаток больше чем ограничение",F642='депозитный калькулятор'!$D$8,EOMONTH(F642,0)&lt;&gt;F642),IF('депозитный калькулятор'!$F$1=1,$H$24,SUM(OFFSET(Q642,-E642+1,0):Q642)),IF(AND('депозитный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калькулятор'!$G$7="30/360"),DAY(EOMONTH(F642,0))=31),EOMONTH(F642,0)-1=F642,EOMONTH(F642,0)=F642)),IF(IF(AND(OR('депозитный калькулятор'!$G$7="30/365",'депозитный калькулятор'!$G$7="30/360"),DAY(EOMONTH($F$24,0))=31),F642=EOMONTH($F$24,0)-1,F642=EOMONTH($F$24,0)),SUM(OFFSET(Q642,-E642+1,0):Q642),SUM(OFFSET(Q642,-E642+1,0):Q642)),IF('депозитный калькулятор'!$G$10="ежеквартальное",IF(F642&gt;'депозитный калькулятор'!$D$8," ",IF(AND(EOMONTH(F642,0)=F642,OR(MONTH(F642)=3,MONTH(F642)=6,MONTH(F642)=9,MONTH(F642)=12)),IF(EDATE(F642,-3)&lt;'депозитный калькулятор'!$D$7,SUM($H$23:H642),IF(MOD(YEAR(F642),4)=0,IF(AND(EOMONTH(F642,0)=F642,OR(MONTH(F642)=3,MONTH(F642)=6)),SUM(OFFSET(H642,-90,0):H642),IF(AND(EOMONTH(F642,0)=F642,OR(MONTH(F642)=9,MONTH(F642)=12)),SUM(OFFSET(H642,-91,0):H642))),IF(AND(EOMONTH(F642,0)=F642,MONTH(F642)=3),SUM(OFFSET(H642,-89,0):H642),IF(AND(EOMONTH(F642,0)=F642,MONTH(F642)=6),SUM(OFFSET(H642,-90,0):H642),IF(AND(EOMONTH(F642,0)=F642,OR(MONTH(F642)=9,MONTH(F642)=12)),SUM(OFFSET(H642,-91,0):H642)))))),IF(F642='депозитный калькулятор'!$D$8,SUM($H$23:H642)-SUM($I$23:I641),0))),IF('депозитный калькулятор'!$G$10="ежегодное",IF(F642&gt;'депозитный калькулятор'!$D$8," ",IF(F642='депозитный калькулятор'!$D$8,SUM($H$23:H642)-SUM($I$23:I641),IF(AND(EOMONTH(F642,0)=F642,MONTH(F642)=12),IF(MOD(YEAR(F641),4)=0,IF(F642-'депозитный калькулятор'!$D$7&lt;366,SUM($H$23:H642),SUM(OFFSET(H642,-365,0):H642)),IF(F642-'депозитный калькулятор'!$D$7&lt;365,SUM($H$23:H642),SUM(OFFSET(H642,-364,0):H642))),0))),IF(AND('депозитный калькулятор'!$G$10="в конце срока",'депозитный калькулятор'!$D$8=F642),SUM($H$23:H642),0))))))))))))))))))</f>
        <v xml:space="preserve"> </v>
      </c>
      <c r="J642" s="59" t="str">
        <f>IF(F642&gt;'депозитный калькулятор'!$D$8," ",IF('депозитный калькулятор'!$G$16="нет",0,IF(AND('депозитный калькулятор'!$G$17="разовая (в конце срока)",F642='депозитный калькулятор'!$D$8),'депозитный калькулятор'!$G$18,IF(AND('депозитный калькулятор'!$G$17="ежемесячная",EOMONTH(F641,0)=F641),'депозитный калькулятор'!$G$18,IF(AND('депозитный калькулятор'!$G$17="ежегодная",DAY(F641)=31,MONTH(F641)=12),'депозитный калькулятор'!$G$18,IF(AND('депозитный калькулятор'!$G$17="ежемесячная в зависимости от остатка",EOMONTH(F641,0)=F641,P641&gt;0),'депозитный калькулятор'!$G$18,IF(AND('депозитный калькулятор'!$G$17="ежегодная в зависимости от остатка",DAY(F641)=31,MONTH(F641)=12,P641&gt;0),'депозитный калькулятор'!$G$18,0)))))))</f>
        <v xml:space="preserve"> </v>
      </c>
      <c r="K642" s="135" t="str">
        <f>IF($F642=" "," ",IFERROR(VLOOKUP($F642,'депозитный калькулятор'!$B$26:$F$70,2,0),0))</f>
        <v xml:space="preserve"> </v>
      </c>
      <c r="L642" s="135" t="str">
        <f>IF($F642=" "," ",IFERROR(VLOOKUP($F642,'депозитный калькулятор'!$B$26:$F$70,3,0),0))</f>
        <v xml:space="preserve"> </v>
      </c>
      <c r="M642" s="135" t="str">
        <f>IF($F642=" "," ",IFERROR(VLOOKUP($F642,'депозитный калькулятор'!$B$26:$F$70,4,0),0))</f>
        <v xml:space="preserve"> </v>
      </c>
      <c r="N642" s="135" t="str">
        <f>IF($F642=" "," ",IFERROR(VLOOKUP($F642,'депозитный калькулятор'!$B$26:$F$70,5,0),0))</f>
        <v xml:space="preserve"> </v>
      </c>
      <c r="O642" s="146" t="str">
        <f>IF(F642&gt;'депозитный калькулятор'!$D$8," ",IF(F642='депозитный калькулятор'!$D$8,IF(AND($F$24='депозитный калькулятор'!$D$8,'депозитный калькулятор'!$G$13="нет"),-G642-IF(I642=" ",0,I642)-IF(AND(OR('депозитный калькулятор'!$G$7="30/365",'депозитный калькулятор'!$G$7="30/360"),'депозитный калькулятор'!$G$10="в начале срока"),I641,0)-L642+M642-N642,-G642-IF(I642=" ",0,I642)-L642+M642-N642),IF('депозитный калькулятор'!$G$13="есть",M642-N642+IF('депозитный калькулятор'!$G$14="есть",0,-L642),-IF(I642=" ",0,I642)-IF(AND(OR('депозитный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срока"),I641,0)+M642-N642+IF('депозитный калькулятор'!$G$14="есть",0,-L642))))</f>
        <v xml:space="preserve"> </v>
      </c>
      <c r="P642" s="147" t="str">
        <f>IF(F642&gt;'депозитный калькулятор'!$D$8," ",IF(EOMONTH(F641,0)=F641,0,IF(G642&gt;='депозитный калькулятор'!$G$19,P641,P641+1)))</f>
        <v xml:space="preserve"> </v>
      </c>
      <c r="Q642" s="138" t="str">
        <f>IF(F642=" "," ",IF(AND(OR('депозитный калькулятор'!$G$7="30/365",'депозитный калькулятор'!$G$7="30/360"),AND(MONTH(F642)=2,EOMONTH(F642,0)=F642)),IF(DAY(F642)=28,3,2),1)*IF(G642&gt;='депозитный калькулятор'!$G$11,IF(AND('депозитный калькулятор'!$G$7="факт/факт",MOD(YEAR(F642),4)=0),G642*'депозитный калькулятор'!$D$11/366,G642*'депозитный калькулятор'!$G$8),0))</f>
        <v xml:space="preserve"> </v>
      </c>
      <c r="R642" s="158"/>
      <c r="S642" s="62" t="str">
        <f t="shared" ca="1" si="47"/>
        <v xml:space="preserve"> </v>
      </c>
      <c r="T642" s="149" t="str">
        <f ca="1">IF(S642=" "," ",IF('депозитный калькулятор'!$G$7="30/360",DAYS360(U641,IF(DAY(U642)=31,U642-1,U642))+IF(AND(MONTH(U642)=2,U642=EOMONTH(U642,0)),30-DAY(EOMONTH(U642,0)))+T641,VLOOKUP(S642,$C$22:$F$1023,2,0)))</f>
        <v xml:space="preserve"> </v>
      </c>
      <c r="U642" s="64" t="str">
        <f t="shared" ca="1" si="45"/>
        <v xml:space="preserve"> </v>
      </c>
      <c r="V642" s="150" t="str">
        <f t="shared" ca="1" si="48"/>
        <v xml:space="preserve"> </v>
      </c>
      <c r="W642" s="62" t="str">
        <f t="shared" ca="1" si="49"/>
        <v xml:space="preserve"> </v>
      </c>
      <c r="X642" s="141" t="str">
        <f ca="1">IF(S642=" "," ",IFERROR(VLOOKUP(U642,$F$23:$N$1023,7)+VLOOKUP(U642,$F$23:$N$1023,9)+IF(AND('депозитный калькулятор'!$G$13="нет",U642&lt;&gt;'депозитный калькулятор'!$D$8),VLOOKUP(U642,$F$23:$N$1023,4),0),0)+IF(U642='депозитный калькулятор'!$D$8,VLOOKUP(U642,$F$23:$N$1023,2)+VLOOKUP(U642,$F$23:$N$1023,4),0))</f>
        <v xml:space="preserve"> </v>
      </c>
      <c r="Y642" s="142" t="str">
        <f ca="1">IF(S642=" "," ",W642/(1+'депозитный калькулятор'!$K$8)^(T642/IF('депозитный калькулятор'!$G$7="30/360",360,365)))</f>
        <v xml:space="preserve"> </v>
      </c>
      <c r="Z642" s="142" t="str">
        <f ca="1">IF(S642=" "," ",X642/(1+'депозитный калькулятор'!$K$8)^(T642/IF('депозитный калькулятор'!$G$7="30/360",360,365)))</f>
        <v xml:space="preserve"> </v>
      </c>
      <c r="AA642" s="151"/>
      <c r="AB642" s="151"/>
      <c r="AC642" s="155"/>
      <c r="AD642" s="155"/>
    </row>
    <row r="643" spans="1:30" s="2" customFormat="1" ht="15.5" x14ac:dyDescent="0.35">
      <c r="A643" s="41" t="str">
        <f>IF(F643=" "," ",IF(OR('депозитный калькулятор'!$G$7="30/365",'депозитный калькулятор'!$G$7="30/360"),IF(AND(MONTH(F643)=2,DAY(F643)=DAY(EOMONTH(F643,0))),30-DAY(EOMONTH(F643,0)),IF(DAY(F643)=31,1," "))," "))</f>
        <v xml:space="preserve"> </v>
      </c>
      <c r="B643" s="130" t="str">
        <f t="shared" si="46"/>
        <v xml:space="preserve"> </v>
      </c>
      <c r="C643" s="130" t="str">
        <f>IF(OR(B643=0,B643=" ")," ",SUM($B$23:B643))</f>
        <v xml:space="preserve"> </v>
      </c>
      <c r="D643" s="62" t="str">
        <f>IF(D642=" "," ",IF(OR(F642='депозитный калькулятор'!$D$8,F642=" ")," ",D642+1))</f>
        <v xml:space="preserve"> </v>
      </c>
      <c r="E643" s="130" t="str">
        <f>IF(OR(F642='депозитный калькулятор'!$D$8,F642=" ")," ",IF(EOMONTH(F642,0)=F642,1,E642+1))</f>
        <v xml:space="preserve"> </v>
      </c>
      <c r="F643" s="64" t="str">
        <f>IF(F642=" "," ",IF(F642='депозитный калькулятор'!$D$8," ",F642+1))</f>
        <v xml:space="preserve"> </v>
      </c>
      <c r="G643" s="145" t="str">
        <f xml:space="preserve"> IF(F643&gt;'депозитный калькулятор'!$D$8," ",IF('депозитный калькулятор'!$G$13="есть",IF('депозитный калькулятор'!$G$14="есть",G642+IF(I642=" ",0,I642)-J643-K643+L643+M643-N643,G642+IF(I642=" ",0,I642)-J643-K643+M643-N643),IF('депозитный калькулятор'!$G$14="есть",G642-J643-K643+L643+M643-N643,G642-J643-K643+M643-N643)))</f>
        <v xml:space="preserve"> </v>
      </c>
      <c r="H643" s="133" t="str">
        <f>IF(F643&gt;'депозитный калькулятор'!$D$8," ",IF(AND(OR('депозитный калькулятор'!$G$7="30/365",'депозитный калькулятор'!$G$7="30/360"),AND(MONTH(F643)=2,EOMONTH(F643,0)=F643)),IF(DAY(F643)=28,3*G643*'депозитный калькулятор'!$G$8,2*G643*'депозитный калькулятор'!$G$8),IF(AND(OR('депозитный калькулятор'!$G$7="30/365",'депозитный калькулятор'!$G$7="30/360"),DAY(F643)=31)," ",IF(AND('депозитный калькулятор'!$G$7="факт/факт",MOD(YEAR(F643),4)=0),G643*'депозитный калькулятор'!$D$11/366,G643*'депозитный калькулятор'!$G$8))))</f>
        <v xml:space="preserve"> </v>
      </c>
      <c r="I643" s="134" t="str">
        <f ca="1">IF(F643=" "," ",IF('депозитный калькулятор'!$G$10="ежедневное",H643,IF(AND('депозитный калькулятор'!$G$10="еженедельное",WEEKDAY(F643,2)=7),SUM(OFFSET(H643,-6,0):H643),IF(AND('депозитный калькулятор'!$G$10="еженедельное",F643='депозитный калькулятор'!$D$8),SUM($H$23:H643)-SUM($I$23:I642),IF(AND('депозитный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недели",WEEKDAY(F643,2)=7),MIN(OFFSET(H643,-6,0):H643)*(COUNTIF(OFFSET(H643,-6,0):H643,"&gt;0")+SUMIF(OFFSET(A643,-WEEKDAY(F643,2),0):A643,"=2",OFFSET(A643,-WEEKDAY(F643,2),0):A643)),IF(AND('депозитный калькулятор'!$G$10="еженедельное, на минимальную сумму зафиксированную в течение недели",F643='депозитный калькулятор'!$D$8,WEEKDAY(F643,2)&lt;&gt;7),MIN(OFFSET(H643,-WEEKDAY(F643,2),0):H643)*(COUNTIF(OFFSET(H643,-WEEKDAY(F643,2)+1,0):H643,"&gt;0")+SUM(OFFSET(A643,-WEEKDAY(F643,2),0):A643)),IF(AND('депозитный калькулятор'!$G$10="ежемесячное (в конце месяца)",F643='депозитный калькулятор'!$D$8,EOMONTH(F643,0)&lt;&gt;F643),IF('депозитный калькулятор'!$F$1=1,$H$24,SUM($H$23:H643)-SUM($I$23:I642)),IF(AND('депозитный калькулятор'!$G$10="ежемесячное (в конце месяца)",EOMONTH(F643,0)=F643),SUM($H$23:H643)-SUM($I$23:I642),IF(AND('депозитный калькулятор'!$G$10="ежемесячное (по дням открытия вклада)",F643='депозитный калькулятор'!$D$8,DAY('депозитный калькулятор'!$D$7)&lt;&gt;DAY(F643)),IF('депозитный калькулятор'!$F$1=1,$H$24,SUM($H$23:H643)-SUM($I$23:I642)),IF(AND('депозитный калькулятор'!$G$10="ежемесячное (по дням открытия вклада)",DAY('депозитный калькулятор'!$D$7)=DAY(F643)),SUM($H$23:H643)-SUM($I$23:I642),IF(AND('депозитный калькулятор'!$G$10="ежемесячное, на минимальную сумму зафиксированную в течение месяца",F643='депозитный калькулятор'!$D$8,EOMONTH(F643,0)&lt;&gt;F643),IF('депозитный калькулятор'!$F$1=1,$H$24,IF(AND(OR('депозитный калькулятор'!$G$7="30/365",'депозитный калькулятор'!$G$7="30/360"),DAY(F643)=31),0,MIN(OFFSET(H643,-E643+1,0):H643)*(E643+SUMIF(OFFSET(A643,-E643+1,0):A643,"=2",OFFSET(A643,-E643+1,0):A643)))),IF(AND('депозитный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калькулятор'!$G$7="30/360"),DAY(EOMONTH(F643,0))=31),EOMONTH(F643,0)-1=F643,EOMONTH(F643,0)=F643)),IF(IF(AND(OR('депозитный калькулятор'!$G$7="30/365",'депозитный калькулятор'!$G$7="30/360"),DAY(EOMONTH($F$23,0))=31),F643=EOMONTH($F$23,0)-1,F643=EOMONTH($F$23,0)),MIN(OFFSET(H643,-(DAY(F643)-DAY($F$23)),0):H643)*E643,MIN(OFFSET(H643,-(DAY(F643)-1),0):H643)*IF(AND(OR('депозитный калькулятор'!$G$7="30/365",'депозитный калькулятор'!$G$7="30/360"),DAY(F643)&lt;30),30,DAY(F643))),IF(AND('депозитный калькулятор'!$G$10="ежемесячное, на средний остаток в течение месяца, при условии что остаток больше чем ограничение",F643='депозитный калькулятор'!$D$8,EOMONTH(F643,0)&lt;&gt;F643),IF('депозитный калькулятор'!$F$1=1,$H$24,SUM(OFFSET(Q643,-E643+1,0):Q643)),IF(AND('депозитный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калькулятор'!$G$7="30/360"),DAY(EOMONTH(F643,0))=31),EOMONTH(F643,0)-1=F643,EOMONTH(F643,0)=F643)),IF(IF(AND(OR('депозитный калькулятор'!$G$7="30/365",'депозитный калькулятор'!$G$7="30/360"),DAY(EOMONTH($F$24,0))=31),F643=EOMONTH($F$24,0)-1,F643=EOMONTH($F$24,0)),SUM(OFFSET(Q643,-E643+1,0):Q643),SUM(OFFSET(Q643,-E643+1,0):Q643)),IF('депозитный калькулятор'!$G$10="ежеквартальное",IF(F643&gt;'депозитный калькулятор'!$D$8," ",IF(AND(EOMONTH(F643,0)=F643,OR(MONTH(F643)=3,MONTH(F643)=6,MONTH(F643)=9,MONTH(F643)=12)),IF(EDATE(F643,-3)&lt;'депозитный калькулятор'!$D$7,SUM($H$23:H643),IF(MOD(YEAR(F643),4)=0,IF(AND(EOMONTH(F643,0)=F643,OR(MONTH(F643)=3,MONTH(F643)=6)),SUM(OFFSET(H643,-90,0):H643),IF(AND(EOMONTH(F643,0)=F643,OR(MONTH(F643)=9,MONTH(F643)=12)),SUM(OFFSET(H643,-91,0):H643))),IF(AND(EOMONTH(F643,0)=F643,MONTH(F643)=3),SUM(OFFSET(H643,-89,0):H643),IF(AND(EOMONTH(F643,0)=F643,MONTH(F643)=6),SUM(OFFSET(H643,-90,0):H643),IF(AND(EOMONTH(F643,0)=F643,OR(MONTH(F643)=9,MONTH(F643)=12)),SUM(OFFSET(H643,-91,0):H643)))))),IF(F643='депозитный калькулятор'!$D$8,SUM($H$23:H643)-SUM($I$23:I642),0))),IF('депозитный калькулятор'!$G$10="ежегодное",IF(F643&gt;'депозитный калькулятор'!$D$8," ",IF(F643='депозитный калькулятор'!$D$8,SUM($H$23:H643)-SUM($I$23:I642),IF(AND(EOMONTH(F643,0)=F643,MONTH(F643)=12),IF(MOD(YEAR(F642),4)=0,IF(F643-'депозитный калькулятор'!$D$7&lt;366,SUM($H$23:H643),SUM(OFFSET(H643,-365,0):H643)),IF(F643-'депозитный калькулятор'!$D$7&lt;365,SUM($H$23:H643),SUM(OFFSET(H643,-364,0):H643))),0))),IF(AND('депозитный калькулятор'!$G$10="в конце срока",'депозитный калькулятор'!$D$8=F643),SUM($H$23:H643),0))))))))))))))))))</f>
        <v xml:space="preserve"> </v>
      </c>
      <c r="J643" s="59" t="str">
        <f>IF(F643&gt;'депозитный калькулятор'!$D$8," ",IF('депозитный калькулятор'!$G$16="нет",0,IF(AND('депозитный калькулятор'!$G$17="разовая (в конце срока)",F643='депозитный калькулятор'!$D$8),'депозитный калькулятор'!$G$18,IF(AND('депозитный калькулятор'!$G$17="ежемесячная",EOMONTH(F642,0)=F642),'депозитный калькулятор'!$G$18,IF(AND('депозитный калькулятор'!$G$17="ежегодная",DAY(F642)=31,MONTH(F642)=12),'депозитный калькулятор'!$G$18,IF(AND('депозитный калькулятор'!$G$17="ежемесячная в зависимости от остатка",EOMONTH(F642,0)=F642,P642&gt;0),'депозитный калькулятор'!$G$18,IF(AND('депозитный калькулятор'!$G$17="ежегодная в зависимости от остатка",DAY(F642)=31,MONTH(F642)=12,P642&gt;0),'депозитный калькулятор'!$G$18,0)))))))</f>
        <v xml:space="preserve"> </v>
      </c>
      <c r="K643" s="135" t="str">
        <f>IF($F643=" "," ",IFERROR(VLOOKUP($F643,'депозитный калькулятор'!$B$26:$F$70,2,0),0))</f>
        <v xml:space="preserve"> </v>
      </c>
      <c r="L643" s="135" t="str">
        <f>IF($F643=" "," ",IFERROR(VLOOKUP($F643,'депозитный калькулятор'!$B$26:$F$70,3,0),0))</f>
        <v xml:space="preserve"> </v>
      </c>
      <c r="M643" s="135" t="str">
        <f>IF($F643=" "," ",IFERROR(VLOOKUP($F643,'депозитный калькулятор'!$B$26:$F$70,4,0),0))</f>
        <v xml:space="preserve"> </v>
      </c>
      <c r="N643" s="135" t="str">
        <f>IF($F643=" "," ",IFERROR(VLOOKUP($F643,'депозитный калькулятор'!$B$26:$F$70,5,0),0))</f>
        <v xml:space="preserve"> </v>
      </c>
      <c r="O643" s="146" t="str">
        <f>IF(F643&gt;'депозитный калькулятор'!$D$8," ",IF(F643='депозитный калькулятор'!$D$8,IF(AND($F$24='депозитный калькулятор'!$D$8,'депозитный калькулятор'!$G$13="нет"),-G643-IF(I643=" ",0,I643)-IF(AND(OR('депозитный калькулятор'!$G$7="30/365",'депозитный калькулятор'!$G$7="30/360"),'депозитный калькулятор'!$G$10="в начале срока"),I642,0)-L643+M643-N643,-G643-IF(I643=" ",0,I643)-L643+M643-N643),IF('депозитный калькулятор'!$G$13="есть",M643-N643+IF('депозитный калькулятор'!$G$14="есть",0,-L643),-IF(I643=" ",0,I643)-IF(AND(OR('депозитный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срока"),I642,0)+M643-N643+IF('депозитный калькулятор'!$G$14="есть",0,-L643))))</f>
        <v xml:space="preserve"> </v>
      </c>
      <c r="P643" s="147" t="str">
        <f>IF(F643&gt;'депозитный калькулятор'!$D$8," ",IF(EOMONTH(F642,0)=F642,0,IF(G643&gt;='депозитный калькулятор'!$G$19,P642,P642+1)))</f>
        <v xml:space="preserve"> </v>
      </c>
      <c r="Q643" s="138" t="str">
        <f>IF(F643=" "," ",IF(AND(OR('депозитный калькулятор'!$G$7="30/365",'депозитный калькулятор'!$G$7="30/360"),AND(MONTH(F643)=2,EOMONTH(F643,0)=F643)),IF(DAY(F643)=28,3,2),1)*IF(G643&gt;='депозитный калькулятор'!$G$11,IF(AND('депозитный калькулятор'!$G$7="факт/факт",MOD(YEAR(F643),4)=0),G643*'депозитный калькулятор'!$D$11/366,G643*'депозитный калькулятор'!$G$8),0))</f>
        <v xml:space="preserve"> </v>
      </c>
      <c r="R643" s="158"/>
      <c r="S643" s="62" t="str">
        <f t="shared" ca="1" si="47"/>
        <v xml:space="preserve"> </v>
      </c>
      <c r="T643" s="149" t="str">
        <f ca="1">IF(S643=" "," ",IF('депозитный калькулятор'!$G$7="30/360",DAYS360(U642,IF(DAY(U643)=31,U643-1,U643))+IF(AND(MONTH(U643)=2,U643=EOMONTH(U643,0)),30-DAY(EOMONTH(U643,0)))+T642,VLOOKUP(S643,$C$22:$F$1023,2,0)))</f>
        <v xml:space="preserve"> </v>
      </c>
      <c r="U643" s="64" t="str">
        <f t="shared" ca="1" si="45"/>
        <v xml:space="preserve"> </v>
      </c>
      <c r="V643" s="150" t="str">
        <f t="shared" ca="1" si="48"/>
        <v xml:space="preserve"> </v>
      </c>
      <c r="W643" s="62" t="str">
        <f t="shared" ca="1" si="49"/>
        <v xml:space="preserve"> </v>
      </c>
      <c r="X643" s="141" t="str">
        <f ca="1">IF(S643=" "," ",IFERROR(VLOOKUP(U643,$F$23:$N$1023,7)+VLOOKUP(U643,$F$23:$N$1023,9)+IF(AND('депозитный калькулятор'!$G$13="нет",U643&lt;&gt;'депозитный калькулятор'!$D$8),VLOOKUP(U643,$F$23:$N$1023,4),0),0)+IF(U643='депозитный калькулятор'!$D$8,VLOOKUP(U643,$F$23:$N$1023,2)+VLOOKUP(U643,$F$23:$N$1023,4),0))</f>
        <v xml:space="preserve"> </v>
      </c>
      <c r="Y643" s="142" t="str">
        <f ca="1">IF(S643=" "," ",W643/(1+'депозитный калькулятор'!$K$8)^(T643/IF('депозитный калькулятор'!$G$7="30/360",360,365)))</f>
        <v xml:space="preserve"> </v>
      </c>
      <c r="Z643" s="142" t="str">
        <f ca="1">IF(S643=" "," ",X643/(1+'депозитный калькулятор'!$K$8)^(T643/IF('депозитный калькулятор'!$G$7="30/360",360,365)))</f>
        <v xml:space="preserve"> </v>
      </c>
      <c r="AA643" s="151"/>
      <c r="AB643" s="151"/>
      <c r="AC643" s="155"/>
      <c r="AD643" s="155"/>
    </row>
    <row r="644" spans="1:30" s="2" customFormat="1" ht="15.5" x14ac:dyDescent="0.35">
      <c r="A644" s="41" t="str">
        <f>IF(F644=" "," ",IF(OR('депозитный калькулятор'!$G$7="30/365",'депозитный калькулятор'!$G$7="30/360"),IF(AND(MONTH(F644)=2,DAY(F644)=DAY(EOMONTH(F644,0))),30-DAY(EOMONTH(F644,0)),IF(DAY(F644)=31,1," "))," "))</f>
        <v xml:space="preserve"> </v>
      </c>
      <c r="B644" s="130" t="str">
        <f t="shared" si="46"/>
        <v xml:space="preserve"> </v>
      </c>
      <c r="C644" s="130" t="str">
        <f>IF(OR(B644=0,B644=" ")," ",SUM($B$23:B644))</f>
        <v xml:space="preserve"> </v>
      </c>
      <c r="D644" s="62" t="str">
        <f>IF(D643=" "," ",IF(OR(F643='депозитный калькулятор'!$D$8,F643=" ")," ",D643+1))</f>
        <v xml:space="preserve"> </v>
      </c>
      <c r="E644" s="130" t="str">
        <f>IF(OR(F643='депозитный калькулятор'!$D$8,F643=" ")," ",IF(EOMONTH(F643,0)=F643,1,E643+1))</f>
        <v xml:space="preserve"> </v>
      </c>
      <c r="F644" s="64" t="str">
        <f>IF(F643=" "," ",IF(F643='депозитный калькулятор'!$D$8," ",F643+1))</f>
        <v xml:space="preserve"> </v>
      </c>
      <c r="G644" s="145" t="str">
        <f xml:space="preserve"> IF(F644&gt;'депозитный калькулятор'!$D$8," ",IF('депозитный калькулятор'!$G$13="есть",IF('депозитный калькулятор'!$G$14="есть",G643+IF(I643=" ",0,I643)-J644-K644+L644+M644-N644,G643+IF(I643=" ",0,I643)-J644-K644+M644-N644),IF('депозитный калькулятор'!$G$14="есть",G643-J644-K644+L644+M644-N644,G643-J644-K644+M644-N644)))</f>
        <v xml:space="preserve"> </v>
      </c>
      <c r="H644" s="133" t="str">
        <f>IF(F644&gt;'депозитный калькулятор'!$D$8," ",IF(AND(OR('депозитный калькулятор'!$G$7="30/365",'депозитный калькулятор'!$G$7="30/360"),AND(MONTH(F644)=2,EOMONTH(F644,0)=F644)),IF(DAY(F644)=28,3*G644*'депозитный калькулятор'!$G$8,2*G644*'депозитный калькулятор'!$G$8),IF(AND(OR('депозитный калькулятор'!$G$7="30/365",'депозитный калькулятор'!$G$7="30/360"),DAY(F644)=31)," ",IF(AND('депозитный калькулятор'!$G$7="факт/факт",MOD(YEAR(F644),4)=0),G644*'депозитный калькулятор'!$D$11/366,G644*'депозитный калькулятор'!$G$8))))</f>
        <v xml:space="preserve"> </v>
      </c>
      <c r="I644" s="134" t="str">
        <f ca="1">IF(F644=" "," ",IF('депозитный калькулятор'!$G$10="ежедневное",H644,IF(AND('депозитный калькулятор'!$G$10="еженедельное",WEEKDAY(F644,2)=7),SUM(OFFSET(H644,-6,0):H644),IF(AND('депозитный калькулятор'!$G$10="еженедельное",F644='депозитный калькулятор'!$D$8),SUM($H$23:H644)-SUM($I$23:I643),IF(AND('депозитный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недели",WEEKDAY(F644,2)=7),MIN(OFFSET(H644,-6,0):H644)*(COUNTIF(OFFSET(H644,-6,0):H644,"&gt;0")+SUMIF(OFFSET(A644,-WEEKDAY(F644,2),0):A644,"=2",OFFSET(A644,-WEEKDAY(F644,2),0):A644)),IF(AND('депозитный калькулятор'!$G$10="еженедельное, на минимальную сумму зафиксированную в течение недели",F644='депозитный калькулятор'!$D$8,WEEKDAY(F644,2)&lt;&gt;7),MIN(OFFSET(H644,-WEEKDAY(F644,2),0):H644)*(COUNTIF(OFFSET(H644,-WEEKDAY(F644,2)+1,0):H644,"&gt;0")+SUM(OFFSET(A644,-WEEKDAY(F644,2),0):A644)),IF(AND('депозитный калькулятор'!$G$10="ежемесячное (в конце месяца)",F644='депозитный калькулятор'!$D$8,EOMONTH(F644,0)&lt;&gt;F644),IF('депозитный калькулятор'!$F$1=1,$H$24,SUM($H$23:H644)-SUM($I$23:I643)),IF(AND('депозитный калькулятор'!$G$10="ежемесячное (в конце месяца)",EOMONTH(F644,0)=F644),SUM($H$23:H644)-SUM($I$23:I643),IF(AND('депозитный калькулятор'!$G$10="ежемесячное (по дням открытия вклада)",F644='депозитный калькулятор'!$D$8,DAY('депозитный калькулятор'!$D$7)&lt;&gt;DAY(F644)),IF('депозитный калькулятор'!$F$1=1,$H$24,SUM($H$23:H644)-SUM($I$23:I643)),IF(AND('депозитный калькулятор'!$G$10="ежемесячное (по дням открытия вклада)",DAY('депозитный калькулятор'!$D$7)=DAY(F644)),SUM($H$23:H644)-SUM($I$23:I643),IF(AND('депозитный калькулятор'!$G$10="ежемесячное, на минимальную сумму зафиксированную в течение месяца",F644='депозитный калькулятор'!$D$8,EOMONTH(F644,0)&lt;&gt;F644),IF('депозитный калькулятор'!$F$1=1,$H$24,IF(AND(OR('депозитный калькулятор'!$G$7="30/365",'депозитный калькулятор'!$G$7="30/360"),DAY(F644)=31),0,MIN(OFFSET(H644,-E644+1,0):H644)*(E644+SUMIF(OFFSET(A644,-E644+1,0):A644,"=2",OFFSET(A644,-E644+1,0):A644)))),IF(AND('депозитный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калькулятор'!$G$7="30/360"),DAY(EOMONTH(F644,0))=31),EOMONTH(F644,0)-1=F644,EOMONTH(F644,0)=F644)),IF(IF(AND(OR('депозитный калькулятор'!$G$7="30/365",'депозитный калькулятор'!$G$7="30/360"),DAY(EOMONTH($F$23,0))=31),F644=EOMONTH($F$23,0)-1,F644=EOMONTH($F$23,0)),MIN(OFFSET(H644,-(DAY(F644)-DAY($F$23)),0):H644)*E644,MIN(OFFSET(H644,-(DAY(F644)-1),0):H644)*IF(AND(OR('депозитный калькулятор'!$G$7="30/365",'депозитный калькулятор'!$G$7="30/360"),DAY(F644)&lt;30),30,DAY(F644))),IF(AND('депозитный калькулятор'!$G$10="ежемесячное, на средний остаток в течение месяца, при условии что остаток больше чем ограничение",F644='депозитный калькулятор'!$D$8,EOMONTH(F644,0)&lt;&gt;F644),IF('депозитный калькулятор'!$F$1=1,$H$24,SUM(OFFSET(Q644,-E644+1,0):Q644)),IF(AND('депозитный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калькулятор'!$G$7="30/360"),DAY(EOMONTH(F644,0))=31),EOMONTH(F644,0)-1=F644,EOMONTH(F644,0)=F644)),IF(IF(AND(OR('депозитный калькулятор'!$G$7="30/365",'депозитный калькулятор'!$G$7="30/360"),DAY(EOMONTH($F$24,0))=31),F644=EOMONTH($F$24,0)-1,F644=EOMONTH($F$24,0)),SUM(OFFSET(Q644,-E644+1,0):Q644),SUM(OFFSET(Q644,-E644+1,0):Q644)),IF('депозитный калькулятор'!$G$10="ежеквартальное",IF(F644&gt;'депозитный калькулятор'!$D$8," ",IF(AND(EOMONTH(F644,0)=F644,OR(MONTH(F644)=3,MONTH(F644)=6,MONTH(F644)=9,MONTH(F644)=12)),IF(EDATE(F644,-3)&lt;'депозитный калькулятор'!$D$7,SUM($H$23:H644),IF(MOD(YEAR(F644),4)=0,IF(AND(EOMONTH(F644,0)=F644,OR(MONTH(F644)=3,MONTH(F644)=6)),SUM(OFFSET(H644,-90,0):H644),IF(AND(EOMONTH(F644,0)=F644,OR(MONTH(F644)=9,MONTH(F644)=12)),SUM(OFFSET(H644,-91,0):H644))),IF(AND(EOMONTH(F644,0)=F644,MONTH(F644)=3),SUM(OFFSET(H644,-89,0):H644),IF(AND(EOMONTH(F644,0)=F644,MONTH(F644)=6),SUM(OFFSET(H644,-90,0):H644),IF(AND(EOMONTH(F644,0)=F644,OR(MONTH(F644)=9,MONTH(F644)=12)),SUM(OFFSET(H644,-91,0):H644)))))),IF(F644='депозитный калькулятор'!$D$8,SUM($H$23:H644)-SUM($I$23:I643),0))),IF('депозитный калькулятор'!$G$10="ежегодное",IF(F644&gt;'депозитный калькулятор'!$D$8," ",IF(F644='депозитный калькулятор'!$D$8,SUM($H$23:H644)-SUM($I$23:I643),IF(AND(EOMONTH(F644,0)=F644,MONTH(F644)=12),IF(MOD(YEAR(F643),4)=0,IF(F644-'депозитный калькулятор'!$D$7&lt;366,SUM($H$23:H644),SUM(OFFSET(H644,-365,0):H644)),IF(F644-'депозитный калькулятор'!$D$7&lt;365,SUM($H$23:H644),SUM(OFFSET(H644,-364,0):H644))),0))),IF(AND('депозитный калькулятор'!$G$10="в конце срока",'депозитный калькулятор'!$D$8=F644),SUM($H$23:H644),0))))))))))))))))))</f>
        <v xml:space="preserve"> </v>
      </c>
      <c r="J644" s="59" t="str">
        <f>IF(F644&gt;'депозитный калькулятор'!$D$8," ",IF('депозитный калькулятор'!$G$16="нет",0,IF(AND('депозитный калькулятор'!$G$17="разовая (в конце срока)",F644='депозитный калькулятор'!$D$8),'депозитный калькулятор'!$G$18,IF(AND('депозитный калькулятор'!$G$17="ежемесячная",EOMONTH(F643,0)=F643),'депозитный калькулятор'!$G$18,IF(AND('депозитный калькулятор'!$G$17="ежегодная",DAY(F643)=31,MONTH(F643)=12),'депозитный калькулятор'!$G$18,IF(AND('депозитный калькулятор'!$G$17="ежемесячная в зависимости от остатка",EOMONTH(F643,0)=F643,P643&gt;0),'депозитный калькулятор'!$G$18,IF(AND('депозитный калькулятор'!$G$17="ежегодная в зависимости от остатка",DAY(F643)=31,MONTH(F643)=12,P643&gt;0),'депозитный калькулятор'!$G$18,0)))))))</f>
        <v xml:space="preserve"> </v>
      </c>
      <c r="K644" s="135" t="str">
        <f>IF($F644=" "," ",IFERROR(VLOOKUP($F644,'депозитный калькулятор'!$B$26:$F$70,2,0),0))</f>
        <v xml:space="preserve"> </v>
      </c>
      <c r="L644" s="135" t="str">
        <f>IF($F644=" "," ",IFERROR(VLOOKUP($F644,'депозитный калькулятор'!$B$26:$F$70,3,0),0))</f>
        <v xml:space="preserve"> </v>
      </c>
      <c r="M644" s="135" t="str">
        <f>IF($F644=" "," ",IFERROR(VLOOKUP($F644,'депозитный калькулятор'!$B$26:$F$70,4,0),0))</f>
        <v xml:space="preserve"> </v>
      </c>
      <c r="N644" s="135" t="str">
        <f>IF($F644=" "," ",IFERROR(VLOOKUP($F644,'депозитный калькулятор'!$B$26:$F$70,5,0),0))</f>
        <v xml:space="preserve"> </v>
      </c>
      <c r="O644" s="146" t="str">
        <f>IF(F644&gt;'депозитный калькулятор'!$D$8," ",IF(F644='депозитный калькулятор'!$D$8,IF(AND($F$24='депозитный калькулятор'!$D$8,'депозитный калькулятор'!$G$13="нет"),-G644-IF(I644=" ",0,I644)-IF(AND(OR('депозитный калькулятор'!$G$7="30/365",'депозитный калькулятор'!$G$7="30/360"),'депозитный калькулятор'!$G$10="в начале срока"),I643,0)-L644+M644-N644,-G644-IF(I644=" ",0,I644)-L644+M644-N644),IF('депозитный калькулятор'!$G$13="есть",M644-N644+IF('депозитный калькулятор'!$G$14="есть",0,-L644),-IF(I644=" ",0,I644)-IF(AND(OR('депозитный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срока"),I643,0)+M644-N644+IF('депозитный калькулятор'!$G$14="есть",0,-L644))))</f>
        <v xml:space="preserve"> </v>
      </c>
      <c r="P644" s="147" t="str">
        <f>IF(F644&gt;'депозитный калькулятор'!$D$8," ",IF(EOMONTH(F643,0)=F643,0,IF(G644&gt;='депозитный калькулятор'!$G$19,P643,P643+1)))</f>
        <v xml:space="preserve"> </v>
      </c>
      <c r="Q644" s="138" t="str">
        <f>IF(F644=" "," ",IF(AND(OR('депозитный калькулятор'!$G$7="30/365",'депозитный калькулятор'!$G$7="30/360"),AND(MONTH(F644)=2,EOMONTH(F644,0)=F644)),IF(DAY(F644)=28,3,2),1)*IF(G644&gt;='депозитный калькулятор'!$G$11,IF(AND('депозитный калькулятор'!$G$7="факт/факт",MOD(YEAR(F644),4)=0),G644*'депозитный калькулятор'!$D$11/366,G644*'депозитный калькулятор'!$G$8),0))</f>
        <v xml:space="preserve"> </v>
      </c>
      <c r="R644" s="158"/>
      <c r="S644" s="62" t="str">
        <f t="shared" ca="1" si="47"/>
        <v xml:space="preserve"> </v>
      </c>
      <c r="T644" s="149" t="str">
        <f ca="1">IF(S644=" "," ",IF('депозитный калькулятор'!$G$7="30/360",DAYS360(U643,IF(DAY(U644)=31,U644-1,U644))+IF(AND(MONTH(U644)=2,U644=EOMONTH(U644,0)),30-DAY(EOMONTH(U644,0)))+T643,VLOOKUP(S644,$C$22:$F$1023,2,0)))</f>
        <v xml:space="preserve"> </v>
      </c>
      <c r="U644" s="64" t="str">
        <f t="shared" ca="1" si="45"/>
        <v xml:space="preserve"> </v>
      </c>
      <c r="V644" s="150" t="str">
        <f t="shared" ca="1" si="48"/>
        <v xml:space="preserve"> </v>
      </c>
      <c r="W644" s="62" t="str">
        <f t="shared" ca="1" si="49"/>
        <v xml:space="preserve"> </v>
      </c>
      <c r="X644" s="141" t="str">
        <f ca="1">IF(S644=" "," ",IFERROR(VLOOKUP(U644,$F$23:$N$1023,7)+VLOOKUP(U644,$F$23:$N$1023,9)+IF(AND('депозитный калькулятор'!$G$13="нет",U644&lt;&gt;'депозитный калькулятор'!$D$8),VLOOKUP(U644,$F$23:$N$1023,4),0),0)+IF(U644='депозитный калькулятор'!$D$8,VLOOKUP(U644,$F$23:$N$1023,2)+VLOOKUP(U644,$F$23:$N$1023,4),0))</f>
        <v xml:space="preserve"> </v>
      </c>
      <c r="Y644" s="142" t="str">
        <f ca="1">IF(S644=" "," ",W644/(1+'депозитный калькулятор'!$K$8)^(T644/IF('депозитный калькулятор'!$G$7="30/360",360,365)))</f>
        <v xml:space="preserve"> </v>
      </c>
      <c r="Z644" s="142" t="str">
        <f ca="1">IF(S644=" "," ",X644/(1+'депозитный калькулятор'!$K$8)^(T644/IF('депозитный калькулятор'!$G$7="30/360",360,365)))</f>
        <v xml:space="preserve"> </v>
      </c>
      <c r="AA644" s="151"/>
      <c r="AB644" s="151"/>
      <c r="AC644" s="155"/>
      <c r="AD644" s="155"/>
    </row>
    <row r="645" spans="1:30" s="2" customFormat="1" ht="15.5" x14ac:dyDescent="0.35">
      <c r="A645" s="41" t="str">
        <f>IF(F645=" "," ",IF(OR('депозитный калькулятор'!$G$7="30/365",'депозитный калькулятор'!$G$7="30/360"),IF(AND(MONTH(F645)=2,DAY(F645)=DAY(EOMONTH(F645,0))),30-DAY(EOMONTH(F645,0)),IF(DAY(F645)=31,1," "))," "))</f>
        <v xml:space="preserve"> </v>
      </c>
      <c r="B645" s="130" t="str">
        <f t="shared" si="46"/>
        <v xml:space="preserve"> </v>
      </c>
      <c r="C645" s="130" t="str">
        <f>IF(OR(B645=0,B645=" ")," ",SUM($B$23:B645))</f>
        <v xml:space="preserve"> </v>
      </c>
      <c r="D645" s="62" t="str">
        <f>IF(D644=" "," ",IF(OR(F644='депозитный калькулятор'!$D$8,F644=" ")," ",D644+1))</f>
        <v xml:space="preserve"> </v>
      </c>
      <c r="E645" s="130" t="str">
        <f>IF(OR(F644='депозитный калькулятор'!$D$8,F644=" ")," ",IF(EOMONTH(F644,0)=F644,1,E644+1))</f>
        <v xml:space="preserve"> </v>
      </c>
      <c r="F645" s="64" t="str">
        <f>IF(F644=" "," ",IF(F644='депозитный калькулятор'!$D$8," ",F644+1))</f>
        <v xml:space="preserve"> </v>
      </c>
      <c r="G645" s="145" t="str">
        <f xml:space="preserve"> IF(F645&gt;'депозитный калькулятор'!$D$8," ",IF('депозитный калькулятор'!$G$13="есть",IF('депозитный калькулятор'!$G$14="есть",G644+IF(I644=" ",0,I644)-J645-K645+L645+M645-N645,G644+IF(I644=" ",0,I644)-J645-K645+M645-N645),IF('депозитный калькулятор'!$G$14="есть",G644-J645-K645+L645+M645-N645,G644-J645-K645+M645-N645)))</f>
        <v xml:space="preserve"> </v>
      </c>
      <c r="H645" s="133" t="str">
        <f>IF(F645&gt;'депозитный калькулятор'!$D$8," ",IF(AND(OR('депозитный калькулятор'!$G$7="30/365",'депозитный калькулятор'!$G$7="30/360"),AND(MONTH(F645)=2,EOMONTH(F645,0)=F645)),IF(DAY(F645)=28,3*G645*'депозитный калькулятор'!$G$8,2*G645*'депозитный калькулятор'!$G$8),IF(AND(OR('депозитный калькулятор'!$G$7="30/365",'депозитный калькулятор'!$G$7="30/360"),DAY(F645)=31)," ",IF(AND('депозитный калькулятор'!$G$7="факт/факт",MOD(YEAR(F645),4)=0),G645*'депозитный калькулятор'!$D$11/366,G645*'депозитный калькулятор'!$G$8))))</f>
        <v xml:space="preserve"> </v>
      </c>
      <c r="I645" s="134" t="str">
        <f ca="1">IF(F645=" "," ",IF('депозитный калькулятор'!$G$10="ежедневное",H645,IF(AND('депозитный калькулятор'!$G$10="еженедельное",WEEKDAY(F645,2)=7),SUM(OFFSET(H645,-6,0):H645),IF(AND('депозитный калькулятор'!$G$10="еженедельное",F645='депозитный калькулятор'!$D$8),SUM($H$23:H645)-SUM($I$23:I644),IF(AND('депозитный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недели",WEEKDAY(F645,2)=7),MIN(OFFSET(H645,-6,0):H645)*(COUNTIF(OFFSET(H645,-6,0):H645,"&gt;0")+SUMIF(OFFSET(A645,-WEEKDAY(F645,2),0):A645,"=2",OFFSET(A645,-WEEKDAY(F645,2),0):A645)),IF(AND('депозитный калькулятор'!$G$10="еженедельное, на минимальную сумму зафиксированную в течение недели",F645='депозитный калькулятор'!$D$8,WEEKDAY(F645,2)&lt;&gt;7),MIN(OFFSET(H645,-WEEKDAY(F645,2),0):H645)*(COUNTIF(OFFSET(H645,-WEEKDAY(F645,2)+1,0):H645,"&gt;0")+SUM(OFFSET(A645,-WEEKDAY(F645,2),0):A645)),IF(AND('депозитный калькулятор'!$G$10="ежемесячное (в конце месяца)",F645='депозитный калькулятор'!$D$8,EOMONTH(F645,0)&lt;&gt;F645),IF('депозитный калькулятор'!$F$1=1,$H$24,SUM($H$23:H645)-SUM($I$23:I644)),IF(AND('депозитный калькулятор'!$G$10="ежемесячное (в конце месяца)",EOMONTH(F645,0)=F645),SUM($H$23:H645)-SUM($I$23:I644),IF(AND('депозитный калькулятор'!$G$10="ежемесячное (по дням открытия вклада)",F645='депозитный калькулятор'!$D$8,DAY('депозитный калькулятор'!$D$7)&lt;&gt;DAY(F645)),IF('депозитный калькулятор'!$F$1=1,$H$24,SUM($H$23:H645)-SUM($I$23:I644)),IF(AND('депозитный калькулятор'!$G$10="ежемесячное (по дням открытия вклада)",DAY('депозитный калькулятор'!$D$7)=DAY(F645)),SUM($H$23:H645)-SUM($I$23:I644),IF(AND('депозитный калькулятор'!$G$10="ежемесячное, на минимальную сумму зафиксированную в течение месяца",F645='депозитный калькулятор'!$D$8,EOMONTH(F645,0)&lt;&gt;F645),IF('депозитный калькулятор'!$F$1=1,$H$24,IF(AND(OR('депозитный калькулятор'!$G$7="30/365",'депозитный калькулятор'!$G$7="30/360"),DAY(F645)=31),0,MIN(OFFSET(H645,-E645+1,0):H645)*(E645+SUMIF(OFFSET(A645,-E645+1,0):A645,"=2",OFFSET(A645,-E645+1,0):A645)))),IF(AND('депозитный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калькулятор'!$G$7="30/360"),DAY(EOMONTH(F645,0))=31),EOMONTH(F645,0)-1=F645,EOMONTH(F645,0)=F645)),IF(IF(AND(OR('депозитный калькулятор'!$G$7="30/365",'депозитный калькулятор'!$G$7="30/360"),DAY(EOMONTH($F$23,0))=31),F645=EOMONTH($F$23,0)-1,F645=EOMONTH($F$23,0)),MIN(OFFSET(H645,-(DAY(F645)-DAY($F$23)),0):H645)*E645,MIN(OFFSET(H645,-(DAY(F645)-1),0):H645)*IF(AND(OR('депозитный калькулятор'!$G$7="30/365",'депозитный калькулятор'!$G$7="30/360"),DAY(F645)&lt;30),30,DAY(F645))),IF(AND('депозитный калькулятор'!$G$10="ежемесячное, на средний остаток в течение месяца, при условии что остаток больше чем ограничение",F645='депозитный калькулятор'!$D$8,EOMONTH(F645,0)&lt;&gt;F645),IF('депозитный калькулятор'!$F$1=1,$H$24,SUM(OFFSET(Q645,-E645+1,0):Q645)),IF(AND('депозитный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калькулятор'!$G$7="30/360"),DAY(EOMONTH(F645,0))=31),EOMONTH(F645,0)-1=F645,EOMONTH(F645,0)=F645)),IF(IF(AND(OR('депозитный калькулятор'!$G$7="30/365",'депозитный калькулятор'!$G$7="30/360"),DAY(EOMONTH($F$24,0))=31),F645=EOMONTH($F$24,0)-1,F645=EOMONTH($F$24,0)),SUM(OFFSET(Q645,-E645+1,0):Q645),SUM(OFFSET(Q645,-E645+1,0):Q645)),IF('депозитный калькулятор'!$G$10="ежеквартальное",IF(F645&gt;'депозитный калькулятор'!$D$8," ",IF(AND(EOMONTH(F645,0)=F645,OR(MONTH(F645)=3,MONTH(F645)=6,MONTH(F645)=9,MONTH(F645)=12)),IF(EDATE(F645,-3)&lt;'депозитный калькулятор'!$D$7,SUM($H$23:H645),IF(MOD(YEAR(F645),4)=0,IF(AND(EOMONTH(F645,0)=F645,OR(MONTH(F645)=3,MONTH(F645)=6)),SUM(OFFSET(H645,-90,0):H645),IF(AND(EOMONTH(F645,0)=F645,OR(MONTH(F645)=9,MONTH(F645)=12)),SUM(OFFSET(H645,-91,0):H645))),IF(AND(EOMONTH(F645,0)=F645,MONTH(F645)=3),SUM(OFFSET(H645,-89,0):H645),IF(AND(EOMONTH(F645,0)=F645,MONTH(F645)=6),SUM(OFFSET(H645,-90,0):H645),IF(AND(EOMONTH(F645,0)=F645,OR(MONTH(F645)=9,MONTH(F645)=12)),SUM(OFFSET(H645,-91,0):H645)))))),IF(F645='депозитный калькулятор'!$D$8,SUM($H$23:H645)-SUM($I$23:I644),0))),IF('депозитный калькулятор'!$G$10="ежегодное",IF(F645&gt;'депозитный калькулятор'!$D$8," ",IF(F645='депозитный калькулятор'!$D$8,SUM($H$23:H645)-SUM($I$23:I644),IF(AND(EOMONTH(F645,0)=F645,MONTH(F645)=12),IF(MOD(YEAR(F644),4)=0,IF(F645-'депозитный калькулятор'!$D$7&lt;366,SUM($H$23:H645),SUM(OFFSET(H645,-365,0):H645)),IF(F645-'депозитный калькулятор'!$D$7&lt;365,SUM($H$23:H645),SUM(OFFSET(H645,-364,0):H645))),0))),IF(AND('депозитный калькулятор'!$G$10="в конце срока",'депозитный калькулятор'!$D$8=F645),SUM($H$23:H645),0))))))))))))))))))</f>
        <v xml:space="preserve"> </v>
      </c>
      <c r="J645" s="59" t="str">
        <f>IF(F645&gt;'депозитный калькулятор'!$D$8," ",IF('депозитный калькулятор'!$G$16="нет",0,IF(AND('депозитный калькулятор'!$G$17="разовая (в конце срока)",F645='депозитный калькулятор'!$D$8),'депозитный калькулятор'!$G$18,IF(AND('депозитный калькулятор'!$G$17="ежемесячная",EOMONTH(F644,0)=F644),'депозитный калькулятор'!$G$18,IF(AND('депозитный калькулятор'!$G$17="ежегодная",DAY(F644)=31,MONTH(F644)=12),'депозитный калькулятор'!$G$18,IF(AND('депозитный калькулятор'!$G$17="ежемесячная в зависимости от остатка",EOMONTH(F644,0)=F644,P644&gt;0),'депозитный калькулятор'!$G$18,IF(AND('депозитный калькулятор'!$G$17="ежегодная в зависимости от остатка",DAY(F644)=31,MONTH(F644)=12,P644&gt;0),'депозитный калькулятор'!$G$18,0)))))))</f>
        <v xml:space="preserve"> </v>
      </c>
      <c r="K645" s="135" t="str">
        <f>IF($F645=" "," ",IFERROR(VLOOKUP($F645,'депозитный калькулятор'!$B$26:$F$70,2,0),0))</f>
        <v xml:space="preserve"> </v>
      </c>
      <c r="L645" s="135" t="str">
        <f>IF($F645=" "," ",IFERROR(VLOOKUP($F645,'депозитный калькулятор'!$B$26:$F$70,3,0),0))</f>
        <v xml:space="preserve"> </v>
      </c>
      <c r="M645" s="135" t="str">
        <f>IF($F645=" "," ",IFERROR(VLOOKUP($F645,'депозитный калькулятор'!$B$26:$F$70,4,0),0))</f>
        <v xml:space="preserve"> </v>
      </c>
      <c r="N645" s="135" t="str">
        <f>IF($F645=" "," ",IFERROR(VLOOKUP($F645,'депозитный калькулятор'!$B$26:$F$70,5,0),0))</f>
        <v xml:space="preserve"> </v>
      </c>
      <c r="O645" s="146" t="str">
        <f>IF(F645&gt;'депозитный калькулятор'!$D$8," ",IF(F645='депозитный калькулятор'!$D$8,IF(AND($F$24='депозитный калькулятор'!$D$8,'депозитный калькулятор'!$G$13="нет"),-G645-IF(I645=" ",0,I645)-IF(AND(OR('депозитный калькулятор'!$G$7="30/365",'депозитный калькулятор'!$G$7="30/360"),'депозитный калькулятор'!$G$10="в начале срока"),I644,0)-L645+M645-N645,-G645-IF(I645=" ",0,I645)-L645+M645-N645),IF('депозитный калькулятор'!$G$13="есть",M645-N645+IF('депозитный калькулятор'!$G$14="есть",0,-L645),-IF(I645=" ",0,I645)-IF(AND(OR('депозитный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срока"),I644,0)+M645-N645+IF('депозитный калькулятор'!$G$14="есть",0,-L645))))</f>
        <v xml:space="preserve"> </v>
      </c>
      <c r="P645" s="147" t="str">
        <f>IF(F645&gt;'депозитный калькулятор'!$D$8," ",IF(EOMONTH(F644,0)=F644,0,IF(G645&gt;='депозитный калькулятор'!$G$19,P644,P644+1)))</f>
        <v xml:space="preserve"> </v>
      </c>
      <c r="Q645" s="138" t="str">
        <f>IF(F645=" "," ",IF(AND(OR('депозитный калькулятор'!$G$7="30/365",'депозитный калькулятор'!$G$7="30/360"),AND(MONTH(F645)=2,EOMONTH(F645,0)=F645)),IF(DAY(F645)=28,3,2),1)*IF(G645&gt;='депозитный калькулятор'!$G$11,IF(AND('депозитный калькулятор'!$G$7="факт/факт",MOD(YEAR(F645),4)=0),G645*'депозитный калькулятор'!$D$11/366,G645*'депозитный калькулятор'!$G$8),0))</f>
        <v xml:space="preserve"> </v>
      </c>
      <c r="R645" s="158"/>
      <c r="S645" s="62" t="str">
        <f t="shared" ca="1" si="47"/>
        <v xml:space="preserve"> </v>
      </c>
      <c r="T645" s="149" t="str">
        <f ca="1">IF(S645=" "," ",IF('депозитный калькулятор'!$G$7="30/360",DAYS360(U644,IF(DAY(U645)=31,U645-1,U645))+IF(AND(MONTH(U645)=2,U645=EOMONTH(U645,0)),30-DAY(EOMONTH(U645,0)))+T644,VLOOKUP(S645,$C$22:$F$1023,2,0)))</f>
        <v xml:space="preserve"> </v>
      </c>
      <c r="U645" s="64" t="str">
        <f t="shared" ca="1" si="45"/>
        <v xml:space="preserve"> </v>
      </c>
      <c r="V645" s="150" t="str">
        <f t="shared" ca="1" si="48"/>
        <v xml:space="preserve"> </v>
      </c>
      <c r="W645" s="62" t="str">
        <f t="shared" ca="1" si="49"/>
        <v xml:space="preserve"> </v>
      </c>
      <c r="X645" s="141" t="str">
        <f ca="1">IF(S645=" "," ",IFERROR(VLOOKUP(U645,$F$23:$N$1023,7)+VLOOKUP(U645,$F$23:$N$1023,9)+IF(AND('депозитный калькулятор'!$G$13="нет",U645&lt;&gt;'депозитный калькулятор'!$D$8),VLOOKUP(U645,$F$23:$N$1023,4),0),0)+IF(U645='депозитный калькулятор'!$D$8,VLOOKUP(U645,$F$23:$N$1023,2)+VLOOKUP(U645,$F$23:$N$1023,4),0))</f>
        <v xml:space="preserve"> </v>
      </c>
      <c r="Y645" s="142" t="str">
        <f ca="1">IF(S645=" "," ",W645/(1+'депозитный калькулятор'!$K$8)^(T645/IF('депозитный калькулятор'!$G$7="30/360",360,365)))</f>
        <v xml:space="preserve"> </v>
      </c>
      <c r="Z645" s="142" t="str">
        <f ca="1">IF(S645=" "," ",X645/(1+'депозитный калькулятор'!$K$8)^(T645/IF('депозитный калькулятор'!$G$7="30/360",360,365)))</f>
        <v xml:space="preserve"> </v>
      </c>
      <c r="AA645" s="151"/>
      <c r="AB645" s="151"/>
      <c r="AC645" s="155"/>
      <c r="AD645" s="155"/>
    </row>
    <row r="646" spans="1:30" s="2" customFormat="1" ht="15.5" x14ac:dyDescent="0.35">
      <c r="A646" s="41" t="str">
        <f>IF(F646=" "," ",IF(OR('депозитный калькулятор'!$G$7="30/365",'депозитный калькулятор'!$G$7="30/360"),IF(AND(MONTH(F646)=2,DAY(F646)=DAY(EOMONTH(F646,0))),30-DAY(EOMONTH(F646,0)),IF(DAY(F646)=31,1," "))," "))</f>
        <v xml:space="preserve"> </v>
      </c>
      <c r="B646" s="130" t="str">
        <f t="shared" si="46"/>
        <v xml:space="preserve"> </v>
      </c>
      <c r="C646" s="130" t="str">
        <f>IF(OR(B646=0,B646=" ")," ",SUM($B$23:B646))</f>
        <v xml:space="preserve"> </v>
      </c>
      <c r="D646" s="62" t="str">
        <f>IF(D645=" "," ",IF(OR(F645='депозитный калькулятор'!$D$8,F645=" ")," ",D645+1))</f>
        <v xml:space="preserve"> </v>
      </c>
      <c r="E646" s="130" t="str">
        <f>IF(OR(F645='депозитный калькулятор'!$D$8,F645=" ")," ",IF(EOMONTH(F645,0)=F645,1,E645+1))</f>
        <v xml:space="preserve"> </v>
      </c>
      <c r="F646" s="64" t="str">
        <f>IF(F645=" "," ",IF(F645='депозитный калькулятор'!$D$8," ",F645+1))</f>
        <v xml:space="preserve"> </v>
      </c>
      <c r="G646" s="145" t="str">
        <f xml:space="preserve"> IF(F646&gt;'депозитный калькулятор'!$D$8," ",IF('депозитный калькулятор'!$G$13="есть",IF('депозитный калькулятор'!$G$14="есть",G645+IF(I645=" ",0,I645)-J646-K646+L646+M646-N646,G645+IF(I645=" ",0,I645)-J646-K646+M646-N646),IF('депозитный калькулятор'!$G$14="есть",G645-J646-K646+L646+M646-N646,G645-J646-K646+M646-N646)))</f>
        <v xml:space="preserve"> </v>
      </c>
      <c r="H646" s="133" t="str">
        <f>IF(F646&gt;'депозитный калькулятор'!$D$8," ",IF(AND(OR('депозитный калькулятор'!$G$7="30/365",'депозитный калькулятор'!$G$7="30/360"),AND(MONTH(F646)=2,EOMONTH(F646,0)=F646)),IF(DAY(F646)=28,3*G646*'депозитный калькулятор'!$G$8,2*G646*'депозитный калькулятор'!$G$8),IF(AND(OR('депозитный калькулятор'!$G$7="30/365",'депозитный калькулятор'!$G$7="30/360"),DAY(F646)=31)," ",IF(AND('депозитный калькулятор'!$G$7="факт/факт",MOD(YEAR(F646),4)=0),G646*'депозитный калькулятор'!$D$11/366,G646*'депозитный калькулятор'!$G$8))))</f>
        <v xml:space="preserve"> </v>
      </c>
      <c r="I646" s="134" t="str">
        <f ca="1">IF(F646=" "," ",IF('депозитный калькулятор'!$G$10="ежедневное",H646,IF(AND('депозитный калькулятор'!$G$10="еженедельное",WEEKDAY(F646,2)=7),SUM(OFFSET(H646,-6,0):H646),IF(AND('депозитный калькулятор'!$G$10="еженедельное",F646='депозитный калькулятор'!$D$8),SUM($H$23:H646)-SUM($I$23:I645),IF(AND('депозитный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недели",WEEKDAY(F646,2)=7),MIN(OFFSET(H646,-6,0):H646)*(COUNTIF(OFFSET(H646,-6,0):H646,"&gt;0")+SUMIF(OFFSET(A646,-WEEKDAY(F646,2),0):A646,"=2",OFFSET(A646,-WEEKDAY(F646,2),0):A646)),IF(AND('депозитный калькулятор'!$G$10="еженедельное, на минимальную сумму зафиксированную в течение недели",F646='депозитный калькулятор'!$D$8,WEEKDAY(F646,2)&lt;&gt;7),MIN(OFFSET(H646,-WEEKDAY(F646,2),0):H646)*(COUNTIF(OFFSET(H646,-WEEKDAY(F646,2)+1,0):H646,"&gt;0")+SUM(OFFSET(A646,-WEEKDAY(F646,2),0):A646)),IF(AND('депозитный калькулятор'!$G$10="ежемесячное (в конце месяца)",F646='депозитный калькулятор'!$D$8,EOMONTH(F646,0)&lt;&gt;F646),IF('депозитный калькулятор'!$F$1=1,$H$24,SUM($H$23:H646)-SUM($I$23:I645)),IF(AND('депозитный калькулятор'!$G$10="ежемесячное (в конце месяца)",EOMONTH(F646,0)=F646),SUM($H$23:H646)-SUM($I$23:I645),IF(AND('депозитный калькулятор'!$G$10="ежемесячное (по дням открытия вклада)",F646='депозитный калькулятор'!$D$8,DAY('депозитный калькулятор'!$D$7)&lt;&gt;DAY(F646)),IF('депозитный калькулятор'!$F$1=1,$H$24,SUM($H$23:H646)-SUM($I$23:I645)),IF(AND('депозитный калькулятор'!$G$10="ежемесячное (по дням открытия вклада)",DAY('депозитный калькулятор'!$D$7)=DAY(F646)),SUM($H$23:H646)-SUM($I$23:I645),IF(AND('депозитный калькулятор'!$G$10="ежемесячное, на минимальную сумму зафиксированную в течение месяца",F646='депозитный калькулятор'!$D$8,EOMONTH(F646,0)&lt;&gt;F646),IF('депозитный калькулятор'!$F$1=1,$H$24,IF(AND(OR('депозитный калькулятор'!$G$7="30/365",'депозитный калькулятор'!$G$7="30/360"),DAY(F646)=31),0,MIN(OFFSET(H646,-E646+1,0):H646)*(E646+SUMIF(OFFSET(A646,-E646+1,0):A646,"=2",OFFSET(A646,-E646+1,0):A646)))),IF(AND('депозитный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калькулятор'!$G$7="30/360"),DAY(EOMONTH(F646,0))=31),EOMONTH(F646,0)-1=F646,EOMONTH(F646,0)=F646)),IF(IF(AND(OR('депозитный калькулятор'!$G$7="30/365",'депозитный калькулятор'!$G$7="30/360"),DAY(EOMONTH($F$23,0))=31),F646=EOMONTH($F$23,0)-1,F646=EOMONTH($F$23,0)),MIN(OFFSET(H646,-(DAY(F646)-DAY($F$23)),0):H646)*E646,MIN(OFFSET(H646,-(DAY(F646)-1),0):H646)*IF(AND(OR('депозитный калькулятор'!$G$7="30/365",'депозитный калькулятор'!$G$7="30/360"),DAY(F646)&lt;30),30,DAY(F646))),IF(AND('депозитный калькулятор'!$G$10="ежемесячное, на средний остаток в течение месяца, при условии что остаток больше чем ограничение",F646='депозитный калькулятор'!$D$8,EOMONTH(F646,0)&lt;&gt;F646),IF('депозитный калькулятор'!$F$1=1,$H$24,SUM(OFFSET(Q646,-E646+1,0):Q646)),IF(AND('депозитный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калькулятор'!$G$7="30/360"),DAY(EOMONTH(F646,0))=31),EOMONTH(F646,0)-1=F646,EOMONTH(F646,0)=F646)),IF(IF(AND(OR('депозитный калькулятор'!$G$7="30/365",'депозитный калькулятор'!$G$7="30/360"),DAY(EOMONTH($F$24,0))=31),F646=EOMONTH($F$24,0)-1,F646=EOMONTH($F$24,0)),SUM(OFFSET(Q646,-E646+1,0):Q646),SUM(OFFSET(Q646,-E646+1,0):Q646)),IF('депозитный калькулятор'!$G$10="ежеквартальное",IF(F646&gt;'депозитный калькулятор'!$D$8," ",IF(AND(EOMONTH(F646,0)=F646,OR(MONTH(F646)=3,MONTH(F646)=6,MONTH(F646)=9,MONTH(F646)=12)),IF(EDATE(F646,-3)&lt;'депозитный калькулятор'!$D$7,SUM($H$23:H646),IF(MOD(YEAR(F646),4)=0,IF(AND(EOMONTH(F646,0)=F646,OR(MONTH(F646)=3,MONTH(F646)=6)),SUM(OFFSET(H646,-90,0):H646),IF(AND(EOMONTH(F646,0)=F646,OR(MONTH(F646)=9,MONTH(F646)=12)),SUM(OFFSET(H646,-91,0):H646))),IF(AND(EOMONTH(F646,0)=F646,MONTH(F646)=3),SUM(OFFSET(H646,-89,0):H646),IF(AND(EOMONTH(F646,0)=F646,MONTH(F646)=6),SUM(OFFSET(H646,-90,0):H646),IF(AND(EOMONTH(F646,0)=F646,OR(MONTH(F646)=9,MONTH(F646)=12)),SUM(OFFSET(H646,-91,0):H646)))))),IF(F646='депозитный калькулятор'!$D$8,SUM($H$23:H646)-SUM($I$23:I645),0))),IF('депозитный калькулятор'!$G$10="ежегодное",IF(F646&gt;'депозитный калькулятор'!$D$8," ",IF(F646='депозитный калькулятор'!$D$8,SUM($H$23:H646)-SUM($I$23:I645),IF(AND(EOMONTH(F646,0)=F646,MONTH(F646)=12),IF(MOD(YEAR(F645),4)=0,IF(F646-'депозитный калькулятор'!$D$7&lt;366,SUM($H$23:H646),SUM(OFFSET(H646,-365,0):H646)),IF(F646-'депозитный калькулятор'!$D$7&lt;365,SUM($H$23:H646),SUM(OFFSET(H646,-364,0):H646))),0))),IF(AND('депозитный калькулятор'!$G$10="в конце срока",'депозитный калькулятор'!$D$8=F646),SUM($H$23:H646),0))))))))))))))))))</f>
        <v xml:space="preserve"> </v>
      </c>
      <c r="J646" s="59" t="str">
        <f>IF(F646&gt;'депозитный калькулятор'!$D$8," ",IF('депозитный калькулятор'!$G$16="нет",0,IF(AND('депозитный калькулятор'!$G$17="разовая (в конце срока)",F646='депозитный калькулятор'!$D$8),'депозитный калькулятор'!$G$18,IF(AND('депозитный калькулятор'!$G$17="ежемесячная",EOMONTH(F645,0)=F645),'депозитный калькулятор'!$G$18,IF(AND('депозитный калькулятор'!$G$17="ежегодная",DAY(F645)=31,MONTH(F645)=12),'депозитный калькулятор'!$G$18,IF(AND('депозитный калькулятор'!$G$17="ежемесячная в зависимости от остатка",EOMONTH(F645,0)=F645,P645&gt;0),'депозитный калькулятор'!$G$18,IF(AND('депозитный калькулятор'!$G$17="ежегодная в зависимости от остатка",DAY(F645)=31,MONTH(F645)=12,P645&gt;0),'депозитный калькулятор'!$G$18,0)))))))</f>
        <v xml:space="preserve"> </v>
      </c>
      <c r="K646" s="135" t="str">
        <f>IF($F646=" "," ",IFERROR(VLOOKUP($F646,'депозитный калькулятор'!$B$26:$F$70,2,0),0))</f>
        <v xml:space="preserve"> </v>
      </c>
      <c r="L646" s="135" t="str">
        <f>IF($F646=" "," ",IFERROR(VLOOKUP($F646,'депозитный калькулятор'!$B$26:$F$70,3,0),0))</f>
        <v xml:space="preserve"> </v>
      </c>
      <c r="M646" s="135" t="str">
        <f>IF($F646=" "," ",IFERROR(VLOOKUP($F646,'депозитный калькулятор'!$B$26:$F$70,4,0),0))</f>
        <v xml:space="preserve"> </v>
      </c>
      <c r="N646" s="135" t="str">
        <f>IF($F646=" "," ",IFERROR(VLOOKUP($F646,'депозитный калькулятор'!$B$26:$F$70,5,0),0))</f>
        <v xml:space="preserve"> </v>
      </c>
      <c r="O646" s="146" t="str">
        <f>IF(F646&gt;'депозитный калькулятор'!$D$8," ",IF(F646='депозитный калькулятор'!$D$8,IF(AND($F$24='депозитный калькулятор'!$D$8,'депозитный калькулятор'!$G$13="нет"),-G646-IF(I646=" ",0,I646)-IF(AND(OR('депозитный калькулятор'!$G$7="30/365",'депозитный калькулятор'!$G$7="30/360"),'депозитный калькулятор'!$G$10="в начале срока"),I645,0)-L646+M646-N646,-G646-IF(I646=" ",0,I646)-L646+M646-N646),IF('депозитный калькулятор'!$G$13="есть",M646-N646+IF('депозитный калькулятор'!$G$14="есть",0,-L646),-IF(I646=" ",0,I646)-IF(AND(OR('депозитный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срока"),I645,0)+M646-N646+IF('депозитный калькулятор'!$G$14="есть",0,-L646))))</f>
        <v xml:space="preserve"> </v>
      </c>
      <c r="P646" s="147" t="str">
        <f>IF(F646&gt;'депозитный калькулятор'!$D$8," ",IF(EOMONTH(F645,0)=F645,0,IF(G646&gt;='депозитный калькулятор'!$G$19,P645,P645+1)))</f>
        <v xml:space="preserve"> </v>
      </c>
      <c r="Q646" s="138" t="str">
        <f>IF(F646=" "," ",IF(AND(OR('депозитный калькулятор'!$G$7="30/365",'депозитный калькулятор'!$G$7="30/360"),AND(MONTH(F646)=2,EOMONTH(F646,0)=F646)),IF(DAY(F646)=28,3,2),1)*IF(G646&gt;='депозитный калькулятор'!$G$11,IF(AND('депозитный калькулятор'!$G$7="факт/факт",MOD(YEAR(F646),4)=0),G646*'депозитный калькулятор'!$D$11/366,G646*'депозитный калькулятор'!$G$8),0))</f>
        <v xml:space="preserve"> </v>
      </c>
      <c r="R646" s="158"/>
      <c r="S646" s="62" t="str">
        <f t="shared" ca="1" si="47"/>
        <v xml:space="preserve"> </v>
      </c>
      <c r="T646" s="149" t="str">
        <f ca="1">IF(S646=" "," ",IF('депозитный калькулятор'!$G$7="30/360",DAYS360(U645,IF(DAY(U646)=31,U646-1,U646))+IF(AND(MONTH(U646)=2,U646=EOMONTH(U646,0)),30-DAY(EOMONTH(U646,0)))+T645,VLOOKUP(S646,$C$22:$F$1023,2,0)))</f>
        <v xml:space="preserve"> </v>
      </c>
      <c r="U646" s="64" t="str">
        <f t="shared" ca="1" si="45"/>
        <v xml:space="preserve"> </v>
      </c>
      <c r="V646" s="150" t="str">
        <f t="shared" ca="1" si="48"/>
        <v xml:space="preserve"> </v>
      </c>
      <c r="W646" s="62" t="str">
        <f t="shared" ca="1" si="49"/>
        <v xml:space="preserve"> </v>
      </c>
      <c r="X646" s="141" t="str">
        <f ca="1">IF(S646=" "," ",IFERROR(VLOOKUP(U646,$F$23:$N$1023,7)+VLOOKUP(U646,$F$23:$N$1023,9)+IF(AND('депозитный калькулятор'!$G$13="нет",U646&lt;&gt;'депозитный калькулятор'!$D$8),VLOOKUP(U646,$F$23:$N$1023,4),0),0)+IF(U646='депозитный калькулятор'!$D$8,VLOOKUP(U646,$F$23:$N$1023,2)+VLOOKUP(U646,$F$23:$N$1023,4),0))</f>
        <v xml:space="preserve"> </v>
      </c>
      <c r="Y646" s="142" t="str">
        <f ca="1">IF(S646=" "," ",W646/(1+'депозитный калькулятор'!$K$8)^(T646/IF('депозитный калькулятор'!$G$7="30/360",360,365)))</f>
        <v xml:space="preserve"> </v>
      </c>
      <c r="Z646" s="142" t="str">
        <f ca="1">IF(S646=" "," ",X646/(1+'депозитный калькулятор'!$K$8)^(T646/IF('депозитный калькулятор'!$G$7="30/360",360,365)))</f>
        <v xml:space="preserve"> </v>
      </c>
      <c r="AA646" s="151"/>
      <c r="AB646" s="151"/>
      <c r="AC646" s="155"/>
      <c r="AD646" s="155"/>
    </row>
    <row r="647" spans="1:30" s="2" customFormat="1" ht="15.5" x14ac:dyDescent="0.35">
      <c r="A647" s="41" t="str">
        <f>IF(F647=" "," ",IF(OR('депозитный калькулятор'!$G$7="30/365",'депозитный калькулятор'!$G$7="30/360"),IF(AND(MONTH(F647)=2,DAY(F647)=DAY(EOMONTH(F647,0))),30-DAY(EOMONTH(F647,0)),IF(DAY(F647)=31,1," "))," "))</f>
        <v xml:space="preserve"> </v>
      </c>
      <c r="B647" s="130" t="str">
        <f t="shared" si="46"/>
        <v xml:space="preserve"> </v>
      </c>
      <c r="C647" s="130" t="str">
        <f>IF(OR(B647=0,B647=" ")," ",SUM($B$23:B647))</f>
        <v xml:space="preserve"> </v>
      </c>
      <c r="D647" s="62" t="str">
        <f>IF(D646=" "," ",IF(OR(F646='депозитный калькулятор'!$D$8,F646=" ")," ",D646+1))</f>
        <v xml:space="preserve"> </v>
      </c>
      <c r="E647" s="130" t="str">
        <f>IF(OR(F646='депозитный калькулятор'!$D$8,F646=" ")," ",IF(EOMONTH(F646,0)=F646,1,E646+1))</f>
        <v xml:space="preserve"> </v>
      </c>
      <c r="F647" s="64" t="str">
        <f>IF(F646=" "," ",IF(F646='депозитный калькулятор'!$D$8," ",F646+1))</f>
        <v xml:space="preserve"> </v>
      </c>
      <c r="G647" s="145" t="str">
        <f xml:space="preserve"> IF(F647&gt;'депозитный калькулятор'!$D$8," ",IF('депозитный калькулятор'!$G$13="есть",IF('депозитный калькулятор'!$G$14="есть",G646+IF(I646=" ",0,I646)-J647-K647+L647+M647-N647,G646+IF(I646=" ",0,I646)-J647-K647+M647-N647),IF('депозитный калькулятор'!$G$14="есть",G646-J647-K647+L647+M647-N647,G646-J647-K647+M647-N647)))</f>
        <v xml:space="preserve"> </v>
      </c>
      <c r="H647" s="133" t="str">
        <f>IF(F647&gt;'депозитный калькулятор'!$D$8," ",IF(AND(OR('депозитный калькулятор'!$G$7="30/365",'депозитный калькулятор'!$G$7="30/360"),AND(MONTH(F647)=2,EOMONTH(F647,0)=F647)),IF(DAY(F647)=28,3*G647*'депозитный калькулятор'!$G$8,2*G647*'депозитный калькулятор'!$G$8),IF(AND(OR('депозитный калькулятор'!$G$7="30/365",'депозитный калькулятор'!$G$7="30/360"),DAY(F647)=31)," ",IF(AND('депозитный калькулятор'!$G$7="факт/факт",MOD(YEAR(F647),4)=0),G647*'депозитный калькулятор'!$D$11/366,G647*'депозитный калькулятор'!$G$8))))</f>
        <v xml:space="preserve"> </v>
      </c>
      <c r="I647" s="134" t="str">
        <f ca="1">IF(F647=" "," ",IF('депозитный калькулятор'!$G$10="ежедневное",H647,IF(AND('депозитный калькулятор'!$G$10="еженедельное",WEEKDAY(F647,2)=7),SUM(OFFSET(H647,-6,0):H647),IF(AND('депозитный калькулятор'!$G$10="еженедельное",F647='депозитный калькулятор'!$D$8),SUM($H$23:H647)-SUM($I$23:I646),IF(AND('депозитный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недели",WEEKDAY(F647,2)=7),MIN(OFFSET(H647,-6,0):H647)*(COUNTIF(OFFSET(H647,-6,0):H647,"&gt;0")+SUMIF(OFFSET(A647,-WEEKDAY(F647,2),0):A647,"=2",OFFSET(A647,-WEEKDAY(F647,2),0):A647)),IF(AND('депозитный калькулятор'!$G$10="еженедельное, на минимальную сумму зафиксированную в течение недели",F647='депозитный калькулятор'!$D$8,WEEKDAY(F647,2)&lt;&gt;7),MIN(OFFSET(H647,-WEEKDAY(F647,2),0):H647)*(COUNTIF(OFFSET(H647,-WEEKDAY(F647,2)+1,0):H647,"&gt;0")+SUM(OFFSET(A647,-WEEKDAY(F647,2),0):A647)),IF(AND('депозитный калькулятор'!$G$10="ежемесячное (в конце месяца)",F647='депозитный калькулятор'!$D$8,EOMONTH(F647,0)&lt;&gt;F647),IF('депозитный калькулятор'!$F$1=1,$H$24,SUM($H$23:H647)-SUM($I$23:I646)),IF(AND('депозитный калькулятор'!$G$10="ежемесячное (в конце месяца)",EOMONTH(F647,0)=F647),SUM($H$23:H647)-SUM($I$23:I646),IF(AND('депозитный калькулятор'!$G$10="ежемесячное (по дням открытия вклада)",F647='депозитный калькулятор'!$D$8,DAY('депозитный калькулятор'!$D$7)&lt;&gt;DAY(F647)),IF('депозитный калькулятор'!$F$1=1,$H$24,SUM($H$23:H647)-SUM($I$23:I646)),IF(AND('депозитный калькулятор'!$G$10="ежемесячное (по дням открытия вклада)",DAY('депозитный калькулятор'!$D$7)=DAY(F647)),SUM($H$23:H647)-SUM($I$23:I646),IF(AND('депозитный калькулятор'!$G$10="ежемесячное, на минимальную сумму зафиксированную в течение месяца",F647='депозитный калькулятор'!$D$8,EOMONTH(F647,0)&lt;&gt;F647),IF('депозитный калькулятор'!$F$1=1,$H$24,IF(AND(OR('депозитный калькулятор'!$G$7="30/365",'депозитный калькулятор'!$G$7="30/360"),DAY(F647)=31),0,MIN(OFFSET(H647,-E647+1,0):H647)*(E647+SUMIF(OFFSET(A647,-E647+1,0):A647,"=2",OFFSET(A647,-E647+1,0):A647)))),IF(AND('депозитный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калькулятор'!$G$7="30/360"),DAY(EOMONTH(F647,0))=31),EOMONTH(F647,0)-1=F647,EOMONTH(F647,0)=F647)),IF(IF(AND(OR('депозитный калькулятор'!$G$7="30/365",'депозитный калькулятор'!$G$7="30/360"),DAY(EOMONTH($F$23,0))=31),F647=EOMONTH($F$23,0)-1,F647=EOMONTH($F$23,0)),MIN(OFFSET(H647,-(DAY(F647)-DAY($F$23)),0):H647)*E647,MIN(OFFSET(H647,-(DAY(F647)-1),0):H647)*IF(AND(OR('депозитный калькулятор'!$G$7="30/365",'депозитный калькулятор'!$G$7="30/360"),DAY(F647)&lt;30),30,DAY(F647))),IF(AND('депозитный калькулятор'!$G$10="ежемесячное, на средний остаток в течение месяца, при условии что остаток больше чем ограничение",F647='депозитный калькулятор'!$D$8,EOMONTH(F647,0)&lt;&gt;F647),IF('депозитный калькулятор'!$F$1=1,$H$24,SUM(OFFSET(Q647,-E647+1,0):Q647)),IF(AND('депозитный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калькулятор'!$G$7="30/360"),DAY(EOMONTH(F647,0))=31),EOMONTH(F647,0)-1=F647,EOMONTH(F647,0)=F647)),IF(IF(AND(OR('депозитный калькулятор'!$G$7="30/365",'депозитный калькулятор'!$G$7="30/360"),DAY(EOMONTH($F$24,0))=31),F647=EOMONTH($F$24,0)-1,F647=EOMONTH($F$24,0)),SUM(OFFSET(Q647,-E647+1,0):Q647),SUM(OFFSET(Q647,-E647+1,0):Q647)),IF('депозитный калькулятор'!$G$10="ежеквартальное",IF(F647&gt;'депозитный калькулятор'!$D$8," ",IF(AND(EOMONTH(F647,0)=F647,OR(MONTH(F647)=3,MONTH(F647)=6,MONTH(F647)=9,MONTH(F647)=12)),IF(EDATE(F647,-3)&lt;'депозитный калькулятор'!$D$7,SUM($H$23:H647),IF(MOD(YEAR(F647),4)=0,IF(AND(EOMONTH(F647,0)=F647,OR(MONTH(F647)=3,MONTH(F647)=6)),SUM(OFFSET(H647,-90,0):H647),IF(AND(EOMONTH(F647,0)=F647,OR(MONTH(F647)=9,MONTH(F647)=12)),SUM(OFFSET(H647,-91,0):H647))),IF(AND(EOMONTH(F647,0)=F647,MONTH(F647)=3),SUM(OFFSET(H647,-89,0):H647),IF(AND(EOMONTH(F647,0)=F647,MONTH(F647)=6),SUM(OFFSET(H647,-90,0):H647),IF(AND(EOMONTH(F647,0)=F647,OR(MONTH(F647)=9,MONTH(F647)=12)),SUM(OFFSET(H647,-91,0):H647)))))),IF(F647='депозитный калькулятор'!$D$8,SUM($H$23:H647)-SUM($I$23:I646),0))),IF('депозитный калькулятор'!$G$10="ежегодное",IF(F647&gt;'депозитный калькулятор'!$D$8," ",IF(F647='депозитный калькулятор'!$D$8,SUM($H$23:H647)-SUM($I$23:I646),IF(AND(EOMONTH(F647,0)=F647,MONTH(F647)=12),IF(MOD(YEAR(F646),4)=0,IF(F647-'депозитный калькулятор'!$D$7&lt;366,SUM($H$23:H647),SUM(OFFSET(H647,-365,0):H647)),IF(F647-'депозитный калькулятор'!$D$7&lt;365,SUM($H$23:H647),SUM(OFFSET(H647,-364,0):H647))),0))),IF(AND('депозитный калькулятор'!$G$10="в конце срока",'депозитный калькулятор'!$D$8=F647),SUM($H$23:H647),0))))))))))))))))))</f>
        <v xml:space="preserve"> </v>
      </c>
      <c r="J647" s="59" t="str">
        <f>IF(F647&gt;'депозитный калькулятор'!$D$8," ",IF('депозитный калькулятор'!$G$16="нет",0,IF(AND('депозитный калькулятор'!$G$17="разовая (в конце срока)",F647='депозитный калькулятор'!$D$8),'депозитный калькулятор'!$G$18,IF(AND('депозитный калькулятор'!$G$17="ежемесячная",EOMONTH(F646,0)=F646),'депозитный калькулятор'!$G$18,IF(AND('депозитный калькулятор'!$G$17="ежегодная",DAY(F646)=31,MONTH(F646)=12),'депозитный калькулятор'!$G$18,IF(AND('депозитный калькулятор'!$G$17="ежемесячная в зависимости от остатка",EOMONTH(F646,0)=F646,P646&gt;0),'депозитный калькулятор'!$G$18,IF(AND('депозитный калькулятор'!$G$17="ежегодная в зависимости от остатка",DAY(F646)=31,MONTH(F646)=12,P646&gt;0),'депозитный калькулятор'!$G$18,0)))))))</f>
        <v xml:space="preserve"> </v>
      </c>
      <c r="K647" s="135" t="str">
        <f>IF($F647=" "," ",IFERROR(VLOOKUP($F647,'депозитный калькулятор'!$B$26:$F$70,2,0),0))</f>
        <v xml:space="preserve"> </v>
      </c>
      <c r="L647" s="135" t="str">
        <f>IF($F647=" "," ",IFERROR(VLOOKUP($F647,'депозитный калькулятор'!$B$26:$F$70,3,0),0))</f>
        <v xml:space="preserve"> </v>
      </c>
      <c r="M647" s="135" t="str">
        <f>IF($F647=" "," ",IFERROR(VLOOKUP($F647,'депозитный калькулятор'!$B$26:$F$70,4,0),0))</f>
        <v xml:space="preserve"> </v>
      </c>
      <c r="N647" s="135" t="str">
        <f>IF($F647=" "," ",IFERROR(VLOOKUP($F647,'депозитный калькулятор'!$B$26:$F$70,5,0),0))</f>
        <v xml:space="preserve"> </v>
      </c>
      <c r="O647" s="146" t="str">
        <f>IF(F647&gt;'депозитный калькулятор'!$D$8," ",IF(F647='депозитный калькулятор'!$D$8,IF(AND($F$24='депозитный калькулятор'!$D$8,'депозитный калькулятор'!$G$13="нет"),-G647-IF(I647=" ",0,I647)-IF(AND(OR('депозитный калькулятор'!$G$7="30/365",'депозитный калькулятор'!$G$7="30/360"),'депозитный калькулятор'!$G$10="в начале срока"),I646,0)-L647+M647-N647,-G647-IF(I647=" ",0,I647)-L647+M647-N647),IF('депозитный калькулятор'!$G$13="есть",M647-N647+IF('депозитный калькулятор'!$G$14="есть",0,-L647),-IF(I647=" ",0,I647)-IF(AND(OR('депозитный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срока"),I646,0)+M647-N647+IF('депозитный калькулятор'!$G$14="есть",0,-L647))))</f>
        <v xml:space="preserve"> </v>
      </c>
      <c r="P647" s="147" t="str">
        <f>IF(F647&gt;'депозитный калькулятор'!$D$8," ",IF(EOMONTH(F646,0)=F646,0,IF(G647&gt;='депозитный калькулятор'!$G$19,P646,P646+1)))</f>
        <v xml:space="preserve"> </v>
      </c>
      <c r="Q647" s="138" t="str">
        <f>IF(F647=" "," ",IF(AND(OR('депозитный калькулятор'!$G$7="30/365",'депозитный калькулятор'!$G$7="30/360"),AND(MONTH(F647)=2,EOMONTH(F647,0)=F647)),IF(DAY(F647)=28,3,2),1)*IF(G647&gt;='депозитный калькулятор'!$G$11,IF(AND('депозитный калькулятор'!$G$7="факт/факт",MOD(YEAR(F647),4)=0),G647*'депозитный калькулятор'!$D$11/366,G647*'депозитный калькулятор'!$G$8),0))</f>
        <v xml:space="preserve"> </v>
      </c>
      <c r="R647" s="158"/>
      <c r="S647" s="62" t="str">
        <f t="shared" ca="1" si="47"/>
        <v xml:space="preserve"> </v>
      </c>
      <c r="T647" s="149" t="str">
        <f ca="1">IF(S647=" "," ",IF('депозитный калькулятор'!$G$7="30/360",DAYS360(U646,IF(DAY(U647)=31,U647-1,U647))+IF(AND(MONTH(U647)=2,U647=EOMONTH(U647,0)),30-DAY(EOMONTH(U647,0)))+T646,VLOOKUP(S647,$C$22:$F$1023,2,0)))</f>
        <v xml:space="preserve"> </v>
      </c>
      <c r="U647" s="64" t="str">
        <f t="shared" ca="1" si="45"/>
        <v xml:space="preserve"> </v>
      </c>
      <c r="V647" s="150" t="str">
        <f t="shared" ca="1" si="48"/>
        <v xml:space="preserve"> </v>
      </c>
      <c r="W647" s="62" t="str">
        <f t="shared" ca="1" si="49"/>
        <v xml:space="preserve"> </v>
      </c>
      <c r="X647" s="141" t="str">
        <f ca="1">IF(S647=" "," ",IFERROR(VLOOKUP(U647,$F$23:$N$1023,7)+VLOOKUP(U647,$F$23:$N$1023,9)+IF(AND('депозитный калькулятор'!$G$13="нет",U647&lt;&gt;'депозитный калькулятор'!$D$8),VLOOKUP(U647,$F$23:$N$1023,4),0),0)+IF(U647='депозитный калькулятор'!$D$8,VLOOKUP(U647,$F$23:$N$1023,2)+VLOOKUP(U647,$F$23:$N$1023,4),0))</f>
        <v xml:space="preserve"> </v>
      </c>
      <c r="Y647" s="142" t="str">
        <f ca="1">IF(S647=" "," ",W647/(1+'депозитный калькулятор'!$K$8)^(T647/IF('депозитный калькулятор'!$G$7="30/360",360,365)))</f>
        <v xml:space="preserve"> </v>
      </c>
      <c r="Z647" s="142" t="str">
        <f ca="1">IF(S647=" "," ",X647/(1+'депозитный калькулятор'!$K$8)^(T647/IF('депозитный калькулятор'!$G$7="30/360",360,365)))</f>
        <v xml:space="preserve"> </v>
      </c>
      <c r="AA647" s="151"/>
      <c r="AB647" s="151"/>
      <c r="AC647" s="155"/>
      <c r="AD647" s="155"/>
    </row>
    <row r="648" spans="1:30" s="2" customFormat="1" ht="15.5" x14ac:dyDescent="0.35">
      <c r="A648" s="41" t="str">
        <f>IF(F648=" "," ",IF(OR('депозитный калькулятор'!$G$7="30/365",'депозитный калькулятор'!$G$7="30/360"),IF(AND(MONTH(F648)=2,DAY(F648)=DAY(EOMONTH(F648,0))),30-DAY(EOMONTH(F648,0)),IF(DAY(F648)=31,1," "))," "))</f>
        <v xml:space="preserve"> </v>
      </c>
      <c r="B648" s="130" t="str">
        <f t="shared" si="46"/>
        <v xml:space="preserve"> </v>
      </c>
      <c r="C648" s="130" t="str">
        <f>IF(OR(B648=0,B648=" ")," ",SUM($B$23:B648))</f>
        <v xml:space="preserve"> </v>
      </c>
      <c r="D648" s="62" t="str">
        <f>IF(D647=" "," ",IF(OR(F647='депозитный калькулятор'!$D$8,F647=" ")," ",D647+1))</f>
        <v xml:space="preserve"> </v>
      </c>
      <c r="E648" s="130" t="str">
        <f>IF(OR(F647='депозитный калькулятор'!$D$8,F647=" ")," ",IF(EOMONTH(F647,0)=F647,1,E647+1))</f>
        <v xml:space="preserve"> </v>
      </c>
      <c r="F648" s="64" t="str">
        <f>IF(F647=" "," ",IF(F647='депозитный калькулятор'!$D$8," ",F647+1))</f>
        <v xml:space="preserve"> </v>
      </c>
      <c r="G648" s="145" t="str">
        <f xml:space="preserve"> IF(F648&gt;'депозитный калькулятор'!$D$8," ",IF('депозитный калькулятор'!$G$13="есть",IF('депозитный калькулятор'!$G$14="есть",G647+IF(I647=" ",0,I647)-J648-K648+L648+M648-N648,G647+IF(I647=" ",0,I647)-J648-K648+M648-N648),IF('депозитный калькулятор'!$G$14="есть",G647-J648-K648+L648+M648-N648,G647-J648-K648+M648-N648)))</f>
        <v xml:space="preserve"> </v>
      </c>
      <c r="H648" s="133" t="str">
        <f>IF(F648&gt;'депозитный калькулятор'!$D$8," ",IF(AND(OR('депозитный калькулятор'!$G$7="30/365",'депозитный калькулятор'!$G$7="30/360"),AND(MONTH(F648)=2,EOMONTH(F648,0)=F648)),IF(DAY(F648)=28,3*G648*'депозитный калькулятор'!$G$8,2*G648*'депозитный калькулятор'!$G$8),IF(AND(OR('депозитный калькулятор'!$G$7="30/365",'депозитный калькулятор'!$G$7="30/360"),DAY(F648)=31)," ",IF(AND('депозитный калькулятор'!$G$7="факт/факт",MOD(YEAR(F648),4)=0),G648*'депозитный калькулятор'!$D$11/366,G648*'депозитный калькулятор'!$G$8))))</f>
        <v xml:space="preserve"> </v>
      </c>
      <c r="I648" s="134" t="str">
        <f ca="1">IF(F648=" "," ",IF('депозитный калькулятор'!$G$10="ежедневное",H648,IF(AND('депозитный калькулятор'!$G$10="еженедельное",WEEKDAY(F648,2)=7),SUM(OFFSET(H648,-6,0):H648),IF(AND('депозитный калькулятор'!$G$10="еженедельное",F648='депозитный калькулятор'!$D$8),SUM($H$23:H648)-SUM($I$23:I647),IF(AND('депозитный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недели",WEEKDAY(F648,2)=7),MIN(OFFSET(H648,-6,0):H648)*(COUNTIF(OFFSET(H648,-6,0):H648,"&gt;0")+SUMIF(OFFSET(A648,-WEEKDAY(F648,2),0):A648,"=2",OFFSET(A648,-WEEKDAY(F648,2),0):A648)),IF(AND('депозитный калькулятор'!$G$10="еженедельное, на минимальную сумму зафиксированную в течение недели",F648='депозитный калькулятор'!$D$8,WEEKDAY(F648,2)&lt;&gt;7),MIN(OFFSET(H648,-WEEKDAY(F648,2),0):H648)*(COUNTIF(OFFSET(H648,-WEEKDAY(F648,2)+1,0):H648,"&gt;0")+SUM(OFFSET(A648,-WEEKDAY(F648,2),0):A648)),IF(AND('депозитный калькулятор'!$G$10="ежемесячное (в конце месяца)",F648='депозитный калькулятор'!$D$8,EOMONTH(F648,0)&lt;&gt;F648),IF('депозитный калькулятор'!$F$1=1,$H$24,SUM($H$23:H648)-SUM($I$23:I647)),IF(AND('депозитный калькулятор'!$G$10="ежемесячное (в конце месяца)",EOMONTH(F648,0)=F648),SUM($H$23:H648)-SUM($I$23:I647),IF(AND('депозитный калькулятор'!$G$10="ежемесячное (по дням открытия вклада)",F648='депозитный калькулятор'!$D$8,DAY('депозитный калькулятор'!$D$7)&lt;&gt;DAY(F648)),IF('депозитный калькулятор'!$F$1=1,$H$24,SUM($H$23:H648)-SUM($I$23:I647)),IF(AND('депозитный калькулятор'!$G$10="ежемесячное (по дням открытия вклада)",DAY('депозитный калькулятор'!$D$7)=DAY(F648)),SUM($H$23:H648)-SUM($I$23:I647),IF(AND('депозитный калькулятор'!$G$10="ежемесячное, на минимальную сумму зафиксированную в течение месяца",F648='депозитный калькулятор'!$D$8,EOMONTH(F648,0)&lt;&gt;F648),IF('депозитный калькулятор'!$F$1=1,$H$24,IF(AND(OR('депозитный калькулятор'!$G$7="30/365",'депозитный калькулятор'!$G$7="30/360"),DAY(F648)=31),0,MIN(OFFSET(H648,-E648+1,0):H648)*(E648+SUMIF(OFFSET(A648,-E648+1,0):A648,"=2",OFFSET(A648,-E648+1,0):A648)))),IF(AND('депозитный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калькулятор'!$G$7="30/360"),DAY(EOMONTH(F648,0))=31),EOMONTH(F648,0)-1=F648,EOMONTH(F648,0)=F648)),IF(IF(AND(OR('депозитный калькулятор'!$G$7="30/365",'депозитный калькулятор'!$G$7="30/360"),DAY(EOMONTH($F$23,0))=31),F648=EOMONTH($F$23,0)-1,F648=EOMONTH($F$23,0)),MIN(OFFSET(H648,-(DAY(F648)-DAY($F$23)),0):H648)*E648,MIN(OFFSET(H648,-(DAY(F648)-1),0):H648)*IF(AND(OR('депозитный калькулятор'!$G$7="30/365",'депозитный калькулятор'!$G$7="30/360"),DAY(F648)&lt;30),30,DAY(F648))),IF(AND('депозитный калькулятор'!$G$10="ежемесячное, на средний остаток в течение месяца, при условии что остаток больше чем ограничение",F648='депозитный калькулятор'!$D$8,EOMONTH(F648,0)&lt;&gt;F648),IF('депозитный калькулятор'!$F$1=1,$H$24,SUM(OFFSET(Q648,-E648+1,0):Q648)),IF(AND('депозитный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калькулятор'!$G$7="30/360"),DAY(EOMONTH(F648,0))=31),EOMONTH(F648,0)-1=F648,EOMONTH(F648,0)=F648)),IF(IF(AND(OR('депозитный калькулятор'!$G$7="30/365",'депозитный калькулятор'!$G$7="30/360"),DAY(EOMONTH($F$24,0))=31),F648=EOMONTH($F$24,0)-1,F648=EOMONTH($F$24,0)),SUM(OFFSET(Q648,-E648+1,0):Q648),SUM(OFFSET(Q648,-E648+1,0):Q648)),IF('депозитный калькулятор'!$G$10="ежеквартальное",IF(F648&gt;'депозитный калькулятор'!$D$8," ",IF(AND(EOMONTH(F648,0)=F648,OR(MONTH(F648)=3,MONTH(F648)=6,MONTH(F648)=9,MONTH(F648)=12)),IF(EDATE(F648,-3)&lt;'депозитный калькулятор'!$D$7,SUM($H$23:H648),IF(MOD(YEAR(F648),4)=0,IF(AND(EOMONTH(F648,0)=F648,OR(MONTH(F648)=3,MONTH(F648)=6)),SUM(OFFSET(H648,-90,0):H648),IF(AND(EOMONTH(F648,0)=F648,OR(MONTH(F648)=9,MONTH(F648)=12)),SUM(OFFSET(H648,-91,0):H648))),IF(AND(EOMONTH(F648,0)=F648,MONTH(F648)=3),SUM(OFFSET(H648,-89,0):H648),IF(AND(EOMONTH(F648,0)=F648,MONTH(F648)=6),SUM(OFFSET(H648,-90,0):H648),IF(AND(EOMONTH(F648,0)=F648,OR(MONTH(F648)=9,MONTH(F648)=12)),SUM(OFFSET(H648,-91,0):H648)))))),IF(F648='депозитный калькулятор'!$D$8,SUM($H$23:H648)-SUM($I$23:I647),0))),IF('депозитный калькулятор'!$G$10="ежегодное",IF(F648&gt;'депозитный калькулятор'!$D$8," ",IF(F648='депозитный калькулятор'!$D$8,SUM($H$23:H648)-SUM($I$23:I647),IF(AND(EOMONTH(F648,0)=F648,MONTH(F648)=12),IF(MOD(YEAR(F647),4)=0,IF(F648-'депозитный калькулятор'!$D$7&lt;366,SUM($H$23:H648),SUM(OFFSET(H648,-365,0):H648)),IF(F648-'депозитный калькулятор'!$D$7&lt;365,SUM($H$23:H648),SUM(OFFSET(H648,-364,0):H648))),0))),IF(AND('депозитный калькулятор'!$G$10="в конце срока",'депозитный калькулятор'!$D$8=F648),SUM($H$23:H648),0))))))))))))))))))</f>
        <v xml:space="preserve"> </v>
      </c>
      <c r="J648" s="59" t="str">
        <f>IF(F648&gt;'депозитный калькулятор'!$D$8," ",IF('депозитный калькулятор'!$G$16="нет",0,IF(AND('депозитный калькулятор'!$G$17="разовая (в конце срока)",F648='депозитный калькулятор'!$D$8),'депозитный калькулятор'!$G$18,IF(AND('депозитный калькулятор'!$G$17="ежемесячная",EOMONTH(F647,0)=F647),'депозитный калькулятор'!$G$18,IF(AND('депозитный калькулятор'!$G$17="ежегодная",DAY(F647)=31,MONTH(F647)=12),'депозитный калькулятор'!$G$18,IF(AND('депозитный калькулятор'!$G$17="ежемесячная в зависимости от остатка",EOMONTH(F647,0)=F647,P647&gt;0),'депозитный калькулятор'!$G$18,IF(AND('депозитный калькулятор'!$G$17="ежегодная в зависимости от остатка",DAY(F647)=31,MONTH(F647)=12,P647&gt;0),'депозитный калькулятор'!$G$18,0)))))))</f>
        <v xml:space="preserve"> </v>
      </c>
      <c r="K648" s="135" t="str">
        <f>IF($F648=" "," ",IFERROR(VLOOKUP($F648,'депозитный калькулятор'!$B$26:$F$70,2,0),0))</f>
        <v xml:space="preserve"> </v>
      </c>
      <c r="L648" s="135" t="str">
        <f>IF($F648=" "," ",IFERROR(VLOOKUP($F648,'депозитный калькулятор'!$B$26:$F$70,3,0),0))</f>
        <v xml:space="preserve"> </v>
      </c>
      <c r="M648" s="135" t="str">
        <f>IF($F648=" "," ",IFERROR(VLOOKUP($F648,'депозитный калькулятор'!$B$26:$F$70,4,0),0))</f>
        <v xml:space="preserve"> </v>
      </c>
      <c r="N648" s="135" t="str">
        <f>IF($F648=" "," ",IFERROR(VLOOKUP($F648,'депозитный калькулятор'!$B$26:$F$70,5,0),0))</f>
        <v xml:space="preserve"> </v>
      </c>
      <c r="O648" s="146" t="str">
        <f>IF(F648&gt;'депозитный калькулятор'!$D$8," ",IF(F648='депозитный калькулятор'!$D$8,IF(AND($F$24='депозитный калькулятор'!$D$8,'депозитный калькулятор'!$G$13="нет"),-G648-IF(I648=" ",0,I648)-IF(AND(OR('депозитный калькулятор'!$G$7="30/365",'депозитный калькулятор'!$G$7="30/360"),'депозитный калькулятор'!$G$10="в начале срока"),I647,0)-L648+M648-N648,-G648-IF(I648=" ",0,I648)-L648+M648-N648),IF('депозитный калькулятор'!$G$13="есть",M648-N648+IF('депозитный калькулятор'!$G$14="есть",0,-L648),-IF(I648=" ",0,I648)-IF(AND(OR('депозитный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срока"),I647,0)+M648-N648+IF('депозитный калькулятор'!$G$14="есть",0,-L648))))</f>
        <v xml:space="preserve"> </v>
      </c>
      <c r="P648" s="147" t="str">
        <f>IF(F648&gt;'депозитный калькулятор'!$D$8," ",IF(EOMONTH(F647,0)=F647,0,IF(G648&gt;='депозитный калькулятор'!$G$19,P647,P647+1)))</f>
        <v xml:space="preserve"> </v>
      </c>
      <c r="Q648" s="138" t="str">
        <f>IF(F648=" "," ",IF(AND(OR('депозитный калькулятор'!$G$7="30/365",'депозитный калькулятор'!$G$7="30/360"),AND(MONTH(F648)=2,EOMONTH(F648,0)=F648)),IF(DAY(F648)=28,3,2),1)*IF(G648&gt;='депозитный калькулятор'!$G$11,IF(AND('депозитный калькулятор'!$G$7="факт/факт",MOD(YEAR(F648),4)=0),G648*'депозитный калькулятор'!$D$11/366,G648*'депозитный калькулятор'!$G$8),0))</f>
        <v xml:space="preserve"> </v>
      </c>
      <c r="R648" s="158"/>
      <c r="S648" s="62" t="str">
        <f t="shared" ca="1" si="47"/>
        <v xml:space="preserve"> </v>
      </c>
      <c r="T648" s="149" t="str">
        <f ca="1">IF(S648=" "," ",IF('депозитный калькулятор'!$G$7="30/360",DAYS360(U647,IF(DAY(U648)=31,U648-1,U648))+IF(AND(MONTH(U648)=2,U648=EOMONTH(U648,0)),30-DAY(EOMONTH(U648,0)))+T647,VLOOKUP(S648,$C$22:$F$1023,2,0)))</f>
        <v xml:space="preserve"> </v>
      </c>
      <c r="U648" s="64" t="str">
        <f t="shared" ca="1" si="45"/>
        <v xml:space="preserve"> </v>
      </c>
      <c r="V648" s="150" t="str">
        <f t="shared" ca="1" si="48"/>
        <v xml:space="preserve"> </v>
      </c>
      <c r="W648" s="62" t="str">
        <f t="shared" ca="1" si="49"/>
        <v xml:space="preserve"> </v>
      </c>
      <c r="X648" s="141" t="str">
        <f ca="1">IF(S648=" "," ",IFERROR(VLOOKUP(U648,$F$23:$N$1023,7)+VLOOKUP(U648,$F$23:$N$1023,9)+IF(AND('депозитный калькулятор'!$G$13="нет",U648&lt;&gt;'депозитный калькулятор'!$D$8),VLOOKUP(U648,$F$23:$N$1023,4),0),0)+IF(U648='депозитный калькулятор'!$D$8,VLOOKUP(U648,$F$23:$N$1023,2)+VLOOKUP(U648,$F$23:$N$1023,4),0))</f>
        <v xml:space="preserve"> </v>
      </c>
      <c r="Y648" s="142" t="str">
        <f ca="1">IF(S648=" "," ",W648/(1+'депозитный калькулятор'!$K$8)^(T648/IF('депозитный калькулятор'!$G$7="30/360",360,365)))</f>
        <v xml:space="preserve"> </v>
      </c>
      <c r="Z648" s="142" t="str">
        <f ca="1">IF(S648=" "," ",X648/(1+'депозитный калькулятор'!$K$8)^(T648/IF('депозитный калькулятор'!$G$7="30/360",360,365)))</f>
        <v xml:space="preserve"> </v>
      </c>
      <c r="AA648" s="151"/>
      <c r="AB648" s="151"/>
      <c r="AC648" s="155"/>
      <c r="AD648" s="155"/>
    </row>
    <row r="649" spans="1:30" s="2" customFormat="1" ht="15.5" x14ac:dyDescent="0.35">
      <c r="A649" s="41" t="str">
        <f>IF(F649=" "," ",IF(OR('депозитный калькулятор'!$G$7="30/365",'депозитный калькулятор'!$G$7="30/360"),IF(AND(MONTH(F649)=2,DAY(F649)=DAY(EOMONTH(F649,0))),30-DAY(EOMONTH(F649,0)),IF(DAY(F649)=31,1," "))," "))</f>
        <v xml:space="preserve"> </v>
      </c>
      <c r="B649" s="130" t="str">
        <f t="shared" si="46"/>
        <v xml:space="preserve"> </v>
      </c>
      <c r="C649" s="130" t="str">
        <f>IF(OR(B649=0,B649=" ")," ",SUM($B$23:B649))</f>
        <v xml:space="preserve"> </v>
      </c>
      <c r="D649" s="62" t="str">
        <f>IF(D648=" "," ",IF(OR(F648='депозитный калькулятор'!$D$8,F648=" ")," ",D648+1))</f>
        <v xml:space="preserve"> </v>
      </c>
      <c r="E649" s="130" t="str">
        <f>IF(OR(F648='депозитный калькулятор'!$D$8,F648=" ")," ",IF(EOMONTH(F648,0)=F648,1,E648+1))</f>
        <v xml:space="preserve"> </v>
      </c>
      <c r="F649" s="64" t="str">
        <f>IF(F648=" "," ",IF(F648='депозитный калькулятор'!$D$8," ",F648+1))</f>
        <v xml:space="preserve"> </v>
      </c>
      <c r="G649" s="145" t="str">
        <f xml:space="preserve"> IF(F649&gt;'депозитный калькулятор'!$D$8," ",IF('депозитный калькулятор'!$G$13="есть",IF('депозитный калькулятор'!$G$14="есть",G648+IF(I648=" ",0,I648)-J649-K649+L649+M649-N649,G648+IF(I648=" ",0,I648)-J649-K649+M649-N649),IF('депозитный калькулятор'!$G$14="есть",G648-J649-K649+L649+M649-N649,G648-J649-K649+M649-N649)))</f>
        <v xml:space="preserve"> </v>
      </c>
      <c r="H649" s="133" t="str">
        <f>IF(F649&gt;'депозитный калькулятор'!$D$8," ",IF(AND(OR('депозитный калькулятор'!$G$7="30/365",'депозитный калькулятор'!$G$7="30/360"),AND(MONTH(F649)=2,EOMONTH(F649,0)=F649)),IF(DAY(F649)=28,3*G649*'депозитный калькулятор'!$G$8,2*G649*'депозитный калькулятор'!$G$8),IF(AND(OR('депозитный калькулятор'!$G$7="30/365",'депозитный калькулятор'!$G$7="30/360"),DAY(F649)=31)," ",IF(AND('депозитный калькулятор'!$G$7="факт/факт",MOD(YEAR(F649),4)=0),G649*'депозитный калькулятор'!$D$11/366,G649*'депозитный калькулятор'!$G$8))))</f>
        <v xml:space="preserve"> </v>
      </c>
      <c r="I649" s="134" t="str">
        <f ca="1">IF(F649=" "," ",IF('депозитный калькулятор'!$G$10="ежедневное",H649,IF(AND('депозитный калькулятор'!$G$10="еженедельное",WEEKDAY(F649,2)=7),SUM(OFFSET(H649,-6,0):H649),IF(AND('депозитный калькулятор'!$G$10="еженедельное",F649='депозитный калькулятор'!$D$8),SUM($H$23:H649)-SUM($I$23:I648),IF(AND('депозитный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недели",WEEKDAY(F649,2)=7),MIN(OFFSET(H649,-6,0):H649)*(COUNTIF(OFFSET(H649,-6,0):H649,"&gt;0")+SUMIF(OFFSET(A649,-WEEKDAY(F649,2),0):A649,"=2",OFFSET(A649,-WEEKDAY(F649,2),0):A649)),IF(AND('депозитный калькулятор'!$G$10="еженедельное, на минимальную сумму зафиксированную в течение недели",F649='депозитный калькулятор'!$D$8,WEEKDAY(F649,2)&lt;&gt;7),MIN(OFFSET(H649,-WEEKDAY(F649,2),0):H649)*(COUNTIF(OFFSET(H649,-WEEKDAY(F649,2)+1,0):H649,"&gt;0")+SUM(OFFSET(A649,-WEEKDAY(F649,2),0):A649)),IF(AND('депозитный калькулятор'!$G$10="ежемесячное (в конце месяца)",F649='депозитный калькулятор'!$D$8,EOMONTH(F649,0)&lt;&gt;F649),IF('депозитный калькулятор'!$F$1=1,$H$24,SUM($H$23:H649)-SUM($I$23:I648)),IF(AND('депозитный калькулятор'!$G$10="ежемесячное (в конце месяца)",EOMONTH(F649,0)=F649),SUM($H$23:H649)-SUM($I$23:I648),IF(AND('депозитный калькулятор'!$G$10="ежемесячное (по дням открытия вклада)",F649='депозитный калькулятор'!$D$8,DAY('депозитный калькулятор'!$D$7)&lt;&gt;DAY(F649)),IF('депозитный калькулятор'!$F$1=1,$H$24,SUM($H$23:H649)-SUM($I$23:I648)),IF(AND('депозитный калькулятор'!$G$10="ежемесячное (по дням открытия вклада)",DAY('депозитный калькулятор'!$D$7)=DAY(F649)),SUM($H$23:H649)-SUM($I$23:I648),IF(AND('депозитный калькулятор'!$G$10="ежемесячное, на минимальную сумму зафиксированную в течение месяца",F649='депозитный калькулятор'!$D$8,EOMONTH(F649,0)&lt;&gt;F649),IF('депозитный калькулятор'!$F$1=1,$H$24,IF(AND(OR('депозитный калькулятор'!$G$7="30/365",'депозитный калькулятор'!$G$7="30/360"),DAY(F649)=31),0,MIN(OFFSET(H649,-E649+1,0):H649)*(E649+SUMIF(OFFSET(A649,-E649+1,0):A649,"=2",OFFSET(A649,-E649+1,0):A649)))),IF(AND('депозитный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калькулятор'!$G$7="30/360"),DAY(EOMONTH(F649,0))=31),EOMONTH(F649,0)-1=F649,EOMONTH(F649,0)=F649)),IF(IF(AND(OR('депозитный калькулятор'!$G$7="30/365",'депозитный калькулятор'!$G$7="30/360"),DAY(EOMONTH($F$23,0))=31),F649=EOMONTH($F$23,0)-1,F649=EOMONTH($F$23,0)),MIN(OFFSET(H649,-(DAY(F649)-DAY($F$23)),0):H649)*E649,MIN(OFFSET(H649,-(DAY(F649)-1),0):H649)*IF(AND(OR('депозитный калькулятор'!$G$7="30/365",'депозитный калькулятор'!$G$7="30/360"),DAY(F649)&lt;30),30,DAY(F649))),IF(AND('депозитный калькулятор'!$G$10="ежемесячное, на средний остаток в течение месяца, при условии что остаток больше чем ограничение",F649='депозитный калькулятор'!$D$8,EOMONTH(F649,0)&lt;&gt;F649),IF('депозитный калькулятор'!$F$1=1,$H$24,SUM(OFFSET(Q649,-E649+1,0):Q649)),IF(AND('депозитный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калькулятор'!$G$7="30/360"),DAY(EOMONTH(F649,0))=31),EOMONTH(F649,0)-1=F649,EOMONTH(F649,0)=F649)),IF(IF(AND(OR('депозитный калькулятор'!$G$7="30/365",'депозитный калькулятор'!$G$7="30/360"),DAY(EOMONTH($F$24,0))=31),F649=EOMONTH($F$24,0)-1,F649=EOMONTH($F$24,0)),SUM(OFFSET(Q649,-E649+1,0):Q649),SUM(OFFSET(Q649,-E649+1,0):Q649)),IF('депозитный калькулятор'!$G$10="ежеквартальное",IF(F649&gt;'депозитный калькулятор'!$D$8," ",IF(AND(EOMONTH(F649,0)=F649,OR(MONTH(F649)=3,MONTH(F649)=6,MONTH(F649)=9,MONTH(F649)=12)),IF(EDATE(F649,-3)&lt;'депозитный калькулятор'!$D$7,SUM($H$23:H649),IF(MOD(YEAR(F649),4)=0,IF(AND(EOMONTH(F649,0)=F649,OR(MONTH(F649)=3,MONTH(F649)=6)),SUM(OFFSET(H649,-90,0):H649),IF(AND(EOMONTH(F649,0)=F649,OR(MONTH(F649)=9,MONTH(F649)=12)),SUM(OFFSET(H649,-91,0):H649))),IF(AND(EOMONTH(F649,0)=F649,MONTH(F649)=3),SUM(OFFSET(H649,-89,0):H649),IF(AND(EOMONTH(F649,0)=F649,MONTH(F649)=6),SUM(OFFSET(H649,-90,0):H649),IF(AND(EOMONTH(F649,0)=F649,OR(MONTH(F649)=9,MONTH(F649)=12)),SUM(OFFSET(H649,-91,0):H649)))))),IF(F649='депозитный калькулятор'!$D$8,SUM($H$23:H649)-SUM($I$23:I648),0))),IF('депозитный калькулятор'!$G$10="ежегодное",IF(F649&gt;'депозитный калькулятор'!$D$8," ",IF(F649='депозитный калькулятор'!$D$8,SUM($H$23:H649)-SUM($I$23:I648),IF(AND(EOMONTH(F649,0)=F649,MONTH(F649)=12),IF(MOD(YEAR(F648),4)=0,IF(F649-'депозитный калькулятор'!$D$7&lt;366,SUM($H$23:H649),SUM(OFFSET(H649,-365,0):H649)),IF(F649-'депозитный калькулятор'!$D$7&lt;365,SUM($H$23:H649),SUM(OFFSET(H649,-364,0):H649))),0))),IF(AND('депозитный калькулятор'!$G$10="в конце срока",'депозитный калькулятор'!$D$8=F649),SUM($H$23:H649),0))))))))))))))))))</f>
        <v xml:space="preserve"> </v>
      </c>
      <c r="J649" s="59" t="str">
        <f>IF(F649&gt;'депозитный калькулятор'!$D$8," ",IF('депозитный калькулятор'!$G$16="нет",0,IF(AND('депозитный калькулятор'!$G$17="разовая (в конце срока)",F649='депозитный калькулятор'!$D$8),'депозитный калькулятор'!$G$18,IF(AND('депозитный калькулятор'!$G$17="ежемесячная",EOMONTH(F648,0)=F648),'депозитный калькулятор'!$G$18,IF(AND('депозитный калькулятор'!$G$17="ежегодная",DAY(F648)=31,MONTH(F648)=12),'депозитный калькулятор'!$G$18,IF(AND('депозитный калькулятор'!$G$17="ежемесячная в зависимости от остатка",EOMONTH(F648,0)=F648,P648&gt;0),'депозитный калькулятор'!$G$18,IF(AND('депозитный калькулятор'!$G$17="ежегодная в зависимости от остатка",DAY(F648)=31,MONTH(F648)=12,P648&gt;0),'депозитный калькулятор'!$G$18,0)))))))</f>
        <v xml:space="preserve"> </v>
      </c>
      <c r="K649" s="135" t="str">
        <f>IF($F649=" "," ",IFERROR(VLOOKUP($F649,'депозитный калькулятор'!$B$26:$F$70,2,0),0))</f>
        <v xml:space="preserve"> </v>
      </c>
      <c r="L649" s="135" t="str">
        <f>IF($F649=" "," ",IFERROR(VLOOKUP($F649,'депозитный калькулятор'!$B$26:$F$70,3,0),0))</f>
        <v xml:space="preserve"> </v>
      </c>
      <c r="M649" s="135" t="str">
        <f>IF($F649=" "," ",IFERROR(VLOOKUP($F649,'депозитный калькулятор'!$B$26:$F$70,4,0),0))</f>
        <v xml:space="preserve"> </v>
      </c>
      <c r="N649" s="135" t="str">
        <f>IF($F649=" "," ",IFERROR(VLOOKUP($F649,'депозитный калькулятор'!$B$26:$F$70,5,0),0))</f>
        <v xml:space="preserve"> </v>
      </c>
      <c r="O649" s="146" t="str">
        <f>IF(F649&gt;'депозитный калькулятор'!$D$8," ",IF(F649='депозитный калькулятор'!$D$8,IF(AND($F$24='депозитный калькулятор'!$D$8,'депозитный калькулятор'!$G$13="нет"),-G649-IF(I649=" ",0,I649)-IF(AND(OR('депозитный калькулятор'!$G$7="30/365",'депозитный калькулятор'!$G$7="30/360"),'депозитный калькулятор'!$G$10="в начале срока"),I648,0)-L649+M649-N649,-G649-IF(I649=" ",0,I649)-L649+M649-N649),IF('депозитный калькулятор'!$G$13="есть",M649-N649+IF('депозитный калькулятор'!$G$14="есть",0,-L649),-IF(I649=" ",0,I649)-IF(AND(OR('депозитный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срока"),I648,0)+M649-N649+IF('депозитный калькулятор'!$G$14="есть",0,-L649))))</f>
        <v xml:space="preserve"> </v>
      </c>
      <c r="P649" s="147" t="str">
        <f>IF(F649&gt;'депозитный калькулятор'!$D$8," ",IF(EOMONTH(F648,0)=F648,0,IF(G649&gt;='депозитный калькулятор'!$G$19,P648,P648+1)))</f>
        <v xml:space="preserve"> </v>
      </c>
      <c r="Q649" s="138" t="str">
        <f>IF(F649=" "," ",IF(AND(OR('депозитный калькулятор'!$G$7="30/365",'депозитный калькулятор'!$G$7="30/360"),AND(MONTH(F649)=2,EOMONTH(F649,0)=F649)),IF(DAY(F649)=28,3,2),1)*IF(G649&gt;='депозитный калькулятор'!$G$11,IF(AND('депозитный калькулятор'!$G$7="факт/факт",MOD(YEAR(F649),4)=0),G649*'депозитный калькулятор'!$D$11/366,G649*'депозитный калькулятор'!$G$8),0))</f>
        <v xml:space="preserve"> </v>
      </c>
      <c r="R649" s="158"/>
      <c r="S649" s="62" t="str">
        <f t="shared" ca="1" si="47"/>
        <v xml:space="preserve"> </v>
      </c>
      <c r="T649" s="149" t="str">
        <f ca="1">IF(S649=" "," ",IF('депозитный калькулятор'!$G$7="30/360",DAYS360(U648,IF(DAY(U649)=31,U649-1,U649))+IF(AND(MONTH(U649)=2,U649=EOMONTH(U649,0)),30-DAY(EOMONTH(U649,0)))+T648,VLOOKUP(S649,$C$22:$F$1023,2,0)))</f>
        <v xml:space="preserve"> </v>
      </c>
      <c r="U649" s="64" t="str">
        <f t="shared" ca="1" si="45"/>
        <v xml:space="preserve"> </v>
      </c>
      <c r="V649" s="150" t="str">
        <f t="shared" ca="1" si="48"/>
        <v xml:space="preserve"> </v>
      </c>
      <c r="W649" s="62" t="str">
        <f t="shared" ca="1" si="49"/>
        <v xml:space="preserve"> </v>
      </c>
      <c r="X649" s="141" t="str">
        <f ca="1">IF(S649=" "," ",IFERROR(VLOOKUP(U649,$F$23:$N$1023,7)+VLOOKUP(U649,$F$23:$N$1023,9)+IF(AND('депозитный калькулятор'!$G$13="нет",U649&lt;&gt;'депозитный калькулятор'!$D$8),VLOOKUP(U649,$F$23:$N$1023,4),0),0)+IF(U649='депозитный калькулятор'!$D$8,VLOOKUP(U649,$F$23:$N$1023,2)+VLOOKUP(U649,$F$23:$N$1023,4),0))</f>
        <v xml:space="preserve"> </v>
      </c>
      <c r="Y649" s="142" t="str">
        <f ca="1">IF(S649=" "," ",W649/(1+'депозитный калькулятор'!$K$8)^(T649/IF('депозитный калькулятор'!$G$7="30/360",360,365)))</f>
        <v xml:space="preserve"> </v>
      </c>
      <c r="Z649" s="142" t="str">
        <f ca="1">IF(S649=" "," ",X649/(1+'депозитный калькулятор'!$K$8)^(T649/IF('депозитный калькулятор'!$G$7="30/360",360,365)))</f>
        <v xml:space="preserve"> </v>
      </c>
      <c r="AA649" s="151"/>
      <c r="AB649" s="151"/>
      <c r="AC649" s="155"/>
      <c r="AD649" s="155"/>
    </row>
    <row r="650" spans="1:30" s="2" customFormat="1" ht="15.5" x14ac:dyDescent="0.35">
      <c r="A650" s="41" t="str">
        <f>IF(F650=" "," ",IF(OR('депозитный калькулятор'!$G$7="30/365",'депозитный калькулятор'!$G$7="30/360"),IF(AND(MONTH(F650)=2,DAY(F650)=DAY(EOMONTH(F650,0))),30-DAY(EOMONTH(F650,0)),IF(DAY(F650)=31,1," "))," "))</f>
        <v xml:space="preserve"> </v>
      </c>
      <c r="B650" s="130" t="str">
        <f t="shared" si="46"/>
        <v xml:space="preserve"> </v>
      </c>
      <c r="C650" s="130" t="str">
        <f>IF(OR(B650=0,B650=" ")," ",SUM($B$23:B650))</f>
        <v xml:space="preserve"> </v>
      </c>
      <c r="D650" s="62" t="str">
        <f>IF(D649=" "," ",IF(OR(F649='депозитный калькулятор'!$D$8,F649=" ")," ",D649+1))</f>
        <v xml:space="preserve"> </v>
      </c>
      <c r="E650" s="130" t="str">
        <f>IF(OR(F649='депозитный калькулятор'!$D$8,F649=" ")," ",IF(EOMONTH(F649,0)=F649,1,E649+1))</f>
        <v xml:space="preserve"> </v>
      </c>
      <c r="F650" s="64" t="str">
        <f>IF(F649=" "," ",IF(F649='депозитный калькулятор'!$D$8," ",F649+1))</f>
        <v xml:space="preserve"> </v>
      </c>
      <c r="G650" s="145" t="str">
        <f xml:space="preserve"> IF(F650&gt;'депозитный калькулятор'!$D$8," ",IF('депозитный калькулятор'!$G$13="есть",IF('депозитный калькулятор'!$G$14="есть",G649+IF(I649=" ",0,I649)-J650-K650+L650+M650-N650,G649+IF(I649=" ",0,I649)-J650-K650+M650-N650),IF('депозитный калькулятор'!$G$14="есть",G649-J650-K650+L650+M650-N650,G649-J650-K650+M650-N650)))</f>
        <v xml:space="preserve"> </v>
      </c>
      <c r="H650" s="133" t="str">
        <f>IF(F650&gt;'депозитный калькулятор'!$D$8," ",IF(AND(OR('депозитный калькулятор'!$G$7="30/365",'депозитный калькулятор'!$G$7="30/360"),AND(MONTH(F650)=2,EOMONTH(F650,0)=F650)),IF(DAY(F650)=28,3*G650*'депозитный калькулятор'!$G$8,2*G650*'депозитный калькулятор'!$G$8),IF(AND(OR('депозитный калькулятор'!$G$7="30/365",'депозитный калькулятор'!$G$7="30/360"),DAY(F650)=31)," ",IF(AND('депозитный калькулятор'!$G$7="факт/факт",MOD(YEAR(F650),4)=0),G650*'депозитный калькулятор'!$D$11/366,G650*'депозитный калькулятор'!$G$8))))</f>
        <v xml:space="preserve"> </v>
      </c>
      <c r="I650" s="134" t="str">
        <f ca="1">IF(F650=" "," ",IF('депозитный калькулятор'!$G$10="ежедневное",H650,IF(AND('депозитный калькулятор'!$G$10="еженедельное",WEEKDAY(F650,2)=7),SUM(OFFSET(H650,-6,0):H650),IF(AND('депозитный калькулятор'!$G$10="еженедельное",F650='депозитный калькулятор'!$D$8),SUM($H$23:H650)-SUM($I$23:I649),IF(AND('депозитный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недели",WEEKDAY(F650,2)=7),MIN(OFFSET(H650,-6,0):H650)*(COUNTIF(OFFSET(H650,-6,0):H650,"&gt;0")+SUMIF(OFFSET(A650,-WEEKDAY(F650,2),0):A650,"=2",OFFSET(A650,-WEEKDAY(F650,2),0):A650)),IF(AND('депозитный калькулятор'!$G$10="еженедельное, на минимальную сумму зафиксированную в течение недели",F650='депозитный калькулятор'!$D$8,WEEKDAY(F650,2)&lt;&gt;7),MIN(OFFSET(H650,-WEEKDAY(F650,2),0):H650)*(COUNTIF(OFFSET(H650,-WEEKDAY(F650,2)+1,0):H650,"&gt;0")+SUM(OFFSET(A650,-WEEKDAY(F650,2),0):A650)),IF(AND('депозитный калькулятор'!$G$10="ежемесячное (в конце месяца)",F650='депозитный калькулятор'!$D$8,EOMONTH(F650,0)&lt;&gt;F650),IF('депозитный калькулятор'!$F$1=1,$H$24,SUM($H$23:H650)-SUM($I$23:I649)),IF(AND('депозитный калькулятор'!$G$10="ежемесячное (в конце месяца)",EOMONTH(F650,0)=F650),SUM($H$23:H650)-SUM($I$23:I649),IF(AND('депозитный калькулятор'!$G$10="ежемесячное (по дням открытия вклада)",F650='депозитный калькулятор'!$D$8,DAY('депозитный калькулятор'!$D$7)&lt;&gt;DAY(F650)),IF('депозитный калькулятор'!$F$1=1,$H$24,SUM($H$23:H650)-SUM($I$23:I649)),IF(AND('депозитный калькулятор'!$G$10="ежемесячное (по дням открытия вклада)",DAY('депозитный калькулятор'!$D$7)=DAY(F650)),SUM($H$23:H650)-SUM($I$23:I649),IF(AND('депозитный калькулятор'!$G$10="ежемесячное, на минимальную сумму зафиксированную в течение месяца",F650='депозитный калькулятор'!$D$8,EOMONTH(F650,0)&lt;&gt;F650),IF('депозитный калькулятор'!$F$1=1,$H$24,IF(AND(OR('депозитный калькулятор'!$G$7="30/365",'депозитный калькулятор'!$G$7="30/360"),DAY(F650)=31),0,MIN(OFFSET(H650,-E650+1,0):H650)*(E650+SUMIF(OFFSET(A650,-E650+1,0):A650,"=2",OFFSET(A650,-E650+1,0):A650)))),IF(AND('депозитный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калькулятор'!$G$7="30/360"),DAY(EOMONTH(F650,0))=31),EOMONTH(F650,0)-1=F650,EOMONTH(F650,0)=F650)),IF(IF(AND(OR('депозитный калькулятор'!$G$7="30/365",'депозитный калькулятор'!$G$7="30/360"),DAY(EOMONTH($F$23,0))=31),F650=EOMONTH($F$23,0)-1,F650=EOMONTH($F$23,0)),MIN(OFFSET(H650,-(DAY(F650)-DAY($F$23)),0):H650)*E650,MIN(OFFSET(H650,-(DAY(F650)-1),0):H650)*IF(AND(OR('депозитный калькулятор'!$G$7="30/365",'депозитный калькулятор'!$G$7="30/360"),DAY(F650)&lt;30),30,DAY(F650))),IF(AND('депозитный калькулятор'!$G$10="ежемесячное, на средний остаток в течение месяца, при условии что остаток больше чем ограничение",F650='депозитный калькулятор'!$D$8,EOMONTH(F650,0)&lt;&gt;F650),IF('депозитный калькулятор'!$F$1=1,$H$24,SUM(OFFSET(Q650,-E650+1,0):Q650)),IF(AND('депозитный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калькулятор'!$G$7="30/360"),DAY(EOMONTH(F650,0))=31),EOMONTH(F650,0)-1=F650,EOMONTH(F650,0)=F650)),IF(IF(AND(OR('депозитный калькулятор'!$G$7="30/365",'депозитный калькулятор'!$G$7="30/360"),DAY(EOMONTH($F$24,0))=31),F650=EOMONTH($F$24,0)-1,F650=EOMONTH($F$24,0)),SUM(OFFSET(Q650,-E650+1,0):Q650),SUM(OFFSET(Q650,-E650+1,0):Q650)),IF('депозитный калькулятор'!$G$10="ежеквартальное",IF(F650&gt;'депозитный калькулятор'!$D$8," ",IF(AND(EOMONTH(F650,0)=F650,OR(MONTH(F650)=3,MONTH(F650)=6,MONTH(F650)=9,MONTH(F650)=12)),IF(EDATE(F650,-3)&lt;'депозитный калькулятор'!$D$7,SUM($H$23:H650),IF(MOD(YEAR(F650),4)=0,IF(AND(EOMONTH(F650,0)=F650,OR(MONTH(F650)=3,MONTH(F650)=6)),SUM(OFFSET(H650,-90,0):H650),IF(AND(EOMONTH(F650,0)=F650,OR(MONTH(F650)=9,MONTH(F650)=12)),SUM(OFFSET(H650,-91,0):H650))),IF(AND(EOMONTH(F650,0)=F650,MONTH(F650)=3),SUM(OFFSET(H650,-89,0):H650),IF(AND(EOMONTH(F650,0)=F650,MONTH(F650)=6),SUM(OFFSET(H650,-90,0):H650),IF(AND(EOMONTH(F650,0)=F650,OR(MONTH(F650)=9,MONTH(F650)=12)),SUM(OFFSET(H650,-91,0):H650)))))),IF(F650='депозитный калькулятор'!$D$8,SUM($H$23:H650)-SUM($I$23:I649),0))),IF('депозитный калькулятор'!$G$10="ежегодное",IF(F650&gt;'депозитный калькулятор'!$D$8," ",IF(F650='депозитный калькулятор'!$D$8,SUM($H$23:H650)-SUM($I$23:I649),IF(AND(EOMONTH(F650,0)=F650,MONTH(F650)=12),IF(MOD(YEAR(F649),4)=0,IF(F650-'депозитный калькулятор'!$D$7&lt;366,SUM($H$23:H650),SUM(OFFSET(H650,-365,0):H650)),IF(F650-'депозитный калькулятор'!$D$7&lt;365,SUM($H$23:H650),SUM(OFFSET(H650,-364,0):H650))),0))),IF(AND('депозитный калькулятор'!$G$10="в конце срока",'депозитный калькулятор'!$D$8=F650),SUM($H$23:H650),0))))))))))))))))))</f>
        <v xml:space="preserve"> </v>
      </c>
      <c r="J650" s="59" t="str">
        <f>IF(F650&gt;'депозитный калькулятор'!$D$8," ",IF('депозитный калькулятор'!$G$16="нет",0,IF(AND('депозитный калькулятор'!$G$17="разовая (в конце срока)",F650='депозитный калькулятор'!$D$8),'депозитный калькулятор'!$G$18,IF(AND('депозитный калькулятор'!$G$17="ежемесячная",EOMONTH(F649,0)=F649),'депозитный калькулятор'!$G$18,IF(AND('депозитный калькулятор'!$G$17="ежегодная",DAY(F649)=31,MONTH(F649)=12),'депозитный калькулятор'!$G$18,IF(AND('депозитный калькулятор'!$G$17="ежемесячная в зависимости от остатка",EOMONTH(F649,0)=F649,P649&gt;0),'депозитный калькулятор'!$G$18,IF(AND('депозитный калькулятор'!$G$17="ежегодная в зависимости от остатка",DAY(F649)=31,MONTH(F649)=12,P649&gt;0),'депозитный калькулятор'!$G$18,0)))))))</f>
        <v xml:space="preserve"> </v>
      </c>
      <c r="K650" s="135" t="str">
        <f>IF($F650=" "," ",IFERROR(VLOOKUP($F650,'депозитный калькулятор'!$B$26:$F$70,2,0),0))</f>
        <v xml:space="preserve"> </v>
      </c>
      <c r="L650" s="135" t="str">
        <f>IF($F650=" "," ",IFERROR(VLOOKUP($F650,'депозитный калькулятор'!$B$26:$F$70,3,0),0))</f>
        <v xml:space="preserve"> </v>
      </c>
      <c r="M650" s="135" t="str">
        <f>IF($F650=" "," ",IFERROR(VLOOKUP($F650,'депозитный калькулятор'!$B$26:$F$70,4,0),0))</f>
        <v xml:space="preserve"> </v>
      </c>
      <c r="N650" s="135" t="str">
        <f>IF($F650=" "," ",IFERROR(VLOOKUP($F650,'депозитный калькулятор'!$B$26:$F$70,5,0),0))</f>
        <v xml:space="preserve"> </v>
      </c>
      <c r="O650" s="146" t="str">
        <f>IF(F650&gt;'депозитный калькулятор'!$D$8," ",IF(F650='депозитный калькулятор'!$D$8,IF(AND($F$24='депозитный калькулятор'!$D$8,'депозитный калькулятор'!$G$13="нет"),-G650-IF(I650=" ",0,I650)-IF(AND(OR('депозитный калькулятор'!$G$7="30/365",'депозитный калькулятор'!$G$7="30/360"),'депозитный калькулятор'!$G$10="в начале срока"),I649,0)-L650+M650-N650,-G650-IF(I650=" ",0,I650)-L650+M650-N650),IF('депозитный калькулятор'!$G$13="есть",M650-N650+IF('депозитный калькулятор'!$G$14="есть",0,-L650),-IF(I650=" ",0,I650)-IF(AND(OR('депозитный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срока"),I649,0)+M650-N650+IF('депозитный калькулятор'!$G$14="есть",0,-L650))))</f>
        <v xml:space="preserve"> </v>
      </c>
      <c r="P650" s="147" t="str">
        <f>IF(F650&gt;'депозитный калькулятор'!$D$8," ",IF(EOMONTH(F649,0)=F649,0,IF(G650&gt;='депозитный калькулятор'!$G$19,P649,P649+1)))</f>
        <v xml:space="preserve"> </v>
      </c>
      <c r="Q650" s="138" t="str">
        <f>IF(F650=" "," ",IF(AND(OR('депозитный калькулятор'!$G$7="30/365",'депозитный калькулятор'!$G$7="30/360"),AND(MONTH(F650)=2,EOMONTH(F650,0)=F650)),IF(DAY(F650)=28,3,2),1)*IF(G650&gt;='депозитный калькулятор'!$G$11,IF(AND('депозитный калькулятор'!$G$7="факт/факт",MOD(YEAR(F650),4)=0),G650*'депозитный калькулятор'!$D$11/366,G650*'депозитный калькулятор'!$G$8),0))</f>
        <v xml:space="preserve"> </v>
      </c>
      <c r="R650" s="158"/>
      <c r="S650" s="62" t="str">
        <f t="shared" ca="1" si="47"/>
        <v xml:space="preserve"> </v>
      </c>
      <c r="T650" s="149" t="str">
        <f ca="1">IF(S650=" "," ",IF('депозитный калькулятор'!$G$7="30/360",DAYS360(U649,IF(DAY(U650)=31,U650-1,U650))+IF(AND(MONTH(U650)=2,U650=EOMONTH(U650,0)),30-DAY(EOMONTH(U650,0)))+T649,VLOOKUP(S650,$C$22:$F$1023,2,0)))</f>
        <v xml:space="preserve"> </v>
      </c>
      <c r="U650" s="64" t="str">
        <f t="shared" ca="1" si="45"/>
        <v xml:space="preserve"> </v>
      </c>
      <c r="V650" s="150" t="str">
        <f t="shared" ca="1" si="48"/>
        <v xml:space="preserve"> </v>
      </c>
      <c r="W650" s="62" t="str">
        <f t="shared" ca="1" si="49"/>
        <v xml:space="preserve"> </v>
      </c>
      <c r="X650" s="141" t="str">
        <f ca="1">IF(S650=" "," ",IFERROR(VLOOKUP(U650,$F$23:$N$1023,7)+VLOOKUP(U650,$F$23:$N$1023,9)+IF(AND('депозитный калькулятор'!$G$13="нет",U650&lt;&gt;'депозитный калькулятор'!$D$8),VLOOKUP(U650,$F$23:$N$1023,4),0),0)+IF(U650='депозитный калькулятор'!$D$8,VLOOKUP(U650,$F$23:$N$1023,2)+VLOOKUP(U650,$F$23:$N$1023,4),0))</f>
        <v xml:space="preserve"> </v>
      </c>
      <c r="Y650" s="142" t="str">
        <f ca="1">IF(S650=" "," ",W650/(1+'депозитный калькулятор'!$K$8)^(T650/IF('депозитный калькулятор'!$G$7="30/360",360,365)))</f>
        <v xml:space="preserve"> </v>
      </c>
      <c r="Z650" s="142" t="str">
        <f ca="1">IF(S650=" "," ",X650/(1+'депозитный калькулятор'!$K$8)^(T650/IF('депозитный калькулятор'!$G$7="30/360",360,365)))</f>
        <v xml:space="preserve"> </v>
      </c>
      <c r="AA650" s="151"/>
      <c r="AB650" s="151"/>
      <c r="AC650" s="155"/>
      <c r="AD650" s="155"/>
    </row>
    <row r="651" spans="1:30" s="2" customFormat="1" ht="15.5" x14ac:dyDescent="0.35">
      <c r="A651" s="41" t="str">
        <f>IF(F651=" "," ",IF(OR('депозитный калькулятор'!$G$7="30/365",'депозитный калькулятор'!$G$7="30/360"),IF(AND(MONTH(F651)=2,DAY(F651)=DAY(EOMONTH(F651,0))),30-DAY(EOMONTH(F651,0)),IF(DAY(F651)=31,1," "))," "))</f>
        <v xml:space="preserve"> </v>
      </c>
      <c r="B651" s="130" t="str">
        <f t="shared" si="46"/>
        <v xml:space="preserve"> </v>
      </c>
      <c r="C651" s="130" t="str">
        <f>IF(OR(B651=0,B651=" ")," ",SUM($B$23:B651))</f>
        <v xml:space="preserve"> </v>
      </c>
      <c r="D651" s="62" t="str">
        <f>IF(D650=" "," ",IF(OR(F650='депозитный калькулятор'!$D$8,F650=" ")," ",D650+1))</f>
        <v xml:space="preserve"> </v>
      </c>
      <c r="E651" s="130" t="str">
        <f>IF(OR(F650='депозитный калькулятор'!$D$8,F650=" ")," ",IF(EOMONTH(F650,0)=F650,1,E650+1))</f>
        <v xml:space="preserve"> </v>
      </c>
      <c r="F651" s="64" t="str">
        <f>IF(F650=" "," ",IF(F650='депозитный калькулятор'!$D$8," ",F650+1))</f>
        <v xml:space="preserve"> </v>
      </c>
      <c r="G651" s="145" t="str">
        <f xml:space="preserve"> IF(F651&gt;'депозитный калькулятор'!$D$8," ",IF('депозитный калькулятор'!$G$13="есть",IF('депозитный калькулятор'!$G$14="есть",G650+IF(I650=" ",0,I650)-J651-K651+L651+M651-N651,G650+IF(I650=" ",0,I650)-J651-K651+M651-N651),IF('депозитный калькулятор'!$G$14="есть",G650-J651-K651+L651+M651-N651,G650-J651-K651+M651-N651)))</f>
        <v xml:space="preserve"> </v>
      </c>
      <c r="H651" s="133" t="str">
        <f>IF(F651&gt;'депозитный калькулятор'!$D$8," ",IF(AND(OR('депозитный калькулятор'!$G$7="30/365",'депозитный калькулятор'!$G$7="30/360"),AND(MONTH(F651)=2,EOMONTH(F651,0)=F651)),IF(DAY(F651)=28,3*G651*'депозитный калькулятор'!$G$8,2*G651*'депозитный калькулятор'!$G$8),IF(AND(OR('депозитный калькулятор'!$G$7="30/365",'депозитный калькулятор'!$G$7="30/360"),DAY(F651)=31)," ",IF(AND('депозитный калькулятор'!$G$7="факт/факт",MOD(YEAR(F651),4)=0),G651*'депозитный калькулятор'!$D$11/366,G651*'депозитный калькулятор'!$G$8))))</f>
        <v xml:space="preserve"> </v>
      </c>
      <c r="I651" s="134" t="str">
        <f ca="1">IF(F651=" "," ",IF('депозитный калькулятор'!$G$10="ежедневное",H651,IF(AND('депозитный калькулятор'!$G$10="еженедельное",WEEKDAY(F651,2)=7),SUM(OFFSET(H651,-6,0):H651),IF(AND('депозитный калькулятор'!$G$10="еженедельное",F651='депозитный калькулятор'!$D$8),SUM($H$23:H651)-SUM($I$23:I650),IF(AND('депозитный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недели",WEEKDAY(F651,2)=7),MIN(OFFSET(H651,-6,0):H651)*(COUNTIF(OFFSET(H651,-6,0):H651,"&gt;0")+SUMIF(OFFSET(A651,-WEEKDAY(F651,2),0):A651,"=2",OFFSET(A651,-WEEKDAY(F651,2),0):A651)),IF(AND('депозитный калькулятор'!$G$10="еженедельное, на минимальную сумму зафиксированную в течение недели",F651='депозитный калькулятор'!$D$8,WEEKDAY(F651,2)&lt;&gt;7),MIN(OFFSET(H651,-WEEKDAY(F651,2),0):H651)*(COUNTIF(OFFSET(H651,-WEEKDAY(F651,2)+1,0):H651,"&gt;0")+SUM(OFFSET(A651,-WEEKDAY(F651,2),0):A651)),IF(AND('депозитный калькулятор'!$G$10="ежемесячное (в конце месяца)",F651='депозитный калькулятор'!$D$8,EOMONTH(F651,0)&lt;&gt;F651),IF('депозитный калькулятор'!$F$1=1,$H$24,SUM($H$23:H651)-SUM($I$23:I650)),IF(AND('депозитный калькулятор'!$G$10="ежемесячное (в конце месяца)",EOMONTH(F651,0)=F651),SUM($H$23:H651)-SUM($I$23:I650),IF(AND('депозитный калькулятор'!$G$10="ежемесячное (по дням открытия вклада)",F651='депозитный калькулятор'!$D$8,DAY('депозитный калькулятор'!$D$7)&lt;&gt;DAY(F651)),IF('депозитный калькулятор'!$F$1=1,$H$24,SUM($H$23:H651)-SUM($I$23:I650)),IF(AND('депозитный калькулятор'!$G$10="ежемесячное (по дням открытия вклада)",DAY('депозитный калькулятор'!$D$7)=DAY(F651)),SUM($H$23:H651)-SUM($I$23:I650),IF(AND('депозитный калькулятор'!$G$10="ежемесячное, на минимальную сумму зафиксированную в течение месяца",F651='депозитный калькулятор'!$D$8,EOMONTH(F651,0)&lt;&gt;F651),IF('депозитный калькулятор'!$F$1=1,$H$24,IF(AND(OR('депозитный калькулятор'!$G$7="30/365",'депозитный калькулятор'!$G$7="30/360"),DAY(F651)=31),0,MIN(OFFSET(H651,-E651+1,0):H651)*(E651+SUMIF(OFFSET(A651,-E651+1,0):A651,"=2",OFFSET(A651,-E651+1,0):A651)))),IF(AND('депозитный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калькулятор'!$G$7="30/360"),DAY(EOMONTH(F651,0))=31),EOMONTH(F651,0)-1=F651,EOMONTH(F651,0)=F651)),IF(IF(AND(OR('депозитный калькулятор'!$G$7="30/365",'депозитный калькулятор'!$G$7="30/360"),DAY(EOMONTH($F$23,0))=31),F651=EOMONTH($F$23,0)-1,F651=EOMONTH($F$23,0)),MIN(OFFSET(H651,-(DAY(F651)-DAY($F$23)),0):H651)*E651,MIN(OFFSET(H651,-(DAY(F651)-1),0):H651)*IF(AND(OR('депозитный калькулятор'!$G$7="30/365",'депозитный калькулятор'!$G$7="30/360"),DAY(F651)&lt;30),30,DAY(F651))),IF(AND('депозитный калькулятор'!$G$10="ежемесячное, на средний остаток в течение месяца, при условии что остаток больше чем ограничение",F651='депозитный калькулятор'!$D$8,EOMONTH(F651,0)&lt;&gt;F651),IF('депозитный калькулятор'!$F$1=1,$H$24,SUM(OFFSET(Q651,-E651+1,0):Q651)),IF(AND('депозитный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калькулятор'!$G$7="30/360"),DAY(EOMONTH(F651,0))=31),EOMONTH(F651,0)-1=F651,EOMONTH(F651,0)=F651)),IF(IF(AND(OR('депозитный калькулятор'!$G$7="30/365",'депозитный калькулятор'!$G$7="30/360"),DAY(EOMONTH($F$24,0))=31),F651=EOMONTH($F$24,0)-1,F651=EOMONTH($F$24,0)),SUM(OFFSET(Q651,-E651+1,0):Q651),SUM(OFFSET(Q651,-E651+1,0):Q651)),IF('депозитный калькулятор'!$G$10="ежеквартальное",IF(F651&gt;'депозитный калькулятор'!$D$8," ",IF(AND(EOMONTH(F651,0)=F651,OR(MONTH(F651)=3,MONTH(F651)=6,MONTH(F651)=9,MONTH(F651)=12)),IF(EDATE(F651,-3)&lt;'депозитный калькулятор'!$D$7,SUM($H$23:H651),IF(MOD(YEAR(F651),4)=0,IF(AND(EOMONTH(F651,0)=F651,OR(MONTH(F651)=3,MONTH(F651)=6)),SUM(OFFSET(H651,-90,0):H651),IF(AND(EOMONTH(F651,0)=F651,OR(MONTH(F651)=9,MONTH(F651)=12)),SUM(OFFSET(H651,-91,0):H651))),IF(AND(EOMONTH(F651,0)=F651,MONTH(F651)=3),SUM(OFFSET(H651,-89,0):H651),IF(AND(EOMONTH(F651,0)=F651,MONTH(F651)=6),SUM(OFFSET(H651,-90,0):H651),IF(AND(EOMONTH(F651,0)=F651,OR(MONTH(F651)=9,MONTH(F651)=12)),SUM(OFFSET(H651,-91,0):H651)))))),IF(F651='депозитный калькулятор'!$D$8,SUM($H$23:H651)-SUM($I$23:I650),0))),IF('депозитный калькулятор'!$G$10="ежегодное",IF(F651&gt;'депозитный калькулятор'!$D$8," ",IF(F651='депозитный калькулятор'!$D$8,SUM($H$23:H651)-SUM($I$23:I650),IF(AND(EOMONTH(F651,0)=F651,MONTH(F651)=12),IF(MOD(YEAR(F650),4)=0,IF(F651-'депозитный калькулятор'!$D$7&lt;366,SUM($H$23:H651),SUM(OFFSET(H651,-365,0):H651)),IF(F651-'депозитный калькулятор'!$D$7&lt;365,SUM($H$23:H651),SUM(OFFSET(H651,-364,0):H651))),0))),IF(AND('депозитный калькулятор'!$G$10="в конце срока",'депозитный калькулятор'!$D$8=F651),SUM($H$23:H651),0))))))))))))))))))</f>
        <v xml:space="preserve"> </v>
      </c>
      <c r="J651" s="59" t="str">
        <f>IF(F651&gt;'депозитный калькулятор'!$D$8," ",IF('депозитный калькулятор'!$G$16="нет",0,IF(AND('депозитный калькулятор'!$G$17="разовая (в конце срока)",F651='депозитный калькулятор'!$D$8),'депозитный калькулятор'!$G$18,IF(AND('депозитный калькулятор'!$G$17="ежемесячная",EOMONTH(F650,0)=F650),'депозитный калькулятор'!$G$18,IF(AND('депозитный калькулятор'!$G$17="ежегодная",DAY(F650)=31,MONTH(F650)=12),'депозитный калькулятор'!$G$18,IF(AND('депозитный калькулятор'!$G$17="ежемесячная в зависимости от остатка",EOMONTH(F650,0)=F650,P650&gt;0),'депозитный калькулятор'!$G$18,IF(AND('депозитный калькулятор'!$G$17="ежегодная в зависимости от остатка",DAY(F650)=31,MONTH(F650)=12,P650&gt;0),'депозитный калькулятор'!$G$18,0)))))))</f>
        <v xml:space="preserve"> </v>
      </c>
      <c r="K651" s="135" t="str">
        <f>IF($F651=" "," ",IFERROR(VLOOKUP($F651,'депозитный калькулятор'!$B$26:$F$70,2,0),0))</f>
        <v xml:space="preserve"> </v>
      </c>
      <c r="L651" s="135" t="str">
        <f>IF($F651=" "," ",IFERROR(VLOOKUP($F651,'депозитный калькулятор'!$B$26:$F$70,3,0),0))</f>
        <v xml:space="preserve"> </v>
      </c>
      <c r="M651" s="135" t="str">
        <f>IF($F651=" "," ",IFERROR(VLOOKUP($F651,'депозитный калькулятор'!$B$26:$F$70,4,0),0))</f>
        <v xml:space="preserve"> </v>
      </c>
      <c r="N651" s="135" t="str">
        <f>IF($F651=" "," ",IFERROR(VLOOKUP($F651,'депозитный калькулятор'!$B$26:$F$70,5,0),0))</f>
        <v xml:space="preserve"> </v>
      </c>
      <c r="O651" s="146" t="str">
        <f>IF(F651&gt;'депозитный калькулятор'!$D$8," ",IF(F651='депозитный калькулятор'!$D$8,IF(AND($F$24='депозитный калькулятор'!$D$8,'депозитный калькулятор'!$G$13="нет"),-G651-IF(I651=" ",0,I651)-IF(AND(OR('депозитный калькулятор'!$G$7="30/365",'депозитный калькулятор'!$G$7="30/360"),'депозитный калькулятор'!$G$10="в начале срока"),I650,0)-L651+M651-N651,-G651-IF(I651=" ",0,I651)-L651+M651-N651),IF('депозитный калькулятор'!$G$13="есть",M651-N651+IF('депозитный калькулятор'!$G$14="есть",0,-L651),-IF(I651=" ",0,I651)-IF(AND(OR('депозитный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срока"),I650,0)+M651-N651+IF('депозитный калькулятор'!$G$14="есть",0,-L651))))</f>
        <v xml:space="preserve"> </v>
      </c>
      <c r="P651" s="147" t="str">
        <f>IF(F651&gt;'депозитный калькулятор'!$D$8," ",IF(EOMONTH(F650,0)=F650,0,IF(G651&gt;='депозитный калькулятор'!$G$19,P650,P650+1)))</f>
        <v xml:space="preserve"> </v>
      </c>
      <c r="Q651" s="138" t="str">
        <f>IF(F651=" "," ",IF(AND(OR('депозитный калькулятор'!$G$7="30/365",'депозитный калькулятор'!$G$7="30/360"),AND(MONTH(F651)=2,EOMONTH(F651,0)=F651)),IF(DAY(F651)=28,3,2),1)*IF(G651&gt;='депозитный калькулятор'!$G$11,IF(AND('депозитный калькулятор'!$G$7="факт/факт",MOD(YEAR(F651),4)=0),G651*'депозитный калькулятор'!$D$11/366,G651*'депозитный калькулятор'!$G$8),0))</f>
        <v xml:space="preserve"> </v>
      </c>
      <c r="R651" s="158"/>
      <c r="S651" s="62" t="str">
        <f t="shared" ca="1" si="47"/>
        <v xml:space="preserve"> </v>
      </c>
      <c r="T651" s="149" t="str">
        <f ca="1">IF(S651=" "," ",IF('депозитный калькулятор'!$G$7="30/360",DAYS360(U650,IF(DAY(U651)=31,U651-1,U651))+IF(AND(MONTH(U651)=2,U651=EOMONTH(U651,0)),30-DAY(EOMONTH(U651,0)))+T650,VLOOKUP(S651,$C$22:$F$1023,2,0)))</f>
        <v xml:space="preserve"> </v>
      </c>
      <c r="U651" s="64" t="str">
        <f t="shared" ca="1" si="45"/>
        <v xml:space="preserve"> </v>
      </c>
      <c r="V651" s="150" t="str">
        <f t="shared" ca="1" si="48"/>
        <v xml:space="preserve"> </v>
      </c>
      <c r="W651" s="62" t="str">
        <f t="shared" ca="1" si="49"/>
        <v xml:space="preserve"> </v>
      </c>
      <c r="X651" s="141" t="str">
        <f ca="1">IF(S651=" "," ",IFERROR(VLOOKUP(U651,$F$23:$N$1023,7)+VLOOKUP(U651,$F$23:$N$1023,9)+IF(AND('депозитный калькулятор'!$G$13="нет",U651&lt;&gt;'депозитный калькулятор'!$D$8),VLOOKUP(U651,$F$23:$N$1023,4),0),0)+IF(U651='депозитный калькулятор'!$D$8,VLOOKUP(U651,$F$23:$N$1023,2)+VLOOKUP(U651,$F$23:$N$1023,4),0))</f>
        <v xml:space="preserve"> </v>
      </c>
      <c r="Y651" s="142" t="str">
        <f ca="1">IF(S651=" "," ",W651/(1+'депозитный калькулятор'!$K$8)^(T651/IF('депозитный калькулятор'!$G$7="30/360",360,365)))</f>
        <v xml:space="preserve"> </v>
      </c>
      <c r="Z651" s="142" t="str">
        <f ca="1">IF(S651=" "," ",X651/(1+'депозитный калькулятор'!$K$8)^(T651/IF('депозитный калькулятор'!$G$7="30/360",360,365)))</f>
        <v xml:space="preserve"> </v>
      </c>
      <c r="AA651" s="151"/>
      <c r="AB651" s="151"/>
      <c r="AC651" s="155"/>
      <c r="AD651" s="155"/>
    </row>
    <row r="652" spans="1:30" s="2" customFormat="1" ht="15.5" x14ac:dyDescent="0.35">
      <c r="A652" s="41" t="str">
        <f>IF(F652=" "," ",IF(OR('депозитный калькулятор'!$G$7="30/365",'депозитный калькулятор'!$G$7="30/360"),IF(AND(MONTH(F652)=2,DAY(F652)=DAY(EOMONTH(F652,0))),30-DAY(EOMONTH(F652,0)),IF(DAY(F652)=31,1," "))," "))</f>
        <v xml:space="preserve"> </v>
      </c>
      <c r="B652" s="130" t="str">
        <f t="shared" si="46"/>
        <v xml:space="preserve"> </v>
      </c>
      <c r="C652" s="130" t="str">
        <f>IF(OR(B652=0,B652=" ")," ",SUM($B$23:B652))</f>
        <v xml:space="preserve"> </v>
      </c>
      <c r="D652" s="62" t="str">
        <f>IF(D651=" "," ",IF(OR(F651='депозитный калькулятор'!$D$8,F651=" ")," ",D651+1))</f>
        <v xml:space="preserve"> </v>
      </c>
      <c r="E652" s="130" t="str">
        <f>IF(OR(F651='депозитный калькулятор'!$D$8,F651=" ")," ",IF(EOMONTH(F651,0)=F651,1,E651+1))</f>
        <v xml:space="preserve"> </v>
      </c>
      <c r="F652" s="64" t="str">
        <f>IF(F651=" "," ",IF(F651='депозитный калькулятор'!$D$8," ",F651+1))</f>
        <v xml:space="preserve"> </v>
      </c>
      <c r="G652" s="145" t="str">
        <f xml:space="preserve"> IF(F652&gt;'депозитный калькулятор'!$D$8," ",IF('депозитный калькулятор'!$G$13="есть",IF('депозитный калькулятор'!$G$14="есть",G651+IF(I651=" ",0,I651)-J652-K652+L652+M652-N652,G651+IF(I651=" ",0,I651)-J652-K652+M652-N652),IF('депозитный калькулятор'!$G$14="есть",G651-J652-K652+L652+M652-N652,G651-J652-K652+M652-N652)))</f>
        <v xml:space="preserve"> </v>
      </c>
      <c r="H652" s="133" t="str">
        <f>IF(F652&gt;'депозитный калькулятор'!$D$8," ",IF(AND(OR('депозитный калькулятор'!$G$7="30/365",'депозитный калькулятор'!$G$7="30/360"),AND(MONTH(F652)=2,EOMONTH(F652,0)=F652)),IF(DAY(F652)=28,3*G652*'депозитный калькулятор'!$G$8,2*G652*'депозитный калькулятор'!$G$8),IF(AND(OR('депозитный калькулятор'!$G$7="30/365",'депозитный калькулятор'!$G$7="30/360"),DAY(F652)=31)," ",IF(AND('депозитный калькулятор'!$G$7="факт/факт",MOD(YEAR(F652),4)=0),G652*'депозитный калькулятор'!$D$11/366,G652*'депозитный калькулятор'!$G$8))))</f>
        <v xml:space="preserve"> </v>
      </c>
      <c r="I652" s="134" t="str">
        <f ca="1">IF(F652=" "," ",IF('депозитный калькулятор'!$G$10="ежедневное",H652,IF(AND('депозитный калькулятор'!$G$10="еженедельное",WEEKDAY(F652,2)=7),SUM(OFFSET(H652,-6,0):H652),IF(AND('депозитный калькулятор'!$G$10="еженедельное",F652='депозитный калькулятор'!$D$8),SUM($H$23:H652)-SUM($I$23:I651),IF(AND('депозитный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недели",WEEKDAY(F652,2)=7),MIN(OFFSET(H652,-6,0):H652)*(COUNTIF(OFFSET(H652,-6,0):H652,"&gt;0")+SUMIF(OFFSET(A652,-WEEKDAY(F652,2),0):A652,"=2",OFFSET(A652,-WEEKDAY(F652,2),0):A652)),IF(AND('депозитный калькулятор'!$G$10="еженедельное, на минимальную сумму зафиксированную в течение недели",F652='депозитный калькулятор'!$D$8,WEEKDAY(F652,2)&lt;&gt;7),MIN(OFFSET(H652,-WEEKDAY(F652,2),0):H652)*(COUNTIF(OFFSET(H652,-WEEKDAY(F652,2)+1,0):H652,"&gt;0")+SUM(OFFSET(A652,-WEEKDAY(F652,2),0):A652)),IF(AND('депозитный калькулятор'!$G$10="ежемесячное (в конце месяца)",F652='депозитный калькулятор'!$D$8,EOMONTH(F652,0)&lt;&gt;F652),IF('депозитный калькулятор'!$F$1=1,$H$24,SUM($H$23:H652)-SUM($I$23:I651)),IF(AND('депозитный калькулятор'!$G$10="ежемесячное (в конце месяца)",EOMONTH(F652,0)=F652),SUM($H$23:H652)-SUM($I$23:I651),IF(AND('депозитный калькулятор'!$G$10="ежемесячное (по дням открытия вклада)",F652='депозитный калькулятор'!$D$8,DAY('депозитный калькулятор'!$D$7)&lt;&gt;DAY(F652)),IF('депозитный калькулятор'!$F$1=1,$H$24,SUM($H$23:H652)-SUM($I$23:I651)),IF(AND('депозитный калькулятор'!$G$10="ежемесячное (по дням открытия вклада)",DAY('депозитный калькулятор'!$D$7)=DAY(F652)),SUM($H$23:H652)-SUM($I$23:I651),IF(AND('депозитный калькулятор'!$G$10="ежемесячное, на минимальную сумму зафиксированную в течение месяца",F652='депозитный калькулятор'!$D$8,EOMONTH(F652,0)&lt;&gt;F652),IF('депозитный калькулятор'!$F$1=1,$H$24,IF(AND(OR('депозитный калькулятор'!$G$7="30/365",'депозитный калькулятор'!$G$7="30/360"),DAY(F652)=31),0,MIN(OFFSET(H652,-E652+1,0):H652)*(E652+SUMIF(OFFSET(A652,-E652+1,0):A652,"=2",OFFSET(A652,-E652+1,0):A652)))),IF(AND('депозитный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калькулятор'!$G$7="30/360"),DAY(EOMONTH(F652,0))=31),EOMONTH(F652,0)-1=F652,EOMONTH(F652,0)=F652)),IF(IF(AND(OR('депозитный калькулятор'!$G$7="30/365",'депозитный калькулятор'!$G$7="30/360"),DAY(EOMONTH($F$23,0))=31),F652=EOMONTH($F$23,0)-1,F652=EOMONTH($F$23,0)),MIN(OFFSET(H652,-(DAY(F652)-DAY($F$23)),0):H652)*E652,MIN(OFFSET(H652,-(DAY(F652)-1),0):H652)*IF(AND(OR('депозитный калькулятор'!$G$7="30/365",'депозитный калькулятор'!$G$7="30/360"),DAY(F652)&lt;30),30,DAY(F652))),IF(AND('депозитный калькулятор'!$G$10="ежемесячное, на средний остаток в течение месяца, при условии что остаток больше чем ограничение",F652='депозитный калькулятор'!$D$8,EOMONTH(F652,0)&lt;&gt;F652),IF('депозитный калькулятор'!$F$1=1,$H$24,SUM(OFFSET(Q652,-E652+1,0):Q652)),IF(AND('депозитный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калькулятор'!$G$7="30/360"),DAY(EOMONTH(F652,0))=31),EOMONTH(F652,0)-1=F652,EOMONTH(F652,0)=F652)),IF(IF(AND(OR('депозитный калькулятор'!$G$7="30/365",'депозитный калькулятор'!$G$7="30/360"),DAY(EOMONTH($F$24,0))=31),F652=EOMONTH($F$24,0)-1,F652=EOMONTH($F$24,0)),SUM(OFFSET(Q652,-E652+1,0):Q652),SUM(OFFSET(Q652,-E652+1,0):Q652)),IF('депозитный калькулятор'!$G$10="ежеквартальное",IF(F652&gt;'депозитный калькулятор'!$D$8," ",IF(AND(EOMONTH(F652,0)=F652,OR(MONTH(F652)=3,MONTH(F652)=6,MONTH(F652)=9,MONTH(F652)=12)),IF(EDATE(F652,-3)&lt;'депозитный калькулятор'!$D$7,SUM($H$23:H652),IF(MOD(YEAR(F652),4)=0,IF(AND(EOMONTH(F652,0)=F652,OR(MONTH(F652)=3,MONTH(F652)=6)),SUM(OFFSET(H652,-90,0):H652),IF(AND(EOMONTH(F652,0)=F652,OR(MONTH(F652)=9,MONTH(F652)=12)),SUM(OFFSET(H652,-91,0):H652))),IF(AND(EOMONTH(F652,0)=F652,MONTH(F652)=3),SUM(OFFSET(H652,-89,0):H652),IF(AND(EOMONTH(F652,0)=F652,MONTH(F652)=6),SUM(OFFSET(H652,-90,0):H652),IF(AND(EOMONTH(F652,0)=F652,OR(MONTH(F652)=9,MONTH(F652)=12)),SUM(OFFSET(H652,-91,0):H652)))))),IF(F652='депозитный калькулятор'!$D$8,SUM($H$23:H652)-SUM($I$23:I651),0))),IF('депозитный калькулятор'!$G$10="ежегодное",IF(F652&gt;'депозитный калькулятор'!$D$8," ",IF(F652='депозитный калькулятор'!$D$8,SUM($H$23:H652)-SUM($I$23:I651),IF(AND(EOMONTH(F652,0)=F652,MONTH(F652)=12),IF(MOD(YEAR(F651),4)=0,IF(F652-'депозитный калькулятор'!$D$7&lt;366,SUM($H$23:H652),SUM(OFFSET(H652,-365,0):H652)),IF(F652-'депозитный калькулятор'!$D$7&lt;365,SUM($H$23:H652),SUM(OFFSET(H652,-364,0):H652))),0))),IF(AND('депозитный калькулятор'!$G$10="в конце срока",'депозитный калькулятор'!$D$8=F652),SUM($H$23:H652),0))))))))))))))))))</f>
        <v xml:space="preserve"> </v>
      </c>
      <c r="J652" s="59" t="str">
        <f>IF(F652&gt;'депозитный калькулятор'!$D$8," ",IF('депозитный калькулятор'!$G$16="нет",0,IF(AND('депозитный калькулятор'!$G$17="разовая (в конце срока)",F652='депозитный калькулятор'!$D$8),'депозитный калькулятор'!$G$18,IF(AND('депозитный калькулятор'!$G$17="ежемесячная",EOMONTH(F651,0)=F651),'депозитный калькулятор'!$G$18,IF(AND('депозитный калькулятор'!$G$17="ежегодная",DAY(F651)=31,MONTH(F651)=12),'депозитный калькулятор'!$G$18,IF(AND('депозитный калькулятор'!$G$17="ежемесячная в зависимости от остатка",EOMONTH(F651,0)=F651,P651&gt;0),'депозитный калькулятор'!$G$18,IF(AND('депозитный калькулятор'!$G$17="ежегодная в зависимости от остатка",DAY(F651)=31,MONTH(F651)=12,P651&gt;0),'депозитный калькулятор'!$G$18,0)))))))</f>
        <v xml:space="preserve"> </v>
      </c>
      <c r="K652" s="135" t="str">
        <f>IF($F652=" "," ",IFERROR(VLOOKUP($F652,'депозитный калькулятор'!$B$26:$F$70,2,0),0))</f>
        <v xml:space="preserve"> </v>
      </c>
      <c r="L652" s="135" t="str">
        <f>IF($F652=" "," ",IFERROR(VLOOKUP($F652,'депозитный калькулятор'!$B$26:$F$70,3,0),0))</f>
        <v xml:space="preserve"> </v>
      </c>
      <c r="M652" s="135" t="str">
        <f>IF($F652=" "," ",IFERROR(VLOOKUP($F652,'депозитный калькулятор'!$B$26:$F$70,4,0),0))</f>
        <v xml:space="preserve"> </v>
      </c>
      <c r="N652" s="135" t="str">
        <f>IF($F652=" "," ",IFERROR(VLOOKUP($F652,'депозитный калькулятор'!$B$26:$F$70,5,0),0))</f>
        <v xml:space="preserve"> </v>
      </c>
      <c r="O652" s="146" t="str">
        <f>IF(F652&gt;'депозитный калькулятор'!$D$8," ",IF(F652='депозитный калькулятор'!$D$8,IF(AND($F$24='депозитный калькулятор'!$D$8,'депозитный калькулятор'!$G$13="нет"),-G652-IF(I652=" ",0,I652)-IF(AND(OR('депозитный калькулятор'!$G$7="30/365",'депозитный калькулятор'!$G$7="30/360"),'депозитный калькулятор'!$G$10="в начале срока"),I651,0)-L652+M652-N652,-G652-IF(I652=" ",0,I652)-L652+M652-N652),IF('депозитный калькулятор'!$G$13="есть",M652-N652+IF('депозитный калькулятор'!$G$14="есть",0,-L652),-IF(I652=" ",0,I652)-IF(AND(OR('депозитный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срока"),I651,0)+M652-N652+IF('депозитный калькулятор'!$G$14="есть",0,-L652))))</f>
        <v xml:space="preserve"> </v>
      </c>
      <c r="P652" s="147" t="str">
        <f>IF(F652&gt;'депозитный калькулятор'!$D$8," ",IF(EOMONTH(F651,0)=F651,0,IF(G652&gt;='депозитный калькулятор'!$G$19,P651,P651+1)))</f>
        <v xml:space="preserve"> </v>
      </c>
      <c r="Q652" s="138" t="str">
        <f>IF(F652=" "," ",IF(AND(OR('депозитный калькулятор'!$G$7="30/365",'депозитный калькулятор'!$G$7="30/360"),AND(MONTH(F652)=2,EOMONTH(F652,0)=F652)),IF(DAY(F652)=28,3,2),1)*IF(G652&gt;='депозитный калькулятор'!$G$11,IF(AND('депозитный калькулятор'!$G$7="факт/факт",MOD(YEAR(F652),4)=0),G652*'депозитный калькулятор'!$D$11/366,G652*'депозитный калькулятор'!$G$8),0))</f>
        <v xml:space="preserve"> </v>
      </c>
      <c r="R652" s="158"/>
      <c r="S652" s="62" t="str">
        <f t="shared" ca="1" si="47"/>
        <v xml:space="preserve"> </v>
      </c>
      <c r="T652" s="149" t="str">
        <f ca="1">IF(S652=" "," ",IF('депозитный калькулятор'!$G$7="30/360",DAYS360(U651,IF(DAY(U652)=31,U652-1,U652))+IF(AND(MONTH(U652)=2,U652=EOMONTH(U652,0)),30-DAY(EOMONTH(U652,0)))+T651,VLOOKUP(S652,$C$22:$F$1023,2,0)))</f>
        <v xml:space="preserve"> </v>
      </c>
      <c r="U652" s="64" t="str">
        <f t="shared" ca="1" si="45"/>
        <v xml:space="preserve"> </v>
      </c>
      <c r="V652" s="150" t="str">
        <f t="shared" ca="1" si="48"/>
        <v xml:space="preserve"> </v>
      </c>
      <c r="W652" s="62" t="str">
        <f t="shared" ca="1" si="49"/>
        <v xml:space="preserve"> </v>
      </c>
      <c r="X652" s="141" t="str">
        <f ca="1">IF(S652=" "," ",IFERROR(VLOOKUP(U652,$F$23:$N$1023,7)+VLOOKUP(U652,$F$23:$N$1023,9)+IF(AND('депозитный калькулятор'!$G$13="нет",U652&lt;&gt;'депозитный калькулятор'!$D$8),VLOOKUP(U652,$F$23:$N$1023,4),0),0)+IF(U652='депозитный калькулятор'!$D$8,VLOOKUP(U652,$F$23:$N$1023,2)+VLOOKUP(U652,$F$23:$N$1023,4),0))</f>
        <v xml:space="preserve"> </v>
      </c>
      <c r="Y652" s="142" t="str">
        <f ca="1">IF(S652=" "," ",W652/(1+'депозитный калькулятор'!$K$8)^(T652/IF('депозитный калькулятор'!$G$7="30/360",360,365)))</f>
        <v xml:space="preserve"> </v>
      </c>
      <c r="Z652" s="142" t="str">
        <f ca="1">IF(S652=" "," ",X652/(1+'депозитный калькулятор'!$K$8)^(T652/IF('депозитный калькулятор'!$G$7="30/360",360,365)))</f>
        <v xml:space="preserve"> </v>
      </c>
      <c r="AA652" s="151"/>
      <c r="AB652" s="151"/>
      <c r="AC652" s="155"/>
      <c r="AD652" s="155"/>
    </row>
    <row r="653" spans="1:30" s="2" customFormat="1" ht="15.5" x14ac:dyDescent="0.35">
      <c r="A653" s="41" t="str">
        <f>IF(F653=" "," ",IF(OR('депозитный калькулятор'!$G$7="30/365",'депозитный калькулятор'!$G$7="30/360"),IF(AND(MONTH(F653)=2,DAY(F653)=DAY(EOMONTH(F653,0))),30-DAY(EOMONTH(F653,0)),IF(DAY(F653)=31,1," "))," "))</f>
        <v xml:space="preserve"> </v>
      </c>
      <c r="B653" s="130" t="str">
        <f t="shared" si="46"/>
        <v xml:space="preserve"> </v>
      </c>
      <c r="C653" s="130" t="str">
        <f>IF(OR(B653=0,B653=" ")," ",SUM($B$23:B653))</f>
        <v xml:space="preserve"> </v>
      </c>
      <c r="D653" s="62" t="str">
        <f>IF(D652=" "," ",IF(OR(F652='депозитный калькулятор'!$D$8,F652=" ")," ",D652+1))</f>
        <v xml:space="preserve"> </v>
      </c>
      <c r="E653" s="130" t="str">
        <f>IF(OR(F652='депозитный калькулятор'!$D$8,F652=" ")," ",IF(EOMONTH(F652,0)=F652,1,E652+1))</f>
        <v xml:space="preserve"> </v>
      </c>
      <c r="F653" s="64" t="str">
        <f>IF(F652=" "," ",IF(F652='депозитный калькулятор'!$D$8," ",F652+1))</f>
        <v xml:space="preserve"> </v>
      </c>
      <c r="G653" s="145" t="str">
        <f xml:space="preserve"> IF(F653&gt;'депозитный калькулятор'!$D$8," ",IF('депозитный калькулятор'!$G$13="есть",IF('депозитный калькулятор'!$G$14="есть",G652+IF(I652=" ",0,I652)-J653-K653+L653+M653-N653,G652+IF(I652=" ",0,I652)-J653-K653+M653-N653),IF('депозитный калькулятор'!$G$14="есть",G652-J653-K653+L653+M653-N653,G652-J653-K653+M653-N653)))</f>
        <v xml:space="preserve"> </v>
      </c>
      <c r="H653" s="133" t="str">
        <f>IF(F653&gt;'депозитный калькулятор'!$D$8," ",IF(AND(OR('депозитный калькулятор'!$G$7="30/365",'депозитный калькулятор'!$G$7="30/360"),AND(MONTH(F653)=2,EOMONTH(F653,0)=F653)),IF(DAY(F653)=28,3*G653*'депозитный калькулятор'!$G$8,2*G653*'депозитный калькулятор'!$G$8),IF(AND(OR('депозитный калькулятор'!$G$7="30/365",'депозитный калькулятор'!$G$7="30/360"),DAY(F653)=31)," ",IF(AND('депозитный калькулятор'!$G$7="факт/факт",MOD(YEAR(F653),4)=0),G653*'депозитный калькулятор'!$D$11/366,G653*'депозитный калькулятор'!$G$8))))</f>
        <v xml:space="preserve"> </v>
      </c>
      <c r="I653" s="134" t="str">
        <f ca="1">IF(F653=" "," ",IF('депозитный калькулятор'!$G$10="ежедневное",H653,IF(AND('депозитный калькулятор'!$G$10="еженедельное",WEEKDAY(F653,2)=7),SUM(OFFSET(H653,-6,0):H653),IF(AND('депозитный калькулятор'!$G$10="еженедельное",F653='депозитный калькулятор'!$D$8),SUM($H$23:H653)-SUM($I$23:I652),IF(AND('депозитный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недели",WEEKDAY(F653,2)=7),MIN(OFFSET(H653,-6,0):H653)*(COUNTIF(OFFSET(H653,-6,0):H653,"&gt;0")+SUMIF(OFFSET(A653,-WEEKDAY(F653,2),0):A653,"=2",OFFSET(A653,-WEEKDAY(F653,2),0):A653)),IF(AND('депозитный калькулятор'!$G$10="еженедельное, на минимальную сумму зафиксированную в течение недели",F653='депозитный калькулятор'!$D$8,WEEKDAY(F653,2)&lt;&gt;7),MIN(OFFSET(H653,-WEEKDAY(F653,2),0):H653)*(COUNTIF(OFFSET(H653,-WEEKDAY(F653,2)+1,0):H653,"&gt;0")+SUM(OFFSET(A653,-WEEKDAY(F653,2),0):A653)),IF(AND('депозитный калькулятор'!$G$10="ежемесячное (в конце месяца)",F653='депозитный калькулятор'!$D$8,EOMONTH(F653,0)&lt;&gt;F653),IF('депозитный калькулятор'!$F$1=1,$H$24,SUM($H$23:H653)-SUM($I$23:I652)),IF(AND('депозитный калькулятор'!$G$10="ежемесячное (в конце месяца)",EOMONTH(F653,0)=F653),SUM($H$23:H653)-SUM($I$23:I652),IF(AND('депозитный калькулятор'!$G$10="ежемесячное (по дням открытия вклада)",F653='депозитный калькулятор'!$D$8,DAY('депозитный калькулятор'!$D$7)&lt;&gt;DAY(F653)),IF('депозитный калькулятор'!$F$1=1,$H$24,SUM($H$23:H653)-SUM($I$23:I652)),IF(AND('депозитный калькулятор'!$G$10="ежемесячное (по дням открытия вклада)",DAY('депозитный калькулятор'!$D$7)=DAY(F653)),SUM($H$23:H653)-SUM($I$23:I652),IF(AND('депозитный калькулятор'!$G$10="ежемесячное, на минимальную сумму зафиксированную в течение месяца",F653='депозитный калькулятор'!$D$8,EOMONTH(F653,0)&lt;&gt;F653),IF('депозитный калькулятор'!$F$1=1,$H$24,IF(AND(OR('депозитный калькулятор'!$G$7="30/365",'депозитный калькулятор'!$G$7="30/360"),DAY(F653)=31),0,MIN(OFFSET(H653,-E653+1,0):H653)*(E653+SUMIF(OFFSET(A653,-E653+1,0):A653,"=2",OFFSET(A653,-E653+1,0):A653)))),IF(AND('депозитный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калькулятор'!$G$7="30/360"),DAY(EOMONTH(F653,0))=31),EOMONTH(F653,0)-1=F653,EOMONTH(F653,0)=F653)),IF(IF(AND(OR('депозитный калькулятор'!$G$7="30/365",'депозитный калькулятор'!$G$7="30/360"),DAY(EOMONTH($F$23,0))=31),F653=EOMONTH($F$23,0)-1,F653=EOMONTH($F$23,0)),MIN(OFFSET(H653,-(DAY(F653)-DAY($F$23)),0):H653)*E653,MIN(OFFSET(H653,-(DAY(F653)-1),0):H653)*IF(AND(OR('депозитный калькулятор'!$G$7="30/365",'депозитный калькулятор'!$G$7="30/360"),DAY(F653)&lt;30),30,DAY(F653))),IF(AND('депозитный калькулятор'!$G$10="ежемесячное, на средний остаток в течение месяца, при условии что остаток больше чем ограничение",F653='депозитный калькулятор'!$D$8,EOMONTH(F653,0)&lt;&gt;F653),IF('депозитный калькулятор'!$F$1=1,$H$24,SUM(OFFSET(Q653,-E653+1,0):Q653)),IF(AND('депозитный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калькулятор'!$G$7="30/360"),DAY(EOMONTH(F653,0))=31),EOMONTH(F653,0)-1=F653,EOMONTH(F653,0)=F653)),IF(IF(AND(OR('депозитный калькулятор'!$G$7="30/365",'депозитный калькулятор'!$G$7="30/360"),DAY(EOMONTH($F$24,0))=31),F653=EOMONTH($F$24,0)-1,F653=EOMONTH($F$24,0)),SUM(OFFSET(Q653,-E653+1,0):Q653),SUM(OFFSET(Q653,-E653+1,0):Q653)),IF('депозитный калькулятор'!$G$10="ежеквартальное",IF(F653&gt;'депозитный калькулятор'!$D$8," ",IF(AND(EOMONTH(F653,0)=F653,OR(MONTH(F653)=3,MONTH(F653)=6,MONTH(F653)=9,MONTH(F653)=12)),IF(EDATE(F653,-3)&lt;'депозитный калькулятор'!$D$7,SUM($H$23:H653),IF(MOD(YEAR(F653),4)=0,IF(AND(EOMONTH(F653,0)=F653,OR(MONTH(F653)=3,MONTH(F653)=6)),SUM(OFFSET(H653,-90,0):H653),IF(AND(EOMONTH(F653,0)=F653,OR(MONTH(F653)=9,MONTH(F653)=12)),SUM(OFFSET(H653,-91,0):H653))),IF(AND(EOMONTH(F653,0)=F653,MONTH(F653)=3),SUM(OFFSET(H653,-89,0):H653),IF(AND(EOMONTH(F653,0)=F653,MONTH(F653)=6),SUM(OFFSET(H653,-90,0):H653),IF(AND(EOMONTH(F653,0)=F653,OR(MONTH(F653)=9,MONTH(F653)=12)),SUM(OFFSET(H653,-91,0):H653)))))),IF(F653='депозитный калькулятор'!$D$8,SUM($H$23:H653)-SUM($I$23:I652),0))),IF('депозитный калькулятор'!$G$10="ежегодное",IF(F653&gt;'депозитный калькулятор'!$D$8," ",IF(F653='депозитный калькулятор'!$D$8,SUM($H$23:H653)-SUM($I$23:I652),IF(AND(EOMONTH(F653,0)=F653,MONTH(F653)=12),IF(MOD(YEAR(F652),4)=0,IF(F653-'депозитный калькулятор'!$D$7&lt;366,SUM($H$23:H653),SUM(OFFSET(H653,-365,0):H653)),IF(F653-'депозитный калькулятор'!$D$7&lt;365,SUM($H$23:H653),SUM(OFFSET(H653,-364,0):H653))),0))),IF(AND('депозитный калькулятор'!$G$10="в конце срока",'депозитный калькулятор'!$D$8=F653),SUM($H$23:H653),0))))))))))))))))))</f>
        <v xml:space="preserve"> </v>
      </c>
      <c r="J653" s="59" t="str">
        <f>IF(F653&gt;'депозитный калькулятор'!$D$8," ",IF('депозитный калькулятор'!$G$16="нет",0,IF(AND('депозитный калькулятор'!$G$17="разовая (в конце срока)",F653='депозитный калькулятор'!$D$8),'депозитный калькулятор'!$G$18,IF(AND('депозитный калькулятор'!$G$17="ежемесячная",EOMONTH(F652,0)=F652),'депозитный калькулятор'!$G$18,IF(AND('депозитный калькулятор'!$G$17="ежегодная",DAY(F652)=31,MONTH(F652)=12),'депозитный калькулятор'!$G$18,IF(AND('депозитный калькулятор'!$G$17="ежемесячная в зависимости от остатка",EOMONTH(F652,0)=F652,P652&gt;0),'депозитный калькулятор'!$G$18,IF(AND('депозитный калькулятор'!$G$17="ежегодная в зависимости от остатка",DAY(F652)=31,MONTH(F652)=12,P652&gt;0),'депозитный калькулятор'!$G$18,0)))))))</f>
        <v xml:space="preserve"> </v>
      </c>
      <c r="K653" s="135" t="str">
        <f>IF($F653=" "," ",IFERROR(VLOOKUP($F653,'депозитный калькулятор'!$B$26:$F$70,2,0),0))</f>
        <v xml:space="preserve"> </v>
      </c>
      <c r="L653" s="135" t="str">
        <f>IF($F653=" "," ",IFERROR(VLOOKUP($F653,'депозитный калькулятор'!$B$26:$F$70,3,0),0))</f>
        <v xml:space="preserve"> </v>
      </c>
      <c r="M653" s="135" t="str">
        <f>IF($F653=" "," ",IFERROR(VLOOKUP($F653,'депозитный калькулятор'!$B$26:$F$70,4,0),0))</f>
        <v xml:space="preserve"> </v>
      </c>
      <c r="N653" s="135" t="str">
        <f>IF($F653=" "," ",IFERROR(VLOOKUP($F653,'депозитный калькулятор'!$B$26:$F$70,5,0),0))</f>
        <v xml:space="preserve"> </v>
      </c>
      <c r="O653" s="146" t="str">
        <f>IF(F653&gt;'депозитный калькулятор'!$D$8," ",IF(F653='депозитный калькулятор'!$D$8,IF(AND($F$24='депозитный калькулятор'!$D$8,'депозитный калькулятор'!$G$13="нет"),-G653-IF(I653=" ",0,I653)-IF(AND(OR('депозитный калькулятор'!$G$7="30/365",'депозитный калькулятор'!$G$7="30/360"),'депозитный калькулятор'!$G$10="в начале срока"),I652,0)-L653+M653-N653,-G653-IF(I653=" ",0,I653)-L653+M653-N653),IF('депозитный калькулятор'!$G$13="есть",M653-N653+IF('депозитный калькулятор'!$G$14="есть",0,-L653),-IF(I653=" ",0,I653)-IF(AND(OR('депозитный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срока"),I652,0)+M653-N653+IF('депозитный калькулятор'!$G$14="есть",0,-L653))))</f>
        <v xml:space="preserve"> </v>
      </c>
      <c r="P653" s="147" t="str">
        <f>IF(F653&gt;'депозитный калькулятор'!$D$8," ",IF(EOMONTH(F652,0)=F652,0,IF(G653&gt;='депозитный калькулятор'!$G$19,P652,P652+1)))</f>
        <v xml:space="preserve"> </v>
      </c>
      <c r="Q653" s="138" t="str">
        <f>IF(F653=" "," ",IF(AND(OR('депозитный калькулятор'!$G$7="30/365",'депозитный калькулятор'!$G$7="30/360"),AND(MONTH(F653)=2,EOMONTH(F653,0)=F653)),IF(DAY(F653)=28,3,2),1)*IF(G653&gt;='депозитный калькулятор'!$G$11,IF(AND('депозитный калькулятор'!$G$7="факт/факт",MOD(YEAR(F653),4)=0),G653*'депозитный калькулятор'!$D$11/366,G653*'депозитный калькулятор'!$G$8),0))</f>
        <v xml:space="preserve"> </v>
      </c>
      <c r="R653" s="158"/>
      <c r="S653" s="62" t="str">
        <f t="shared" ca="1" si="47"/>
        <v xml:space="preserve"> </v>
      </c>
      <c r="T653" s="149" t="str">
        <f ca="1">IF(S653=" "," ",IF('депозитный калькулятор'!$G$7="30/360",DAYS360(U652,IF(DAY(U653)=31,U653-1,U653))+IF(AND(MONTH(U653)=2,U653=EOMONTH(U653,0)),30-DAY(EOMONTH(U653,0)))+T652,VLOOKUP(S653,$C$22:$F$1023,2,0)))</f>
        <v xml:space="preserve"> </v>
      </c>
      <c r="U653" s="64" t="str">
        <f t="shared" ca="1" si="45"/>
        <v xml:space="preserve"> </v>
      </c>
      <c r="V653" s="150" t="str">
        <f t="shared" ca="1" si="48"/>
        <v xml:space="preserve"> </v>
      </c>
      <c r="W653" s="62" t="str">
        <f t="shared" ca="1" si="49"/>
        <v xml:space="preserve"> </v>
      </c>
      <c r="X653" s="141" t="str">
        <f ca="1">IF(S653=" "," ",IFERROR(VLOOKUP(U653,$F$23:$N$1023,7)+VLOOKUP(U653,$F$23:$N$1023,9)+IF(AND('депозитный калькулятор'!$G$13="нет",U653&lt;&gt;'депозитный калькулятор'!$D$8),VLOOKUP(U653,$F$23:$N$1023,4),0),0)+IF(U653='депозитный калькулятор'!$D$8,VLOOKUP(U653,$F$23:$N$1023,2)+VLOOKUP(U653,$F$23:$N$1023,4),0))</f>
        <v xml:space="preserve"> </v>
      </c>
      <c r="Y653" s="142" t="str">
        <f ca="1">IF(S653=" "," ",W653/(1+'депозитный калькулятор'!$K$8)^(T653/IF('депозитный калькулятор'!$G$7="30/360",360,365)))</f>
        <v xml:space="preserve"> </v>
      </c>
      <c r="Z653" s="142" t="str">
        <f ca="1">IF(S653=" "," ",X653/(1+'депозитный калькулятор'!$K$8)^(T653/IF('депозитный калькулятор'!$G$7="30/360",360,365)))</f>
        <v xml:space="preserve"> </v>
      </c>
      <c r="AA653" s="151"/>
      <c r="AB653" s="151"/>
      <c r="AC653" s="155"/>
      <c r="AD653" s="155"/>
    </row>
    <row r="654" spans="1:30" s="2" customFormat="1" ht="15.5" x14ac:dyDescent="0.35">
      <c r="A654" s="41" t="str">
        <f>IF(F654=" "," ",IF(OR('депозитный калькулятор'!$G$7="30/365",'депозитный калькулятор'!$G$7="30/360"),IF(AND(MONTH(F654)=2,DAY(F654)=DAY(EOMONTH(F654,0))),30-DAY(EOMONTH(F654,0)),IF(DAY(F654)=31,1," "))," "))</f>
        <v xml:space="preserve"> </v>
      </c>
      <c r="B654" s="130" t="str">
        <f t="shared" si="46"/>
        <v xml:space="preserve"> </v>
      </c>
      <c r="C654" s="130" t="str">
        <f>IF(OR(B654=0,B654=" ")," ",SUM($B$23:B654))</f>
        <v xml:space="preserve"> </v>
      </c>
      <c r="D654" s="62" t="str">
        <f>IF(D653=" "," ",IF(OR(F653='депозитный калькулятор'!$D$8,F653=" ")," ",D653+1))</f>
        <v xml:space="preserve"> </v>
      </c>
      <c r="E654" s="130" t="str">
        <f>IF(OR(F653='депозитный калькулятор'!$D$8,F653=" ")," ",IF(EOMONTH(F653,0)=F653,1,E653+1))</f>
        <v xml:space="preserve"> </v>
      </c>
      <c r="F654" s="64" t="str">
        <f>IF(F653=" "," ",IF(F653='депозитный калькулятор'!$D$8," ",F653+1))</f>
        <v xml:space="preserve"> </v>
      </c>
      <c r="G654" s="145" t="str">
        <f xml:space="preserve"> IF(F654&gt;'депозитный калькулятор'!$D$8," ",IF('депозитный калькулятор'!$G$13="есть",IF('депозитный калькулятор'!$G$14="есть",G653+IF(I653=" ",0,I653)-J654-K654+L654+M654-N654,G653+IF(I653=" ",0,I653)-J654-K654+M654-N654),IF('депозитный калькулятор'!$G$14="есть",G653-J654-K654+L654+M654-N654,G653-J654-K654+M654-N654)))</f>
        <v xml:space="preserve"> </v>
      </c>
      <c r="H654" s="133" t="str">
        <f>IF(F654&gt;'депозитный калькулятор'!$D$8," ",IF(AND(OR('депозитный калькулятор'!$G$7="30/365",'депозитный калькулятор'!$G$7="30/360"),AND(MONTH(F654)=2,EOMONTH(F654,0)=F654)),IF(DAY(F654)=28,3*G654*'депозитный калькулятор'!$G$8,2*G654*'депозитный калькулятор'!$G$8),IF(AND(OR('депозитный калькулятор'!$G$7="30/365",'депозитный калькулятор'!$G$7="30/360"),DAY(F654)=31)," ",IF(AND('депозитный калькулятор'!$G$7="факт/факт",MOD(YEAR(F654),4)=0),G654*'депозитный калькулятор'!$D$11/366,G654*'депозитный калькулятор'!$G$8))))</f>
        <v xml:space="preserve"> </v>
      </c>
      <c r="I654" s="134" t="str">
        <f ca="1">IF(F654=" "," ",IF('депозитный калькулятор'!$G$10="ежедневное",H654,IF(AND('депозитный калькулятор'!$G$10="еженедельное",WEEKDAY(F654,2)=7),SUM(OFFSET(H654,-6,0):H654),IF(AND('депозитный калькулятор'!$G$10="еженедельное",F654='депозитный калькулятор'!$D$8),SUM($H$23:H654)-SUM($I$23:I653),IF(AND('депозитный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недели",WEEKDAY(F654,2)=7),MIN(OFFSET(H654,-6,0):H654)*(COUNTIF(OFFSET(H654,-6,0):H654,"&gt;0")+SUMIF(OFFSET(A654,-WEEKDAY(F654,2),0):A654,"=2",OFFSET(A654,-WEEKDAY(F654,2),0):A654)),IF(AND('депозитный калькулятор'!$G$10="еженедельное, на минимальную сумму зафиксированную в течение недели",F654='депозитный калькулятор'!$D$8,WEEKDAY(F654,2)&lt;&gt;7),MIN(OFFSET(H654,-WEEKDAY(F654,2),0):H654)*(COUNTIF(OFFSET(H654,-WEEKDAY(F654,2)+1,0):H654,"&gt;0")+SUM(OFFSET(A654,-WEEKDAY(F654,2),0):A654)),IF(AND('депозитный калькулятор'!$G$10="ежемесячное (в конце месяца)",F654='депозитный калькулятор'!$D$8,EOMONTH(F654,0)&lt;&gt;F654),IF('депозитный калькулятор'!$F$1=1,$H$24,SUM($H$23:H654)-SUM($I$23:I653)),IF(AND('депозитный калькулятор'!$G$10="ежемесячное (в конце месяца)",EOMONTH(F654,0)=F654),SUM($H$23:H654)-SUM($I$23:I653),IF(AND('депозитный калькулятор'!$G$10="ежемесячное (по дням открытия вклада)",F654='депозитный калькулятор'!$D$8,DAY('депозитный калькулятор'!$D$7)&lt;&gt;DAY(F654)),IF('депозитный калькулятор'!$F$1=1,$H$24,SUM($H$23:H654)-SUM($I$23:I653)),IF(AND('депозитный калькулятор'!$G$10="ежемесячное (по дням открытия вклада)",DAY('депозитный калькулятор'!$D$7)=DAY(F654)),SUM($H$23:H654)-SUM($I$23:I653),IF(AND('депозитный калькулятор'!$G$10="ежемесячное, на минимальную сумму зафиксированную в течение месяца",F654='депозитный калькулятор'!$D$8,EOMONTH(F654,0)&lt;&gt;F654),IF('депозитный калькулятор'!$F$1=1,$H$24,IF(AND(OR('депозитный калькулятор'!$G$7="30/365",'депозитный калькулятор'!$G$7="30/360"),DAY(F654)=31),0,MIN(OFFSET(H654,-E654+1,0):H654)*(E654+SUMIF(OFFSET(A654,-E654+1,0):A654,"=2",OFFSET(A654,-E654+1,0):A654)))),IF(AND('депозитный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калькулятор'!$G$7="30/360"),DAY(EOMONTH(F654,0))=31),EOMONTH(F654,0)-1=F654,EOMONTH(F654,0)=F654)),IF(IF(AND(OR('депозитный калькулятор'!$G$7="30/365",'депозитный калькулятор'!$G$7="30/360"),DAY(EOMONTH($F$23,0))=31),F654=EOMONTH($F$23,0)-1,F654=EOMONTH($F$23,0)),MIN(OFFSET(H654,-(DAY(F654)-DAY($F$23)),0):H654)*E654,MIN(OFFSET(H654,-(DAY(F654)-1),0):H654)*IF(AND(OR('депозитный калькулятор'!$G$7="30/365",'депозитный калькулятор'!$G$7="30/360"),DAY(F654)&lt;30),30,DAY(F654))),IF(AND('депозитный калькулятор'!$G$10="ежемесячное, на средний остаток в течение месяца, при условии что остаток больше чем ограничение",F654='депозитный калькулятор'!$D$8,EOMONTH(F654,0)&lt;&gt;F654),IF('депозитный калькулятор'!$F$1=1,$H$24,SUM(OFFSET(Q654,-E654+1,0):Q654)),IF(AND('депозитный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калькулятор'!$G$7="30/360"),DAY(EOMONTH(F654,0))=31),EOMONTH(F654,0)-1=F654,EOMONTH(F654,0)=F654)),IF(IF(AND(OR('депозитный калькулятор'!$G$7="30/365",'депозитный калькулятор'!$G$7="30/360"),DAY(EOMONTH($F$24,0))=31),F654=EOMONTH($F$24,0)-1,F654=EOMONTH($F$24,0)),SUM(OFFSET(Q654,-E654+1,0):Q654),SUM(OFFSET(Q654,-E654+1,0):Q654)),IF('депозитный калькулятор'!$G$10="ежеквартальное",IF(F654&gt;'депозитный калькулятор'!$D$8," ",IF(AND(EOMONTH(F654,0)=F654,OR(MONTH(F654)=3,MONTH(F654)=6,MONTH(F654)=9,MONTH(F654)=12)),IF(EDATE(F654,-3)&lt;'депозитный калькулятор'!$D$7,SUM($H$23:H654),IF(MOD(YEAR(F654),4)=0,IF(AND(EOMONTH(F654,0)=F654,OR(MONTH(F654)=3,MONTH(F654)=6)),SUM(OFFSET(H654,-90,0):H654),IF(AND(EOMONTH(F654,0)=F654,OR(MONTH(F654)=9,MONTH(F654)=12)),SUM(OFFSET(H654,-91,0):H654))),IF(AND(EOMONTH(F654,0)=F654,MONTH(F654)=3),SUM(OFFSET(H654,-89,0):H654),IF(AND(EOMONTH(F654,0)=F654,MONTH(F654)=6),SUM(OFFSET(H654,-90,0):H654),IF(AND(EOMONTH(F654,0)=F654,OR(MONTH(F654)=9,MONTH(F654)=12)),SUM(OFFSET(H654,-91,0):H654)))))),IF(F654='депозитный калькулятор'!$D$8,SUM($H$23:H654)-SUM($I$23:I653),0))),IF('депозитный калькулятор'!$G$10="ежегодное",IF(F654&gt;'депозитный калькулятор'!$D$8," ",IF(F654='депозитный калькулятор'!$D$8,SUM($H$23:H654)-SUM($I$23:I653),IF(AND(EOMONTH(F654,0)=F654,MONTH(F654)=12),IF(MOD(YEAR(F653),4)=0,IF(F654-'депозитный калькулятор'!$D$7&lt;366,SUM($H$23:H654),SUM(OFFSET(H654,-365,0):H654)),IF(F654-'депозитный калькулятор'!$D$7&lt;365,SUM($H$23:H654),SUM(OFFSET(H654,-364,0):H654))),0))),IF(AND('депозитный калькулятор'!$G$10="в конце срока",'депозитный калькулятор'!$D$8=F654),SUM($H$23:H654),0))))))))))))))))))</f>
        <v xml:space="preserve"> </v>
      </c>
      <c r="J654" s="59" t="str">
        <f>IF(F654&gt;'депозитный калькулятор'!$D$8," ",IF('депозитный калькулятор'!$G$16="нет",0,IF(AND('депозитный калькулятор'!$G$17="разовая (в конце срока)",F654='депозитный калькулятор'!$D$8),'депозитный калькулятор'!$G$18,IF(AND('депозитный калькулятор'!$G$17="ежемесячная",EOMONTH(F653,0)=F653),'депозитный калькулятор'!$G$18,IF(AND('депозитный калькулятор'!$G$17="ежегодная",DAY(F653)=31,MONTH(F653)=12),'депозитный калькулятор'!$G$18,IF(AND('депозитный калькулятор'!$G$17="ежемесячная в зависимости от остатка",EOMONTH(F653,0)=F653,P653&gt;0),'депозитный калькулятор'!$G$18,IF(AND('депозитный калькулятор'!$G$17="ежегодная в зависимости от остатка",DAY(F653)=31,MONTH(F653)=12,P653&gt;0),'депозитный калькулятор'!$G$18,0)))))))</f>
        <v xml:space="preserve"> </v>
      </c>
      <c r="K654" s="135" t="str">
        <f>IF($F654=" "," ",IFERROR(VLOOKUP($F654,'депозитный калькулятор'!$B$26:$F$70,2,0),0))</f>
        <v xml:space="preserve"> </v>
      </c>
      <c r="L654" s="135" t="str">
        <f>IF($F654=" "," ",IFERROR(VLOOKUP($F654,'депозитный калькулятор'!$B$26:$F$70,3,0),0))</f>
        <v xml:space="preserve"> </v>
      </c>
      <c r="M654" s="135" t="str">
        <f>IF($F654=" "," ",IFERROR(VLOOKUP($F654,'депозитный калькулятор'!$B$26:$F$70,4,0),0))</f>
        <v xml:space="preserve"> </v>
      </c>
      <c r="N654" s="135" t="str">
        <f>IF($F654=" "," ",IFERROR(VLOOKUP($F654,'депозитный калькулятор'!$B$26:$F$70,5,0),0))</f>
        <v xml:space="preserve"> </v>
      </c>
      <c r="O654" s="146" t="str">
        <f>IF(F654&gt;'депозитный калькулятор'!$D$8," ",IF(F654='депозитный калькулятор'!$D$8,IF(AND($F$24='депозитный калькулятор'!$D$8,'депозитный калькулятор'!$G$13="нет"),-G654-IF(I654=" ",0,I654)-IF(AND(OR('депозитный калькулятор'!$G$7="30/365",'депозитный калькулятор'!$G$7="30/360"),'депозитный калькулятор'!$G$10="в начале срока"),I653,0)-L654+M654-N654,-G654-IF(I654=" ",0,I654)-L654+M654-N654),IF('депозитный калькулятор'!$G$13="есть",M654-N654+IF('депозитный калькулятор'!$G$14="есть",0,-L654),-IF(I654=" ",0,I654)-IF(AND(OR('депозитный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срока"),I653,0)+M654-N654+IF('депозитный калькулятор'!$G$14="есть",0,-L654))))</f>
        <v xml:space="preserve"> </v>
      </c>
      <c r="P654" s="147" t="str">
        <f>IF(F654&gt;'депозитный калькулятор'!$D$8," ",IF(EOMONTH(F653,0)=F653,0,IF(G654&gt;='депозитный калькулятор'!$G$19,P653,P653+1)))</f>
        <v xml:space="preserve"> </v>
      </c>
      <c r="Q654" s="138" t="str">
        <f>IF(F654=" "," ",IF(AND(OR('депозитный калькулятор'!$G$7="30/365",'депозитный калькулятор'!$G$7="30/360"),AND(MONTH(F654)=2,EOMONTH(F654,0)=F654)),IF(DAY(F654)=28,3,2),1)*IF(G654&gt;='депозитный калькулятор'!$G$11,IF(AND('депозитный калькулятор'!$G$7="факт/факт",MOD(YEAR(F654),4)=0),G654*'депозитный калькулятор'!$D$11/366,G654*'депозитный калькулятор'!$G$8),0))</f>
        <v xml:space="preserve"> </v>
      </c>
      <c r="R654" s="158"/>
      <c r="S654" s="62" t="str">
        <f t="shared" ca="1" si="47"/>
        <v xml:space="preserve"> </v>
      </c>
      <c r="T654" s="149" t="str">
        <f ca="1">IF(S654=" "," ",IF('депозитный калькулятор'!$G$7="30/360",DAYS360(U653,IF(DAY(U654)=31,U654-1,U654))+IF(AND(MONTH(U654)=2,U654=EOMONTH(U654,0)),30-DAY(EOMONTH(U654,0)))+T653,VLOOKUP(S654,$C$22:$F$1023,2,0)))</f>
        <v xml:space="preserve"> </v>
      </c>
      <c r="U654" s="64" t="str">
        <f t="shared" ca="1" si="45"/>
        <v xml:space="preserve"> </v>
      </c>
      <c r="V654" s="150" t="str">
        <f t="shared" ca="1" si="48"/>
        <v xml:space="preserve"> </v>
      </c>
      <c r="W654" s="62" t="str">
        <f t="shared" ca="1" si="49"/>
        <v xml:space="preserve"> </v>
      </c>
      <c r="X654" s="141" t="str">
        <f ca="1">IF(S654=" "," ",IFERROR(VLOOKUP(U654,$F$23:$N$1023,7)+VLOOKUP(U654,$F$23:$N$1023,9)+IF(AND('депозитный калькулятор'!$G$13="нет",U654&lt;&gt;'депозитный калькулятор'!$D$8),VLOOKUP(U654,$F$23:$N$1023,4),0),0)+IF(U654='депозитный калькулятор'!$D$8,VLOOKUP(U654,$F$23:$N$1023,2)+VLOOKUP(U654,$F$23:$N$1023,4),0))</f>
        <v xml:space="preserve"> </v>
      </c>
      <c r="Y654" s="142" t="str">
        <f ca="1">IF(S654=" "," ",W654/(1+'депозитный калькулятор'!$K$8)^(T654/IF('депозитный калькулятор'!$G$7="30/360",360,365)))</f>
        <v xml:space="preserve"> </v>
      </c>
      <c r="Z654" s="142" t="str">
        <f ca="1">IF(S654=" "," ",X654/(1+'депозитный калькулятор'!$K$8)^(T654/IF('депозитный калькулятор'!$G$7="30/360",360,365)))</f>
        <v xml:space="preserve"> </v>
      </c>
      <c r="AA654" s="151"/>
      <c r="AB654" s="151"/>
      <c r="AC654" s="155"/>
      <c r="AD654" s="155"/>
    </row>
    <row r="655" spans="1:30" s="2" customFormat="1" ht="15.5" x14ac:dyDescent="0.35">
      <c r="A655" s="41" t="str">
        <f>IF(F655=" "," ",IF(OR('депозитный калькулятор'!$G$7="30/365",'депозитный калькулятор'!$G$7="30/360"),IF(AND(MONTH(F655)=2,DAY(F655)=DAY(EOMONTH(F655,0))),30-DAY(EOMONTH(F655,0)),IF(DAY(F655)=31,1," "))," "))</f>
        <v xml:space="preserve"> </v>
      </c>
      <c r="B655" s="130" t="str">
        <f t="shared" si="46"/>
        <v xml:space="preserve"> </v>
      </c>
      <c r="C655" s="130" t="str">
        <f>IF(OR(B655=0,B655=" ")," ",SUM($B$23:B655))</f>
        <v xml:space="preserve"> </v>
      </c>
      <c r="D655" s="62" t="str">
        <f>IF(D654=" "," ",IF(OR(F654='депозитный калькулятор'!$D$8,F654=" ")," ",D654+1))</f>
        <v xml:space="preserve"> </v>
      </c>
      <c r="E655" s="130" t="str">
        <f>IF(OR(F654='депозитный калькулятор'!$D$8,F654=" ")," ",IF(EOMONTH(F654,0)=F654,1,E654+1))</f>
        <v xml:space="preserve"> </v>
      </c>
      <c r="F655" s="64" t="str">
        <f>IF(F654=" "," ",IF(F654='депозитный калькулятор'!$D$8," ",F654+1))</f>
        <v xml:space="preserve"> </v>
      </c>
      <c r="G655" s="145" t="str">
        <f xml:space="preserve"> IF(F655&gt;'депозитный калькулятор'!$D$8," ",IF('депозитный калькулятор'!$G$13="есть",IF('депозитный калькулятор'!$G$14="есть",G654+IF(I654=" ",0,I654)-J655-K655+L655+M655-N655,G654+IF(I654=" ",0,I654)-J655-K655+M655-N655),IF('депозитный калькулятор'!$G$14="есть",G654-J655-K655+L655+M655-N655,G654-J655-K655+M655-N655)))</f>
        <v xml:space="preserve"> </v>
      </c>
      <c r="H655" s="133" t="str">
        <f>IF(F655&gt;'депозитный калькулятор'!$D$8," ",IF(AND(OR('депозитный калькулятор'!$G$7="30/365",'депозитный калькулятор'!$G$7="30/360"),AND(MONTH(F655)=2,EOMONTH(F655,0)=F655)),IF(DAY(F655)=28,3*G655*'депозитный калькулятор'!$G$8,2*G655*'депозитный калькулятор'!$G$8),IF(AND(OR('депозитный калькулятор'!$G$7="30/365",'депозитный калькулятор'!$G$7="30/360"),DAY(F655)=31)," ",IF(AND('депозитный калькулятор'!$G$7="факт/факт",MOD(YEAR(F655),4)=0),G655*'депозитный калькулятор'!$D$11/366,G655*'депозитный калькулятор'!$G$8))))</f>
        <v xml:space="preserve"> </v>
      </c>
      <c r="I655" s="134" t="str">
        <f ca="1">IF(F655=" "," ",IF('депозитный калькулятор'!$G$10="ежедневное",H655,IF(AND('депозитный калькулятор'!$G$10="еженедельное",WEEKDAY(F655,2)=7),SUM(OFFSET(H655,-6,0):H655),IF(AND('депозитный калькулятор'!$G$10="еженедельное",F655='депозитный калькулятор'!$D$8),SUM($H$23:H655)-SUM($I$23:I654),IF(AND('депозитный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недели",WEEKDAY(F655,2)=7),MIN(OFFSET(H655,-6,0):H655)*(COUNTIF(OFFSET(H655,-6,0):H655,"&gt;0")+SUMIF(OFFSET(A655,-WEEKDAY(F655,2),0):A655,"=2",OFFSET(A655,-WEEKDAY(F655,2),0):A655)),IF(AND('депозитный калькулятор'!$G$10="еженедельное, на минимальную сумму зафиксированную в течение недели",F655='депозитный калькулятор'!$D$8,WEEKDAY(F655,2)&lt;&gt;7),MIN(OFFSET(H655,-WEEKDAY(F655,2),0):H655)*(COUNTIF(OFFSET(H655,-WEEKDAY(F655,2)+1,0):H655,"&gt;0")+SUM(OFFSET(A655,-WEEKDAY(F655,2),0):A655)),IF(AND('депозитный калькулятор'!$G$10="ежемесячное (в конце месяца)",F655='депозитный калькулятор'!$D$8,EOMONTH(F655,0)&lt;&gt;F655),IF('депозитный калькулятор'!$F$1=1,$H$24,SUM($H$23:H655)-SUM($I$23:I654)),IF(AND('депозитный калькулятор'!$G$10="ежемесячное (в конце месяца)",EOMONTH(F655,0)=F655),SUM($H$23:H655)-SUM($I$23:I654),IF(AND('депозитный калькулятор'!$G$10="ежемесячное (по дням открытия вклада)",F655='депозитный калькулятор'!$D$8,DAY('депозитный калькулятор'!$D$7)&lt;&gt;DAY(F655)),IF('депозитный калькулятор'!$F$1=1,$H$24,SUM($H$23:H655)-SUM($I$23:I654)),IF(AND('депозитный калькулятор'!$G$10="ежемесячное (по дням открытия вклада)",DAY('депозитный калькулятор'!$D$7)=DAY(F655)),SUM($H$23:H655)-SUM($I$23:I654),IF(AND('депозитный калькулятор'!$G$10="ежемесячное, на минимальную сумму зафиксированную в течение месяца",F655='депозитный калькулятор'!$D$8,EOMONTH(F655,0)&lt;&gt;F655),IF('депозитный калькулятор'!$F$1=1,$H$24,IF(AND(OR('депозитный калькулятор'!$G$7="30/365",'депозитный калькулятор'!$G$7="30/360"),DAY(F655)=31),0,MIN(OFFSET(H655,-E655+1,0):H655)*(E655+SUMIF(OFFSET(A655,-E655+1,0):A655,"=2",OFFSET(A655,-E655+1,0):A655)))),IF(AND('депозитный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калькулятор'!$G$7="30/360"),DAY(EOMONTH(F655,0))=31),EOMONTH(F655,0)-1=F655,EOMONTH(F655,0)=F655)),IF(IF(AND(OR('депозитный калькулятор'!$G$7="30/365",'депозитный калькулятор'!$G$7="30/360"),DAY(EOMONTH($F$23,0))=31),F655=EOMONTH($F$23,0)-1,F655=EOMONTH($F$23,0)),MIN(OFFSET(H655,-(DAY(F655)-DAY($F$23)),0):H655)*E655,MIN(OFFSET(H655,-(DAY(F655)-1),0):H655)*IF(AND(OR('депозитный калькулятор'!$G$7="30/365",'депозитный калькулятор'!$G$7="30/360"),DAY(F655)&lt;30),30,DAY(F655))),IF(AND('депозитный калькулятор'!$G$10="ежемесячное, на средний остаток в течение месяца, при условии что остаток больше чем ограничение",F655='депозитный калькулятор'!$D$8,EOMONTH(F655,0)&lt;&gt;F655),IF('депозитный калькулятор'!$F$1=1,$H$24,SUM(OFFSET(Q655,-E655+1,0):Q655)),IF(AND('депозитный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калькулятор'!$G$7="30/360"),DAY(EOMONTH(F655,0))=31),EOMONTH(F655,0)-1=F655,EOMONTH(F655,0)=F655)),IF(IF(AND(OR('депозитный калькулятор'!$G$7="30/365",'депозитный калькулятор'!$G$7="30/360"),DAY(EOMONTH($F$24,0))=31),F655=EOMONTH($F$24,0)-1,F655=EOMONTH($F$24,0)),SUM(OFFSET(Q655,-E655+1,0):Q655),SUM(OFFSET(Q655,-E655+1,0):Q655)),IF('депозитный калькулятор'!$G$10="ежеквартальное",IF(F655&gt;'депозитный калькулятор'!$D$8," ",IF(AND(EOMONTH(F655,0)=F655,OR(MONTH(F655)=3,MONTH(F655)=6,MONTH(F655)=9,MONTH(F655)=12)),IF(EDATE(F655,-3)&lt;'депозитный калькулятор'!$D$7,SUM($H$23:H655),IF(MOD(YEAR(F655),4)=0,IF(AND(EOMONTH(F655,0)=F655,OR(MONTH(F655)=3,MONTH(F655)=6)),SUM(OFFSET(H655,-90,0):H655),IF(AND(EOMONTH(F655,0)=F655,OR(MONTH(F655)=9,MONTH(F655)=12)),SUM(OFFSET(H655,-91,0):H655))),IF(AND(EOMONTH(F655,0)=F655,MONTH(F655)=3),SUM(OFFSET(H655,-89,0):H655),IF(AND(EOMONTH(F655,0)=F655,MONTH(F655)=6),SUM(OFFSET(H655,-90,0):H655),IF(AND(EOMONTH(F655,0)=F655,OR(MONTH(F655)=9,MONTH(F655)=12)),SUM(OFFSET(H655,-91,0):H655)))))),IF(F655='депозитный калькулятор'!$D$8,SUM($H$23:H655)-SUM($I$23:I654),0))),IF('депозитный калькулятор'!$G$10="ежегодное",IF(F655&gt;'депозитный калькулятор'!$D$8," ",IF(F655='депозитный калькулятор'!$D$8,SUM($H$23:H655)-SUM($I$23:I654),IF(AND(EOMONTH(F655,0)=F655,MONTH(F655)=12),IF(MOD(YEAR(F654),4)=0,IF(F655-'депозитный калькулятор'!$D$7&lt;366,SUM($H$23:H655),SUM(OFFSET(H655,-365,0):H655)),IF(F655-'депозитный калькулятор'!$D$7&lt;365,SUM($H$23:H655),SUM(OFFSET(H655,-364,0):H655))),0))),IF(AND('депозитный калькулятор'!$G$10="в конце срока",'депозитный калькулятор'!$D$8=F655),SUM($H$23:H655),0))))))))))))))))))</f>
        <v xml:space="preserve"> </v>
      </c>
      <c r="J655" s="59" t="str">
        <f>IF(F655&gt;'депозитный калькулятор'!$D$8," ",IF('депозитный калькулятор'!$G$16="нет",0,IF(AND('депозитный калькулятор'!$G$17="разовая (в конце срока)",F655='депозитный калькулятор'!$D$8),'депозитный калькулятор'!$G$18,IF(AND('депозитный калькулятор'!$G$17="ежемесячная",EOMONTH(F654,0)=F654),'депозитный калькулятор'!$G$18,IF(AND('депозитный калькулятор'!$G$17="ежегодная",DAY(F654)=31,MONTH(F654)=12),'депозитный калькулятор'!$G$18,IF(AND('депозитный калькулятор'!$G$17="ежемесячная в зависимости от остатка",EOMONTH(F654,0)=F654,P654&gt;0),'депозитный калькулятор'!$G$18,IF(AND('депозитный калькулятор'!$G$17="ежегодная в зависимости от остатка",DAY(F654)=31,MONTH(F654)=12,P654&gt;0),'депозитный калькулятор'!$G$18,0)))))))</f>
        <v xml:space="preserve"> </v>
      </c>
      <c r="K655" s="135" t="str">
        <f>IF($F655=" "," ",IFERROR(VLOOKUP($F655,'депозитный калькулятор'!$B$26:$F$70,2,0),0))</f>
        <v xml:space="preserve"> </v>
      </c>
      <c r="L655" s="135" t="str">
        <f>IF($F655=" "," ",IFERROR(VLOOKUP($F655,'депозитный калькулятор'!$B$26:$F$70,3,0),0))</f>
        <v xml:space="preserve"> </v>
      </c>
      <c r="M655" s="135" t="str">
        <f>IF($F655=" "," ",IFERROR(VLOOKUP($F655,'депозитный калькулятор'!$B$26:$F$70,4,0),0))</f>
        <v xml:space="preserve"> </v>
      </c>
      <c r="N655" s="135" t="str">
        <f>IF($F655=" "," ",IFERROR(VLOOKUP($F655,'депозитный калькулятор'!$B$26:$F$70,5,0),0))</f>
        <v xml:space="preserve"> </v>
      </c>
      <c r="O655" s="146" t="str">
        <f>IF(F655&gt;'депозитный калькулятор'!$D$8," ",IF(F655='депозитный калькулятор'!$D$8,IF(AND($F$24='депозитный калькулятор'!$D$8,'депозитный калькулятор'!$G$13="нет"),-G655-IF(I655=" ",0,I655)-IF(AND(OR('депозитный калькулятор'!$G$7="30/365",'депозитный калькулятор'!$G$7="30/360"),'депозитный калькулятор'!$G$10="в начале срока"),I654,0)-L655+M655-N655,-G655-IF(I655=" ",0,I655)-L655+M655-N655),IF('депозитный калькулятор'!$G$13="есть",M655-N655+IF('депозитный калькулятор'!$G$14="есть",0,-L655),-IF(I655=" ",0,I655)-IF(AND(OR('депозитный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срока"),I654,0)+M655-N655+IF('депозитный калькулятор'!$G$14="есть",0,-L655))))</f>
        <v xml:space="preserve"> </v>
      </c>
      <c r="P655" s="147" t="str">
        <f>IF(F655&gt;'депозитный калькулятор'!$D$8," ",IF(EOMONTH(F654,0)=F654,0,IF(G655&gt;='депозитный калькулятор'!$G$19,P654,P654+1)))</f>
        <v xml:space="preserve"> </v>
      </c>
      <c r="Q655" s="138" t="str">
        <f>IF(F655=" "," ",IF(AND(OR('депозитный калькулятор'!$G$7="30/365",'депозитный калькулятор'!$G$7="30/360"),AND(MONTH(F655)=2,EOMONTH(F655,0)=F655)),IF(DAY(F655)=28,3,2),1)*IF(G655&gt;='депозитный калькулятор'!$G$11,IF(AND('депозитный калькулятор'!$G$7="факт/факт",MOD(YEAR(F655),4)=0),G655*'депозитный калькулятор'!$D$11/366,G655*'депозитный калькулятор'!$G$8),0))</f>
        <v xml:space="preserve"> </v>
      </c>
      <c r="R655" s="158"/>
      <c r="S655" s="62" t="str">
        <f t="shared" ca="1" si="47"/>
        <v xml:space="preserve"> </v>
      </c>
      <c r="T655" s="149" t="str">
        <f ca="1">IF(S655=" "," ",IF('депозитный калькулятор'!$G$7="30/360",DAYS360(U654,IF(DAY(U655)=31,U655-1,U655))+IF(AND(MONTH(U655)=2,U655=EOMONTH(U655,0)),30-DAY(EOMONTH(U655,0)))+T654,VLOOKUP(S655,$C$22:$F$1023,2,0)))</f>
        <v xml:space="preserve"> </v>
      </c>
      <c r="U655" s="64" t="str">
        <f t="shared" ca="1" si="45"/>
        <v xml:space="preserve"> </v>
      </c>
      <c r="V655" s="150" t="str">
        <f t="shared" ca="1" si="48"/>
        <v xml:space="preserve"> </v>
      </c>
      <c r="W655" s="62" t="str">
        <f t="shared" ca="1" si="49"/>
        <v xml:space="preserve"> </v>
      </c>
      <c r="X655" s="141" t="str">
        <f ca="1">IF(S655=" "," ",IFERROR(VLOOKUP(U655,$F$23:$N$1023,7)+VLOOKUP(U655,$F$23:$N$1023,9)+IF(AND('депозитный калькулятор'!$G$13="нет",U655&lt;&gt;'депозитный калькулятор'!$D$8),VLOOKUP(U655,$F$23:$N$1023,4),0),0)+IF(U655='депозитный калькулятор'!$D$8,VLOOKUP(U655,$F$23:$N$1023,2)+VLOOKUP(U655,$F$23:$N$1023,4),0))</f>
        <v xml:space="preserve"> </v>
      </c>
      <c r="Y655" s="142" t="str">
        <f ca="1">IF(S655=" "," ",W655/(1+'депозитный калькулятор'!$K$8)^(T655/IF('депозитный калькулятор'!$G$7="30/360",360,365)))</f>
        <v xml:space="preserve"> </v>
      </c>
      <c r="Z655" s="142" t="str">
        <f ca="1">IF(S655=" "," ",X655/(1+'депозитный калькулятор'!$K$8)^(T655/IF('депозитный калькулятор'!$G$7="30/360",360,365)))</f>
        <v xml:space="preserve"> </v>
      </c>
      <c r="AA655" s="151"/>
      <c r="AB655" s="151"/>
      <c r="AC655" s="155"/>
      <c r="AD655" s="155"/>
    </row>
    <row r="656" spans="1:30" s="2" customFormat="1" ht="15.5" x14ac:dyDescent="0.35">
      <c r="A656" s="41" t="str">
        <f>IF(F656=" "," ",IF(OR('депозитный калькулятор'!$G$7="30/365",'депозитный калькулятор'!$G$7="30/360"),IF(AND(MONTH(F656)=2,DAY(F656)=DAY(EOMONTH(F656,0))),30-DAY(EOMONTH(F656,0)),IF(DAY(F656)=31,1," "))," "))</f>
        <v xml:space="preserve"> </v>
      </c>
      <c r="B656" s="130" t="str">
        <f t="shared" si="46"/>
        <v xml:space="preserve"> </v>
      </c>
      <c r="C656" s="130" t="str">
        <f>IF(OR(B656=0,B656=" ")," ",SUM($B$23:B656))</f>
        <v xml:space="preserve"> </v>
      </c>
      <c r="D656" s="62" t="str">
        <f>IF(D655=" "," ",IF(OR(F655='депозитный калькулятор'!$D$8,F655=" ")," ",D655+1))</f>
        <v xml:space="preserve"> </v>
      </c>
      <c r="E656" s="130" t="str">
        <f>IF(OR(F655='депозитный калькулятор'!$D$8,F655=" ")," ",IF(EOMONTH(F655,0)=F655,1,E655+1))</f>
        <v xml:space="preserve"> </v>
      </c>
      <c r="F656" s="64" t="str">
        <f>IF(F655=" "," ",IF(F655='депозитный калькулятор'!$D$8," ",F655+1))</f>
        <v xml:space="preserve"> </v>
      </c>
      <c r="G656" s="145" t="str">
        <f xml:space="preserve"> IF(F656&gt;'депозитный калькулятор'!$D$8," ",IF('депозитный калькулятор'!$G$13="есть",IF('депозитный калькулятор'!$G$14="есть",G655+IF(I655=" ",0,I655)-J656-K656+L656+M656-N656,G655+IF(I655=" ",0,I655)-J656-K656+M656-N656),IF('депозитный калькулятор'!$G$14="есть",G655-J656-K656+L656+M656-N656,G655-J656-K656+M656-N656)))</f>
        <v xml:space="preserve"> </v>
      </c>
      <c r="H656" s="133" t="str">
        <f>IF(F656&gt;'депозитный калькулятор'!$D$8," ",IF(AND(OR('депозитный калькулятор'!$G$7="30/365",'депозитный калькулятор'!$G$7="30/360"),AND(MONTH(F656)=2,EOMONTH(F656,0)=F656)),IF(DAY(F656)=28,3*G656*'депозитный калькулятор'!$G$8,2*G656*'депозитный калькулятор'!$G$8),IF(AND(OR('депозитный калькулятор'!$G$7="30/365",'депозитный калькулятор'!$G$7="30/360"),DAY(F656)=31)," ",IF(AND('депозитный калькулятор'!$G$7="факт/факт",MOD(YEAR(F656),4)=0),G656*'депозитный калькулятор'!$D$11/366,G656*'депозитный калькулятор'!$G$8))))</f>
        <v xml:space="preserve"> </v>
      </c>
      <c r="I656" s="134" t="str">
        <f ca="1">IF(F656=" "," ",IF('депозитный калькулятор'!$G$10="ежедневное",H656,IF(AND('депозитный калькулятор'!$G$10="еженедельное",WEEKDAY(F656,2)=7),SUM(OFFSET(H656,-6,0):H656),IF(AND('депозитный калькулятор'!$G$10="еженедельное",F656='депозитный калькулятор'!$D$8),SUM($H$23:H656)-SUM($I$23:I655),IF(AND('депозитный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недели",WEEKDAY(F656,2)=7),MIN(OFFSET(H656,-6,0):H656)*(COUNTIF(OFFSET(H656,-6,0):H656,"&gt;0")+SUMIF(OFFSET(A656,-WEEKDAY(F656,2),0):A656,"=2",OFFSET(A656,-WEEKDAY(F656,2),0):A656)),IF(AND('депозитный калькулятор'!$G$10="еженедельное, на минимальную сумму зафиксированную в течение недели",F656='депозитный калькулятор'!$D$8,WEEKDAY(F656,2)&lt;&gt;7),MIN(OFFSET(H656,-WEEKDAY(F656,2),0):H656)*(COUNTIF(OFFSET(H656,-WEEKDAY(F656,2)+1,0):H656,"&gt;0")+SUM(OFFSET(A656,-WEEKDAY(F656,2),0):A656)),IF(AND('депозитный калькулятор'!$G$10="ежемесячное (в конце месяца)",F656='депозитный калькулятор'!$D$8,EOMONTH(F656,0)&lt;&gt;F656),IF('депозитный калькулятор'!$F$1=1,$H$24,SUM($H$23:H656)-SUM($I$23:I655)),IF(AND('депозитный калькулятор'!$G$10="ежемесячное (в конце месяца)",EOMONTH(F656,0)=F656),SUM($H$23:H656)-SUM($I$23:I655),IF(AND('депозитный калькулятор'!$G$10="ежемесячное (по дням открытия вклада)",F656='депозитный калькулятор'!$D$8,DAY('депозитный калькулятор'!$D$7)&lt;&gt;DAY(F656)),IF('депозитный калькулятор'!$F$1=1,$H$24,SUM($H$23:H656)-SUM($I$23:I655)),IF(AND('депозитный калькулятор'!$G$10="ежемесячное (по дням открытия вклада)",DAY('депозитный калькулятор'!$D$7)=DAY(F656)),SUM($H$23:H656)-SUM($I$23:I655),IF(AND('депозитный калькулятор'!$G$10="ежемесячное, на минимальную сумму зафиксированную в течение месяца",F656='депозитный калькулятор'!$D$8,EOMONTH(F656,0)&lt;&gt;F656),IF('депозитный калькулятор'!$F$1=1,$H$24,IF(AND(OR('депозитный калькулятор'!$G$7="30/365",'депозитный калькулятор'!$G$7="30/360"),DAY(F656)=31),0,MIN(OFFSET(H656,-E656+1,0):H656)*(E656+SUMIF(OFFSET(A656,-E656+1,0):A656,"=2",OFFSET(A656,-E656+1,0):A656)))),IF(AND('депозитный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калькулятор'!$G$7="30/360"),DAY(EOMONTH(F656,0))=31),EOMONTH(F656,0)-1=F656,EOMONTH(F656,0)=F656)),IF(IF(AND(OR('депозитный калькулятор'!$G$7="30/365",'депозитный калькулятор'!$G$7="30/360"),DAY(EOMONTH($F$23,0))=31),F656=EOMONTH($F$23,0)-1,F656=EOMONTH($F$23,0)),MIN(OFFSET(H656,-(DAY(F656)-DAY($F$23)),0):H656)*E656,MIN(OFFSET(H656,-(DAY(F656)-1),0):H656)*IF(AND(OR('депозитный калькулятор'!$G$7="30/365",'депозитный калькулятор'!$G$7="30/360"),DAY(F656)&lt;30),30,DAY(F656))),IF(AND('депозитный калькулятор'!$G$10="ежемесячное, на средний остаток в течение месяца, при условии что остаток больше чем ограничение",F656='депозитный калькулятор'!$D$8,EOMONTH(F656,0)&lt;&gt;F656),IF('депозитный калькулятор'!$F$1=1,$H$24,SUM(OFFSET(Q656,-E656+1,0):Q656)),IF(AND('депозитный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калькулятор'!$G$7="30/360"),DAY(EOMONTH(F656,0))=31),EOMONTH(F656,0)-1=F656,EOMONTH(F656,0)=F656)),IF(IF(AND(OR('депозитный калькулятор'!$G$7="30/365",'депозитный калькулятор'!$G$7="30/360"),DAY(EOMONTH($F$24,0))=31),F656=EOMONTH($F$24,0)-1,F656=EOMONTH($F$24,0)),SUM(OFFSET(Q656,-E656+1,0):Q656),SUM(OFFSET(Q656,-E656+1,0):Q656)),IF('депозитный калькулятор'!$G$10="ежеквартальное",IF(F656&gt;'депозитный калькулятор'!$D$8," ",IF(AND(EOMONTH(F656,0)=F656,OR(MONTH(F656)=3,MONTH(F656)=6,MONTH(F656)=9,MONTH(F656)=12)),IF(EDATE(F656,-3)&lt;'депозитный калькулятор'!$D$7,SUM($H$23:H656),IF(MOD(YEAR(F656),4)=0,IF(AND(EOMONTH(F656,0)=F656,OR(MONTH(F656)=3,MONTH(F656)=6)),SUM(OFFSET(H656,-90,0):H656),IF(AND(EOMONTH(F656,0)=F656,OR(MONTH(F656)=9,MONTH(F656)=12)),SUM(OFFSET(H656,-91,0):H656))),IF(AND(EOMONTH(F656,0)=F656,MONTH(F656)=3),SUM(OFFSET(H656,-89,0):H656),IF(AND(EOMONTH(F656,0)=F656,MONTH(F656)=6),SUM(OFFSET(H656,-90,0):H656),IF(AND(EOMONTH(F656,0)=F656,OR(MONTH(F656)=9,MONTH(F656)=12)),SUM(OFFSET(H656,-91,0):H656)))))),IF(F656='депозитный калькулятор'!$D$8,SUM($H$23:H656)-SUM($I$23:I655),0))),IF('депозитный калькулятор'!$G$10="ежегодное",IF(F656&gt;'депозитный калькулятор'!$D$8," ",IF(F656='депозитный калькулятор'!$D$8,SUM($H$23:H656)-SUM($I$23:I655),IF(AND(EOMONTH(F656,0)=F656,MONTH(F656)=12),IF(MOD(YEAR(F655),4)=0,IF(F656-'депозитный калькулятор'!$D$7&lt;366,SUM($H$23:H656),SUM(OFFSET(H656,-365,0):H656)),IF(F656-'депозитный калькулятор'!$D$7&lt;365,SUM($H$23:H656),SUM(OFFSET(H656,-364,0):H656))),0))),IF(AND('депозитный калькулятор'!$G$10="в конце срока",'депозитный калькулятор'!$D$8=F656),SUM($H$23:H656),0))))))))))))))))))</f>
        <v xml:space="preserve"> </v>
      </c>
      <c r="J656" s="59" t="str">
        <f>IF(F656&gt;'депозитный калькулятор'!$D$8," ",IF('депозитный калькулятор'!$G$16="нет",0,IF(AND('депозитный калькулятор'!$G$17="разовая (в конце срока)",F656='депозитный калькулятор'!$D$8),'депозитный калькулятор'!$G$18,IF(AND('депозитный калькулятор'!$G$17="ежемесячная",EOMONTH(F655,0)=F655),'депозитный калькулятор'!$G$18,IF(AND('депозитный калькулятор'!$G$17="ежегодная",DAY(F655)=31,MONTH(F655)=12),'депозитный калькулятор'!$G$18,IF(AND('депозитный калькулятор'!$G$17="ежемесячная в зависимости от остатка",EOMONTH(F655,0)=F655,P655&gt;0),'депозитный калькулятор'!$G$18,IF(AND('депозитный калькулятор'!$G$17="ежегодная в зависимости от остатка",DAY(F655)=31,MONTH(F655)=12,P655&gt;0),'депозитный калькулятор'!$G$18,0)))))))</f>
        <v xml:space="preserve"> </v>
      </c>
      <c r="K656" s="135" t="str">
        <f>IF($F656=" "," ",IFERROR(VLOOKUP($F656,'депозитный калькулятор'!$B$26:$F$70,2,0),0))</f>
        <v xml:space="preserve"> </v>
      </c>
      <c r="L656" s="135" t="str">
        <f>IF($F656=" "," ",IFERROR(VLOOKUP($F656,'депозитный калькулятор'!$B$26:$F$70,3,0),0))</f>
        <v xml:space="preserve"> </v>
      </c>
      <c r="M656" s="135" t="str">
        <f>IF($F656=" "," ",IFERROR(VLOOKUP($F656,'депозитный калькулятор'!$B$26:$F$70,4,0),0))</f>
        <v xml:space="preserve"> </v>
      </c>
      <c r="N656" s="135" t="str">
        <f>IF($F656=" "," ",IFERROR(VLOOKUP($F656,'депозитный калькулятор'!$B$26:$F$70,5,0),0))</f>
        <v xml:space="preserve"> </v>
      </c>
      <c r="O656" s="146" t="str">
        <f>IF(F656&gt;'депозитный калькулятор'!$D$8," ",IF(F656='депозитный калькулятор'!$D$8,IF(AND($F$24='депозитный калькулятор'!$D$8,'депозитный калькулятор'!$G$13="нет"),-G656-IF(I656=" ",0,I656)-IF(AND(OR('депозитный калькулятор'!$G$7="30/365",'депозитный калькулятор'!$G$7="30/360"),'депозитный калькулятор'!$G$10="в начале срока"),I655,0)-L656+M656-N656,-G656-IF(I656=" ",0,I656)-L656+M656-N656),IF('депозитный калькулятор'!$G$13="есть",M656-N656+IF('депозитный калькулятор'!$G$14="есть",0,-L656),-IF(I656=" ",0,I656)-IF(AND(OR('депозитный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срока"),I655,0)+M656-N656+IF('депозитный калькулятор'!$G$14="есть",0,-L656))))</f>
        <v xml:space="preserve"> </v>
      </c>
      <c r="P656" s="147" t="str">
        <f>IF(F656&gt;'депозитный калькулятор'!$D$8," ",IF(EOMONTH(F655,0)=F655,0,IF(G656&gt;='депозитный калькулятор'!$G$19,P655,P655+1)))</f>
        <v xml:space="preserve"> </v>
      </c>
      <c r="Q656" s="138" t="str">
        <f>IF(F656=" "," ",IF(AND(OR('депозитный калькулятор'!$G$7="30/365",'депозитный калькулятор'!$G$7="30/360"),AND(MONTH(F656)=2,EOMONTH(F656,0)=F656)),IF(DAY(F656)=28,3,2),1)*IF(G656&gt;='депозитный калькулятор'!$G$11,IF(AND('депозитный калькулятор'!$G$7="факт/факт",MOD(YEAR(F656),4)=0),G656*'депозитный калькулятор'!$D$11/366,G656*'депозитный калькулятор'!$G$8),0))</f>
        <v xml:space="preserve"> </v>
      </c>
      <c r="R656" s="158"/>
      <c r="S656" s="62" t="str">
        <f t="shared" ca="1" si="47"/>
        <v xml:space="preserve"> </v>
      </c>
      <c r="T656" s="149" t="str">
        <f ca="1">IF(S656=" "," ",IF('депозитный калькулятор'!$G$7="30/360",DAYS360(U655,IF(DAY(U656)=31,U656-1,U656))+IF(AND(MONTH(U656)=2,U656=EOMONTH(U656,0)),30-DAY(EOMONTH(U656,0)))+T655,VLOOKUP(S656,$C$22:$F$1023,2,0)))</f>
        <v xml:space="preserve"> </v>
      </c>
      <c r="U656" s="64" t="str">
        <f t="shared" ca="1" si="45"/>
        <v xml:space="preserve"> </v>
      </c>
      <c r="V656" s="150" t="str">
        <f t="shared" ca="1" si="48"/>
        <v xml:space="preserve"> </v>
      </c>
      <c r="W656" s="62" t="str">
        <f t="shared" ca="1" si="49"/>
        <v xml:space="preserve"> </v>
      </c>
      <c r="X656" s="141" t="str">
        <f ca="1">IF(S656=" "," ",IFERROR(VLOOKUP(U656,$F$23:$N$1023,7)+VLOOKUP(U656,$F$23:$N$1023,9)+IF(AND('депозитный калькулятор'!$G$13="нет",U656&lt;&gt;'депозитный калькулятор'!$D$8),VLOOKUP(U656,$F$23:$N$1023,4),0),0)+IF(U656='депозитный калькулятор'!$D$8,VLOOKUP(U656,$F$23:$N$1023,2)+VLOOKUP(U656,$F$23:$N$1023,4),0))</f>
        <v xml:space="preserve"> </v>
      </c>
      <c r="Y656" s="142" t="str">
        <f ca="1">IF(S656=" "," ",W656/(1+'депозитный калькулятор'!$K$8)^(T656/IF('депозитный калькулятор'!$G$7="30/360",360,365)))</f>
        <v xml:space="preserve"> </v>
      </c>
      <c r="Z656" s="142" t="str">
        <f ca="1">IF(S656=" "," ",X656/(1+'депозитный калькулятор'!$K$8)^(T656/IF('депозитный калькулятор'!$G$7="30/360",360,365)))</f>
        <v xml:space="preserve"> </v>
      </c>
      <c r="AA656" s="151"/>
      <c r="AB656" s="151"/>
      <c r="AC656" s="155"/>
      <c r="AD656" s="155"/>
    </row>
    <row r="657" spans="1:30" s="2" customFormat="1" ht="15.5" x14ac:dyDescent="0.35">
      <c r="A657" s="41" t="str">
        <f>IF(F657=" "," ",IF(OR('депозитный калькулятор'!$G$7="30/365",'депозитный калькулятор'!$G$7="30/360"),IF(AND(MONTH(F657)=2,DAY(F657)=DAY(EOMONTH(F657,0))),30-DAY(EOMONTH(F657,0)),IF(DAY(F657)=31,1," "))," "))</f>
        <v xml:space="preserve"> </v>
      </c>
      <c r="B657" s="130" t="str">
        <f t="shared" si="46"/>
        <v xml:space="preserve"> </v>
      </c>
      <c r="C657" s="130" t="str">
        <f>IF(OR(B657=0,B657=" ")," ",SUM($B$23:B657))</f>
        <v xml:space="preserve"> </v>
      </c>
      <c r="D657" s="62" t="str">
        <f>IF(D656=" "," ",IF(OR(F656='депозитный калькулятор'!$D$8,F656=" ")," ",D656+1))</f>
        <v xml:space="preserve"> </v>
      </c>
      <c r="E657" s="130" t="str">
        <f>IF(OR(F656='депозитный калькулятор'!$D$8,F656=" ")," ",IF(EOMONTH(F656,0)=F656,1,E656+1))</f>
        <v xml:space="preserve"> </v>
      </c>
      <c r="F657" s="64" t="str">
        <f>IF(F656=" "," ",IF(F656='депозитный калькулятор'!$D$8," ",F656+1))</f>
        <v xml:space="preserve"> </v>
      </c>
      <c r="G657" s="145" t="str">
        <f xml:space="preserve"> IF(F657&gt;'депозитный калькулятор'!$D$8," ",IF('депозитный калькулятор'!$G$13="есть",IF('депозитный калькулятор'!$G$14="есть",G656+IF(I656=" ",0,I656)-J657-K657+L657+M657-N657,G656+IF(I656=" ",0,I656)-J657-K657+M657-N657),IF('депозитный калькулятор'!$G$14="есть",G656-J657-K657+L657+M657-N657,G656-J657-K657+M657-N657)))</f>
        <v xml:space="preserve"> </v>
      </c>
      <c r="H657" s="133" t="str">
        <f>IF(F657&gt;'депозитный калькулятор'!$D$8," ",IF(AND(OR('депозитный калькулятор'!$G$7="30/365",'депозитный калькулятор'!$G$7="30/360"),AND(MONTH(F657)=2,EOMONTH(F657,0)=F657)),IF(DAY(F657)=28,3*G657*'депозитный калькулятор'!$G$8,2*G657*'депозитный калькулятор'!$G$8),IF(AND(OR('депозитный калькулятор'!$G$7="30/365",'депозитный калькулятор'!$G$7="30/360"),DAY(F657)=31)," ",IF(AND('депозитный калькулятор'!$G$7="факт/факт",MOD(YEAR(F657),4)=0),G657*'депозитный калькулятор'!$D$11/366,G657*'депозитный калькулятор'!$G$8))))</f>
        <v xml:space="preserve"> </v>
      </c>
      <c r="I657" s="134" t="str">
        <f ca="1">IF(F657=" "," ",IF('депозитный калькулятор'!$G$10="ежедневное",H657,IF(AND('депозитный калькулятор'!$G$10="еженедельное",WEEKDAY(F657,2)=7),SUM(OFFSET(H657,-6,0):H657),IF(AND('депозитный калькулятор'!$G$10="еженедельное",F657='депозитный калькулятор'!$D$8),SUM($H$23:H657)-SUM($I$23:I656),IF(AND('депозитный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недели",WEEKDAY(F657,2)=7),MIN(OFFSET(H657,-6,0):H657)*(COUNTIF(OFFSET(H657,-6,0):H657,"&gt;0")+SUMIF(OFFSET(A657,-WEEKDAY(F657,2),0):A657,"=2",OFFSET(A657,-WEEKDAY(F657,2),0):A657)),IF(AND('депозитный калькулятор'!$G$10="еженедельное, на минимальную сумму зафиксированную в течение недели",F657='депозитный калькулятор'!$D$8,WEEKDAY(F657,2)&lt;&gt;7),MIN(OFFSET(H657,-WEEKDAY(F657,2),0):H657)*(COUNTIF(OFFSET(H657,-WEEKDAY(F657,2)+1,0):H657,"&gt;0")+SUM(OFFSET(A657,-WEEKDAY(F657,2),0):A657)),IF(AND('депозитный калькулятор'!$G$10="ежемесячное (в конце месяца)",F657='депозитный калькулятор'!$D$8,EOMONTH(F657,0)&lt;&gt;F657),IF('депозитный калькулятор'!$F$1=1,$H$24,SUM($H$23:H657)-SUM($I$23:I656)),IF(AND('депозитный калькулятор'!$G$10="ежемесячное (в конце месяца)",EOMONTH(F657,0)=F657),SUM($H$23:H657)-SUM($I$23:I656),IF(AND('депозитный калькулятор'!$G$10="ежемесячное (по дням открытия вклада)",F657='депозитный калькулятор'!$D$8,DAY('депозитный калькулятор'!$D$7)&lt;&gt;DAY(F657)),IF('депозитный калькулятор'!$F$1=1,$H$24,SUM($H$23:H657)-SUM($I$23:I656)),IF(AND('депозитный калькулятор'!$G$10="ежемесячное (по дням открытия вклада)",DAY('депозитный калькулятор'!$D$7)=DAY(F657)),SUM($H$23:H657)-SUM($I$23:I656),IF(AND('депозитный калькулятор'!$G$10="ежемесячное, на минимальную сумму зафиксированную в течение месяца",F657='депозитный калькулятор'!$D$8,EOMONTH(F657,0)&lt;&gt;F657),IF('депозитный калькулятор'!$F$1=1,$H$24,IF(AND(OR('депозитный калькулятор'!$G$7="30/365",'депозитный калькулятор'!$G$7="30/360"),DAY(F657)=31),0,MIN(OFFSET(H657,-E657+1,0):H657)*(E657+SUMIF(OFFSET(A657,-E657+1,0):A657,"=2",OFFSET(A657,-E657+1,0):A657)))),IF(AND('депозитный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калькулятор'!$G$7="30/360"),DAY(EOMONTH(F657,0))=31),EOMONTH(F657,0)-1=F657,EOMONTH(F657,0)=F657)),IF(IF(AND(OR('депозитный калькулятор'!$G$7="30/365",'депозитный калькулятор'!$G$7="30/360"),DAY(EOMONTH($F$23,0))=31),F657=EOMONTH($F$23,0)-1,F657=EOMONTH($F$23,0)),MIN(OFFSET(H657,-(DAY(F657)-DAY($F$23)),0):H657)*E657,MIN(OFFSET(H657,-(DAY(F657)-1),0):H657)*IF(AND(OR('депозитный калькулятор'!$G$7="30/365",'депозитный калькулятор'!$G$7="30/360"),DAY(F657)&lt;30),30,DAY(F657))),IF(AND('депозитный калькулятор'!$G$10="ежемесячное, на средний остаток в течение месяца, при условии что остаток больше чем ограничение",F657='депозитный калькулятор'!$D$8,EOMONTH(F657,0)&lt;&gt;F657),IF('депозитный калькулятор'!$F$1=1,$H$24,SUM(OFFSET(Q657,-E657+1,0):Q657)),IF(AND('депозитный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калькулятор'!$G$7="30/360"),DAY(EOMONTH(F657,0))=31),EOMONTH(F657,0)-1=F657,EOMONTH(F657,0)=F657)),IF(IF(AND(OR('депозитный калькулятор'!$G$7="30/365",'депозитный калькулятор'!$G$7="30/360"),DAY(EOMONTH($F$24,0))=31),F657=EOMONTH($F$24,0)-1,F657=EOMONTH($F$24,0)),SUM(OFFSET(Q657,-E657+1,0):Q657),SUM(OFFSET(Q657,-E657+1,0):Q657)),IF('депозитный калькулятор'!$G$10="ежеквартальное",IF(F657&gt;'депозитный калькулятор'!$D$8," ",IF(AND(EOMONTH(F657,0)=F657,OR(MONTH(F657)=3,MONTH(F657)=6,MONTH(F657)=9,MONTH(F657)=12)),IF(EDATE(F657,-3)&lt;'депозитный калькулятор'!$D$7,SUM($H$23:H657),IF(MOD(YEAR(F657),4)=0,IF(AND(EOMONTH(F657,0)=F657,OR(MONTH(F657)=3,MONTH(F657)=6)),SUM(OFFSET(H657,-90,0):H657),IF(AND(EOMONTH(F657,0)=F657,OR(MONTH(F657)=9,MONTH(F657)=12)),SUM(OFFSET(H657,-91,0):H657))),IF(AND(EOMONTH(F657,0)=F657,MONTH(F657)=3),SUM(OFFSET(H657,-89,0):H657),IF(AND(EOMONTH(F657,0)=F657,MONTH(F657)=6),SUM(OFFSET(H657,-90,0):H657),IF(AND(EOMONTH(F657,0)=F657,OR(MONTH(F657)=9,MONTH(F657)=12)),SUM(OFFSET(H657,-91,0):H657)))))),IF(F657='депозитный калькулятор'!$D$8,SUM($H$23:H657)-SUM($I$23:I656),0))),IF('депозитный калькулятор'!$G$10="ежегодное",IF(F657&gt;'депозитный калькулятор'!$D$8," ",IF(F657='депозитный калькулятор'!$D$8,SUM($H$23:H657)-SUM($I$23:I656),IF(AND(EOMONTH(F657,0)=F657,MONTH(F657)=12),IF(MOD(YEAR(F656),4)=0,IF(F657-'депозитный калькулятор'!$D$7&lt;366,SUM($H$23:H657),SUM(OFFSET(H657,-365,0):H657)),IF(F657-'депозитный калькулятор'!$D$7&lt;365,SUM($H$23:H657),SUM(OFFSET(H657,-364,0):H657))),0))),IF(AND('депозитный калькулятор'!$G$10="в конце срока",'депозитный калькулятор'!$D$8=F657),SUM($H$23:H657),0))))))))))))))))))</f>
        <v xml:space="preserve"> </v>
      </c>
      <c r="J657" s="59" t="str">
        <f>IF(F657&gt;'депозитный калькулятор'!$D$8," ",IF('депозитный калькулятор'!$G$16="нет",0,IF(AND('депозитный калькулятор'!$G$17="разовая (в конце срока)",F657='депозитный калькулятор'!$D$8),'депозитный калькулятор'!$G$18,IF(AND('депозитный калькулятор'!$G$17="ежемесячная",EOMONTH(F656,0)=F656),'депозитный калькулятор'!$G$18,IF(AND('депозитный калькулятор'!$G$17="ежегодная",DAY(F656)=31,MONTH(F656)=12),'депозитный калькулятор'!$G$18,IF(AND('депозитный калькулятор'!$G$17="ежемесячная в зависимости от остатка",EOMONTH(F656,0)=F656,P656&gt;0),'депозитный калькулятор'!$G$18,IF(AND('депозитный калькулятор'!$G$17="ежегодная в зависимости от остатка",DAY(F656)=31,MONTH(F656)=12,P656&gt;0),'депозитный калькулятор'!$G$18,0)))))))</f>
        <v xml:space="preserve"> </v>
      </c>
      <c r="K657" s="135" t="str">
        <f>IF($F657=" "," ",IFERROR(VLOOKUP($F657,'депозитный калькулятор'!$B$26:$F$70,2,0),0))</f>
        <v xml:space="preserve"> </v>
      </c>
      <c r="L657" s="135" t="str">
        <f>IF($F657=" "," ",IFERROR(VLOOKUP($F657,'депозитный калькулятор'!$B$26:$F$70,3,0),0))</f>
        <v xml:space="preserve"> </v>
      </c>
      <c r="M657" s="135" t="str">
        <f>IF($F657=" "," ",IFERROR(VLOOKUP($F657,'депозитный калькулятор'!$B$26:$F$70,4,0),0))</f>
        <v xml:space="preserve"> </v>
      </c>
      <c r="N657" s="135" t="str">
        <f>IF($F657=" "," ",IFERROR(VLOOKUP($F657,'депозитный калькулятор'!$B$26:$F$70,5,0),0))</f>
        <v xml:space="preserve"> </v>
      </c>
      <c r="O657" s="146" t="str">
        <f>IF(F657&gt;'депозитный калькулятор'!$D$8," ",IF(F657='депозитный калькулятор'!$D$8,IF(AND($F$24='депозитный калькулятор'!$D$8,'депозитный калькулятор'!$G$13="нет"),-G657-IF(I657=" ",0,I657)-IF(AND(OR('депозитный калькулятор'!$G$7="30/365",'депозитный калькулятор'!$G$7="30/360"),'депозитный калькулятор'!$G$10="в начале срока"),I656,0)-L657+M657-N657,-G657-IF(I657=" ",0,I657)-L657+M657-N657),IF('депозитный калькулятор'!$G$13="есть",M657-N657+IF('депозитный калькулятор'!$G$14="есть",0,-L657),-IF(I657=" ",0,I657)-IF(AND(OR('депозитный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срока"),I656,0)+M657-N657+IF('депозитный калькулятор'!$G$14="есть",0,-L657))))</f>
        <v xml:space="preserve"> </v>
      </c>
      <c r="P657" s="147" t="str">
        <f>IF(F657&gt;'депозитный калькулятор'!$D$8," ",IF(EOMONTH(F656,0)=F656,0,IF(G657&gt;='депозитный калькулятор'!$G$19,P656,P656+1)))</f>
        <v xml:space="preserve"> </v>
      </c>
      <c r="Q657" s="138" t="str">
        <f>IF(F657=" "," ",IF(AND(OR('депозитный калькулятор'!$G$7="30/365",'депозитный калькулятор'!$G$7="30/360"),AND(MONTH(F657)=2,EOMONTH(F657,0)=F657)),IF(DAY(F657)=28,3,2),1)*IF(G657&gt;='депозитный калькулятор'!$G$11,IF(AND('депозитный калькулятор'!$G$7="факт/факт",MOD(YEAR(F657),4)=0),G657*'депозитный калькулятор'!$D$11/366,G657*'депозитный калькулятор'!$G$8),0))</f>
        <v xml:space="preserve"> </v>
      </c>
      <c r="R657" s="158"/>
      <c r="S657" s="62" t="str">
        <f t="shared" ca="1" si="47"/>
        <v xml:space="preserve"> </v>
      </c>
      <c r="T657" s="149" t="str">
        <f ca="1">IF(S657=" "," ",IF('депозитный калькулятор'!$G$7="30/360",DAYS360(U656,IF(DAY(U657)=31,U657-1,U657))+IF(AND(MONTH(U657)=2,U657=EOMONTH(U657,0)),30-DAY(EOMONTH(U657,0)))+T656,VLOOKUP(S657,$C$22:$F$1023,2,0)))</f>
        <v xml:space="preserve"> </v>
      </c>
      <c r="U657" s="64" t="str">
        <f t="shared" ca="1" si="45"/>
        <v xml:space="preserve"> </v>
      </c>
      <c r="V657" s="150" t="str">
        <f t="shared" ca="1" si="48"/>
        <v xml:space="preserve"> </v>
      </c>
      <c r="W657" s="62" t="str">
        <f t="shared" ca="1" si="49"/>
        <v xml:space="preserve"> </v>
      </c>
      <c r="X657" s="141" t="str">
        <f ca="1">IF(S657=" "," ",IFERROR(VLOOKUP(U657,$F$23:$N$1023,7)+VLOOKUP(U657,$F$23:$N$1023,9)+IF(AND('депозитный калькулятор'!$G$13="нет",U657&lt;&gt;'депозитный калькулятор'!$D$8),VLOOKUP(U657,$F$23:$N$1023,4),0),0)+IF(U657='депозитный калькулятор'!$D$8,VLOOKUP(U657,$F$23:$N$1023,2)+VLOOKUP(U657,$F$23:$N$1023,4),0))</f>
        <v xml:space="preserve"> </v>
      </c>
      <c r="Y657" s="142" t="str">
        <f ca="1">IF(S657=" "," ",W657/(1+'депозитный калькулятор'!$K$8)^(T657/IF('депозитный калькулятор'!$G$7="30/360",360,365)))</f>
        <v xml:space="preserve"> </v>
      </c>
      <c r="Z657" s="142" t="str">
        <f ca="1">IF(S657=" "," ",X657/(1+'депозитный калькулятор'!$K$8)^(T657/IF('депозитный калькулятор'!$G$7="30/360",360,365)))</f>
        <v xml:space="preserve"> </v>
      </c>
      <c r="AA657" s="151"/>
      <c r="AB657" s="151"/>
      <c r="AC657" s="155"/>
      <c r="AD657" s="155"/>
    </row>
    <row r="658" spans="1:30" s="2" customFormat="1" ht="15.5" x14ac:dyDescent="0.35">
      <c r="A658" s="41" t="str">
        <f>IF(F658=" "," ",IF(OR('депозитный калькулятор'!$G$7="30/365",'депозитный калькулятор'!$G$7="30/360"),IF(AND(MONTH(F658)=2,DAY(F658)=DAY(EOMONTH(F658,0))),30-DAY(EOMONTH(F658,0)),IF(DAY(F658)=31,1," "))," "))</f>
        <v xml:space="preserve"> </v>
      </c>
      <c r="B658" s="130" t="str">
        <f t="shared" si="46"/>
        <v xml:space="preserve"> </v>
      </c>
      <c r="C658" s="130" t="str">
        <f>IF(OR(B658=0,B658=" ")," ",SUM($B$23:B658))</f>
        <v xml:space="preserve"> </v>
      </c>
      <c r="D658" s="62" t="str">
        <f>IF(D657=" "," ",IF(OR(F657='депозитный калькулятор'!$D$8,F657=" ")," ",D657+1))</f>
        <v xml:space="preserve"> </v>
      </c>
      <c r="E658" s="130" t="str">
        <f>IF(OR(F657='депозитный калькулятор'!$D$8,F657=" ")," ",IF(EOMONTH(F657,0)=F657,1,E657+1))</f>
        <v xml:space="preserve"> </v>
      </c>
      <c r="F658" s="64" t="str">
        <f>IF(F657=" "," ",IF(F657='депозитный калькулятор'!$D$8," ",F657+1))</f>
        <v xml:space="preserve"> </v>
      </c>
      <c r="G658" s="145" t="str">
        <f xml:space="preserve"> IF(F658&gt;'депозитный калькулятор'!$D$8," ",IF('депозитный калькулятор'!$G$13="есть",IF('депозитный калькулятор'!$G$14="есть",G657+IF(I657=" ",0,I657)-J658-K658+L658+M658-N658,G657+IF(I657=" ",0,I657)-J658-K658+M658-N658),IF('депозитный калькулятор'!$G$14="есть",G657-J658-K658+L658+M658-N658,G657-J658-K658+M658-N658)))</f>
        <v xml:space="preserve"> </v>
      </c>
      <c r="H658" s="133" t="str">
        <f>IF(F658&gt;'депозитный калькулятор'!$D$8," ",IF(AND(OR('депозитный калькулятор'!$G$7="30/365",'депозитный калькулятор'!$G$7="30/360"),AND(MONTH(F658)=2,EOMONTH(F658,0)=F658)),IF(DAY(F658)=28,3*G658*'депозитный калькулятор'!$G$8,2*G658*'депозитный калькулятор'!$G$8),IF(AND(OR('депозитный калькулятор'!$G$7="30/365",'депозитный калькулятор'!$G$7="30/360"),DAY(F658)=31)," ",IF(AND('депозитный калькулятор'!$G$7="факт/факт",MOD(YEAR(F658),4)=0),G658*'депозитный калькулятор'!$D$11/366,G658*'депозитный калькулятор'!$G$8))))</f>
        <v xml:space="preserve"> </v>
      </c>
      <c r="I658" s="134" t="str">
        <f ca="1">IF(F658=" "," ",IF('депозитный калькулятор'!$G$10="ежедневное",H658,IF(AND('депозитный калькулятор'!$G$10="еженедельное",WEEKDAY(F658,2)=7),SUM(OFFSET(H658,-6,0):H658),IF(AND('депозитный калькулятор'!$G$10="еженедельное",F658='депозитный калькулятор'!$D$8),SUM($H$23:H658)-SUM($I$23:I657),IF(AND('депозитный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недели",WEEKDAY(F658,2)=7),MIN(OFFSET(H658,-6,0):H658)*(COUNTIF(OFFSET(H658,-6,0):H658,"&gt;0")+SUMIF(OFFSET(A658,-WEEKDAY(F658,2),0):A658,"=2",OFFSET(A658,-WEEKDAY(F658,2),0):A658)),IF(AND('депозитный калькулятор'!$G$10="еженедельное, на минимальную сумму зафиксированную в течение недели",F658='депозитный калькулятор'!$D$8,WEEKDAY(F658,2)&lt;&gt;7),MIN(OFFSET(H658,-WEEKDAY(F658,2),0):H658)*(COUNTIF(OFFSET(H658,-WEEKDAY(F658,2)+1,0):H658,"&gt;0")+SUM(OFFSET(A658,-WEEKDAY(F658,2),0):A658)),IF(AND('депозитный калькулятор'!$G$10="ежемесячное (в конце месяца)",F658='депозитный калькулятор'!$D$8,EOMONTH(F658,0)&lt;&gt;F658),IF('депозитный калькулятор'!$F$1=1,$H$24,SUM($H$23:H658)-SUM($I$23:I657)),IF(AND('депозитный калькулятор'!$G$10="ежемесячное (в конце месяца)",EOMONTH(F658,0)=F658),SUM($H$23:H658)-SUM($I$23:I657),IF(AND('депозитный калькулятор'!$G$10="ежемесячное (по дням открытия вклада)",F658='депозитный калькулятор'!$D$8,DAY('депозитный калькулятор'!$D$7)&lt;&gt;DAY(F658)),IF('депозитный калькулятор'!$F$1=1,$H$24,SUM($H$23:H658)-SUM($I$23:I657)),IF(AND('депозитный калькулятор'!$G$10="ежемесячное (по дням открытия вклада)",DAY('депозитный калькулятор'!$D$7)=DAY(F658)),SUM($H$23:H658)-SUM($I$23:I657),IF(AND('депозитный калькулятор'!$G$10="ежемесячное, на минимальную сумму зафиксированную в течение месяца",F658='депозитный калькулятор'!$D$8,EOMONTH(F658,0)&lt;&gt;F658),IF('депозитный калькулятор'!$F$1=1,$H$24,IF(AND(OR('депозитный калькулятор'!$G$7="30/365",'депозитный калькулятор'!$G$7="30/360"),DAY(F658)=31),0,MIN(OFFSET(H658,-E658+1,0):H658)*(E658+SUMIF(OFFSET(A658,-E658+1,0):A658,"=2",OFFSET(A658,-E658+1,0):A658)))),IF(AND('депозитный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калькулятор'!$G$7="30/360"),DAY(EOMONTH(F658,0))=31),EOMONTH(F658,0)-1=F658,EOMONTH(F658,0)=F658)),IF(IF(AND(OR('депозитный калькулятор'!$G$7="30/365",'депозитный калькулятор'!$G$7="30/360"),DAY(EOMONTH($F$23,0))=31),F658=EOMONTH($F$23,0)-1,F658=EOMONTH($F$23,0)),MIN(OFFSET(H658,-(DAY(F658)-DAY($F$23)),0):H658)*E658,MIN(OFFSET(H658,-(DAY(F658)-1),0):H658)*IF(AND(OR('депозитный калькулятор'!$G$7="30/365",'депозитный калькулятор'!$G$7="30/360"),DAY(F658)&lt;30),30,DAY(F658))),IF(AND('депозитный калькулятор'!$G$10="ежемесячное, на средний остаток в течение месяца, при условии что остаток больше чем ограничение",F658='депозитный калькулятор'!$D$8,EOMONTH(F658,0)&lt;&gt;F658),IF('депозитный калькулятор'!$F$1=1,$H$24,SUM(OFFSET(Q658,-E658+1,0):Q658)),IF(AND('депозитный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калькулятор'!$G$7="30/360"),DAY(EOMONTH(F658,0))=31),EOMONTH(F658,0)-1=F658,EOMONTH(F658,0)=F658)),IF(IF(AND(OR('депозитный калькулятор'!$G$7="30/365",'депозитный калькулятор'!$G$7="30/360"),DAY(EOMONTH($F$24,0))=31),F658=EOMONTH($F$24,0)-1,F658=EOMONTH($F$24,0)),SUM(OFFSET(Q658,-E658+1,0):Q658),SUM(OFFSET(Q658,-E658+1,0):Q658)),IF('депозитный калькулятор'!$G$10="ежеквартальное",IF(F658&gt;'депозитный калькулятор'!$D$8," ",IF(AND(EOMONTH(F658,0)=F658,OR(MONTH(F658)=3,MONTH(F658)=6,MONTH(F658)=9,MONTH(F658)=12)),IF(EDATE(F658,-3)&lt;'депозитный калькулятор'!$D$7,SUM($H$23:H658),IF(MOD(YEAR(F658),4)=0,IF(AND(EOMONTH(F658,0)=F658,OR(MONTH(F658)=3,MONTH(F658)=6)),SUM(OFFSET(H658,-90,0):H658),IF(AND(EOMONTH(F658,0)=F658,OR(MONTH(F658)=9,MONTH(F658)=12)),SUM(OFFSET(H658,-91,0):H658))),IF(AND(EOMONTH(F658,0)=F658,MONTH(F658)=3),SUM(OFFSET(H658,-89,0):H658),IF(AND(EOMONTH(F658,0)=F658,MONTH(F658)=6),SUM(OFFSET(H658,-90,0):H658),IF(AND(EOMONTH(F658,0)=F658,OR(MONTH(F658)=9,MONTH(F658)=12)),SUM(OFFSET(H658,-91,0):H658)))))),IF(F658='депозитный калькулятор'!$D$8,SUM($H$23:H658)-SUM($I$23:I657),0))),IF('депозитный калькулятор'!$G$10="ежегодное",IF(F658&gt;'депозитный калькулятор'!$D$8," ",IF(F658='депозитный калькулятор'!$D$8,SUM($H$23:H658)-SUM($I$23:I657),IF(AND(EOMONTH(F658,0)=F658,MONTH(F658)=12),IF(MOD(YEAR(F657),4)=0,IF(F658-'депозитный калькулятор'!$D$7&lt;366,SUM($H$23:H658),SUM(OFFSET(H658,-365,0):H658)),IF(F658-'депозитный калькулятор'!$D$7&lt;365,SUM($H$23:H658),SUM(OFFSET(H658,-364,0):H658))),0))),IF(AND('депозитный калькулятор'!$G$10="в конце срока",'депозитный калькулятор'!$D$8=F658),SUM($H$23:H658),0))))))))))))))))))</f>
        <v xml:space="preserve"> </v>
      </c>
      <c r="J658" s="59" t="str">
        <f>IF(F658&gt;'депозитный калькулятор'!$D$8," ",IF('депозитный калькулятор'!$G$16="нет",0,IF(AND('депозитный калькулятор'!$G$17="разовая (в конце срока)",F658='депозитный калькулятор'!$D$8),'депозитный калькулятор'!$G$18,IF(AND('депозитный калькулятор'!$G$17="ежемесячная",EOMONTH(F657,0)=F657),'депозитный калькулятор'!$G$18,IF(AND('депозитный калькулятор'!$G$17="ежегодная",DAY(F657)=31,MONTH(F657)=12),'депозитный калькулятор'!$G$18,IF(AND('депозитный калькулятор'!$G$17="ежемесячная в зависимости от остатка",EOMONTH(F657,0)=F657,P657&gt;0),'депозитный калькулятор'!$G$18,IF(AND('депозитный калькулятор'!$G$17="ежегодная в зависимости от остатка",DAY(F657)=31,MONTH(F657)=12,P657&gt;0),'депозитный калькулятор'!$G$18,0)))))))</f>
        <v xml:space="preserve"> </v>
      </c>
      <c r="K658" s="135" t="str">
        <f>IF($F658=" "," ",IFERROR(VLOOKUP($F658,'депозитный калькулятор'!$B$26:$F$70,2,0),0))</f>
        <v xml:space="preserve"> </v>
      </c>
      <c r="L658" s="135" t="str">
        <f>IF($F658=" "," ",IFERROR(VLOOKUP($F658,'депозитный калькулятор'!$B$26:$F$70,3,0),0))</f>
        <v xml:space="preserve"> </v>
      </c>
      <c r="M658" s="135" t="str">
        <f>IF($F658=" "," ",IFERROR(VLOOKUP($F658,'депозитный калькулятор'!$B$26:$F$70,4,0),0))</f>
        <v xml:space="preserve"> </v>
      </c>
      <c r="N658" s="135" t="str">
        <f>IF($F658=" "," ",IFERROR(VLOOKUP($F658,'депозитный калькулятор'!$B$26:$F$70,5,0),0))</f>
        <v xml:space="preserve"> </v>
      </c>
      <c r="O658" s="146" t="str">
        <f>IF(F658&gt;'депозитный калькулятор'!$D$8," ",IF(F658='депозитный калькулятор'!$D$8,IF(AND($F$24='депозитный калькулятор'!$D$8,'депозитный калькулятор'!$G$13="нет"),-G658-IF(I658=" ",0,I658)-IF(AND(OR('депозитный калькулятор'!$G$7="30/365",'депозитный калькулятор'!$G$7="30/360"),'депозитный калькулятор'!$G$10="в начале срока"),I657,0)-L658+M658-N658,-G658-IF(I658=" ",0,I658)-L658+M658-N658),IF('депозитный калькулятор'!$G$13="есть",M658-N658+IF('депозитный калькулятор'!$G$14="есть",0,-L658),-IF(I658=" ",0,I658)-IF(AND(OR('депозитный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срока"),I657,0)+M658-N658+IF('депозитный калькулятор'!$G$14="есть",0,-L658))))</f>
        <v xml:space="preserve"> </v>
      </c>
      <c r="P658" s="147" t="str">
        <f>IF(F658&gt;'депозитный калькулятор'!$D$8," ",IF(EOMONTH(F657,0)=F657,0,IF(G658&gt;='депозитный калькулятор'!$G$19,P657,P657+1)))</f>
        <v xml:space="preserve"> </v>
      </c>
      <c r="Q658" s="138" t="str">
        <f>IF(F658=" "," ",IF(AND(OR('депозитный калькулятор'!$G$7="30/365",'депозитный калькулятор'!$G$7="30/360"),AND(MONTH(F658)=2,EOMONTH(F658,0)=F658)),IF(DAY(F658)=28,3,2),1)*IF(G658&gt;='депозитный калькулятор'!$G$11,IF(AND('депозитный калькулятор'!$G$7="факт/факт",MOD(YEAR(F658),4)=0),G658*'депозитный калькулятор'!$D$11/366,G658*'депозитный калькулятор'!$G$8),0))</f>
        <v xml:space="preserve"> </v>
      </c>
      <c r="R658" s="158"/>
      <c r="S658" s="62" t="str">
        <f t="shared" ca="1" si="47"/>
        <v xml:space="preserve"> </v>
      </c>
      <c r="T658" s="149" t="str">
        <f ca="1">IF(S658=" "," ",IF('депозитный калькулятор'!$G$7="30/360",DAYS360(U657,IF(DAY(U658)=31,U658-1,U658))+IF(AND(MONTH(U658)=2,U658=EOMONTH(U658,0)),30-DAY(EOMONTH(U658,0)))+T657,VLOOKUP(S658,$C$22:$F$1023,2,0)))</f>
        <v xml:space="preserve"> </v>
      </c>
      <c r="U658" s="64" t="str">
        <f t="shared" ca="1" si="45"/>
        <v xml:space="preserve"> </v>
      </c>
      <c r="V658" s="150" t="str">
        <f t="shared" ca="1" si="48"/>
        <v xml:space="preserve"> </v>
      </c>
      <c r="W658" s="62" t="str">
        <f t="shared" ca="1" si="49"/>
        <v xml:space="preserve"> </v>
      </c>
      <c r="X658" s="141" t="str">
        <f ca="1">IF(S658=" "," ",IFERROR(VLOOKUP(U658,$F$23:$N$1023,7)+VLOOKUP(U658,$F$23:$N$1023,9)+IF(AND('депозитный калькулятор'!$G$13="нет",U658&lt;&gt;'депозитный калькулятор'!$D$8),VLOOKUP(U658,$F$23:$N$1023,4),0),0)+IF(U658='депозитный калькулятор'!$D$8,VLOOKUP(U658,$F$23:$N$1023,2)+VLOOKUP(U658,$F$23:$N$1023,4),0))</f>
        <v xml:space="preserve"> </v>
      </c>
      <c r="Y658" s="142" t="str">
        <f ca="1">IF(S658=" "," ",W658/(1+'депозитный калькулятор'!$K$8)^(T658/IF('депозитный калькулятор'!$G$7="30/360",360,365)))</f>
        <v xml:space="preserve"> </v>
      </c>
      <c r="Z658" s="142" t="str">
        <f ca="1">IF(S658=" "," ",X658/(1+'депозитный калькулятор'!$K$8)^(T658/IF('депозитный калькулятор'!$G$7="30/360",360,365)))</f>
        <v xml:space="preserve"> </v>
      </c>
      <c r="AA658" s="151"/>
      <c r="AB658" s="151"/>
      <c r="AC658" s="155"/>
      <c r="AD658" s="155"/>
    </row>
    <row r="659" spans="1:30" s="2" customFormat="1" ht="15.5" x14ac:dyDescent="0.35">
      <c r="A659" s="41" t="str">
        <f>IF(F659=" "," ",IF(OR('депозитный калькулятор'!$G$7="30/365",'депозитный калькулятор'!$G$7="30/360"),IF(AND(MONTH(F659)=2,DAY(F659)=DAY(EOMONTH(F659,0))),30-DAY(EOMONTH(F659,0)),IF(DAY(F659)=31,1," "))," "))</f>
        <v xml:space="preserve"> </v>
      </c>
      <c r="B659" s="130" t="str">
        <f t="shared" si="46"/>
        <v xml:space="preserve"> </v>
      </c>
      <c r="C659" s="130" t="str">
        <f>IF(OR(B659=0,B659=" ")," ",SUM($B$23:B659))</f>
        <v xml:space="preserve"> </v>
      </c>
      <c r="D659" s="62" t="str">
        <f>IF(D658=" "," ",IF(OR(F658='депозитный калькулятор'!$D$8,F658=" ")," ",D658+1))</f>
        <v xml:space="preserve"> </v>
      </c>
      <c r="E659" s="130" t="str">
        <f>IF(OR(F658='депозитный калькулятор'!$D$8,F658=" ")," ",IF(EOMONTH(F658,0)=F658,1,E658+1))</f>
        <v xml:space="preserve"> </v>
      </c>
      <c r="F659" s="64" t="str">
        <f>IF(F658=" "," ",IF(F658='депозитный калькулятор'!$D$8," ",F658+1))</f>
        <v xml:space="preserve"> </v>
      </c>
      <c r="G659" s="145" t="str">
        <f xml:space="preserve"> IF(F659&gt;'депозитный калькулятор'!$D$8," ",IF('депозитный калькулятор'!$G$13="есть",IF('депозитный калькулятор'!$G$14="есть",G658+IF(I658=" ",0,I658)-J659-K659+L659+M659-N659,G658+IF(I658=" ",0,I658)-J659-K659+M659-N659),IF('депозитный калькулятор'!$G$14="есть",G658-J659-K659+L659+M659-N659,G658-J659-K659+M659-N659)))</f>
        <v xml:space="preserve"> </v>
      </c>
      <c r="H659" s="133" t="str">
        <f>IF(F659&gt;'депозитный калькулятор'!$D$8," ",IF(AND(OR('депозитный калькулятор'!$G$7="30/365",'депозитный калькулятор'!$G$7="30/360"),AND(MONTH(F659)=2,EOMONTH(F659,0)=F659)),IF(DAY(F659)=28,3*G659*'депозитный калькулятор'!$G$8,2*G659*'депозитный калькулятор'!$G$8),IF(AND(OR('депозитный калькулятор'!$G$7="30/365",'депозитный калькулятор'!$G$7="30/360"),DAY(F659)=31)," ",IF(AND('депозитный калькулятор'!$G$7="факт/факт",MOD(YEAR(F659),4)=0),G659*'депозитный калькулятор'!$D$11/366,G659*'депозитный калькулятор'!$G$8))))</f>
        <v xml:space="preserve"> </v>
      </c>
      <c r="I659" s="134" t="str">
        <f ca="1">IF(F659=" "," ",IF('депозитный калькулятор'!$G$10="ежедневное",H659,IF(AND('депозитный калькулятор'!$G$10="еженедельное",WEEKDAY(F659,2)=7),SUM(OFFSET(H659,-6,0):H659),IF(AND('депозитный калькулятор'!$G$10="еженедельное",F659='депозитный калькулятор'!$D$8),SUM($H$23:H659)-SUM($I$23:I658),IF(AND('депозитный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недели",WEEKDAY(F659,2)=7),MIN(OFFSET(H659,-6,0):H659)*(COUNTIF(OFFSET(H659,-6,0):H659,"&gt;0")+SUMIF(OFFSET(A659,-WEEKDAY(F659,2),0):A659,"=2",OFFSET(A659,-WEEKDAY(F659,2),0):A659)),IF(AND('депозитный калькулятор'!$G$10="еженедельное, на минимальную сумму зафиксированную в течение недели",F659='депозитный калькулятор'!$D$8,WEEKDAY(F659,2)&lt;&gt;7),MIN(OFFSET(H659,-WEEKDAY(F659,2),0):H659)*(COUNTIF(OFFSET(H659,-WEEKDAY(F659,2)+1,0):H659,"&gt;0")+SUM(OFFSET(A659,-WEEKDAY(F659,2),0):A659)),IF(AND('депозитный калькулятор'!$G$10="ежемесячное (в конце месяца)",F659='депозитный калькулятор'!$D$8,EOMONTH(F659,0)&lt;&gt;F659),IF('депозитный калькулятор'!$F$1=1,$H$24,SUM($H$23:H659)-SUM($I$23:I658)),IF(AND('депозитный калькулятор'!$G$10="ежемесячное (в конце месяца)",EOMONTH(F659,0)=F659),SUM($H$23:H659)-SUM($I$23:I658),IF(AND('депозитный калькулятор'!$G$10="ежемесячное (по дням открытия вклада)",F659='депозитный калькулятор'!$D$8,DAY('депозитный калькулятор'!$D$7)&lt;&gt;DAY(F659)),IF('депозитный калькулятор'!$F$1=1,$H$24,SUM($H$23:H659)-SUM($I$23:I658)),IF(AND('депозитный калькулятор'!$G$10="ежемесячное (по дням открытия вклада)",DAY('депозитный калькулятор'!$D$7)=DAY(F659)),SUM($H$23:H659)-SUM($I$23:I658),IF(AND('депозитный калькулятор'!$G$10="ежемесячное, на минимальную сумму зафиксированную в течение месяца",F659='депозитный калькулятор'!$D$8,EOMONTH(F659,0)&lt;&gt;F659),IF('депозитный калькулятор'!$F$1=1,$H$24,IF(AND(OR('депозитный калькулятор'!$G$7="30/365",'депозитный калькулятор'!$G$7="30/360"),DAY(F659)=31),0,MIN(OFFSET(H659,-E659+1,0):H659)*(E659+SUMIF(OFFSET(A659,-E659+1,0):A659,"=2",OFFSET(A659,-E659+1,0):A659)))),IF(AND('депозитный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калькулятор'!$G$7="30/360"),DAY(EOMONTH(F659,0))=31),EOMONTH(F659,0)-1=F659,EOMONTH(F659,0)=F659)),IF(IF(AND(OR('депозитный калькулятор'!$G$7="30/365",'депозитный калькулятор'!$G$7="30/360"),DAY(EOMONTH($F$23,0))=31),F659=EOMONTH($F$23,0)-1,F659=EOMONTH($F$23,0)),MIN(OFFSET(H659,-(DAY(F659)-DAY($F$23)),0):H659)*E659,MIN(OFFSET(H659,-(DAY(F659)-1),0):H659)*IF(AND(OR('депозитный калькулятор'!$G$7="30/365",'депозитный калькулятор'!$G$7="30/360"),DAY(F659)&lt;30),30,DAY(F659))),IF(AND('депозитный калькулятор'!$G$10="ежемесячное, на средний остаток в течение месяца, при условии что остаток больше чем ограничение",F659='депозитный калькулятор'!$D$8,EOMONTH(F659,0)&lt;&gt;F659),IF('депозитный калькулятор'!$F$1=1,$H$24,SUM(OFFSET(Q659,-E659+1,0):Q659)),IF(AND('депозитный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калькулятор'!$G$7="30/360"),DAY(EOMONTH(F659,0))=31),EOMONTH(F659,0)-1=F659,EOMONTH(F659,0)=F659)),IF(IF(AND(OR('депозитный калькулятор'!$G$7="30/365",'депозитный калькулятор'!$G$7="30/360"),DAY(EOMONTH($F$24,0))=31),F659=EOMONTH($F$24,0)-1,F659=EOMONTH($F$24,0)),SUM(OFFSET(Q659,-E659+1,0):Q659),SUM(OFFSET(Q659,-E659+1,0):Q659)),IF('депозитный калькулятор'!$G$10="ежеквартальное",IF(F659&gt;'депозитный калькулятор'!$D$8," ",IF(AND(EOMONTH(F659,0)=F659,OR(MONTH(F659)=3,MONTH(F659)=6,MONTH(F659)=9,MONTH(F659)=12)),IF(EDATE(F659,-3)&lt;'депозитный калькулятор'!$D$7,SUM($H$23:H659),IF(MOD(YEAR(F659),4)=0,IF(AND(EOMONTH(F659,0)=F659,OR(MONTH(F659)=3,MONTH(F659)=6)),SUM(OFFSET(H659,-90,0):H659),IF(AND(EOMONTH(F659,0)=F659,OR(MONTH(F659)=9,MONTH(F659)=12)),SUM(OFFSET(H659,-91,0):H659))),IF(AND(EOMONTH(F659,0)=F659,MONTH(F659)=3),SUM(OFFSET(H659,-89,0):H659),IF(AND(EOMONTH(F659,0)=F659,MONTH(F659)=6),SUM(OFFSET(H659,-90,0):H659),IF(AND(EOMONTH(F659,0)=F659,OR(MONTH(F659)=9,MONTH(F659)=12)),SUM(OFFSET(H659,-91,0):H659)))))),IF(F659='депозитный калькулятор'!$D$8,SUM($H$23:H659)-SUM($I$23:I658),0))),IF('депозитный калькулятор'!$G$10="ежегодное",IF(F659&gt;'депозитный калькулятор'!$D$8," ",IF(F659='депозитный калькулятор'!$D$8,SUM($H$23:H659)-SUM($I$23:I658),IF(AND(EOMONTH(F659,0)=F659,MONTH(F659)=12),IF(MOD(YEAR(F658),4)=0,IF(F659-'депозитный калькулятор'!$D$7&lt;366,SUM($H$23:H659),SUM(OFFSET(H659,-365,0):H659)),IF(F659-'депозитный калькулятор'!$D$7&lt;365,SUM($H$23:H659),SUM(OFFSET(H659,-364,0):H659))),0))),IF(AND('депозитный калькулятор'!$G$10="в конце срока",'депозитный калькулятор'!$D$8=F659),SUM($H$23:H659),0))))))))))))))))))</f>
        <v xml:space="preserve"> </v>
      </c>
      <c r="J659" s="59" t="str">
        <f>IF(F659&gt;'депозитный калькулятор'!$D$8," ",IF('депозитный калькулятор'!$G$16="нет",0,IF(AND('депозитный калькулятор'!$G$17="разовая (в конце срока)",F659='депозитный калькулятор'!$D$8),'депозитный калькулятор'!$G$18,IF(AND('депозитный калькулятор'!$G$17="ежемесячная",EOMONTH(F658,0)=F658),'депозитный калькулятор'!$G$18,IF(AND('депозитный калькулятор'!$G$17="ежегодная",DAY(F658)=31,MONTH(F658)=12),'депозитный калькулятор'!$G$18,IF(AND('депозитный калькулятор'!$G$17="ежемесячная в зависимости от остатка",EOMONTH(F658,0)=F658,P658&gt;0),'депозитный калькулятор'!$G$18,IF(AND('депозитный калькулятор'!$G$17="ежегодная в зависимости от остатка",DAY(F658)=31,MONTH(F658)=12,P658&gt;0),'депозитный калькулятор'!$G$18,0)))))))</f>
        <v xml:space="preserve"> </v>
      </c>
      <c r="K659" s="135" t="str">
        <f>IF($F659=" "," ",IFERROR(VLOOKUP($F659,'депозитный калькулятор'!$B$26:$F$70,2,0),0))</f>
        <v xml:space="preserve"> </v>
      </c>
      <c r="L659" s="135" t="str">
        <f>IF($F659=" "," ",IFERROR(VLOOKUP($F659,'депозитный калькулятор'!$B$26:$F$70,3,0),0))</f>
        <v xml:space="preserve"> </v>
      </c>
      <c r="M659" s="135" t="str">
        <f>IF($F659=" "," ",IFERROR(VLOOKUP($F659,'депозитный калькулятор'!$B$26:$F$70,4,0),0))</f>
        <v xml:space="preserve"> </v>
      </c>
      <c r="N659" s="135" t="str">
        <f>IF($F659=" "," ",IFERROR(VLOOKUP($F659,'депозитный калькулятор'!$B$26:$F$70,5,0),0))</f>
        <v xml:space="preserve"> </v>
      </c>
      <c r="O659" s="146" t="str">
        <f>IF(F659&gt;'депозитный калькулятор'!$D$8," ",IF(F659='депозитный калькулятор'!$D$8,IF(AND($F$24='депозитный калькулятор'!$D$8,'депозитный калькулятор'!$G$13="нет"),-G659-IF(I659=" ",0,I659)-IF(AND(OR('депозитный калькулятор'!$G$7="30/365",'депозитный калькулятор'!$G$7="30/360"),'депозитный калькулятор'!$G$10="в начале срока"),I658,0)-L659+M659-N659,-G659-IF(I659=" ",0,I659)-L659+M659-N659),IF('депозитный калькулятор'!$G$13="есть",M659-N659+IF('депозитный калькулятор'!$G$14="есть",0,-L659),-IF(I659=" ",0,I659)-IF(AND(OR('депозитный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срока"),I658,0)+M659-N659+IF('депозитный калькулятор'!$G$14="есть",0,-L659))))</f>
        <v xml:space="preserve"> </v>
      </c>
      <c r="P659" s="147" t="str">
        <f>IF(F659&gt;'депозитный калькулятор'!$D$8," ",IF(EOMONTH(F658,0)=F658,0,IF(G659&gt;='депозитный калькулятор'!$G$19,P658,P658+1)))</f>
        <v xml:space="preserve"> </v>
      </c>
      <c r="Q659" s="138" t="str">
        <f>IF(F659=" "," ",IF(AND(OR('депозитный калькулятор'!$G$7="30/365",'депозитный калькулятор'!$G$7="30/360"),AND(MONTH(F659)=2,EOMONTH(F659,0)=F659)),IF(DAY(F659)=28,3,2),1)*IF(G659&gt;='депозитный калькулятор'!$G$11,IF(AND('депозитный калькулятор'!$G$7="факт/факт",MOD(YEAR(F659),4)=0),G659*'депозитный калькулятор'!$D$11/366,G659*'депозитный калькулятор'!$G$8),0))</f>
        <v xml:space="preserve"> </v>
      </c>
      <c r="R659" s="158"/>
      <c r="S659" s="62" t="str">
        <f t="shared" ca="1" si="47"/>
        <v xml:space="preserve"> </v>
      </c>
      <c r="T659" s="149" t="str">
        <f ca="1">IF(S659=" "," ",IF('депозитный калькулятор'!$G$7="30/360",DAYS360(U658,IF(DAY(U659)=31,U659-1,U659))+IF(AND(MONTH(U659)=2,U659=EOMONTH(U659,0)),30-DAY(EOMONTH(U659,0)))+T658,VLOOKUP(S659,$C$22:$F$1023,2,0)))</f>
        <v xml:space="preserve"> </v>
      </c>
      <c r="U659" s="64" t="str">
        <f t="shared" ca="1" si="45"/>
        <v xml:space="preserve"> </v>
      </c>
      <c r="V659" s="150" t="str">
        <f t="shared" ca="1" si="48"/>
        <v xml:space="preserve"> </v>
      </c>
      <c r="W659" s="62" t="str">
        <f t="shared" ca="1" si="49"/>
        <v xml:space="preserve"> </v>
      </c>
      <c r="X659" s="141" t="str">
        <f ca="1">IF(S659=" "," ",IFERROR(VLOOKUP(U659,$F$23:$N$1023,7)+VLOOKUP(U659,$F$23:$N$1023,9)+IF(AND('депозитный калькулятор'!$G$13="нет",U659&lt;&gt;'депозитный калькулятор'!$D$8),VLOOKUP(U659,$F$23:$N$1023,4),0),0)+IF(U659='депозитный калькулятор'!$D$8,VLOOKUP(U659,$F$23:$N$1023,2)+VLOOKUP(U659,$F$23:$N$1023,4),0))</f>
        <v xml:space="preserve"> </v>
      </c>
      <c r="Y659" s="142" t="str">
        <f ca="1">IF(S659=" "," ",W659/(1+'депозитный калькулятор'!$K$8)^(T659/IF('депозитный калькулятор'!$G$7="30/360",360,365)))</f>
        <v xml:space="preserve"> </v>
      </c>
      <c r="Z659" s="142" t="str">
        <f ca="1">IF(S659=" "," ",X659/(1+'депозитный калькулятор'!$K$8)^(T659/IF('депозитный калькулятор'!$G$7="30/360",360,365)))</f>
        <v xml:space="preserve"> </v>
      </c>
      <c r="AA659" s="151"/>
      <c r="AB659" s="151"/>
      <c r="AC659" s="155"/>
      <c r="AD659" s="155"/>
    </row>
    <row r="660" spans="1:30" s="2" customFormat="1" ht="15.5" x14ac:dyDescent="0.35">
      <c r="A660" s="41" t="str">
        <f>IF(F660=" "," ",IF(OR('депозитный калькулятор'!$G$7="30/365",'депозитный калькулятор'!$G$7="30/360"),IF(AND(MONTH(F660)=2,DAY(F660)=DAY(EOMONTH(F660,0))),30-DAY(EOMONTH(F660,0)),IF(DAY(F660)=31,1," "))," "))</f>
        <v xml:space="preserve"> </v>
      </c>
      <c r="B660" s="130" t="str">
        <f t="shared" si="46"/>
        <v xml:space="preserve"> </v>
      </c>
      <c r="C660" s="130" t="str">
        <f>IF(OR(B660=0,B660=" ")," ",SUM($B$23:B660))</f>
        <v xml:space="preserve"> </v>
      </c>
      <c r="D660" s="62" t="str">
        <f>IF(D659=" "," ",IF(OR(F659='депозитный калькулятор'!$D$8,F659=" ")," ",D659+1))</f>
        <v xml:space="preserve"> </v>
      </c>
      <c r="E660" s="130" t="str">
        <f>IF(OR(F659='депозитный калькулятор'!$D$8,F659=" ")," ",IF(EOMONTH(F659,0)=F659,1,E659+1))</f>
        <v xml:space="preserve"> </v>
      </c>
      <c r="F660" s="64" t="str">
        <f>IF(F659=" "," ",IF(F659='депозитный калькулятор'!$D$8," ",F659+1))</f>
        <v xml:space="preserve"> </v>
      </c>
      <c r="G660" s="145" t="str">
        <f xml:space="preserve"> IF(F660&gt;'депозитный калькулятор'!$D$8," ",IF('депозитный калькулятор'!$G$13="есть",IF('депозитный калькулятор'!$G$14="есть",G659+IF(I659=" ",0,I659)-J660-K660+L660+M660-N660,G659+IF(I659=" ",0,I659)-J660-K660+M660-N660),IF('депозитный калькулятор'!$G$14="есть",G659-J660-K660+L660+M660-N660,G659-J660-K660+M660-N660)))</f>
        <v xml:space="preserve"> </v>
      </c>
      <c r="H660" s="133" t="str">
        <f>IF(F660&gt;'депозитный калькулятор'!$D$8," ",IF(AND(OR('депозитный калькулятор'!$G$7="30/365",'депозитный калькулятор'!$G$7="30/360"),AND(MONTH(F660)=2,EOMONTH(F660,0)=F660)),IF(DAY(F660)=28,3*G660*'депозитный калькулятор'!$G$8,2*G660*'депозитный калькулятор'!$G$8),IF(AND(OR('депозитный калькулятор'!$G$7="30/365",'депозитный калькулятор'!$G$7="30/360"),DAY(F660)=31)," ",IF(AND('депозитный калькулятор'!$G$7="факт/факт",MOD(YEAR(F660),4)=0),G660*'депозитный калькулятор'!$D$11/366,G660*'депозитный калькулятор'!$G$8))))</f>
        <v xml:space="preserve"> </v>
      </c>
      <c r="I660" s="134" t="str">
        <f ca="1">IF(F660=" "," ",IF('депозитный калькулятор'!$G$10="ежедневное",H660,IF(AND('депозитный калькулятор'!$G$10="еженедельное",WEEKDAY(F660,2)=7),SUM(OFFSET(H660,-6,0):H660),IF(AND('депозитный калькулятор'!$G$10="еженедельное",F660='депозитный калькулятор'!$D$8),SUM($H$23:H660)-SUM($I$23:I659),IF(AND('депозитный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недели",WEEKDAY(F660,2)=7),MIN(OFFSET(H660,-6,0):H660)*(COUNTIF(OFFSET(H660,-6,0):H660,"&gt;0")+SUMIF(OFFSET(A660,-WEEKDAY(F660,2),0):A660,"=2",OFFSET(A660,-WEEKDAY(F660,2),0):A660)),IF(AND('депозитный калькулятор'!$G$10="еженедельное, на минимальную сумму зафиксированную в течение недели",F660='депозитный калькулятор'!$D$8,WEEKDAY(F660,2)&lt;&gt;7),MIN(OFFSET(H660,-WEEKDAY(F660,2),0):H660)*(COUNTIF(OFFSET(H660,-WEEKDAY(F660,2)+1,0):H660,"&gt;0")+SUM(OFFSET(A660,-WEEKDAY(F660,2),0):A660)),IF(AND('депозитный калькулятор'!$G$10="ежемесячное (в конце месяца)",F660='депозитный калькулятор'!$D$8,EOMONTH(F660,0)&lt;&gt;F660),IF('депозитный калькулятор'!$F$1=1,$H$24,SUM($H$23:H660)-SUM($I$23:I659)),IF(AND('депозитный калькулятор'!$G$10="ежемесячное (в конце месяца)",EOMONTH(F660,0)=F660),SUM($H$23:H660)-SUM($I$23:I659),IF(AND('депозитный калькулятор'!$G$10="ежемесячное (по дням открытия вклада)",F660='депозитный калькулятор'!$D$8,DAY('депозитный калькулятор'!$D$7)&lt;&gt;DAY(F660)),IF('депозитный калькулятор'!$F$1=1,$H$24,SUM($H$23:H660)-SUM($I$23:I659)),IF(AND('депозитный калькулятор'!$G$10="ежемесячное (по дням открытия вклада)",DAY('депозитный калькулятор'!$D$7)=DAY(F660)),SUM($H$23:H660)-SUM($I$23:I659),IF(AND('депозитный калькулятор'!$G$10="ежемесячное, на минимальную сумму зафиксированную в течение месяца",F660='депозитный калькулятор'!$D$8,EOMONTH(F660,0)&lt;&gt;F660),IF('депозитный калькулятор'!$F$1=1,$H$24,IF(AND(OR('депозитный калькулятор'!$G$7="30/365",'депозитный калькулятор'!$G$7="30/360"),DAY(F660)=31),0,MIN(OFFSET(H660,-E660+1,0):H660)*(E660+SUMIF(OFFSET(A660,-E660+1,0):A660,"=2",OFFSET(A660,-E660+1,0):A660)))),IF(AND('депозитный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калькулятор'!$G$7="30/360"),DAY(EOMONTH(F660,0))=31),EOMONTH(F660,0)-1=F660,EOMONTH(F660,0)=F660)),IF(IF(AND(OR('депозитный калькулятор'!$G$7="30/365",'депозитный калькулятор'!$G$7="30/360"),DAY(EOMONTH($F$23,0))=31),F660=EOMONTH($F$23,0)-1,F660=EOMONTH($F$23,0)),MIN(OFFSET(H660,-(DAY(F660)-DAY($F$23)),0):H660)*E660,MIN(OFFSET(H660,-(DAY(F660)-1),0):H660)*IF(AND(OR('депозитный калькулятор'!$G$7="30/365",'депозитный калькулятор'!$G$7="30/360"),DAY(F660)&lt;30),30,DAY(F660))),IF(AND('депозитный калькулятор'!$G$10="ежемесячное, на средний остаток в течение месяца, при условии что остаток больше чем ограничение",F660='депозитный калькулятор'!$D$8,EOMONTH(F660,0)&lt;&gt;F660),IF('депозитный калькулятор'!$F$1=1,$H$24,SUM(OFFSET(Q660,-E660+1,0):Q660)),IF(AND('депозитный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калькулятор'!$G$7="30/360"),DAY(EOMONTH(F660,0))=31),EOMONTH(F660,0)-1=F660,EOMONTH(F660,0)=F660)),IF(IF(AND(OR('депозитный калькулятор'!$G$7="30/365",'депозитный калькулятор'!$G$7="30/360"),DAY(EOMONTH($F$24,0))=31),F660=EOMONTH($F$24,0)-1,F660=EOMONTH($F$24,0)),SUM(OFFSET(Q660,-E660+1,0):Q660),SUM(OFFSET(Q660,-E660+1,0):Q660)),IF('депозитный калькулятор'!$G$10="ежеквартальное",IF(F660&gt;'депозитный калькулятор'!$D$8," ",IF(AND(EOMONTH(F660,0)=F660,OR(MONTH(F660)=3,MONTH(F660)=6,MONTH(F660)=9,MONTH(F660)=12)),IF(EDATE(F660,-3)&lt;'депозитный калькулятор'!$D$7,SUM($H$23:H660),IF(MOD(YEAR(F660),4)=0,IF(AND(EOMONTH(F660,0)=F660,OR(MONTH(F660)=3,MONTH(F660)=6)),SUM(OFFSET(H660,-90,0):H660),IF(AND(EOMONTH(F660,0)=F660,OR(MONTH(F660)=9,MONTH(F660)=12)),SUM(OFFSET(H660,-91,0):H660))),IF(AND(EOMONTH(F660,0)=F660,MONTH(F660)=3),SUM(OFFSET(H660,-89,0):H660),IF(AND(EOMONTH(F660,0)=F660,MONTH(F660)=6),SUM(OFFSET(H660,-90,0):H660),IF(AND(EOMONTH(F660,0)=F660,OR(MONTH(F660)=9,MONTH(F660)=12)),SUM(OFFSET(H660,-91,0):H660)))))),IF(F660='депозитный калькулятор'!$D$8,SUM($H$23:H660)-SUM($I$23:I659),0))),IF('депозитный калькулятор'!$G$10="ежегодное",IF(F660&gt;'депозитный калькулятор'!$D$8," ",IF(F660='депозитный калькулятор'!$D$8,SUM($H$23:H660)-SUM($I$23:I659),IF(AND(EOMONTH(F660,0)=F660,MONTH(F660)=12),IF(MOD(YEAR(F659),4)=0,IF(F660-'депозитный калькулятор'!$D$7&lt;366,SUM($H$23:H660),SUM(OFFSET(H660,-365,0):H660)),IF(F660-'депозитный калькулятор'!$D$7&lt;365,SUM($H$23:H660),SUM(OFFSET(H660,-364,0):H660))),0))),IF(AND('депозитный калькулятор'!$G$10="в конце срока",'депозитный калькулятор'!$D$8=F660),SUM($H$23:H660),0))))))))))))))))))</f>
        <v xml:space="preserve"> </v>
      </c>
      <c r="J660" s="59" t="str">
        <f>IF(F660&gt;'депозитный калькулятор'!$D$8," ",IF('депозитный калькулятор'!$G$16="нет",0,IF(AND('депозитный калькулятор'!$G$17="разовая (в конце срока)",F660='депозитный калькулятор'!$D$8),'депозитный калькулятор'!$G$18,IF(AND('депозитный калькулятор'!$G$17="ежемесячная",EOMONTH(F659,0)=F659),'депозитный калькулятор'!$G$18,IF(AND('депозитный калькулятор'!$G$17="ежегодная",DAY(F659)=31,MONTH(F659)=12),'депозитный калькулятор'!$G$18,IF(AND('депозитный калькулятор'!$G$17="ежемесячная в зависимости от остатка",EOMONTH(F659,0)=F659,P659&gt;0),'депозитный калькулятор'!$G$18,IF(AND('депозитный калькулятор'!$G$17="ежегодная в зависимости от остатка",DAY(F659)=31,MONTH(F659)=12,P659&gt;0),'депозитный калькулятор'!$G$18,0)))))))</f>
        <v xml:space="preserve"> </v>
      </c>
      <c r="K660" s="135" t="str">
        <f>IF($F660=" "," ",IFERROR(VLOOKUP($F660,'депозитный калькулятор'!$B$26:$F$70,2,0),0))</f>
        <v xml:space="preserve"> </v>
      </c>
      <c r="L660" s="135" t="str">
        <f>IF($F660=" "," ",IFERROR(VLOOKUP($F660,'депозитный калькулятор'!$B$26:$F$70,3,0),0))</f>
        <v xml:space="preserve"> </v>
      </c>
      <c r="M660" s="135" t="str">
        <f>IF($F660=" "," ",IFERROR(VLOOKUP($F660,'депозитный калькулятор'!$B$26:$F$70,4,0),0))</f>
        <v xml:space="preserve"> </v>
      </c>
      <c r="N660" s="135" t="str">
        <f>IF($F660=" "," ",IFERROR(VLOOKUP($F660,'депозитный калькулятор'!$B$26:$F$70,5,0),0))</f>
        <v xml:space="preserve"> </v>
      </c>
      <c r="O660" s="146" t="str">
        <f>IF(F660&gt;'депозитный калькулятор'!$D$8," ",IF(F660='депозитный калькулятор'!$D$8,IF(AND($F$24='депозитный калькулятор'!$D$8,'депозитный калькулятор'!$G$13="нет"),-G660-IF(I660=" ",0,I660)-IF(AND(OR('депозитный калькулятор'!$G$7="30/365",'депозитный калькулятор'!$G$7="30/360"),'депозитный калькулятор'!$G$10="в начале срока"),I659,0)-L660+M660-N660,-G660-IF(I660=" ",0,I660)-L660+M660-N660),IF('депозитный калькулятор'!$G$13="есть",M660-N660+IF('депозитный калькулятор'!$G$14="есть",0,-L660),-IF(I660=" ",0,I660)-IF(AND(OR('депозитный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срока"),I659,0)+M660-N660+IF('депозитный калькулятор'!$G$14="есть",0,-L660))))</f>
        <v xml:space="preserve"> </v>
      </c>
      <c r="P660" s="147" t="str">
        <f>IF(F660&gt;'депозитный калькулятор'!$D$8," ",IF(EOMONTH(F659,0)=F659,0,IF(G660&gt;='депозитный калькулятор'!$G$19,P659,P659+1)))</f>
        <v xml:space="preserve"> </v>
      </c>
      <c r="Q660" s="138" t="str">
        <f>IF(F660=" "," ",IF(AND(OR('депозитный калькулятор'!$G$7="30/365",'депозитный калькулятор'!$G$7="30/360"),AND(MONTH(F660)=2,EOMONTH(F660,0)=F660)),IF(DAY(F660)=28,3,2),1)*IF(G660&gt;='депозитный калькулятор'!$G$11,IF(AND('депозитный калькулятор'!$G$7="факт/факт",MOD(YEAR(F660),4)=0),G660*'депозитный калькулятор'!$D$11/366,G660*'депозитный калькулятор'!$G$8),0))</f>
        <v xml:space="preserve"> </v>
      </c>
      <c r="R660" s="158"/>
      <c r="S660" s="62" t="str">
        <f t="shared" ca="1" si="47"/>
        <v xml:space="preserve"> </v>
      </c>
      <c r="T660" s="149" t="str">
        <f ca="1">IF(S660=" "," ",IF('депозитный калькулятор'!$G$7="30/360",DAYS360(U659,IF(DAY(U660)=31,U660-1,U660))+IF(AND(MONTH(U660)=2,U660=EOMONTH(U660,0)),30-DAY(EOMONTH(U660,0)))+T659,VLOOKUP(S660,$C$22:$F$1023,2,0)))</f>
        <v xml:space="preserve"> </v>
      </c>
      <c r="U660" s="64" t="str">
        <f t="shared" ca="1" si="45"/>
        <v xml:space="preserve"> </v>
      </c>
      <c r="V660" s="150" t="str">
        <f t="shared" ca="1" si="48"/>
        <v xml:space="preserve"> </v>
      </c>
      <c r="W660" s="62" t="str">
        <f t="shared" ca="1" si="49"/>
        <v xml:space="preserve"> </v>
      </c>
      <c r="X660" s="141" t="str">
        <f ca="1">IF(S660=" "," ",IFERROR(VLOOKUP(U660,$F$23:$N$1023,7)+VLOOKUP(U660,$F$23:$N$1023,9)+IF(AND('депозитный калькулятор'!$G$13="нет",U660&lt;&gt;'депозитный калькулятор'!$D$8),VLOOKUP(U660,$F$23:$N$1023,4),0),0)+IF(U660='депозитный калькулятор'!$D$8,VLOOKUP(U660,$F$23:$N$1023,2)+VLOOKUP(U660,$F$23:$N$1023,4),0))</f>
        <v xml:space="preserve"> </v>
      </c>
      <c r="Y660" s="142" t="str">
        <f ca="1">IF(S660=" "," ",W660/(1+'депозитный калькулятор'!$K$8)^(T660/IF('депозитный калькулятор'!$G$7="30/360",360,365)))</f>
        <v xml:space="preserve"> </v>
      </c>
      <c r="Z660" s="142" t="str">
        <f ca="1">IF(S660=" "," ",X660/(1+'депозитный калькулятор'!$K$8)^(T660/IF('депозитный калькулятор'!$G$7="30/360",360,365)))</f>
        <v xml:space="preserve"> </v>
      </c>
      <c r="AA660" s="151"/>
      <c r="AB660" s="151"/>
      <c r="AC660" s="155"/>
      <c r="AD660" s="155"/>
    </row>
    <row r="661" spans="1:30" s="2" customFormat="1" ht="15.5" x14ac:dyDescent="0.35">
      <c r="A661" s="41" t="str">
        <f>IF(F661=" "," ",IF(OR('депозитный калькулятор'!$G$7="30/365",'депозитный калькулятор'!$G$7="30/360"),IF(AND(MONTH(F661)=2,DAY(F661)=DAY(EOMONTH(F661,0))),30-DAY(EOMONTH(F661,0)),IF(DAY(F661)=31,1," "))," "))</f>
        <v xml:space="preserve"> </v>
      </c>
      <c r="B661" s="130" t="str">
        <f t="shared" si="46"/>
        <v xml:space="preserve"> </v>
      </c>
      <c r="C661" s="130" t="str">
        <f>IF(OR(B661=0,B661=" ")," ",SUM($B$23:B661))</f>
        <v xml:space="preserve"> </v>
      </c>
      <c r="D661" s="62" t="str">
        <f>IF(D660=" "," ",IF(OR(F660='депозитный калькулятор'!$D$8,F660=" ")," ",D660+1))</f>
        <v xml:space="preserve"> </v>
      </c>
      <c r="E661" s="130" t="str">
        <f>IF(OR(F660='депозитный калькулятор'!$D$8,F660=" ")," ",IF(EOMONTH(F660,0)=F660,1,E660+1))</f>
        <v xml:space="preserve"> </v>
      </c>
      <c r="F661" s="64" t="str">
        <f>IF(F660=" "," ",IF(F660='депозитный калькулятор'!$D$8," ",F660+1))</f>
        <v xml:space="preserve"> </v>
      </c>
      <c r="G661" s="145" t="str">
        <f xml:space="preserve"> IF(F661&gt;'депозитный калькулятор'!$D$8," ",IF('депозитный калькулятор'!$G$13="есть",IF('депозитный калькулятор'!$G$14="есть",G660+IF(I660=" ",0,I660)-J661-K661+L661+M661-N661,G660+IF(I660=" ",0,I660)-J661-K661+M661-N661),IF('депозитный калькулятор'!$G$14="есть",G660-J661-K661+L661+M661-N661,G660-J661-K661+M661-N661)))</f>
        <v xml:space="preserve"> </v>
      </c>
      <c r="H661" s="133" t="str">
        <f>IF(F661&gt;'депозитный калькулятор'!$D$8," ",IF(AND(OR('депозитный калькулятор'!$G$7="30/365",'депозитный калькулятор'!$G$7="30/360"),AND(MONTH(F661)=2,EOMONTH(F661,0)=F661)),IF(DAY(F661)=28,3*G661*'депозитный калькулятор'!$G$8,2*G661*'депозитный калькулятор'!$G$8),IF(AND(OR('депозитный калькулятор'!$G$7="30/365",'депозитный калькулятор'!$G$7="30/360"),DAY(F661)=31)," ",IF(AND('депозитный калькулятор'!$G$7="факт/факт",MOD(YEAR(F661),4)=0),G661*'депозитный калькулятор'!$D$11/366,G661*'депозитный калькулятор'!$G$8))))</f>
        <v xml:space="preserve"> </v>
      </c>
      <c r="I661" s="134" t="str">
        <f ca="1">IF(F661=" "," ",IF('депозитный калькулятор'!$G$10="ежедневное",H661,IF(AND('депозитный калькулятор'!$G$10="еженедельное",WEEKDAY(F661,2)=7),SUM(OFFSET(H661,-6,0):H661),IF(AND('депозитный калькулятор'!$G$10="еженедельное",F661='депозитный калькулятор'!$D$8),SUM($H$23:H661)-SUM($I$23:I660),IF(AND('депозитный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недели",WEEKDAY(F661,2)=7),MIN(OFFSET(H661,-6,0):H661)*(COUNTIF(OFFSET(H661,-6,0):H661,"&gt;0")+SUMIF(OFFSET(A661,-WEEKDAY(F661,2),0):A661,"=2",OFFSET(A661,-WEEKDAY(F661,2),0):A661)),IF(AND('депозитный калькулятор'!$G$10="еженедельное, на минимальную сумму зафиксированную в течение недели",F661='депозитный калькулятор'!$D$8,WEEKDAY(F661,2)&lt;&gt;7),MIN(OFFSET(H661,-WEEKDAY(F661,2),0):H661)*(COUNTIF(OFFSET(H661,-WEEKDAY(F661,2)+1,0):H661,"&gt;0")+SUM(OFFSET(A661,-WEEKDAY(F661,2),0):A661)),IF(AND('депозитный калькулятор'!$G$10="ежемесячное (в конце месяца)",F661='депозитный калькулятор'!$D$8,EOMONTH(F661,0)&lt;&gt;F661),IF('депозитный калькулятор'!$F$1=1,$H$24,SUM($H$23:H661)-SUM($I$23:I660)),IF(AND('депозитный калькулятор'!$G$10="ежемесячное (в конце месяца)",EOMONTH(F661,0)=F661),SUM($H$23:H661)-SUM($I$23:I660),IF(AND('депозитный калькулятор'!$G$10="ежемесячное (по дням открытия вклада)",F661='депозитный калькулятор'!$D$8,DAY('депозитный калькулятор'!$D$7)&lt;&gt;DAY(F661)),IF('депозитный калькулятор'!$F$1=1,$H$24,SUM($H$23:H661)-SUM($I$23:I660)),IF(AND('депозитный калькулятор'!$G$10="ежемесячное (по дням открытия вклада)",DAY('депозитный калькулятор'!$D$7)=DAY(F661)),SUM($H$23:H661)-SUM($I$23:I660),IF(AND('депозитный калькулятор'!$G$10="ежемесячное, на минимальную сумму зафиксированную в течение месяца",F661='депозитный калькулятор'!$D$8,EOMONTH(F661,0)&lt;&gt;F661),IF('депозитный калькулятор'!$F$1=1,$H$24,IF(AND(OR('депозитный калькулятор'!$G$7="30/365",'депозитный калькулятор'!$G$7="30/360"),DAY(F661)=31),0,MIN(OFFSET(H661,-E661+1,0):H661)*(E661+SUMIF(OFFSET(A661,-E661+1,0):A661,"=2",OFFSET(A661,-E661+1,0):A661)))),IF(AND('депозитный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калькулятор'!$G$7="30/360"),DAY(EOMONTH(F661,0))=31),EOMONTH(F661,0)-1=F661,EOMONTH(F661,0)=F661)),IF(IF(AND(OR('депозитный калькулятор'!$G$7="30/365",'депозитный калькулятор'!$G$7="30/360"),DAY(EOMONTH($F$23,0))=31),F661=EOMONTH($F$23,0)-1,F661=EOMONTH($F$23,0)),MIN(OFFSET(H661,-(DAY(F661)-DAY($F$23)),0):H661)*E661,MIN(OFFSET(H661,-(DAY(F661)-1),0):H661)*IF(AND(OR('депозитный калькулятор'!$G$7="30/365",'депозитный калькулятор'!$G$7="30/360"),DAY(F661)&lt;30),30,DAY(F661))),IF(AND('депозитный калькулятор'!$G$10="ежемесячное, на средний остаток в течение месяца, при условии что остаток больше чем ограничение",F661='депозитный калькулятор'!$D$8,EOMONTH(F661,0)&lt;&gt;F661),IF('депозитный калькулятор'!$F$1=1,$H$24,SUM(OFFSET(Q661,-E661+1,0):Q661)),IF(AND('депозитный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калькулятор'!$G$7="30/360"),DAY(EOMONTH(F661,0))=31),EOMONTH(F661,0)-1=F661,EOMONTH(F661,0)=F661)),IF(IF(AND(OR('депозитный калькулятор'!$G$7="30/365",'депозитный калькулятор'!$G$7="30/360"),DAY(EOMONTH($F$24,0))=31),F661=EOMONTH($F$24,0)-1,F661=EOMONTH($F$24,0)),SUM(OFFSET(Q661,-E661+1,0):Q661),SUM(OFFSET(Q661,-E661+1,0):Q661)),IF('депозитный калькулятор'!$G$10="ежеквартальное",IF(F661&gt;'депозитный калькулятор'!$D$8," ",IF(AND(EOMONTH(F661,0)=F661,OR(MONTH(F661)=3,MONTH(F661)=6,MONTH(F661)=9,MONTH(F661)=12)),IF(EDATE(F661,-3)&lt;'депозитный калькулятор'!$D$7,SUM($H$23:H661),IF(MOD(YEAR(F661),4)=0,IF(AND(EOMONTH(F661,0)=F661,OR(MONTH(F661)=3,MONTH(F661)=6)),SUM(OFFSET(H661,-90,0):H661),IF(AND(EOMONTH(F661,0)=F661,OR(MONTH(F661)=9,MONTH(F661)=12)),SUM(OFFSET(H661,-91,0):H661))),IF(AND(EOMONTH(F661,0)=F661,MONTH(F661)=3),SUM(OFFSET(H661,-89,0):H661),IF(AND(EOMONTH(F661,0)=F661,MONTH(F661)=6),SUM(OFFSET(H661,-90,0):H661),IF(AND(EOMONTH(F661,0)=F661,OR(MONTH(F661)=9,MONTH(F661)=12)),SUM(OFFSET(H661,-91,0):H661)))))),IF(F661='депозитный калькулятор'!$D$8,SUM($H$23:H661)-SUM($I$23:I660),0))),IF('депозитный калькулятор'!$G$10="ежегодное",IF(F661&gt;'депозитный калькулятор'!$D$8," ",IF(F661='депозитный калькулятор'!$D$8,SUM($H$23:H661)-SUM($I$23:I660),IF(AND(EOMONTH(F661,0)=F661,MONTH(F661)=12),IF(MOD(YEAR(F660),4)=0,IF(F661-'депозитный калькулятор'!$D$7&lt;366,SUM($H$23:H661),SUM(OFFSET(H661,-365,0):H661)),IF(F661-'депозитный калькулятор'!$D$7&lt;365,SUM($H$23:H661),SUM(OFFSET(H661,-364,0):H661))),0))),IF(AND('депозитный калькулятор'!$G$10="в конце срока",'депозитный калькулятор'!$D$8=F661),SUM($H$23:H661),0))))))))))))))))))</f>
        <v xml:space="preserve"> </v>
      </c>
      <c r="J661" s="59" t="str">
        <f>IF(F661&gt;'депозитный калькулятор'!$D$8," ",IF('депозитный калькулятор'!$G$16="нет",0,IF(AND('депозитный калькулятор'!$G$17="разовая (в конце срока)",F661='депозитный калькулятор'!$D$8),'депозитный калькулятор'!$G$18,IF(AND('депозитный калькулятор'!$G$17="ежемесячная",EOMONTH(F660,0)=F660),'депозитный калькулятор'!$G$18,IF(AND('депозитный калькулятор'!$G$17="ежегодная",DAY(F660)=31,MONTH(F660)=12),'депозитный калькулятор'!$G$18,IF(AND('депозитный калькулятор'!$G$17="ежемесячная в зависимости от остатка",EOMONTH(F660,0)=F660,P660&gt;0),'депозитный калькулятор'!$G$18,IF(AND('депозитный калькулятор'!$G$17="ежегодная в зависимости от остатка",DAY(F660)=31,MONTH(F660)=12,P660&gt;0),'депозитный калькулятор'!$G$18,0)))))))</f>
        <v xml:space="preserve"> </v>
      </c>
      <c r="K661" s="135" t="str">
        <f>IF($F661=" "," ",IFERROR(VLOOKUP($F661,'депозитный калькулятор'!$B$26:$F$70,2,0),0))</f>
        <v xml:space="preserve"> </v>
      </c>
      <c r="L661" s="135" t="str">
        <f>IF($F661=" "," ",IFERROR(VLOOKUP($F661,'депозитный калькулятор'!$B$26:$F$70,3,0),0))</f>
        <v xml:space="preserve"> </v>
      </c>
      <c r="M661" s="135" t="str">
        <f>IF($F661=" "," ",IFERROR(VLOOKUP($F661,'депозитный калькулятор'!$B$26:$F$70,4,0),0))</f>
        <v xml:space="preserve"> </v>
      </c>
      <c r="N661" s="135" t="str">
        <f>IF($F661=" "," ",IFERROR(VLOOKUP($F661,'депозитный калькулятор'!$B$26:$F$70,5,0),0))</f>
        <v xml:space="preserve"> </v>
      </c>
      <c r="O661" s="146" t="str">
        <f>IF(F661&gt;'депозитный калькулятор'!$D$8," ",IF(F661='депозитный калькулятор'!$D$8,IF(AND($F$24='депозитный калькулятор'!$D$8,'депозитный калькулятор'!$G$13="нет"),-G661-IF(I661=" ",0,I661)-IF(AND(OR('депозитный калькулятор'!$G$7="30/365",'депозитный калькулятор'!$G$7="30/360"),'депозитный калькулятор'!$G$10="в начале срока"),I660,0)-L661+M661-N661,-G661-IF(I661=" ",0,I661)-L661+M661-N661),IF('депозитный калькулятор'!$G$13="есть",M661-N661+IF('депозитный калькулятор'!$G$14="есть",0,-L661),-IF(I661=" ",0,I661)-IF(AND(OR('депозитный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срока"),I660,0)+M661-N661+IF('депозитный калькулятор'!$G$14="есть",0,-L661))))</f>
        <v xml:space="preserve"> </v>
      </c>
      <c r="P661" s="147" t="str">
        <f>IF(F661&gt;'депозитный калькулятор'!$D$8," ",IF(EOMONTH(F660,0)=F660,0,IF(G661&gt;='депозитный калькулятор'!$G$19,P660,P660+1)))</f>
        <v xml:space="preserve"> </v>
      </c>
      <c r="Q661" s="138" t="str">
        <f>IF(F661=" "," ",IF(AND(OR('депозитный калькулятор'!$G$7="30/365",'депозитный калькулятор'!$G$7="30/360"),AND(MONTH(F661)=2,EOMONTH(F661,0)=F661)),IF(DAY(F661)=28,3,2),1)*IF(G661&gt;='депозитный калькулятор'!$G$11,IF(AND('депозитный калькулятор'!$G$7="факт/факт",MOD(YEAR(F661),4)=0),G661*'депозитный калькулятор'!$D$11/366,G661*'депозитный калькулятор'!$G$8),0))</f>
        <v xml:space="preserve"> </v>
      </c>
      <c r="R661" s="158"/>
      <c r="S661" s="62" t="str">
        <f t="shared" ca="1" si="47"/>
        <v xml:space="preserve"> </v>
      </c>
      <c r="T661" s="149" t="str">
        <f ca="1">IF(S661=" "," ",IF('депозитный калькулятор'!$G$7="30/360",DAYS360(U660,IF(DAY(U661)=31,U661-1,U661))+IF(AND(MONTH(U661)=2,U661=EOMONTH(U661,0)),30-DAY(EOMONTH(U661,0)))+T660,VLOOKUP(S661,$C$22:$F$1023,2,0)))</f>
        <v xml:space="preserve"> </v>
      </c>
      <c r="U661" s="64" t="str">
        <f t="shared" ca="1" si="45"/>
        <v xml:space="preserve"> </v>
      </c>
      <c r="V661" s="150" t="str">
        <f t="shared" ca="1" si="48"/>
        <v xml:space="preserve"> </v>
      </c>
      <c r="W661" s="62" t="str">
        <f t="shared" ca="1" si="49"/>
        <v xml:space="preserve"> </v>
      </c>
      <c r="X661" s="141" t="str">
        <f ca="1">IF(S661=" "," ",IFERROR(VLOOKUP(U661,$F$23:$N$1023,7)+VLOOKUP(U661,$F$23:$N$1023,9)+IF(AND('депозитный калькулятор'!$G$13="нет",U661&lt;&gt;'депозитный калькулятор'!$D$8),VLOOKUP(U661,$F$23:$N$1023,4),0),0)+IF(U661='депозитный калькулятор'!$D$8,VLOOKUP(U661,$F$23:$N$1023,2)+VLOOKUP(U661,$F$23:$N$1023,4),0))</f>
        <v xml:space="preserve"> </v>
      </c>
      <c r="Y661" s="142" t="str">
        <f ca="1">IF(S661=" "," ",W661/(1+'депозитный калькулятор'!$K$8)^(T661/IF('депозитный калькулятор'!$G$7="30/360",360,365)))</f>
        <v xml:space="preserve"> </v>
      </c>
      <c r="Z661" s="142" t="str">
        <f ca="1">IF(S661=" "," ",X661/(1+'депозитный калькулятор'!$K$8)^(T661/IF('депозитный калькулятор'!$G$7="30/360",360,365)))</f>
        <v xml:space="preserve"> </v>
      </c>
      <c r="AA661" s="151"/>
      <c r="AB661" s="151"/>
      <c r="AC661" s="155"/>
      <c r="AD661" s="155"/>
    </row>
    <row r="662" spans="1:30" s="2" customFormat="1" ht="15.5" x14ac:dyDescent="0.35">
      <c r="A662" s="41" t="str">
        <f>IF(F662=" "," ",IF(OR('депозитный калькулятор'!$G$7="30/365",'депозитный калькулятор'!$G$7="30/360"),IF(AND(MONTH(F662)=2,DAY(F662)=DAY(EOMONTH(F662,0))),30-DAY(EOMONTH(F662,0)),IF(DAY(F662)=31,1," "))," "))</f>
        <v xml:space="preserve"> </v>
      </c>
      <c r="B662" s="130" t="str">
        <f t="shared" si="46"/>
        <v xml:space="preserve"> </v>
      </c>
      <c r="C662" s="130" t="str">
        <f>IF(OR(B662=0,B662=" ")," ",SUM($B$23:B662))</f>
        <v xml:space="preserve"> </v>
      </c>
      <c r="D662" s="62" t="str">
        <f>IF(D661=" "," ",IF(OR(F661='депозитный калькулятор'!$D$8,F661=" ")," ",D661+1))</f>
        <v xml:space="preserve"> </v>
      </c>
      <c r="E662" s="130" t="str">
        <f>IF(OR(F661='депозитный калькулятор'!$D$8,F661=" ")," ",IF(EOMONTH(F661,0)=F661,1,E661+1))</f>
        <v xml:space="preserve"> </v>
      </c>
      <c r="F662" s="64" t="str">
        <f>IF(F661=" "," ",IF(F661='депозитный калькулятор'!$D$8," ",F661+1))</f>
        <v xml:space="preserve"> </v>
      </c>
      <c r="G662" s="145" t="str">
        <f xml:space="preserve"> IF(F662&gt;'депозитный калькулятор'!$D$8," ",IF('депозитный калькулятор'!$G$13="есть",IF('депозитный калькулятор'!$G$14="есть",G661+IF(I661=" ",0,I661)-J662-K662+L662+M662-N662,G661+IF(I661=" ",0,I661)-J662-K662+M662-N662),IF('депозитный калькулятор'!$G$14="есть",G661-J662-K662+L662+M662-N662,G661-J662-K662+M662-N662)))</f>
        <v xml:space="preserve"> </v>
      </c>
      <c r="H662" s="133" t="str">
        <f>IF(F662&gt;'депозитный калькулятор'!$D$8," ",IF(AND(OR('депозитный калькулятор'!$G$7="30/365",'депозитный калькулятор'!$G$7="30/360"),AND(MONTH(F662)=2,EOMONTH(F662,0)=F662)),IF(DAY(F662)=28,3*G662*'депозитный калькулятор'!$G$8,2*G662*'депозитный калькулятор'!$G$8),IF(AND(OR('депозитный калькулятор'!$G$7="30/365",'депозитный калькулятор'!$G$7="30/360"),DAY(F662)=31)," ",IF(AND('депозитный калькулятор'!$G$7="факт/факт",MOD(YEAR(F662),4)=0),G662*'депозитный калькулятор'!$D$11/366,G662*'депозитный калькулятор'!$G$8))))</f>
        <v xml:space="preserve"> </v>
      </c>
      <c r="I662" s="134" t="str">
        <f ca="1">IF(F662=" "," ",IF('депозитный калькулятор'!$G$10="ежедневное",H662,IF(AND('депозитный калькулятор'!$G$10="еженедельное",WEEKDAY(F662,2)=7),SUM(OFFSET(H662,-6,0):H662),IF(AND('депозитный калькулятор'!$G$10="еженедельное",F662='депозитный калькулятор'!$D$8),SUM($H$23:H662)-SUM($I$23:I661),IF(AND('депозитный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недели",WEEKDAY(F662,2)=7),MIN(OFFSET(H662,-6,0):H662)*(COUNTIF(OFFSET(H662,-6,0):H662,"&gt;0")+SUMIF(OFFSET(A662,-WEEKDAY(F662,2),0):A662,"=2",OFFSET(A662,-WEEKDAY(F662,2),0):A662)),IF(AND('депозитный калькулятор'!$G$10="еженедельное, на минимальную сумму зафиксированную в течение недели",F662='депозитный калькулятор'!$D$8,WEEKDAY(F662,2)&lt;&gt;7),MIN(OFFSET(H662,-WEEKDAY(F662,2),0):H662)*(COUNTIF(OFFSET(H662,-WEEKDAY(F662,2)+1,0):H662,"&gt;0")+SUM(OFFSET(A662,-WEEKDAY(F662,2),0):A662)),IF(AND('депозитный калькулятор'!$G$10="ежемесячное (в конце месяца)",F662='депозитный калькулятор'!$D$8,EOMONTH(F662,0)&lt;&gt;F662),IF('депозитный калькулятор'!$F$1=1,$H$24,SUM($H$23:H662)-SUM($I$23:I661)),IF(AND('депозитный калькулятор'!$G$10="ежемесячное (в конце месяца)",EOMONTH(F662,0)=F662),SUM($H$23:H662)-SUM($I$23:I661),IF(AND('депозитный калькулятор'!$G$10="ежемесячное (по дням открытия вклада)",F662='депозитный калькулятор'!$D$8,DAY('депозитный калькулятор'!$D$7)&lt;&gt;DAY(F662)),IF('депозитный калькулятор'!$F$1=1,$H$24,SUM($H$23:H662)-SUM($I$23:I661)),IF(AND('депозитный калькулятор'!$G$10="ежемесячное (по дням открытия вклада)",DAY('депозитный калькулятор'!$D$7)=DAY(F662)),SUM($H$23:H662)-SUM($I$23:I661),IF(AND('депозитный калькулятор'!$G$10="ежемесячное, на минимальную сумму зафиксированную в течение месяца",F662='депозитный калькулятор'!$D$8,EOMONTH(F662,0)&lt;&gt;F662),IF('депозитный калькулятор'!$F$1=1,$H$24,IF(AND(OR('депозитный калькулятор'!$G$7="30/365",'депозитный калькулятор'!$G$7="30/360"),DAY(F662)=31),0,MIN(OFFSET(H662,-E662+1,0):H662)*(E662+SUMIF(OFFSET(A662,-E662+1,0):A662,"=2",OFFSET(A662,-E662+1,0):A662)))),IF(AND('депозитный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калькулятор'!$G$7="30/360"),DAY(EOMONTH(F662,0))=31),EOMONTH(F662,0)-1=F662,EOMONTH(F662,0)=F662)),IF(IF(AND(OR('депозитный калькулятор'!$G$7="30/365",'депозитный калькулятор'!$G$7="30/360"),DAY(EOMONTH($F$23,0))=31),F662=EOMONTH($F$23,0)-1,F662=EOMONTH($F$23,0)),MIN(OFFSET(H662,-(DAY(F662)-DAY($F$23)),0):H662)*E662,MIN(OFFSET(H662,-(DAY(F662)-1),0):H662)*IF(AND(OR('депозитный калькулятор'!$G$7="30/365",'депозитный калькулятор'!$G$7="30/360"),DAY(F662)&lt;30),30,DAY(F662))),IF(AND('депозитный калькулятор'!$G$10="ежемесячное, на средний остаток в течение месяца, при условии что остаток больше чем ограничение",F662='депозитный калькулятор'!$D$8,EOMONTH(F662,0)&lt;&gt;F662),IF('депозитный калькулятор'!$F$1=1,$H$24,SUM(OFFSET(Q662,-E662+1,0):Q662)),IF(AND('депозитный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калькулятор'!$G$7="30/360"),DAY(EOMONTH(F662,0))=31),EOMONTH(F662,0)-1=F662,EOMONTH(F662,0)=F662)),IF(IF(AND(OR('депозитный калькулятор'!$G$7="30/365",'депозитный калькулятор'!$G$7="30/360"),DAY(EOMONTH($F$24,0))=31),F662=EOMONTH($F$24,0)-1,F662=EOMONTH($F$24,0)),SUM(OFFSET(Q662,-E662+1,0):Q662),SUM(OFFSET(Q662,-E662+1,0):Q662)),IF('депозитный калькулятор'!$G$10="ежеквартальное",IF(F662&gt;'депозитный калькулятор'!$D$8," ",IF(AND(EOMONTH(F662,0)=F662,OR(MONTH(F662)=3,MONTH(F662)=6,MONTH(F662)=9,MONTH(F662)=12)),IF(EDATE(F662,-3)&lt;'депозитный калькулятор'!$D$7,SUM($H$23:H662),IF(MOD(YEAR(F662),4)=0,IF(AND(EOMONTH(F662,0)=F662,OR(MONTH(F662)=3,MONTH(F662)=6)),SUM(OFFSET(H662,-90,0):H662),IF(AND(EOMONTH(F662,0)=F662,OR(MONTH(F662)=9,MONTH(F662)=12)),SUM(OFFSET(H662,-91,0):H662))),IF(AND(EOMONTH(F662,0)=F662,MONTH(F662)=3),SUM(OFFSET(H662,-89,0):H662),IF(AND(EOMONTH(F662,0)=F662,MONTH(F662)=6),SUM(OFFSET(H662,-90,0):H662),IF(AND(EOMONTH(F662,0)=F662,OR(MONTH(F662)=9,MONTH(F662)=12)),SUM(OFFSET(H662,-91,0):H662)))))),IF(F662='депозитный калькулятор'!$D$8,SUM($H$23:H662)-SUM($I$23:I661),0))),IF('депозитный калькулятор'!$G$10="ежегодное",IF(F662&gt;'депозитный калькулятор'!$D$8," ",IF(F662='депозитный калькулятор'!$D$8,SUM($H$23:H662)-SUM($I$23:I661),IF(AND(EOMONTH(F662,0)=F662,MONTH(F662)=12),IF(MOD(YEAR(F661),4)=0,IF(F662-'депозитный калькулятор'!$D$7&lt;366,SUM($H$23:H662),SUM(OFFSET(H662,-365,0):H662)),IF(F662-'депозитный калькулятор'!$D$7&lt;365,SUM($H$23:H662),SUM(OFFSET(H662,-364,0):H662))),0))),IF(AND('депозитный калькулятор'!$G$10="в конце срока",'депозитный калькулятор'!$D$8=F662),SUM($H$23:H662),0))))))))))))))))))</f>
        <v xml:space="preserve"> </v>
      </c>
      <c r="J662" s="59" t="str">
        <f>IF(F662&gt;'депозитный калькулятор'!$D$8," ",IF('депозитный калькулятор'!$G$16="нет",0,IF(AND('депозитный калькулятор'!$G$17="разовая (в конце срока)",F662='депозитный калькулятор'!$D$8),'депозитный калькулятор'!$G$18,IF(AND('депозитный калькулятор'!$G$17="ежемесячная",EOMONTH(F661,0)=F661),'депозитный калькулятор'!$G$18,IF(AND('депозитный калькулятор'!$G$17="ежегодная",DAY(F661)=31,MONTH(F661)=12),'депозитный калькулятор'!$G$18,IF(AND('депозитный калькулятор'!$G$17="ежемесячная в зависимости от остатка",EOMONTH(F661,0)=F661,P661&gt;0),'депозитный калькулятор'!$G$18,IF(AND('депозитный калькулятор'!$G$17="ежегодная в зависимости от остатка",DAY(F661)=31,MONTH(F661)=12,P661&gt;0),'депозитный калькулятор'!$G$18,0)))))))</f>
        <v xml:space="preserve"> </v>
      </c>
      <c r="K662" s="135" t="str">
        <f>IF($F662=" "," ",IFERROR(VLOOKUP($F662,'депозитный калькулятор'!$B$26:$F$70,2,0),0))</f>
        <v xml:space="preserve"> </v>
      </c>
      <c r="L662" s="135" t="str">
        <f>IF($F662=" "," ",IFERROR(VLOOKUP($F662,'депозитный калькулятор'!$B$26:$F$70,3,0),0))</f>
        <v xml:space="preserve"> </v>
      </c>
      <c r="M662" s="135" t="str">
        <f>IF($F662=" "," ",IFERROR(VLOOKUP($F662,'депозитный калькулятор'!$B$26:$F$70,4,0),0))</f>
        <v xml:space="preserve"> </v>
      </c>
      <c r="N662" s="135" t="str">
        <f>IF($F662=" "," ",IFERROR(VLOOKUP($F662,'депозитный калькулятор'!$B$26:$F$70,5,0),0))</f>
        <v xml:space="preserve"> </v>
      </c>
      <c r="O662" s="146" t="str">
        <f>IF(F662&gt;'депозитный калькулятор'!$D$8," ",IF(F662='депозитный калькулятор'!$D$8,IF(AND($F$24='депозитный калькулятор'!$D$8,'депозитный калькулятор'!$G$13="нет"),-G662-IF(I662=" ",0,I662)-IF(AND(OR('депозитный калькулятор'!$G$7="30/365",'депозитный калькулятор'!$G$7="30/360"),'депозитный калькулятор'!$G$10="в начале срока"),I661,0)-L662+M662-N662,-G662-IF(I662=" ",0,I662)-L662+M662-N662),IF('депозитный калькулятор'!$G$13="есть",M662-N662+IF('депозитный калькулятор'!$G$14="есть",0,-L662),-IF(I662=" ",0,I662)-IF(AND(OR('депозитный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срока"),I661,0)+M662-N662+IF('депозитный калькулятор'!$G$14="есть",0,-L662))))</f>
        <v xml:space="preserve"> </v>
      </c>
      <c r="P662" s="147" t="str">
        <f>IF(F662&gt;'депозитный калькулятор'!$D$8," ",IF(EOMONTH(F661,0)=F661,0,IF(G662&gt;='депозитный калькулятор'!$G$19,P661,P661+1)))</f>
        <v xml:space="preserve"> </v>
      </c>
      <c r="Q662" s="138" t="str">
        <f>IF(F662=" "," ",IF(AND(OR('депозитный калькулятор'!$G$7="30/365",'депозитный калькулятор'!$G$7="30/360"),AND(MONTH(F662)=2,EOMONTH(F662,0)=F662)),IF(DAY(F662)=28,3,2),1)*IF(G662&gt;='депозитный калькулятор'!$G$11,IF(AND('депозитный калькулятор'!$G$7="факт/факт",MOD(YEAR(F662),4)=0),G662*'депозитный калькулятор'!$D$11/366,G662*'депозитный калькулятор'!$G$8),0))</f>
        <v xml:space="preserve"> </v>
      </c>
      <c r="R662" s="158"/>
      <c r="S662" s="62" t="str">
        <f t="shared" ca="1" si="47"/>
        <v xml:space="preserve"> </v>
      </c>
      <c r="T662" s="149" t="str">
        <f ca="1">IF(S662=" "," ",IF('депозитный калькулятор'!$G$7="30/360",DAYS360(U661,IF(DAY(U662)=31,U662-1,U662))+IF(AND(MONTH(U662)=2,U662=EOMONTH(U662,0)),30-DAY(EOMONTH(U662,0)))+T661,VLOOKUP(S662,$C$22:$F$1023,2,0)))</f>
        <v xml:space="preserve"> </v>
      </c>
      <c r="U662" s="64" t="str">
        <f t="shared" ca="1" si="45"/>
        <v xml:space="preserve"> </v>
      </c>
      <c r="V662" s="150" t="str">
        <f t="shared" ca="1" si="48"/>
        <v xml:space="preserve"> </v>
      </c>
      <c r="W662" s="62" t="str">
        <f t="shared" ca="1" si="49"/>
        <v xml:space="preserve"> </v>
      </c>
      <c r="X662" s="141" t="str">
        <f ca="1">IF(S662=" "," ",IFERROR(VLOOKUP(U662,$F$23:$N$1023,7)+VLOOKUP(U662,$F$23:$N$1023,9)+IF(AND('депозитный калькулятор'!$G$13="нет",U662&lt;&gt;'депозитный калькулятор'!$D$8),VLOOKUP(U662,$F$23:$N$1023,4),0),0)+IF(U662='депозитный калькулятор'!$D$8,VLOOKUP(U662,$F$23:$N$1023,2)+VLOOKUP(U662,$F$23:$N$1023,4),0))</f>
        <v xml:space="preserve"> </v>
      </c>
      <c r="Y662" s="142" t="str">
        <f ca="1">IF(S662=" "," ",W662/(1+'депозитный калькулятор'!$K$8)^(T662/IF('депозитный калькулятор'!$G$7="30/360",360,365)))</f>
        <v xml:space="preserve"> </v>
      </c>
      <c r="Z662" s="142" t="str">
        <f ca="1">IF(S662=" "," ",X662/(1+'депозитный калькулятор'!$K$8)^(T662/IF('депозитный калькулятор'!$G$7="30/360",360,365)))</f>
        <v xml:space="preserve"> </v>
      </c>
      <c r="AA662" s="151"/>
      <c r="AB662" s="151"/>
      <c r="AC662" s="155"/>
      <c r="AD662" s="155"/>
    </row>
    <row r="663" spans="1:30" s="2" customFormat="1" ht="15.5" x14ac:dyDescent="0.35">
      <c r="A663" s="41" t="str">
        <f>IF(F663=" "," ",IF(OR('депозитный калькулятор'!$G$7="30/365",'депозитный калькулятор'!$G$7="30/360"),IF(AND(MONTH(F663)=2,DAY(F663)=DAY(EOMONTH(F663,0))),30-DAY(EOMONTH(F663,0)),IF(DAY(F663)=31,1," "))," "))</f>
        <v xml:space="preserve"> </v>
      </c>
      <c r="B663" s="130" t="str">
        <f t="shared" si="46"/>
        <v xml:space="preserve"> </v>
      </c>
      <c r="C663" s="130" t="str">
        <f>IF(OR(B663=0,B663=" ")," ",SUM($B$23:B663))</f>
        <v xml:space="preserve"> </v>
      </c>
      <c r="D663" s="62" t="str">
        <f>IF(D662=" "," ",IF(OR(F662='депозитный калькулятор'!$D$8,F662=" ")," ",D662+1))</f>
        <v xml:space="preserve"> </v>
      </c>
      <c r="E663" s="130" t="str">
        <f>IF(OR(F662='депозитный калькулятор'!$D$8,F662=" ")," ",IF(EOMONTH(F662,0)=F662,1,E662+1))</f>
        <v xml:space="preserve"> </v>
      </c>
      <c r="F663" s="64" t="str">
        <f>IF(F662=" "," ",IF(F662='депозитный калькулятор'!$D$8," ",F662+1))</f>
        <v xml:space="preserve"> </v>
      </c>
      <c r="G663" s="145" t="str">
        <f xml:space="preserve"> IF(F663&gt;'депозитный калькулятор'!$D$8," ",IF('депозитный калькулятор'!$G$13="есть",IF('депозитный калькулятор'!$G$14="есть",G662+IF(I662=" ",0,I662)-J663-K663+L663+M663-N663,G662+IF(I662=" ",0,I662)-J663-K663+M663-N663),IF('депозитный калькулятор'!$G$14="есть",G662-J663-K663+L663+M663-N663,G662-J663-K663+M663-N663)))</f>
        <v xml:space="preserve"> </v>
      </c>
      <c r="H663" s="133" t="str">
        <f>IF(F663&gt;'депозитный калькулятор'!$D$8," ",IF(AND(OR('депозитный калькулятор'!$G$7="30/365",'депозитный калькулятор'!$G$7="30/360"),AND(MONTH(F663)=2,EOMONTH(F663,0)=F663)),IF(DAY(F663)=28,3*G663*'депозитный калькулятор'!$G$8,2*G663*'депозитный калькулятор'!$G$8),IF(AND(OR('депозитный калькулятор'!$G$7="30/365",'депозитный калькулятор'!$G$7="30/360"),DAY(F663)=31)," ",IF(AND('депозитный калькулятор'!$G$7="факт/факт",MOD(YEAR(F663),4)=0),G663*'депозитный калькулятор'!$D$11/366,G663*'депозитный калькулятор'!$G$8))))</f>
        <v xml:space="preserve"> </v>
      </c>
      <c r="I663" s="134" t="str">
        <f ca="1">IF(F663=" "," ",IF('депозитный калькулятор'!$G$10="ежедневное",H663,IF(AND('депозитный калькулятор'!$G$10="еженедельное",WEEKDAY(F663,2)=7),SUM(OFFSET(H663,-6,0):H663),IF(AND('депозитный калькулятор'!$G$10="еженедельное",F663='депозитный калькулятор'!$D$8),SUM($H$23:H663)-SUM($I$23:I662),IF(AND('депозитный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недели",WEEKDAY(F663,2)=7),MIN(OFFSET(H663,-6,0):H663)*(COUNTIF(OFFSET(H663,-6,0):H663,"&gt;0")+SUMIF(OFFSET(A663,-WEEKDAY(F663,2),0):A663,"=2",OFFSET(A663,-WEEKDAY(F663,2),0):A663)),IF(AND('депозитный калькулятор'!$G$10="еженедельное, на минимальную сумму зафиксированную в течение недели",F663='депозитный калькулятор'!$D$8,WEEKDAY(F663,2)&lt;&gt;7),MIN(OFFSET(H663,-WEEKDAY(F663,2),0):H663)*(COUNTIF(OFFSET(H663,-WEEKDAY(F663,2)+1,0):H663,"&gt;0")+SUM(OFFSET(A663,-WEEKDAY(F663,2),0):A663)),IF(AND('депозитный калькулятор'!$G$10="ежемесячное (в конце месяца)",F663='депозитный калькулятор'!$D$8,EOMONTH(F663,0)&lt;&gt;F663),IF('депозитный калькулятор'!$F$1=1,$H$24,SUM($H$23:H663)-SUM($I$23:I662)),IF(AND('депозитный калькулятор'!$G$10="ежемесячное (в конце месяца)",EOMONTH(F663,0)=F663),SUM($H$23:H663)-SUM($I$23:I662),IF(AND('депозитный калькулятор'!$G$10="ежемесячное (по дням открытия вклада)",F663='депозитный калькулятор'!$D$8,DAY('депозитный калькулятор'!$D$7)&lt;&gt;DAY(F663)),IF('депозитный калькулятор'!$F$1=1,$H$24,SUM($H$23:H663)-SUM($I$23:I662)),IF(AND('депозитный калькулятор'!$G$10="ежемесячное (по дням открытия вклада)",DAY('депозитный калькулятор'!$D$7)=DAY(F663)),SUM($H$23:H663)-SUM($I$23:I662),IF(AND('депозитный калькулятор'!$G$10="ежемесячное, на минимальную сумму зафиксированную в течение месяца",F663='депозитный калькулятор'!$D$8,EOMONTH(F663,0)&lt;&gt;F663),IF('депозитный калькулятор'!$F$1=1,$H$24,IF(AND(OR('депозитный калькулятор'!$G$7="30/365",'депозитный калькулятор'!$G$7="30/360"),DAY(F663)=31),0,MIN(OFFSET(H663,-E663+1,0):H663)*(E663+SUMIF(OFFSET(A663,-E663+1,0):A663,"=2",OFFSET(A663,-E663+1,0):A663)))),IF(AND('депозитный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калькулятор'!$G$7="30/360"),DAY(EOMONTH(F663,0))=31),EOMONTH(F663,0)-1=F663,EOMONTH(F663,0)=F663)),IF(IF(AND(OR('депозитный калькулятор'!$G$7="30/365",'депозитный калькулятор'!$G$7="30/360"),DAY(EOMONTH($F$23,0))=31),F663=EOMONTH($F$23,0)-1,F663=EOMONTH($F$23,0)),MIN(OFFSET(H663,-(DAY(F663)-DAY($F$23)),0):H663)*E663,MIN(OFFSET(H663,-(DAY(F663)-1),0):H663)*IF(AND(OR('депозитный калькулятор'!$G$7="30/365",'депозитный калькулятор'!$G$7="30/360"),DAY(F663)&lt;30),30,DAY(F663))),IF(AND('депозитный калькулятор'!$G$10="ежемесячное, на средний остаток в течение месяца, при условии что остаток больше чем ограничение",F663='депозитный калькулятор'!$D$8,EOMONTH(F663,0)&lt;&gt;F663),IF('депозитный калькулятор'!$F$1=1,$H$24,SUM(OFFSET(Q663,-E663+1,0):Q663)),IF(AND('депозитный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калькулятор'!$G$7="30/360"),DAY(EOMONTH(F663,0))=31),EOMONTH(F663,0)-1=F663,EOMONTH(F663,0)=F663)),IF(IF(AND(OR('депозитный калькулятор'!$G$7="30/365",'депозитный калькулятор'!$G$7="30/360"),DAY(EOMONTH($F$24,0))=31),F663=EOMONTH($F$24,0)-1,F663=EOMONTH($F$24,0)),SUM(OFFSET(Q663,-E663+1,0):Q663),SUM(OFFSET(Q663,-E663+1,0):Q663)),IF('депозитный калькулятор'!$G$10="ежеквартальное",IF(F663&gt;'депозитный калькулятор'!$D$8," ",IF(AND(EOMONTH(F663,0)=F663,OR(MONTH(F663)=3,MONTH(F663)=6,MONTH(F663)=9,MONTH(F663)=12)),IF(EDATE(F663,-3)&lt;'депозитный калькулятор'!$D$7,SUM($H$23:H663),IF(MOD(YEAR(F663),4)=0,IF(AND(EOMONTH(F663,0)=F663,OR(MONTH(F663)=3,MONTH(F663)=6)),SUM(OFFSET(H663,-90,0):H663),IF(AND(EOMONTH(F663,0)=F663,OR(MONTH(F663)=9,MONTH(F663)=12)),SUM(OFFSET(H663,-91,0):H663))),IF(AND(EOMONTH(F663,0)=F663,MONTH(F663)=3),SUM(OFFSET(H663,-89,0):H663),IF(AND(EOMONTH(F663,0)=F663,MONTH(F663)=6),SUM(OFFSET(H663,-90,0):H663),IF(AND(EOMONTH(F663,0)=F663,OR(MONTH(F663)=9,MONTH(F663)=12)),SUM(OFFSET(H663,-91,0):H663)))))),IF(F663='депозитный калькулятор'!$D$8,SUM($H$23:H663)-SUM($I$23:I662),0))),IF('депозитный калькулятор'!$G$10="ежегодное",IF(F663&gt;'депозитный калькулятор'!$D$8," ",IF(F663='депозитный калькулятор'!$D$8,SUM($H$23:H663)-SUM($I$23:I662),IF(AND(EOMONTH(F663,0)=F663,MONTH(F663)=12),IF(MOD(YEAR(F662),4)=0,IF(F663-'депозитный калькулятор'!$D$7&lt;366,SUM($H$23:H663),SUM(OFFSET(H663,-365,0):H663)),IF(F663-'депозитный калькулятор'!$D$7&lt;365,SUM($H$23:H663),SUM(OFFSET(H663,-364,0):H663))),0))),IF(AND('депозитный калькулятор'!$G$10="в конце срока",'депозитный калькулятор'!$D$8=F663),SUM($H$23:H663),0))))))))))))))))))</f>
        <v xml:space="preserve"> </v>
      </c>
      <c r="J663" s="59" t="str">
        <f>IF(F663&gt;'депозитный калькулятор'!$D$8," ",IF('депозитный калькулятор'!$G$16="нет",0,IF(AND('депозитный калькулятор'!$G$17="разовая (в конце срока)",F663='депозитный калькулятор'!$D$8),'депозитный калькулятор'!$G$18,IF(AND('депозитный калькулятор'!$G$17="ежемесячная",EOMONTH(F662,0)=F662),'депозитный калькулятор'!$G$18,IF(AND('депозитный калькулятор'!$G$17="ежегодная",DAY(F662)=31,MONTH(F662)=12),'депозитный калькулятор'!$G$18,IF(AND('депозитный калькулятор'!$G$17="ежемесячная в зависимости от остатка",EOMONTH(F662,0)=F662,P662&gt;0),'депозитный калькулятор'!$G$18,IF(AND('депозитный калькулятор'!$G$17="ежегодная в зависимости от остатка",DAY(F662)=31,MONTH(F662)=12,P662&gt;0),'депозитный калькулятор'!$G$18,0)))))))</f>
        <v xml:space="preserve"> </v>
      </c>
      <c r="K663" s="135" t="str">
        <f>IF($F663=" "," ",IFERROR(VLOOKUP($F663,'депозитный калькулятор'!$B$26:$F$70,2,0),0))</f>
        <v xml:space="preserve"> </v>
      </c>
      <c r="L663" s="135" t="str">
        <f>IF($F663=" "," ",IFERROR(VLOOKUP($F663,'депозитный калькулятор'!$B$26:$F$70,3,0),0))</f>
        <v xml:space="preserve"> </v>
      </c>
      <c r="M663" s="135" t="str">
        <f>IF($F663=" "," ",IFERROR(VLOOKUP($F663,'депозитный калькулятор'!$B$26:$F$70,4,0),0))</f>
        <v xml:space="preserve"> </v>
      </c>
      <c r="N663" s="135" t="str">
        <f>IF($F663=" "," ",IFERROR(VLOOKUP($F663,'депозитный калькулятор'!$B$26:$F$70,5,0),0))</f>
        <v xml:space="preserve"> </v>
      </c>
      <c r="O663" s="146" t="str">
        <f>IF(F663&gt;'депозитный калькулятор'!$D$8," ",IF(F663='депозитный калькулятор'!$D$8,IF(AND($F$24='депозитный калькулятор'!$D$8,'депозитный калькулятор'!$G$13="нет"),-G663-IF(I663=" ",0,I663)-IF(AND(OR('депозитный калькулятор'!$G$7="30/365",'депозитный калькулятор'!$G$7="30/360"),'депозитный калькулятор'!$G$10="в начале срока"),I662,0)-L663+M663-N663,-G663-IF(I663=" ",0,I663)-L663+M663-N663),IF('депозитный калькулятор'!$G$13="есть",M663-N663+IF('депозитный калькулятор'!$G$14="есть",0,-L663),-IF(I663=" ",0,I663)-IF(AND(OR('депозитный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срока"),I662,0)+M663-N663+IF('депозитный калькулятор'!$G$14="есть",0,-L663))))</f>
        <v xml:space="preserve"> </v>
      </c>
      <c r="P663" s="147" t="str">
        <f>IF(F663&gt;'депозитный калькулятор'!$D$8," ",IF(EOMONTH(F662,0)=F662,0,IF(G663&gt;='депозитный калькулятор'!$G$19,P662,P662+1)))</f>
        <v xml:space="preserve"> </v>
      </c>
      <c r="Q663" s="138" t="str">
        <f>IF(F663=" "," ",IF(AND(OR('депозитный калькулятор'!$G$7="30/365",'депозитный калькулятор'!$G$7="30/360"),AND(MONTH(F663)=2,EOMONTH(F663,0)=F663)),IF(DAY(F663)=28,3,2),1)*IF(G663&gt;='депозитный калькулятор'!$G$11,IF(AND('депозитный калькулятор'!$G$7="факт/факт",MOD(YEAR(F663),4)=0),G663*'депозитный калькулятор'!$D$11/366,G663*'депозитный калькулятор'!$G$8),0))</f>
        <v xml:space="preserve"> </v>
      </c>
      <c r="R663" s="158"/>
      <c r="S663" s="62" t="str">
        <f t="shared" ca="1" si="47"/>
        <v xml:space="preserve"> </v>
      </c>
      <c r="T663" s="149" t="str">
        <f ca="1">IF(S663=" "," ",IF('депозитный калькулятор'!$G$7="30/360",DAYS360(U662,IF(DAY(U663)=31,U663-1,U663))+IF(AND(MONTH(U663)=2,U663=EOMONTH(U663,0)),30-DAY(EOMONTH(U663,0)))+T662,VLOOKUP(S663,$C$22:$F$1023,2,0)))</f>
        <v xml:space="preserve"> </v>
      </c>
      <c r="U663" s="64" t="str">
        <f t="shared" ref="U663:U726" ca="1" si="50">IF(S663=" "," ",VLOOKUP(S663,$C$22:$F$1023,4,0))</f>
        <v xml:space="preserve"> </v>
      </c>
      <c r="V663" s="150" t="str">
        <f t="shared" ca="1" si="48"/>
        <v xml:space="preserve"> </v>
      </c>
      <c r="W663" s="62" t="str">
        <f t="shared" ca="1" si="49"/>
        <v xml:space="preserve"> </v>
      </c>
      <c r="X663" s="141" t="str">
        <f ca="1">IF(S663=" "," ",IFERROR(VLOOKUP(U663,$F$23:$N$1023,7)+VLOOKUP(U663,$F$23:$N$1023,9)+IF(AND('депозитный калькулятор'!$G$13="нет",U663&lt;&gt;'депозитный калькулятор'!$D$8),VLOOKUP(U663,$F$23:$N$1023,4),0),0)+IF(U663='депозитный калькулятор'!$D$8,VLOOKUP(U663,$F$23:$N$1023,2)+VLOOKUP(U663,$F$23:$N$1023,4),0))</f>
        <v xml:space="preserve"> </v>
      </c>
      <c r="Y663" s="142" t="str">
        <f ca="1">IF(S663=" "," ",W663/(1+'депозитный калькулятор'!$K$8)^(T663/IF('депозитный калькулятор'!$G$7="30/360",360,365)))</f>
        <v xml:space="preserve"> </v>
      </c>
      <c r="Z663" s="142" t="str">
        <f ca="1">IF(S663=" "," ",X663/(1+'депозитный калькулятор'!$K$8)^(T663/IF('депозитный калькулятор'!$G$7="30/360",360,365)))</f>
        <v xml:space="preserve"> </v>
      </c>
      <c r="AA663" s="151"/>
      <c r="AB663" s="151"/>
      <c r="AC663" s="155"/>
      <c r="AD663" s="155"/>
    </row>
    <row r="664" spans="1:30" s="2" customFormat="1" ht="15.5" x14ac:dyDescent="0.35">
      <c r="A664" s="41" t="str">
        <f>IF(F664=" "," ",IF(OR('депозитный калькулятор'!$G$7="30/365",'депозитный калькулятор'!$G$7="30/360"),IF(AND(MONTH(F664)=2,DAY(F664)=DAY(EOMONTH(F664,0))),30-DAY(EOMONTH(F664,0)),IF(DAY(F664)=31,1," "))," "))</f>
        <v xml:space="preserve"> </v>
      </c>
      <c r="B664" s="130" t="str">
        <f t="shared" ref="B664:B727" si="51">IF(F664=" "," ",IF(O664&lt;&gt;0,1,0))</f>
        <v xml:space="preserve"> </v>
      </c>
      <c r="C664" s="130" t="str">
        <f>IF(OR(B664=0,B664=" ")," ",SUM($B$23:B664))</f>
        <v xml:space="preserve"> </v>
      </c>
      <c r="D664" s="62" t="str">
        <f>IF(D663=" "," ",IF(OR(F663='депозитный калькулятор'!$D$8,F663=" ")," ",D663+1))</f>
        <v xml:space="preserve"> </v>
      </c>
      <c r="E664" s="130" t="str">
        <f>IF(OR(F663='депозитный калькулятор'!$D$8,F663=" ")," ",IF(EOMONTH(F663,0)=F663,1,E663+1))</f>
        <v xml:space="preserve"> </v>
      </c>
      <c r="F664" s="64" t="str">
        <f>IF(F663=" "," ",IF(F663='депозитный калькулятор'!$D$8," ",F663+1))</f>
        <v xml:space="preserve"> </v>
      </c>
      <c r="G664" s="145" t="str">
        <f xml:space="preserve"> IF(F664&gt;'депозитный калькулятор'!$D$8," ",IF('депозитный калькулятор'!$G$13="есть",IF('депозитный калькулятор'!$G$14="есть",G663+IF(I663=" ",0,I663)-J664-K664+L664+M664-N664,G663+IF(I663=" ",0,I663)-J664-K664+M664-N664),IF('депозитный калькулятор'!$G$14="есть",G663-J664-K664+L664+M664-N664,G663-J664-K664+M664-N664)))</f>
        <v xml:space="preserve"> </v>
      </c>
      <c r="H664" s="133" t="str">
        <f>IF(F664&gt;'депозитный калькулятор'!$D$8," ",IF(AND(OR('депозитный калькулятор'!$G$7="30/365",'депозитный калькулятор'!$G$7="30/360"),AND(MONTH(F664)=2,EOMONTH(F664,0)=F664)),IF(DAY(F664)=28,3*G664*'депозитный калькулятор'!$G$8,2*G664*'депозитный калькулятор'!$G$8),IF(AND(OR('депозитный калькулятор'!$G$7="30/365",'депозитный калькулятор'!$G$7="30/360"),DAY(F664)=31)," ",IF(AND('депозитный калькулятор'!$G$7="факт/факт",MOD(YEAR(F664),4)=0),G664*'депозитный калькулятор'!$D$11/366,G664*'депозитный калькулятор'!$G$8))))</f>
        <v xml:space="preserve"> </v>
      </c>
      <c r="I664" s="134" t="str">
        <f ca="1">IF(F664=" "," ",IF('депозитный калькулятор'!$G$10="ежедневное",H664,IF(AND('депозитный калькулятор'!$G$10="еженедельное",WEEKDAY(F664,2)=7),SUM(OFFSET(H664,-6,0):H664),IF(AND('депозитный калькулятор'!$G$10="еженедельное",F664='депозитный калькулятор'!$D$8),SUM($H$23:H664)-SUM($I$23:I663),IF(AND('депозитный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недели",WEEKDAY(F664,2)=7),MIN(OFFSET(H664,-6,0):H664)*(COUNTIF(OFFSET(H664,-6,0):H664,"&gt;0")+SUMIF(OFFSET(A664,-WEEKDAY(F664,2),0):A664,"=2",OFFSET(A664,-WEEKDAY(F664,2),0):A664)),IF(AND('депозитный калькулятор'!$G$10="еженедельное, на минимальную сумму зафиксированную в течение недели",F664='депозитный калькулятор'!$D$8,WEEKDAY(F664,2)&lt;&gt;7),MIN(OFFSET(H664,-WEEKDAY(F664,2),0):H664)*(COUNTIF(OFFSET(H664,-WEEKDAY(F664,2)+1,0):H664,"&gt;0")+SUM(OFFSET(A664,-WEEKDAY(F664,2),0):A664)),IF(AND('депозитный калькулятор'!$G$10="ежемесячное (в конце месяца)",F664='депозитный калькулятор'!$D$8,EOMONTH(F664,0)&lt;&gt;F664),IF('депозитный калькулятор'!$F$1=1,$H$24,SUM($H$23:H664)-SUM($I$23:I663)),IF(AND('депозитный калькулятор'!$G$10="ежемесячное (в конце месяца)",EOMONTH(F664,0)=F664),SUM($H$23:H664)-SUM($I$23:I663),IF(AND('депозитный калькулятор'!$G$10="ежемесячное (по дням открытия вклада)",F664='депозитный калькулятор'!$D$8,DAY('депозитный калькулятор'!$D$7)&lt;&gt;DAY(F664)),IF('депозитный калькулятор'!$F$1=1,$H$24,SUM($H$23:H664)-SUM($I$23:I663)),IF(AND('депозитный калькулятор'!$G$10="ежемесячное (по дням открытия вклада)",DAY('депозитный калькулятор'!$D$7)=DAY(F664)),SUM($H$23:H664)-SUM($I$23:I663),IF(AND('депозитный калькулятор'!$G$10="ежемесячное, на минимальную сумму зафиксированную в течение месяца",F664='депозитный калькулятор'!$D$8,EOMONTH(F664,0)&lt;&gt;F664),IF('депозитный калькулятор'!$F$1=1,$H$24,IF(AND(OR('депозитный калькулятор'!$G$7="30/365",'депозитный калькулятор'!$G$7="30/360"),DAY(F664)=31),0,MIN(OFFSET(H664,-E664+1,0):H664)*(E664+SUMIF(OFFSET(A664,-E664+1,0):A664,"=2",OFFSET(A664,-E664+1,0):A664)))),IF(AND('депозитный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калькулятор'!$G$7="30/360"),DAY(EOMONTH(F664,0))=31),EOMONTH(F664,0)-1=F664,EOMONTH(F664,0)=F664)),IF(IF(AND(OR('депозитный калькулятор'!$G$7="30/365",'депозитный калькулятор'!$G$7="30/360"),DAY(EOMONTH($F$23,0))=31),F664=EOMONTH($F$23,0)-1,F664=EOMONTH($F$23,0)),MIN(OFFSET(H664,-(DAY(F664)-DAY($F$23)),0):H664)*E664,MIN(OFFSET(H664,-(DAY(F664)-1),0):H664)*IF(AND(OR('депозитный калькулятор'!$G$7="30/365",'депозитный калькулятор'!$G$7="30/360"),DAY(F664)&lt;30),30,DAY(F664))),IF(AND('депозитный калькулятор'!$G$10="ежемесячное, на средний остаток в течение месяца, при условии что остаток больше чем ограничение",F664='депозитный калькулятор'!$D$8,EOMONTH(F664,0)&lt;&gt;F664),IF('депозитный калькулятор'!$F$1=1,$H$24,SUM(OFFSET(Q664,-E664+1,0):Q664)),IF(AND('депозитный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калькулятор'!$G$7="30/360"),DAY(EOMONTH(F664,0))=31),EOMONTH(F664,0)-1=F664,EOMONTH(F664,0)=F664)),IF(IF(AND(OR('депозитный калькулятор'!$G$7="30/365",'депозитный калькулятор'!$G$7="30/360"),DAY(EOMONTH($F$24,0))=31),F664=EOMONTH($F$24,0)-1,F664=EOMONTH($F$24,0)),SUM(OFFSET(Q664,-E664+1,0):Q664),SUM(OFFSET(Q664,-E664+1,0):Q664)),IF('депозитный калькулятор'!$G$10="ежеквартальное",IF(F664&gt;'депозитный калькулятор'!$D$8," ",IF(AND(EOMONTH(F664,0)=F664,OR(MONTH(F664)=3,MONTH(F664)=6,MONTH(F664)=9,MONTH(F664)=12)),IF(EDATE(F664,-3)&lt;'депозитный калькулятор'!$D$7,SUM($H$23:H664),IF(MOD(YEAR(F664),4)=0,IF(AND(EOMONTH(F664,0)=F664,OR(MONTH(F664)=3,MONTH(F664)=6)),SUM(OFFSET(H664,-90,0):H664),IF(AND(EOMONTH(F664,0)=F664,OR(MONTH(F664)=9,MONTH(F664)=12)),SUM(OFFSET(H664,-91,0):H664))),IF(AND(EOMONTH(F664,0)=F664,MONTH(F664)=3),SUM(OFFSET(H664,-89,0):H664),IF(AND(EOMONTH(F664,0)=F664,MONTH(F664)=6),SUM(OFFSET(H664,-90,0):H664),IF(AND(EOMONTH(F664,0)=F664,OR(MONTH(F664)=9,MONTH(F664)=12)),SUM(OFFSET(H664,-91,0):H664)))))),IF(F664='депозитный калькулятор'!$D$8,SUM($H$23:H664)-SUM($I$23:I663),0))),IF('депозитный калькулятор'!$G$10="ежегодное",IF(F664&gt;'депозитный калькулятор'!$D$8," ",IF(F664='депозитный калькулятор'!$D$8,SUM($H$23:H664)-SUM($I$23:I663),IF(AND(EOMONTH(F664,0)=F664,MONTH(F664)=12),IF(MOD(YEAR(F663),4)=0,IF(F664-'депозитный калькулятор'!$D$7&lt;366,SUM($H$23:H664),SUM(OFFSET(H664,-365,0):H664)),IF(F664-'депозитный калькулятор'!$D$7&lt;365,SUM($H$23:H664),SUM(OFFSET(H664,-364,0):H664))),0))),IF(AND('депозитный калькулятор'!$G$10="в конце срока",'депозитный калькулятор'!$D$8=F664),SUM($H$23:H664),0))))))))))))))))))</f>
        <v xml:space="preserve"> </v>
      </c>
      <c r="J664" s="59" t="str">
        <f>IF(F664&gt;'депозитный калькулятор'!$D$8," ",IF('депозитный калькулятор'!$G$16="нет",0,IF(AND('депозитный калькулятор'!$G$17="разовая (в конце срока)",F664='депозитный калькулятор'!$D$8),'депозитный калькулятор'!$G$18,IF(AND('депозитный калькулятор'!$G$17="ежемесячная",EOMONTH(F663,0)=F663),'депозитный калькулятор'!$G$18,IF(AND('депозитный калькулятор'!$G$17="ежегодная",DAY(F663)=31,MONTH(F663)=12),'депозитный калькулятор'!$G$18,IF(AND('депозитный калькулятор'!$G$17="ежемесячная в зависимости от остатка",EOMONTH(F663,0)=F663,P663&gt;0),'депозитный калькулятор'!$G$18,IF(AND('депозитный калькулятор'!$G$17="ежегодная в зависимости от остатка",DAY(F663)=31,MONTH(F663)=12,P663&gt;0),'депозитный калькулятор'!$G$18,0)))))))</f>
        <v xml:space="preserve"> </v>
      </c>
      <c r="K664" s="135" t="str">
        <f>IF($F664=" "," ",IFERROR(VLOOKUP($F664,'депозитный калькулятор'!$B$26:$F$70,2,0),0))</f>
        <v xml:space="preserve"> </v>
      </c>
      <c r="L664" s="135" t="str">
        <f>IF($F664=" "," ",IFERROR(VLOOKUP($F664,'депозитный калькулятор'!$B$26:$F$70,3,0),0))</f>
        <v xml:space="preserve"> </v>
      </c>
      <c r="M664" s="135" t="str">
        <f>IF($F664=" "," ",IFERROR(VLOOKUP($F664,'депозитный калькулятор'!$B$26:$F$70,4,0),0))</f>
        <v xml:space="preserve"> </v>
      </c>
      <c r="N664" s="135" t="str">
        <f>IF($F664=" "," ",IFERROR(VLOOKUP($F664,'депозитный калькулятор'!$B$26:$F$70,5,0),0))</f>
        <v xml:space="preserve"> </v>
      </c>
      <c r="O664" s="146" t="str">
        <f>IF(F664&gt;'депозитный калькулятор'!$D$8," ",IF(F664='депозитный калькулятор'!$D$8,IF(AND($F$24='депозитный калькулятор'!$D$8,'депозитный калькулятор'!$G$13="нет"),-G664-IF(I664=" ",0,I664)-IF(AND(OR('депозитный калькулятор'!$G$7="30/365",'депозитный калькулятор'!$G$7="30/360"),'депозитный калькулятор'!$G$10="в начале срока"),I663,0)-L664+M664-N664,-G664-IF(I664=" ",0,I664)-L664+M664-N664),IF('депозитный калькулятор'!$G$13="есть",M664-N664+IF('депозитный калькулятор'!$G$14="есть",0,-L664),-IF(I664=" ",0,I664)-IF(AND(OR('депозитный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срока"),I663,0)+M664-N664+IF('депозитный калькулятор'!$G$14="есть",0,-L664))))</f>
        <v xml:space="preserve"> </v>
      </c>
      <c r="P664" s="147" t="str">
        <f>IF(F664&gt;'депозитный калькулятор'!$D$8," ",IF(EOMONTH(F663,0)=F663,0,IF(G664&gt;='депозитный калькулятор'!$G$19,P663,P663+1)))</f>
        <v xml:space="preserve"> </v>
      </c>
      <c r="Q664" s="138" t="str">
        <f>IF(F664=" "," ",IF(AND(OR('депозитный калькулятор'!$G$7="30/365",'депозитный калькулятор'!$G$7="30/360"),AND(MONTH(F664)=2,EOMONTH(F664,0)=F664)),IF(DAY(F664)=28,3,2),1)*IF(G664&gt;='депозитный калькулятор'!$G$11,IF(AND('депозитный калькулятор'!$G$7="факт/факт",MOD(YEAR(F664),4)=0),G664*'депозитный калькулятор'!$D$11/366,G664*'депозитный калькулятор'!$G$8),0))</f>
        <v xml:space="preserve"> </v>
      </c>
      <c r="R664" s="158"/>
      <c r="S664" s="62" t="str">
        <f t="shared" ref="S664:S727" ca="1" si="52">IF(S663&lt;COUNTIFS($B$23:$B$1023,"&gt;0"),S663+1," ")</f>
        <v xml:space="preserve"> </v>
      </c>
      <c r="T664" s="149" t="str">
        <f ca="1">IF(S664=" "," ",IF('депозитный калькулятор'!$G$7="30/360",DAYS360(U663,IF(DAY(U664)=31,U664-1,U664))+IF(AND(MONTH(U664)=2,U664=EOMONTH(U664,0)),30-DAY(EOMONTH(U664,0)))+T663,VLOOKUP(S664,$C$22:$F$1023,2,0)))</f>
        <v xml:space="preserve"> </v>
      </c>
      <c r="U664" s="64" t="str">
        <f t="shared" ca="1" si="50"/>
        <v xml:space="preserve"> </v>
      </c>
      <c r="V664" s="150" t="str">
        <f t="shared" ref="V664:V727" ca="1" si="53">VLOOKUP(U664,$F$24:$O$1023,10)</f>
        <v xml:space="preserve"> </v>
      </c>
      <c r="W664" s="62" t="str">
        <f t="shared" ref="W664:W727" ca="1" si="54">IF(S664=" "," ",VLOOKUP(U664,$F$24:$N$1023,8))</f>
        <v xml:space="preserve"> </v>
      </c>
      <c r="X664" s="141" t="str">
        <f ca="1">IF(S664=" "," ",IFERROR(VLOOKUP(U664,$F$23:$N$1023,7)+VLOOKUP(U664,$F$23:$N$1023,9)+IF(AND('депозитный калькулятор'!$G$13="нет",U664&lt;&gt;'депозитный калькулятор'!$D$8),VLOOKUP(U664,$F$23:$N$1023,4),0),0)+IF(U664='депозитный калькулятор'!$D$8,VLOOKUP(U664,$F$23:$N$1023,2)+VLOOKUP(U664,$F$23:$N$1023,4),0))</f>
        <v xml:space="preserve"> </v>
      </c>
      <c r="Y664" s="142" t="str">
        <f ca="1">IF(S664=" "," ",W664/(1+'депозитный калькулятор'!$K$8)^(T664/IF('депозитный калькулятор'!$G$7="30/360",360,365)))</f>
        <v xml:space="preserve"> </v>
      </c>
      <c r="Z664" s="142" t="str">
        <f ca="1">IF(S664=" "," ",X664/(1+'депозитный калькулятор'!$K$8)^(T664/IF('депозитный калькулятор'!$G$7="30/360",360,365)))</f>
        <v xml:space="preserve"> </v>
      </c>
      <c r="AA664" s="151"/>
      <c r="AB664" s="151"/>
      <c r="AC664" s="155"/>
      <c r="AD664" s="155"/>
    </row>
    <row r="665" spans="1:30" s="2" customFormat="1" ht="15.5" x14ac:dyDescent="0.35">
      <c r="A665" s="41" t="str">
        <f>IF(F665=" "," ",IF(OR('депозитный калькулятор'!$G$7="30/365",'депозитный калькулятор'!$G$7="30/360"),IF(AND(MONTH(F665)=2,DAY(F665)=DAY(EOMONTH(F665,0))),30-DAY(EOMONTH(F665,0)),IF(DAY(F665)=31,1," "))," "))</f>
        <v xml:space="preserve"> </v>
      </c>
      <c r="B665" s="130" t="str">
        <f t="shared" si="51"/>
        <v xml:space="preserve"> </v>
      </c>
      <c r="C665" s="130" t="str">
        <f>IF(OR(B665=0,B665=" ")," ",SUM($B$23:B665))</f>
        <v xml:space="preserve"> </v>
      </c>
      <c r="D665" s="62" t="str">
        <f>IF(D664=" "," ",IF(OR(F664='депозитный калькулятор'!$D$8,F664=" ")," ",D664+1))</f>
        <v xml:space="preserve"> </v>
      </c>
      <c r="E665" s="130" t="str">
        <f>IF(OR(F664='депозитный калькулятор'!$D$8,F664=" ")," ",IF(EOMONTH(F664,0)=F664,1,E664+1))</f>
        <v xml:space="preserve"> </v>
      </c>
      <c r="F665" s="64" t="str">
        <f>IF(F664=" "," ",IF(F664='депозитный калькулятор'!$D$8," ",F664+1))</f>
        <v xml:space="preserve"> </v>
      </c>
      <c r="G665" s="145" t="str">
        <f xml:space="preserve"> IF(F665&gt;'депозитный калькулятор'!$D$8," ",IF('депозитный калькулятор'!$G$13="есть",IF('депозитный калькулятор'!$G$14="есть",G664+IF(I664=" ",0,I664)-J665-K665+L665+M665-N665,G664+IF(I664=" ",0,I664)-J665-K665+M665-N665),IF('депозитный калькулятор'!$G$14="есть",G664-J665-K665+L665+M665-N665,G664-J665-K665+M665-N665)))</f>
        <v xml:space="preserve"> </v>
      </c>
      <c r="H665" s="133" t="str">
        <f>IF(F665&gt;'депозитный калькулятор'!$D$8," ",IF(AND(OR('депозитный калькулятор'!$G$7="30/365",'депозитный калькулятор'!$G$7="30/360"),AND(MONTH(F665)=2,EOMONTH(F665,0)=F665)),IF(DAY(F665)=28,3*G665*'депозитный калькулятор'!$G$8,2*G665*'депозитный калькулятор'!$G$8),IF(AND(OR('депозитный калькулятор'!$G$7="30/365",'депозитный калькулятор'!$G$7="30/360"),DAY(F665)=31)," ",IF(AND('депозитный калькулятор'!$G$7="факт/факт",MOD(YEAR(F665),4)=0),G665*'депозитный калькулятор'!$D$11/366,G665*'депозитный калькулятор'!$G$8))))</f>
        <v xml:space="preserve"> </v>
      </c>
      <c r="I665" s="134" t="str">
        <f ca="1">IF(F665=" "," ",IF('депозитный калькулятор'!$G$10="ежедневное",H665,IF(AND('депозитный калькулятор'!$G$10="еженедельное",WEEKDAY(F665,2)=7),SUM(OFFSET(H665,-6,0):H665),IF(AND('депозитный калькулятор'!$G$10="еженедельное",F665='депозитный калькулятор'!$D$8),SUM($H$23:H665)-SUM($I$23:I664),IF(AND('депозитный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недели",WEEKDAY(F665,2)=7),MIN(OFFSET(H665,-6,0):H665)*(COUNTIF(OFFSET(H665,-6,0):H665,"&gt;0")+SUMIF(OFFSET(A665,-WEEKDAY(F665,2),0):A665,"=2",OFFSET(A665,-WEEKDAY(F665,2),0):A665)),IF(AND('депозитный калькулятор'!$G$10="еженедельное, на минимальную сумму зафиксированную в течение недели",F665='депозитный калькулятор'!$D$8,WEEKDAY(F665,2)&lt;&gt;7),MIN(OFFSET(H665,-WEEKDAY(F665,2),0):H665)*(COUNTIF(OFFSET(H665,-WEEKDAY(F665,2)+1,0):H665,"&gt;0")+SUM(OFFSET(A665,-WEEKDAY(F665,2),0):A665)),IF(AND('депозитный калькулятор'!$G$10="ежемесячное (в конце месяца)",F665='депозитный калькулятор'!$D$8,EOMONTH(F665,0)&lt;&gt;F665),IF('депозитный калькулятор'!$F$1=1,$H$24,SUM($H$23:H665)-SUM($I$23:I664)),IF(AND('депозитный калькулятор'!$G$10="ежемесячное (в конце месяца)",EOMONTH(F665,0)=F665),SUM($H$23:H665)-SUM($I$23:I664),IF(AND('депозитный калькулятор'!$G$10="ежемесячное (по дням открытия вклада)",F665='депозитный калькулятор'!$D$8,DAY('депозитный калькулятор'!$D$7)&lt;&gt;DAY(F665)),IF('депозитный калькулятор'!$F$1=1,$H$24,SUM($H$23:H665)-SUM($I$23:I664)),IF(AND('депозитный калькулятор'!$G$10="ежемесячное (по дням открытия вклада)",DAY('депозитный калькулятор'!$D$7)=DAY(F665)),SUM($H$23:H665)-SUM($I$23:I664),IF(AND('депозитный калькулятор'!$G$10="ежемесячное, на минимальную сумму зафиксированную в течение месяца",F665='депозитный калькулятор'!$D$8,EOMONTH(F665,0)&lt;&gt;F665),IF('депозитный калькулятор'!$F$1=1,$H$24,IF(AND(OR('депозитный калькулятор'!$G$7="30/365",'депозитный калькулятор'!$G$7="30/360"),DAY(F665)=31),0,MIN(OFFSET(H665,-E665+1,0):H665)*(E665+SUMIF(OFFSET(A665,-E665+1,0):A665,"=2",OFFSET(A665,-E665+1,0):A665)))),IF(AND('депозитный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калькулятор'!$G$7="30/360"),DAY(EOMONTH(F665,0))=31),EOMONTH(F665,0)-1=F665,EOMONTH(F665,0)=F665)),IF(IF(AND(OR('депозитный калькулятор'!$G$7="30/365",'депозитный калькулятор'!$G$7="30/360"),DAY(EOMONTH($F$23,0))=31),F665=EOMONTH($F$23,0)-1,F665=EOMONTH($F$23,0)),MIN(OFFSET(H665,-(DAY(F665)-DAY($F$23)),0):H665)*E665,MIN(OFFSET(H665,-(DAY(F665)-1),0):H665)*IF(AND(OR('депозитный калькулятор'!$G$7="30/365",'депозитный калькулятор'!$G$7="30/360"),DAY(F665)&lt;30),30,DAY(F665))),IF(AND('депозитный калькулятор'!$G$10="ежемесячное, на средний остаток в течение месяца, при условии что остаток больше чем ограничение",F665='депозитный калькулятор'!$D$8,EOMONTH(F665,0)&lt;&gt;F665),IF('депозитный калькулятор'!$F$1=1,$H$24,SUM(OFFSET(Q665,-E665+1,0):Q665)),IF(AND('депозитный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калькулятор'!$G$7="30/360"),DAY(EOMONTH(F665,0))=31),EOMONTH(F665,0)-1=F665,EOMONTH(F665,0)=F665)),IF(IF(AND(OR('депозитный калькулятор'!$G$7="30/365",'депозитный калькулятор'!$G$7="30/360"),DAY(EOMONTH($F$24,0))=31),F665=EOMONTH($F$24,0)-1,F665=EOMONTH($F$24,0)),SUM(OFFSET(Q665,-E665+1,0):Q665),SUM(OFFSET(Q665,-E665+1,0):Q665)),IF('депозитный калькулятор'!$G$10="ежеквартальное",IF(F665&gt;'депозитный калькулятор'!$D$8," ",IF(AND(EOMONTH(F665,0)=F665,OR(MONTH(F665)=3,MONTH(F665)=6,MONTH(F665)=9,MONTH(F665)=12)),IF(EDATE(F665,-3)&lt;'депозитный калькулятор'!$D$7,SUM($H$23:H665),IF(MOD(YEAR(F665),4)=0,IF(AND(EOMONTH(F665,0)=F665,OR(MONTH(F665)=3,MONTH(F665)=6)),SUM(OFFSET(H665,-90,0):H665),IF(AND(EOMONTH(F665,0)=F665,OR(MONTH(F665)=9,MONTH(F665)=12)),SUM(OFFSET(H665,-91,0):H665))),IF(AND(EOMONTH(F665,0)=F665,MONTH(F665)=3),SUM(OFFSET(H665,-89,0):H665),IF(AND(EOMONTH(F665,0)=F665,MONTH(F665)=6),SUM(OFFSET(H665,-90,0):H665),IF(AND(EOMONTH(F665,0)=F665,OR(MONTH(F665)=9,MONTH(F665)=12)),SUM(OFFSET(H665,-91,0):H665)))))),IF(F665='депозитный калькулятор'!$D$8,SUM($H$23:H665)-SUM($I$23:I664),0))),IF('депозитный калькулятор'!$G$10="ежегодное",IF(F665&gt;'депозитный калькулятор'!$D$8," ",IF(F665='депозитный калькулятор'!$D$8,SUM($H$23:H665)-SUM($I$23:I664),IF(AND(EOMONTH(F665,0)=F665,MONTH(F665)=12),IF(MOD(YEAR(F664),4)=0,IF(F665-'депозитный калькулятор'!$D$7&lt;366,SUM($H$23:H665),SUM(OFFSET(H665,-365,0):H665)),IF(F665-'депозитный калькулятор'!$D$7&lt;365,SUM($H$23:H665),SUM(OFFSET(H665,-364,0):H665))),0))),IF(AND('депозитный калькулятор'!$G$10="в конце срока",'депозитный калькулятор'!$D$8=F665),SUM($H$23:H665),0))))))))))))))))))</f>
        <v xml:space="preserve"> </v>
      </c>
      <c r="J665" s="59" t="str">
        <f>IF(F665&gt;'депозитный калькулятор'!$D$8," ",IF('депозитный калькулятор'!$G$16="нет",0,IF(AND('депозитный калькулятор'!$G$17="разовая (в конце срока)",F665='депозитный калькулятор'!$D$8),'депозитный калькулятор'!$G$18,IF(AND('депозитный калькулятор'!$G$17="ежемесячная",EOMONTH(F664,0)=F664),'депозитный калькулятор'!$G$18,IF(AND('депозитный калькулятор'!$G$17="ежегодная",DAY(F664)=31,MONTH(F664)=12),'депозитный калькулятор'!$G$18,IF(AND('депозитный калькулятор'!$G$17="ежемесячная в зависимости от остатка",EOMONTH(F664,0)=F664,P664&gt;0),'депозитный калькулятор'!$G$18,IF(AND('депозитный калькулятор'!$G$17="ежегодная в зависимости от остатка",DAY(F664)=31,MONTH(F664)=12,P664&gt;0),'депозитный калькулятор'!$G$18,0)))))))</f>
        <v xml:space="preserve"> </v>
      </c>
      <c r="K665" s="135" t="str">
        <f>IF($F665=" "," ",IFERROR(VLOOKUP($F665,'депозитный калькулятор'!$B$26:$F$70,2,0),0))</f>
        <v xml:space="preserve"> </v>
      </c>
      <c r="L665" s="135" t="str">
        <f>IF($F665=" "," ",IFERROR(VLOOKUP($F665,'депозитный калькулятор'!$B$26:$F$70,3,0),0))</f>
        <v xml:space="preserve"> </v>
      </c>
      <c r="M665" s="135" t="str">
        <f>IF($F665=" "," ",IFERROR(VLOOKUP($F665,'депозитный калькулятор'!$B$26:$F$70,4,0),0))</f>
        <v xml:space="preserve"> </v>
      </c>
      <c r="N665" s="135" t="str">
        <f>IF($F665=" "," ",IFERROR(VLOOKUP($F665,'депозитный калькулятор'!$B$26:$F$70,5,0),0))</f>
        <v xml:space="preserve"> </v>
      </c>
      <c r="O665" s="146" t="str">
        <f>IF(F665&gt;'депозитный калькулятор'!$D$8," ",IF(F665='депозитный калькулятор'!$D$8,IF(AND($F$24='депозитный калькулятор'!$D$8,'депозитный калькулятор'!$G$13="нет"),-G665-IF(I665=" ",0,I665)-IF(AND(OR('депозитный калькулятор'!$G$7="30/365",'депозитный калькулятор'!$G$7="30/360"),'депозитный калькулятор'!$G$10="в начале срока"),I664,0)-L665+M665-N665,-G665-IF(I665=" ",0,I665)-L665+M665-N665),IF('депозитный калькулятор'!$G$13="есть",M665-N665+IF('депозитный калькулятор'!$G$14="есть",0,-L665),-IF(I665=" ",0,I665)-IF(AND(OR('депозитный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срока"),I664,0)+M665-N665+IF('депозитный калькулятор'!$G$14="есть",0,-L665))))</f>
        <v xml:space="preserve"> </v>
      </c>
      <c r="P665" s="147" t="str">
        <f>IF(F665&gt;'депозитный калькулятор'!$D$8," ",IF(EOMONTH(F664,0)=F664,0,IF(G665&gt;='депозитный калькулятор'!$G$19,P664,P664+1)))</f>
        <v xml:space="preserve"> </v>
      </c>
      <c r="Q665" s="138" t="str">
        <f>IF(F665=" "," ",IF(AND(OR('депозитный калькулятор'!$G$7="30/365",'депозитный калькулятор'!$G$7="30/360"),AND(MONTH(F665)=2,EOMONTH(F665,0)=F665)),IF(DAY(F665)=28,3,2),1)*IF(G665&gt;='депозитный калькулятор'!$G$11,IF(AND('депозитный калькулятор'!$G$7="факт/факт",MOD(YEAR(F665),4)=0),G665*'депозитный калькулятор'!$D$11/366,G665*'депозитный калькулятор'!$G$8),0))</f>
        <v xml:space="preserve"> </v>
      </c>
      <c r="R665" s="158"/>
      <c r="S665" s="62" t="str">
        <f t="shared" ca="1" si="52"/>
        <v xml:space="preserve"> </v>
      </c>
      <c r="T665" s="149" t="str">
        <f ca="1">IF(S665=" "," ",IF('депозитный калькулятор'!$G$7="30/360",DAYS360(U664,IF(DAY(U665)=31,U665-1,U665))+IF(AND(MONTH(U665)=2,U665=EOMONTH(U665,0)),30-DAY(EOMONTH(U665,0)))+T664,VLOOKUP(S665,$C$22:$F$1023,2,0)))</f>
        <v xml:space="preserve"> </v>
      </c>
      <c r="U665" s="64" t="str">
        <f t="shared" ca="1" si="50"/>
        <v xml:space="preserve"> </v>
      </c>
      <c r="V665" s="150" t="str">
        <f t="shared" ca="1" si="53"/>
        <v xml:space="preserve"> </v>
      </c>
      <c r="W665" s="62" t="str">
        <f t="shared" ca="1" si="54"/>
        <v xml:space="preserve"> </v>
      </c>
      <c r="X665" s="141" t="str">
        <f ca="1">IF(S665=" "," ",IFERROR(VLOOKUP(U665,$F$23:$N$1023,7)+VLOOKUP(U665,$F$23:$N$1023,9)+IF(AND('депозитный калькулятор'!$G$13="нет",U665&lt;&gt;'депозитный калькулятор'!$D$8),VLOOKUP(U665,$F$23:$N$1023,4),0),0)+IF(U665='депозитный калькулятор'!$D$8,VLOOKUP(U665,$F$23:$N$1023,2)+VLOOKUP(U665,$F$23:$N$1023,4),0))</f>
        <v xml:space="preserve"> </v>
      </c>
      <c r="Y665" s="142" t="str">
        <f ca="1">IF(S665=" "," ",W665/(1+'депозитный калькулятор'!$K$8)^(T665/IF('депозитный калькулятор'!$G$7="30/360",360,365)))</f>
        <v xml:space="preserve"> </v>
      </c>
      <c r="Z665" s="142" t="str">
        <f ca="1">IF(S665=" "," ",X665/(1+'депозитный калькулятор'!$K$8)^(T665/IF('депозитный калькулятор'!$G$7="30/360",360,365)))</f>
        <v xml:space="preserve"> </v>
      </c>
      <c r="AA665" s="151"/>
      <c r="AB665" s="151"/>
      <c r="AC665" s="155"/>
      <c r="AD665" s="155"/>
    </row>
    <row r="666" spans="1:30" s="2" customFormat="1" ht="15.5" x14ac:dyDescent="0.35">
      <c r="A666" s="41" t="str">
        <f>IF(F666=" "," ",IF(OR('депозитный калькулятор'!$G$7="30/365",'депозитный калькулятор'!$G$7="30/360"),IF(AND(MONTH(F666)=2,DAY(F666)=DAY(EOMONTH(F666,0))),30-DAY(EOMONTH(F666,0)),IF(DAY(F666)=31,1," "))," "))</f>
        <v xml:space="preserve"> </v>
      </c>
      <c r="B666" s="130" t="str">
        <f t="shared" si="51"/>
        <v xml:space="preserve"> </v>
      </c>
      <c r="C666" s="130" t="str">
        <f>IF(OR(B666=0,B666=" ")," ",SUM($B$23:B666))</f>
        <v xml:space="preserve"> </v>
      </c>
      <c r="D666" s="62" t="str">
        <f>IF(D665=" "," ",IF(OR(F665='депозитный калькулятор'!$D$8,F665=" ")," ",D665+1))</f>
        <v xml:space="preserve"> </v>
      </c>
      <c r="E666" s="130" t="str">
        <f>IF(OR(F665='депозитный калькулятор'!$D$8,F665=" ")," ",IF(EOMONTH(F665,0)=F665,1,E665+1))</f>
        <v xml:space="preserve"> </v>
      </c>
      <c r="F666" s="64" t="str">
        <f>IF(F665=" "," ",IF(F665='депозитный калькулятор'!$D$8," ",F665+1))</f>
        <v xml:space="preserve"> </v>
      </c>
      <c r="G666" s="145" t="str">
        <f xml:space="preserve"> IF(F666&gt;'депозитный калькулятор'!$D$8," ",IF('депозитный калькулятор'!$G$13="есть",IF('депозитный калькулятор'!$G$14="есть",G665+IF(I665=" ",0,I665)-J666-K666+L666+M666-N666,G665+IF(I665=" ",0,I665)-J666-K666+M666-N666),IF('депозитный калькулятор'!$G$14="есть",G665-J666-K666+L666+M666-N666,G665-J666-K666+M666-N666)))</f>
        <v xml:space="preserve"> </v>
      </c>
      <c r="H666" s="133" t="str">
        <f>IF(F666&gt;'депозитный калькулятор'!$D$8," ",IF(AND(OR('депозитный калькулятор'!$G$7="30/365",'депозитный калькулятор'!$G$7="30/360"),AND(MONTH(F666)=2,EOMONTH(F666,0)=F666)),IF(DAY(F666)=28,3*G666*'депозитный калькулятор'!$G$8,2*G666*'депозитный калькулятор'!$G$8),IF(AND(OR('депозитный калькулятор'!$G$7="30/365",'депозитный калькулятор'!$G$7="30/360"),DAY(F666)=31)," ",IF(AND('депозитный калькулятор'!$G$7="факт/факт",MOD(YEAR(F666),4)=0),G666*'депозитный калькулятор'!$D$11/366,G666*'депозитный калькулятор'!$G$8))))</f>
        <v xml:space="preserve"> </v>
      </c>
      <c r="I666" s="134" t="str">
        <f ca="1">IF(F666=" "," ",IF('депозитный калькулятор'!$G$10="ежедневное",H666,IF(AND('депозитный калькулятор'!$G$10="еженедельное",WEEKDAY(F666,2)=7),SUM(OFFSET(H666,-6,0):H666),IF(AND('депозитный калькулятор'!$G$10="еженедельное",F666='депозитный калькулятор'!$D$8),SUM($H$23:H666)-SUM($I$23:I665),IF(AND('депозитный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недели",WEEKDAY(F666,2)=7),MIN(OFFSET(H666,-6,0):H666)*(COUNTIF(OFFSET(H666,-6,0):H666,"&gt;0")+SUMIF(OFFSET(A666,-WEEKDAY(F666,2),0):A666,"=2",OFFSET(A666,-WEEKDAY(F666,2),0):A666)),IF(AND('депозитный калькулятор'!$G$10="еженедельное, на минимальную сумму зафиксированную в течение недели",F666='депозитный калькулятор'!$D$8,WEEKDAY(F666,2)&lt;&gt;7),MIN(OFFSET(H666,-WEEKDAY(F666,2),0):H666)*(COUNTIF(OFFSET(H666,-WEEKDAY(F666,2)+1,0):H666,"&gt;0")+SUM(OFFSET(A666,-WEEKDAY(F666,2),0):A666)),IF(AND('депозитный калькулятор'!$G$10="ежемесячное (в конце месяца)",F666='депозитный калькулятор'!$D$8,EOMONTH(F666,0)&lt;&gt;F666),IF('депозитный калькулятор'!$F$1=1,$H$24,SUM($H$23:H666)-SUM($I$23:I665)),IF(AND('депозитный калькулятор'!$G$10="ежемесячное (в конце месяца)",EOMONTH(F666,0)=F666),SUM($H$23:H666)-SUM($I$23:I665),IF(AND('депозитный калькулятор'!$G$10="ежемесячное (по дням открытия вклада)",F666='депозитный калькулятор'!$D$8,DAY('депозитный калькулятор'!$D$7)&lt;&gt;DAY(F666)),IF('депозитный калькулятор'!$F$1=1,$H$24,SUM($H$23:H666)-SUM($I$23:I665)),IF(AND('депозитный калькулятор'!$G$10="ежемесячное (по дням открытия вклада)",DAY('депозитный калькулятор'!$D$7)=DAY(F666)),SUM($H$23:H666)-SUM($I$23:I665),IF(AND('депозитный калькулятор'!$G$10="ежемесячное, на минимальную сумму зафиксированную в течение месяца",F666='депозитный калькулятор'!$D$8,EOMONTH(F666,0)&lt;&gt;F666),IF('депозитный калькулятор'!$F$1=1,$H$24,IF(AND(OR('депозитный калькулятор'!$G$7="30/365",'депозитный калькулятор'!$G$7="30/360"),DAY(F666)=31),0,MIN(OFFSET(H666,-E666+1,0):H666)*(E666+SUMIF(OFFSET(A666,-E666+1,0):A666,"=2",OFFSET(A666,-E666+1,0):A666)))),IF(AND('депозитный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калькулятор'!$G$7="30/360"),DAY(EOMONTH(F666,0))=31),EOMONTH(F666,0)-1=F666,EOMONTH(F666,0)=F666)),IF(IF(AND(OR('депозитный калькулятор'!$G$7="30/365",'депозитный калькулятор'!$G$7="30/360"),DAY(EOMONTH($F$23,0))=31),F666=EOMONTH($F$23,0)-1,F666=EOMONTH($F$23,0)),MIN(OFFSET(H666,-(DAY(F666)-DAY($F$23)),0):H666)*E666,MIN(OFFSET(H666,-(DAY(F666)-1),0):H666)*IF(AND(OR('депозитный калькулятор'!$G$7="30/365",'депозитный калькулятор'!$G$7="30/360"),DAY(F666)&lt;30),30,DAY(F666))),IF(AND('депозитный калькулятор'!$G$10="ежемесячное, на средний остаток в течение месяца, при условии что остаток больше чем ограничение",F666='депозитный калькулятор'!$D$8,EOMONTH(F666,0)&lt;&gt;F666),IF('депозитный калькулятор'!$F$1=1,$H$24,SUM(OFFSET(Q666,-E666+1,0):Q666)),IF(AND('депозитный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калькулятор'!$G$7="30/360"),DAY(EOMONTH(F666,0))=31),EOMONTH(F666,0)-1=F666,EOMONTH(F666,0)=F666)),IF(IF(AND(OR('депозитный калькулятор'!$G$7="30/365",'депозитный калькулятор'!$G$7="30/360"),DAY(EOMONTH($F$24,0))=31),F666=EOMONTH($F$24,0)-1,F666=EOMONTH($F$24,0)),SUM(OFFSET(Q666,-E666+1,0):Q666),SUM(OFFSET(Q666,-E666+1,0):Q666)),IF('депозитный калькулятор'!$G$10="ежеквартальное",IF(F666&gt;'депозитный калькулятор'!$D$8," ",IF(AND(EOMONTH(F666,0)=F666,OR(MONTH(F666)=3,MONTH(F666)=6,MONTH(F666)=9,MONTH(F666)=12)),IF(EDATE(F666,-3)&lt;'депозитный калькулятор'!$D$7,SUM($H$23:H666),IF(MOD(YEAR(F666),4)=0,IF(AND(EOMONTH(F666,0)=F666,OR(MONTH(F666)=3,MONTH(F666)=6)),SUM(OFFSET(H666,-90,0):H666),IF(AND(EOMONTH(F666,0)=F666,OR(MONTH(F666)=9,MONTH(F666)=12)),SUM(OFFSET(H666,-91,0):H666))),IF(AND(EOMONTH(F666,0)=F666,MONTH(F666)=3),SUM(OFFSET(H666,-89,0):H666),IF(AND(EOMONTH(F666,0)=F666,MONTH(F666)=6),SUM(OFFSET(H666,-90,0):H666),IF(AND(EOMONTH(F666,0)=F666,OR(MONTH(F666)=9,MONTH(F666)=12)),SUM(OFFSET(H666,-91,0):H666)))))),IF(F666='депозитный калькулятор'!$D$8,SUM($H$23:H666)-SUM($I$23:I665),0))),IF('депозитный калькулятор'!$G$10="ежегодное",IF(F666&gt;'депозитный калькулятор'!$D$8," ",IF(F666='депозитный калькулятор'!$D$8,SUM($H$23:H666)-SUM($I$23:I665),IF(AND(EOMONTH(F666,0)=F666,MONTH(F666)=12),IF(MOD(YEAR(F665),4)=0,IF(F666-'депозитный калькулятор'!$D$7&lt;366,SUM($H$23:H666),SUM(OFFSET(H666,-365,0):H666)),IF(F666-'депозитный калькулятор'!$D$7&lt;365,SUM($H$23:H666),SUM(OFFSET(H666,-364,0):H666))),0))),IF(AND('депозитный калькулятор'!$G$10="в конце срока",'депозитный калькулятор'!$D$8=F666),SUM($H$23:H666),0))))))))))))))))))</f>
        <v xml:space="preserve"> </v>
      </c>
      <c r="J666" s="59" t="str">
        <f>IF(F666&gt;'депозитный калькулятор'!$D$8," ",IF('депозитный калькулятор'!$G$16="нет",0,IF(AND('депозитный калькулятор'!$G$17="разовая (в конце срока)",F666='депозитный калькулятор'!$D$8),'депозитный калькулятор'!$G$18,IF(AND('депозитный калькулятор'!$G$17="ежемесячная",EOMONTH(F665,0)=F665),'депозитный калькулятор'!$G$18,IF(AND('депозитный калькулятор'!$G$17="ежегодная",DAY(F665)=31,MONTH(F665)=12),'депозитный калькулятор'!$G$18,IF(AND('депозитный калькулятор'!$G$17="ежемесячная в зависимости от остатка",EOMONTH(F665,0)=F665,P665&gt;0),'депозитный калькулятор'!$G$18,IF(AND('депозитный калькулятор'!$G$17="ежегодная в зависимости от остатка",DAY(F665)=31,MONTH(F665)=12,P665&gt;0),'депозитный калькулятор'!$G$18,0)))))))</f>
        <v xml:space="preserve"> </v>
      </c>
      <c r="K666" s="135" t="str">
        <f>IF($F666=" "," ",IFERROR(VLOOKUP($F666,'депозитный калькулятор'!$B$26:$F$70,2,0),0))</f>
        <v xml:space="preserve"> </v>
      </c>
      <c r="L666" s="135" t="str">
        <f>IF($F666=" "," ",IFERROR(VLOOKUP($F666,'депозитный калькулятор'!$B$26:$F$70,3,0),0))</f>
        <v xml:space="preserve"> </v>
      </c>
      <c r="M666" s="135" t="str">
        <f>IF($F666=" "," ",IFERROR(VLOOKUP($F666,'депозитный калькулятор'!$B$26:$F$70,4,0),0))</f>
        <v xml:space="preserve"> </v>
      </c>
      <c r="N666" s="135" t="str">
        <f>IF($F666=" "," ",IFERROR(VLOOKUP($F666,'депозитный калькулятор'!$B$26:$F$70,5,0),0))</f>
        <v xml:space="preserve"> </v>
      </c>
      <c r="O666" s="146" t="str">
        <f>IF(F666&gt;'депозитный калькулятор'!$D$8," ",IF(F666='депозитный калькулятор'!$D$8,IF(AND($F$24='депозитный калькулятор'!$D$8,'депозитный калькулятор'!$G$13="нет"),-G666-IF(I666=" ",0,I666)-IF(AND(OR('депозитный калькулятор'!$G$7="30/365",'депозитный калькулятор'!$G$7="30/360"),'депозитный калькулятор'!$G$10="в начале срока"),I665,0)-L666+M666-N666,-G666-IF(I666=" ",0,I666)-L666+M666-N666),IF('депозитный калькулятор'!$G$13="есть",M666-N666+IF('депозитный калькулятор'!$G$14="есть",0,-L666),-IF(I666=" ",0,I666)-IF(AND(OR('депозитный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срока"),I665,0)+M666-N666+IF('депозитный калькулятор'!$G$14="есть",0,-L666))))</f>
        <v xml:space="preserve"> </v>
      </c>
      <c r="P666" s="147" t="str">
        <f>IF(F666&gt;'депозитный калькулятор'!$D$8," ",IF(EOMONTH(F665,0)=F665,0,IF(G666&gt;='депозитный калькулятор'!$G$19,P665,P665+1)))</f>
        <v xml:space="preserve"> </v>
      </c>
      <c r="Q666" s="138" t="str">
        <f>IF(F666=" "," ",IF(AND(OR('депозитный калькулятор'!$G$7="30/365",'депозитный калькулятор'!$G$7="30/360"),AND(MONTH(F666)=2,EOMONTH(F666,0)=F666)),IF(DAY(F666)=28,3,2),1)*IF(G666&gt;='депозитный калькулятор'!$G$11,IF(AND('депозитный калькулятор'!$G$7="факт/факт",MOD(YEAR(F666),4)=0),G666*'депозитный калькулятор'!$D$11/366,G666*'депозитный калькулятор'!$G$8),0))</f>
        <v xml:space="preserve"> </v>
      </c>
      <c r="R666" s="158"/>
      <c r="S666" s="62" t="str">
        <f t="shared" ca="1" si="52"/>
        <v xml:space="preserve"> </v>
      </c>
      <c r="T666" s="149" t="str">
        <f ca="1">IF(S666=" "," ",IF('депозитный калькулятор'!$G$7="30/360",DAYS360(U665,IF(DAY(U666)=31,U666-1,U666))+IF(AND(MONTH(U666)=2,U666=EOMONTH(U666,0)),30-DAY(EOMONTH(U666,0)))+T665,VLOOKUP(S666,$C$22:$F$1023,2,0)))</f>
        <v xml:space="preserve"> </v>
      </c>
      <c r="U666" s="64" t="str">
        <f t="shared" ca="1" si="50"/>
        <v xml:space="preserve"> </v>
      </c>
      <c r="V666" s="150" t="str">
        <f t="shared" ca="1" si="53"/>
        <v xml:space="preserve"> </v>
      </c>
      <c r="W666" s="62" t="str">
        <f t="shared" ca="1" si="54"/>
        <v xml:space="preserve"> </v>
      </c>
      <c r="X666" s="141" t="str">
        <f ca="1">IF(S666=" "," ",IFERROR(VLOOKUP(U666,$F$23:$N$1023,7)+VLOOKUP(U666,$F$23:$N$1023,9)+IF(AND('депозитный калькулятор'!$G$13="нет",U666&lt;&gt;'депозитный калькулятор'!$D$8),VLOOKUP(U666,$F$23:$N$1023,4),0),0)+IF(U666='депозитный калькулятор'!$D$8,VLOOKUP(U666,$F$23:$N$1023,2)+VLOOKUP(U666,$F$23:$N$1023,4),0))</f>
        <v xml:space="preserve"> </v>
      </c>
      <c r="Y666" s="142" t="str">
        <f ca="1">IF(S666=" "," ",W666/(1+'депозитный калькулятор'!$K$8)^(T666/IF('депозитный калькулятор'!$G$7="30/360",360,365)))</f>
        <v xml:space="preserve"> </v>
      </c>
      <c r="Z666" s="142" t="str">
        <f ca="1">IF(S666=" "," ",X666/(1+'депозитный калькулятор'!$K$8)^(T666/IF('депозитный калькулятор'!$G$7="30/360",360,365)))</f>
        <v xml:space="preserve"> </v>
      </c>
      <c r="AA666" s="151"/>
      <c r="AB666" s="151"/>
      <c r="AC666" s="155"/>
      <c r="AD666" s="155"/>
    </row>
    <row r="667" spans="1:30" s="2" customFormat="1" ht="15.5" x14ac:dyDescent="0.35">
      <c r="A667" s="41" t="str">
        <f>IF(F667=" "," ",IF(OR('депозитный калькулятор'!$G$7="30/365",'депозитный калькулятор'!$G$7="30/360"),IF(AND(MONTH(F667)=2,DAY(F667)=DAY(EOMONTH(F667,0))),30-DAY(EOMONTH(F667,0)),IF(DAY(F667)=31,1," "))," "))</f>
        <v xml:space="preserve"> </v>
      </c>
      <c r="B667" s="130" t="str">
        <f t="shared" si="51"/>
        <v xml:space="preserve"> </v>
      </c>
      <c r="C667" s="130" t="str">
        <f>IF(OR(B667=0,B667=" ")," ",SUM($B$23:B667))</f>
        <v xml:space="preserve"> </v>
      </c>
      <c r="D667" s="62" t="str">
        <f>IF(D666=" "," ",IF(OR(F666='депозитный калькулятор'!$D$8,F666=" ")," ",D666+1))</f>
        <v xml:space="preserve"> </v>
      </c>
      <c r="E667" s="130" t="str">
        <f>IF(OR(F666='депозитный калькулятор'!$D$8,F666=" ")," ",IF(EOMONTH(F666,0)=F666,1,E666+1))</f>
        <v xml:space="preserve"> </v>
      </c>
      <c r="F667" s="64" t="str">
        <f>IF(F666=" "," ",IF(F666='депозитный калькулятор'!$D$8," ",F666+1))</f>
        <v xml:space="preserve"> </v>
      </c>
      <c r="G667" s="145" t="str">
        <f xml:space="preserve"> IF(F667&gt;'депозитный калькулятор'!$D$8," ",IF('депозитный калькулятор'!$G$13="есть",IF('депозитный калькулятор'!$G$14="есть",G666+IF(I666=" ",0,I666)-J667-K667+L667+M667-N667,G666+IF(I666=" ",0,I666)-J667-K667+M667-N667),IF('депозитный калькулятор'!$G$14="есть",G666-J667-K667+L667+M667-N667,G666-J667-K667+M667-N667)))</f>
        <v xml:space="preserve"> </v>
      </c>
      <c r="H667" s="133" t="str">
        <f>IF(F667&gt;'депозитный калькулятор'!$D$8," ",IF(AND(OR('депозитный калькулятор'!$G$7="30/365",'депозитный калькулятор'!$G$7="30/360"),AND(MONTH(F667)=2,EOMONTH(F667,0)=F667)),IF(DAY(F667)=28,3*G667*'депозитный калькулятор'!$G$8,2*G667*'депозитный калькулятор'!$G$8),IF(AND(OR('депозитный калькулятор'!$G$7="30/365",'депозитный калькулятор'!$G$7="30/360"),DAY(F667)=31)," ",IF(AND('депозитный калькулятор'!$G$7="факт/факт",MOD(YEAR(F667),4)=0),G667*'депозитный калькулятор'!$D$11/366,G667*'депозитный калькулятор'!$G$8))))</f>
        <v xml:space="preserve"> </v>
      </c>
      <c r="I667" s="134" t="str">
        <f ca="1">IF(F667=" "," ",IF('депозитный калькулятор'!$G$10="ежедневное",H667,IF(AND('депозитный калькулятор'!$G$10="еженедельное",WEEKDAY(F667,2)=7),SUM(OFFSET(H667,-6,0):H667),IF(AND('депозитный калькулятор'!$G$10="еженедельное",F667='депозитный калькулятор'!$D$8),SUM($H$23:H667)-SUM($I$23:I666),IF(AND('депозитный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недели",WEEKDAY(F667,2)=7),MIN(OFFSET(H667,-6,0):H667)*(COUNTIF(OFFSET(H667,-6,0):H667,"&gt;0")+SUMIF(OFFSET(A667,-WEEKDAY(F667,2),0):A667,"=2",OFFSET(A667,-WEEKDAY(F667,2),0):A667)),IF(AND('депозитный калькулятор'!$G$10="еженедельное, на минимальную сумму зафиксированную в течение недели",F667='депозитный калькулятор'!$D$8,WEEKDAY(F667,2)&lt;&gt;7),MIN(OFFSET(H667,-WEEKDAY(F667,2),0):H667)*(COUNTIF(OFFSET(H667,-WEEKDAY(F667,2)+1,0):H667,"&gt;0")+SUM(OFFSET(A667,-WEEKDAY(F667,2),0):A667)),IF(AND('депозитный калькулятор'!$G$10="ежемесячное (в конце месяца)",F667='депозитный калькулятор'!$D$8,EOMONTH(F667,0)&lt;&gt;F667),IF('депозитный калькулятор'!$F$1=1,$H$24,SUM($H$23:H667)-SUM($I$23:I666)),IF(AND('депозитный калькулятор'!$G$10="ежемесячное (в конце месяца)",EOMONTH(F667,0)=F667),SUM($H$23:H667)-SUM($I$23:I666),IF(AND('депозитный калькулятор'!$G$10="ежемесячное (по дням открытия вклада)",F667='депозитный калькулятор'!$D$8,DAY('депозитный калькулятор'!$D$7)&lt;&gt;DAY(F667)),IF('депозитный калькулятор'!$F$1=1,$H$24,SUM($H$23:H667)-SUM($I$23:I666)),IF(AND('депозитный калькулятор'!$G$10="ежемесячное (по дням открытия вклада)",DAY('депозитный калькулятор'!$D$7)=DAY(F667)),SUM($H$23:H667)-SUM($I$23:I666),IF(AND('депозитный калькулятор'!$G$10="ежемесячное, на минимальную сумму зафиксированную в течение месяца",F667='депозитный калькулятор'!$D$8,EOMONTH(F667,0)&lt;&gt;F667),IF('депозитный калькулятор'!$F$1=1,$H$24,IF(AND(OR('депозитный калькулятор'!$G$7="30/365",'депозитный калькулятор'!$G$7="30/360"),DAY(F667)=31),0,MIN(OFFSET(H667,-E667+1,0):H667)*(E667+SUMIF(OFFSET(A667,-E667+1,0):A667,"=2",OFFSET(A667,-E667+1,0):A667)))),IF(AND('депозитный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калькулятор'!$G$7="30/360"),DAY(EOMONTH(F667,0))=31),EOMONTH(F667,0)-1=F667,EOMONTH(F667,0)=F667)),IF(IF(AND(OR('депозитный калькулятор'!$G$7="30/365",'депозитный калькулятор'!$G$7="30/360"),DAY(EOMONTH($F$23,0))=31),F667=EOMONTH($F$23,0)-1,F667=EOMONTH($F$23,0)),MIN(OFFSET(H667,-(DAY(F667)-DAY($F$23)),0):H667)*E667,MIN(OFFSET(H667,-(DAY(F667)-1),0):H667)*IF(AND(OR('депозитный калькулятор'!$G$7="30/365",'депозитный калькулятор'!$G$7="30/360"),DAY(F667)&lt;30),30,DAY(F667))),IF(AND('депозитный калькулятор'!$G$10="ежемесячное, на средний остаток в течение месяца, при условии что остаток больше чем ограничение",F667='депозитный калькулятор'!$D$8,EOMONTH(F667,0)&lt;&gt;F667),IF('депозитный калькулятор'!$F$1=1,$H$24,SUM(OFFSET(Q667,-E667+1,0):Q667)),IF(AND('депозитный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калькулятор'!$G$7="30/360"),DAY(EOMONTH(F667,0))=31),EOMONTH(F667,0)-1=F667,EOMONTH(F667,0)=F667)),IF(IF(AND(OR('депозитный калькулятор'!$G$7="30/365",'депозитный калькулятор'!$G$7="30/360"),DAY(EOMONTH($F$24,0))=31),F667=EOMONTH($F$24,0)-1,F667=EOMONTH($F$24,0)),SUM(OFFSET(Q667,-E667+1,0):Q667),SUM(OFFSET(Q667,-E667+1,0):Q667)),IF('депозитный калькулятор'!$G$10="ежеквартальное",IF(F667&gt;'депозитный калькулятор'!$D$8," ",IF(AND(EOMONTH(F667,0)=F667,OR(MONTH(F667)=3,MONTH(F667)=6,MONTH(F667)=9,MONTH(F667)=12)),IF(EDATE(F667,-3)&lt;'депозитный калькулятор'!$D$7,SUM($H$23:H667),IF(MOD(YEAR(F667),4)=0,IF(AND(EOMONTH(F667,0)=F667,OR(MONTH(F667)=3,MONTH(F667)=6)),SUM(OFFSET(H667,-90,0):H667),IF(AND(EOMONTH(F667,0)=F667,OR(MONTH(F667)=9,MONTH(F667)=12)),SUM(OFFSET(H667,-91,0):H667))),IF(AND(EOMONTH(F667,0)=F667,MONTH(F667)=3),SUM(OFFSET(H667,-89,0):H667),IF(AND(EOMONTH(F667,0)=F667,MONTH(F667)=6),SUM(OFFSET(H667,-90,0):H667),IF(AND(EOMONTH(F667,0)=F667,OR(MONTH(F667)=9,MONTH(F667)=12)),SUM(OFFSET(H667,-91,0):H667)))))),IF(F667='депозитный калькулятор'!$D$8,SUM($H$23:H667)-SUM($I$23:I666),0))),IF('депозитный калькулятор'!$G$10="ежегодное",IF(F667&gt;'депозитный калькулятор'!$D$8," ",IF(F667='депозитный калькулятор'!$D$8,SUM($H$23:H667)-SUM($I$23:I666),IF(AND(EOMONTH(F667,0)=F667,MONTH(F667)=12),IF(MOD(YEAR(F666),4)=0,IF(F667-'депозитный калькулятор'!$D$7&lt;366,SUM($H$23:H667),SUM(OFFSET(H667,-365,0):H667)),IF(F667-'депозитный калькулятор'!$D$7&lt;365,SUM($H$23:H667),SUM(OFFSET(H667,-364,0):H667))),0))),IF(AND('депозитный калькулятор'!$G$10="в конце срока",'депозитный калькулятор'!$D$8=F667),SUM($H$23:H667),0))))))))))))))))))</f>
        <v xml:space="preserve"> </v>
      </c>
      <c r="J667" s="59" t="str">
        <f>IF(F667&gt;'депозитный калькулятор'!$D$8," ",IF('депозитный калькулятор'!$G$16="нет",0,IF(AND('депозитный калькулятор'!$G$17="разовая (в конце срока)",F667='депозитный калькулятор'!$D$8),'депозитный калькулятор'!$G$18,IF(AND('депозитный калькулятор'!$G$17="ежемесячная",EOMONTH(F666,0)=F666),'депозитный калькулятор'!$G$18,IF(AND('депозитный калькулятор'!$G$17="ежегодная",DAY(F666)=31,MONTH(F666)=12),'депозитный калькулятор'!$G$18,IF(AND('депозитный калькулятор'!$G$17="ежемесячная в зависимости от остатка",EOMONTH(F666,0)=F666,P666&gt;0),'депозитный калькулятор'!$G$18,IF(AND('депозитный калькулятор'!$G$17="ежегодная в зависимости от остатка",DAY(F666)=31,MONTH(F666)=12,P666&gt;0),'депозитный калькулятор'!$G$18,0)))))))</f>
        <v xml:space="preserve"> </v>
      </c>
      <c r="K667" s="135" t="str">
        <f>IF($F667=" "," ",IFERROR(VLOOKUP($F667,'депозитный калькулятор'!$B$26:$F$70,2,0),0))</f>
        <v xml:space="preserve"> </v>
      </c>
      <c r="L667" s="135" t="str">
        <f>IF($F667=" "," ",IFERROR(VLOOKUP($F667,'депозитный калькулятор'!$B$26:$F$70,3,0),0))</f>
        <v xml:space="preserve"> </v>
      </c>
      <c r="M667" s="135" t="str">
        <f>IF($F667=" "," ",IFERROR(VLOOKUP($F667,'депозитный калькулятор'!$B$26:$F$70,4,0),0))</f>
        <v xml:space="preserve"> </v>
      </c>
      <c r="N667" s="135" t="str">
        <f>IF($F667=" "," ",IFERROR(VLOOKUP($F667,'депозитный калькулятор'!$B$26:$F$70,5,0),0))</f>
        <v xml:space="preserve"> </v>
      </c>
      <c r="O667" s="146" t="str">
        <f>IF(F667&gt;'депозитный калькулятор'!$D$8," ",IF(F667='депозитный калькулятор'!$D$8,IF(AND($F$24='депозитный калькулятор'!$D$8,'депозитный калькулятор'!$G$13="нет"),-G667-IF(I667=" ",0,I667)-IF(AND(OR('депозитный калькулятор'!$G$7="30/365",'депозитный калькулятор'!$G$7="30/360"),'депозитный калькулятор'!$G$10="в начале срока"),I666,0)-L667+M667-N667,-G667-IF(I667=" ",0,I667)-L667+M667-N667),IF('депозитный калькулятор'!$G$13="есть",M667-N667+IF('депозитный калькулятор'!$G$14="есть",0,-L667),-IF(I667=" ",0,I667)-IF(AND(OR('депозитный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срока"),I666,0)+M667-N667+IF('депозитный калькулятор'!$G$14="есть",0,-L667))))</f>
        <v xml:space="preserve"> </v>
      </c>
      <c r="P667" s="147" t="str">
        <f>IF(F667&gt;'депозитный калькулятор'!$D$8," ",IF(EOMONTH(F666,0)=F666,0,IF(G667&gt;='депозитный калькулятор'!$G$19,P666,P666+1)))</f>
        <v xml:space="preserve"> </v>
      </c>
      <c r="Q667" s="138" t="str">
        <f>IF(F667=" "," ",IF(AND(OR('депозитный калькулятор'!$G$7="30/365",'депозитный калькулятор'!$G$7="30/360"),AND(MONTH(F667)=2,EOMONTH(F667,0)=F667)),IF(DAY(F667)=28,3,2),1)*IF(G667&gt;='депозитный калькулятор'!$G$11,IF(AND('депозитный калькулятор'!$G$7="факт/факт",MOD(YEAR(F667),4)=0),G667*'депозитный калькулятор'!$D$11/366,G667*'депозитный калькулятор'!$G$8),0))</f>
        <v xml:space="preserve"> </v>
      </c>
      <c r="R667" s="158"/>
      <c r="S667" s="62" t="str">
        <f t="shared" ca="1" si="52"/>
        <v xml:space="preserve"> </v>
      </c>
      <c r="T667" s="149" t="str">
        <f ca="1">IF(S667=" "," ",IF('депозитный калькулятор'!$G$7="30/360",DAYS360(U666,IF(DAY(U667)=31,U667-1,U667))+IF(AND(MONTH(U667)=2,U667=EOMONTH(U667,0)),30-DAY(EOMONTH(U667,0)))+T666,VLOOKUP(S667,$C$22:$F$1023,2,0)))</f>
        <v xml:space="preserve"> </v>
      </c>
      <c r="U667" s="64" t="str">
        <f t="shared" ca="1" si="50"/>
        <v xml:space="preserve"> </v>
      </c>
      <c r="V667" s="150" t="str">
        <f t="shared" ca="1" si="53"/>
        <v xml:space="preserve"> </v>
      </c>
      <c r="W667" s="62" t="str">
        <f t="shared" ca="1" si="54"/>
        <v xml:space="preserve"> </v>
      </c>
      <c r="X667" s="141" t="str">
        <f ca="1">IF(S667=" "," ",IFERROR(VLOOKUP(U667,$F$23:$N$1023,7)+VLOOKUP(U667,$F$23:$N$1023,9)+IF(AND('депозитный калькулятор'!$G$13="нет",U667&lt;&gt;'депозитный калькулятор'!$D$8),VLOOKUP(U667,$F$23:$N$1023,4),0),0)+IF(U667='депозитный калькулятор'!$D$8,VLOOKUP(U667,$F$23:$N$1023,2)+VLOOKUP(U667,$F$23:$N$1023,4),0))</f>
        <v xml:space="preserve"> </v>
      </c>
      <c r="Y667" s="142" t="str">
        <f ca="1">IF(S667=" "," ",W667/(1+'депозитный калькулятор'!$K$8)^(T667/IF('депозитный калькулятор'!$G$7="30/360",360,365)))</f>
        <v xml:space="preserve"> </v>
      </c>
      <c r="Z667" s="142" t="str">
        <f ca="1">IF(S667=" "," ",X667/(1+'депозитный калькулятор'!$K$8)^(T667/IF('депозитный калькулятор'!$G$7="30/360",360,365)))</f>
        <v xml:space="preserve"> </v>
      </c>
      <c r="AA667" s="151"/>
      <c r="AB667" s="151"/>
      <c r="AC667" s="155"/>
      <c r="AD667" s="155"/>
    </row>
    <row r="668" spans="1:30" s="2" customFormat="1" ht="15.5" x14ac:dyDescent="0.35">
      <c r="A668" s="41" t="str">
        <f>IF(F668=" "," ",IF(OR('депозитный калькулятор'!$G$7="30/365",'депозитный калькулятор'!$G$7="30/360"),IF(AND(MONTH(F668)=2,DAY(F668)=DAY(EOMONTH(F668,0))),30-DAY(EOMONTH(F668,0)),IF(DAY(F668)=31,1," "))," "))</f>
        <v xml:space="preserve"> </v>
      </c>
      <c r="B668" s="130" t="str">
        <f t="shared" si="51"/>
        <v xml:space="preserve"> </v>
      </c>
      <c r="C668" s="130" t="str">
        <f>IF(OR(B668=0,B668=" ")," ",SUM($B$23:B668))</f>
        <v xml:space="preserve"> </v>
      </c>
      <c r="D668" s="62" t="str">
        <f>IF(D667=" "," ",IF(OR(F667='депозитный калькулятор'!$D$8,F667=" ")," ",D667+1))</f>
        <v xml:space="preserve"> </v>
      </c>
      <c r="E668" s="130" t="str">
        <f>IF(OR(F667='депозитный калькулятор'!$D$8,F667=" ")," ",IF(EOMONTH(F667,0)=F667,1,E667+1))</f>
        <v xml:space="preserve"> </v>
      </c>
      <c r="F668" s="64" t="str">
        <f>IF(F667=" "," ",IF(F667='депозитный калькулятор'!$D$8," ",F667+1))</f>
        <v xml:space="preserve"> </v>
      </c>
      <c r="G668" s="145" t="str">
        <f xml:space="preserve"> IF(F668&gt;'депозитный калькулятор'!$D$8," ",IF('депозитный калькулятор'!$G$13="есть",IF('депозитный калькулятор'!$G$14="есть",G667+IF(I667=" ",0,I667)-J668-K668+L668+M668-N668,G667+IF(I667=" ",0,I667)-J668-K668+M668-N668),IF('депозитный калькулятор'!$G$14="есть",G667-J668-K668+L668+M668-N668,G667-J668-K668+M668-N668)))</f>
        <v xml:space="preserve"> </v>
      </c>
      <c r="H668" s="133" t="str">
        <f>IF(F668&gt;'депозитный калькулятор'!$D$8," ",IF(AND(OR('депозитный калькулятор'!$G$7="30/365",'депозитный калькулятор'!$G$7="30/360"),AND(MONTH(F668)=2,EOMONTH(F668,0)=F668)),IF(DAY(F668)=28,3*G668*'депозитный калькулятор'!$G$8,2*G668*'депозитный калькулятор'!$G$8),IF(AND(OR('депозитный калькулятор'!$G$7="30/365",'депозитный калькулятор'!$G$7="30/360"),DAY(F668)=31)," ",IF(AND('депозитный калькулятор'!$G$7="факт/факт",MOD(YEAR(F668),4)=0),G668*'депозитный калькулятор'!$D$11/366,G668*'депозитный калькулятор'!$G$8))))</f>
        <v xml:space="preserve"> </v>
      </c>
      <c r="I668" s="134" t="str">
        <f ca="1">IF(F668=" "," ",IF('депозитный калькулятор'!$G$10="ежедневное",H668,IF(AND('депозитный калькулятор'!$G$10="еженедельное",WEEKDAY(F668,2)=7),SUM(OFFSET(H668,-6,0):H668),IF(AND('депозитный калькулятор'!$G$10="еженедельное",F668='депозитный калькулятор'!$D$8),SUM($H$23:H668)-SUM($I$23:I667),IF(AND('депозитный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недели",WEEKDAY(F668,2)=7),MIN(OFFSET(H668,-6,0):H668)*(COUNTIF(OFFSET(H668,-6,0):H668,"&gt;0")+SUMIF(OFFSET(A668,-WEEKDAY(F668,2),0):A668,"=2",OFFSET(A668,-WEEKDAY(F668,2),0):A668)),IF(AND('депозитный калькулятор'!$G$10="еженедельное, на минимальную сумму зафиксированную в течение недели",F668='депозитный калькулятор'!$D$8,WEEKDAY(F668,2)&lt;&gt;7),MIN(OFFSET(H668,-WEEKDAY(F668,2),0):H668)*(COUNTIF(OFFSET(H668,-WEEKDAY(F668,2)+1,0):H668,"&gt;0")+SUM(OFFSET(A668,-WEEKDAY(F668,2),0):A668)),IF(AND('депозитный калькулятор'!$G$10="ежемесячное (в конце месяца)",F668='депозитный калькулятор'!$D$8,EOMONTH(F668,0)&lt;&gt;F668),IF('депозитный калькулятор'!$F$1=1,$H$24,SUM($H$23:H668)-SUM($I$23:I667)),IF(AND('депозитный калькулятор'!$G$10="ежемесячное (в конце месяца)",EOMONTH(F668,0)=F668),SUM($H$23:H668)-SUM($I$23:I667),IF(AND('депозитный калькулятор'!$G$10="ежемесячное (по дням открытия вклада)",F668='депозитный калькулятор'!$D$8,DAY('депозитный калькулятор'!$D$7)&lt;&gt;DAY(F668)),IF('депозитный калькулятор'!$F$1=1,$H$24,SUM($H$23:H668)-SUM($I$23:I667)),IF(AND('депозитный калькулятор'!$G$10="ежемесячное (по дням открытия вклада)",DAY('депозитный калькулятор'!$D$7)=DAY(F668)),SUM($H$23:H668)-SUM($I$23:I667),IF(AND('депозитный калькулятор'!$G$10="ежемесячное, на минимальную сумму зафиксированную в течение месяца",F668='депозитный калькулятор'!$D$8,EOMONTH(F668,0)&lt;&gt;F668),IF('депозитный калькулятор'!$F$1=1,$H$24,IF(AND(OR('депозитный калькулятор'!$G$7="30/365",'депозитный калькулятор'!$G$7="30/360"),DAY(F668)=31),0,MIN(OFFSET(H668,-E668+1,0):H668)*(E668+SUMIF(OFFSET(A668,-E668+1,0):A668,"=2",OFFSET(A668,-E668+1,0):A668)))),IF(AND('депозитный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калькулятор'!$G$7="30/360"),DAY(EOMONTH(F668,0))=31),EOMONTH(F668,0)-1=F668,EOMONTH(F668,0)=F668)),IF(IF(AND(OR('депозитный калькулятор'!$G$7="30/365",'депозитный калькулятор'!$G$7="30/360"),DAY(EOMONTH($F$23,0))=31),F668=EOMONTH($F$23,0)-1,F668=EOMONTH($F$23,0)),MIN(OFFSET(H668,-(DAY(F668)-DAY($F$23)),0):H668)*E668,MIN(OFFSET(H668,-(DAY(F668)-1),0):H668)*IF(AND(OR('депозитный калькулятор'!$G$7="30/365",'депозитный калькулятор'!$G$7="30/360"),DAY(F668)&lt;30),30,DAY(F668))),IF(AND('депозитный калькулятор'!$G$10="ежемесячное, на средний остаток в течение месяца, при условии что остаток больше чем ограничение",F668='депозитный калькулятор'!$D$8,EOMONTH(F668,0)&lt;&gt;F668),IF('депозитный калькулятор'!$F$1=1,$H$24,SUM(OFFSET(Q668,-E668+1,0):Q668)),IF(AND('депозитный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калькулятор'!$G$7="30/360"),DAY(EOMONTH(F668,0))=31),EOMONTH(F668,0)-1=F668,EOMONTH(F668,0)=F668)),IF(IF(AND(OR('депозитный калькулятор'!$G$7="30/365",'депозитный калькулятор'!$G$7="30/360"),DAY(EOMONTH($F$24,0))=31),F668=EOMONTH($F$24,0)-1,F668=EOMONTH($F$24,0)),SUM(OFFSET(Q668,-E668+1,0):Q668),SUM(OFFSET(Q668,-E668+1,0):Q668)),IF('депозитный калькулятор'!$G$10="ежеквартальное",IF(F668&gt;'депозитный калькулятор'!$D$8," ",IF(AND(EOMONTH(F668,0)=F668,OR(MONTH(F668)=3,MONTH(F668)=6,MONTH(F668)=9,MONTH(F668)=12)),IF(EDATE(F668,-3)&lt;'депозитный калькулятор'!$D$7,SUM($H$23:H668),IF(MOD(YEAR(F668),4)=0,IF(AND(EOMONTH(F668,0)=F668,OR(MONTH(F668)=3,MONTH(F668)=6)),SUM(OFFSET(H668,-90,0):H668),IF(AND(EOMONTH(F668,0)=F668,OR(MONTH(F668)=9,MONTH(F668)=12)),SUM(OFFSET(H668,-91,0):H668))),IF(AND(EOMONTH(F668,0)=F668,MONTH(F668)=3),SUM(OFFSET(H668,-89,0):H668),IF(AND(EOMONTH(F668,0)=F668,MONTH(F668)=6),SUM(OFFSET(H668,-90,0):H668),IF(AND(EOMONTH(F668,0)=F668,OR(MONTH(F668)=9,MONTH(F668)=12)),SUM(OFFSET(H668,-91,0):H668)))))),IF(F668='депозитный калькулятор'!$D$8,SUM($H$23:H668)-SUM($I$23:I667),0))),IF('депозитный калькулятор'!$G$10="ежегодное",IF(F668&gt;'депозитный калькулятор'!$D$8," ",IF(F668='депозитный калькулятор'!$D$8,SUM($H$23:H668)-SUM($I$23:I667),IF(AND(EOMONTH(F668,0)=F668,MONTH(F668)=12),IF(MOD(YEAR(F667),4)=0,IF(F668-'депозитный калькулятор'!$D$7&lt;366,SUM($H$23:H668),SUM(OFFSET(H668,-365,0):H668)),IF(F668-'депозитный калькулятор'!$D$7&lt;365,SUM($H$23:H668),SUM(OFFSET(H668,-364,0):H668))),0))),IF(AND('депозитный калькулятор'!$G$10="в конце срока",'депозитный калькулятор'!$D$8=F668),SUM($H$23:H668),0))))))))))))))))))</f>
        <v xml:space="preserve"> </v>
      </c>
      <c r="J668" s="59" t="str">
        <f>IF(F668&gt;'депозитный калькулятор'!$D$8," ",IF('депозитный калькулятор'!$G$16="нет",0,IF(AND('депозитный калькулятор'!$G$17="разовая (в конце срока)",F668='депозитный калькулятор'!$D$8),'депозитный калькулятор'!$G$18,IF(AND('депозитный калькулятор'!$G$17="ежемесячная",EOMONTH(F667,0)=F667),'депозитный калькулятор'!$G$18,IF(AND('депозитный калькулятор'!$G$17="ежегодная",DAY(F667)=31,MONTH(F667)=12),'депозитный калькулятор'!$G$18,IF(AND('депозитный калькулятор'!$G$17="ежемесячная в зависимости от остатка",EOMONTH(F667,0)=F667,P667&gt;0),'депозитный калькулятор'!$G$18,IF(AND('депозитный калькулятор'!$G$17="ежегодная в зависимости от остатка",DAY(F667)=31,MONTH(F667)=12,P667&gt;0),'депозитный калькулятор'!$G$18,0)))))))</f>
        <v xml:space="preserve"> </v>
      </c>
      <c r="K668" s="135" t="str">
        <f>IF($F668=" "," ",IFERROR(VLOOKUP($F668,'депозитный калькулятор'!$B$26:$F$70,2,0),0))</f>
        <v xml:space="preserve"> </v>
      </c>
      <c r="L668" s="135" t="str">
        <f>IF($F668=" "," ",IFERROR(VLOOKUP($F668,'депозитный калькулятор'!$B$26:$F$70,3,0),0))</f>
        <v xml:space="preserve"> </v>
      </c>
      <c r="M668" s="135" t="str">
        <f>IF($F668=" "," ",IFERROR(VLOOKUP($F668,'депозитный калькулятор'!$B$26:$F$70,4,0),0))</f>
        <v xml:space="preserve"> </v>
      </c>
      <c r="N668" s="135" t="str">
        <f>IF($F668=" "," ",IFERROR(VLOOKUP($F668,'депозитный калькулятор'!$B$26:$F$70,5,0),0))</f>
        <v xml:space="preserve"> </v>
      </c>
      <c r="O668" s="146" t="str">
        <f>IF(F668&gt;'депозитный калькулятор'!$D$8," ",IF(F668='депозитный калькулятор'!$D$8,IF(AND($F$24='депозитный калькулятор'!$D$8,'депозитный калькулятор'!$G$13="нет"),-G668-IF(I668=" ",0,I668)-IF(AND(OR('депозитный калькулятор'!$G$7="30/365",'депозитный калькулятор'!$G$7="30/360"),'депозитный калькулятор'!$G$10="в начале срока"),I667,0)-L668+M668-N668,-G668-IF(I668=" ",0,I668)-L668+M668-N668),IF('депозитный калькулятор'!$G$13="есть",M668-N668+IF('депозитный калькулятор'!$G$14="есть",0,-L668),-IF(I668=" ",0,I668)-IF(AND(OR('депозитный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срока"),I667,0)+M668-N668+IF('депозитный калькулятор'!$G$14="есть",0,-L668))))</f>
        <v xml:space="preserve"> </v>
      </c>
      <c r="P668" s="147" t="str">
        <f>IF(F668&gt;'депозитный калькулятор'!$D$8," ",IF(EOMONTH(F667,0)=F667,0,IF(G668&gt;='депозитный калькулятор'!$G$19,P667,P667+1)))</f>
        <v xml:space="preserve"> </v>
      </c>
      <c r="Q668" s="138" t="str">
        <f>IF(F668=" "," ",IF(AND(OR('депозитный калькулятор'!$G$7="30/365",'депозитный калькулятор'!$G$7="30/360"),AND(MONTH(F668)=2,EOMONTH(F668,0)=F668)),IF(DAY(F668)=28,3,2),1)*IF(G668&gt;='депозитный калькулятор'!$G$11,IF(AND('депозитный калькулятор'!$G$7="факт/факт",MOD(YEAR(F668),4)=0),G668*'депозитный калькулятор'!$D$11/366,G668*'депозитный калькулятор'!$G$8),0))</f>
        <v xml:space="preserve"> </v>
      </c>
      <c r="R668" s="158"/>
      <c r="S668" s="62" t="str">
        <f t="shared" ca="1" si="52"/>
        <v xml:space="preserve"> </v>
      </c>
      <c r="T668" s="149" t="str">
        <f ca="1">IF(S668=" "," ",IF('депозитный калькулятор'!$G$7="30/360",DAYS360(U667,IF(DAY(U668)=31,U668-1,U668))+IF(AND(MONTH(U668)=2,U668=EOMONTH(U668,0)),30-DAY(EOMONTH(U668,0)))+T667,VLOOKUP(S668,$C$22:$F$1023,2,0)))</f>
        <v xml:space="preserve"> </v>
      </c>
      <c r="U668" s="64" t="str">
        <f t="shared" ca="1" si="50"/>
        <v xml:space="preserve"> </v>
      </c>
      <c r="V668" s="150" t="str">
        <f t="shared" ca="1" si="53"/>
        <v xml:space="preserve"> </v>
      </c>
      <c r="W668" s="62" t="str">
        <f t="shared" ca="1" si="54"/>
        <v xml:space="preserve"> </v>
      </c>
      <c r="X668" s="141" t="str">
        <f ca="1">IF(S668=" "," ",IFERROR(VLOOKUP(U668,$F$23:$N$1023,7)+VLOOKUP(U668,$F$23:$N$1023,9)+IF(AND('депозитный калькулятор'!$G$13="нет",U668&lt;&gt;'депозитный калькулятор'!$D$8),VLOOKUP(U668,$F$23:$N$1023,4),0),0)+IF(U668='депозитный калькулятор'!$D$8,VLOOKUP(U668,$F$23:$N$1023,2)+VLOOKUP(U668,$F$23:$N$1023,4),0))</f>
        <v xml:space="preserve"> </v>
      </c>
      <c r="Y668" s="142" t="str">
        <f ca="1">IF(S668=" "," ",W668/(1+'депозитный калькулятор'!$K$8)^(T668/IF('депозитный калькулятор'!$G$7="30/360",360,365)))</f>
        <v xml:space="preserve"> </v>
      </c>
      <c r="Z668" s="142" t="str">
        <f ca="1">IF(S668=" "," ",X668/(1+'депозитный калькулятор'!$K$8)^(T668/IF('депозитный калькулятор'!$G$7="30/360",360,365)))</f>
        <v xml:space="preserve"> </v>
      </c>
      <c r="AA668" s="151"/>
      <c r="AB668" s="151"/>
      <c r="AC668" s="155"/>
      <c r="AD668" s="155"/>
    </row>
    <row r="669" spans="1:30" s="2" customFormat="1" ht="15.5" x14ac:dyDescent="0.35">
      <c r="A669" s="41" t="str">
        <f>IF(F669=" "," ",IF(OR('депозитный калькулятор'!$G$7="30/365",'депозитный калькулятор'!$G$7="30/360"),IF(AND(MONTH(F669)=2,DAY(F669)=DAY(EOMONTH(F669,0))),30-DAY(EOMONTH(F669,0)),IF(DAY(F669)=31,1," "))," "))</f>
        <v xml:space="preserve"> </v>
      </c>
      <c r="B669" s="130" t="str">
        <f t="shared" si="51"/>
        <v xml:space="preserve"> </v>
      </c>
      <c r="C669" s="130" t="str">
        <f>IF(OR(B669=0,B669=" ")," ",SUM($B$23:B669))</f>
        <v xml:space="preserve"> </v>
      </c>
      <c r="D669" s="62" t="str">
        <f>IF(D668=" "," ",IF(OR(F668='депозитный калькулятор'!$D$8,F668=" ")," ",D668+1))</f>
        <v xml:space="preserve"> </v>
      </c>
      <c r="E669" s="130" t="str">
        <f>IF(OR(F668='депозитный калькулятор'!$D$8,F668=" ")," ",IF(EOMONTH(F668,0)=F668,1,E668+1))</f>
        <v xml:space="preserve"> </v>
      </c>
      <c r="F669" s="64" t="str">
        <f>IF(F668=" "," ",IF(F668='депозитный калькулятор'!$D$8," ",F668+1))</f>
        <v xml:space="preserve"> </v>
      </c>
      <c r="G669" s="145" t="str">
        <f xml:space="preserve"> IF(F669&gt;'депозитный калькулятор'!$D$8," ",IF('депозитный калькулятор'!$G$13="есть",IF('депозитный калькулятор'!$G$14="есть",G668+IF(I668=" ",0,I668)-J669-K669+L669+M669-N669,G668+IF(I668=" ",0,I668)-J669-K669+M669-N669),IF('депозитный калькулятор'!$G$14="есть",G668-J669-K669+L669+M669-N669,G668-J669-K669+M669-N669)))</f>
        <v xml:space="preserve"> </v>
      </c>
      <c r="H669" s="133" t="str">
        <f>IF(F669&gt;'депозитный калькулятор'!$D$8," ",IF(AND(OR('депозитный калькулятор'!$G$7="30/365",'депозитный калькулятор'!$G$7="30/360"),AND(MONTH(F669)=2,EOMONTH(F669,0)=F669)),IF(DAY(F669)=28,3*G669*'депозитный калькулятор'!$G$8,2*G669*'депозитный калькулятор'!$G$8),IF(AND(OR('депозитный калькулятор'!$G$7="30/365",'депозитный калькулятор'!$G$7="30/360"),DAY(F669)=31)," ",IF(AND('депозитный калькулятор'!$G$7="факт/факт",MOD(YEAR(F669),4)=0),G669*'депозитный калькулятор'!$D$11/366,G669*'депозитный калькулятор'!$G$8))))</f>
        <v xml:space="preserve"> </v>
      </c>
      <c r="I669" s="134" t="str">
        <f ca="1">IF(F669=" "," ",IF('депозитный калькулятор'!$G$10="ежедневное",H669,IF(AND('депозитный калькулятор'!$G$10="еженедельное",WEEKDAY(F669,2)=7),SUM(OFFSET(H669,-6,0):H669),IF(AND('депозитный калькулятор'!$G$10="еженедельное",F669='депозитный калькулятор'!$D$8),SUM($H$23:H669)-SUM($I$23:I668),IF(AND('депозитный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недели",WEEKDAY(F669,2)=7),MIN(OFFSET(H669,-6,0):H669)*(COUNTIF(OFFSET(H669,-6,0):H669,"&gt;0")+SUMIF(OFFSET(A669,-WEEKDAY(F669,2),0):A669,"=2",OFFSET(A669,-WEEKDAY(F669,2),0):A669)),IF(AND('депозитный калькулятор'!$G$10="еженедельное, на минимальную сумму зафиксированную в течение недели",F669='депозитный калькулятор'!$D$8,WEEKDAY(F669,2)&lt;&gt;7),MIN(OFFSET(H669,-WEEKDAY(F669,2),0):H669)*(COUNTIF(OFFSET(H669,-WEEKDAY(F669,2)+1,0):H669,"&gt;0")+SUM(OFFSET(A669,-WEEKDAY(F669,2),0):A669)),IF(AND('депозитный калькулятор'!$G$10="ежемесячное (в конце месяца)",F669='депозитный калькулятор'!$D$8,EOMONTH(F669,0)&lt;&gt;F669),IF('депозитный калькулятор'!$F$1=1,$H$24,SUM($H$23:H669)-SUM($I$23:I668)),IF(AND('депозитный калькулятор'!$G$10="ежемесячное (в конце месяца)",EOMONTH(F669,0)=F669),SUM($H$23:H669)-SUM($I$23:I668),IF(AND('депозитный калькулятор'!$G$10="ежемесячное (по дням открытия вклада)",F669='депозитный калькулятор'!$D$8,DAY('депозитный калькулятор'!$D$7)&lt;&gt;DAY(F669)),IF('депозитный калькулятор'!$F$1=1,$H$24,SUM($H$23:H669)-SUM($I$23:I668)),IF(AND('депозитный калькулятор'!$G$10="ежемесячное (по дням открытия вклада)",DAY('депозитный калькулятор'!$D$7)=DAY(F669)),SUM($H$23:H669)-SUM($I$23:I668),IF(AND('депозитный калькулятор'!$G$10="ежемесячное, на минимальную сумму зафиксированную в течение месяца",F669='депозитный калькулятор'!$D$8,EOMONTH(F669,0)&lt;&gt;F669),IF('депозитный калькулятор'!$F$1=1,$H$24,IF(AND(OR('депозитный калькулятор'!$G$7="30/365",'депозитный калькулятор'!$G$7="30/360"),DAY(F669)=31),0,MIN(OFFSET(H669,-E669+1,0):H669)*(E669+SUMIF(OFFSET(A669,-E669+1,0):A669,"=2",OFFSET(A669,-E669+1,0):A669)))),IF(AND('депозитный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калькулятор'!$G$7="30/360"),DAY(EOMONTH(F669,0))=31),EOMONTH(F669,0)-1=F669,EOMONTH(F669,0)=F669)),IF(IF(AND(OR('депозитный калькулятор'!$G$7="30/365",'депозитный калькулятор'!$G$7="30/360"),DAY(EOMONTH($F$23,0))=31),F669=EOMONTH($F$23,0)-1,F669=EOMONTH($F$23,0)),MIN(OFFSET(H669,-(DAY(F669)-DAY($F$23)),0):H669)*E669,MIN(OFFSET(H669,-(DAY(F669)-1),0):H669)*IF(AND(OR('депозитный калькулятор'!$G$7="30/365",'депозитный калькулятор'!$G$7="30/360"),DAY(F669)&lt;30),30,DAY(F669))),IF(AND('депозитный калькулятор'!$G$10="ежемесячное, на средний остаток в течение месяца, при условии что остаток больше чем ограничение",F669='депозитный калькулятор'!$D$8,EOMONTH(F669,0)&lt;&gt;F669),IF('депозитный калькулятор'!$F$1=1,$H$24,SUM(OFFSET(Q669,-E669+1,0):Q669)),IF(AND('депозитный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калькулятор'!$G$7="30/360"),DAY(EOMONTH(F669,0))=31),EOMONTH(F669,0)-1=F669,EOMONTH(F669,0)=F669)),IF(IF(AND(OR('депозитный калькулятор'!$G$7="30/365",'депозитный калькулятор'!$G$7="30/360"),DAY(EOMONTH($F$24,0))=31),F669=EOMONTH($F$24,0)-1,F669=EOMONTH($F$24,0)),SUM(OFFSET(Q669,-E669+1,0):Q669),SUM(OFFSET(Q669,-E669+1,0):Q669)),IF('депозитный калькулятор'!$G$10="ежеквартальное",IF(F669&gt;'депозитный калькулятор'!$D$8," ",IF(AND(EOMONTH(F669,0)=F669,OR(MONTH(F669)=3,MONTH(F669)=6,MONTH(F669)=9,MONTH(F669)=12)),IF(EDATE(F669,-3)&lt;'депозитный калькулятор'!$D$7,SUM($H$23:H669),IF(MOD(YEAR(F669),4)=0,IF(AND(EOMONTH(F669,0)=F669,OR(MONTH(F669)=3,MONTH(F669)=6)),SUM(OFFSET(H669,-90,0):H669),IF(AND(EOMONTH(F669,0)=F669,OR(MONTH(F669)=9,MONTH(F669)=12)),SUM(OFFSET(H669,-91,0):H669))),IF(AND(EOMONTH(F669,0)=F669,MONTH(F669)=3),SUM(OFFSET(H669,-89,0):H669),IF(AND(EOMONTH(F669,0)=F669,MONTH(F669)=6),SUM(OFFSET(H669,-90,0):H669),IF(AND(EOMONTH(F669,0)=F669,OR(MONTH(F669)=9,MONTH(F669)=12)),SUM(OFFSET(H669,-91,0):H669)))))),IF(F669='депозитный калькулятор'!$D$8,SUM($H$23:H669)-SUM($I$23:I668),0))),IF('депозитный калькулятор'!$G$10="ежегодное",IF(F669&gt;'депозитный калькулятор'!$D$8," ",IF(F669='депозитный калькулятор'!$D$8,SUM($H$23:H669)-SUM($I$23:I668),IF(AND(EOMONTH(F669,0)=F669,MONTH(F669)=12),IF(MOD(YEAR(F668),4)=0,IF(F669-'депозитный калькулятор'!$D$7&lt;366,SUM($H$23:H669),SUM(OFFSET(H669,-365,0):H669)),IF(F669-'депозитный калькулятор'!$D$7&lt;365,SUM($H$23:H669),SUM(OFFSET(H669,-364,0):H669))),0))),IF(AND('депозитный калькулятор'!$G$10="в конце срока",'депозитный калькулятор'!$D$8=F669),SUM($H$23:H669),0))))))))))))))))))</f>
        <v xml:space="preserve"> </v>
      </c>
      <c r="J669" s="59" t="str">
        <f>IF(F669&gt;'депозитный калькулятор'!$D$8," ",IF('депозитный калькулятор'!$G$16="нет",0,IF(AND('депозитный калькулятор'!$G$17="разовая (в конце срока)",F669='депозитный калькулятор'!$D$8),'депозитный калькулятор'!$G$18,IF(AND('депозитный калькулятор'!$G$17="ежемесячная",EOMONTH(F668,0)=F668),'депозитный калькулятор'!$G$18,IF(AND('депозитный калькулятор'!$G$17="ежегодная",DAY(F668)=31,MONTH(F668)=12),'депозитный калькулятор'!$G$18,IF(AND('депозитный калькулятор'!$G$17="ежемесячная в зависимости от остатка",EOMONTH(F668,0)=F668,P668&gt;0),'депозитный калькулятор'!$G$18,IF(AND('депозитный калькулятор'!$G$17="ежегодная в зависимости от остатка",DAY(F668)=31,MONTH(F668)=12,P668&gt;0),'депозитный калькулятор'!$G$18,0)))))))</f>
        <v xml:space="preserve"> </v>
      </c>
      <c r="K669" s="135" t="str">
        <f>IF($F669=" "," ",IFERROR(VLOOKUP($F669,'депозитный калькулятор'!$B$26:$F$70,2,0),0))</f>
        <v xml:space="preserve"> </v>
      </c>
      <c r="L669" s="135" t="str">
        <f>IF($F669=" "," ",IFERROR(VLOOKUP($F669,'депозитный калькулятор'!$B$26:$F$70,3,0),0))</f>
        <v xml:space="preserve"> </v>
      </c>
      <c r="M669" s="135" t="str">
        <f>IF($F669=" "," ",IFERROR(VLOOKUP($F669,'депозитный калькулятор'!$B$26:$F$70,4,0),0))</f>
        <v xml:space="preserve"> </v>
      </c>
      <c r="N669" s="135" t="str">
        <f>IF($F669=" "," ",IFERROR(VLOOKUP($F669,'депозитный калькулятор'!$B$26:$F$70,5,0),0))</f>
        <v xml:space="preserve"> </v>
      </c>
      <c r="O669" s="146" t="str">
        <f>IF(F669&gt;'депозитный калькулятор'!$D$8," ",IF(F669='депозитный калькулятор'!$D$8,IF(AND($F$24='депозитный калькулятор'!$D$8,'депозитный калькулятор'!$G$13="нет"),-G669-IF(I669=" ",0,I669)-IF(AND(OR('депозитный калькулятор'!$G$7="30/365",'депозитный калькулятор'!$G$7="30/360"),'депозитный калькулятор'!$G$10="в начале срока"),I668,0)-L669+M669-N669,-G669-IF(I669=" ",0,I669)-L669+M669-N669),IF('депозитный калькулятор'!$G$13="есть",M669-N669+IF('депозитный калькулятор'!$G$14="есть",0,-L669),-IF(I669=" ",0,I669)-IF(AND(OR('депозитный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срока"),I668,0)+M669-N669+IF('депозитный калькулятор'!$G$14="есть",0,-L669))))</f>
        <v xml:space="preserve"> </v>
      </c>
      <c r="P669" s="147" t="str">
        <f>IF(F669&gt;'депозитный калькулятор'!$D$8," ",IF(EOMONTH(F668,0)=F668,0,IF(G669&gt;='депозитный калькулятор'!$G$19,P668,P668+1)))</f>
        <v xml:space="preserve"> </v>
      </c>
      <c r="Q669" s="138" t="str">
        <f>IF(F669=" "," ",IF(AND(OR('депозитный калькулятор'!$G$7="30/365",'депозитный калькулятор'!$G$7="30/360"),AND(MONTH(F669)=2,EOMONTH(F669,0)=F669)),IF(DAY(F669)=28,3,2),1)*IF(G669&gt;='депозитный калькулятор'!$G$11,IF(AND('депозитный калькулятор'!$G$7="факт/факт",MOD(YEAR(F669),4)=0),G669*'депозитный калькулятор'!$D$11/366,G669*'депозитный калькулятор'!$G$8),0))</f>
        <v xml:space="preserve"> </v>
      </c>
      <c r="R669" s="158"/>
      <c r="S669" s="62" t="str">
        <f t="shared" ca="1" si="52"/>
        <v xml:space="preserve"> </v>
      </c>
      <c r="T669" s="149" t="str">
        <f ca="1">IF(S669=" "," ",IF('депозитный калькулятор'!$G$7="30/360",DAYS360(U668,IF(DAY(U669)=31,U669-1,U669))+IF(AND(MONTH(U669)=2,U669=EOMONTH(U669,0)),30-DAY(EOMONTH(U669,0)))+T668,VLOOKUP(S669,$C$22:$F$1023,2,0)))</f>
        <v xml:space="preserve"> </v>
      </c>
      <c r="U669" s="64" t="str">
        <f t="shared" ca="1" si="50"/>
        <v xml:space="preserve"> </v>
      </c>
      <c r="V669" s="150" t="str">
        <f t="shared" ca="1" si="53"/>
        <v xml:space="preserve"> </v>
      </c>
      <c r="W669" s="62" t="str">
        <f t="shared" ca="1" si="54"/>
        <v xml:space="preserve"> </v>
      </c>
      <c r="X669" s="141" t="str">
        <f ca="1">IF(S669=" "," ",IFERROR(VLOOKUP(U669,$F$23:$N$1023,7)+VLOOKUP(U669,$F$23:$N$1023,9)+IF(AND('депозитный калькулятор'!$G$13="нет",U669&lt;&gt;'депозитный калькулятор'!$D$8),VLOOKUP(U669,$F$23:$N$1023,4),0),0)+IF(U669='депозитный калькулятор'!$D$8,VLOOKUP(U669,$F$23:$N$1023,2)+VLOOKUP(U669,$F$23:$N$1023,4),0))</f>
        <v xml:space="preserve"> </v>
      </c>
      <c r="Y669" s="142" t="str">
        <f ca="1">IF(S669=" "," ",W669/(1+'депозитный калькулятор'!$K$8)^(T669/IF('депозитный калькулятор'!$G$7="30/360",360,365)))</f>
        <v xml:space="preserve"> </v>
      </c>
      <c r="Z669" s="142" t="str">
        <f ca="1">IF(S669=" "," ",X669/(1+'депозитный калькулятор'!$K$8)^(T669/IF('депозитный калькулятор'!$G$7="30/360",360,365)))</f>
        <v xml:space="preserve"> </v>
      </c>
      <c r="AA669" s="151"/>
      <c r="AB669" s="151"/>
      <c r="AC669" s="155"/>
      <c r="AD669" s="155"/>
    </row>
    <row r="670" spans="1:30" s="2" customFormat="1" ht="15.5" x14ac:dyDescent="0.35">
      <c r="A670" s="41" t="str">
        <f>IF(F670=" "," ",IF(OR('депозитный калькулятор'!$G$7="30/365",'депозитный калькулятор'!$G$7="30/360"),IF(AND(MONTH(F670)=2,DAY(F670)=DAY(EOMONTH(F670,0))),30-DAY(EOMONTH(F670,0)),IF(DAY(F670)=31,1," "))," "))</f>
        <v xml:space="preserve"> </v>
      </c>
      <c r="B670" s="130" t="str">
        <f t="shared" si="51"/>
        <v xml:space="preserve"> </v>
      </c>
      <c r="C670" s="130" t="str">
        <f>IF(OR(B670=0,B670=" ")," ",SUM($B$23:B670))</f>
        <v xml:space="preserve"> </v>
      </c>
      <c r="D670" s="62" t="str">
        <f>IF(D669=" "," ",IF(OR(F669='депозитный калькулятор'!$D$8,F669=" ")," ",D669+1))</f>
        <v xml:space="preserve"> </v>
      </c>
      <c r="E670" s="130" t="str">
        <f>IF(OR(F669='депозитный калькулятор'!$D$8,F669=" ")," ",IF(EOMONTH(F669,0)=F669,1,E669+1))</f>
        <v xml:space="preserve"> </v>
      </c>
      <c r="F670" s="64" t="str">
        <f>IF(F669=" "," ",IF(F669='депозитный калькулятор'!$D$8," ",F669+1))</f>
        <v xml:space="preserve"> </v>
      </c>
      <c r="G670" s="145" t="str">
        <f xml:space="preserve"> IF(F670&gt;'депозитный калькулятор'!$D$8," ",IF('депозитный калькулятор'!$G$13="есть",IF('депозитный калькулятор'!$G$14="есть",G669+IF(I669=" ",0,I669)-J670-K670+L670+M670-N670,G669+IF(I669=" ",0,I669)-J670-K670+M670-N670),IF('депозитный калькулятор'!$G$14="есть",G669-J670-K670+L670+M670-N670,G669-J670-K670+M670-N670)))</f>
        <v xml:space="preserve"> </v>
      </c>
      <c r="H670" s="133" t="str">
        <f>IF(F670&gt;'депозитный калькулятор'!$D$8," ",IF(AND(OR('депозитный калькулятор'!$G$7="30/365",'депозитный калькулятор'!$G$7="30/360"),AND(MONTH(F670)=2,EOMONTH(F670,0)=F670)),IF(DAY(F670)=28,3*G670*'депозитный калькулятор'!$G$8,2*G670*'депозитный калькулятор'!$G$8),IF(AND(OR('депозитный калькулятор'!$G$7="30/365",'депозитный калькулятор'!$G$7="30/360"),DAY(F670)=31)," ",IF(AND('депозитный калькулятор'!$G$7="факт/факт",MOD(YEAR(F670),4)=0),G670*'депозитный калькулятор'!$D$11/366,G670*'депозитный калькулятор'!$G$8))))</f>
        <v xml:space="preserve"> </v>
      </c>
      <c r="I670" s="134" t="str">
        <f ca="1">IF(F670=" "," ",IF('депозитный калькулятор'!$G$10="ежедневное",H670,IF(AND('депозитный калькулятор'!$G$10="еженедельное",WEEKDAY(F670,2)=7),SUM(OFFSET(H670,-6,0):H670),IF(AND('депозитный калькулятор'!$G$10="еженедельное",F670='депозитный калькулятор'!$D$8),SUM($H$23:H670)-SUM($I$23:I669),IF(AND('депозитный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недели",WEEKDAY(F670,2)=7),MIN(OFFSET(H670,-6,0):H670)*(COUNTIF(OFFSET(H670,-6,0):H670,"&gt;0")+SUMIF(OFFSET(A670,-WEEKDAY(F670,2),0):A670,"=2",OFFSET(A670,-WEEKDAY(F670,2),0):A670)),IF(AND('депозитный калькулятор'!$G$10="еженедельное, на минимальную сумму зафиксированную в течение недели",F670='депозитный калькулятор'!$D$8,WEEKDAY(F670,2)&lt;&gt;7),MIN(OFFSET(H670,-WEEKDAY(F670,2),0):H670)*(COUNTIF(OFFSET(H670,-WEEKDAY(F670,2)+1,0):H670,"&gt;0")+SUM(OFFSET(A670,-WEEKDAY(F670,2),0):A670)),IF(AND('депозитный калькулятор'!$G$10="ежемесячное (в конце месяца)",F670='депозитный калькулятор'!$D$8,EOMONTH(F670,0)&lt;&gt;F670),IF('депозитный калькулятор'!$F$1=1,$H$24,SUM($H$23:H670)-SUM($I$23:I669)),IF(AND('депозитный калькулятор'!$G$10="ежемесячное (в конце месяца)",EOMONTH(F670,0)=F670),SUM($H$23:H670)-SUM($I$23:I669),IF(AND('депозитный калькулятор'!$G$10="ежемесячное (по дням открытия вклада)",F670='депозитный калькулятор'!$D$8,DAY('депозитный калькулятор'!$D$7)&lt;&gt;DAY(F670)),IF('депозитный калькулятор'!$F$1=1,$H$24,SUM($H$23:H670)-SUM($I$23:I669)),IF(AND('депозитный калькулятор'!$G$10="ежемесячное (по дням открытия вклада)",DAY('депозитный калькулятор'!$D$7)=DAY(F670)),SUM($H$23:H670)-SUM($I$23:I669),IF(AND('депозитный калькулятор'!$G$10="ежемесячное, на минимальную сумму зафиксированную в течение месяца",F670='депозитный калькулятор'!$D$8,EOMONTH(F670,0)&lt;&gt;F670),IF('депозитный калькулятор'!$F$1=1,$H$24,IF(AND(OR('депозитный калькулятор'!$G$7="30/365",'депозитный калькулятор'!$G$7="30/360"),DAY(F670)=31),0,MIN(OFFSET(H670,-E670+1,0):H670)*(E670+SUMIF(OFFSET(A670,-E670+1,0):A670,"=2",OFFSET(A670,-E670+1,0):A670)))),IF(AND('депозитный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калькулятор'!$G$7="30/360"),DAY(EOMONTH(F670,0))=31),EOMONTH(F670,0)-1=F670,EOMONTH(F670,0)=F670)),IF(IF(AND(OR('депозитный калькулятор'!$G$7="30/365",'депозитный калькулятор'!$G$7="30/360"),DAY(EOMONTH($F$23,0))=31),F670=EOMONTH($F$23,0)-1,F670=EOMONTH($F$23,0)),MIN(OFFSET(H670,-(DAY(F670)-DAY($F$23)),0):H670)*E670,MIN(OFFSET(H670,-(DAY(F670)-1),0):H670)*IF(AND(OR('депозитный калькулятор'!$G$7="30/365",'депозитный калькулятор'!$G$7="30/360"),DAY(F670)&lt;30),30,DAY(F670))),IF(AND('депозитный калькулятор'!$G$10="ежемесячное, на средний остаток в течение месяца, при условии что остаток больше чем ограничение",F670='депозитный калькулятор'!$D$8,EOMONTH(F670,0)&lt;&gt;F670),IF('депозитный калькулятор'!$F$1=1,$H$24,SUM(OFFSET(Q670,-E670+1,0):Q670)),IF(AND('депозитный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калькулятор'!$G$7="30/360"),DAY(EOMONTH(F670,0))=31),EOMONTH(F670,0)-1=F670,EOMONTH(F670,0)=F670)),IF(IF(AND(OR('депозитный калькулятор'!$G$7="30/365",'депозитный калькулятор'!$G$7="30/360"),DAY(EOMONTH($F$24,0))=31),F670=EOMONTH($F$24,0)-1,F670=EOMONTH($F$24,0)),SUM(OFFSET(Q670,-E670+1,0):Q670),SUM(OFFSET(Q670,-E670+1,0):Q670)),IF('депозитный калькулятор'!$G$10="ежеквартальное",IF(F670&gt;'депозитный калькулятор'!$D$8," ",IF(AND(EOMONTH(F670,0)=F670,OR(MONTH(F670)=3,MONTH(F670)=6,MONTH(F670)=9,MONTH(F670)=12)),IF(EDATE(F670,-3)&lt;'депозитный калькулятор'!$D$7,SUM($H$23:H670),IF(MOD(YEAR(F670),4)=0,IF(AND(EOMONTH(F670,0)=F670,OR(MONTH(F670)=3,MONTH(F670)=6)),SUM(OFFSET(H670,-90,0):H670),IF(AND(EOMONTH(F670,0)=F670,OR(MONTH(F670)=9,MONTH(F670)=12)),SUM(OFFSET(H670,-91,0):H670))),IF(AND(EOMONTH(F670,0)=F670,MONTH(F670)=3),SUM(OFFSET(H670,-89,0):H670),IF(AND(EOMONTH(F670,0)=F670,MONTH(F670)=6),SUM(OFFSET(H670,-90,0):H670),IF(AND(EOMONTH(F670,0)=F670,OR(MONTH(F670)=9,MONTH(F670)=12)),SUM(OFFSET(H670,-91,0):H670)))))),IF(F670='депозитный калькулятор'!$D$8,SUM($H$23:H670)-SUM($I$23:I669),0))),IF('депозитный калькулятор'!$G$10="ежегодное",IF(F670&gt;'депозитный калькулятор'!$D$8," ",IF(F670='депозитный калькулятор'!$D$8,SUM($H$23:H670)-SUM($I$23:I669),IF(AND(EOMONTH(F670,0)=F670,MONTH(F670)=12),IF(MOD(YEAR(F669),4)=0,IF(F670-'депозитный калькулятор'!$D$7&lt;366,SUM($H$23:H670),SUM(OFFSET(H670,-365,0):H670)),IF(F670-'депозитный калькулятор'!$D$7&lt;365,SUM($H$23:H670),SUM(OFFSET(H670,-364,0):H670))),0))),IF(AND('депозитный калькулятор'!$G$10="в конце срока",'депозитный калькулятор'!$D$8=F670),SUM($H$23:H670),0))))))))))))))))))</f>
        <v xml:space="preserve"> </v>
      </c>
      <c r="J670" s="59" t="str">
        <f>IF(F670&gt;'депозитный калькулятор'!$D$8," ",IF('депозитный калькулятор'!$G$16="нет",0,IF(AND('депозитный калькулятор'!$G$17="разовая (в конце срока)",F670='депозитный калькулятор'!$D$8),'депозитный калькулятор'!$G$18,IF(AND('депозитный калькулятор'!$G$17="ежемесячная",EOMONTH(F669,0)=F669),'депозитный калькулятор'!$G$18,IF(AND('депозитный калькулятор'!$G$17="ежегодная",DAY(F669)=31,MONTH(F669)=12),'депозитный калькулятор'!$G$18,IF(AND('депозитный калькулятор'!$G$17="ежемесячная в зависимости от остатка",EOMONTH(F669,0)=F669,P669&gt;0),'депозитный калькулятор'!$G$18,IF(AND('депозитный калькулятор'!$G$17="ежегодная в зависимости от остатка",DAY(F669)=31,MONTH(F669)=12,P669&gt;0),'депозитный калькулятор'!$G$18,0)))))))</f>
        <v xml:space="preserve"> </v>
      </c>
      <c r="K670" s="135" t="str">
        <f>IF($F670=" "," ",IFERROR(VLOOKUP($F670,'депозитный калькулятор'!$B$26:$F$70,2,0),0))</f>
        <v xml:space="preserve"> </v>
      </c>
      <c r="L670" s="135" t="str">
        <f>IF($F670=" "," ",IFERROR(VLOOKUP($F670,'депозитный калькулятор'!$B$26:$F$70,3,0),0))</f>
        <v xml:space="preserve"> </v>
      </c>
      <c r="M670" s="135" t="str">
        <f>IF($F670=" "," ",IFERROR(VLOOKUP($F670,'депозитный калькулятор'!$B$26:$F$70,4,0),0))</f>
        <v xml:space="preserve"> </v>
      </c>
      <c r="N670" s="135" t="str">
        <f>IF($F670=" "," ",IFERROR(VLOOKUP($F670,'депозитный калькулятор'!$B$26:$F$70,5,0),0))</f>
        <v xml:space="preserve"> </v>
      </c>
      <c r="O670" s="146" t="str">
        <f>IF(F670&gt;'депозитный калькулятор'!$D$8," ",IF(F670='депозитный калькулятор'!$D$8,IF(AND($F$24='депозитный калькулятор'!$D$8,'депозитный калькулятор'!$G$13="нет"),-G670-IF(I670=" ",0,I670)-IF(AND(OR('депозитный калькулятор'!$G$7="30/365",'депозитный калькулятор'!$G$7="30/360"),'депозитный калькулятор'!$G$10="в начале срока"),I669,0)-L670+M670-N670,-G670-IF(I670=" ",0,I670)-L670+M670-N670),IF('депозитный калькулятор'!$G$13="есть",M670-N670+IF('депозитный калькулятор'!$G$14="есть",0,-L670),-IF(I670=" ",0,I670)-IF(AND(OR('депозитный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срока"),I669,0)+M670-N670+IF('депозитный калькулятор'!$G$14="есть",0,-L670))))</f>
        <v xml:space="preserve"> </v>
      </c>
      <c r="P670" s="147" t="str">
        <f>IF(F670&gt;'депозитный калькулятор'!$D$8," ",IF(EOMONTH(F669,0)=F669,0,IF(G670&gt;='депозитный калькулятор'!$G$19,P669,P669+1)))</f>
        <v xml:space="preserve"> </v>
      </c>
      <c r="Q670" s="138" t="str">
        <f>IF(F670=" "," ",IF(AND(OR('депозитный калькулятор'!$G$7="30/365",'депозитный калькулятор'!$G$7="30/360"),AND(MONTH(F670)=2,EOMONTH(F670,0)=F670)),IF(DAY(F670)=28,3,2),1)*IF(G670&gt;='депозитный калькулятор'!$G$11,IF(AND('депозитный калькулятор'!$G$7="факт/факт",MOD(YEAR(F670),4)=0),G670*'депозитный калькулятор'!$D$11/366,G670*'депозитный калькулятор'!$G$8),0))</f>
        <v xml:space="preserve"> </v>
      </c>
      <c r="R670" s="158"/>
      <c r="S670" s="62" t="str">
        <f t="shared" ca="1" si="52"/>
        <v xml:space="preserve"> </v>
      </c>
      <c r="T670" s="149" t="str">
        <f ca="1">IF(S670=" "," ",IF('депозитный калькулятор'!$G$7="30/360",DAYS360(U669,IF(DAY(U670)=31,U670-1,U670))+IF(AND(MONTH(U670)=2,U670=EOMONTH(U670,0)),30-DAY(EOMONTH(U670,0)))+T669,VLOOKUP(S670,$C$22:$F$1023,2,0)))</f>
        <v xml:space="preserve"> </v>
      </c>
      <c r="U670" s="64" t="str">
        <f t="shared" ca="1" si="50"/>
        <v xml:space="preserve"> </v>
      </c>
      <c r="V670" s="150" t="str">
        <f t="shared" ca="1" si="53"/>
        <v xml:space="preserve"> </v>
      </c>
      <c r="W670" s="62" t="str">
        <f t="shared" ca="1" si="54"/>
        <v xml:space="preserve"> </v>
      </c>
      <c r="X670" s="141" t="str">
        <f ca="1">IF(S670=" "," ",IFERROR(VLOOKUP(U670,$F$23:$N$1023,7)+VLOOKUP(U670,$F$23:$N$1023,9)+IF(AND('депозитный калькулятор'!$G$13="нет",U670&lt;&gt;'депозитный калькулятор'!$D$8),VLOOKUP(U670,$F$23:$N$1023,4),0),0)+IF(U670='депозитный калькулятор'!$D$8,VLOOKUP(U670,$F$23:$N$1023,2)+VLOOKUP(U670,$F$23:$N$1023,4),0))</f>
        <v xml:space="preserve"> </v>
      </c>
      <c r="Y670" s="142" t="str">
        <f ca="1">IF(S670=" "," ",W670/(1+'депозитный калькулятор'!$K$8)^(T670/IF('депозитный калькулятор'!$G$7="30/360",360,365)))</f>
        <v xml:space="preserve"> </v>
      </c>
      <c r="Z670" s="142" t="str">
        <f ca="1">IF(S670=" "," ",X670/(1+'депозитный калькулятор'!$K$8)^(T670/IF('депозитный калькулятор'!$G$7="30/360",360,365)))</f>
        <v xml:space="preserve"> </v>
      </c>
      <c r="AA670" s="151"/>
      <c r="AB670" s="151"/>
      <c r="AC670" s="155"/>
      <c r="AD670" s="155"/>
    </row>
    <row r="671" spans="1:30" s="2" customFormat="1" ht="15.5" x14ac:dyDescent="0.35">
      <c r="A671" s="41" t="str">
        <f>IF(F671=" "," ",IF(OR('депозитный калькулятор'!$G$7="30/365",'депозитный калькулятор'!$G$7="30/360"),IF(AND(MONTH(F671)=2,DAY(F671)=DAY(EOMONTH(F671,0))),30-DAY(EOMONTH(F671,0)),IF(DAY(F671)=31,1," "))," "))</f>
        <v xml:space="preserve"> </v>
      </c>
      <c r="B671" s="130" t="str">
        <f t="shared" si="51"/>
        <v xml:space="preserve"> </v>
      </c>
      <c r="C671" s="130" t="str">
        <f>IF(OR(B671=0,B671=" ")," ",SUM($B$23:B671))</f>
        <v xml:space="preserve"> </v>
      </c>
      <c r="D671" s="62" t="str">
        <f>IF(D670=" "," ",IF(OR(F670='депозитный калькулятор'!$D$8,F670=" ")," ",D670+1))</f>
        <v xml:space="preserve"> </v>
      </c>
      <c r="E671" s="130" t="str">
        <f>IF(OR(F670='депозитный калькулятор'!$D$8,F670=" ")," ",IF(EOMONTH(F670,0)=F670,1,E670+1))</f>
        <v xml:space="preserve"> </v>
      </c>
      <c r="F671" s="64" t="str">
        <f>IF(F670=" "," ",IF(F670='депозитный калькулятор'!$D$8," ",F670+1))</f>
        <v xml:space="preserve"> </v>
      </c>
      <c r="G671" s="145" t="str">
        <f xml:space="preserve"> IF(F671&gt;'депозитный калькулятор'!$D$8," ",IF('депозитный калькулятор'!$G$13="есть",IF('депозитный калькулятор'!$G$14="есть",G670+IF(I670=" ",0,I670)-J671-K671+L671+M671-N671,G670+IF(I670=" ",0,I670)-J671-K671+M671-N671),IF('депозитный калькулятор'!$G$14="есть",G670-J671-K671+L671+M671-N671,G670-J671-K671+M671-N671)))</f>
        <v xml:space="preserve"> </v>
      </c>
      <c r="H671" s="133" t="str">
        <f>IF(F671&gt;'депозитный калькулятор'!$D$8," ",IF(AND(OR('депозитный калькулятор'!$G$7="30/365",'депозитный калькулятор'!$G$7="30/360"),AND(MONTH(F671)=2,EOMONTH(F671,0)=F671)),IF(DAY(F671)=28,3*G671*'депозитный калькулятор'!$G$8,2*G671*'депозитный калькулятор'!$G$8),IF(AND(OR('депозитный калькулятор'!$G$7="30/365",'депозитный калькулятор'!$G$7="30/360"),DAY(F671)=31)," ",IF(AND('депозитный калькулятор'!$G$7="факт/факт",MOD(YEAR(F671),4)=0),G671*'депозитный калькулятор'!$D$11/366,G671*'депозитный калькулятор'!$G$8))))</f>
        <v xml:space="preserve"> </v>
      </c>
      <c r="I671" s="134" t="str">
        <f ca="1">IF(F671=" "," ",IF('депозитный калькулятор'!$G$10="ежедневное",H671,IF(AND('депозитный калькулятор'!$G$10="еженедельное",WEEKDAY(F671,2)=7),SUM(OFFSET(H671,-6,0):H671),IF(AND('депозитный калькулятор'!$G$10="еженедельное",F671='депозитный калькулятор'!$D$8),SUM($H$23:H671)-SUM($I$23:I670),IF(AND('депозитный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недели",WEEKDAY(F671,2)=7),MIN(OFFSET(H671,-6,0):H671)*(COUNTIF(OFFSET(H671,-6,0):H671,"&gt;0")+SUMIF(OFFSET(A671,-WEEKDAY(F671,2),0):A671,"=2",OFFSET(A671,-WEEKDAY(F671,2),0):A671)),IF(AND('депозитный калькулятор'!$G$10="еженедельное, на минимальную сумму зафиксированную в течение недели",F671='депозитный калькулятор'!$D$8,WEEKDAY(F671,2)&lt;&gt;7),MIN(OFFSET(H671,-WEEKDAY(F671,2),0):H671)*(COUNTIF(OFFSET(H671,-WEEKDAY(F671,2)+1,0):H671,"&gt;0")+SUM(OFFSET(A671,-WEEKDAY(F671,2),0):A671)),IF(AND('депозитный калькулятор'!$G$10="ежемесячное (в конце месяца)",F671='депозитный калькулятор'!$D$8,EOMONTH(F671,0)&lt;&gt;F671),IF('депозитный калькулятор'!$F$1=1,$H$24,SUM($H$23:H671)-SUM($I$23:I670)),IF(AND('депозитный калькулятор'!$G$10="ежемесячное (в конце месяца)",EOMONTH(F671,0)=F671),SUM($H$23:H671)-SUM($I$23:I670),IF(AND('депозитный калькулятор'!$G$10="ежемесячное (по дням открытия вклада)",F671='депозитный калькулятор'!$D$8,DAY('депозитный калькулятор'!$D$7)&lt;&gt;DAY(F671)),IF('депозитный калькулятор'!$F$1=1,$H$24,SUM($H$23:H671)-SUM($I$23:I670)),IF(AND('депозитный калькулятор'!$G$10="ежемесячное (по дням открытия вклада)",DAY('депозитный калькулятор'!$D$7)=DAY(F671)),SUM($H$23:H671)-SUM($I$23:I670),IF(AND('депозитный калькулятор'!$G$10="ежемесячное, на минимальную сумму зафиксированную в течение месяца",F671='депозитный калькулятор'!$D$8,EOMONTH(F671,0)&lt;&gt;F671),IF('депозитный калькулятор'!$F$1=1,$H$24,IF(AND(OR('депозитный калькулятор'!$G$7="30/365",'депозитный калькулятор'!$G$7="30/360"),DAY(F671)=31),0,MIN(OFFSET(H671,-E671+1,0):H671)*(E671+SUMIF(OFFSET(A671,-E671+1,0):A671,"=2",OFFSET(A671,-E671+1,0):A671)))),IF(AND('депозитный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калькулятор'!$G$7="30/360"),DAY(EOMONTH(F671,0))=31),EOMONTH(F671,0)-1=F671,EOMONTH(F671,0)=F671)),IF(IF(AND(OR('депозитный калькулятор'!$G$7="30/365",'депозитный калькулятор'!$G$7="30/360"),DAY(EOMONTH($F$23,0))=31),F671=EOMONTH($F$23,0)-1,F671=EOMONTH($F$23,0)),MIN(OFFSET(H671,-(DAY(F671)-DAY($F$23)),0):H671)*E671,MIN(OFFSET(H671,-(DAY(F671)-1),0):H671)*IF(AND(OR('депозитный калькулятор'!$G$7="30/365",'депозитный калькулятор'!$G$7="30/360"),DAY(F671)&lt;30),30,DAY(F671))),IF(AND('депозитный калькулятор'!$G$10="ежемесячное, на средний остаток в течение месяца, при условии что остаток больше чем ограничение",F671='депозитный калькулятор'!$D$8,EOMONTH(F671,0)&lt;&gt;F671),IF('депозитный калькулятор'!$F$1=1,$H$24,SUM(OFFSET(Q671,-E671+1,0):Q671)),IF(AND('депозитный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калькулятор'!$G$7="30/360"),DAY(EOMONTH(F671,0))=31),EOMONTH(F671,0)-1=F671,EOMONTH(F671,0)=F671)),IF(IF(AND(OR('депозитный калькулятор'!$G$7="30/365",'депозитный калькулятор'!$G$7="30/360"),DAY(EOMONTH($F$24,0))=31),F671=EOMONTH($F$24,0)-1,F671=EOMONTH($F$24,0)),SUM(OFFSET(Q671,-E671+1,0):Q671),SUM(OFFSET(Q671,-E671+1,0):Q671)),IF('депозитный калькулятор'!$G$10="ежеквартальное",IF(F671&gt;'депозитный калькулятор'!$D$8," ",IF(AND(EOMONTH(F671,0)=F671,OR(MONTH(F671)=3,MONTH(F671)=6,MONTH(F671)=9,MONTH(F671)=12)),IF(EDATE(F671,-3)&lt;'депозитный калькулятор'!$D$7,SUM($H$23:H671),IF(MOD(YEAR(F671),4)=0,IF(AND(EOMONTH(F671,0)=F671,OR(MONTH(F671)=3,MONTH(F671)=6)),SUM(OFFSET(H671,-90,0):H671),IF(AND(EOMONTH(F671,0)=F671,OR(MONTH(F671)=9,MONTH(F671)=12)),SUM(OFFSET(H671,-91,0):H671))),IF(AND(EOMONTH(F671,0)=F671,MONTH(F671)=3),SUM(OFFSET(H671,-89,0):H671),IF(AND(EOMONTH(F671,0)=F671,MONTH(F671)=6),SUM(OFFSET(H671,-90,0):H671),IF(AND(EOMONTH(F671,0)=F671,OR(MONTH(F671)=9,MONTH(F671)=12)),SUM(OFFSET(H671,-91,0):H671)))))),IF(F671='депозитный калькулятор'!$D$8,SUM($H$23:H671)-SUM($I$23:I670),0))),IF('депозитный калькулятор'!$G$10="ежегодное",IF(F671&gt;'депозитный калькулятор'!$D$8," ",IF(F671='депозитный калькулятор'!$D$8,SUM($H$23:H671)-SUM($I$23:I670),IF(AND(EOMONTH(F671,0)=F671,MONTH(F671)=12),IF(MOD(YEAR(F670),4)=0,IF(F671-'депозитный калькулятор'!$D$7&lt;366,SUM($H$23:H671),SUM(OFFSET(H671,-365,0):H671)),IF(F671-'депозитный калькулятор'!$D$7&lt;365,SUM($H$23:H671),SUM(OFFSET(H671,-364,0):H671))),0))),IF(AND('депозитный калькулятор'!$G$10="в конце срока",'депозитный калькулятор'!$D$8=F671),SUM($H$23:H671),0))))))))))))))))))</f>
        <v xml:space="preserve"> </v>
      </c>
      <c r="J671" s="59" t="str">
        <f>IF(F671&gt;'депозитный калькулятор'!$D$8," ",IF('депозитный калькулятор'!$G$16="нет",0,IF(AND('депозитный калькулятор'!$G$17="разовая (в конце срока)",F671='депозитный калькулятор'!$D$8),'депозитный калькулятор'!$G$18,IF(AND('депозитный калькулятор'!$G$17="ежемесячная",EOMONTH(F670,0)=F670),'депозитный калькулятор'!$G$18,IF(AND('депозитный калькулятор'!$G$17="ежегодная",DAY(F670)=31,MONTH(F670)=12),'депозитный калькулятор'!$G$18,IF(AND('депозитный калькулятор'!$G$17="ежемесячная в зависимости от остатка",EOMONTH(F670,0)=F670,P670&gt;0),'депозитный калькулятор'!$G$18,IF(AND('депозитный калькулятор'!$G$17="ежегодная в зависимости от остатка",DAY(F670)=31,MONTH(F670)=12,P670&gt;0),'депозитный калькулятор'!$G$18,0)))))))</f>
        <v xml:space="preserve"> </v>
      </c>
      <c r="K671" s="135" t="str">
        <f>IF($F671=" "," ",IFERROR(VLOOKUP($F671,'депозитный калькулятор'!$B$26:$F$70,2,0),0))</f>
        <v xml:space="preserve"> </v>
      </c>
      <c r="L671" s="135" t="str">
        <f>IF($F671=" "," ",IFERROR(VLOOKUP($F671,'депозитный калькулятор'!$B$26:$F$70,3,0),0))</f>
        <v xml:space="preserve"> </v>
      </c>
      <c r="M671" s="135" t="str">
        <f>IF($F671=" "," ",IFERROR(VLOOKUP($F671,'депозитный калькулятор'!$B$26:$F$70,4,0),0))</f>
        <v xml:space="preserve"> </v>
      </c>
      <c r="N671" s="135" t="str">
        <f>IF($F671=" "," ",IFERROR(VLOOKUP($F671,'депозитный калькулятор'!$B$26:$F$70,5,0),0))</f>
        <v xml:space="preserve"> </v>
      </c>
      <c r="O671" s="146" t="str">
        <f>IF(F671&gt;'депозитный калькулятор'!$D$8," ",IF(F671='депозитный калькулятор'!$D$8,IF(AND($F$24='депозитный калькулятор'!$D$8,'депозитный калькулятор'!$G$13="нет"),-G671-IF(I671=" ",0,I671)-IF(AND(OR('депозитный калькулятор'!$G$7="30/365",'депозитный калькулятор'!$G$7="30/360"),'депозитный калькулятор'!$G$10="в начале срока"),I670,0)-L671+M671-N671,-G671-IF(I671=" ",0,I671)-L671+M671-N671),IF('депозитный калькулятор'!$G$13="есть",M671-N671+IF('депозитный калькулятор'!$G$14="есть",0,-L671),-IF(I671=" ",0,I671)-IF(AND(OR('депозитный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срока"),I670,0)+M671-N671+IF('депозитный калькулятор'!$G$14="есть",0,-L671))))</f>
        <v xml:space="preserve"> </v>
      </c>
      <c r="P671" s="147" t="str">
        <f>IF(F671&gt;'депозитный калькулятор'!$D$8," ",IF(EOMONTH(F670,0)=F670,0,IF(G671&gt;='депозитный калькулятор'!$G$19,P670,P670+1)))</f>
        <v xml:space="preserve"> </v>
      </c>
      <c r="Q671" s="138" t="str">
        <f>IF(F671=" "," ",IF(AND(OR('депозитный калькулятор'!$G$7="30/365",'депозитный калькулятор'!$G$7="30/360"),AND(MONTH(F671)=2,EOMONTH(F671,0)=F671)),IF(DAY(F671)=28,3,2),1)*IF(G671&gt;='депозитный калькулятор'!$G$11,IF(AND('депозитный калькулятор'!$G$7="факт/факт",MOD(YEAR(F671),4)=0),G671*'депозитный калькулятор'!$D$11/366,G671*'депозитный калькулятор'!$G$8),0))</f>
        <v xml:space="preserve"> </v>
      </c>
      <c r="R671" s="158"/>
      <c r="S671" s="62" t="str">
        <f t="shared" ca="1" si="52"/>
        <v xml:space="preserve"> </v>
      </c>
      <c r="T671" s="149" t="str">
        <f ca="1">IF(S671=" "," ",IF('депозитный калькулятор'!$G$7="30/360",DAYS360(U670,IF(DAY(U671)=31,U671-1,U671))+IF(AND(MONTH(U671)=2,U671=EOMONTH(U671,0)),30-DAY(EOMONTH(U671,0)))+T670,VLOOKUP(S671,$C$22:$F$1023,2,0)))</f>
        <v xml:space="preserve"> </v>
      </c>
      <c r="U671" s="64" t="str">
        <f t="shared" ca="1" si="50"/>
        <v xml:space="preserve"> </v>
      </c>
      <c r="V671" s="150" t="str">
        <f t="shared" ca="1" si="53"/>
        <v xml:space="preserve"> </v>
      </c>
      <c r="W671" s="62" t="str">
        <f t="shared" ca="1" si="54"/>
        <v xml:space="preserve"> </v>
      </c>
      <c r="X671" s="141" t="str">
        <f ca="1">IF(S671=" "," ",IFERROR(VLOOKUP(U671,$F$23:$N$1023,7)+VLOOKUP(U671,$F$23:$N$1023,9)+IF(AND('депозитный калькулятор'!$G$13="нет",U671&lt;&gt;'депозитный калькулятор'!$D$8),VLOOKUP(U671,$F$23:$N$1023,4),0),0)+IF(U671='депозитный калькулятор'!$D$8,VLOOKUP(U671,$F$23:$N$1023,2)+VLOOKUP(U671,$F$23:$N$1023,4),0))</f>
        <v xml:space="preserve"> </v>
      </c>
      <c r="Y671" s="142" t="str">
        <f ca="1">IF(S671=" "," ",W671/(1+'депозитный калькулятор'!$K$8)^(T671/IF('депозитный калькулятор'!$G$7="30/360",360,365)))</f>
        <v xml:space="preserve"> </v>
      </c>
      <c r="Z671" s="142" t="str">
        <f ca="1">IF(S671=" "," ",X671/(1+'депозитный калькулятор'!$K$8)^(T671/IF('депозитный калькулятор'!$G$7="30/360",360,365)))</f>
        <v xml:space="preserve"> </v>
      </c>
      <c r="AA671" s="151"/>
      <c r="AB671" s="151"/>
      <c r="AC671" s="155"/>
      <c r="AD671" s="155"/>
    </row>
    <row r="672" spans="1:30" s="2" customFormat="1" ht="15.5" x14ac:dyDescent="0.35">
      <c r="A672" s="41" t="str">
        <f>IF(F672=" "," ",IF(OR('депозитный калькулятор'!$G$7="30/365",'депозитный калькулятор'!$G$7="30/360"),IF(AND(MONTH(F672)=2,DAY(F672)=DAY(EOMONTH(F672,0))),30-DAY(EOMONTH(F672,0)),IF(DAY(F672)=31,1," "))," "))</f>
        <v xml:space="preserve"> </v>
      </c>
      <c r="B672" s="130" t="str">
        <f t="shared" si="51"/>
        <v xml:space="preserve"> </v>
      </c>
      <c r="C672" s="130" t="str">
        <f>IF(OR(B672=0,B672=" ")," ",SUM($B$23:B672))</f>
        <v xml:space="preserve"> </v>
      </c>
      <c r="D672" s="62" t="str">
        <f>IF(D671=" "," ",IF(OR(F671='депозитный калькулятор'!$D$8,F671=" ")," ",D671+1))</f>
        <v xml:space="preserve"> </v>
      </c>
      <c r="E672" s="130" t="str">
        <f>IF(OR(F671='депозитный калькулятор'!$D$8,F671=" ")," ",IF(EOMONTH(F671,0)=F671,1,E671+1))</f>
        <v xml:space="preserve"> </v>
      </c>
      <c r="F672" s="64" t="str">
        <f>IF(F671=" "," ",IF(F671='депозитный калькулятор'!$D$8," ",F671+1))</f>
        <v xml:space="preserve"> </v>
      </c>
      <c r="G672" s="145" t="str">
        <f xml:space="preserve"> IF(F672&gt;'депозитный калькулятор'!$D$8," ",IF('депозитный калькулятор'!$G$13="есть",IF('депозитный калькулятор'!$G$14="есть",G671+IF(I671=" ",0,I671)-J672-K672+L672+M672-N672,G671+IF(I671=" ",0,I671)-J672-K672+M672-N672),IF('депозитный калькулятор'!$G$14="есть",G671-J672-K672+L672+M672-N672,G671-J672-K672+M672-N672)))</f>
        <v xml:space="preserve"> </v>
      </c>
      <c r="H672" s="133" t="str">
        <f>IF(F672&gt;'депозитный калькулятор'!$D$8," ",IF(AND(OR('депозитный калькулятор'!$G$7="30/365",'депозитный калькулятор'!$G$7="30/360"),AND(MONTH(F672)=2,EOMONTH(F672,0)=F672)),IF(DAY(F672)=28,3*G672*'депозитный калькулятор'!$G$8,2*G672*'депозитный калькулятор'!$G$8),IF(AND(OR('депозитный калькулятор'!$G$7="30/365",'депозитный калькулятор'!$G$7="30/360"),DAY(F672)=31)," ",IF(AND('депозитный калькулятор'!$G$7="факт/факт",MOD(YEAR(F672),4)=0),G672*'депозитный калькулятор'!$D$11/366,G672*'депозитный калькулятор'!$G$8))))</f>
        <v xml:space="preserve"> </v>
      </c>
      <c r="I672" s="134" t="str">
        <f ca="1">IF(F672=" "," ",IF('депозитный калькулятор'!$G$10="ежедневное",H672,IF(AND('депозитный калькулятор'!$G$10="еженедельное",WEEKDAY(F672,2)=7),SUM(OFFSET(H672,-6,0):H672),IF(AND('депозитный калькулятор'!$G$10="еженедельное",F672='депозитный калькулятор'!$D$8),SUM($H$23:H672)-SUM($I$23:I671),IF(AND('депозитный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недели",WEEKDAY(F672,2)=7),MIN(OFFSET(H672,-6,0):H672)*(COUNTIF(OFFSET(H672,-6,0):H672,"&gt;0")+SUMIF(OFFSET(A672,-WEEKDAY(F672,2),0):A672,"=2",OFFSET(A672,-WEEKDAY(F672,2),0):A672)),IF(AND('депозитный калькулятор'!$G$10="еженедельное, на минимальную сумму зафиксированную в течение недели",F672='депозитный калькулятор'!$D$8,WEEKDAY(F672,2)&lt;&gt;7),MIN(OFFSET(H672,-WEEKDAY(F672,2),0):H672)*(COUNTIF(OFFSET(H672,-WEEKDAY(F672,2)+1,0):H672,"&gt;0")+SUM(OFFSET(A672,-WEEKDAY(F672,2),0):A672)),IF(AND('депозитный калькулятор'!$G$10="ежемесячное (в конце месяца)",F672='депозитный калькулятор'!$D$8,EOMONTH(F672,0)&lt;&gt;F672),IF('депозитный калькулятор'!$F$1=1,$H$24,SUM($H$23:H672)-SUM($I$23:I671)),IF(AND('депозитный калькулятор'!$G$10="ежемесячное (в конце месяца)",EOMONTH(F672,0)=F672),SUM($H$23:H672)-SUM($I$23:I671),IF(AND('депозитный калькулятор'!$G$10="ежемесячное (по дням открытия вклада)",F672='депозитный калькулятор'!$D$8,DAY('депозитный калькулятор'!$D$7)&lt;&gt;DAY(F672)),IF('депозитный калькулятор'!$F$1=1,$H$24,SUM($H$23:H672)-SUM($I$23:I671)),IF(AND('депозитный калькулятор'!$G$10="ежемесячное (по дням открытия вклада)",DAY('депозитный калькулятор'!$D$7)=DAY(F672)),SUM($H$23:H672)-SUM($I$23:I671),IF(AND('депозитный калькулятор'!$G$10="ежемесячное, на минимальную сумму зафиксированную в течение месяца",F672='депозитный калькулятор'!$D$8,EOMONTH(F672,0)&lt;&gt;F672),IF('депозитный калькулятор'!$F$1=1,$H$24,IF(AND(OR('депозитный калькулятор'!$G$7="30/365",'депозитный калькулятор'!$G$7="30/360"),DAY(F672)=31),0,MIN(OFFSET(H672,-E672+1,0):H672)*(E672+SUMIF(OFFSET(A672,-E672+1,0):A672,"=2",OFFSET(A672,-E672+1,0):A672)))),IF(AND('депозитный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калькулятор'!$G$7="30/360"),DAY(EOMONTH(F672,0))=31),EOMONTH(F672,0)-1=F672,EOMONTH(F672,0)=F672)),IF(IF(AND(OR('депозитный калькулятор'!$G$7="30/365",'депозитный калькулятор'!$G$7="30/360"),DAY(EOMONTH($F$23,0))=31),F672=EOMONTH($F$23,0)-1,F672=EOMONTH($F$23,0)),MIN(OFFSET(H672,-(DAY(F672)-DAY($F$23)),0):H672)*E672,MIN(OFFSET(H672,-(DAY(F672)-1),0):H672)*IF(AND(OR('депозитный калькулятор'!$G$7="30/365",'депозитный калькулятор'!$G$7="30/360"),DAY(F672)&lt;30),30,DAY(F672))),IF(AND('депозитный калькулятор'!$G$10="ежемесячное, на средний остаток в течение месяца, при условии что остаток больше чем ограничение",F672='депозитный калькулятор'!$D$8,EOMONTH(F672,0)&lt;&gt;F672),IF('депозитный калькулятор'!$F$1=1,$H$24,SUM(OFFSET(Q672,-E672+1,0):Q672)),IF(AND('депозитный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калькулятор'!$G$7="30/360"),DAY(EOMONTH(F672,0))=31),EOMONTH(F672,0)-1=F672,EOMONTH(F672,0)=F672)),IF(IF(AND(OR('депозитный калькулятор'!$G$7="30/365",'депозитный калькулятор'!$G$7="30/360"),DAY(EOMONTH($F$24,0))=31),F672=EOMONTH($F$24,0)-1,F672=EOMONTH($F$24,0)),SUM(OFFSET(Q672,-E672+1,0):Q672),SUM(OFFSET(Q672,-E672+1,0):Q672)),IF('депозитный калькулятор'!$G$10="ежеквартальное",IF(F672&gt;'депозитный калькулятор'!$D$8," ",IF(AND(EOMONTH(F672,0)=F672,OR(MONTH(F672)=3,MONTH(F672)=6,MONTH(F672)=9,MONTH(F672)=12)),IF(EDATE(F672,-3)&lt;'депозитный калькулятор'!$D$7,SUM($H$23:H672),IF(MOD(YEAR(F672),4)=0,IF(AND(EOMONTH(F672,0)=F672,OR(MONTH(F672)=3,MONTH(F672)=6)),SUM(OFFSET(H672,-90,0):H672),IF(AND(EOMONTH(F672,0)=F672,OR(MONTH(F672)=9,MONTH(F672)=12)),SUM(OFFSET(H672,-91,0):H672))),IF(AND(EOMONTH(F672,0)=F672,MONTH(F672)=3),SUM(OFFSET(H672,-89,0):H672),IF(AND(EOMONTH(F672,0)=F672,MONTH(F672)=6),SUM(OFFSET(H672,-90,0):H672),IF(AND(EOMONTH(F672,0)=F672,OR(MONTH(F672)=9,MONTH(F672)=12)),SUM(OFFSET(H672,-91,0):H672)))))),IF(F672='депозитный калькулятор'!$D$8,SUM($H$23:H672)-SUM($I$23:I671),0))),IF('депозитный калькулятор'!$G$10="ежегодное",IF(F672&gt;'депозитный калькулятор'!$D$8," ",IF(F672='депозитный калькулятор'!$D$8,SUM($H$23:H672)-SUM($I$23:I671),IF(AND(EOMONTH(F672,0)=F672,MONTH(F672)=12),IF(MOD(YEAR(F671),4)=0,IF(F672-'депозитный калькулятор'!$D$7&lt;366,SUM($H$23:H672),SUM(OFFSET(H672,-365,0):H672)),IF(F672-'депозитный калькулятор'!$D$7&lt;365,SUM($H$23:H672),SUM(OFFSET(H672,-364,0):H672))),0))),IF(AND('депозитный калькулятор'!$G$10="в конце срока",'депозитный калькулятор'!$D$8=F672),SUM($H$23:H672),0))))))))))))))))))</f>
        <v xml:space="preserve"> </v>
      </c>
      <c r="J672" s="59" t="str">
        <f>IF(F672&gt;'депозитный калькулятор'!$D$8," ",IF('депозитный калькулятор'!$G$16="нет",0,IF(AND('депозитный калькулятор'!$G$17="разовая (в конце срока)",F672='депозитный калькулятор'!$D$8),'депозитный калькулятор'!$G$18,IF(AND('депозитный калькулятор'!$G$17="ежемесячная",EOMONTH(F671,0)=F671),'депозитный калькулятор'!$G$18,IF(AND('депозитный калькулятор'!$G$17="ежегодная",DAY(F671)=31,MONTH(F671)=12),'депозитный калькулятор'!$G$18,IF(AND('депозитный калькулятор'!$G$17="ежемесячная в зависимости от остатка",EOMONTH(F671,0)=F671,P671&gt;0),'депозитный калькулятор'!$G$18,IF(AND('депозитный калькулятор'!$G$17="ежегодная в зависимости от остатка",DAY(F671)=31,MONTH(F671)=12,P671&gt;0),'депозитный калькулятор'!$G$18,0)))))))</f>
        <v xml:space="preserve"> </v>
      </c>
      <c r="K672" s="135" t="str">
        <f>IF($F672=" "," ",IFERROR(VLOOKUP($F672,'депозитный калькулятор'!$B$26:$F$70,2,0),0))</f>
        <v xml:space="preserve"> </v>
      </c>
      <c r="L672" s="135" t="str">
        <f>IF($F672=" "," ",IFERROR(VLOOKUP($F672,'депозитный калькулятор'!$B$26:$F$70,3,0),0))</f>
        <v xml:space="preserve"> </v>
      </c>
      <c r="M672" s="135" t="str">
        <f>IF($F672=" "," ",IFERROR(VLOOKUP($F672,'депозитный калькулятор'!$B$26:$F$70,4,0),0))</f>
        <v xml:space="preserve"> </v>
      </c>
      <c r="N672" s="135" t="str">
        <f>IF($F672=" "," ",IFERROR(VLOOKUP($F672,'депозитный калькулятор'!$B$26:$F$70,5,0),0))</f>
        <v xml:space="preserve"> </v>
      </c>
      <c r="O672" s="146" t="str">
        <f>IF(F672&gt;'депозитный калькулятор'!$D$8," ",IF(F672='депозитный калькулятор'!$D$8,IF(AND($F$24='депозитный калькулятор'!$D$8,'депозитный калькулятор'!$G$13="нет"),-G672-IF(I672=" ",0,I672)-IF(AND(OR('депозитный калькулятор'!$G$7="30/365",'депозитный калькулятор'!$G$7="30/360"),'депозитный калькулятор'!$G$10="в начале срока"),I671,0)-L672+M672-N672,-G672-IF(I672=" ",0,I672)-L672+M672-N672),IF('депозитный калькулятор'!$G$13="есть",M672-N672+IF('депозитный калькулятор'!$G$14="есть",0,-L672),-IF(I672=" ",0,I672)-IF(AND(OR('депозитный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срока"),I671,0)+M672-N672+IF('депозитный калькулятор'!$G$14="есть",0,-L672))))</f>
        <v xml:space="preserve"> </v>
      </c>
      <c r="P672" s="147" t="str">
        <f>IF(F672&gt;'депозитный калькулятор'!$D$8," ",IF(EOMONTH(F671,0)=F671,0,IF(G672&gt;='депозитный калькулятор'!$G$19,P671,P671+1)))</f>
        <v xml:space="preserve"> </v>
      </c>
      <c r="Q672" s="138" t="str">
        <f>IF(F672=" "," ",IF(AND(OR('депозитный калькулятор'!$G$7="30/365",'депозитный калькулятор'!$G$7="30/360"),AND(MONTH(F672)=2,EOMONTH(F672,0)=F672)),IF(DAY(F672)=28,3,2),1)*IF(G672&gt;='депозитный калькулятор'!$G$11,IF(AND('депозитный калькулятор'!$G$7="факт/факт",MOD(YEAR(F672),4)=0),G672*'депозитный калькулятор'!$D$11/366,G672*'депозитный калькулятор'!$G$8),0))</f>
        <v xml:space="preserve"> </v>
      </c>
      <c r="R672" s="158"/>
      <c r="S672" s="62" t="str">
        <f t="shared" ca="1" si="52"/>
        <v xml:space="preserve"> </v>
      </c>
      <c r="T672" s="149" t="str">
        <f ca="1">IF(S672=" "," ",IF('депозитный калькулятор'!$G$7="30/360",DAYS360(U671,IF(DAY(U672)=31,U672-1,U672))+IF(AND(MONTH(U672)=2,U672=EOMONTH(U672,0)),30-DAY(EOMONTH(U672,0)))+T671,VLOOKUP(S672,$C$22:$F$1023,2,0)))</f>
        <v xml:space="preserve"> </v>
      </c>
      <c r="U672" s="64" t="str">
        <f t="shared" ca="1" si="50"/>
        <v xml:space="preserve"> </v>
      </c>
      <c r="V672" s="150" t="str">
        <f t="shared" ca="1" si="53"/>
        <v xml:space="preserve"> </v>
      </c>
      <c r="W672" s="62" t="str">
        <f t="shared" ca="1" si="54"/>
        <v xml:space="preserve"> </v>
      </c>
      <c r="X672" s="141" t="str">
        <f ca="1">IF(S672=" "," ",IFERROR(VLOOKUP(U672,$F$23:$N$1023,7)+VLOOKUP(U672,$F$23:$N$1023,9)+IF(AND('депозитный калькулятор'!$G$13="нет",U672&lt;&gt;'депозитный калькулятор'!$D$8),VLOOKUP(U672,$F$23:$N$1023,4),0),0)+IF(U672='депозитный калькулятор'!$D$8,VLOOKUP(U672,$F$23:$N$1023,2)+VLOOKUP(U672,$F$23:$N$1023,4),0))</f>
        <v xml:space="preserve"> </v>
      </c>
      <c r="Y672" s="142" t="str">
        <f ca="1">IF(S672=" "," ",W672/(1+'депозитный калькулятор'!$K$8)^(T672/IF('депозитный калькулятор'!$G$7="30/360",360,365)))</f>
        <v xml:space="preserve"> </v>
      </c>
      <c r="Z672" s="142" t="str">
        <f ca="1">IF(S672=" "," ",X672/(1+'депозитный калькулятор'!$K$8)^(T672/IF('депозитный калькулятор'!$G$7="30/360",360,365)))</f>
        <v xml:space="preserve"> </v>
      </c>
      <c r="AA672" s="151"/>
      <c r="AB672" s="151"/>
      <c r="AC672" s="155"/>
      <c r="AD672" s="155"/>
    </row>
    <row r="673" spans="1:30" s="2" customFormat="1" ht="15.5" x14ac:dyDescent="0.35">
      <c r="A673" s="41" t="str">
        <f>IF(F673=" "," ",IF(OR('депозитный калькулятор'!$G$7="30/365",'депозитный калькулятор'!$G$7="30/360"),IF(AND(MONTH(F673)=2,DAY(F673)=DAY(EOMONTH(F673,0))),30-DAY(EOMONTH(F673,0)),IF(DAY(F673)=31,1," "))," "))</f>
        <v xml:space="preserve"> </v>
      </c>
      <c r="B673" s="130" t="str">
        <f t="shared" si="51"/>
        <v xml:space="preserve"> </v>
      </c>
      <c r="C673" s="130" t="str">
        <f>IF(OR(B673=0,B673=" ")," ",SUM($B$23:B673))</f>
        <v xml:space="preserve"> </v>
      </c>
      <c r="D673" s="62" t="str">
        <f>IF(D672=" "," ",IF(OR(F672='депозитный калькулятор'!$D$8,F672=" ")," ",D672+1))</f>
        <v xml:space="preserve"> </v>
      </c>
      <c r="E673" s="130" t="str">
        <f>IF(OR(F672='депозитный калькулятор'!$D$8,F672=" ")," ",IF(EOMONTH(F672,0)=F672,1,E672+1))</f>
        <v xml:space="preserve"> </v>
      </c>
      <c r="F673" s="64" t="str">
        <f>IF(F672=" "," ",IF(F672='депозитный калькулятор'!$D$8," ",F672+1))</f>
        <v xml:space="preserve"> </v>
      </c>
      <c r="G673" s="145" t="str">
        <f xml:space="preserve"> IF(F673&gt;'депозитный калькулятор'!$D$8," ",IF('депозитный калькулятор'!$G$13="есть",IF('депозитный калькулятор'!$G$14="есть",G672+IF(I672=" ",0,I672)-J673-K673+L673+M673-N673,G672+IF(I672=" ",0,I672)-J673-K673+M673-N673),IF('депозитный калькулятор'!$G$14="есть",G672-J673-K673+L673+M673-N673,G672-J673-K673+M673-N673)))</f>
        <v xml:space="preserve"> </v>
      </c>
      <c r="H673" s="133" t="str">
        <f>IF(F673&gt;'депозитный калькулятор'!$D$8," ",IF(AND(OR('депозитный калькулятор'!$G$7="30/365",'депозитный калькулятор'!$G$7="30/360"),AND(MONTH(F673)=2,EOMONTH(F673,0)=F673)),IF(DAY(F673)=28,3*G673*'депозитный калькулятор'!$G$8,2*G673*'депозитный калькулятор'!$G$8),IF(AND(OR('депозитный калькулятор'!$G$7="30/365",'депозитный калькулятор'!$G$7="30/360"),DAY(F673)=31)," ",IF(AND('депозитный калькулятор'!$G$7="факт/факт",MOD(YEAR(F673),4)=0),G673*'депозитный калькулятор'!$D$11/366,G673*'депозитный калькулятор'!$G$8))))</f>
        <v xml:space="preserve"> </v>
      </c>
      <c r="I673" s="134" t="str">
        <f ca="1">IF(F673=" "," ",IF('депозитный калькулятор'!$G$10="ежедневное",H673,IF(AND('депозитный калькулятор'!$G$10="еженедельное",WEEKDAY(F673,2)=7),SUM(OFFSET(H673,-6,0):H673),IF(AND('депозитный калькулятор'!$G$10="еженедельное",F673='депозитный калькулятор'!$D$8),SUM($H$23:H673)-SUM($I$23:I672),IF(AND('депозитный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недели",WEEKDAY(F673,2)=7),MIN(OFFSET(H673,-6,0):H673)*(COUNTIF(OFFSET(H673,-6,0):H673,"&gt;0")+SUMIF(OFFSET(A673,-WEEKDAY(F673,2),0):A673,"=2",OFFSET(A673,-WEEKDAY(F673,2),0):A673)),IF(AND('депозитный калькулятор'!$G$10="еженедельное, на минимальную сумму зафиксированную в течение недели",F673='депозитный калькулятор'!$D$8,WEEKDAY(F673,2)&lt;&gt;7),MIN(OFFSET(H673,-WEEKDAY(F673,2),0):H673)*(COUNTIF(OFFSET(H673,-WEEKDAY(F673,2)+1,0):H673,"&gt;0")+SUM(OFFSET(A673,-WEEKDAY(F673,2),0):A673)),IF(AND('депозитный калькулятор'!$G$10="ежемесячное (в конце месяца)",F673='депозитный калькулятор'!$D$8,EOMONTH(F673,0)&lt;&gt;F673),IF('депозитный калькулятор'!$F$1=1,$H$24,SUM($H$23:H673)-SUM($I$23:I672)),IF(AND('депозитный калькулятор'!$G$10="ежемесячное (в конце месяца)",EOMONTH(F673,0)=F673),SUM($H$23:H673)-SUM($I$23:I672),IF(AND('депозитный калькулятор'!$G$10="ежемесячное (по дням открытия вклада)",F673='депозитный калькулятор'!$D$8,DAY('депозитный калькулятор'!$D$7)&lt;&gt;DAY(F673)),IF('депозитный калькулятор'!$F$1=1,$H$24,SUM($H$23:H673)-SUM($I$23:I672)),IF(AND('депозитный калькулятор'!$G$10="ежемесячное (по дням открытия вклада)",DAY('депозитный калькулятор'!$D$7)=DAY(F673)),SUM($H$23:H673)-SUM($I$23:I672),IF(AND('депозитный калькулятор'!$G$10="ежемесячное, на минимальную сумму зафиксированную в течение месяца",F673='депозитный калькулятор'!$D$8,EOMONTH(F673,0)&lt;&gt;F673),IF('депозитный калькулятор'!$F$1=1,$H$24,IF(AND(OR('депозитный калькулятор'!$G$7="30/365",'депозитный калькулятор'!$G$7="30/360"),DAY(F673)=31),0,MIN(OFFSET(H673,-E673+1,0):H673)*(E673+SUMIF(OFFSET(A673,-E673+1,0):A673,"=2",OFFSET(A673,-E673+1,0):A673)))),IF(AND('депозитный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калькулятор'!$G$7="30/360"),DAY(EOMONTH(F673,0))=31),EOMONTH(F673,0)-1=F673,EOMONTH(F673,0)=F673)),IF(IF(AND(OR('депозитный калькулятор'!$G$7="30/365",'депозитный калькулятор'!$G$7="30/360"),DAY(EOMONTH($F$23,0))=31),F673=EOMONTH($F$23,0)-1,F673=EOMONTH($F$23,0)),MIN(OFFSET(H673,-(DAY(F673)-DAY($F$23)),0):H673)*E673,MIN(OFFSET(H673,-(DAY(F673)-1),0):H673)*IF(AND(OR('депозитный калькулятор'!$G$7="30/365",'депозитный калькулятор'!$G$7="30/360"),DAY(F673)&lt;30),30,DAY(F673))),IF(AND('депозитный калькулятор'!$G$10="ежемесячное, на средний остаток в течение месяца, при условии что остаток больше чем ограничение",F673='депозитный калькулятор'!$D$8,EOMONTH(F673,0)&lt;&gt;F673),IF('депозитный калькулятор'!$F$1=1,$H$24,SUM(OFFSET(Q673,-E673+1,0):Q673)),IF(AND('депозитный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калькулятор'!$G$7="30/360"),DAY(EOMONTH(F673,0))=31),EOMONTH(F673,0)-1=F673,EOMONTH(F673,0)=F673)),IF(IF(AND(OR('депозитный калькулятор'!$G$7="30/365",'депозитный калькулятор'!$G$7="30/360"),DAY(EOMONTH($F$24,0))=31),F673=EOMONTH($F$24,0)-1,F673=EOMONTH($F$24,0)),SUM(OFFSET(Q673,-E673+1,0):Q673),SUM(OFFSET(Q673,-E673+1,0):Q673)),IF('депозитный калькулятор'!$G$10="ежеквартальное",IF(F673&gt;'депозитный калькулятор'!$D$8," ",IF(AND(EOMONTH(F673,0)=F673,OR(MONTH(F673)=3,MONTH(F673)=6,MONTH(F673)=9,MONTH(F673)=12)),IF(EDATE(F673,-3)&lt;'депозитный калькулятор'!$D$7,SUM($H$23:H673),IF(MOD(YEAR(F673),4)=0,IF(AND(EOMONTH(F673,0)=F673,OR(MONTH(F673)=3,MONTH(F673)=6)),SUM(OFFSET(H673,-90,0):H673),IF(AND(EOMONTH(F673,0)=F673,OR(MONTH(F673)=9,MONTH(F673)=12)),SUM(OFFSET(H673,-91,0):H673))),IF(AND(EOMONTH(F673,0)=F673,MONTH(F673)=3),SUM(OFFSET(H673,-89,0):H673),IF(AND(EOMONTH(F673,0)=F673,MONTH(F673)=6),SUM(OFFSET(H673,-90,0):H673),IF(AND(EOMONTH(F673,0)=F673,OR(MONTH(F673)=9,MONTH(F673)=12)),SUM(OFFSET(H673,-91,0):H673)))))),IF(F673='депозитный калькулятор'!$D$8,SUM($H$23:H673)-SUM($I$23:I672),0))),IF('депозитный калькулятор'!$G$10="ежегодное",IF(F673&gt;'депозитный калькулятор'!$D$8," ",IF(F673='депозитный калькулятор'!$D$8,SUM($H$23:H673)-SUM($I$23:I672),IF(AND(EOMONTH(F673,0)=F673,MONTH(F673)=12),IF(MOD(YEAR(F672),4)=0,IF(F673-'депозитный калькулятор'!$D$7&lt;366,SUM($H$23:H673),SUM(OFFSET(H673,-365,0):H673)),IF(F673-'депозитный калькулятор'!$D$7&lt;365,SUM($H$23:H673),SUM(OFFSET(H673,-364,0):H673))),0))),IF(AND('депозитный калькулятор'!$G$10="в конце срока",'депозитный калькулятор'!$D$8=F673),SUM($H$23:H673),0))))))))))))))))))</f>
        <v xml:space="preserve"> </v>
      </c>
      <c r="J673" s="59" t="str">
        <f>IF(F673&gt;'депозитный калькулятор'!$D$8," ",IF('депозитный калькулятор'!$G$16="нет",0,IF(AND('депозитный калькулятор'!$G$17="разовая (в конце срока)",F673='депозитный калькулятор'!$D$8),'депозитный калькулятор'!$G$18,IF(AND('депозитный калькулятор'!$G$17="ежемесячная",EOMONTH(F672,0)=F672),'депозитный калькулятор'!$G$18,IF(AND('депозитный калькулятор'!$G$17="ежегодная",DAY(F672)=31,MONTH(F672)=12),'депозитный калькулятор'!$G$18,IF(AND('депозитный калькулятор'!$G$17="ежемесячная в зависимости от остатка",EOMONTH(F672,0)=F672,P672&gt;0),'депозитный калькулятор'!$G$18,IF(AND('депозитный калькулятор'!$G$17="ежегодная в зависимости от остатка",DAY(F672)=31,MONTH(F672)=12,P672&gt;0),'депозитный калькулятор'!$G$18,0)))))))</f>
        <v xml:space="preserve"> </v>
      </c>
      <c r="K673" s="135" t="str">
        <f>IF($F673=" "," ",IFERROR(VLOOKUP($F673,'депозитный калькулятор'!$B$26:$F$70,2,0),0))</f>
        <v xml:space="preserve"> </v>
      </c>
      <c r="L673" s="135" t="str">
        <f>IF($F673=" "," ",IFERROR(VLOOKUP($F673,'депозитный калькулятор'!$B$26:$F$70,3,0),0))</f>
        <v xml:space="preserve"> </v>
      </c>
      <c r="M673" s="135" t="str">
        <f>IF($F673=" "," ",IFERROR(VLOOKUP($F673,'депозитный калькулятор'!$B$26:$F$70,4,0),0))</f>
        <v xml:space="preserve"> </v>
      </c>
      <c r="N673" s="135" t="str">
        <f>IF($F673=" "," ",IFERROR(VLOOKUP($F673,'депозитный калькулятор'!$B$26:$F$70,5,0),0))</f>
        <v xml:space="preserve"> </v>
      </c>
      <c r="O673" s="146" t="str">
        <f>IF(F673&gt;'депозитный калькулятор'!$D$8," ",IF(F673='депозитный калькулятор'!$D$8,IF(AND($F$24='депозитный калькулятор'!$D$8,'депозитный калькулятор'!$G$13="нет"),-G673-IF(I673=" ",0,I673)-IF(AND(OR('депозитный калькулятор'!$G$7="30/365",'депозитный калькулятор'!$G$7="30/360"),'депозитный калькулятор'!$G$10="в начале срока"),I672,0)-L673+M673-N673,-G673-IF(I673=" ",0,I673)-L673+M673-N673),IF('депозитный калькулятор'!$G$13="есть",M673-N673+IF('депозитный калькулятор'!$G$14="есть",0,-L673),-IF(I673=" ",0,I673)-IF(AND(OR('депозитный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срока"),I672,0)+M673-N673+IF('депозитный калькулятор'!$G$14="есть",0,-L673))))</f>
        <v xml:space="preserve"> </v>
      </c>
      <c r="P673" s="147" t="str">
        <f>IF(F673&gt;'депозитный калькулятор'!$D$8," ",IF(EOMONTH(F672,0)=F672,0,IF(G673&gt;='депозитный калькулятор'!$G$19,P672,P672+1)))</f>
        <v xml:space="preserve"> </v>
      </c>
      <c r="Q673" s="138" t="str">
        <f>IF(F673=" "," ",IF(AND(OR('депозитный калькулятор'!$G$7="30/365",'депозитный калькулятор'!$G$7="30/360"),AND(MONTH(F673)=2,EOMONTH(F673,0)=F673)),IF(DAY(F673)=28,3,2),1)*IF(G673&gt;='депозитный калькулятор'!$G$11,IF(AND('депозитный калькулятор'!$G$7="факт/факт",MOD(YEAR(F673),4)=0),G673*'депозитный калькулятор'!$D$11/366,G673*'депозитный калькулятор'!$G$8),0))</f>
        <v xml:space="preserve"> </v>
      </c>
      <c r="R673" s="158"/>
      <c r="S673" s="62" t="str">
        <f t="shared" ca="1" si="52"/>
        <v xml:space="preserve"> </v>
      </c>
      <c r="T673" s="149" t="str">
        <f ca="1">IF(S673=" "," ",IF('депозитный калькулятор'!$G$7="30/360",DAYS360(U672,IF(DAY(U673)=31,U673-1,U673))+IF(AND(MONTH(U673)=2,U673=EOMONTH(U673,0)),30-DAY(EOMONTH(U673,0)))+T672,VLOOKUP(S673,$C$22:$F$1023,2,0)))</f>
        <v xml:space="preserve"> </v>
      </c>
      <c r="U673" s="64" t="str">
        <f t="shared" ca="1" si="50"/>
        <v xml:space="preserve"> </v>
      </c>
      <c r="V673" s="150" t="str">
        <f t="shared" ca="1" si="53"/>
        <v xml:space="preserve"> </v>
      </c>
      <c r="W673" s="62" t="str">
        <f t="shared" ca="1" si="54"/>
        <v xml:space="preserve"> </v>
      </c>
      <c r="X673" s="141" t="str">
        <f ca="1">IF(S673=" "," ",IFERROR(VLOOKUP(U673,$F$23:$N$1023,7)+VLOOKUP(U673,$F$23:$N$1023,9)+IF(AND('депозитный калькулятор'!$G$13="нет",U673&lt;&gt;'депозитный калькулятор'!$D$8),VLOOKUP(U673,$F$23:$N$1023,4),0),0)+IF(U673='депозитный калькулятор'!$D$8,VLOOKUP(U673,$F$23:$N$1023,2)+VLOOKUP(U673,$F$23:$N$1023,4),0))</f>
        <v xml:space="preserve"> </v>
      </c>
      <c r="Y673" s="142" t="str">
        <f ca="1">IF(S673=" "," ",W673/(1+'депозитный калькулятор'!$K$8)^(T673/IF('депозитный калькулятор'!$G$7="30/360",360,365)))</f>
        <v xml:space="preserve"> </v>
      </c>
      <c r="Z673" s="142" t="str">
        <f ca="1">IF(S673=" "," ",X673/(1+'депозитный калькулятор'!$K$8)^(T673/IF('депозитный калькулятор'!$G$7="30/360",360,365)))</f>
        <v xml:space="preserve"> </v>
      </c>
      <c r="AA673" s="151"/>
      <c r="AB673" s="151"/>
      <c r="AC673" s="155"/>
      <c r="AD673" s="155"/>
    </row>
    <row r="674" spans="1:30" s="2" customFormat="1" ht="15.5" x14ac:dyDescent="0.35">
      <c r="A674" s="41" t="str">
        <f>IF(F674=" "," ",IF(OR('депозитный калькулятор'!$G$7="30/365",'депозитный калькулятор'!$G$7="30/360"),IF(AND(MONTH(F674)=2,DAY(F674)=DAY(EOMONTH(F674,0))),30-DAY(EOMONTH(F674,0)),IF(DAY(F674)=31,1," "))," "))</f>
        <v xml:space="preserve"> </v>
      </c>
      <c r="B674" s="130" t="str">
        <f t="shared" si="51"/>
        <v xml:space="preserve"> </v>
      </c>
      <c r="C674" s="130" t="str">
        <f>IF(OR(B674=0,B674=" ")," ",SUM($B$23:B674))</f>
        <v xml:space="preserve"> </v>
      </c>
      <c r="D674" s="62" t="str">
        <f>IF(D673=" "," ",IF(OR(F673='депозитный калькулятор'!$D$8,F673=" ")," ",D673+1))</f>
        <v xml:space="preserve"> </v>
      </c>
      <c r="E674" s="130" t="str">
        <f>IF(OR(F673='депозитный калькулятор'!$D$8,F673=" ")," ",IF(EOMONTH(F673,0)=F673,1,E673+1))</f>
        <v xml:space="preserve"> </v>
      </c>
      <c r="F674" s="64" t="str">
        <f>IF(F673=" "," ",IF(F673='депозитный калькулятор'!$D$8," ",F673+1))</f>
        <v xml:space="preserve"> </v>
      </c>
      <c r="G674" s="145" t="str">
        <f xml:space="preserve"> IF(F674&gt;'депозитный калькулятор'!$D$8," ",IF('депозитный калькулятор'!$G$13="есть",IF('депозитный калькулятор'!$G$14="есть",G673+IF(I673=" ",0,I673)-J674-K674+L674+M674-N674,G673+IF(I673=" ",0,I673)-J674-K674+M674-N674),IF('депозитный калькулятор'!$G$14="есть",G673-J674-K674+L674+M674-N674,G673-J674-K674+M674-N674)))</f>
        <v xml:space="preserve"> </v>
      </c>
      <c r="H674" s="133" t="str">
        <f>IF(F674&gt;'депозитный калькулятор'!$D$8," ",IF(AND(OR('депозитный калькулятор'!$G$7="30/365",'депозитный калькулятор'!$G$7="30/360"),AND(MONTH(F674)=2,EOMONTH(F674,0)=F674)),IF(DAY(F674)=28,3*G674*'депозитный калькулятор'!$G$8,2*G674*'депозитный калькулятор'!$G$8),IF(AND(OR('депозитный калькулятор'!$G$7="30/365",'депозитный калькулятор'!$G$7="30/360"),DAY(F674)=31)," ",IF(AND('депозитный калькулятор'!$G$7="факт/факт",MOD(YEAR(F674),4)=0),G674*'депозитный калькулятор'!$D$11/366,G674*'депозитный калькулятор'!$G$8))))</f>
        <v xml:space="preserve"> </v>
      </c>
      <c r="I674" s="134" t="str">
        <f ca="1">IF(F674=" "," ",IF('депозитный калькулятор'!$G$10="ежедневное",H674,IF(AND('депозитный калькулятор'!$G$10="еженедельное",WEEKDAY(F674,2)=7),SUM(OFFSET(H674,-6,0):H674),IF(AND('депозитный калькулятор'!$G$10="еженедельное",F674='депозитный калькулятор'!$D$8),SUM($H$23:H674)-SUM($I$23:I673),IF(AND('депозитный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недели",WEEKDAY(F674,2)=7),MIN(OFFSET(H674,-6,0):H674)*(COUNTIF(OFFSET(H674,-6,0):H674,"&gt;0")+SUMIF(OFFSET(A674,-WEEKDAY(F674,2),0):A674,"=2",OFFSET(A674,-WEEKDAY(F674,2),0):A674)),IF(AND('депозитный калькулятор'!$G$10="еженедельное, на минимальную сумму зафиксированную в течение недели",F674='депозитный калькулятор'!$D$8,WEEKDAY(F674,2)&lt;&gt;7),MIN(OFFSET(H674,-WEEKDAY(F674,2),0):H674)*(COUNTIF(OFFSET(H674,-WEEKDAY(F674,2)+1,0):H674,"&gt;0")+SUM(OFFSET(A674,-WEEKDAY(F674,2),0):A674)),IF(AND('депозитный калькулятор'!$G$10="ежемесячное (в конце месяца)",F674='депозитный калькулятор'!$D$8,EOMONTH(F674,0)&lt;&gt;F674),IF('депозитный калькулятор'!$F$1=1,$H$24,SUM($H$23:H674)-SUM($I$23:I673)),IF(AND('депозитный калькулятор'!$G$10="ежемесячное (в конце месяца)",EOMONTH(F674,0)=F674),SUM($H$23:H674)-SUM($I$23:I673),IF(AND('депозитный калькулятор'!$G$10="ежемесячное (по дням открытия вклада)",F674='депозитный калькулятор'!$D$8,DAY('депозитный калькулятор'!$D$7)&lt;&gt;DAY(F674)),IF('депозитный калькулятор'!$F$1=1,$H$24,SUM($H$23:H674)-SUM($I$23:I673)),IF(AND('депозитный калькулятор'!$G$10="ежемесячное (по дням открытия вклада)",DAY('депозитный калькулятор'!$D$7)=DAY(F674)),SUM($H$23:H674)-SUM($I$23:I673),IF(AND('депозитный калькулятор'!$G$10="ежемесячное, на минимальную сумму зафиксированную в течение месяца",F674='депозитный калькулятор'!$D$8,EOMONTH(F674,0)&lt;&gt;F674),IF('депозитный калькулятор'!$F$1=1,$H$24,IF(AND(OR('депозитный калькулятор'!$G$7="30/365",'депозитный калькулятор'!$G$7="30/360"),DAY(F674)=31),0,MIN(OFFSET(H674,-E674+1,0):H674)*(E674+SUMIF(OFFSET(A674,-E674+1,0):A674,"=2",OFFSET(A674,-E674+1,0):A674)))),IF(AND('депозитный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калькулятор'!$G$7="30/360"),DAY(EOMONTH(F674,0))=31),EOMONTH(F674,0)-1=F674,EOMONTH(F674,0)=F674)),IF(IF(AND(OR('депозитный калькулятор'!$G$7="30/365",'депозитный калькулятор'!$G$7="30/360"),DAY(EOMONTH($F$23,0))=31),F674=EOMONTH($F$23,0)-1,F674=EOMONTH($F$23,0)),MIN(OFFSET(H674,-(DAY(F674)-DAY($F$23)),0):H674)*E674,MIN(OFFSET(H674,-(DAY(F674)-1),0):H674)*IF(AND(OR('депозитный калькулятор'!$G$7="30/365",'депозитный калькулятор'!$G$7="30/360"),DAY(F674)&lt;30),30,DAY(F674))),IF(AND('депозитный калькулятор'!$G$10="ежемесячное, на средний остаток в течение месяца, при условии что остаток больше чем ограничение",F674='депозитный калькулятор'!$D$8,EOMONTH(F674,0)&lt;&gt;F674),IF('депозитный калькулятор'!$F$1=1,$H$24,SUM(OFFSET(Q674,-E674+1,0):Q674)),IF(AND('депозитный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калькулятор'!$G$7="30/360"),DAY(EOMONTH(F674,0))=31),EOMONTH(F674,0)-1=F674,EOMONTH(F674,0)=F674)),IF(IF(AND(OR('депозитный калькулятор'!$G$7="30/365",'депозитный калькулятор'!$G$7="30/360"),DAY(EOMONTH($F$24,0))=31),F674=EOMONTH($F$24,0)-1,F674=EOMONTH($F$24,0)),SUM(OFFSET(Q674,-E674+1,0):Q674),SUM(OFFSET(Q674,-E674+1,0):Q674)),IF('депозитный калькулятор'!$G$10="ежеквартальное",IF(F674&gt;'депозитный калькулятор'!$D$8," ",IF(AND(EOMONTH(F674,0)=F674,OR(MONTH(F674)=3,MONTH(F674)=6,MONTH(F674)=9,MONTH(F674)=12)),IF(EDATE(F674,-3)&lt;'депозитный калькулятор'!$D$7,SUM($H$23:H674),IF(MOD(YEAR(F674),4)=0,IF(AND(EOMONTH(F674,0)=F674,OR(MONTH(F674)=3,MONTH(F674)=6)),SUM(OFFSET(H674,-90,0):H674),IF(AND(EOMONTH(F674,0)=F674,OR(MONTH(F674)=9,MONTH(F674)=12)),SUM(OFFSET(H674,-91,0):H674))),IF(AND(EOMONTH(F674,0)=F674,MONTH(F674)=3),SUM(OFFSET(H674,-89,0):H674),IF(AND(EOMONTH(F674,0)=F674,MONTH(F674)=6),SUM(OFFSET(H674,-90,0):H674),IF(AND(EOMONTH(F674,0)=F674,OR(MONTH(F674)=9,MONTH(F674)=12)),SUM(OFFSET(H674,-91,0):H674)))))),IF(F674='депозитный калькулятор'!$D$8,SUM($H$23:H674)-SUM($I$23:I673),0))),IF('депозитный калькулятор'!$G$10="ежегодное",IF(F674&gt;'депозитный калькулятор'!$D$8," ",IF(F674='депозитный калькулятор'!$D$8,SUM($H$23:H674)-SUM($I$23:I673),IF(AND(EOMONTH(F674,0)=F674,MONTH(F674)=12),IF(MOD(YEAR(F673),4)=0,IF(F674-'депозитный калькулятор'!$D$7&lt;366,SUM($H$23:H674),SUM(OFFSET(H674,-365,0):H674)),IF(F674-'депозитный калькулятор'!$D$7&lt;365,SUM($H$23:H674),SUM(OFFSET(H674,-364,0):H674))),0))),IF(AND('депозитный калькулятор'!$G$10="в конце срока",'депозитный калькулятор'!$D$8=F674),SUM($H$23:H674),0))))))))))))))))))</f>
        <v xml:space="preserve"> </v>
      </c>
      <c r="J674" s="59" t="str">
        <f>IF(F674&gt;'депозитный калькулятор'!$D$8," ",IF('депозитный калькулятор'!$G$16="нет",0,IF(AND('депозитный калькулятор'!$G$17="разовая (в конце срока)",F674='депозитный калькулятор'!$D$8),'депозитный калькулятор'!$G$18,IF(AND('депозитный калькулятор'!$G$17="ежемесячная",EOMONTH(F673,0)=F673),'депозитный калькулятор'!$G$18,IF(AND('депозитный калькулятор'!$G$17="ежегодная",DAY(F673)=31,MONTH(F673)=12),'депозитный калькулятор'!$G$18,IF(AND('депозитный калькулятор'!$G$17="ежемесячная в зависимости от остатка",EOMONTH(F673,0)=F673,P673&gt;0),'депозитный калькулятор'!$G$18,IF(AND('депозитный калькулятор'!$G$17="ежегодная в зависимости от остатка",DAY(F673)=31,MONTH(F673)=12,P673&gt;0),'депозитный калькулятор'!$G$18,0)))))))</f>
        <v xml:space="preserve"> </v>
      </c>
      <c r="K674" s="135" t="str">
        <f>IF($F674=" "," ",IFERROR(VLOOKUP($F674,'депозитный калькулятор'!$B$26:$F$70,2,0),0))</f>
        <v xml:space="preserve"> </v>
      </c>
      <c r="L674" s="135" t="str">
        <f>IF($F674=" "," ",IFERROR(VLOOKUP($F674,'депозитный калькулятор'!$B$26:$F$70,3,0),0))</f>
        <v xml:space="preserve"> </v>
      </c>
      <c r="M674" s="135" t="str">
        <f>IF($F674=" "," ",IFERROR(VLOOKUP($F674,'депозитный калькулятор'!$B$26:$F$70,4,0),0))</f>
        <v xml:space="preserve"> </v>
      </c>
      <c r="N674" s="135" t="str">
        <f>IF($F674=" "," ",IFERROR(VLOOKUP($F674,'депозитный калькулятор'!$B$26:$F$70,5,0),0))</f>
        <v xml:space="preserve"> </v>
      </c>
      <c r="O674" s="146" t="str">
        <f>IF(F674&gt;'депозитный калькулятор'!$D$8," ",IF(F674='депозитный калькулятор'!$D$8,IF(AND($F$24='депозитный калькулятор'!$D$8,'депозитный калькулятор'!$G$13="нет"),-G674-IF(I674=" ",0,I674)-IF(AND(OR('депозитный калькулятор'!$G$7="30/365",'депозитный калькулятор'!$G$7="30/360"),'депозитный калькулятор'!$G$10="в начале срока"),I673,0)-L674+M674-N674,-G674-IF(I674=" ",0,I674)-L674+M674-N674),IF('депозитный калькулятор'!$G$13="есть",M674-N674+IF('депозитный калькулятор'!$G$14="есть",0,-L674),-IF(I674=" ",0,I674)-IF(AND(OR('депозитный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срока"),I673,0)+M674-N674+IF('депозитный калькулятор'!$G$14="есть",0,-L674))))</f>
        <v xml:space="preserve"> </v>
      </c>
      <c r="P674" s="147" t="str">
        <f>IF(F674&gt;'депозитный калькулятор'!$D$8," ",IF(EOMONTH(F673,0)=F673,0,IF(G674&gt;='депозитный калькулятор'!$G$19,P673,P673+1)))</f>
        <v xml:space="preserve"> </v>
      </c>
      <c r="Q674" s="138" t="str">
        <f>IF(F674=" "," ",IF(AND(OR('депозитный калькулятор'!$G$7="30/365",'депозитный калькулятор'!$G$7="30/360"),AND(MONTH(F674)=2,EOMONTH(F674,0)=F674)),IF(DAY(F674)=28,3,2),1)*IF(G674&gt;='депозитный калькулятор'!$G$11,IF(AND('депозитный калькулятор'!$G$7="факт/факт",MOD(YEAR(F674),4)=0),G674*'депозитный калькулятор'!$D$11/366,G674*'депозитный калькулятор'!$G$8),0))</f>
        <v xml:space="preserve"> </v>
      </c>
      <c r="R674" s="158"/>
      <c r="S674" s="62" t="str">
        <f t="shared" ca="1" si="52"/>
        <v xml:space="preserve"> </v>
      </c>
      <c r="T674" s="149" t="str">
        <f ca="1">IF(S674=" "," ",IF('депозитный калькулятор'!$G$7="30/360",DAYS360(U673,IF(DAY(U674)=31,U674-1,U674))+IF(AND(MONTH(U674)=2,U674=EOMONTH(U674,0)),30-DAY(EOMONTH(U674,0)))+T673,VLOOKUP(S674,$C$22:$F$1023,2,0)))</f>
        <v xml:space="preserve"> </v>
      </c>
      <c r="U674" s="64" t="str">
        <f t="shared" ca="1" si="50"/>
        <v xml:space="preserve"> </v>
      </c>
      <c r="V674" s="150" t="str">
        <f t="shared" ca="1" si="53"/>
        <v xml:space="preserve"> </v>
      </c>
      <c r="W674" s="62" t="str">
        <f t="shared" ca="1" si="54"/>
        <v xml:space="preserve"> </v>
      </c>
      <c r="X674" s="141" t="str">
        <f ca="1">IF(S674=" "," ",IFERROR(VLOOKUP(U674,$F$23:$N$1023,7)+VLOOKUP(U674,$F$23:$N$1023,9)+IF(AND('депозитный калькулятор'!$G$13="нет",U674&lt;&gt;'депозитный калькулятор'!$D$8),VLOOKUP(U674,$F$23:$N$1023,4),0),0)+IF(U674='депозитный калькулятор'!$D$8,VLOOKUP(U674,$F$23:$N$1023,2)+VLOOKUP(U674,$F$23:$N$1023,4),0))</f>
        <v xml:space="preserve"> </v>
      </c>
      <c r="Y674" s="142" t="str">
        <f ca="1">IF(S674=" "," ",W674/(1+'депозитный калькулятор'!$K$8)^(T674/IF('депозитный калькулятор'!$G$7="30/360",360,365)))</f>
        <v xml:space="preserve"> </v>
      </c>
      <c r="Z674" s="142" t="str">
        <f ca="1">IF(S674=" "," ",X674/(1+'депозитный калькулятор'!$K$8)^(T674/IF('депозитный калькулятор'!$G$7="30/360",360,365)))</f>
        <v xml:space="preserve"> </v>
      </c>
      <c r="AA674" s="151"/>
      <c r="AB674" s="151"/>
      <c r="AC674" s="155"/>
      <c r="AD674" s="155"/>
    </row>
    <row r="675" spans="1:30" s="2" customFormat="1" ht="15.5" x14ac:dyDescent="0.35">
      <c r="A675" s="41" t="str">
        <f>IF(F675=" "," ",IF(OR('депозитный калькулятор'!$G$7="30/365",'депозитный калькулятор'!$G$7="30/360"),IF(AND(MONTH(F675)=2,DAY(F675)=DAY(EOMONTH(F675,0))),30-DAY(EOMONTH(F675,0)),IF(DAY(F675)=31,1," "))," "))</f>
        <v xml:space="preserve"> </v>
      </c>
      <c r="B675" s="130" t="str">
        <f t="shared" si="51"/>
        <v xml:space="preserve"> </v>
      </c>
      <c r="C675" s="130" t="str">
        <f>IF(OR(B675=0,B675=" ")," ",SUM($B$23:B675))</f>
        <v xml:space="preserve"> </v>
      </c>
      <c r="D675" s="62" t="str">
        <f>IF(D674=" "," ",IF(OR(F674='депозитный калькулятор'!$D$8,F674=" ")," ",D674+1))</f>
        <v xml:space="preserve"> </v>
      </c>
      <c r="E675" s="130" t="str">
        <f>IF(OR(F674='депозитный калькулятор'!$D$8,F674=" ")," ",IF(EOMONTH(F674,0)=F674,1,E674+1))</f>
        <v xml:space="preserve"> </v>
      </c>
      <c r="F675" s="64" t="str">
        <f>IF(F674=" "," ",IF(F674='депозитный калькулятор'!$D$8," ",F674+1))</f>
        <v xml:space="preserve"> </v>
      </c>
      <c r="G675" s="145" t="str">
        <f xml:space="preserve"> IF(F675&gt;'депозитный калькулятор'!$D$8," ",IF('депозитный калькулятор'!$G$13="есть",IF('депозитный калькулятор'!$G$14="есть",G674+IF(I674=" ",0,I674)-J675-K675+L675+M675-N675,G674+IF(I674=" ",0,I674)-J675-K675+M675-N675),IF('депозитный калькулятор'!$G$14="есть",G674-J675-K675+L675+M675-N675,G674-J675-K675+M675-N675)))</f>
        <v xml:space="preserve"> </v>
      </c>
      <c r="H675" s="133" t="str">
        <f>IF(F675&gt;'депозитный калькулятор'!$D$8," ",IF(AND(OR('депозитный калькулятор'!$G$7="30/365",'депозитный калькулятор'!$G$7="30/360"),AND(MONTH(F675)=2,EOMONTH(F675,0)=F675)),IF(DAY(F675)=28,3*G675*'депозитный калькулятор'!$G$8,2*G675*'депозитный калькулятор'!$G$8),IF(AND(OR('депозитный калькулятор'!$G$7="30/365",'депозитный калькулятор'!$G$7="30/360"),DAY(F675)=31)," ",IF(AND('депозитный калькулятор'!$G$7="факт/факт",MOD(YEAR(F675),4)=0),G675*'депозитный калькулятор'!$D$11/366,G675*'депозитный калькулятор'!$G$8))))</f>
        <v xml:space="preserve"> </v>
      </c>
      <c r="I675" s="134" t="str">
        <f ca="1">IF(F675=" "," ",IF('депозитный калькулятор'!$G$10="ежедневное",H675,IF(AND('депозитный калькулятор'!$G$10="еженедельное",WEEKDAY(F675,2)=7),SUM(OFFSET(H675,-6,0):H675),IF(AND('депозитный калькулятор'!$G$10="еженедельное",F675='депозитный калькулятор'!$D$8),SUM($H$23:H675)-SUM($I$23:I674),IF(AND('депозитный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недели",WEEKDAY(F675,2)=7),MIN(OFFSET(H675,-6,0):H675)*(COUNTIF(OFFSET(H675,-6,0):H675,"&gt;0")+SUMIF(OFFSET(A675,-WEEKDAY(F675,2),0):A675,"=2",OFFSET(A675,-WEEKDAY(F675,2),0):A675)),IF(AND('депозитный калькулятор'!$G$10="еженедельное, на минимальную сумму зафиксированную в течение недели",F675='депозитный калькулятор'!$D$8,WEEKDAY(F675,2)&lt;&gt;7),MIN(OFFSET(H675,-WEEKDAY(F675,2),0):H675)*(COUNTIF(OFFSET(H675,-WEEKDAY(F675,2)+1,0):H675,"&gt;0")+SUM(OFFSET(A675,-WEEKDAY(F675,2),0):A675)),IF(AND('депозитный калькулятор'!$G$10="ежемесячное (в конце месяца)",F675='депозитный калькулятор'!$D$8,EOMONTH(F675,0)&lt;&gt;F675),IF('депозитный калькулятор'!$F$1=1,$H$24,SUM($H$23:H675)-SUM($I$23:I674)),IF(AND('депозитный калькулятор'!$G$10="ежемесячное (в конце месяца)",EOMONTH(F675,0)=F675),SUM($H$23:H675)-SUM($I$23:I674),IF(AND('депозитный калькулятор'!$G$10="ежемесячное (по дням открытия вклада)",F675='депозитный калькулятор'!$D$8,DAY('депозитный калькулятор'!$D$7)&lt;&gt;DAY(F675)),IF('депозитный калькулятор'!$F$1=1,$H$24,SUM($H$23:H675)-SUM($I$23:I674)),IF(AND('депозитный калькулятор'!$G$10="ежемесячное (по дням открытия вклада)",DAY('депозитный калькулятор'!$D$7)=DAY(F675)),SUM($H$23:H675)-SUM($I$23:I674),IF(AND('депозитный калькулятор'!$G$10="ежемесячное, на минимальную сумму зафиксированную в течение месяца",F675='депозитный калькулятор'!$D$8,EOMONTH(F675,0)&lt;&gt;F675),IF('депозитный калькулятор'!$F$1=1,$H$24,IF(AND(OR('депозитный калькулятор'!$G$7="30/365",'депозитный калькулятор'!$G$7="30/360"),DAY(F675)=31),0,MIN(OFFSET(H675,-E675+1,0):H675)*(E675+SUMIF(OFFSET(A675,-E675+1,0):A675,"=2",OFFSET(A675,-E675+1,0):A675)))),IF(AND('депозитный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калькулятор'!$G$7="30/360"),DAY(EOMONTH(F675,0))=31),EOMONTH(F675,0)-1=F675,EOMONTH(F675,0)=F675)),IF(IF(AND(OR('депозитный калькулятор'!$G$7="30/365",'депозитный калькулятор'!$G$7="30/360"),DAY(EOMONTH($F$23,0))=31),F675=EOMONTH($F$23,0)-1,F675=EOMONTH($F$23,0)),MIN(OFFSET(H675,-(DAY(F675)-DAY($F$23)),0):H675)*E675,MIN(OFFSET(H675,-(DAY(F675)-1),0):H675)*IF(AND(OR('депозитный калькулятор'!$G$7="30/365",'депозитный калькулятор'!$G$7="30/360"),DAY(F675)&lt;30),30,DAY(F675))),IF(AND('депозитный калькулятор'!$G$10="ежемесячное, на средний остаток в течение месяца, при условии что остаток больше чем ограничение",F675='депозитный калькулятор'!$D$8,EOMONTH(F675,0)&lt;&gt;F675),IF('депозитный калькулятор'!$F$1=1,$H$24,SUM(OFFSET(Q675,-E675+1,0):Q675)),IF(AND('депозитный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калькулятор'!$G$7="30/360"),DAY(EOMONTH(F675,0))=31),EOMONTH(F675,0)-1=F675,EOMONTH(F675,0)=F675)),IF(IF(AND(OR('депозитный калькулятор'!$G$7="30/365",'депозитный калькулятор'!$G$7="30/360"),DAY(EOMONTH($F$24,0))=31),F675=EOMONTH($F$24,0)-1,F675=EOMONTH($F$24,0)),SUM(OFFSET(Q675,-E675+1,0):Q675),SUM(OFFSET(Q675,-E675+1,0):Q675)),IF('депозитный калькулятор'!$G$10="ежеквартальное",IF(F675&gt;'депозитный калькулятор'!$D$8," ",IF(AND(EOMONTH(F675,0)=F675,OR(MONTH(F675)=3,MONTH(F675)=6,MONTH(F675)=9,MONTH(F675)=12)),IF(EDATE(F675,-3)&lt;'депозитный калькулятор'!$D$7,SUM($H$23:H675),IF(MOD(YEAR(F675),4)=0,IF(AND(EOMONTH(F675,0)=F675,OR(MONTH(F675)=3,MONTH(F675)=6)),SUM(OFFSET(H675,-90,0):H675),IF(AND(EOMONTH(F675,0)=F675,OR(MONTH(F675)=9,MONTH(F675)=12)),SUM(OFFSET(H675,-91,0):H675))),IF(AND(EOMONTH(F675,0)=F675,MONTH(F675)=3),SUM(OFFSET(H675,-89,0):H675),IF(AND(EOMONTH(F675,0)=F675,MONTH(F675)=6),SUM(OFFSET(H675,-90,0):H675),IF(AND(EOMONTH(F675,0)=F675,OR(MONTH(F675)=9,MONTH(F675)=12)),SUM(OFFSET(H675,-91,0):H675)))))),IF(F675='депозитный калькулятор'!$D$8,SUM($H$23:H675)-SUM($I$23:I674),0))),IF('депозитный калькулятор'!$G$10="ежегодное",IF(F675&gt;'депозитный калькулятор'!$D$8," ",IF(F675='депозитный калькулятор'!$D$8,SUM($H$23:H675)-SUM($I$23:I674),IF(AND(EOMONTH(F675,0)=F675,MONTH(F675)=12),IF(MOD(YEAR(F674),4)=0,IF(F675-'депозитный калькулятор'!$D$7&lt;366,SUM($H$23:H675),SUM(OFFSET(H675,-365,0):H675)),IF(F675-'депозитный калькулятор'!$D$7&lt;365,SUM($H$23:H675),SUM(OFFSET(H675,-364,0):H675))),0))),IF(AND('депозитный калькулятор'!$G$10="в конце срока",'депозитный калькулятор'!$D$8=F675),SUM($H$23:H675),0))))))))))))))))))</f>
        <v xml:space="preserve"> </v>
      </c>
      <c r="J675" s="59" t="str">
        <f>IF(F675&gt;'депозитный калькулятор'!$D$8," ",IF('депозитный калькулятор'!$G$16="нет",0,IF(AND('депозитный калькулятор'!$G$17="разовая (в конце срока)",F675='депозитный калькулятор'!$D$8),'депозитный калькулятор'!$G$18,IF(AND('депозитный калькулятор'!$G$17="ежемесячная",EOMONTH(F674,0)=F674),'депозитный калькулятор'!$G$18,IF(AND('депозитный калькулятор'!$G$17="ежегодная",DAY(F674)=31,MONTH(F674)=12),'депозитный калькулятор'!$G$18,IF(AND('депозитный калькулятор'!$G$17="ежемесячная в зависимости от остатка",EOMONTH(F674,0)=F674,P674&gt;0),'депозитный калькулятор'!$G$18,IF(AND('депозитный калькулятор'!$G$17="ежегодная в зависимости от остатка",DAY(F674)=31,MONTH(F674)=12,P674&gt;0),'депозитный калькулятор'!$G$18,0)))))))</f>
        <v xml:space="preserve"> </v>
      </c>
      <c r="K675" s="135" t="str">
        <f>IF($F675=" "," ",IFERROR(VLOOKUP($F675,'депозитный калькулятор'!$B$26:$F$70,2,0),0))</f>
        <v xml:space="preserve"> </v>
      </c>
      <c r="L675" s="135" t="str">
        <f>IF($F675=" "," ",IFERROR(VLOOKUP($F675,'депозитный калькулятор'!$B$26:$F$70,3,0),0))</f>
        <v xml:space="preserve"> </v>
      </c>
      <c r="M675" s="135" t="str">
        <f>IF($F675=" "," ",IFERROR(VLOOKUP($F675,'депозитный калькулятор'!$B$26:$F$70,4,0),0))</f>
        <v xml:space="preserve"> </v>
      </c>
      <c r="N675" s="135" t="str">
        <f>IF($F675=" "," ",IFERROR(VLOOKUP($F675,'депозитный калькулятор'!$B$26:$F$70,5,0),0))</f>
        <v xml:space="preserve"> </v>
      </c>
      <c r="O675" s="146" t="str">
        <f>IF(F675&gt;'депозитный калькулятор'!$D$8," ",IF(F675='депозитный калькулятор'!$D$8,IF(AND($F$24='депозитный калькулятор'!$D$8,'депозитный калькулятор'!$G$13="нет"),-G675-IF(I675=" ",0,I675)-IF(AND(OR('депозитный калькулятор'!$G$7="30/365",'депозитный калькулятор'!$G$7="30/360"),'депозитный калькулятор'!$G$10="в начале срока"),I674,0)-L675+M675-N675,-G675-IF(I675=" ",0,I675)-L675+M675-N675),IF('депозитный калькулятор'!$G$13="есть",M675-N675+IF('депозитный калькулятор'!$G$14="есть",0,-L675),-IF(I675=" ",0,I675)-IF(AND(OR('депозитный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срока"),I674,0)+M675-N675+IF('депозитный калькулятор'!$G$14="есть",0,-L675))))</f>
        <v xml:space="preserve"> </v>
      </c>
      <c r="P675" s="147" t="str">
        <f>IF(F675&gt;'депозитный калькулятор'!$D$8," ",IF(EOMONTH(F674,0)=F674,0,IF(G675&gt;='депозитный калькулятор'!$G$19,P674,P674+1)))</f>
        <v xml:space="preserve"> </v>
      </c>
      <c r="Q675" s="138" t="str">
        <f>IF(F675=" "," ",IF(AND(OR('депозитный калькулятор'!$G$7="30/365",'депозитный калькулятор'!$G$7="30/360"),AND(MONTH(F675)=2,EOMONTH(F675,0)=F675)),IF(DAY(F675)=28,3,2),1)*IF(G675&gt;='депозитный калькулятор'!$G$11,IF(AND('депозитный калькулятор'!$G$7="факт/факт",MOD(YEAR(F675),4)=0),G675*'депозитный калькулятор'!$D$11/366,G675*'депозитный калькулятор'!$G$8),0))</f>
        <v xml:space="preserve"> </v>
      </c>
      <c r="R675" s="158"/>
      <c r="S675" s="62" t="str">
        <f t="shared" ca="1" si="52"/>
        <v xml:space="preserve"> </v>
      </c>
      <c r="T675" s="149" t="str">
        <f ca="1">IF(S675=" "," ",IF('депозитный калькулятор'!$G$7="30/360",DAYS360(U674,IF(DAY(U675)=31,U675-1,U675))+IF(AND(MONTH(U675)=2,U675=EOMONTH(U675,0)),30-DAY(EOMONTH(U675,0)))+T674,VLOOKUP(S675,$C$22:$F$1023,2,0)))</f>
        <v xml:space="preserve"> </v>
      </c>
      <c r="U675" s="64" t="str">
        <f t="shared" ca="1" si="50"/>
        <v xml:space="preserve"> </v>
      </c>
      <c r="V675" s="150" t="str">
        <f t="shared" ca="1" si="53"/>
        <v xml:space="preserve"> </v>
      </c>
      <c r="W675" s="62" t="str">
        <f t="shared" ca="1" si="54"/>
        <v xml:space="preserve"> </v>
      </c>
      <c r="X675" s="141" t="str">
        <f ca="1">IF(S675=" "," ",IFERROR(VLOOKUP(U675,$F$23:$N$1023,7)+VLOOKUP(U675,$F$23:$N$1023,9)+IF(AND('депозитный калькулятор'!$G$13="нет",U675&lt;&gt;'депозитный калькулятор'!$D$8),VLOOKUP(U675,$F$23:$N$1023,4),0),0)+IF(U675='депозитный калькулятор'!$D$8,VLOOKUP(U675,$F$23:$N$1023,2)+VLOOKUP(U675,$F$23:$N$1023,4),0))</f>
        <v xml:space="preserve"> </v>
      </c>
      <c r="Y675" s="142" t="str">
        <f ca="1">IF(S675=" "," ",W675/(1+'депозитный калькулятор'!$K$8)^(T675/IF('депозитный калькулятор'!$G$7="30/360",360,365)))</f>
        <v xml:space="preserve"> </v>
      </c>
      <c r="Z675" s="142" t="str">
        <f ca="1">IF(S675=" "," ",X675/(1+'депозитный калькулятор'!$K$8)^(T675/IF('депозитный калькулятор'!$G$7="30/360",360,365)))</f>
        <v xml:space="preserve"> </v>
      </c>
      <c r="AA675" s="151"/>
      <c r="AB675" s="151"/>
      <c r="AC675" s="155"/>
      <c r="AD675" s="155"/>
    </row>
    <row r="676" spans="1:30" s="2" customFormat="1" ht="15.5" x14ac:dyDescent="0.35">
      <c r="A676" s="41" t="str">
        <f>IF(F676=" "," ",IF(OR('депозитный калькулятор'!$G$7="30/365",'депозитный калькулятор'!$G$7="30/360"),IF(AND(MONTH(F676)=2,DAY(F676)=DAY(EOMONTH(F676,0))),30-DAY(EOMONTH(F676,0)),IF(DAY(F676)=31,1," "))," "))</f>
        <v xml:space="preserve"> </v>
      </c>
      <c r="B676" s="130" t="str">
        <f t="shared" si="51"/>
        <v xml:space="preserve"> </v>
      </c>
      <c r="C676" s="130" t="str">
        <f>IF(OR(B676=0,B676=" ")," ",SUM($B$23:B676))</f>
        <v xml:space="preserve"> </v>
      </c>
      <c r="D676" s="62" t="str">
        <f>IF(D675=" "," ",IF(OR(F675='депозитный калькулятор'!$D$8,F675=" ")," ",D675+1))</f>
        <v xml:space="preserve"> </v>
      </c>
      <c r="E676" s="130" t="str">
        <f>IF(OR(F675='депозитный калькулятор'!$D$8,F675=" ")," ",IF(EOMONTH(F675,0)=F675,1,E675+1))</f>
        <v xml:space="preserve"> </v>
      </c>
      <c r="F676" s="64" t="str">
        <f>IF(F675=" "," ",IF(F675='депозитный калькулятор'!$D$8," ",F675+1))</f>
        <v xml:space="preserve"> </v>
      </c>
      <c r="G676" s="145" t="str">
        <f xml:space="preserve"> IF(F676&gt;'депозитный калькулятор'!$D$8," ",IF('депозитный калькулятор'!$G$13="есть",IF('депозитный калькулятор'!$G$14="есть",G675+IF(I675=" ",0,I675)-J676-K676+L676+M676-N676,G675+IF(I675=" ",0,I675)-J676-K676+M676-N676),IF('депозитный калькулятор'!$G$14="есть",G675-J676-K676+L676+M676-N676,G675-J676-K676+M676-N676)))</f>
        <v xml:space="preserve"> </v>
      </c>
      <c r="H676" s="133" t="str">
        <f>IF(F676&gt;'депозитный калькулятор'!$D$8," ",IF(AND(OR('депозитный калькулятор'!$G$7="30/365",'депозитный калькулятор'!$G$7="30/360"),AND(MONTH(F676)=2,EOMONTH(F676,0)=F676)),IF(DAY(F676)=28,3*G676*'депозитный калькулятор'!$G$8,2*G676*'депозитный калькулятор'!$G$8),IF(AND(OR('депозитный калькулятор'!$G$7="30/365",'депозитный калькулятор'!$G$7="30/360"),DAY(F676)=31)," ",IF(AND('депозитный калькулятор'!$G$7="факт/факт",MOD(YEAR(F676),4)=0),G676*'депозитный калькулятор'!$D$11/366,G676*'депозитный калькулятор'!$G$8))))</f>
        <v xml:space="preserve"> </v>
      </c>
      <c r="I676" s="134" t="str">
        <f ca="1">IF(F676=" "," ",IF('депозитный калькулятор'!$G$10="ежедневное",H676,IF(AND('депозитный калькулятор'!$G$10="еженедельное",WEEKDAY(F676,2)=7),SUM(OFFSET(H676,-6,0):H676),IF(AND('депозитный калькулятор'!$G$10="еженедельное",F676='депозитный калькулятор'!$D$8),SUM($H$23:H676)-SUM($I$23:I675),IF(AND('депозитный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недели",WEEKDAY(F676,2)=7),MIN(OFFSET(H676,-6,0):H676)*(COUNTIF(OFFSET(H676,-6,0):H676,"&gt;0")+SUMIF(OFFSET(A676,-WEEKDAY(F676,2),0):A676,"=2",OFFSET(A676,-WEEKDAY(F676,2),0):A676)),IF(AND('депозитный калькулятор'!$G$10="еженедельное, на минимальную сумму зафиксированную в течение недели",F676='депозитный калькулятор'!$D$8,WEEKDAY(F676,2)&lt;&gt;7),MIN(OFFSET(H676,-WEEKDAY(F676,2),0):H676)*(COUNTIF(OFFSET(H676,-WEEKDAY(F676,2)+1,0):H676,"&gt;0")+SUM(OFFSET(A676,-WEEKDAY(F676,2),0):A676)),IF(AND('депозитный калькулятор'!$G$10="ежемесячное (в конце месяца)",F676='депозитный калькулятор'!$D$8,EOMONTH(F676,0)&lt;&gt;F676),IF('депозитный калькулятор'!$F$1=1,$H$24,SUM($H$23:H676)-SUM($I$23:I675)),IF(AND('депозитный калькулятор'!$G$10="ежемесячное (в конце месяца)",EOMONTH(F676,0)=F676),SUM($H$23:H676)-SUM($I$23:I675),IF(AND('депозитный калькулятор'!$G$10="ежемесячное (по дням открытия вклада)",F676='депозитный калькулятор'!$D$8,DAY('депозитный калькулятор'!$D$7)&lt;&gt;DAY(F676)),IF('депозитный калькулятор'!$F$1=1,$H$24,SUM($H$23:H676)-SUM($I$23:I675)),IF(AND('депозитный калькулятор'!$G$10="ежемесячное (по дням открытия вклада)",DAY('депозитный калькулятор'!$D$7)=DAY(F676)),SUM($H$23:H676)-SUM($I$23:I675),IF(AND('депозитный калькулятор'!$G$10="ежемесячное, на минимальную сумму зафиксированную в течение месяца",F676='депозитный калькулятор'!$D$8,EOMONTH(F676,0)&lt;&gt;F676),IF('депозитный калькулятор'!$F$1=1,$H$24,IF(AND(OR('депозитный калькулятор'!$G$7="30/365",'депозитный калькулятор'!$G$7="30/360"),DAY(F676)=31),0,MIN(OFFSET(H676,-E676+1,0):H676)*(E676+SUMIF(OFFSET(A676,-E676+1,0):A676,"=2",OFFSET(A676,-E676+1,0):A676)))),IF(AND('депозитный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калькулятор'!$G$7="30/360"),DAY(EOMONTH(F676,0))=31),EOMONTH(F676,0)-1=F676,EOMONTH(F676,0)=F676)),IF(IF(AND(OR('депозитный калькулятор'!$G$7="30/365",'депозитный калькулятор'!$G$7="30/360"),DAY(EOMONTH($F$23,0))=31),F676=EOMONTH($F$23,0)-1,F676=EOMONTH($F$23,0)),MIN(OFFSET(H676,-(DAY(F676)-DAY($F$23)),0):H676)*E676,MIN(OFFSET(H676,-(DAY(F676)-1),0):H676)*IF(AND(OR('депозитный калькулятор'!$G$7="30/365",'депозитный калькулятор'!$G$7="30/360"),DAY(F676)&lt;30),30,DAY(F676))),IF(AND('депозитный калькулятор'!$G$10="ежемесячное, на средний остаток в течение месяца, при условии что остаток больше чем ограничение",F676='депозитный калькулятор'!$D$8,EOMONTH(F676,0)&lt;&gt;F676),IF('депозитный калькулятор'!$F$1=1,$H$24,SUM(OFFSET(Q676,-E676+1,0):Q676)),IF(AND('депозитный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калькулятор'!$G$7="30/360"),DAY(EOMONTH(F676,0))=31),EOMONTH(F676,0)-1=F676,EOMONTH(F676,0)=F676)),IF(IF(AND(OR('депозитный калькулятор'!$G$7="30/365",'депозитный калькулятор'!$G$7="30/360"),DAY(EOMONTH($F$24,0))=31),F676=EOMONTH($F$24,0)-1,F676=EOMONTH($F$24,0)),SUM(OFFSET(Q676,-E676+1,0):Q676),SUM(OFFSET(Q676,-E676+1,0):Q676)),IF('депозитный калькулятор'!$G$10="ежеквартальное",IF(F676&gt;'депозитный калькулятор'!$D$8," ",IF(AND(EOMONTH(F676,0)=F676,OR(MONTH(F676)=3,MONTH(F676)=6,MONTH(F676)=9,MONTH(F676)=12)),IF(EDATE(F676,-3)&lt;'депозитный калькулятор'!$D$7,SUM($H$23:H676),IF(MOD(YEAR(F676),4)=0,IF(AND(EOMONTH(F676,0)=F676,OR(MONTH(F676)=3,MONTH(F676)=6)),SUM(OFFSET(H676,-90,0):H676),IF(AND(EOMONTH(F676,0)=F676,OR(MONTH(F676)=9,MONTH(F676)=12)),SUM(OFFSET(H676,-91,0):H676))),IF(AND(EOMONTH(F676,0)=F676,MONTH(F676)=3),SUM(OFFSET(H676,-89,0):H676),IF(AND(EOMONTH(F676,0)=F676,MONTH(F676)=6),SUM(OFFSET(H676,-90,0):H676),IF(AND(EOMONTH(F676,0)=F676,OR(MONTH(F676)=9,MONTH(F676)=12)),SUM(OFFSET(H676,-91,0):H676)))))),IF(F676='депозитный калькулятор'!$D$8,SUM($H$23:H676)-SUM($I$23:I675),0))),IF('депозитный калькулятор'!$G$10="ежегодное",IF(F676&gt;'депозитный калькулятор'!$D$8," ",IF(F676='депозитный калькулятор'!$D$8,SUM($H$23:H676)-SUM($I$23:I675),IF(AND(EOMONTH(F676,0)=F676,MONTH(F676)=12),IF(MOD(YEAR(F675),4)=0,IF(F676-'депозитный калькулятор'!$D$7&lt;366,SUM($H$23:H676),SUM(OFFSET(H676,-365,0):H676)),IF(F676-'депозитный калькулятор'!$D$7&lt;365,SUM($H$23:H676),SUM(OFFSET(H676,-364,0):H676))),0))),IF(AND('депозитный калькулятор'!$G$10="в конце срока",'депозитный калькулятор'!$D$8=F676),SUM($H$23:H676),0))))))))))))))))))</f>
        <v xml:space="preserve"> </v>
      </c>
      <c r="J676" s="59" t="str">
        <f>IF(F676&gt;'депозитный калькулятор'!$D$8," ",IF('депозитный калькулятор'!$G$16="нет",0,IF(AND('депозитный калькулятор'!$G$17="разовая (в конце срока)",F676='депозитный калькулятор'!$D$8),'депозитный калькулятор'!$G$18,IF(AND('депозитный калькулятор'!$G$17="ежемесячная",EOMONTH(F675,0)=F675),'депозитный калькулятор'!$G$18,IF(AND('депозитный калькулятор'!$G$17="ежегодная",DAY(F675)=31,MONTH(F675)=12),'депозитный калькулятор'!$G$18,IF(AND('депозитный калькулятор'!$G$17="ежемесячная в зависимости от остатка",EOMONTH(F675,0)=F675,P675&gt;0),'депозитный калькулятор'!$G$18,IF(AND('депозитный калькулятор'!$G$17="ежегодная в зависимости от остатка",DAY(F675)=31,MONTH(F675)=12,P675&gt;0),'депозитный калькулятор'!$G$18,0)))))))</f>
        <v xml:space="preserve"> </v>
      </c>
      <c r="K676" s="135" t="str">
        <f>IF($F676=" "," ",IFERROR(VLOOKUP($F676,'депозитный калькулятор'!$B$26:$F$70,2,0),0))</f>
        <v xml:space="preserve"> </v>
      </c>
      <c r="L676" s="135" t="str">
        <f>IF($F676=" "," ",IFERROR(VLOOKUP($F676,'депозитный калькулятор'!$B$26:$F$70,3,0),0))</f>
        <v xml:space="preserve"> </v>
      </c>
      <c r="M676" s="135" t="str">
        <f>IF($F676=" "," ",IFERROR(VLOOKUP($F676,'депозитный калькулятор'!$B$26:$F$70,4,0),0))</f>
        <v xml:space="preserve"> </v>
      </c>
      <c r="N676" s="135" t="str">
        <f>IF($F676=" "," ",IFERROR(VLOOKUP($F676,'депозитный калькулятор'!$B$26:$F$70,5,0),0))</f>
        <v xml:space="preserve"> </v>
      </c>
      <c r="O676" s="146" t="str">
        <f>IF(F676&gt;'депозитный калькулятор'!$D$8," ",IF(F676='депозитный калькулятор'!$D$8,IF(AND($F$24='депозитный калькулятор'!$D$8,'депозитный калькулятор'!$G$13="нет"),-G676-IF(I676=" ",0,I676)-IF(AND(OR('депозитный калькулятор'!$G$7="30/365",'депозитный калькулятор'!$G$7="30/360"),'депозитный калькулятор'!$G$10="в начале срока"),I675,0)-L676+M676-N676,-G676-IF(I676=" ",0,I676)-L676+M676-N676),IF('депозитный калькулятор'!$G$13="есть",M676-N676+IF('депозитный калькулятор'!$G$14="есть",0,-L676),-IF(I676=" ",0,I676)-IF(AND(OR('депозитный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срока"),I675,0)+M676-N676+IF('депозитный калькулятор'!$G$14="есть",0,-L676))))</f>
        <v xml:space="preserve"> </v>
      </c>
      <c r="P676" s="147" t="str">
        <f>IF(F676&gt;'депозитный калькулятор'!$D$8," ",IF(EOMONTH(F675,0)=F675,0,IF(G676&gt;='депозитный калькулятор'!$G$19,P675,P675+1)))</f>
        <v xml:space="preserve"> </v>
      </c>
      <c r="Q676" s="138" t="str">
        <f>IF(F676=" "," ",IF(AND(OR('депозитный калькулятор'!$G$7="30/365",'депозитный калькулятор'!$G$7="30/360"),AND(MONTH(F676)=2,EOMONTH(F676,0)=F676)),IF(DAY(F676)=28,3,2),1)*IF(G676&gt;='депозитный калькулятор'!$G$11,IF(AND('депозитный калькулятор'!$G$7="факт/факт",MOD(YEAR(F676),4)=0),G676*'депозитный калькулятор'!$D$11/366,G676*'депозитный калькулятор'!$G$8),0))</f>
        <v xml:space="preserve"> </v>
      </c>
      <c r="R676" s="158"/>
      <c r="S676" s="62" t="str">
        <f t="shared" ca="1" si="52"/>
        <v xml:space="preserve"> </v>
      </c>
      <c r="T676" s="149" t="str">
        <f ca="1">IF(S676=" "," ",IF('депозитный калькулятор'!$G$7="30/360",DAYS360(U675,IF(DAY(U676)=31,U676-1,U676))+IF(AND(MONTH(U676)=2,U676=EOMONTH(U676,0)),30-DAY(EOMONTH(U676,0)))+T675,VLOOKUP(S676,$C$22:$F$1023,2,0)))</f>
        <v xml:space="preserve"> </v>
      </c>
      <c r="U676" s="64" t="str">
        <f t="shared" ca="1" si="50"/>
        <v xml:space="preserve"> </v>
      </c>
      <c r="V676" s="150" t="str">
        <f t="shared" ca="1" si="53"/>
        <v xml:space="preserve"> </v>
      </c>
      <c r="W676" s="62" t="str">
        <f t="shared" ca="1" si="54"/>
        <v xml:space="preserve"> </v>
      </c>
      <c r="X676" s="141" t="str">
        <f ca="1">IF(S676=" "," ",IFERROR(VLOOKUP(U676,$F$23:$N$1023,7)+VLOOKUP(U676,$F$23:$N$1023,9)+IF(AND('депозитный калькулятор'!$G$13="нет",U676&lt;&gt;'депозитный калькулятор'!$D$8),VLOOKUP(U676,$F$23:$N$1023,4),0),0)+IF(U676='депозитный калькулятор'!$D$8,VLOOKUP(U676,$F$23:$N$1023,2)+VLOOKUP(U676,$F$23:$N$1023,4),0))</f>
        <v xml:space="preserve"> </v>
      </c>
      <c r="Y676" s="142" t="str">
        <f ca="1">IF(S676=" "," ",W676/(1+'депозитный калькулятор'!$K$8)^(T676/IF('депозитный калькулятор'!$G$7="30/360",360,365)))</f>
        <v xml:space="preserve"> </v>
      </c>
      <c r="Z676" s="142" t="str">
        <f ca="1">IF(S676=" "," ",X676/(1+'депозитный калькулятор'!$K$8)^(T676/IF('депозитный калькулятор'!$G$7="30/360",360,365)))</f>
        <v xml:space="preserve"> </v>
      </c>
      <c r="AA676" s="151"/>
      <c r="AB676" s="151"/>
      <c r="AC676" s="155"/>
      <c r="AD676" s="155"/>
    </row>
    <row r="677" spans="1:30" s="2" customFormat="1" ht="15.5" x14ac:dyDescent="0.35">
      <c r="A677" s="41" t="str">
        <f>IF(F677=" "," ",IF(OR('депозитный калькулятор'!$G$7="30/365",'депозитный калькулятор'!$G$7="30/360"),IF(AND(MONTH(F677)=2,DAY(F677)=DAY(EOMONTH(F677,0))),30-DAY(EOMONTH(F677,0)),IF(DAY(F677)=31,1," "))," "))</f>
        <v xml:space="preserve"> </v>
      </c>
      <c r="B677" s="130" t="str">
        <f t="shared" si="51"/>
        <v xml:space="preserve"> </v>
      </c>
      <c r="C677" s="130" t="str">
        <f>IF(OR(B677=0,B677=" ")," ",SUM($B$23:B677))</f>
        <v xml:space="preserve"> </v>
      </c>
      <c r="D677" s="62" t="str">
        <f>IF(D676=" "," ",IF(OR(F676='депозитный калькулятор'!$D$8,F676=" ")," ",D676+1))</f>
        <v xml:space="preserve"> </v>
      </c>
      <c r="E677" s="130" t="str">
        <f>IF(OR(F676='депозитный калькулятор'!$D$8,F676=" ")," ",IF(EOMONTH(F676,0)=F676,1,E676+1))</f>
        <v xml:space="preserve"> </v>
      </c>
      <c r="F677" s="64" t="str">
        <f>IF(F676=" "," ",IF(F676='депозитный калькулятор'!$D$8," ",F676+1))</f>
        <v xml:space="preserve"> </v>
      </c>
      <c r="G677" s="145" t="str">
        <f xml:space="preserve"> IF(F677&gt;'депозитный калькулятор'!$D$8," ",IF('депозитный калькулятор'!$G$13="есть",IF('депозитный калькулятор'!$G$14="есть",G676+IF(I676=" ",0,I676)-J677-K677+L677+M677-N677,G676+IF(I676=" ",0,I676)-J677-K677+M677-N677),IF('депозитный калькулятор'!$G$14="есть",G676-J677-K677+L677+M677-N677,G676-J677-K677+M677-N677)))</f>
        <v xml:space="preserve"> </v>
      </c>
      <c r="H677" s="133" t="str">
        <f>IF(F677&gt;'депозитный калькулятор'!$D$8," ",IF(AND(OR('депозитный калькулятор'!$G$7="30/365",'депозитный калькулятор'!$G$7="30/360"),AND(MONTH(F677)=2,EOMONTH(F677,0)=F677)),IF(DAY(F677)=28,3*G677*'депозитный калькулятор'!$G$8,2*G677*'депозитный калькулятор'!$G$8),IF(AND(OR('депозитный калькулятор'!$G$7="30/365",'депозитный калькулятор'!$G$7="30/360"),DAY(F677)=31)," ",IF(AND('депозитный калькулятор'!$G$7="факт/факт",MOD(YEAR(F677),4)=0),G677*'депозитный калькулятор'!$D$11/366,G677*'депозитный калькулятор'!$G$8))))</f>
        <v xml:space="preserve"> </v>
      </c>
      <c r="I677" s="134" t="str">
        <f ca="1">IF(F677=" "," ",IF('депозитный калькулятор'!$G$10="ежедневное",H677,IF(AND('депозитный калькулятор'!$G$10="еженедельное",WEEKDAY(F677,2)=7),SUM(OFFSET(H677,-6,0):H677),IF(AND('депозитный калькулятор'!$G$10="еженедельное",F677='депозитный калькулятор'!$D$8),SUM($H$23:H677)-SUM($I$23:I676),IF(AND('депозитный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недели",WEEKDAY(F677,2)=7),MIN(OFFSET(H677,-6,0):H677)*(COUNTIF(OFFSET(H677,-6,0):H677,"&gt;0")+SUMIF(OFFSET(A677,-WEEKDAY(F677,2),0):A677,"=2",OFFSET(A677,-WEEKDAY(F677,2),0):A677)),IF(AND('депозитный калькулятор'!$G$10="еженедельное, на минимальную сумму зафиксированную в течение недели",F677='депозитный калькулятор'!$D$8,WEEKDAY(F677,2)&lt;&gt;7),MIN(OFFSET(H677,-WEEKDAY(F677,2),0):H677)*(COUNTIF(OFFSET(H677,-WEEKDAY(F677,2)+1,0):H677,"&gt;0")+SUM(OFFSET(A677,-WEEKDAY(F677,2),0):A677)),IF(AND('депозитный калькулятор'!$G$10="ежемесячное (в конце месяца)",F677='депозитный калькулятор'!$D$8,EOMONTH(F677,0)&lt;&gt;F677),IF('депозитный калькулятор'!$F$1=1,$H$24,SUM($H$23:H677)-SUM($I$23:I676)),IF(AND('депозитный калькулятор'!$G$10="ежемесячное (в конце месяца)",EOMONTH(F677,0)=F677),SUM($H$23:H677)-SUM($I$23:I676),IF(AND('депозитный калькулятор'!$G$10="ежемесячное (по дням открытия вклада)",F677='депозитный калькулятор'!$D$8,DAY('депозитный калькулятор'!$D$7)&lt;&gt;DAY(F677)),IF('депозитный калькулятор'!$F$1=1,$H$24,SUM($H$23:H677)-SUM($I$23:I676)),IF(AND('депозитный калькулятор'!$G$10="ежемесячное (по дням открытия вклада)",DAY('депозитный калькулятор'!$D$7)=DAY(F677)),SUM($H$23:H677)-SUM($I$23:I676),IF(AND('депозитный калькулятор'!$G$10="ежемесячное, на минимальную сумму зафиксированную в течение месяца",F677='депозитный калькулятор'!$D$8,EOMONTH(F677,0)&lt;&gt;F677),IF('депозитный калькулятор'!$F$1=1,$H$24,IF(AND(OR('депозитный калькулятор'!$G$7="30/365",'депозитный калькулятор'!$G$7="30/360"),DAY(F677)=31),0,MIN(OFFSET(H677,-E677+1,0):H677)*(E677+SUMIF(OFFSET(A677,-E677+1,0):A677,"=2",OFFSET(A677,-E677+1,0):A677)))),IF(AND('депозитный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калькулятор'!$G$7="30/360"),DAY(EOMONTH(F677,0))=31),EOMONTH(F677,0)-1=F677,EOMONTH(F677,0)=F677)),IF(IF(AND(OR('депозитный калькулятор'!$G$7="30/365",'депозитный калькулятор'!$G$7="30/360"),DAY(EOMONTH($F$23,0))=31),F677=EOMONTH($F$23,0)-1,F677=EOMONTH($F$23,0)),MIN(OFFSET(H677,-(DAY(F677)-DAY($F$23)),0):H677)*E677,MIN(OFFSET(H677,-(DAY(F677)-1),0):H677)*IF(AND(OR('депозитный калькулятор'!$G$7="30/365",'депозитный калькулятор'!$G$7="30/360"),DAY(F677)&lt;30),30,DAY(F677))),IF(AND('депозитный калькулятор'!$G$10="ежемесячное, на средний остаток в течение месяца, при условии что остаток больше чем ограничение",F677='депозитный калькулятор'!$D$8,EOMONTH(F677,0)&lt;&gt;F677),IF('депозитный калькулятор'!$F$1=1,$H$24,SUM(OFFSET(Q677,-E677+1,0):Q677)),IF(AND('депозитный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калькулятор'!$G$7="30/360"),DAY(EOMONTH(F677,0))=31),EOMONTH(F677,0)-1=F677,EOMONTH(F677,0)=F677)),IF(IF(AND(OR('депозитный калькулятор'!$G$7="30/365",'депозитный калькулятор'!$G$7="30/360"),DAY(EOMONTH($F$24,0))=31),F677=EOMONTH($F$24,0)-1,F677=EOMONTH($F$24,0)),SUM(OFFSET(Q677,-E677+1,0):Q677),SUM(OFFSET(Q677,-E677+1,0):Q677)),IF('депозитный калькулятор'!$G$10="ежеквартальное",IF(F677&gt;'депозитный калькулятор'!$D$8," ",IF(AND(EOMONTH(F677,0)=F677,OR(MONTH(F677)=3,MONTH(F677)=6,MONTH(F677)=9,MONTH(F677)=12)),IF(EDATE(F677,-3)&lt;'депозитный калькулятор'!$D$7,SUM($H$23:H677),IF(MOD(YEAR(F677),4)=0,IF(AND(EOMONTH(F677,0)=F677,OR(MONTH(F677)=3,MONTH(F677)=6)),SUM(OFFSET(H677,-90,0):H677),IF(AND(EOMONTH(F677,0)=F677,OR(MONTH(F677)=9,MONTH(F677)=12)),SUM(OFFSET(H677,-91,0):H677))),IF(AND(EOMONTH(F677,0)=F677,MONTH(F677)=3),SUM(OFFSET(H677,-89,0):H677),IF(AND(EOMONTH(F677,0)=F677,MONTH(F677)=6),SUM(OFFSET(H677,-90,0):H677),IF(AND(EOMONTH(F677,0)=F677,OR(MONTH(F677)=9,MONTH(F677)=12)),SUM(OFFSET(H677,-91,0):H677)))))),IF(F677='депозитный калькулятор'!$D$8,SUM($H$23:H677)-SUM($I$23:I676),0))),IF('депозитный калькулятор'!$G$10="ежегодное",IF(F677&gt;'депозитный калькулятор'!$D$8," ",IF(F677='депозитный калькулятор'!$D$8,SUM($H$23:H677)-SUM($I$23:I676),IF(AND(EOMONTH(F677,0)=F677,MONTH(F677)=12),IF(MOD(YEAR(F676),4)=0,IF(F677-'депозитный калькулятор'!$D$7&lt;366,SUM($H$23:H677),SUM(OFFSET(H677,-365,0):H677)),IF(F677-'депозитный калькулятор'!$D$7&lt;365,SUM($H$23:H677),SUM(OFFSET(H677,-364,0):H677))),0))),IF(AND('депозитный калькулятор'!$G$10="в конце срока",'депозитный калькулятор'!$D$8=F677),SUM($H$23:H677),0))))))))))))))))))</f>
        <v xml:space="preserve"> </v>
      </c>
      <c r="J677" s="59" t="str">
        <f>IF(F677&gt;'депозитный калькулятор'!$D$8," ",IF('депозитный калькулятор'!$G$16="нет",0,IF(AND('депозитный калькулятор'!$G$17="разовая (в конце срока)",F677='депозитный калькулятор'!$D$8),'депозитный калькулятор'!$G$18,IF(AND('депозитный калькулятор'!$G$17="ежемесячная",EOMONTH(F676,0)=F676),'депозитный калькулятор'!$G$18,IF(AND('депозитный калькулятор'!$G$17="ежегодная",DAY(F676)=31,MONTH(F676)=12),'депозитный калькулятор'!$G$18,IF(AND('депозитный калькулятор'!$G$17="ежемесячная в зависимости от остатка",EOMONTH(F676,0)=F676,P676&gt;0),'депозитный калькулятор'!$G$18,IF(AND('депозитный калькулятор'!$G$17="ежегодная в зависимости от остатка",DAY(F676)=31,MONTH(F676)=12,P676&gt;0),'депозитный калькулятор'!$G$18,0)))))))</f>
        <v xml:space="preserve"> </v>
      </c>
      <c r="K677" s="135" t="str">
        <f>IF($F677=" "," ",IFERROR(VLOOKUP($F677,'депозитный калькулятор'!$B$26:$F$70,2,0),0))</f>
        <v xml:space="preserve"> </v>
      </c>
      <c r="L677" s="135" t="str">
        <f>IF($F677=" "," ",IFERROR(VLOOKUP($F677,'депозитный калькулятор'!$B$26:$F$70,3,0),0))</f>
        <v xml:space="preserve"> </v>
      </c>
      <c r="M677" s="135" t="str">
        <f>IF($F677=" "," ",IFERROR(VLOOKUP($F677,'депозитный калькулятор'!$B$26:$F$70,4,0),0))</f>
        <v xml:space="preserve"> </v>
      </c>
      <c r="N677" s="135" t="str">
        <f>IF($F677=" "," ",IFERROR(VLOOKUP($F677,'депозитный калькулятор'!$B$26:$F$70,5,0),0))</f>
        <v xml:space="preserve"> </v>
      </c>
      <c r="O677" s="146" t="str">
        <f>IF(F677&gt;'депозитный калькулятор'!$D$8," ",IF(F677='депозитный калькулятор'!$D$8,IF(AND($F$24='депозитный калькулятор'!$D$8,'депозитный калькулятор'!$G$13="нет"),-G677-IF(I677=" ",0,I677)-IF(AND(OR('депозитный калькулятор'!$G$7="30/365",'депозитный калькулятор'!$G$7="30/360"),'депозитный калькулятор'!$G$10="в начале срока"),I676,0)-L677+M677-N677,-G677-IF(I677=" ",0,I677)-L677+M677-N677),IF('депозитный калькулятор'!$G$13="есть",M677-N677+IF('депозитный калькулятор'!$G$14="есть",0,-L677),-IF(I677=" ",0,I677)-IF(AND(OR('депозитный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срока"),I676,0)+M677-N677+IF('депозитный калькулятор'!$G$14="есть",0,-L677))))</f>
        <v xml:space="preserve"> </v>
      </c>
      <c r="P677" s="147" t="str">
        <f>IF(F677&gt;'депозитный калькулятор'!$D$8," ",IF(EOMONTH(F676,0)=F676,0,IF(G677&gt;='депозитный калькулятор'!$G$19,P676,P676+1)))</f>
        <v xml:space="preserve"> </v>
      </c>
      <c r="Q677" s="138" t="str">
        <f>IF(F677=" "," ",IF(AND(OR('депозитный калькулятор'!$G$7="30/365",'депозитный калькулятор'!$G$7="30/360"),AND(MONTH(F677)=2,EOMONTH(F677,0)=F677)),IF(DAY(F677)=28,3,2),1)*IF(G677&gt;='депозитный калькулятор'!$G$11,IF(AND('депозитный калькулятор'!$G$7="факт/факт",MOD(YEAR(F677),4)=0),G677*'депозитный калькулятор'!$D$11/366,G677*'депозитный калькулятор'!$G$8),0))</f>
        <v xml:space="preserve"> </v>
      </c>
      <c r="R677" s="158"/>
      <c r="S677" s="62" t="str">
        <f t="shared" ca="1" si="52"/>
        <v xml:space="preserve"> </v>
      </c>
      <c r="T677" s="149" t="str">
        <f ca="1">IF(S677=" "," ",IF('депозитный калькулятор'!$G$7="30/360",DAYS360(U676,IF(DAY(U677)=31,U677-1,U677))+IF(AND(MONTH(U677)=2,U677=EOMONTH(U677,0)),30-DAY(EOMONTH(U677,0)))+T676,VLOOKUP(S677,$C$22:$F$1023,2,0)))</f>
        <v xml:space="preserve"> </v>
      </c>
      <c r="U677" s="64" t="str">
        <f t="shared" ca="1" si="50"/>
        <v xml:space="preserve"> </v>
      </c>
      <c r="V677" s="150" t="str">
        <f t="shared" ca="1" si="53"/>
        <v xml:space="preserve"> </v>
      </c>
      <c r="W677" s="62" t="str">
        <f t="shared" ca="1" si="54"/>
        <v xml:space="preserve"> </v>
      </c>
      <c r="X677" s="141" t="str">
        <f ca="1">IF(S677=" "," ",IFERROR(VLOOKUP(U677,$F$23:$N$1023,7)+VLOOKUP(U677,$F$23:$N$1023,9)+IF(AND('депозитный калькулятор'!$G$13="нет",U677&lt;&gt;'депозитный калькулятор'!$D$8),VLOOKUP(U677,$F$23:$N$1023,4),0),0)+IF(U677='депозитный калькулятор'!$D$8,VLOOKUP(U677,$F$23:$N$1023,2)+VLOOKUP(U677,$F$23:$N$1023,4),0))</f>
        <v xml:space="preserve"> </v>
      </c>
      <c r="Y677" s="142" t="str">
        <f ca="1">IF(S677=" "," ",W677/(1+'депозитный калькулятор'!$K$8)^(T677/IF('депозитный калькулятор'!$G$7="30/360",360,365)))</f>
        <v xml:space="preserve"> </v>
      </c>
      <c r="Z677" s="142" t="str">
        <f ca="1">IF(S677=" "," ",X677/(1+'депозитный калькулятор'!$K$8)^(T677/IF('депозитный калькулятор'!$G$7="30/360",360,365)))</f>
        <v xml:space="preserve"> </v>
      </c>
      <c r="AA677" s="151"/>
      <c r="AB677" s="151"/>
      <c r="AC677" s="155"/>
      <c r="AD677" s="155"/>
    </row>
    <row r="678" spans="1:30" s="2" customFormat="1" ht="15.5" x14ac:dyDescent="0.35">
      <c r="A678" s="41" t="str">
        <f>IF(F678=" "," ",IF(OR('депозитный калькулятор'!$G$7="30/365",'депозитный калькулятор'!$G$7="30/360"),IF(AND(MONTH(F678)=2,DAY(F678)=DAY(EOMONTH(F678,0))),30-DAY(EOMONTH(F678,0)),IF(DAY(F678)=31,1," "))," "))</f>
        <v xml:space="preserve"> </v>
      </c>
      <c r="B678" s="130" t="str">
        <f t="shared" si="51"/>
        <v xml:space="preserve"> </v>
      </c>
      <c r="C678" s="130" t="str">
        <f>IF(OR(B678=0,B678=" ")," ",SUM($B$23:B678))</f>
        <v xml:space="preserve"> </v>
      </c>
      <c r="D678" s="62" t="str">
        <f>IF(D677=" "," ",IF(OR(F677='депозитный калькулятор'!$D$8,F677=" ")," ",D677+1))</f>
        <v xml:space="preserve"> </v>
      </c>
      <c r="E678" s="130" t="str">
        <f>IF(OR(F677='депозитный калькулятор'!$D$8,F677=" ")," ",IF(EOMONTH(F677,0)=F677,1,E677+1))</f>
        <v xml:space="preserve"> </v>
      </c>
      <c r="F678" s="64" t="str">
        <f>IF(F677=" "," ",IF(F677='депозитный калькулятор'!$D$8," ",F677+1))</f>
        <v xml:space="preserve"> </v>
      </c>
      <c r="G678" s="145" t="str">
        <f xml:space="preserve"> IF(F678&gt;'депозитный калькулятор'!$D$8," ",IF('депозитный калькулятор'!$G$13="есть",IF('депозитный калькулятор'!$G$14="есть",G677+IF(I677=" ",0,I677)-J678-K678+L678+M678-N678,G677+IF(I677=" ",0,I677)-J678-K678+M678-N678),IF('депозитный калькулятор'!$G$14="есть",G677-J678-K678+L678+M678-N678,G677-J678-K678+M678-N678)))</f>
        <v xml:space="preserve"> </v>
      </c>
      <c r="H678" s="133" t="str">
        <f>IF(F678&gt;'депозитный калькулятор'!$D$8," ",IF(AND(OR('депозитный калькулятор'!$G$7="30/365",'депозитный калькулятор'!$G$7="30/360"),AND(MONTH(F678)=2,EOMONTH(F678,0)=F678)),IF(DAY(F678)=28,3*G678*'депозитный калькулятор'!$G$8,2*G678*'депозитный калькулятор'!$G$8),IF(AND(OR('депозитный калькулятор'!$G$7="30/365",'депозитный калькулятор'!$G$7="30/360"),DAY(F678)=31)," ",IF(AND('депозитный калькулятор'!$G$7="факт/факт",MOD(YEAR(F678),4)=0),G678*'депозитный калькулятор'!$D$11/366,G678*'депозитный калькулятор'!$G$8))))</f>
        <v xml:space="preserve"> </v>
      </c>
      <c r="I678" s="134" t="str">
        <f ca="1">IF(F678=" "," ",IF('депозитный калькулятор'!$G$10="ежедневное",H678,IF(AND('депозитный калькулятор'!$G$10="еженедельное",WEEKDAY(F678,2)=7),SUM(OFFSET(H678,-6,0):H678),IF(AND('депозитный калькулятор'!$G$10="еженедельное",F678='депозитный калькулятор'!$D$8),SUM($H$23:H678)-SUM($I$23:I677),IF(AND('депозитный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недели",WEEKDAY(F678,2)=7),MIN(OFFSET(H678,-6,0):H678)*(COUNTIF(OFFSET(H678,-6,0):H678,"&gt;0")+SUMIF(OFFSET(A678,-WEEKDAY(F678,2),0):A678,"=2",OFFSET(A678,-WEEKDAY(F678,2),0):A678)),IF(AND('депозитный калькулятор'!$G$10="еженедельное, на минимальную сумму зафиксированную в течение недели",F678='депозитный калькулятор'!$D$8,WEEKDAY(F678,2)&lt;&gt;7),MIN(OFFSET(H678,-WEEKDAY(F678,2),0):H678)*(COUNTIF(OFFSET(H678,-WEEKDAY(F678,2)+1,0):H678,"&gt;0")+SUM(OFFSET(A678,-WEEKDAY(F678,2),0):A678)),IF(AND('депозитный калькулятор'!$G$10="ежемесячное (в конце месяца)",F678='депозитный калькулятор'!$D$8,EOMONTH(F678,0)&lt;&gt;F678),IF('депозитный калькулятор'!$F$1=1,$H$24,SUM($H$23:H678)-SUM($I$23:I677)),IF(AND('депозитный калькулятор'!$G$10="ежемесячное (в конце месяца)",EOMONTH(F678,0)=F678),SUM($H$23:H678)-SUM($I$23:I677),IF(AND('депозитный калькулятор'!$G$10="ежемесячное (по дням открытия вклада)",F678='депозитный калькулятор'!$D$8,DAY('депозитный калькулятор'!$D$7)&lt;&gt;DAY(F678)),IF('депозитный калькулятор'!$F$1=1,$H$24,SUM($H$23:H678)-SUM($I$23:I677)),IF(AND('депозитный калькулятор'!$G$10="ежемесячное (по дням открытия вклада)",DAY('депозитный калькулятор'!$D$7)=DAY(F678)),SUM($H$23:H678)-SUM($I$23:I677),IF(AND('депозитный калькулятор'!$G$10="ежемесячное, на минимальную сумму зафиксированную в течение месяца",F678='депозитный калькулятор'!$D$8,EOMONTH(F678,0)&lt;&gt;F678),IF('депозитный калькулятор'!$F$1=1,$H$24,IF(AND(OR('депозитный калькулятор'!$G$7="30/365",'депозитный калькулятор'!$G$7="30/360"),DAY(F678)=31),0,MIN(OFFSET(H678,-E678+1,0):H678)*(E678+SUMIF(OFFSET(A678,-E678+1,0):A678,"=2",OFFSET(A678,-E678+1,0):A678)))),IF(AND('депозитный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калькулятор'!$G$7="30/360"),DAY(EOMONTH(F678,0))=31),EOMONTH(F678,0)-1=F678,EOMONTH(F678,0)=F678)),IF(IF(AND(OR('депозитный калькулятор'!$G$7="30/365",'депозитный калькулятор'!$G$7="30/360"),DAY(EOMONTH($F$23,0))=31),F678=EOMONTH($F$23,0)-1,F678=EOMONTH($F$23,0)),MIN(OFFSET(H678,-(DAY(F678)-DAY($F$23)),0):H678)*E678,MIN(OFFSET(H678,-(DAY(F678)-1),0):H678)*IF(AND(OR('депозитный калькулятор'!$G$7="30/365",'депозитный калькулятор'!$G$7="30/360"),DAY(F678)&lt;30),30,DAY(F678))),IF(AND('депозитный калькулятор'!$G$10="ежемесячное, на средний остаток в течение месяца, при условии что остаток больше чем ограничение",F678='депозитный калькулятор'!$D$8,EOMONTH(F678,0)&lt;&gt;F678),IF('депозитный калькулятор'!$F$1=1,$H$24,SUM(OFFSET(Q678,-E678+1,0):Q678)),IF(AND('депозитный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калькулятор'!$G$7="30/360"),DAY(EOMONTH(F678,0))=31),EOMONTH(F678,0)-1=F678,EOMONTH(F678,0)=F678)),IF(IF(AND(OR('депозитный калькулятор'!$G$7="30/365",'депозитный калькулятор'!$G$7="30/360"),DAY(EOMONTH($F$24,0))=31),F678=EOMONTH($F$24,0)-1,F678=EOMONTH($F$24,0)),SUM(OFFSET(Q678,-E678+1,0):Q678),SUM(OFFSET(Q678,-E678+1,0):Q678)),IF('депозитный калькулятор'!$G$10="ежеквартальное",IF(F678&gt;'депозитный калькулятор'!$D$8," ",IF(AND(EOMONTH(F678,0)=F678,OR(MONTH(F678)=3,MONTH(F678)=6,MONTH(F678)=9,MONTH(F678)=12)),IF(EDATE(F678,-3)&lt;'депозитный калькулятор'!$D$7,SUM($H$23:H678),IF(MOD(YEAR(F678),4)=0,IF(AND(EOMONTH(F678,0)=F678,OR(MONTH(F678)=3,MONTH(F678)=6)),SUM(OFFSET(H678,-90,0):H678),IF(AND(EOMONTH(F678,0)=F678,OR(MONTH(F678)=9,MONTH(F678)=12)),SUM(OFFSET(H678,-91,0):H678))),IF(AND(EOMONTH(F678,0)=F678,MONTH(F678)=3),SUM(OFFSET(H678,-89,0):H678),IF(AND(EOMONTH(F678,0)=F678,MONTH(F678)=6),SUM(OFFSET(H678,-90,0):H678),IF(AND(EOMONTH(F678,0)=F678,OR(MONTH(F678)=9,MONTH(F678)=12)),SUM(OFFSET(H678,-91,0):H678)))))),IF(F678='депозитный калькулятор'!$D$8,SUM($H$23:H678)-SUM($I$23:I677),0))),IF('депозитный калькулятор'!$G$10="ежегодное",IF(F678&gt;'депозитный калькулятор'!$D$8," ",IF(F678='депозитный калькулятор'!$D$8,SUM($H$23:H678)-SUM($I$23:I677),IF(AND(EOMONTH(F678,0)=F678,MONTH(F678)=12),IF(MOD(YEAR(F677),4)=0,IF(F678-'депозитный калькулятор'!$D$7&lt;366,SUM($H$23:H678),SUM(OFFSET(H678,-365,0):H678)),IF(F678-'депозитный калькулятор'!$D$7&lt;365,SUM($H$23:H678),SUM(OFFSET(H678,-364,0):H678))),0))),IF(AND('депозитный калькулятор'!$G$10="в конце срока",'депозитный калькулятор'!$D$8=F678),SUM($H$23:H678),0))))))))))))))))))</f>
        <v xml:space="preserve"> </v>
      </c>
      <c r="J678" s="59" t="str">
        <f>IF(F678&gt;'депозитный калькулятор'!$D$8," ",IF('депозитный калькулятор'!$G$16="нет",0,IF(AND('депозитный калькулятор'!$G$17="разовая (в конце срока)",F678='депозитный калькулятор'!$D$8),'депозитный калькулятор'!$G$18,IF(AND('депозитный калькулятор'!$G$17="ежемесячная",EOMONTH(F677,0)=F677),'депозитный калькулятор'!$G$18,IF(AND('депозитный калькулятор'!$G$17="ежегодная",DAY(F677)=31,MONTH(F677)=12),'депозитный калькулятор'!$G$18,IF(AND('депозитный калькулятор'!$G$17="ежемесячная в зависимости от остатка",EOMONTH(F677,0)=F677,P677&gt;0),'депозитный калькулятор'!$G$18,IF(AND('депозитный калькулятор'!$G$17="ежегодная в зависимости от остатка",DAY(F677)=31,MONTH(F677)=12,P677&gt;0),'депозитный калькулятор'!$G$18,0)))))))</f>
        <v xml:space="preserve"> </v>
      </c>
      <c r="K678" s="135" t="str">
        <f>IF($F678=" "," ",IFERROR(VLOOKUP($F678,'депозитный калькулятор'!$B$26:$F$70,2,0),0))</f>
        <v xml:space="preserve"> </v>
      </c>
      <c r="L678" s="135" t="str">
        <f>IF($F678=" "," ",IFERROR(VLOOKUP($F678,'депозитный калькулятор'!$B$26:$F$70,3,0),0))</f>
        <v xml:space="preserve"> </v>
      </c>
      <c r="M678" s="135" t="str">
        <f>IF($F678=" "," ",IFERROR(VLOOKUP($F678,'депозитный калькулятор'!$B$26:$F$70,4,0),0))</f>
        <v xml:space="preserve"> </v>
      </c>
      <c r="N678" s="135" t="str">
        <f>IF($F678=" "," ",IFERROR(VLOOKUP($F678,'депозитный калькулятор'!$B$26:$F$70,5,0),0))</f>
        <v xml:space="preserve"> </v>
      </c>
      <c r="O678" s="146" t="str">
        <f>IF(F678&gt;'депозитный калькулятор'!$D$8," ",IF(F678='депозитный калькулятор'!$D$8,IF(AND($F$24='депозитный калькулятор'!$D$8,'депозитный калькулятор'!$G$13="нет"),-G678-IF(I678=" ",0,I678)-IF(AND(OR('депозитный калькулятор'!$G$7="30/365",'депозитный калькулятор'!$G$7="30/360"),'депозитный калькулятор'!$G$10="в начале срока"),I677,0)-L678+M678-N678,-G678-IF(I678=" ",0,I678)-L678+M678-N678),IF('депозитный калькулятор'!$G$13="есть",M678-N678+IF('депозитный калькулятор'!$G$14="есть",0,-L678),-IF(I678=" ",0,I678)-IF(AND(OR('депозитный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срока"),I677,0)+M678-N678+IF('депозитный калькулятор'!$G$14="есть",0,-L678))))</f>
        <v xml:space="preserve"> </v>
      </c>
      <c r="P678" s="147" t="str">
        <f>IF(F678&gt;'депозитный калькулятор'!$D$8," ",IF(EOMONTH(F677,0)=F677,0,IF(G678&gt;='депозитный калькулятор'!$G$19,P677,P677+1)))</f>
        <v xml:space="preserve"> </v>
      </c>
      <c r="Q678" s="138" t="str">
        <f>IF(F678=" "," ",IF(AND(OR('депозитный калькулятор'!$G$7="30/365",'депозитный калькулятор'!$G$7="30/360"),AND(MONTH(F678)=2,EOMONTH(F678,0)=F678)),IF(DAY(F678)=28,3,2),1)*IF(G678&gt;='депозитный калькулятор'!$G$11,IF(AND('депозитный калькулятор'!$G$7="факт/факт",MOD(YEAR(F678),4)=0),G678*'депозитный калькулятор'!$D$11/366,G678*'депозитный калькулятор'!$G$8),0))</f>
        <v xml:space="preserve"> </v>
      </c>
      <c r="R678" s="158"/>
      <c r="S678" s="62" t="str">
        <f t="shared" ca="1" si="52"/>
        <v xml:space="preserve"> </v>
      </c>
      <c r="T678" s="149" t="str">
        <f ca="1">IF(S678=" "," ",IF('депозитный калькулятор'!$G$7="30/360",DAYS360(U677,IF(DAY(U678)=31,U678-1,U678))+IF(AND(MONTH(U678)=2,U678=EOMONTH(U678,0)),30-DAY(EOMONTH(U678,0)))+T677,VLOOKUP(S678,$C$22:$F$1023,2,0)))</f>
        <v xml:space="preserve"> </v>
      </c>
      <c r="U678" s="64" t="str">
        <f t="shared" ca="1" si="50"/>
        <v xml:space="preserve"> </v>
      </c>
      <c r="V678" s="150" t="str">
        <f t="shared" ca="1" si="53"/>
        <v xml:space="preserve"> </v>
      </c>
      <c r="W678" s="62" t="str">
        <f t="shared" ca="1" si="54"/>
        <v xml:space="preserve"> </v>
      </c>
      <c r="X678" s="141" t="str">
        <f ca="1">IF(S678=" "," ",IFERROR(VLOOKUP(U678,$F$23:$N$1023,7)+VLOOKUP(U678,$F$23:$N$1023,9)+IF(AND('депозитный калькулятор'!$G$13="нет",U678&lt;&gt;'депозитный калькулятор'!$D$8),VLOOKUP(U678,$F$23:$N$1023,4),0),0)+IF(U678='депозитный калькулятор'!$D$8,VLOOKUP(U678,$F$23:$N$1023,2)+VLOOKUP(U678,$F$23:$N$1023,4),0))</f>
        <v xml:space="preserve"> </v>
      </c>
      <c r="Y678" s="142" t="str">
        <f ca="1">IF(S678=" "," ",W678/(1+'депозитный калькулятор'!$K$8)^(T678/IF('депозитный калькулятор'!$G$7="30/360",360,365)))</f>
        <v xml:space="preserve"> </v>
      </c>
      <c r="Z678" s="142" t="str">
        <f ca="1">IF(S678=" "," ",X678/(1+'депозитный калькулятор'!$K$8)^(T678/IF('депозитный калькулятор'!$G$7="30/360",360,365)))</f>
        <v xml:space="preserve"> </v>
      </c>
      <c r="AA678" s="151"/>
      <c r="AB678" s="151"/>
      <c r="AC678" s="155"/>
      <c r="AD678" s="155"/>
    </row>
    <row r="679" spans="1:30" s="2" customFormat="1" ht="15.5" x14ac:dyDescent="0.35">
      <c r="A679" s="41" t="str">
        <f>IF(F679=" "," ",IF(OR('депозитный калькулятор'!$G$7="30/365",'депозитный калькулятор'!$G$7="30/360"),IF(AND(MONTH(F679)=2,DAY(F679)=DAY(EOMONTH(F679,0))),30-DAY(EOMONTH(F679,0)),IF(DAY(F679)=31,1," "))," "))</f>
        <v xml:space="preserve"> </v>
      </c>
      <c r="B679" s="130" t="str">
        <f t="shared" si="51"/>
        <v xml:space="preserve"> </v>
      </c>
      <c r="C679" s="130" t="str">
        <f>IF(OR(B679=0,B679=" ")," ",SUM($B$23:B679))</f>
        <v xml:space="preserve"> </v>
      </c>
      <c r="D679" s="62" t="str">
        <f>IF(D678=" "," ",IF(OR(F678='депозитный калькулятор'!$D$8,F678=" ")," ",D678+1))</f>
        <v xml:space="preserve"> </v>
      </c>
      <c r="E679" s="130" t="str">
        <f>IF(OR(F678='депозитный калькулятор'!$D$8,F678=" ")," ",IF(EOMONTH(F678,0)=F678,1,E678+1))</f>
        <v xml:space="preserve"> </v>
      </c>
      <c r="F679" s="64" t="str">
        <f>IF(F678=" "," ",IF(F678='депозитный калькулятор'!$D$8," ",F678+1))</f>
        <v xml:space="preserve"> </v>
      </c>
      <c r="G679" s="145" t="str">
        <f xml:space="preserve"> IF(F679&gt;'депозитный калькулятор'!$D$8," ",IF('депозитный калькулятор'!$G$13="есть",IF('депозитный калькулятор'!$G$14="есть",G678+IF(I678=" ",0,I678)-J679-K679+L679+M679-N679,G678+IF(I678=" ",0,I678)-J679-K679+M679-N679),IF('депозитный калькулятор'!$G$14="есть",G678-J679-K679+L679+M679-N679,G678-J679-K679+M679-N679)))</f>
        <v xml:space="preserve"> </v>
      </c>
      <c r="H679" s="133" t="str">
        <f>IF(F679&gt;'депозитный калькулятор'!$D$8," ",IF(AND(OR('депозитный калькулятор'!$G$7="30/365",'депозитный калькулятор'!$G$7="30/360"),AND(MONTH(F679)=2,EOMONTH(F679,0)=F679)),IF(DAY(F679)=28,3*G679*'депозитный калькулятор'!$G$8,2*G679*'депозитный калькулятор'!$G$8),IF(AND(OR('депозитный калькулятор'!$G$7="30/365",'депозитный калькулятор'!$G$7="30/360"),DAY(F679)=31)," ",IF(AND('депозитный калькулятор'!$G$7="факт/факт",MOD(YEAR(F679),4)=0),G679*'депозитный калькулятор'!$D$11/366,G679*'депозитный калькулятор'!$G$8))))</f>
        <v xml:space="preserve"> </v>
      </c>
      <c r="I679" s="134" t="str">
        <f ca="1">IF(F679=" "," ",IF('депозитный калькулятор'!$G$10="ежедневное",H679,IF(AND('депозитный калькулятор'!$G$10="еженедельное",WEEKDAY(F679,2)=7),SUM(OFFSET(H679,-6,0):H679),IF(AND('депозитный калькулятор'!$G$10="еженедельное",F679='депозитный калькулятор'!$D$8),SUM($H$23:H679)-SUM($I$23:I678),IF(AND('депозитный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недели",WEEKDAY(F679,2)=7),MIN(OFFSET(H679,-6,0):H679)*(COUNTIF(OFFSET(H679,-6,0):H679,"&gt;0")+SUMIF(OFFSET(A679,-WEEKDAY(F679,2),0):A679,"=2",OFFSET(A679,-WEEKDAY(F679,2),0):A679)),IF(AND('депозитный калькулятор'!$G$10="еженедельное, на минимальную сумму зафиксированную в течение недели",F679='депозитный калькулятор'!$D$8,WEEKDAY(F679,2)&lt;&gt;7),MIN(OFFSET(H679,-WEEKDAY(F679,2),0):H679)*(COUNTIF(OFFSET(H679,-WEEKDAY(F679,2)+1,0):H679,"&gt;0")+SUM(OFFSET(A679,-WEEKDAY(F679,2),0):A679)),IF(AND('депозитный калькулятор'!$G$10="ежемесячное (в конце месяца)",F679='депозитный калькулятор'!$D$8,EOMONTH(F679,0)&lt;&gt;F679),IF('депозитный калькулятор'!$F$1=1,$H$24,SUM($H$23:H679)-SUM($I$23:I678)),IF(AND('депозитный калькулятор'!$G$10="ежемесячное (в конце месяца)",EOMONTH(F679,0)=F679),SUM($H$23:H679)-SUM($I$23:I678),IF(AND('депозитный калькулятор'!$G$10="ежемесячное (по дням открытия вклада)",F679='депозитный калькулятор'!$D$8,DAY('депозитный калькулятор'!$D$7)&lt;&gt;DAY(F679)),IF('депозитный калькулятор'!$F$1=1,$H$24,SUM($H$23:H679)-SUM($I$23:I678)),IF(AND('депозитный калькулятор'!$G$10="ежемесячное (по дням открытия вклада)",DAY('депозитный калькулятор'!$D$7)=DAY(F679)),SUM($H$23:H679)-SUM($I$23:I678),IF(AND('депозитный калькулятор'!$G$10="ежемесячное, на минимальную сумму зафиксированную в течение месяца",F679='депозитный калькулятор'!$D$8,EOMONTH(F679,0)&lt;&gt;F679),IF('депозитный калькулятор'!$F$1=1,$H$24,IF(AND(OR('депозитный калькулятор'!$G$7="30/365",'депозитный калькулятор'!$G$7="30/360"),DAY(F679)=31),0,MIN(OFFSET(H679,-E679+1,0):H679)*(E679+SUMIF(OFFSET(A679,-E679+1,0):A679,"=2",OFFSET(A679,-E679+1,0):A679)))),IF(AND('депозитный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калькулятор'!$G$7="30/360"),DAY(EOMONTH(F679,0))=31),EOMONTH(F679,0)-1=F679,EOMONTH(F679,0)=F679)),IF(IF(AND(OR('депозитный калькулятор'!$G$7="30/365",'депозитный калькулятор'!$G$7="30/360"),DAY(EOMONTH($F$23,0))=31),F679=EOMONTH($F$23,0)-1,F679=EOMONTH($F$23,0)),MIN(OFFSET(H679,-(DAY(F679)-DAY($F$23)),0):H679)*E679,MIN(OFFSET(H679,-(DAY(F679)-1),0):H679)*IF(AND(OR('депозитный калькулятор'!$G$7="30/365",'депозитный калькулятор'!$G$7="30/360"),DAY(F679)&lt;30),30,DAY(F679))),IF(AND('депозитный калькулятор'!$G$10="ежемесячное, на средний остаток в течение месяца, при условии что остаток больше чем ограничение",F679='депозитный калькулятор'!$D$8,EOMONTH(F679,0)&lt;&gt;F679),IF('депозитный калькулятор'!$F$1=1,$H$24,SUM(OFFSET(Q679,-E679+1,0):Q679)),IF(AND('депозитный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калькулятор'!$G$7="30/360"),DAY(EOMONTH(F679,0))=31),EOMONTH(F679,0)-1=F679,EOMONTH(F679,0)=F679)),IF(IF(AND(OR('депозитный калькулятор'!$G$7="30/365",'депозитный калькулятор'!$G$7="30/360"),DAY(EOMONTH($F$24,0))=31),F679=EOMONTH($F$24,0)-1,F679=EOMONTH($F$24,0)),SUM(OFFSET(Q679,-E679+1,0):Q679),SUM(OFFSET(Q679,-E679+1,0):Q679)),IF('депозитный калькулятор'!$G$10="ежеквартальное",IF(F679&gt;'депозитный калькулятор'!$D$8," ",IF(AND(EOMONTH(F679,0)=F679,OR(MONTH(F679)=3,MONTH(F679)=6,MONTH(F679)=9,MONTH(F679)=12)),IF(EDATE(F679,-3)&lt;'депозитный калькулятор'!$D$7,SUM($H$23:H679),IF(MOD(YEAR(F679),4)=0,IF(AND(EOMONTH(F679,0)=F679,OR(MONTH(F679)=3,MONTH(F679)=6)),SUM(OFFSET(H679,-90,0):H679),IF(AND(EOMONTH(F679,0)=F679,OR(MONTH(F679)=9,MONTH(F679)=12)),SUM(OFFSET(H679,-91,0):H679))),IF(AND(EOMONTH(F679,0)=F679,MONTH(F679)=3),SUM(OFFSET(H679,-89,0):H679),IF(AND(EOMONTH(F679,0)=F679,MONTH(F679)=6),SUM(OFFSET(H679,-90,0):H679),IF(AND(EOMONTH(F679,0)=F679,OR(MONTH(F679)=9,MONTH(F679)=12)),SUM(OFFSET(H679,-91,0):H679)))))),IF(F679='депозитный калькулятор'!$D$8,SUM($H$23:H679)-SUM($I$23:I678),0))),IF('депозитный калькулятор'!$G$10="ежегодное",IF(F679&gt;'депозитный калькулятор'!$D$8," ",IF(F679='депозитный калькулятор'!$D$8,SUM($H$23:H679)-SUM($I$23:I678),IF(AND(EOMONTH(F679,0)=F679,MONTH(F679)=12),IF(MOD(YEAR(F678),4)=0,IF(F679-'депозитный калькулятор'!$D$7&lt;366,SUM($H$23:H679),SUM(OFFSET(H679,-365,0):H679)),IF(F679-'депозитный калькулятор'!$D$7&lt;365,SUM($H$23:H679),SUM(OFFSET(H679,-364,0):H679))),0))),IF(AND('депозитный калькулятор'!$G$10="в конце срока",'депозитный калькулятор'!$D$8=F679),SUM($H$23:H679),0))))))))))))))))))</f>
        <v xml:space="preserve"> </v>
      </c>
      <c r="J679" s="59" t="str">
        <f>IF(F679&gt;'депозитный калькулятор'!$D$8," ",IF('депозитный калькулятор'!$G$16="нет",0,IF(AND('депозитный калькулятор'!$G$17="разовая (в конце срока)",F679='депозитный калькулятор'!$D$8),'депозитный калькулятор'!$G$18,IF(AND('депозитный калькулятор'!$G$17="ежемесячная",EOMONTH(F678,0)=F678),'депозитный калькулятор'!$G$18,IF(AND('депозитный калькулятор'!$G$17="ежегодная",DAY(F678)=31,MONTH(F678)=12),'депозитный калькулятор'!$G$18,IF(AND('депозитный калькулятор'!$G$17="ежемесячная в зависимости от остатка",EOMONTH(F678,0)=F678,P678&gt;0),'депозитный калькулятор'!$G$18,IF(AND('депозитный калькулятор'!$G$17="ежегодная в зависимости от остатка",DAY(F678)=31,MONTH(F678)=12,P678&gt;0),'депозитный калькулятор'!$G$18,0)))))))</f>
        <v xml:space="preserve"> </v>
      </c>
      <c r="K679" s="135" t="str">
        <f>IF($F679=" "," ",IFERROR(VLOOKUP($F679,'депозитный калькулятор'!$B$26:$F$70,2,0),0))</f>
        <v xml:space="preserve"> </v>
      </c>
      <c r="L679" s="135" t="str">
        <f>IF($F679=" "," ",IFERROR(VLOOKUP($F679,'депозитный калькулятор'!$B$26:$F$70,3,0),0))</f>
        <v xml:space="preserve"> </v>
      </c>
      <c r="M679" s="135" t="str">
        <f>IF($F679=" "," ",IFERROR(VLOOKUP($F679,'депозитный калькулятор'!$B$26:$F$70,4,0),0))</f>
        <v xml:space="preserve"> </v>
      </c>
      <c r="N679" s="135" t="str">
        <f>IF($F679=" "," ",IFERROR(VLOOKUP($F679,'депозитный калькулятор'!$B$26:$F$70,5,0),0))</f>
        <v xml:space="preserve"> </v>
      </c>
      <c r="O679" s="146" t="str">
        <f>IF(F679&gt;'депозитный калькулятор'!$D$8," ",IF(F679='депозитный калькулятор'!$D$8,IF(AND($F$24='депозитный калькулятор'!$D$8,'депозитный калькулятор'!$G$13="нет"),-G679-IF(I679=" ",0,I679)-IF(AND(OR('депозитный калькулятор'!$G$7="30/365",'депозитный калькулятор'!$G$7="30/360"),'депозитный калькулятор'!$G$10="в начале срока"),I678,0)-L679+M679-N679,-G679-IF(I679=" ",0,I679)-L679+M679-N679),IF('депозитный калькулятор'!$G$13="есть",M679-N679+IF('депозитный калькулятор'!$G$14="есть",0,-L679),-IF(I679=" ",0,I679)-IF(AND(OR('депозитный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срока"),I678,0)+M679-N679+IF('депозитный калькулятор'!$G$14="есть",0,-L679))))</f>
        <v xml:space="preserve"> </v>
      </c>
      <c r="P679" s="147" t="str">
        <f>IF(F679&gt;'депозитный калькулятор'!$D$8," ",IF(EOMONTH(F678,0)=F678,0,IF(G679&gt;='депозитный калькулятор'!$G$19,P678,P678+1)))</f>
        <v xml:space="preserve"> </v>
      </c>
      <c r="Q679" s="138" t="str">
        <f>IF(F679=" "," ",IF(AND(OR('депозитный калькулятор'!$G$7="30/365",'депозитный калькулятор'!$G$7="30/360"),AND(MONTH(F679)=2,EOMONTH(F679,0)=F679)),IF(DAY(F679)=28,3,2),1)*IF(G679&gt;='депозитный калькулятор'!$G$11,IF(AND('депозитный калькулятор'!$G$7="факт/факт",MOD(YEAR(F679),4)=0),G679*'депозитный калькулятор'!$D$11/366,G679*'депозитный калькулятор'!$G$8),0))</f>
        <v xml:space="preserve"> </v>
      </c>
      <c r="R679" s="158"/>
      <c r="S679" s="62" t="str">
        <f t="shared" ca="1" si="52"/>
        <v xml:space="preserve"> </v>
      </c>
      <c r="T679" s="149" t="str">
        <f ca="1">IF(S679=" "," ",IF('депозитный калькулятор'!$G$7="30/360",DAYS360(U678,IF(DAY(U679)=31,U679-1,U679))+IF(AND(MONTH(U679)=2,U679=EOMONTH(U679,0)),30-DAY(EOMONTH(U679,0)))+T678,VLOOKUP(S679,$C$22:$F$1023,2,0)))</f>
        <v xml:space="preserve"> </v>
      </c>
      <c r="U679" s="64" t="str">
        <f t="shared" ca="1" si="50"/>
        <v xml:space="preserve"> </v>
      </c>
      <c r="V679" s="150" t="str">
        <f t="shared" ca="1" si="53"/>
        <v xml:space="preserve"> </v>
      </c>
      <c r="W679" s="62" t="str">
        <f t="shared" ca="1" si="54"/>
        <v xml:space="preserve"> </v>
      </c>
      <c r="X679" s="141" t="str">
        <f ca="1">IF(S679=" "," ",IFERROR(VLOOKUP(U679,$F$23:$N$1023,7)+VLOOKUP(U679,$F$23:$N$1023,9)+IF(AND('депозитный калькулятор'!$G$13="нет",U679&lt;&gt;'депозитный калькулятор'!$D$8),VLOOKUP(U679,$F$23:$N$1023,4),0),0)+IF(U679='депозитный калькулятор'!$D$8,VLOOKUP(U679,$F$23:$N$1023,2)+VLOOKUP(U679,$F$23:$N$1023,4),0))</f>
        <v xml:space="preserve"> </v>
      </c>
      <c r="Y679" s="142" t="str">
        <f ca="1">IF(S679=" "," ",W679/(1+'депозитный калькулятор'!$K$8)^(T679/IF('депозитный калькулятор'!$G$7="30/360",360,365)))</f>
        <v xml:space="preserve"> </v>
      </c>
      <c r="Z679" s="142" t="str">
        <f ca="1">IF(S679=" "," ",X679/(1+'депозитный калькулятор'!$K$8)^(T679/IF('депозитный калькулятор'!$G$7="30/360",360,365)))</f>
        <v xml:space="preserve"> </v>
      </c>
      <c r="AA679" s="151"/>
      <c r="AB679" s="151"/>
      <c r="AC679" s="155"/>
      <c r="AD679" s="155"/>
    </row>
    <row r="680" spans="1:30" s="2" customFormat="1" ht="15.5" x14ac:dyDescent="0.35">
      <c r="A680" s="41" t="str">
        <f>IF(F680=" "," ",IF(OR('депозитный калькулятор'!$G$7="30/365",'депозитный калькулятор'!$G$7="30/360"),IF(AND(MONTH(F680)=2,DAY(F680)=DAY(EOMONTH(F680,0))),30-DAY(EOMONTH(F680,0)),IF(DAY(F680)=31,1," "))," "))</f>
        <v xml:space="preserve"> </v>
      </c>
      <c r="B680" s="130" t="str">
        <f t="shared" si="51"/>
        <v xml:space="preserve"> </v>
      </c>
      <c r="C680" s="130" t="str">
        <f>IF(OR(B680=0,B680=" ")," ",SUM($B$23:B680))</f>
        <v xml:space="preserve"> </v>
      </c>
      <c r="D680" s="62" t="str">
        <f>IF(D679=" "," ",IF(OR(F679='депозитный калькулятор'!$D$8,F679=" ")," ",D679+1))</f>
        <v xml:space="preserve"> </v>
      </c>
      <c r="E680" s="130" t="str">
        <f>IF(OR(F679='депозитный калькулятор'!$D$8,F679=" ")," ",IF(EOMONTH(F679,0)=F679,1,E679+1))</f>
        <v xml:space="preserve"> </v>
      </c>
      <c r="F680" s="64" t="str">
        <f>IF(F679=" "," ",IF(F679='депозитный калькулятор'!$D$8," ",F679+1))</f>
        <v xml:space="preserve"> </v>
      </c>
      <c r="G680" s="145" t="str">
        <f xml:space="preserve"> IF(F680&gt;'депозитный калькулятор'!$D$8," ",IF('депозитный калькулятор'!$G$13="есть",IF('депозитный калькулятор'!$G$14="есть",G679+IF(I679=" ",0,I679)-J680-K680+L680+M680-N680,G679+IF(I679=" ",0,I679)-J680-K680+M680-N680),IF('депозитный калькулятор'!$G$14="есть",G679-J680-K680+L680+M680-N680,G679-J680-K680+M680-N680)))</f>
        <v xml:space="preserve"> </v>
      </c>
      <c r="H680" s="133" t="str">
        <f>IF(F680&gt;'депозитный калькулятор'!$D$8," ",IF(AND(OR('депозитный калькулятор'!$G$7="30/365",'депозитный калькулятор'!$G$7="30/360"),AND(MONTH(F680)=2,EOMONTH(F680,0)=F680)),IF(DAY(F680)=28,3*G680*'депозитный калькулятор'!$G$8,2*G680*'депозитный калькулятор'!$G$8),IF(AND(OR('депозитный калькулятор'!$G$7="30/365",'депозитный калькулятор'!$G$7="30/360"),DAY(F680)=31)," ",IF(AND('депозитный калькулятор'!$G$7="факт/факт",MOD(YEAR(F680),4)=0),G680*'депозитный калькулятор'!$D$11/366,G680*'депозитный калькулятор'!$G$8))))</f>
        <v xml:space="preserve"> </v>
      </c>
      <c r="I680" s="134" t="str">
        <f ca="1">IF(F680=" "," ",IF('депозитный калькулятор'!$G$10="ежедневное",H680,IF(AND('депозитный калькулятор'!$G$10="еженедельное",WEEKDAY(F680,2)=7),SUM(OFFSET(H680,-6,0):H680),IF(AND('депозитный калькулятор'!$G$10="еженедельное",F680='депозитный калькулятор'!$D$8),SUM($H$23:H680)-SUM($I$23:I679),IF(AND('депозитный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недели",WEEKDAY(F680,2)=7),MIN(OFFSET(H680,-6,0):H680)*(COUNTIF(OFFSET(H680,-6,0):H680,"&gt;0")+SUMIF(OFFSET(A680,-WEEKDAY(F680,2),0):A680,"=2",OFFSET(A680,-WEEKDAY(F680,2),0):A680)),IF(AND('депозитный калькулятор'!$G$10="еженедельное, на минимальную сумму зафиксированную в течение недели",F680='депозитный калькулятор'!$D$8,WEEKDAY(F680,2)&lt;&gt;7),MIN(OFFSET(H680,-WEEKDAY(F680,2),0):H680)*(COUNTIF(OFFSET(H680,-WEEKDAY(F680,2)+1,0):H680,"&gt;0")+SUM(OFFSET(A680,-WEEKDAY(F680,2),0):A680)),IF(AND('депозитный калькулятор'!$G$10="ежемесячное (в конце месяца)",F680='депозитный калькулятор'!$D$8,EOMONTH(F680,0)&lt;&gt;F680),IF('депозитный калькулятор'!$F$1=1,$H$24,SUM($H$23:H680)-SUM($I$23:I679)),IF(AND('депозитный калькулятор'!$G$10="ежемесячное (в конце месяца)",EOMONTH(F680,0)=F680),SUM($H$23:H680)-SUM($I$23:I679),IF(AND('депозитный калькулятор'!$G$10="ежемесячное (по дням открытия вклада)",F680='депозитный калькулятор'!$D$8,DAY('депозитный калькулятор'!$D$7)&lt;&gt;DAY(F680)),IF('депозитный калькулятор'!$F$1=1,$H$24,SUM($H$23:H680)-SUM($I$23:I679)),IF(AND('депозитный калькулятор'!$G$10="ежемесячное (по дням открытия вклада)",DAY('депозитный калькулятор'!$D$7)=DAY(F680)),SUM($H$23:H680)-SUM($I$23:I679),IF(AND('депозитный калькулятор'!$G$10="ежемесячное, на минимальную сумму зафиксированную в течение месяца",F680='депозитный калькулятор'!$D$8,EOMONTH(F680,0)&lt;&gt;F680),IF('депозитный калькулятор'!$F$1=1,$H$24,IF(AND(OR('депозитный калькулятор'!$G$7="30/365",'депозитный калькулятор'!$G$7="30/360"),DAY(F680)=31),0,MIN(OFFSET(H680,-E680+1,0):H680)*(E680+SUMIF(OFFSET(A680,-E680+1,0):A680,"=2",OFFSET(A680,-E680+1,0):A680)))),IF(AND('депозитный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калькулятор'!$G$7="30/360"),DAY(EOMONTH(F680,0))=31),EOMONTH(F680,0)-1=F680,EOMONTH(F680,0)=F680)),IF(IF(AND(OR('депозитный калькулятор'!$G$7="30/365",'депозитный калькулятор'!$G$7="30/360"),DAY(EOMONTH($F$23,0))=31),F680=EOMONTH($F$23,0)-1,F680=EOMONTH($F$23,0)),MIN(OFFSET(H680,-(DAY(F680)-DAY($F$23)),0):H680)*E680,MIN(OFFSET(H680,-(DAY(F680)-1),0):H680)*IF(AND(OR('депозитный калькулятор'!$G$7="30/365",'депозитный калькулятор'!$G$7="30/360"),DAY(F680)&lt;30),30,DAY(F680))),IF(AND('депозитный калькулятор'!$G$10="ежемесячное, на средний остаток в течение месяца, при условии что остаток больше чем ограничение",F680='депозитный калькулятор'!$D$8,EOMONTH(F680,0)&lt;&gt;F680),IF('депозитный калькулятор'!$F$1=1,$H$24,SUM(OFFSET(Q680,-E680+1,0):Q680)),IF(AND('депозитный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калькулятор'!$G$7="30/360"),DAY(EOMONTH(F680,0))=31),EOMONTH(F680,0)-1=F680,EOMONTH(F680,0)=F680)),IF(IF(AND(OR('депозитный калькулятор'!$G$7="30/365",'депозитный калькулятор'!$G$7="30/360"),DAY(EOMONTH($F$24,0))=31),F680=EOMONTH($F$24,0)-1,F680=EOMONTH($F$24,0)),SUM(OFFSET(Q680,-E680+1,0):Q680),SUM(OFFSET(Q680,-E680+1,0):Q680)),IF('депозитный калькулятор'!$G$10="ежеквартальное",IF(F680&gt;'депозитный калькулятор'!$D$8," ",IF(AND(EOMONTH(F680,0)=F680,OR(MONTH(F680)=3,MONTH(F680)=6,MONTH(F680)=9,MONTH(F680)=12)),IF(EDATE(F680,-3)&lt;'депозитный калькулятор'!$D$7,SUM($H$23:H680),IF(MOD(YEAR(F680),4)=0,IF(AND(EOMONTH(F680,0)=F680,OR(MONTH(F680)=3,MONTH(F680)=6)),SUM(OFFSET(H680,-90,0):H680),IF(AND(EOMONTH(F680,0)=F680,OR(MONTH(F680)=9,MONTH(F680)=12)),SUM(OFFSET(H680,-91,0):H680))),IF(AND(EOMONTH(F680,0)=F680,MONTH(F680)=3),SUM(OFFSET(H680,-89,0):H680),IF(AND(EOMONTH(F680,0)=F680,MONTH(F680)=6),SUM(OFFSET(H680,-90,0):H680),IF(AND(EOMONTH(F680,0)=F680,OR(MONTH(F680)=9,MONTH(F680)=12)),SUM(OFFSET(H680,-91,0):H680)))))),IF(F680='депозитный калькулятор'!$D$8,SUM($H$23:H680)-SUM($I$23:I679),0))),IF('депозитный калькулятор'!$G$10="ежегодное",IF(F680&gt;'депозитный калькулятор'!$D$8," ",IF(F680='депозитный калькулятор'!$D$8,SUM($H$23:H680)-SUM($I$23:I679),IF(AND(EOMONTH(F680,0)=F680,MONTH(F680)=12),IF(MOD(YEAR(F679),4)=0,IF(F680-'депозитный калькулятор'!$D$7&lt;366,SUM($H$23:H680),SUM(OFFSET(H680,-365,0):H680)),IF(F680-'депозитный калькулятор'!$D$7&lt;365,SUM($H$23:H680),SUM(OFFSET(H680,-364,0):H680))),0))),IF(AND('депозитный калькулятор'!$G$10="в конце срока",'депозитный калькулятор'!$D$8=F680),SUM($H$23:H680),0))))))))))))))))))</f>
        <v xml:space="preserve"> </v>
      </c>
      <c r="J680" s="59" t="str">
        <f>IF(F680&gt;'депозитный калькулятор'!$D$8," ",IF('депозитный калькулятор'!$G$16="нет",0,IF(AND('депозитный калькулятор'!$G$17="разовая (в конце срока)",F680='депозитный калькулятор'!$D$8),'депозитный калькулятор'!$G$18,IF(AND('депозитный калькулятор'!$G$17="ежемесячная",EOMONTH(F679,0)=F679),'депозитный калькулятор'!$G$18,IF(AND('депозитный калькулятор'!$G$17="ежегодная",DAY(F679)=31,MONTH(F679)=12),'депозитный калькулятор'!$G$18,IF(AND('депозитный калькулятор'!$G$17="ежемесячная в зависимости от остатка",EOMONTH(F679,0)=F679,P679&gt;0),'депозитный калькулятор'!$G$18,IF(AND('депозитный калькулятор'!$G$17="ежегодная в зависимости от остатка",DAY(F679)=31,MONTH(F679)=12,P679&gt;0),'депозитный калькулятор'!$G$18,0)))))))</f>
        <v xml:space="preserve"> </v>
      </c>
      <c r="K680" s="135" t="str">
        <f>IF($F680=" "," ",IFERROR(VLOOKUP($F680,'депозитный калькулятор'!$B$26:$F$70,2,0),0))</f>
        <v xml:space="preserve"> </v>
      </c>
      <c r="L680" s="135" t="str">
        <f>IF($F680=" "," ",IFERROR(VLOOKUP($F680,'депозитный калькулятор'!$B$26:$F$70,3,0),0))</f>
        <v xml:space="preserve"> </v>
      </c>
      <c r="M680" s="135" t="str">
        <f>IF($F680=" "," ",IFERROR(VLOOKUP($F680,'депозитный калькулятор'!$B$26:$F$70,4,0),0))</f>
        <v xml:space="preserve"> </v>
      </c>
      <c r="N680" s="135" t="str">
        <f>IF($F680=" "," ",IFERROR(VLOOKUP($F680,'депозитный калькулятор'!$B$26:$F$70,5,0),0))</f>
        <v xml:space="preserve"> </v>
      </c>
      <c r="O680" s="146" t="str">
        <f>IF(F680&gt;'депозитный калькулятор'!$D$8," ",IF(F680='депозитный калькулятор'!$D$8,IF(AND($F$24='депозитный калькулятор'!$D$8,'депозитный калькулятор'!$G$13="нет"),-G680-IF(I680=" ",0,I680)-IF(AND(OR('депозитный калькулятор'!$G$7="30/365",'депозитный калькулятор'!$G$7="30/360"),'депозитный калькулятор'!$G$10="в начале срока"),I679,0)-L680+M680-N680,-G680-IF(I680=" ",0,I680)-L680+M680-N680),IF('депозитный калькулятор'!$G$13="есть",M680-N680+IF('депозитный калькулятор'!$G$14="есть",0,-L680),-IF(I680=" ",0,I680)-IF(AND(OR('депозитный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срока"),I679,0)+M680-N680+IF('депозитный калькулятор'!$G$14="есть",0,-L680))))</f>
        <v xml:space="preserve"> </v>
      </c>
      <c r="P680" s="147" t="str">
        <f>IF(F680&gt;'депозитный калькулятор'!$D$8," ",IF(EOMONTH(F679,0)=F679,0,IF(G680&gt;='депозитный калькулятор'!$G$19,P679,P679+1)))</f>
        <v xml:space="preserve"> </v>
      </c>
      <c r="Q680" s="138" t="str">
        <f>IF(F680=" "," ",IF(AND(OR('депозитный калькулятор'!$G$7="30/365",'депозитный калькулятор'!$G$7="30/360"),AND(MONTH(F680)=2,EOMONTH(F680,0)=F680)),IF(DAY(F680)=28,3,2),1)*IF(G680&gt;='депозитный калькулятор'!$G$11,IF(AND('депозитный калькулятор'!$G$7="факт/факт",MOD(YEAR(F680),4)=0),G680*'депозитный калькулятор'!$D$11/366,G680*'депозитный калькулятор'!$G$8),0))</f>
        <v xml:space="preserve"> </v>
      </c>
      <c r="R680" s="158"/>
      <c r="S680" s="62" t="str">
        <f t="shared" ca="1" si="52"/>
        <v xml:space="preserve"> </v>
      </c>
      <c r="T680" s="149" t="str">
        <f ca="1">IF(S680=" "," ",IF('депозитный калькулятор'!$G$7="30/360",DAYS360(U679,IF(DAY(U680)=31,U680-1,U680))+IF(AND(MONTH(U680)=2,U680=EOMONTH(U680,0)),30-DAY(EOMONTH(U680,0)))+T679,VLOOKUP(S680,$C$22:$F$1023,2,0)))</f>
        <v xml:space="preserve"> </v>
      </c>
      <c r="U680" s="64" t="str">
        <f t="shared" ca="1" si="50"/>
        <v xml:space="preserve"> </v>
      </c>
      <c r="V680" s="150" t="str">
        <f t="shared" ca="1" si="53"/>
        <v xml:space="preserve"> </v>
      </c>
      <c r="W680" s="62" t="str">
        <f t="shared" ca="1" si="54"/>
        <v xml:space="preserve"> </v>
      </c>
      <c r="X680" s="141" t="str">
        <f ca="1">IF(S680=" "," ",IFERROR(VLOOKUP(U680,$F$23:$N$1023,7)+VLOOKUP(U680,$F$23:$N$1023,9)+IF(AND('депозитный калькулятор'!$G$13="нет",U680&lt;&gt;'депозитный калькулятор'!$D$8),VLOOKUP(U680,$F$23:$N$1023,4),0),0)+IF(U680='депозитный калькулятор'!$D$8,VLOOKUP(U680,$F$23:$N$1023,2)+VLOOKUP(U680,$F$23:$N$1023,4),0))</f>
        <v xml:space="preserve"> </v>
      </c>
      <c r="Y680" s="142" t="str">
        <f ca="1">IF(S680=" "," ",W680/(1+'депозитный калькулятор'!$K$8)^(T680/IF('депозитный калькулятор'!$G$7="30/360",360,365)))</f>
        <v xml:space="preserve"> </v>
      </c>
      <c r="Z680" s="142" t="str">
        <f ca="1">IF(S680=" "," ",X680/(1+'депозитный калькулятор'!$K$8)^(T680/IF('депозитный калькулятор'!$G$7="30/360",360,365)))</f>
        <v xml:space="preserve"> </v>
      </c>
      <c r="AA680" s="151"/>
      <c r="AB680" s="151"/>
      <c r="AC680" s="155"/>
      <c r="AD680" s="155"/>
    </row>
    <row r="681" spans="1:30" s="2" customFormat="1" ht="15.5" x14ac:dyDescent="0.35">
      <c r="A681" s="41" t="str">
        <f>IF(F681=" "," ",IF(OR('депозитный калькулятор'!$G$7="30/365",'депозитный калькулятор'!$G$7="30/360"),IF(AND(MONTH(F681)=2,DAY(F681)=DAY(EOMONTH(F681,0))),30-DAY(EOMONTH(F681,0)),IF(DAY(F681)=31,1," "))," "))</f>
        <v xml:space="preserve"> </v>
      </c>
      <c r="B681" s="130" t="str">
        <f t="shared" si="51"/>
        <v xml:space="preserve"> </v>
      </c>
      <c r="C681" s="130" t="str">
        <f>IF(OR(B681=0,B681=" ")," ",SUM($B$23:B681))</f>
        <v xml:space="preserve"> </v>
      </c>
      <c r="D681" s="62" t="str">
        <f>IF(D680=" "," ",IF(OR(F680='депозитный калькулятор'!$D$8,F680=" ")," ",D680+1))</f>
        <v xml:space="preserve"> </v>
      </c>
      <c r="E681" s="130" t="str">
        <f>IF(OR(F680='депозитный калькулятор'!$D$8,F680=" ")," ",IF(EOMONTH(F680,0)=F680,1,E680+1))</f>
        <v xml:space="preserve"> </v>
      </c>
      <c r="F681" s="64" t="str">
        <f>IF(F680=" "," ",IF(F680='депозитный калькулятор'!$D$8," ",F680+1))</f>
        <v xml:space="preserve"> </v>
      </c>
      <c r="G681" s="145" t="str">
        <f xml:space="preserve"> IF(F681&gt;'депозитный калькулятор'!$D$8," ",IF('депозитный калькулятор'!$G$13="есть",IF('депозитный калькулятор'!$G$14="есть",G680+IF(I680=" ",0,I680)-J681-K681+L681+M681-N681,G680+IF(I680=" ",0,I680)-J681-K681+M681-N681),IF('депозитный калькулятор'!$G$14="есть",G680-J681-K681+L681+M681-N681,G680-J681-K681+M681-N681)))</f>
        <v xml:space="preserve"> </v>
      </c>
      <c r="H681" s="133" t="str">
        <f>IF(F681&gt;'депозитный калькулятор'!$D$8," ",IF(AND(OR('депозитный калькулятор'!$G$7="30/365",'депозитный калькулятор'!$G$7="30/360"),AND(MONTH(F681)=2,EOMONTH(F681,0)=F681)),IF(DAY(F681)=28,3*G681*'депозитный калькулятор'!$G$8,2*G681*'депозитный калькулятор'!$G$8),IF(AND(OR('депозитный калькулятор'!$G$7="30/365",'депозитный калькулятор'!$G$7="30/360"),DAY(F681)=31)," ",IF(AND('депозитный калькулятор'!$G$7="факт/факт",MOD(YEAR(F681),4)=0),G681*'депозитный калькулятор'!$D$11/366,G681*'депозитный калькулятор'!$G$8))))</f>
        <v xml:space="preserve"> </v>
      </c>
      <c r="I681" s="134" t="str">
        <f ca="1">IF(F681=" "," ",IF('депозитный калькулятор'!$G$10="ежедневное",H681,IF(AND('депозитный калькулятор'!$G$10="еженедельное",WEEKDAY(F681,2)=7),SUM(OFFSET(H681,-6,0):H681),IF(AND('депозитный калькулятор'!$G$10="еженедельное",F681='депозитный калькулятор'!$D$8),SUM($H$23:H681)-SUM($I$23:I680),IF(AND('депозитный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недели",WEEKDAY(F681,2)=7),MIN(OFFSET(H681,-6,0):H681)*(COUNTIF(OFFSET(H681,-6,0):H681,"&gt;0")+SUMIF(OFFSET(A681,-WEEKDAY(F681,2),0):A681,"=2",OFFSET(A681,-WEEKDAY(F681,2),0):A681)),IF(AND('депозитный калькулятор'!$G$10="еженедельное, на минимальную сумму зафиксированную в течение недели",F681='депозитный калькулятор'!$D$8,WEEKDAY(F681,2)&lt;&gt;7),MIN(OFFSET(H681,-WEEKDAY(F681,2),0):H681)*(COUNTIF(OFFSET(H681,-WEEKDAY(F681,2)+1,0):H681,"&gt;0")+SUM(OFFSET(A681,-WEEKDAY(F681,2),0):A681)),IF(AND('депозитный калькулятор'!$G$10="ежемесячное (в конце месяца)",F681='депозитный калькулятор'!$D$8,EOMONTH(F681,0)&lt;&gt;F681),IF('депозитный калькулятор'!$F$1=1,$H$24,SUM($H$23:H681)-SUM($I$23:I680)),IF(AND('депозитный калькулятор'!$G$10="ежемесячное (в конце месяца)",EOMONTH(F681,0)=F681),SUM($H$23:H681)-SUM($I$23:I680),IF(AND('депозитный калькулятор'!$G$10="ежемесячное (по дням открытия вклада)",F681='депозитный калькулятор'!$D$8,DAY('депозитный калькулятор'!$D$7)&lt;&gt;DAY(F681)),IF('депозитный калькулятор'!$F$1=1,$H$24,SUM($H$23:H681)-SUM($I$23:I680)),IF(AND('депозитный калькулятор'!$G$10="ежемесячное (по дням открытия вклада)",DAY('депозитный калькулятор'!$D$7)=DAY(F681)),SUM($H$23:H681)-SUM($I$23:I680),IF(AND('депозитный калькулятор'!$G$10="ежемесячное, на минимальную сумму зафиксированную в течение месяца",F681='депозитный калькулятор'!$D$8,EOMONTH(F681,0)&lt;&gt;F681),IF('депозитный калькулятор'!$F$1=1,$H$24,IF(AND(OR('депозитный калькулятор'!$G$7="30/365",'депозитный калькулятор'!$G$7="30/360"),DAY(F681)=31),0,MIN(OFFSET(H681,-E681+1,0):H681)*(E681+SUMIF(OFFSET(A681,-E681+1,0):A681,"=2",OFFSET(A681,-E681+1,0):A681)))),IF(AND('депозитный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калькулятор'!$G$7="30/360"),DAY(EOMONTH(F681,0))=31),EOMONTH(F681,0)-1=F681,EOMONTH(F681,0)=F681)),IF(IF(AND(OR('депозитный калькулятор'!$G$7="30/365",'депозитный калькулятор'!$G$7="30/360"),DAY(EOMONTH($F$23,0))=31),F681=EOMONTH($F$23,0)-1,F681=EOMONTH($F$23,0)),MIN(OFFSET(H681,-(DAY(F681)-DAY($F$23)),0):H681)*E681,MIN(OFFSET(H681,-(DAY(F681)-1),0):H681)*IF(AND(OR('депозитный калькулятор'!$G$7="30/365",'депозитный калькулятор'!$G$7="30/360"),DAY(F681)&lt;30),30,DAY(F681))),IF(AND('депозитный калькулятор'!$G$10="ежемесячное, на средний остаток в течение месяца, при условии что остаток больше чем ограничение",F681='депозитный калькулятор'!$D$8,EOMONTH(F681,0)&lt;&gt;F681),IF('депозитный калькулятор'!$F$1=1,$H$24,SUM(OFFSET(Q681,-E681+1,0):Q681)),IF(AND('депозитный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калькулятор'!$G$7="30/360"),DAY(EOMONTH(F681,0))=31),EOMONTH(F681,0)-1=F681,EOMONTH(F681,0)=F681)),IF(IF(AND(OR('депозитный калькулятор'!$G$7="30/365",'депозитный калькулятор'!$G$7="30/360"),DAY(EOMONTH($F$24,0))=31),F681=EOMONTH($F$24,0)-1,F681=EOMONTH($F$24,0)),SUM(OFFSET(Q681,-E681+1,0):Q681),SUM(OFFSET(Q681,-E681+1,0):Q681)),IF('депозитный калькулятор'!$G$10="ежеквартальное",IF(F681&gt;'депозитный калькулятор'!$D$8," ",IF(AND(EOMONTH(F681,0)=F681,OR(MONTH(F681)=3,MONTH(F681)=6,MONTH(F681)=9,MONTH(F681)=12)),IF(EDATE(F681,-3)&lt;'депозитный калькулятор'!$D$7,SUM($H$23:H681),IF(MOD(YEAR(F681),4)=0,IF(AND(EOMONTH(F681,0)=F681,OR(MONTH(F681)=3,MONTH(F681)=6)),SUM(OFFSET(H681,-90,0):H681),IF(AND(EOMONTH(F681,0)=F681,OR(MONTH(F681)=9,MONTH(F681)=12)),SUM(OFFSET(H681,-91,0):H681))),IF(AND(EOMONTH(F681,0)=F681,MONTH(F681)=3),SUM(OFFSET(H681,-89,0):H681),IF(AND(EOMONTH(F681,0)=F681,MONTH(F681)=6),SUM(OFFSET(H681,-90,0):H681),IF(AND(EOMONTH(F681,0)=F681,OR(MONTH(F681)=9,MONTH(F681)=12)),SUM(OFFSET(H681,-91,0):H681)))))),IF(F681='депозитный калькулятор'!$D$8,SUM($H$23:H681)-SUM($I$23:I680),0))),IF('депозитный калькулятор'!$G$10="ежегодное",IF(F681&gt;'депозитный калькулятор'!$D$8," ",IF(F681='депозитный калькулятор'!$D$8,SUM($H$23:H681)-SUM($I$23:I680),IF(AND(EOMONTH(F681,0)=F681,MONTH(F681)=12),IF(MOD(YEAR(F680),4)=0,IF(F681-'депозитный калькулятор'!$D$7&lt;366,SUM($H$23:H681),SUM(OFFSET(H681,-365,0):H681)),IF(F681-'депозитный калькулятор'!$D$7&lt;365,SUM($H$23:H681),SUM(OFFSET(H681,-364,0):H681))),0))),IF(AND('депозитный калькулятор'!$G$10="в конце срока",'депозитный калькулятор'!$D$8=F681),SUM($H$23:H681),0))))))))))))))))))</f>
        <v xml:space="preserve"> </v>
      </c>
      <c r="J681" s="59" t="str">
        <f>IF(F681&gt;'депозитный калькулятор'!$D$8," ",IF('депозитный калькулятор'!$G$16="нет",0,IF(AND('депозитный калькулятор'!$G$17="разовая (в конце срока)",F681='депозитный калькулятор'!$D$8),'депозитный калькулятор'!$G$18,IF(AND('депозитный калькулятор'!$G$17="ежемесячная",EOMONTH(F680,0)=F680),'депозитный калькулятор'!$G$18,IF(AND('депозитный калькулятор'!$G$17="ежегодная",DAY(F680)=31,MONTH(F680)=12),'депозитный калькулятор'!$G$18,IF(AND('депозитный калькулятор'!$G$17="ежемесячная в зависимости от остатка",EOMONTH(F680,0)=F680,P680&gt;0),'депозитный калькулятор'!$G$18,IF(AND('депозитный калькулятор'!$G$17="ежегодная в зависимости от остатка",DAY(F680)=31,MONTH(F680)=12,P680&gt;0),'депозитный калькулятор'!$G$18,0)))))))</f>
        <v xml:space="preserve"> </v>
      </c>
      <c r="K681" s="135" t="str">
        <f>IF($F681=" "," ",IFERROR(VLOOKUP($F681,'депозитный калькулятор'!$B$26:$F$70,2,0),0))</f>
        <v xml:space="preserve"> </v>
      </c>
      <c r="L681" s="135" t="str">
        <f>IF($F681=" "," ",IFERROR(VLOOKUP($F681,'депозитный калькулятор'!$B$26:$F$70,3,0),0))</f>
        <v xml:space="preserve"> </v>
      </c>
      <c r="M681" s="135" t="str">
        <f>IF($F681=" "," ",IFERROR(VLOOKUP($F681,'депозитный калькулятор'!$B$26:$F$70,4,0),0))</f>
        <v xml:space="preserve"> </v>
      </c>
      <c r="N681" s="135" t="str">
        <f>IF($F681=" "," ",IFERROR(VLOOKUP($F681,'депозитный калькулятор'!$B$26:$F$70,5,0),0))</f>
        <v xml:space="preserve"> </v>
      </c>
      <c r="O681" s="146" t="str">
        <f>IF(F681&gt;'депозитный калькулятор'!$D$8," ",IF(F681='депозитный калькулятор'!$D$8,IF(AND($F$24='депозитный калькулятор'!$D$8,'депозитный калькулятор'!$G$13="нет"),-G681-IF(I681=" ",0,I681)-IF(AND(OR('депозитный калькулятор'!$G$7="30/365",'депозитный калькулятор'!$G$7="30/360"),'депозитный калькулятор'!$G$10="в начале срока"),I680,0)-L681+M681-N681,-G681-IF(I681=" ",0,I681)-L681+M681-N681),IF('депозитный калькулятор'!$G$13="есть",M681-N681+IF('депозитный калькулятор'!$G$14="есть",0,-L681),-IF(I681=" ",0,I681)-IF(AND(OR('депозитный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срока"),I680,0)+M681-N681+IF('депозитный калькулятор'!$G$14="есть",0,-L681))))</f>
        <v xml:space="preserve"> </v>
      </c>
      <c r="P681" s="147" t="str">
        <f>IF(F681&gt;'депозитный калькулятор'!$D$8," ",IF(EOMONTH(F680,0)=F680,0,IF(G681&gt;='депозитный калькулятор'!$G$19,P680,P680+1)))</f>
        <v xml:space="preserve"> </v>
      </c>
      <c r="Q681" s="138" t="str">
        <f>IF(F681=" "," ",IF(AND(OR('депозитный калькулятор'!$G$7="30/365",'депозитный калькулятор'!$G$7="30/360"),AND(MONTH(F681)=2,EOMONTH(F681,0)=F681)),IF(DAY(F681)=28,3,2),1)*IF(G681&gt;='депозитный калькулятор'!$G$11,IF(AND('депозитный калькулятор'!$G$7="факт/факт",MOD(YEAR(F681),4)=0),G681*'депозитный калькулятор'!$D$11/366,G681*'депозитный калькулятор'!$G$8),0))</f>
        <v xml:space="preserve"> </v>
      </c>
      <c r="R681" s="158"/>
      <c r="S681" s="62" t="str">
        <f t="shared" ca="1" si="52"/>
        <v xml:space="preserve"> </v>
      </c>
      <c r="T681" s="149" t="str">
        <f ca="1">IF(S681=" "," ",IF('депозитный калькулятор'!$G$7="30/360",DAYS360(U680,IF(DAY(U681)=31,U681-1,U681))+IF(AND(MONTH(U681)=2,U681=EOMONTH(U681,0)),30-DAY(EOMONTH(U681,0)))+T680,VLOOKUP(S681,$C$22:$F$1023,2,0)))</f>
        <v xml:space="preserve"> </v>
      </c>
      <c r="U681" s="64" t="str">
        <f t="shared" ca="1" si="50"/>
        <v xml:space="preserve"> </v>
      </c>
      <c r="V681" s="150" t="str">
        <f t="shared" ca="1" si="53"/>
        <v xml:space="preserve"> </v>
      </c>
      <c r="W681" s="62" t="str">
        <f t="shared" ca="1" si="54"/>
        <v xml:space="preserve"> </v>
      </c>
      <c r="X681" s="141" t="str">
        <f ca="1">IF(S681=" "," ",IFERROR(VLOOKUP(U681,$F$23:$N$1023,7)+VLOOKUP(U681,$F$23:$N$1023,9)+IF(AND('депозитный калькулятор'!$G$13="нет",U681&lt;&gt;'депозитный калькулятор'!$D$8),VLOOKUP(U681,$F$23:$N$1023,4),0),0)+IF(U681='депозитный калькулятор'!$D$8,VLOOKUP(U681,$F$23:$N$1023,2)+VLOOKUP(U681,$F$23:$N$1023,4),0))</f>
        <v xml:space="preserve"> </v>
      </c>
      <c r="Y681" s="142" t="str">
        <f ca="1">IF(S681=" "," ",W681/(1+'депозитный калькулятор'!$K$8)^(T681/IF('депозитный калькулятор'!$G$7="30/360",360,365)))</f>
        <v xml:space="preserve"> </v>
      </c>
      <c r="Z681" s="142" t="str">
        <f ca="1">IF(S681=" "," ",X681/(1+'депозитный калькулятор'!$K$8)^(T681/IF('депозитный калькулятор'!$G$7="30/360",360,365)))</f>
        <v xml:space="preserve"> </v>
      </c>
      <c r="AA681" s="151"/>
      <c r="AB681" s="151"/>
      <c r="AC681" s="155"/>
      <c r="AD681" s="155"/>
    </row>
    <row r="682" spans="1:30" s="2" customFormat="1" ht="15.5" x14ac:dyDescent="0.35">
      <c r="A682" s="41" t="str">
        <f>IF(F682=" "," ",IF(OR('депозитный калькулятор'!$G$7="30/365",'депозитный калькулятор'!$G$7="30/360"),IF(AND(MONTH(F682)=2,DAY(F682)=DAY(EOMONTH(F682,0))),30-DAY(EOMONTH(F682,0)),IF(DAY(F682)=31,1," "))," "))</f>
        <v xml:space="preserve"> </v>
      </c>
      <c r="B682" s="130" t="str">
        <f t="shared" si="51"/>
        <v xml:space="preserve"> </v>
      </c>
      <c r="C682" s="130" t="str">
        <f>IF(OR(B682=0,B682=" ")," ",SUM($B$23:B682))</f>
        <v xml:space="preserve"> </v>
      </c>
      <c r="D682" s="62" t="str">
        <f>IF(D681=" "," ",IF(OR(F681='депозитный калькулятор'!$D$8,F681=" ")," ",D681+1))</f>
        <v xml:space="preserve"> </v>
      </c>
      <c r="E682" s="130" t="str">
        <f>IF(OR(F681='депозитный калькулятор'!$D$8,F681=" ")," ",IF(EOMONTH(F681,0)=F681,1,E681+1))</f>
        <v xml:space="preserve"> </v>
      </c>
      <c r="F682" s="64" t="str">
        <f>IF(F681=" "," ",IF(F681='депозитный калькулятор'!$D$8," ",F681+1))</f>
        <v xml:space="preserve"> </v>
      </c>
      <c r="G682" s="145" t="str">
        <f xml:space="preserve"> IF(F682&gt;'депозитный калькулятор'!$D$8," ",IF('депозитный калькулятор'!$G$13="есть",IF('депозитный калькулятор'!$G$14="есть",G681+IF(I681=" ",0,I681)-J682-K682+L682+M682-N682,G681+IF(I681=" ",0,I681)-J682-K682+M682-N682),IF('депозитный калькулятор'!$G$14="есть",G681-J682-K682+L682+M682-N682,G681-J682-K682+M682-N682)))</f>
        <v xml:space="preserve"> </v>
      </c>
      <c r="H682" s="133" t="str">
        <f>IF(F682&gt;'депозитный калькулятор'!$D$8," ",IF(AND(OR('депозитный калькулятор'!$G$7="30/365",'депозитный калькулятор'!$G$7="30/360"),AND(MONTH(F682)=2,EOMONTH(F682,0)=F682)),IF(DAY(F682)=28,3*G682*'депозитный калькулятор'!$G$8,2*G682*'депозитный калькулятор'!$G$8),IF(AND(OR('депозитный калькулятор'!$G$7="30/365",'депозитный калькулятор'!$G$7="30/360"),DAY(F682)=31)," ",IF(AND('депозитный калькулятор'!$G$7="факт/факт",MOD(YEAR(F682),4)=0),G682*'депозитный калькулятор'!$D$11/366,G682*'депозитный калькулятор'!$G$8))))</f>
        <v xml:space="preserve"> </v>
      </c>
      <c r="I682" s="134" t="str">
        <f ca="1">IF(F682=" "," ",IF('депозитный калькулятор'!$G$10="ежедневное",H682,IF(AND('депозитный калькулятор'!$G$10="еженедельное",WEEKDAY(F682,2)=7),SUM(OFFSET(H682,-6,0):H682),IF(AND('депозитный калькулятор'!$G$10="еженедельное",F682='депозитный калькулятор'!$D$8),SUM($H$23:H682)-SUM($I$23:I681),IF(AND('депозитный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недели",WEEKDAY(F682,2)=7),MIN(OFFSET(H682,-6,0):H682)*(COUNTIF(OFFSET(H682,-6,0):H682,"&gt;0")+SUMIF(OFFSET(A682,-WEEKDAY(F682,2),0):A682,"=2",OFFSET(A682,-WEEKDAY(F682,2),0):A682)),IF(AND('депозитный калькулятор'!$G$10="еженедельное, на минимальную сумму зафиксированную в течение недели",F682='депозитный калькулятор'!$D$8,WEEKDAY(F682,2)&lt;&gt;7),MIN(OFFSET(H682,-WEEKDAY(F682,2),0):H682)*(COUNTIF(OFFSET(H682,-WEEKDAY(F682,2)+1,0):H682,"&gt;0")+SUM(OFFSET(A682,-WEEKDAY(F682,2),0):A682)),IF(AND('депозитный калькулятор'!$G$10="ежемесячное (в конце месяца)",F682='депозитный калькулятор'!$D$8,EOMONTH(F682,0)&lt;&gt;F682),IF('депозитный калькулятор'!$F$1=1,$H$24,SUM($H$23:H682)-SUM($I$23:I681)),IF(AND('депозитный калькулятор'!$G$10="ежемесячное (в конце месяца)",EOMONTH(F682,0)=F682),SUM($H$23:H682)-SUM($I$23:I681),IF(AND('депозитный калькулятор'!$G$10="ежемесячное (по дням открытия вклада)",F682='депозитный калькулятор'!$D$8,DAY('депозитный калькулятор'!$D$7)&lt;&gt;DAY(F682)),IF('депозитный калькулятор'!$F$1=1,$H$24,SUM($H$23:H682)-SUM($I$23:I681)),IF(AND('депозитный калькулятор'!$G$10="ежемесячное (по дням открытия вклада)",DAY('депозитный калькулятор'!$D$7)=DAY(F682)),SUM($H$23:H682)-SUM($I$23:I681),IF(AND('депозитный калькулятор'!$G$10="ежемесячное, на минимальную сумму зафиксированную в течение месяца",F682='депозитный калькулятор'!$D$8,EOMONTH(F682,0)&lt;&gt;F682),IF('депозитный калькулятор'!$F$1=1,$H$24,IF(AND(OR('депозитный калькулятор'!$G$7="30/365",'депозитный калькулятор'!$G$7="30/360"),DAY(F682)=31),0,MIN(OFFSET(H682,-E682+1,0):H682)*(E682+SUMIF(OFFSET(A682,-E682+1,0):A682,"=2",OFFSET(A682,-E682+1,0):A682)))),IF(AND('депозитный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калькулятор'!$G$7="30/360"),DAY(EOMONTH(F682,0))=31),EOMONTH(F682,0)-1=F682,EOMONTH(F682,0)=F682)),IF(IF(AND(OR('депозитный калькулятор'!$G$7="30/365",'депозитный калькулятор'!$G$7="30/360"),DAY(EOMONTH($F$23,0))=31),F682=EOMONTH($F$23,0)-1,F682=EOMONTH($F$23,0)),MIN(OFFSET(H682,-(DAY(F682)-DAY($F$23)),0):H682)*E682,MIN(OFFSET(H682,-(DAY(F682)-1),0):H682)*IF(AND(OR('депозитный калькулятор'!$G$7="30/365",'депозитный калькулятор'!$G$7="30/360"),DAY(F682)&lt;30),30,DAY(F682))),IF(AND('депозитный калькулятор'!$G$10="ежемесячное, на средний остаток в течение месяца, при условии что остаток больше чем ограничение",F682='депозитный калькулятор'!$D$8,EOMONTH(F682,0)&lt;&gt;F682),IF('депозитный калькулятор'!$F$1=1,$H$24,SUM(OFFSET(Q682,-E682+1,0):Q682)),IF(AND('депозитный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калькулятор'!$G$7="30/360"),DAY(EOMONTH(F682,0))=31),EOMONTH(F682,0)-1=F682,EOMONTH(F682,0)=F682)),IF(IF(AND(OR('депозитный калькулятор'!$G$7="30/365",'депозитный калькулятор'!$G$7="30/360"),DAY(EOMONTH($F$24,0))=31),F682=EOMONTH($F$24,0)-1,F682=EOMONTH($F$24,0)),SUM(OFFSET(Q682,-E682+1,0):Q682),SUM(OFFSET(Q682,-E682+1,0):Q682)),IF('депозитный калькулятор'!$G$10="ежеквартальное",IF(F682&gt;'депозитный калькулятор'!$D$8," ",IF(AND(EOMONTH(F682,0)=F682,OR(MONTH(F682)=3,MONTH(F682)=6,MONTH(F682)=9,MONTH(F682)=12)),IF(EDATE(F682,-3)&lt;'депозитный калькулятор'!$D$7,SUM($H$23:H682),IF(MOD(YEAR(F682),4)=0,IF(AND(EOMONTH(F682,0)=F682,OR(MONTH(F682)=3,MONTH(F682)=6)),SUM(OFFSET(H682,-90,0):H682),IF(AND(EOMONTH(F682,0)=F682,OR(MONTH(F682)=9,MONTH(F682)=12)),SUM(OFFSET(H682,-91,0):H682))),IF(AND(EOMONTH(F682,0)=F682,MONTH(F682)=3),SUM(OFFSET(H682,-89,0):H682),IF(AND(EOMONTH(F682,0)=F682,MONTH(F682)=6),SUM(OFFSET(H682,-90,0):H682),IF(AND(EOMONTH(F682,0)=F682,OR(MONTH(F682)=9,MONTH(F682)=12)),SUM(OFFSET(H682,-91,0):H682)))))),IF(F682='депозитный калькулятор'!$D$8,SUM($H$23:H682)-SUM($I$23:I681),0))),IF('депозитный калькулятор'!$G$10="ежегодное",IF(F682&gt;'депозитный калькулятор'!$D$8," ",IF(F682='депозитный калькулятор'!$D$8,SUM($H$23:H682)-SUM($I$23:I681),IF(AND(EOMONTH(F682,0)=F682,MONTH(F682)=12),IF(MOD(YEAR(F681),4)=0,IF(F682-'депозитный калькулятор'!$D$7&lt;366,SUM($H$23:H682),SUM(OFFSET(H682,-365,0):H682)),IF(F682-'депозитный калькулятор'!$D$7&lt;365,SUM($H$23:H682),SUM(OFFSET(H682,-364,0):H682))),0))),IF(AND('депозитный калькулятор'!$G$10="в конце срока",'депозитный калькулятор'!$D$8=F682),SUM($H$23:H682),0))))))))))))))))))</f>
        <v xml:space="preserve"> </v>
      </c>
      <c r="J682" s="59" t="str">
        <f>IF(F682&gt;'депозитный калькулятор'!$D$8," ",IF('депозитный калькулятор'!$G$16="нет",0,IF(AND('депозитный калькулятор'!$G$17="разовая (в конце срока)",F682='депозитный калькулятор'!$D$8),'депозитный калькулятор'!$G$18,IF(AND('депозитный калькулятор'!$G$17="ежемесячная",EOMONTH(F681,0)=F681),'депозитный калькулятор'!$G$18,IF(AND('депозитный калькулятор'!$G$17="ежегодная",DAY(F681)=31,MONTH(F681)=12),'депозитный калькулятор'!$G$18,IF(AND('депозитный калькулятор'!$G$17="ежемесячная в зависимости от остатка",EOMONTH(F681,0)=F681,P681&gt;0),'депозитный калькулятор'!$G$18,IF(AND('депозитный калькулятор'!$G$17="ежегодная в зависимости от остатка",DAY(F681)=31,MONTH(F681)=12,P681&gt;0),'депозитный калькулятор'!$G$18,0)))))))</f>
        <v xml:space="preserve"> </v>
      </c>
      <c r="K682" s="135" t="str">
        <f>IF($F682=" "," ",IFERROR(VLOOKUP($F682,'депозитный калькулятор'!$B$26:$F$70,2,0),0))</f>
        <v xml:space="preserve"> </v>
      </c>
      <c r="L682" s="135" t="str">
        <f>IF($F682=" "," ",IFERROR(VLOOKUP($F682,'депозитный калькулятор'!$B$26:$F$70,3,0),0))</f>
        <v xml:space="preserve"> </v>
      </c>
      <c r="M682" s="135" t="str">
        <f>IF($F682=" "," ",IFERROR(VLOOKUP($F682,'депозитный калькулятор'!$B$26:$F$70,4,0),0))</f>
        <v xml:space="preserve"> </v>
      </c>
      <c r="N682" s="135" t="str">
        <f>IF($F682=" "," ",IFERROR(VLOOKUP($F682,'депозитный калькулятор'!$B$26:$F$70,5,0),0))</f>
        <v xml:space="preserve"> </v>
      </c>
      <c r="O682" s="146" t="str">
        <f>IF(F682&gt;'депозитный калькулятор'!$D$8," ",IF(F682='депозитный калькулятор'!$D$8,IF(AND($F$24='депозитный калькулятор'!$D$8,'депозитный калькулятор'!$G$13="нет"),-G682-IF(I682=" ",0,I682)-IF(AND(OR('депозитный калькулятор'!$G$7="30/365",'депозитный калькулятор'!$G$7="30/360"),'депозитный калькулятор'!$G$10="в начале срока"),I681,0)-L682+M682-N682,-G682-IF(I682=" ",0,I682)-L682+M682-N682),IF('депозитный калькулятор'!$G$13="есть",M682-N682+IF('депозитный калькулятор'!$G$14="есть",0,-L682),-IF(I682=" ",0,I682)-IF(AND(OR('депозитный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срока"),I681,0)+M682-N682+IF('депозитный калькулятор'!$G$14="есть",0,-L682))))</f>
        <v xml:space="preserve"> </v>
      </c>
      <c r="P682" s="147" t="str">
        <f>IF(F682&gt;'депозитный калькулятор'!$D$8," ",IF(EOMONTH(F681,0)=F681,0,IF(G682&gt;='депозитный калькулятор'!$G$19,P681,P681+1)))</f>
        <v xml:space="preserve"> </v>
      </c>
      <c r="Q682" s="138" t="str">
        <f>IF(F682=" "," ",IF(AND(OR('депозитный калькулятор'!$G$7="30/365",'депозитный калькулятор'!$G$7="30/360"),AND(MONTH(F682)=2,EOMONTH(F682,0)=F682)),IF(DAY(F682)=28,3,2),1)*IF(G682&gt;='депозитный калькулятор'!$G$11,IF(AND('депозитный калькулятор'!$G$7="факт/факт",MOD(YEAR(F682),4)=0),G682*'депозитный калькулятор'!$D$11/366,G682*'депозитный калькулятор'!$G$8),0))</f>
        <v xml:space="preserve"> </v>
      </c>
      <c r="R682" s="158"/>
      <c r="S682" s="62" t="str">
        <f t="shared" ca="1" si="52"/>
        <v xml:space="preserve"> </v>
      </c>
      <c r="T682" s="149" t="str">
        <f ca="1">IF(S682=" "," ",IF('депозитный калькулятор'!$G$7="30/360",DAYS360(U681,IF(DAY(U682)=31,U682-1,U682))+IF(AND(MONTH(U682)=2,U682=EOMONTH(U682,0)),30-DAY(EOMONTH(U682,0)))+T681,VLOOKUP(S682,$C$22:$F$1023,2,0)))</f>
        <v xml:space="preserve"> </v>
      </c>
      <c r="U682" s="64" t="str">
        <f t="shared" ca="1" si="50"/>
        <v xml:space="preserve"> </v>
      </c>
      <c r="V682" s="150" t="str">
        <f t="shared" ca="1" si="53"/>
        <v xml:space="preserve"> </v>
      </c>
      <c r="W682" s="62" t="str">
        <f t="shared" ca="1" si="54"/>
        <v xml:space="preserve"> </v>
      </c>
      <c r="X682" s="141" t="str">
        <f ca="1">IF(S682=" "," ",IFERROR(VLOOKUP(U682,$F$23:$N$1023,7)+VLOOKUP(U682,$F$23:$N$1023,9)+IF(AND('депозитный калькулятор'!$G$13="нет",U682&lt;&gt;'депозитный калькулятор'!$D$8),VLOOKUP(U682,$F$23:$N$1023,4),0),0)+IF(U682='депозитный калькулятор'!$D$8,VLOOKUP(U682,$F$23:$N$1023,2)+VLOOKUP(U682,$F$23:$N$1023,4),0))</f>
        <v xml:space="preserve"> </v>
      </c>
      <c r="Y682" s="142" t="str">
        <f ca="1">IF(S682=" "," ",W682/(1+'депозитный калькулятор'!$K$8)^(T682/IF('депозитный калькулятор'!$G$7="30/360",360,365)))</f>
        <v xml:space="preserve"> </v>
      </c>
      <c r="Z682" s="142" t="str">
        <f ca="1">IF(S682=" "," ",X682/(1+'депозитный калькулятор'!$K$8)^(T682/IF('депозитный калькулятор'!$G$7="30/360",360,365)))</f>
        <v xml:space="preserve"> </v>
      </c>
      <c r="AA682" s="151"/>
      <c r="AB682" s="151"/>
      <c r="AC682" s="155"/>
      <c r="AD682" s="155"/>
    </row>
    <row r="683" spans="1:30" s="2" customFormat="1" ht="15.5" x14ac:dyDescent="0.35">
      <c r="A683" s="41" t="str">
        <f>IF(F683=" "," ",IF(OR('депозитный калькулятор'!$G$7="30/365",'депозитный калькулятор'!$G$7="30/360"),IF(AND(MONTH(F683)=2,DAY(F683)=DAY(EOMONTH(F683,0))),30-DAY(EOMONTH(F683,0)),IF(DAY(F683)=31,1," "))," "))</f>
        <v xml:space="preserve"> </v>
      </c>
      <c r="B683" s="130" t="str">
        <f t="shared" si="51"/>
        <v xml:space="preserve"> </v>
      </c>
      <c r="C683" s="130" t="str">
        <f>IF(OR(B683=0,B683=" ")," ",SUM($B$23:B683))</f>
        <v xml:space="preserve"> </v>
      </c>
      <c r="D683" s="62" t="str">
        <f>IF(D682=" "," ",IF(OR(F682='депозитный калькулятор'!$D$8,F682=" ")," ",D682+1))</f>
        <v xml:space="preserve"> </v>
      </c>
      <c r="E683" s="130" t="str">
        <f>IF(OR(F682='депозитный калькулятор'!$D$8,F682=" ")," ",IF(EOMONTH(F682,0)=F682,1,E682+1))</f>
        <v xml:space="preserve"> </v>
      </c>
      <c r="F683" s="64" t="str">
        <f>IF(F682=" "," ",IF(F682='депозитный калькулятор'!$D$8," ",F682+1))</f>
        <v xml:space="preserve"> </v>
      </c>
      <c r="G683" s="145" t="str">
        <f xml:space="preserve"> IF(F683&gt;'депозитный калькулятор'!$D$8," ",IF('депозитный калькулятор'!$G$13="есть",IF('депозитный калькулятор'!$G$14="есть",G682+IF(I682=" ",0,I682)-J683-K683+L683+M683-N683,G682+IF(I682=" ",0,I682)-J683-K683+M683-N683),IF('депозитный калькулятор'!$G$14="есть",G682-J683-K683+L683+M683-N683,G682-J683-K683+M683-N683)))</f>
        <v xml:space="preserve"> </v>
      </c>
      <c r="H683" s="133" t="str">
        <f>IF(F683&gt;'депозитный калькулятор'!$D$8," ",IF(AND(OR('депозитный калькулятор'!$G$7="30/365",'депозитный калькулятор'!$G$7="30/360"),AND(MONTH(F683)=2,EOMONTH(F683,0)=F683)),IF(DAY(F683)=28,3*G683*'депозитный калькулятор'!$G$8,2*G683*'депозитный калькулятор'!$G$8),IF(AND(OR('депозитный калькулятор'!$G$7="30/365",'депозитный калькулятор'!$G$7="30/360"),DAY(F683)=31)," ",IF(AND('депозитный калькулятор'!$G$7="факт/факт",MOD(YEAR(F683),4)=0),G683*'депозитный калькулятор'!$D$11/366,G683*'депозитный калькулятор'!$G$8))))</f>
        <v xml:space="preserve"> </v>
      </c>
      <c r="I683" s="134" t="str">
        <f ca="1">IF(F683=" "," ",IF('депозитный калькулятор'!$G$10="ежедневное",H683,IF(AND('депозитный калькулятор'!$G$10="еженедельное",WEEKDAY(F683,2)=7),SUM(OFFSET(H683,-6,0):H683),IF(AND('депозитный калькулятор'!$G$10="еженедельное",F683='депозитный калькулятор'!$D$8),SUM($H$23:H683)-SUM($I$23:I682),IF(AND('депозитный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недели",WEEKDAY(F683,2)=7),MIN(OFFSET(H683,-6,0):H683)*(COUNTIF(OFFSET(H683,-6,0):H683,"&gt;0")+SUMIF(OFFSET(A683,-WEEKDAY(F683,2),0):A683,"=2",OFFSET(A683,-WEEKDAY(F683,2),0):A683)),IF(AND('депозитный калькулятор'!$G$10="еженедельное, на минимальную сумму зафиксированную в течение недели",F683='депозитный калькулятор'!$D$8,WEEKDAY(F683,2)&lt;&gt;7),MIN(OFFSET(H683,-WEEKDAY(F683,2),0):H683)*(COUNTIF(OFFSET(H683,-WEEKDAY(F683,2)+1,0):H683,"&gt;0")+SUM(OFFSET(A683,-WEEKDAY(F683,2),0):A683)),IF(AND('депозитный калькулятор'!$G$10="ежемесячное (в конце месяца)",F683='депозитный калькулятор'!$D$8,EOMONTH(F683,0)&lt;&gt;F683),IF('депозитный калькулятор'!$F$1=1,$H$24,SUM($H$23:H683)-SUM($I$23:I682)),IF(AND('депозитный калькулятор'!$G$10="ежемесячное (в конце месяца)",EOMONTH(F683,0)=F683),SUM($H$23:H683)-SUM($I$23:I682),IF(AND('депозитный калькулятор'!$G$10="ежемесячное (по дням открытия вклада)",F683='депозитный калькулятор'!$D$8,DAY('депозитный калькулятор'!$D$7)&lt;&gt;DAY(F683)),IF('депозитный калькулятор'!$F$1=1,$H$24,SUM($H$23:H683)-SUM($I$23:I682)),IF(AND('депозитный калькулятор'!$G$10="ежемесячное (по дням открытия вклада)",DAY('депозитный калькулятор'!$D$7)=DAY(F683)),SUM($H$23:H683)-SUM($I$23:I682),IF(AND('депозитный калькулятор'!$G$10="ежемесячное, на минимальную сумму зафиксированную в течение месяца",F683='депозитный калькулятор'!$D$8,EOMONTH(F683,0)&lt;&gt;F683),IF('депозитный калькулятор'!$F$1=1,$H$24,IF(AND(OR('депозитный калькулятор'!$G$7="30/365",'депозитный калькулятор'!$G$7="30/360"),DAY(F683)=31),0,MIN(OFFSET(H683,-E683+1,0):H683)*(E683+SUMIF(OFFSET(A683,-E683+1,0):A683,"=2",OFFSET(A683,-E683+1,0):A683)))),IF(AND('депозитный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калькулятор'!$G$7="30/360"),DAY(EOMONTH(F683,0))=31),EOMONTH(F683,0)-1=F683,EOMONTH(F683,0)=F683)),IF(IF(AND(OR('депозитный калькулятор'!$G$7="30/365",'депозитный калькулятор'!$G$7="30/360"),DAY(EOMONTH($F$23,0))=31),F683=EOMONTH($F$23,0)-1,F683=EOMONTH($F$23,0)),MIN(OFFSET(H683,-(DAY(F683)-DAY($F$23)),0):H683)*E683,MIN(OFFSET(H683,-(DAY(F683)-1),0):H683)*IF(AND(OR('депозитный калькулятор'!$G$7="30/365",'депозитный калькулятор'!$G$7="30/360"),DAY(F683)&lt;30),30,DAY(F683))),IF(AND('депозитный калькулятор'!$G$10="ежемесячное, на средний остаток в течение месяца, при условии что остаток больше чем ограничение",F683='депозитный калькулятор'!$D$8,EOMONTH(F683,0)&lt;&gt;F683),IF('депозитный калькулятор'!$F$1=1,$H$24,SUM(OFFSET(Q683,-E683+1,0):Q683)),IF(AND('депозитный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калькулятор'!$G$7="30/360"),DAY(EOMONTH(F683,0))=31),EOMONTH(F683,0)-1=F683,EOMONTH(F683,0)=F683)),IF(IF(AND(OR('депозитный калькулятор'!$G$7="30/365",'депозитный калькулятор'!$G$7="30/360"),DAY(EOMONTH($F$24,0))=31),F683=EOMONTH($F$24,0)-1,F683=EOMONTH($F$24,0)),SUM(OFFSET(Q683,-E683+1,0):Q683),SUM(OFFSET(Q683,-E683+1,0):Q683)),IF('депозитный калькулятор'!$G$10="ежеквартальное",IF(F683&gt;'депозитный калькулятор'!$D$8," ",IF(AND(EOMONTH(F683,0)=F683,OR(MONTH(F683)=3,MONTH(F683)=6,MONTH(F683)=9,MONTH(F683)=12)),IF(EDATE(F683,-3)&lt;'депозитный калькулятор'!$D$7,SUM($H$23:H683),IF(MOD(YEAR(F683),4)=0,IF(AND(EOMONTH(F683,0)=F683,OR(MONTH(F683)=3,MONTH(F683)=6)),SUM(OFFSET(H683,-90,0):H683),IF(AND(EOMONTH(F683,0)=F683,OR(MONTH(F683)=9,MONTH(F683)=12)),SUM(OFFSET(H683,-91,0):H683))),IF(AND(EOMONTH(F683,0)=F683,MONTH(F683)=3),SUM(OFFSET(H683,-89,0):H683),IF(AND(EOMONTH(F683,0)=F683,MONTH(F683)=6),SUM(OFFSET(H683,-90,0):H683),IF(AND(EOMONTH(F683,0)=F683,OR(MONTH(F683)=9,MONTH(F683)=12)),SUM(OFFSET(H683,-91,0):H683)))))),IF(F683='депозитный калькулятор'!$D$8,SUM($H$23:H683)-SUM($I$23:I682),0))),IF('депозитный калькулятор'!$G$10="ежегодное",IF(F683&gt;'депозитный калькулятор'!$D$8," ",IF(F683='депозитный калькулятор'!$D$8,SUM($H$23:H683)-SUM($I$23:I682),IF(AND(EOMONTH(F683,0)=F683,MONTH(F683)=12),IF(MOD(YEAR(F682),4)=0,IF(F683-'депозитный калькулятор'!$D$7&lt;366,SUM($H$23:H683),SUM(OFFSET(H683,-365,0):H683)),IF(F683-'депозитный калькулятор'!$D$7&lt;365,SUM($H$23:H683),SUM(OFFSET(H683,-364,0):H683))),0))),IF(AND('депозитный калькулятор'!$G$10="в конце срока",'депозитный калькулятор'!$D$8=F683),SUM($H$23:H683),0))))))))))))))))))</f>
        <v xml:space="preserve"> </v>
      </c>
      <c r="J683" s="59" t="str">
        <f>IF(F683&gt;'депозитный калькулятор'!$D$8," ",IF('депозитный калькулятор'!$G$16="нет",0,IF(AND('депозитный калькулятор'!$G$17="разовая (в конце срока)",F683='депозитный калькулятор'!$D$8),'депозитный калькулятор'!$G$18,IF(AND('депозитный калькулятор'!$G$17="ежемесячная",EOMONTH(F682,0)=F682),'депозитный калькулятор'!$G$18,IF(AND('депозитный калькулятор'!$G$17="ежегодная",DAY(F682)=31,MONTH(F682)=12),'депозитный калькулятор'!$G$18,IF(AND('депозитный калькулятор'!$G$17="ежемесячная в зависимости от остатка",EOMONTH(F682,0)=F682,P682&gt;0),'депозитный калькулятор'!$G$18,IF(AND('депозитный калькулятор'!$G$17="ежегодная в зависимости от остатка",DAY(F682)=31,MONTH(F682)=12,P682&gt;0),'депозитный калькулятор'!$G$18,0)))))))</f>
        <v xml:space="preserve"> </v>
      </c>
      <c r="K683" s="135" t="str">
        <f>IF($F683=" "," ",IFERROR(VLOOKUP($F683,'депозитный калькулятор'!$B$26:$F$70,2,0),0))</f>
        <v xml:space="preserve"> </v>
      </c>
      <c r="L683" s="135" t="str">
        <f>IF($F683=" "," ",IFERROR(VLOOKUP($F683,'депозитный калькулятор'!$B$26:$F$70,3,0),0))</f>
        <v xml:space="preserve"> </v>
      </c>
      <c r="M683" s="135" t="str">
        <f>IF($F683=" "," ",IFERROR(VLOOKUP($F683,'депозитный калькулятор'!$B$26:$F$70,4,0),0))</f>
        <v xml:space="preserve"> </v>
      </c>
      <c r="N683" s="135" t="str">
        <f>IF($F683=" "," ",IFERROR(VLOOKUP($F683,'депозитный калькулятор'!$B$26:$F$70,5,0),0))</f>
        <v xml:space="preserve"> </v>
      </c>
      <c r="O683" s="146" t="str">
        <f>IF(F683&gt;'депозитный калькулятор'!$D$8," ",IF(F683='депозитный калькулятор'!$D$8,IF(AND($F$24='депозитный калькулятор'!$D$8,'депозитный калькулятор'!$G$13="нет"),-G683-IF(I683=" ",0,I683)-IF(AND(OR('депозитный калькулятор'!$G$7="30/365",'депозитный калькулятор'!$G$7="30/360"),'депозитный калькулятор'!$G$10="в начале срока"),I682,0)-L683+M683-N683,-G683-IF(I683=" ",0,I683)-L683+M683-N683),IF('депозитный калькулятор'!$G$13="есть",M683-N683+IF('депозитный калькулятор'!$G$14="есть",0,-L683),-IF(I683=" ",0,I683)-IF(AND(OR('депозитный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срока"),I682,0)+M683-N683+IF('депозитный калькулятор'!$G$14="есть",0,-L683))))</f>
        <v xml:space="preserve"> </v>
      </c>
      <c r="P683" s="147" t="str">
        <f>IF(F683&gt;'депозитный калькулятор'!$D$8," ",IF(EOMONTH(F682,0)=F682,0,IF(G683&gt;='депозитный калькулятор'!$G$19,P682,P682+1)))</f>
        <v xml:space="preserve"> </v>
      </c>
      <c r="Q683" s="138" t="str">
        <f>IF(F683=" "," ",IF(AND(OR('депозитный калькулятор'!$G$7="30/365",'депозитный калькулятор'!$G$7="30/360"),AND(MONTH(F683)=2,EOMONTH(F683,0)=F683)),IF(DAY(F683)=28,3,2),1)*IF(G683&gt;='депозитный калькулятор'!$G$11,IF(AND('депозитный калькулятор'!$G$7="факт/факт",MOD(YEAR(F683),4)=0),G683*'депозитный калькулятор'!$D$11/366,G683*'депозитный калькулятор'!$G$8),0))</f>
        <v xml:space="preserve"> </v>
      </c>
      <c r="R683" s="158"/>
      <c r="S683" s="62" t="str">
        <f t="shared" ca="1" si="52"/>
        <v xml:space="preserve"> </v>
      </c>
      <c r="T683" s="149" t="str">
        <f ca="1">IF(S683=" "," ",IF('депозитный калькулятор'!$G$7="30/360",DAYS360(U682,IF(DAY(U683)=31,U683-1,U683))+IF(AND(MONTH(U683)=2,U683=EOMONTH(U683,0)),30-DAY(EOMONTH(U683,0)))+T682,VLOOKUP(S683,$C$22:$F$1023,2,0)))</f>
        <v xml:space="preserve"> </v>
      </c>
      <c r="U683" s="64" t="str">
        <f t="shared" ca="1" si="50"/>
        <v xml:space="preserve"> </v>
      </c>
      <c r="V683" s="150" t="str">
        <f t="shared" ca="1" si="53"/>
        <v xml:space="preserve"> </v>
      </c>
      <c r="W683" s="62" t="str">
        <f t="shared" ca="1" si="54"/>
        <v xml:space="preserve"> </v>
      </c>
      <c r="X683" s="141" t="str">
        <f ca="1">IF(S683=" "," ",IFERROR(VLOOKUP(U683,$F$23:$N$1023,7)+VLOOKUP(U683,$F$23:$N$1023,9)+IF(AND('депозитный калькулятор'!$G$13="нет",U683&lt;&gt;'депозитный калькулятор'!$D$8),VLOOKUP(U683,$F$23:$N$1023,4),0),0)+IF(U683='депозитный калькулятор'!$D$8,VLOOKUP(U683,$F$23:$N$1023,2)+VLOOKUP(U683,$F$23:$N$1023,4),0))</f>
        <v xml:space="preserve"> </v>
      </c>
      <c r="Y683" s="142" t="str">
        <f ca="1">IF(S683=" "," ",W683/(1+'депозитный калькулятор'!$K$8)^(T683/IF('депозитный калькулятор'!$G$7="30/360",360,365)))</f>
        <v xml:space="preserve"> </v>
      </c>
      <c r="Z683" s="142" t="str">
        <f ca="1">IF(S683=" "," ",X683/(1+'депозитный калькулятор'!$K$8)^(T683/IF('депозитный калькулятор'!$G$7="30/360",360,365)))</f>
        <v xml:space="preserve"> </v>
      </c>
      <c r="AA683" s="151"/>
      <c r="AB683" s="151"/>
      <c r="AC683" s="155"/>
      <c r="AD683" s="155"/>
    </row>
    <row r="684" spans="1:30" s="2" customFormat="1" ht="15.5" x14ac:dyDescent="0.35">
      <c r="A684" s="41" t="str">
        <f>IF(F684=" "," ",IF(OR('депозитный калькулятор'!$G$7="30/365",'депозитный калькулятор'!$G$7="30/360"),IF(AND(MONTH(F684)=2,DAY(F684)=DAY(EOMONTH(F684,0))),30-DAY(EOMONTH(F684,0)),IF(DAY(F684)=31,1," "))," "))</f>
        <v xml:space="preserve"> </v>
      </c>
      <c r="B684" s="130" t="str">
        <f t="shared" si="51"/>
        <v xml:space="preserve"> </v>
      </c>
      <c r="C684" s="130" t="str">
        <f>IF(OR(B684=0,B684=" ")," ",SUM($B$23:B684))</f>
        <v xml:space="preserve"> </v>
      </c>
      <c r="D684" s="62" t="str">
        <f>IF(D683=" "," ",IF(OR(F683='депозитный калькулятор'!$D$8,F683=" ")," ",D683+1))</f>
        <v xml:space="preserve"> </v>
      </c>
      <c r="E684" s="130" t="str">
        <f>IF(OR(F683='депозитный калькулятор'!$D$8,F683=" ")," ",IF(EOMONTH(F683,0)=F683,1,E683+1))</f>
        <v xml:space="preserve"> </v>
      </c>
      <c r="F684" s="64" t="str">
        <f>IF(F683=" "," ",IF(F683='депозитный калькулятор'!$D$8," ",F683+1))</f>
        <v xml:space="preserve"> </v>
      </c>
      <c r="G684" s="145" t="str">
        <f xml:space="preserve"> IF(F684&gt;'депозитный калькулятор'!$D$8," ",IF('депозитный калькулятор'!$G$13="есть",IF('депозитный калькулятор'!$G$14="есть",G683+IF(I683=" ",0,I683)-J684-K684+L684+M684-N684,G683+IF(I683=" ",0,I683)-J684-K684+M684-N684),IF('депозитный калькулятор'!$G$14="есть",G683-J684-K684+L684+M684-N684,G683-J684-K684+M684-N684)))</f>
        <v xml:space="preserve"> </v>
      </c>
      <c r="H684" s="133" t="str">
        <f>IF(F684&gt;'депозитный калькулятор'!$D$8," ",IF(AND(OR('депозитный калькулятор'!$G$7="30/365",'депозитный калькулятор'!$G$7="30/360"),AND(MONTH(F684)=2,EOMONTH(F684,0)=F684)),IF(DAY(F684)=28,3*G684*'депозитный калькулятор'!$G$8,2*G684*'депозитный калькулятор'!$G$8),IF(AND(OR('депозитный калькулятор'!$G$7="30/365",'депозитный калькулятор'!$G$7="30/360"),DAY(F684)=31)," ",IF(AND('депозитный калькулятор'!$G$7="факт/факт",MOD(YEAR(F684),4)=0),G684*'депозитный калькулятор'!$D$11/366,G684*'депозитный калькулятор'!$G$8))))</f>
        <v xml:space="preserve"> </v>
      </c>
      <c r="I684" s="134" t="str">
        <f ca="1">IF(F684=" "," ",IF('депозитный калькулятор'!$G$10="ежедневное",H684,IF(AND('депозитный калькулятор'!$G$10="еженедельное",WEEKDAY(F684,2)=7),SUM(OFFSET(H684,-6,0):H684),IF(AND('депозитный калькулятор'!$G$10="еженедельное",F684='депозитный калькулятор'!$D$8),SUM($H$23:H684)-SUM($I$23:I683),IF(AND('депозитный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недели",WEEKDAY(F684,2)=7),MIN(OFFSET(H684,-6,0):H684)*(COUNTIF(OFFSET(H684,-6,0):H684,"&gt;0")+SUMIF(OFFSET(A684,-WEEKDAY(F684,2),0):A684,"=2",OFFSET(A684,-WEEKDAY(F684,2),0):A684)),IF(AND('депозитный калькулятор'!$G$10="еженедельное, на минимальную сумму зафиксированную в течение недели",F684='депозитный калькулятор'!$D$8,WEEKDAY(F684,2)&lt;&gt;7),MIN(OFFSET(H684,-WEEKDAY(F684,2),0):H684)*(COUNTIF(OFFSET(H684,-WEEKDAY(F684,2)+1,0):H684,"&gt;0")+SUM(OFFSET(A684,-WEEKDAY(F684,2),0):A684)),IF(AND('депозитный калькулятор'!$G$10="ежемесячное (в конце месяца)",F684='депозитный калькулятор'!$D$8,EOMONTH(F684,0)&lt;&gt;F684),IF('депозитный калькулятор'!$F$1=1,$H$24,SUM($H$23:H684)-SUM($I$23:I683)),IF(AND('депозитный калькулятор'!$G$10="ежемесячное (в конце месяца)",EOMONTH(F684,0)=F684),SUM($H$23:H684)-SUM($I$23:I683),IF(AND('депозитный калькулятор'!$G$10="ежемесячное (по дням открытия вклада)",F684='депозитный калькулятор'!$D$8,DAY('депозитный калькулятор'!$D$7)&lt;&gt;DAY(F684)),IF('депозитный калькулятор'!$F$1=1,$H$24,SUM($H$23:H684)-SUM($I$23:I683)),IF(AND('депозитный калькулятор'!$G$10="ежемесячное (по дням открытия вклада)",DAY('депозитный калькулятор'!$D$7)=DAY(F684)),SUM($H$23:H684)-SUM($I$23:I683),IF(AND('депозитный калькулятор'!$G$10="ежемесячное, на минимальную сумму зафиксированную в течение месяца",F684='депозитный калькулятор'!$D$8,EOMONTH(F684,0)&lt;&gt;F684),IF('депозитный калькулятор'!$F$1=1,$H$24,IF(AND(OR('депозитный калькулятор'!$G$7="30/365",'депозитный калькулятор'!$G$7="30/360"),DAY(F684)=31),0,MIN(OFFSET(H684,-E684+1,0):H684)*(E684+SUMIF(OFFSET(A684,-E684+1,0):A684,"=2",OFFSET(A684,-E684+1,0):A684)))),IF(AND('депозитный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калькулятор'!$G$7="30/360"),DAY(EOMONTH(F684,0))=31),EOMONTH(F684,0)-1=F684,EOMONTH(F684,0)=F684)),IF(IF(AND(OR('депозитный калькулятор'!$G$7="30/365",'депозитный калькулятор'!$G$7="30/360"),DAY(EOMONTH($F$23,0))=31),F684=EOMONTH($F$23,0)-1,F684=EOMONTH($F$23,0)),MIN(OFFSET(H684,-(DAY(F684)-DAY($F$23)),0):H684)*E684,MIN(OFFSET(H684,-(DAY(F684)-1),0):H684)*IF(AND(OR('депозитный калькулятор'!$G$7="30/365",'депозитный калькулятор'!$G$7="30/360"),DAY(F684)&lt;30),30,DAY(F684))),IF(AND('депозитный калькулятор'!$G$10="ежемесячное, на средний остаток в течение месяца, при условии что остаток больше чем ограничение",F684='депозитный калькулятор'!$D$8,EOMONTH(F684,0)&lt;&gt;F684),IF('депозитный калькулятор'!$F$1=1,$H$24,SUM(OFFSET(Q684,-E684+1,0):Q684)),IF(AND('депозитный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калькулятор'!$G$7="30/360"),DAY(EOMONTH(F684,0))=31),EOMONTH(F684,0)-1=F684,EOMONTH(F684,0)=F684)),IF(IF(AND(OR('депозитный калькулятор'!$G$7="30/365",'депозитный калькулятор'!$G$7="30/360"),DAY(EOMONTH($F$24,0))=31),F684=EOMONTH($F$24,0)-1,F684=EOMONTH($F$24,0)),SUM(OFFSET(Q684,-E684+1,0):Q684),SUM(OFFSET(Q684,-E684+1,0):Q684)),IF('депозитный калькулятор'!$G$10="ежеквартальное",IF(F684&gt;'депозитный калькулятор'!$D$8," ",IF(AND(EOMONTH(F684,0)=F684,OR(MONTH(F684)=3,MONTH(F684)=6,MONTH(F684)=9,MONTH(F684)=12)),IF(EDATE(F684,-3)&lt;'депозитный калькулятор'!$D$7,SUM($H$23:H684),IF(MOD(YEAR(F684),4)=0,IF(AND(EOMONTH(F684,0)=F684,OR(MONTH(F684)=3,MONTH(F684)=6)),SUM(OFFSET(H684,-90,0):H684),IF(AND(EOMONTH(F684,0)=F684,OR(MONTH(F684)=9,MONTH(F684)=12)),SUM(OFFSET(H684,-91,0):H684))),IF(AND(EOMONTH(F684,0)=F684,MONTH(F684)=3),SUM(OFFSET(H684,-89,0):H684),IF(AND(EOMONTH(F684,0)=F684,MONTH(F684)=6),SUM(OFFSET(H684,-90,0):H684),IF(AND(EOMONTH(F684,0)=F684,OR(MONTH(F684)=9,MONTH(F684)=12)),SUM(OFFSET(H684,-91,0):H684)))))),IF(F684='депозитный калькулятор'!$D$8,SUM($H$23:H684)-SUM($I$23:I683),0))),IF('депозитный калькулятор'!$G$10="ежегодное",IF(F684&gt;'депозитный калькулятор'!$D$8," ",IF(F684='депозитный калькулятор'!$D$8,SUM($H$23:H684)-SUM($I$23:I683),IF(AND(EOMONTH(F684,0)=F684,MONTH(F684)=12),IF(MOD(YEAR(F683),4)=0,IF(F684-'депозитный калькулятор'!$D$7&lt;366,SUM($H$23:H684),SUM(OFFSET(H684,-365,0):H684)),IF(F684-'депозитный калькулятор'!$D$7&lt;365,SUM($H$23:H684),SUM(OFFSET(H684,-364,0):H684))),0))),IF(AND('депозитный калькулятор'!$G$10="в конце срока",'депозитный калькулятор'!$D$8=F684),SUM($H$23:H684),0))))))))))))))))))</f>
        <v xml:space="preserve"> </v>
      </c>
      <c r="J684" s="59" t="str">
        <f>IF(F684&gt;'депозитный калькулятор'!$D$8," ",IF('депозитный калькулятор'!$G$16="нет",0,IF(AND('депозитный калькулятор'!$G$17="разовая (в конце срока)",F684='депозитный калькулятор'!$D$8),'депозитный калькулятор'!$G$18,IF(AND('депозитный калькулятор'!$G$17="ежемесячная",EOMONTH(F683,0)=F683),'депозитный калькулятор'!$G$18,IF(AND('депозитный калькулятор'!$G$17="ежегодная",DAY(F683)=31,MONTH(F683)=12),'депозитный калькулятор'!$G$18,IF(AND('депозитный калькулятор'!$G$17="ежемесячная в зависимости от остатка",EOMONTH(F683,0)=F683,P683&gt;0),'депозитный калькулятор'!$G$18,IF(AND('депозитный калькулятор'!$G$17="ежегодная в зависимости от остатка",DAY(F683)=31,MONTH(F683)=12,P683&gt;0),'депозитный калькулятор'!$G$18,0)))))))</f>
        <v xml:space="preserve"> </v>
      </c>
      <c r="K684" s="135" t="str">
        <f>IF($F684=" "," ",IFERROR(VLOOKUP($F684,'депозитный калькулятор'!$B$26:$F$70,2,0),0))</f>
        <v xml:space="preserve"> </v>
      </c>
      <c r="L684" s="135" t="str">
        <f>IF($F684=" "," ",IFERROR(VLOOKUP($F684,'депозитный калькулятор'!$B$26:$F$70,3,0),0))</f>
        <v xml:space="preserve"> </v>
      </c>
      <c r="M684" s="135" t="str">
        <f>IF($F684=" "," ",IFERROR(VLOOKUP($F684,'депозитный калькулятор'!$B$26:$F$70,4,0),0))</f>
        <v xml:space="preserve"> </v>
      </c>
      <c r="N684" s="135" t="str">
        <f>IF($F684=" "," ",IFERROR(VLOOKUP($F684,'депозитный калькулятор'!$B$26:$F$70,5,0),0))</f>
        <v xml:space="preserve"> </v>
      </c>
      <c r="O684" s="146" t="str">
        <f>IF(F684&gt;'депозитный калькулятор'!$D$8," ",IF(F684='депозитный калькулятор'!$D$8,IF(AND($F$24='депозитный калькулятор'!$D$8,'депозитный калькулятор'!$G$13="нет"),-G684-IF(I684=" ",0,I684)-IF(AND(OR('депозитный калькулятор'!$G$7="30/365",'депозитный калькулятор'!$G$7="30/360"),'депозитный калькулятор'!$G$10="в начале срока"),I683,0)-L684+M684-N684,-G684-IF(I684=" ",0,I684)-L684+M684-N684),IF('депозитный калькулятор'!$G$13="есть",M684-N684+IF('депозитный калькулятор'!$G$14="есть",0,-L684),-IF(I684=" ",0,I684)-IF(AND(OR('депозитный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срока"),I683,0)+M684-N684+IF('депозитный калькулятор'!$G$14="есть",0,-L684))))</f>
        <v xml:space="preserve"> </v>
      </c>
      <c r="P684" s="147" t="str">
        <f>IF(F684&gt;'депозитный калькулятор'!$D$8," ",IF(EOMONTH(F683,0)=F683,0,IF(G684&gt;='депозитный калькулятор'!$G$19,P683,P683+1)))</f>
        <v xml:space="preserve"> </v>
      </c>
      <c r="Q684" s="138" t="str">
        <f>IF(F684=" "," ",IF(AND(OR('депозитный калькулятор'!$G$7="30/365",'депозитный калькулятор'!$G$7="30/360"),AND(MONTH(F684)=2,EOMONTH(F684,0)=F684)),IF(DAY(F684)=28,3,2),1)*IF(G684&gt;='депозитный калькулятор'!$G$11,IF(AND('депозитный калькулятор'!$G$7="факт/факт",MOD(YEAR(F684),4)=0),G684*'депозитный калькулятор'!$D$11/366,G684*'депозитный калькулятор'!$G$8),0))</f>
        <v xml:space="preserve"> </v>
      </c>
      <c r="R684" s="158"/>
      <c r="S684" s="62" t="str">
        <f t="shared" ca="1" si="52"/>
        <v xml:space="preserve"> </v>
      </c>
      <c r="T684" s="149" t="str">
        <f ca="1">IF(S684=" "," ",IF('депозитный калькулятор'!$G$7="30/360",DAYS360(U683,IF(DAY(U684)=31,U684-1,U684))+IF(AND(MONTH(U684)=2,U684=EOMONTH(U684,0)),30-DAY(EOMONTH(U684,0)))+T683,VLOOKUP(S684,$C$22:$F$1023,2,0)))</f>
        <v xml:space="preserve"> </v>
      </c>
      <c r="U684" s="64" t="str">
        <f t="shared" ca="1" si="50"/>
        <v xml:space="preserve"> </v>
      </c>
      <c r="V684" s="150" t="str">
        <f t="shared" ca="1" si="53"/>
        <v xml:space="preserve"> </v>
      </c>
      <c r="W684" s="62" t="str">
        <f t="shared" ca="1" si="54"/>
        <v xml:space="preserve"> </v>
      </c>
      <c r="X684" s="141" t="str">
        <f ca="1">IF(S684=" "," ",IFERROR(VLOOKUP(U684,$F$23:$N$1023,7)+VLOOKUP(U684,$F$23:$N$1023,9)+IF(AND('депозитный калькулятор'!$G$13="нет",U684&lt;&gt;'депозитный калькулятор'!$D$8),VLOOKUP(U684,$F$23:$N$1023,4),0),0)+IF(U684='депозитный калькулятор'!$D$8,VLOOKUP(U684,$F$23:$N$1023,2)+VLOOKUP(U684,$F$23:$N$1023,4),0))</f>
        <v xml:space="preserve"> </v>
      </c>
      <c r="Y684" s="142" t="str">
        <f ca="1">IF(S684=" "," ",W684/(1+'депозитный калькулятор'!$K$8)^(T684/IF('депозитный калькулятор'!$G$7="30/360",360,365)))</f>
        <v xml:space="preserve"> </v>
      </c>
      <c r="Z684" s="142" t="str">
        <f ca="1">IF(S684=" "," ",X684/(1+'депозитный калькулятор'!$K$8)^(T684/IF('депозитный калькулятор'!$G$7="30/360",360,365)))</f>
        <v xml:space="preserve"> </v>
      </c>
      <c r="AA684" s="151"/>
      <c r="AB684" s="151"/>
      <c r="AC684" s="155"/>
      <c r="AD684" s="155"/>
    </row>
    <row r="685" spans="1:30" s="2" customFormat="1" ht="15.5" x14ac:dyDescent="0.35">
      <c r="A685" s="41" t="str">
        <f>IF(F685=" "," ",IF(OR('депозитный калькулятор'!$G$7="30/365",'депозитный калькулятор'!$G$7="30/360"),IF(AND(MONTH(F685)=2,DAY(F685)=DAY(EOMONTH(F685,0))),30-DAY(EOMONTH(F685,0)),IF(DAY(F685)=31,1," "))," "))</f>
        <v xml:space="preserve"> </v>
      </c>
      <c r="B685" s="130" t="str">
        <f t="shared" si="51"/>
        <v xml:space="preserve"> </v>
      </c>
      <c r="C685" s="130" t="str">
        <f>IF(OR(B685=0,B685=" ")," ",SUM($B$23:B685))</f>
        <v xml:space="preserve"> </v>
      </c>
      <c r="D685" s="62" t="str">
        <f>IF(D684=" "," ",IF(OR(F684='депозитный калькулятор'!$D$8,F684=" ")," ",D684+1))</f>
        <v xml:space="preserve"> </v>
      </c>
      <c r="E685" s="130" t="str">
        <f>IF(OR(F684='депозитный калькулятор'!$D$8,F684=" ")," ",IF(EOMONTH(F684,0)=F684,1,E684+1))</f>
        <v xml:space="preserve"> </v>
      </c>
      <c r="F685" s="64" t="str">
        <f>IF(F684=" "," ",IF(F684='депозитный калькулятор'!$D$8," ",F684+1))</f>
        <v xml:space="preserve"> </v>
      </c>
      <c r="G685" s="145" t="str">
        <f xml:space="preserve"> IF(F685&gt;'депозитный калькулятор'!$D$8," ",IF('депозитный калькулятор'!$G$13="есть",IF('депозитный калькулятор'!$G$14="есть",G684+IF(I684=" ",0,I684)-J685-K685+L685+M685-N685,G684+IF(I684=" ",0,I684)-J685-K685+M685-N685),IF('депозитный калькулятор'!$G$14="есть",G684-J685-K685+L685+M685-N685,G684-J685-K685+M685-N685)))</f>
        <v xml:space="preserve"> </v>
      </c>
      <c r="H685" s="133" t="str">
        <f>IF(F685&gt;'депозитный калькулятор'!$D$8," ",IF(AND(OR('депозитный калькулятор'!$G$7="30/365",'депозитный калькулятор'!$G$7="30/360"),AND(MONTH(F685)=2,EOMONTH(F685,0)=F685)),IF(DAY(F685)=28,3*G685*'депозитный калькулятор'!$G$8,2*G685*'депозитный калькулятор'!$G$8),IF(AND(OR('депозитный калькулятор'!$G$7="30/365",'депозитный калькулятор'!$G$7="30/360"),DAY(F685)=31)," ",IF(AND('депозитный калькулятор'!$G$7="факт/факт",MOD(YEAR(F685),4)=0),G685*'депозитный калькулятор'!$D$11/366,G685*'депозитный калькулятор'!$G$8))))</f>
        <v xml:space="preserve"> </v>
      </c>
      <c r="I685" s="134" t="str">
        <f ca="1">IF(F685=" "," ",IF('депозитный калькулятор'!$G$10="ежедневное",H685,IF(AND('депозитный калькулятор'!$G$10="еженедельное",WEEKDAY(F685,2)=7),SUM(OFFSET(H685,-6,0):H685),IF(AND('депозитный калькулятор'!$G$10="еженедельное",F685='депозитный калькулятор'!$D$8),SUM($H$23:H685)-SUM($I$23:I684),IF(AND('депозитный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недели",WEEKDAY(F685,2)=7),MIN(OFFSET(H685,-6,0):H685)*(COUNTIF(OFFSET(H685,-6,0):H685,"&gt;0")+SUMIF(OFFSET(A685,-WEEKDAY(F685,2),0):A685,"=2",OFFSET(A685,-WEEKDAY(F685,2),0):A685)),IF(AND('депозитный калькулятор'!$G$10="еженедельное, на минимальную сумму зафиксированную в течение недели",F685='депозитный калькулятор'!$D$8,WEEKDAY(F685,2)&lt;&gt;7),MIN(OFFSET(H685,-WEEKDAY(F685,2),0):H685)*(COUNTIF(OFFSET(H685,-WEEKDAY(F685,2)+1,0):H685,"&gt;0")+SUM(OFFSET(A685,-WEEKDAY(F685,2),0):A685)),IF(AND('депозитный калькулятор'!$G$10="ежемесячное (в конце месяца)",F685='депозитный калькулятор'!$D$8,EOMONTH(F685,0)&lt;&gt;F685),IF('депозитный калькулятор'!$F$1=1,$H$24,SUM($H$23:H685)-SUM($I$23:I684)),IF(AND('депозитный калькулятор'!$G$10="ежемесячное (в конце месяца)",EOMONTH(F685,0)=F685),SUM($H$23:H685)-SUM($I$23:I684),IF(AND('депозитный калькулятор'!$G$10="ежемесячное (по дням открытия вклада)",F685='депозитный калькулятор'!$D$8,DAY('депозитный калькулятор'!$D$7)&lt;&gt;DAY(F685)),IF('депозитный калькулятор'!$F$1=1,$H$24,SUM($H$23:H685)-SUM($I$23:I684)),IF(AND('депозитный калькулятор'!$G$10="ежемесячное (по дням открытия вклада)",DAY('депозитный калькулятор'!$D$7)=DAY(F685)),SUM($H$23:H685)-SUM($I$23:I684),IF(AND('депозитный калькулятор'!$G$10="ежемесячное, на минимальную сумму зафиксированную в течение месяца",F685='депозитный калькулятор'!$D$8,EOMONTH(F685,0)&lt;&gt;F685),IF('депозитный калькулятор'!$F$1=1,$H$24,IF(AND(OR('депозитный калькулятор'!$G$7="30/365",'депозитный калькулятор'!$G$7="30/360"),DAY(F685)=31),0,MIN(OFFSET(H685,-E685+1,0):H685)*(E685+SUMIF(OFFSET(A685,-E685+1,0):A685,"=2",OFFSET(A685,-E685+1,0):A685)))),IF(AND('депозитный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калькулятор'!$G$7="30/360"),DAY(EOMONTH(F685,0))=31),EOMONTH(F685,0)-1=F685,EOMONTH(F685,0)=F685)),IF(IF(AND(OR('депозитный калькулятор'!$G$7="30/365",'депозитный калькулятор'!$G$7="30/360"),DAY(EOMONTH($F$23,0))=31),F685=EOMONTH($F$23,0)-1,F685=EOMONTH($F$23,0)),MIN(OFFSET(H685,-(DAY(F685)-DAY($F$23)),0):H685)*E685,MIN(OFFSET(H685,-(DAY(F685)-1),0):H685)*IF(AND(OR('депозитный калькулятор'!$G$7="30/365",'депозитный калькулятор'!$G$7="30/360"),DAY(F685)&lt;30),30,DAY(F685))),IF(AND('депозитный калькулятор'!$G$10="ежемесячное, на средний остаток в течение месяца, при условии что остаток больше чем ограничение",F685='депозитный калькулятор'!$D$8,EOMONTH(F685,0)&lt;&gt;F685),IF('депозитный калькулятор'!$F$1=1,$H$24,SUM(OFFSET(Q685,-E685+1,0):Q685)),IF(AND('депозитный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калькулятор'!$G$7="30/360"),DAY(EOMONTH(F685,0))=31),EOMONTH(F685,0)-1=F685,EOMONTH(F685,0)=F685)),IF(IF(AND(OR('депозитный калькулятор'!$G$7="30/365",'депозитный калькулятор'!$G$7="30/360"),DAY(EOMONTH($F$24,0))=31),F685=EOMONTH($F$24,0)-1,F685=EOMONTH($F$24,0)),SUM(OFFSET(Q685,-E685+1,0):Q685),SUM(OFFSET(Q685,-E685+1,0):Q685)),IF('депозитный калькулятор'!$G$10="ежеквартальное",IF(F685&gt;'депозитный калькулятор'!$D$8," ",IF(AND(EOMONTH(F685,0)=F685,OR(MONTH(F685)=3,MONTH(F685)=6,MONTH(F685)=9,MONTH(F685)=12)),IF(EDATE(F685,-3)&lt;'депозитный калькулятор'!$D$7,SUM($H$23:H685),IF(MOD(YEAR(F685),4)=0,IF(AND(EOMONTH(F685,0)=F685,OR(MONTH(F685)=3,MONTH(F685)=6)),SUM(OFFSET(H685,-90,0):H685),IF(AND(EOMONTH(F685,0)=F685,OR(MONTH(F685)=9,MONTH(F685)=12)),SUM(OFFSET(H685,-91,0):H685))),IF(AND(EOMONTH(F685,0)=F685,MONTH(F685)=3),SUM(OFFSET(H685,-89,0):H685),IF(AND(EOMONTH(F685,0)=F685,MONTH(F685)=6),SUM(OFFSET(H685,-90,0):H685),IF(AND(EOMONTH(F685,0)=F685,OR(MONTH(F685)=9,MONTH(F685)=12)),SUM(OFFSET(H685,-91,0):H685)))))),IF(F685='депозитный калькулятор'!$D$8,SUM($H$23:H685)-SUM($I$23:I684),0))),IF('депозитный калькулятор'!$G$10="ежегодное",IF(F685&gt;'депозитный калькулятор'!$D$8," ",IF(F685='депозитный калькулятор'!$D$8,SUM($H$23:H685)-SUM($I$23:I684),IF(AND(EOMONTH(F685,0)=F685,MONTH(F685)=12),IF(MOD(YEAR(F684),4)=0,IF(F685-'депозитный калькулятор'!$D$7&lt;366,SUM($H$23:H685),SUM(OFFSET(H685,-365,0):H685)),IF(F685-'депозитный калькулятор'!$D$7&lt;365,SUM($H$23:H685),SUM(OFFSET(H685,-364,0):H685))),0))),IF(AND('депозитный калькулятор'!$G$10="в конце срока",'депозитный калькулятор'!$D$8=F685),SUM($H$23:H685),0))))))))))))))))))</f>
        <v xml:space="preserve"> </v>
      </c>
      <c r="J685" s="59" t="str">
        <f>IF(F685&gt;'депозитный калькулятор'!$D$8," ",IF('депозитный калькулятор'!$G$16="нет",0,IF(AND('депозитный калькулятор'!$G$17="разовая (в конце срока)",F685='депозитный калькулятор'!$D$8),'депозитный калькулятор'!$G$18,IF(AND('депозитный калькулятор'!$G$17="ежемесячная",EOMONTH(F684,0)=F684),'депозитный калькулятор'!$G$18,IF(AND('депозитный калькулятор'!$G$17="ежегодная",DAY(F684)=31,MONTH(F684)=12),'депозитный калькулятор'!$G$18,IF(AND('депозитный калькулятор'!$G$17="ежемесячная в зависимости от остатка",EOMONTH(F684,0)=F684,P684&gt;0),'депозитный калькулятор'!$G$18,IF(AND('депозитный калькулятор'!$G$17="ежегодная в зависимости от остатка",DAY(F684)=31,MONTH(F684)=12,P684&gt;0),'депозитный калькулятор'!$G$18,0)))))))</f>
        <v xml:space="preserve"> </v>
      </c>
      <c r="K685" s="135" t="str">
        <f>IF($F685=" "," ",IFERROR(VLOOKUP($F685,'депозитный калькулятор'!$B$26:$F$70,2,0),0))</f>
        <v xml:space="preserve"> </v>
      </c>
      <c r="L685" s="135" t="str">
        <f>IF($F685=" "," ",IFERROR(VLOOKUP($F685,'депозитный калькулятор'!$B$26:$F$70,3,0),0))</f>
        <v xml:space="preserve"> </v>
      </c>
      <c r="M685" s="135" t="str">
        <f>IF($F685=" "," ",IFERROR(VLOOKUP($F685,'депозитный калькулятор'!$B$26:$F$70,4,0),0))</f>
        <v xml:space="preserve"> </v>
      </c>
      <c r="N685" s="135" t="str">
        <f>IF($F685=" "," ",IFERROR(VLOOKUP($F685,'депозитный калькулятор'!$B$26:$F$70,5,0),0))</f>
        <v xml:space="preserve"> </v>
      </c>
      <c r="O685" s="146" t="str">
        <f>IF(F685&gt;'депозитный калькулятор'!$D$8," ",IF(F685='депозитный калькулятор'!$D$8,IF(AND($F$24='депозитный калькулятор'!$D$8,'депозитный калькулятор'!$G$13="нет"),-G685-IF(I685=" ",0,I685)-IF(AND(OR('депозитный калькулятор'!$G$7="30/365",'депозитный калькулятор'!$G$7="30/360"),'депозитный калькулятор'!$G$10="в начале срока"),I684,0)-L685+M685-N685,-G685-IF(I685=" ",0,I685)-L685+M685-N685),IF('депозитный калькулятор'!$G$13="есть",M685-N685+IF('депозитный калькулятор'!$G$14="есть",0,-L685),-IF(I685=" ",0,I685)-IF(AND(OR('депозитный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срока"),I684,0)+M685-N685+IF('депозитный калькулятор'!$G$14="есть",0,-L685))))</f>
        <v xml:space="preserve"> </v>
      </c>
      <c r="P685" s="147" t="str">
        <f>IF(F685&gt;'депозитный калькулятор'!$D$8," ",IF(EOMONTH(F684,0)=F684,0,IF(G685&gt;='депозитный калькулятор'!$G$19,P684,P684+1)))</f>
        <v xml:space="preserve"> </v>
      </c>
      <c r="Q685" s="138" t="str">
        <f>IF(F685=" "," ",IF(AND(OR('депозитный калькулятор'!$G$7="30/365",'депозитный калькулятор'!$G$7="30/360"),AND(MONTH(F685)=2,EOMONTH(F685,0)=F685)),IF(DAY(F685)=28,3,2),1)*IF(G685&gt;='депозитный калькулятор'!$G$11,IF(AND('депозитный калькулятор'!$G$7="факт/факт",MOD(YEAR(F685),4)=0),G685*'депозитный калькулятор'!$D$11/366,G685*'депозитный калькулятор'!$G$8),0))</f>
        <v xml:space="preserve"> </v>
      </c>
      <c r="R685" s="158"/>
      <c r="S685" s="62" t="str">
        <f t="shared" ca="1" si="52"/>
        <v xml:space="preserve"> </v>
      </c>
      <c r="T685" s="149" t="str">
        <f ca="1">IF(S685=" "," ",IF('депозитный калькулятор'!$G$7="30/360",DAYS360(U684,IF(DAY(U685)=31,U685-1,U685))+IF(AND(MONTH(U685)=2,U685=EOMONTH(U685,0)),30-DAY(EOMONTH(U685,0)))+T684,VLOOKUP(S685,$C$22:$F$1023,2,0)))</f>
        <v xml:space="preserve"> </v>
      </c>
      <c r="U685" s="64" t="str">
        <f t="shared" ca="1" si="50"/>
        <v xml:space="preserve"> </v>
      </c>
      <c r="V685" s="150" t="str">
        <f t="shared" ca="1" si="53"/>
        <v xml:space="preserve"> </v>
      </c>
      <c r="W685" s="62" t="str">
        <f t="shared" ca="1" si="54"/>
        <v xml:space="preserve"> </v>
      </c>
      <c r="X685" s="141" t="str">
        <f ca="1">IF(S685=" "," ",IFERROR(VLOOKUP(U685,$F$23:$N$1023,7)+VLOOKUP(U685,$F$23:$N$1023,9)+IF(AND('депозитный калькулятор'!$G$13="нет",U685&lt;&gt;'депозитный калькулятор'!$D$8),VLOOKUP(U685,$F$23:$N$1023,4),0),0)+IF(U685='депозитный калькулятор'!$D$8,VLOOKUP(U685,$F$23:$N$1023,2)+VLOOKUP(U685,$F$23:$N$1023,4),0))</f>
        <v xml:space="preserve"> </v>
      </c>
      <c r="Y685" s="142" t="str">
        <f ca="1">IF(S685=" "," ",W685/(1+'депозитный калькулятор'!$K$8)^(T685/IF('депозитный калькулятор'!$G$7="30/360",360,365)))</f>
        <v xml:space="preserve"> </v>
      </c>
      <c r="Z685" s="142" t="str">
        <f ca="1">IF(S685=" "," ",X685/(1+'депозитный калькулятор'!$K$8)^(T685/IF('депозитный калькулятор'!$G$7="30/360",360,365)))</f>
        <v xml:space="preserve"> </v>
      </c>
      <c r="AA685" s="151"/>
      <c r="AB685" s="151"/>
      <c r="AC685" s="155"/>
      <c r="AD685" s="155"/>
    </row>
    <row r="686" spans="1:30" s="2" customFormat="1" ht="15.5" x14ac:dyDescent="0.35">
      <c r="A686" s="41" t="str">
        <f>IF(F686=" "," ",IF(OR('депозитный калькулятор'!$G$7="30/365",'депозитный калькулятор'!$G$7="30/360"),IF(AND(MONTH(F686)=2,DAY(F686)=DAY(EOMONTH(F686,0))),30-DAY(EOMONTH(F686,0)),IF(DAY(F686)=31,1," "))," "))</f>
        <v xml:space="preserve"> </v>
      </c>
      <c r="B686" s="130" t="str">
        <f t="shared" si="51"/>
        <v xml:space="preserve"> </v>
      </c>
      <c r="C686" s="130" t="str">
        <f>IF(OR(B686=0,B686=" ")," ",SUM($B$23:B686))</f>
        <v xml:space="preserve"> </v>
      </c>
      <c r="D686" s="62" t="str">
        <f>IF(D685=" "," ",IF(OR(F685='депозитный калькулятор'!$D$8,F685=" ")," ",D685+1))</f>
        <v xml:space="preserve"> </v>
      </c>
      <c r="E686" s="130" t="str">
        <f>IF(OR(F685='депозитный калькулятор'!$D$8,F685=" ")," ",IF(EOMONTH(F685,0)=F685,1,E685+1))</f>
        <v xml:space="preserve"> </v>
      </c>
      <c r="F686" s="64" t="str">
        <f>IF(F685=" "," ",IF(F685='депозитный калькулятор'!$D$8," ",F685+1))</f>
        <v xml:space="preserve"> </v>
      </c>
      <c r="G686" s="145" t="str">
        <f xml:space="preserve"> IF(F686&gt;'депозитный калькулятор'!$D$8," ",IF('депозитный калькулятор'!$G$13="есть",IF('депозитный калькулятор'!$G$14="есть",G685+IF(I685=" ",0,I685)-J686-K686+L686+M686-N686,G685+IF(I685=" ",0,I685)-J686-K686+M686-N686),IF('депозитный калькулятор'!$G$14="есть",G685-J686-K686+L686+M686-N686,G685-J686-K686+M686-N686)))</f>
        <v xml:space="preserve"> </v>
      </c>
      <c r="H686" s="133" t="str">
        <f>IF(F686&gt;'депозитный калькулятор'!$D$8," ",IF(AND(OR('депозитный калькулятор'!$G$7="30/365",'депозитный калькулятор'!$G$7="30/360"),AND(MONTH(F686)=2,EOMONTH(F686,0)=F686)),IF(DAY(F686)=28,3*G686*'депозитный калькулятор'!$G$8,2*G686*'депозитный калькулятор'!$G$8),IF(AND(OR('депозитный калькулятор'!$G$7="30/365",'депозитный калькулятор'!$G$7="30/360"),DAY(F686)=31)," ",IF(AND('депозитный калькулятор'!$G$7="факт/факт",MOD(YEAR(F686),4)=0),G686*'депозитный калькулятор'!$D$11/366,G686*'депозитный калькулятор'!$G$8))))</f>
        <v xml:space="preserve"> </v>
      </c>
      <c r="I686" s="134" t="str">
        <f ca="1">IF(F686=" "," ",IF('депозитный калькулятор'!$G$10="ежедневное",H686,IF(AND('депозитный калькулятор'!$G$10="еженедельное",WEEKDAY(F686,2)=7),SUM(OFFSET(H686,-6,0):H686),IF(AND('депозитный калькулятор'!$G$10="еженедельное",F686='депозитный калькулятор'!$D$8),SUM($H$23:H686)-SUM($I$23:I685),IF(AND('депозитный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недели",WEEKDAY(F686,2)=7),MIN(OFFSET(H686,-6,0):H686)*(COUNTIF(OFFSET(H686,-6,0):H686,"&gt;0")+SUMIF(OFFSET(A686,-WEEKDAY(F686,2),0):A686,"=2",OFFSET(A686,-WEEKDAY(F686,2),0):A686)),IF(AND('депозитный калькулятор'!$G$10="еженедельное, на минимальную сумму зафиксированную в течение недели",F686='депозитный калькулятор'!$D$8,WEEKDAY(F686,2)&lt;&gt;7),MIN(OFFSET(H686,-WEEKDAY(F686,2),0):H686)*(COUNTIF(OFFSET(H686,-WEEKDAY(F686,2)+1,0):H686,"&gt;0")+SUM(OFFSET(A686,-WEEKDAY(F686,2),0):A686)),IF(AND('депозитный калькулятор'!$G$10="ежемесячное (в конце месяца)",F686='депозитный калькулятор'!$D$8,EOMONTH(F686,0)&lt;&gt;F686),IF('депозитный калькулятор'!$F$1=1,$H$24,SUM($H$23:H686)-SUM($I$23:I685)),IF(AND('депозитный калькулятор'!$G$10="ежемесячное (в конце месяца)",EOMONTH(F686,0)=F686),SUM($H$23:H686)-SUM($I$23:I685),IF(AND('депозитный калькулятор'!$G$10="ежемесячное (по дням открытия вклада)",F686='депозитный калькулятор'!$D$8,DAY('депозитный калькулятор'!$D$7)&lt;&gt;DAY(F686)),IF('депозитный калькулятор'!$F$1=1,$H$24,SUM($H$23:H686)-SUM($I$23:I685)),IF(AND('депозитный калькулятор'!$G$10="ежемесячное (по дням открытия вклада)",DAY('депозитный калькулятор'!$D$7)=DAY(F686)),SUM($H$23:H686)-SUM($I$23:I685),IF(AND('депозитный калькулятор'!$G$10="ежемесячное, на минимальную сумму зафиксированную в течение месяца",F686='депозитный калькулятор'!$D$8,EOMONTH(F686,0)&lt;&gt;F686),IF('депозитный калькулятор'!$F$1=1,$H$24,IF(AND(OR('депозитный калькулятор'!$G$7="30/365",'депозитный калькулятор'!$G$7="30/360"),DAY(F686)=31),0,MIN(OFFSET(H686,-E686+1,0):H686)*(E686+SUMIF(OFFSET(A686,-E686+1,0):A686,"=2",OFFSET(A686,-E686+1,0):A686)))),IF(AND('депозитный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калькулятор'!$G$7="30/360"),DAY(EOMONTH(F686,0))=31),EOMONTH(F686,0)-1=F686,EOMONTH(F686,0)=F686)),IF(IF(AND(OR('депозитный калькулятор'!$G$7="30/365",'депозитный калькулятор'!$G$7="30/360"),DAY(EOMONTH($F$23,0))=31),F686=EOMONTH($F$23,0)-1,F686=EOMONTH($F$23,0)),MIN(OFFSET(H686,-(DAY(F686)-DAY($F$23)),0):H686)*E686,MIN(OFFSET(H686,-(DAY(F686)-1),0):H686)*IF(AND(OR('депозитный калькулятор'!$G$7="30/365",'депозитный калькулятор'!$G$7="30/360"),DAY(F686)&lt;30),30,DAY(F686))),IF(AND('депозитный калькулятор'!$G$10="ежемесячное, на средний остаток в течение месяца, при условии что остаток больше чем ограничение",F686='депозитный калькулятор'!$D$8,EOMONTH(F686,0)&lt;&gt;F686),IF('депозитный калькулятор'!$F$1=1,$H$24,SUM(OFFSET(Q686,-E686+1,0):Q686)),IF(AND('депозитный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калькулятор'!$G$7="30/360"),DAY(EOMONTH(F686,0))=31),EOMONTH(F686,0)-1=F686,EOMONTH(F686,0)=F686)),IF(IF(AND(OR('депозитный калькулятор'!$G$7="30/365",'депозитный калькулятор'!$G$7="30/360"),DAY(EOMONTH($F$24,0))=31),F686=EOMONTH($F$24,0)-1,F686=EOMONTH($F$24,0)),SUM(OFFSET(Q686,-E686+1,0):Q686),SUM(OFFSET(Q686,-E686+1,0):Q686)),IF('депозитный калькулятор'!$G$10="ежеквартальное",IF(F686&gt;'депозитный калькулятор'!$D$8," ",IF(AND(EOMONTH(F686,0)=F686,OR(MONTH(F686)=3,MONTH(F686)=6,MONTH(F686)=9,MONTH(F686)=12)),IF(EDATE(F686,-3)&lt;'депозитный калькулятор'!$D$7,SUM($H$23:H686),IF(MOD(YEAR(F686),4)=0,IF(AND(EOMONTH(F686,0)=F686,OR(MONTH(F686)=3,MONTH(F686)=6)),SUM(OFFSET(H686,-90,0):H686),IF(AND(EOMONTH(F686,0)=F686,OR(MONTH(F686)=9,MONTH(F686)=12)),SUM(OFFSET(H686,-91,0):H686))),IF(AND(EOMONTH(F686,0)=F686,MONTH(F686)=3),SUM(OFFSET(H686,-89,0):H686),IF(AND(EOMONTH(F686,0)=F686,MONTH(F686)=6),SUM(OFFSET(H686,-90,0):H686),IF(AND(EOMONTH(F686,0)=F686,OR(MONTH(F686)=9,MONTH(F686)=12)),SUM(OFFSET(H686,-91,0):H686)))))),IF(F686='депозитный калькулятор'!$D$8,SUM($H$23:H686)-SUM($I$23:I685),0))),IF('депозитный калькулятор'!$G$10="ежегодное",IF(F686&gt;'депозитный калькулятор'!$D$8," ",IF(F686='депозитный калькулятор'!$D$8,SUM($H$23:H686)-SUM($I$23:I685),IF(AND(EOMONTH(F686,0)=F686,MONTH(F686)=12),IF(MOD(YEAR(F685),4)=0,IF(F686-'депозитный калькулятор'!$D$7&lt;366,SUM($H$23:H686),SUM(OFFSET(H686,-365,0):H686)),IF(F686-'депозитный калькулятор'!$D$7&lt;365,SUM($H$23:H686),SUM(OFFSET(H686,-364,0):H686))),0))),IF(AND('депозитный калькулятор'!$G$10="в конце срока",'депозитный калькулятор'!$D$8=F686),SUM($H$23:H686),0))))))))))))))))))</f>
        <v xml:space="preserve"> </v>
      </c>
      <c r="J686" s="59" t="str">
        <f>IF(F686&gt;'депозитный калькулятор'!$D$8," ",IF('депозитный калькулятор'!$G$16="нет",0,IF(AND('депозитный калькулятор'!$G$17="разовая (в конце срока)",F686='депозитный калькулятор'!$D$8),'депозитный калькулятор'!$G$18,IF(AND('депозитный калькулятор'!$G$17="ежемесячная",EOMONTH(F685,0)=F685),'депозитный калькулятор'!$G$18,IF(AND('депозитный калькулятор'!$G$17="ежегодная",DAY(F685)=31,MONTH(F685)=12),'депозитный калькулятор'!$G$18,IF(AND('депозитный калькулятор'!$G$17="ежемесячная в зависимости от остатка",EOMONTH(F685,0)=F685,P685&gt;0),'депозитный калькулятор'!$G$18,IF(AND('депозитный калькулятор'!$G$17="ежегодная в зависимости от остатка",DAY(F685)=31,MONTH(F685)=12,P685&gt;0),'депозитный калькулятор'!$G$18,0)))))))</f>
        <v xml:space="preserve"> </v>
      </c>
      <c r="K686" s="135" t="str">
        <f>IF($F686=" "," ",IFERROR(VLOOKUP($F686,'депозитный калькулятор'!$B$26:$F$70,2,0),0))</f>
        <v xml:space="preserve"> </v>
      </c>
      <c r="L686" s="135" t="str">
        <f>IF($F686=" "," ",IFERROR(VLOOKUP($F686,'депозитный калькулятор'!$B$26:$F$70,3,0),0))</f>
        <v xml:space="preserve"> </v>
      </c>
      <c r="M686" s="135" t="str">
        <f>IF($F686=" "," ",IFERROR(VLOOKUP($F686,'депозитный калькулятор'!$B$26:$F$70,4,0),0))</f>
        <v xml:space="preserve"> </v>
      </c>
      <c r="N686" s="135" t="str">
        <f>IF($F686=" "," ",IFERROR(VLOOKUP($F686,'депозитный калькулятор'!$B$26:$F$70,5,0),0))</f>
        <v xml:space="preserve"> </v>
      </c>
      <c r="O686" s="146" t="str">
        <f>IF(F686&gt;'депозитный калькулятор'!$D$8," ",IF(F686='депозитный калькулятор'!$D$8,IF(AND($F$24='депозитный калькулятор'!$D$8,'депозитный калькулятор'!$G$13="нет"),-G686-IF(I686=" ",0,I686)-IF(AND(OR('депозитный калькулятор'!$G$7="30/365",'депозитный калькулятор'!$G$7="30/360"),'депозитный калькулятор'!$G$10="в начале срока"),I685,0)-L686+M686-N686,-G686-IF(I686=" ",0,I686)-L686+M686-N686),IF('депозитный калькулятор'!$G$13="есть",M686-N686+IF('депозитный калькулятор'!$G$14="есть",0,-L686),-IF(I686=" ",0,I686)-IF(AND(OR('депозитный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срока"),I685,0)+M686-N686+IF('депозитный калькулятор'!$G$14="есть",0,-L686))))</f>
        <v xml:space="preserve"> </v>
      </c>
      <c r="P686" s="147" t="str">
        <f>IF(F686&gt;'депозитный калькулятор'!$D$8," ",IF(EOMONTH(F685,0)=F685,0,IF(G686&gt;='депозитный калькулятор'!$G$19,P685,P685+1)))</f>
        <v xml:space="preserve"> </v>
      </c>
      <c r="Q686" s="138" t="str">
        <f>IF(F686=" "," ",IF(AND(OR('депозитный калькулятор'!$G$7="30/365",'депозитный калькулятор'!$G$7="30/360"),AND(MONTH(F686)=2,EOMONTH(F686,0)=F686)),IF(DAY(F686)=28,3,2),1)*IF(G686&gt;='депозитный калькулятор'!$G$11,IF(AND('депозитный калькулятор'!$G$7="факт/факт",MOD(YEAR(F686),4)=0),G686*'депозитный калькулятор'!$D$11/366,G686*'депозитный калькулятор'!$G$8),0))</f>
        <v xml:space="preserve"> </v>
      </c>
      <c r="R686" s="158"/>
      <c r="S686" s="62" t="str">
        <f t="shared" ca="1" si="52"/>
        <v xml:space="preserve"> </v>
      </c>
      <c r="T686" s="149" t="str">
        <f ca="1">IF(S686=" "," ",IF('депозитный калькулятор'!$G$7="30/360",DAYS360(U685,IF(DAY(U686)=31,U686-1,U686))+IF(AND(MONTH(U686)=2,U686=EOMONTH(U686,0)),30-DAY(EOMONTH(U686,0)))+T685,VLOOKUP(S686,$C$22:$F$1023,2,0)))</f>
        <v xml:space="preserve"> </v>
      </c>
      <c r="U686" s="64" t="str">
        <f t="shared" ca="1" si="50"/>
        <v xml:space="preserve"> </v>
      </c>
      <c r="V686" s="150" t="str">
        <f t="shared" ca="1" si="53"/>
        <v xml:space="preserve"> </v>
      </c>
      <c r="W686" s="62" t="str">
        <f t="shared" ca="1" si="54"/>
        <v xml:space="preserve"> </v>
      </c>
      <c r="X686" s="141" t="str">
        <f ca="1">IF(S686=" "," ",IFERROR(VLOOKUP(U686,$F$23:$N$1023,7)+VLOOKUP(U686,$F$23:$N$1023,9)+IF(AND('депозитный калькулятор'!$G$13="нет",U686&lt;&gt;'депозитный калькулятор'!$D$8),VLOOKUP(U686,$F$23:$N$1023,4),0),0)+IF(U686='депозитный калькулятор'!$D$8,VLOOKUP(U686,$F$23:$N$1023,2)+VLOOKUP(U686,$F$23:$N$1023,4),0))</f>
        <v xml:space="preserve"> </v>
      </c>
      <c r="Y686" s="142" t="str">
        <f ca="1">IF(S686=" "," ",W686/(1+'депозитный калькулятор'!$K$8)^(T686/IF('депозитный калькулятор'!$G$7="30/360",360,365)))</f>
        <v xml:space="preserve"> </v>
      </c>
      <c r="Z686" s="142" t="str">
        <f ca="1">IF(S686=" "," ",X686/(1+'депозитный калькулятор'!$K$8)^(T686/IF('депозитный калькулятор'!$G$7="30/360",360,365)))</f>
        <v xml:space="preserve"> </v>
      </c>
      <c r="AA686" s="151"/>
      <c r="AB686" s="151"/>
      <c r="AC686" s="155"/>
      <c r="AD686" s="155"/>
    </row>
    <row r="687" spans="1:30" s="2" customFormat="1" ht="15.5" x14ac:dyDescent="0.35">
      <c r="A687" s="41" t="str">
        <f>IF(F687=" "," ",IF(OR('депозитный калькулятор'!$G$7="30/365",'депозитный калькулятор'!$G$7="30/360"),IF(AND(MONTH(F687)=2,DAY(F687)=DAY(EOMONTH(F687,0))),30-DAY(EOMONTH(F687,0)),IF(DAY(F687)=31,1," "))," "))</f>
        <v xml:space="preserve"> </v>
      </c>
      <c r="B687" s="130" t="str">
        <f t="shared" si="51"/>
        <v xml:space="preserve"> </v>
      </c>
      <c r="C687" s="130" t="str">
        <f>IF(OR(B687=0,B687=" ")," ",SUM($B$23:B687))</f>
        <v xml:space="preserve"> </v>
      </c>
      <c r="D687" s="62" t="str">
        <f>IF(D686=" "," ",IF(OR(F686='депозитный калькулятор'!$D$8,F686=" ")," ",D686+1))</f>
        <v xml:space="preserve"> </v>
      </c>
      <c r="E687" s="130" t="str">
        <f>IF(OR(F686='депозитный калькулятор'!$D$8,F686=" ")," ",IF(EOMONTH(F686,0)=F686,1,E686+1))</f>
        <v xml:space="preserve"> </v>
      </c>
      <c r="F687" s="64" t="str">
        <f>IF(F686=" "," ",IF(F686='депозитный калькулятор'!$D$8," ",F686+1))</f>
        <v xml:space="preserve"> </v>
      </c>
      <c r="G687" s="145" t="str">
        <f xml:space="preserve"> IF(F687&gt;'депозитный калькулятор'!$D$8," ",IF('депозитный калькулятор'!$G$13="есть",IF('депозитный калькулятор'!$G$14="есть",G686+IF(I686=" ",0,I686)-J687-K687+L687+M687-N687,G686+IF(I686=" ",0,I686)-J687-K687+M687-N687),IF('депозитный калькулятор'!$G$14="есть",G686-J687-K687+L687+M687-N687,G686-J687-K687+M687-N687)))</f>
        <v xml:space="preserve"> </v>
      </c>
      <c r="H687" s="133" t="str">
        <f>IF(F687&gt;'депозитный калькулятор'!$D$8," ",IF(AND(OR('депозитный калькулятор'!$G$7="30/365",'депозитный калькулятор'!$G$7="30/360"),AND(MONTH(F687)=2,EOMONTH(F687,0)=F687)),IF(DAY(F687)=28,3*G687*'депозитный калькулятор'!$G$8,2*G687*'депозитный калькулятор'!$G$8),IF(AND(OR('депозитный калькулятор'!$G$7="30/365",'депозитный калькулятор'!$G$7="30/360"),DAY(F687)=31)," ",IF(AND('депозитный калькулятор'!$G$7="факт/факт",MOD(YEAR(F687),4)=0),G687*'депозитный калькулятор'!$D$11/366,G687*'депозитный калькулятор'!$G$8))))</f>
        <v xml:space="preserve"> </v>
      </c>
      <c r="I687" s="134" t="str">
        <f ca="1">IF(F687=" "," ",IF('депозитный калькулятор'!$G$10="ежедневное",H687,IF(AND('депозитный калькулятор'!$G$10="еженедельное",WEEKDAY(F687,2)=7),SUM(OFFSET(H687,-6,0):H687),IF(AND('депозитный калькулятор'!$G$10="еженедельное",F687='депозитный калькулятор'!$D$8),SUM($H$23:H687)-SUM($I$23:I686),IF(AND('депозитный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недели",WEEKDAY(F687,2)=7),MIN(OFFSET(H687,-6,0):H687)*(COUNTIF(OFFSET(H687,-6,0):H687,"&gt;0")+SUMIF(OFFSET(A687,-WEEKDAY(F687,2),0):A687,"=2",OFFSET(A687,-WEEKDAY(F687,2),0):A687)),IF(AND('депозитный калькулятор'!$G$10="еженедельное, на минимальную сумму зафиксированную в течение недели",F687='депозитный калькулятор'!$D$8,WEEKDAY(F687,2)&lt;&gt;7),MIN(OFFSET(H687,-WEEKDAY(F687,2),0):H687)*(COUNTIF(OFFSET(H687,-WEEKDAY(F687,2)+1,0):H687,"&gt;0")+SUM(OFFSET(A687,-WEEKDAY(F687,2),0):A687)),IF(AND('депозитный калькулятор'!$G$10="ежемесячное (в конце месяца)",F687='депозитный калькулятор'!$D$8,EOMONTH(F687,0)&lt;&gt;F687),IF('депозитный калькулятор'!$F$1=1,$H$24,SUM($H$23:H687)-SUM($I$23:I686)),IF(AND('депозитный калькулятор'!$G$10="ежемесячное (в конце месяца)",EOMONTH(F687,0)=F687),SUM($H$23:H687)-SUM($I$23:I686),IF(AND('депозитный калькулятор'!$G$10="ежемесячное (по дням открытия вклада)",F687='депозитный калькулятор'!$D$8,DAY('депозитный калькулятор'!$D$7)&lt;&gt;DAY(F687)),IF('депозитный калькулятор'!$F$1=1,$H$24,SUM($H$23:H687)-SUM($I$23:I686)),IF(AND('депозитный калькулятор'!$G$10="ежемесячное (по дням открытия вклада)",DAY('депозитный калькулятор'!$D$7)=DAY(F687)),SUM($H$23:H687)-SUM($I$23:I686),IF(AND('депозитный калькулятор'!$G$10="ежемесячное, на минимальную сумму зафиксированную в течение месяца",F687='депозитный калькулятор'!$D$8,EOMONTH(F687,0)&lt;&gt;F687),IF('депозитный калькулятор'!$F$1=1,$H$24,IF(AND(OR('депозитный калькулятор'!$G$7="30/365",'депозитный калькулятор'!$G$7="30/360"),DAY(F687)=31),0,MIN(OFFSET(H687,-E687+1,0):H687)*(E687+SUMIF(OFFSET(A687,-E687+1,0):A687,"=2",OFFSET(A687,-E687+1,0):A687)))),IF(AND('депозитный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калькулятор'!$G$7="30/360"),DAY(EOMONTH(F687,0))=31),EOMONTH(F687,0)-1=F687,EOMONTH(F687,0)=F687)),IF(IF(AND(OR('депозитный калькулятор'!$G$7="30/365",'депозитный калькулятор'!$G$7="30/360"),DAY(EOMONTH($F$23,0))=31),F687=EOMONTH($F$23,0)-1,F687=EOMONTH($F$23,0)),MIN(OFFSET(H687,-(DAY(F687)-DAY($F$23)),0):H687)*E687,MIN(OFFSET(H687,-(DAY(F687)-1),0):H687)*IF(AND(OR('депозитный калькулятор'!$G$7="30/365",'депозитный калькулятор'!$G$7="30/360"),DAY(F687)&lt;30),30,DAY(F687))),IF(AND('депозитный калькулятор'!$G$10="ежемесячное, на средний остаток в течение месяца, при условии что остаток больше чем ограничение",F687='депозитный калькулятор'!$D$8,EOMONTH(F687,0)&lt;&gt;F687),IF('депозитный калькулятор'!$F$1=1,$H$24,SUM(OFFSET(Q687,-E687+1,0):Q687)),IF(AND('депозитный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калькулятор'!$G$7="30/360"),DAY(EOMONTH(F687,0))=31),EOMONTH(F687,0)-1=F687,EOMONTH(F687,0)=F687)),IF(IF(AND(OR('депозитный калькулятор'!$G$7="30/365",'депозитный калькулятор'!$G$7="30/360"),DAY(EOMONTH($F$24,0))=31),F687=EOMONTH($F$24,0)-1,F687=EOMONTH($F$24,0)),SUM(OFFSET(Q687,-E687+1,0):Q687),SUM(OFFSET(Q687,-E687+1,0):Q687)),IF('депозитный калькулятор'!$G$10="ежеквартальное",IF(F687&gt;'депозитный калькулятор'!$D$8," ",IF(AND(EOMONTH(F687,0)=F687,OR(MONTH(F687)=3,MONTH(F687)=6,MONTH(F687)=9,MONTH(F687)=12)),IF(EDATE(F687,-3)&lt;'депозитный калькулятор'!$D$7,SUM($H$23:H687),IF(MOD(YEAR(F687),4)=0,IF(AND(EOMONTH(F687,0)=F687,OR(MONTH(F687)=3,MONTH(F687)=6)),SUM(OFFSET(H687,-90,0):H687),IF(AND(EOMONTH(F687,0)=F687,OR(MONTH(F687)=9,MONTH(F687)=12)),SUM(OFFSET(H687,-91,0):H687))),IF(AND(EOMONTH(F687,0)=F687,MONTH(F687)=3),SUM(OFFSET(H687,-89,0):H687),IF(AND(EOMONTH(F687,0)=F687,MONTH(F687)=6),SUM(OFFSET(H687,-90,0):H687),IF(AND(EOMONTH(F687,0)=F687,OR(MONTH(F687)=9,MONTH(F687)=12)),SUM(OFFSET(H687,-91,0):H687)))))),IF(F687='депозитный калькулятор'!$D$8,SUM($H$23:H687)-SUM($I$23:I686),0))),IF('депозитный калькулятор'!$G$10="ежегодное",IF(F687&gt;'депозитный калькулятор'!$D$8," ",IF(F687='депозитный калькулятор'!$D$8,SUM($H$23:H687)-SUM($I$23:I686),IF(AND(EOMONTH(F687,0)=F687,MONTH(F687)=12),IF(MOD(YEAR(F686),4)=0,IF(F687-'депозитный калькулятор'!$D$7&lt;366,SUM($H$23:H687),SUM(OFFSET(H687,-365,0):H687)),IF(F687-'депозитный калькулятор'!$D$7&lt;365,SUM($H$23:H687),SUM(OFFSET(H687,-364,0):H687))),0))),IF(AND('депозитный калькулятор'!$G$10="в конце срока",'депозитный калькулятор'!$D$8=F687),SUM($H$23:H687),0))))))))))))))))))</f>
        <v xml:space="preserve"> </v>
      </c>
      <c r="J687" s="59" t="str">
        <f>IF(F687&gt;'депозитный калькулятор'!$D$8," ",IF('депозитный калькулятор'!$G$16="нет",0,IF(AND('депозитный калькулятор'!$G$17="разовая (в конце срока)",F687='депозитный калькулятор'!$D$8),'депозитный калькулятор'!$G$18,IF(AND('депозитный калькулятор'!$G$17="ежемесячная",EOMONTH(F686,0)=F686),'депозитный калькулятор'!$G$18,IF(AND('депозитный калькулятор'!$G$17="ежегодная",DAY(F686)=31,MONTH(F686)=12),'депозитный калькулятор'!$G$18,IF(AND('депозитный калькулятор'!$G$17="ежемесячная в зависимости от остатка",EOMONTH(F686,0)=F686,P686&gt;0),'депозитный калькулятор'!$G$18,IF(AND('депозитный калькулятор'!$G$17="ежегодная в зависимости от остатка",DAY(F686)=31,MONTH(F686)=12,P686&gt;0),'депозитный калькулятор'!$G$18,0)))))))</f>
        <v xml:space="preserve"> </v>
      </c>
      <c r="K687" s="135" t="str">
        <f>IF($F687=" "," ",IFERROR(VLOOKUP($F687,'депозитный калькулятор'!$B$26:$F$70,2,0),0))</f>
        <v xml:space="preserve"> </v>
      </c>
      <c r="L687" s="135" t="str">
        <f>IF($F687=" "," ",IFERROR(VLOOKUP($F687,'депозитный калькулятор'!$B$26:$F$70,3,0),0))</f>
        <v xml:space="preserve"> </v>
      </c>
      <c r="M687" s="135" t="str">
        <f>IF($F687=" "," ",IFERROR(VLOOKUP($F687,'депозитный калькулятор'!$B$26:$F$70,4,0),0))</f>
        <v xml:space="preserve"> </v>
      </c>
      <c r="N687" s="135" t="str">
        <f>IF($F687=" "," ",IFERROR(VLOOKUP($F687,'депозитный калькулятор'!$B$26:$F$70,5,0),0))</f>
        <v xml:space="preserve"> </v>
      </c>
      <c r="O687" s="146" t="str">
        <f>IF(F687&gt;'депозитный калькулятор'!$D$8," ",IF(F687='депозитный калькулятор'!$D$8,IF(AND($F$24='депозитный калькулятор'!$D$8,'депозитный калькулятор'!$G$13="нет"),-G687-IF(I687=" ",0,I687)-IF(AND(OR('депозитный калькулятор'!$G$7="30/365",'депозитный калькулятор'!$G$7="30/360"),'депозитный калькулятор'!$G$10="в начале срока"),I686,0)-L687+M687-N687,-G687-IF(I687=" ",0,I687)-L687+M687-N687),IF('депозитный калькулятор'!$G$13="есть",M687-N687+IF('депозитный калькулятор'!$G$14="есть",0,-L687),-IF(I687=" ",0,I687)-IF(AND(OR('депозитный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срока"),I686,0)+M687-N687+IF('депозитный калькулятор'!$G$14="есть",0,-L687))))</f>
        <v xml:space="preserve"> </v>
      </c>
      <c r="P687" s="147" t="str">
        <f>IF(F687&gt;'депозитный калькулятор'!$D$8," ",IF(EOMONTH(F686,0)=F686,0,IF(G687&gt;='депозитный калькулятор'!$G$19,P686,P686+1)))</f>
        <v xml:space="preserve"> </v>
      </c>
      <c r="Q687" s="138" t="str">
        <f>IF(F687=" "," ",IF(AND(OR('депозитный калькулятор'!$G$7="30/365",'депозитный калькулятор'!$G$7="30/360"),AND(MONTH(F687)=2,EOMONTH(F687,0)=F687)),IF(DAY(F687)=28,3,2),1)*IF(G687&gt;='депозитный калькулятор'!$G$11,IF(AND('депозитный калькулятор'!$G$7="факт/факт",MOD(YEAR(F687),4)=0),G687*'депозитный калькулятор'!$D$11/366,G687*'депозитный калькулятор'!$G$8),0))</f>
        <v xml:space="preserve"> </v>
      </c>
      <c r="R687" s="158"/>
      <c r="S687" s="62" t="str">
        <f t="shared" ca="1" si="52"/>
        <v xml:space="preserve"> </v>
      </c>
      <c r="T687" s="149" t="str">
        <f ca="1">IF(S687=" "," ",IF('депозитный калькулятор'!$G$7="30/360",DAYS360(U686,IF(DAY(U687)=31,U687-1,U687))+IF(AND(MONTH(U687)=2,U687=EOMONTH(U687,0)),30-DAY(EOMONTH(U687,0)))+T686,VLOOKUP(S687,$C$22:$F$1023,2,0)))</f>
        <v xml:space="preserve"> </v>
      </c>
      <c r="U687" s="64" t="str">
        <f t="shared" ca="1" si="50"/>
        <v xml:space="preserve"> </v>
      </c>
      <c r="V687" s="150" t="str">
        <f t="shared" ca="1" si="53"/>
        <v xml:space="preserve"> </v>
      </c>
      <c r="W687" s="62" t="str">
        <f t="shared" ca="1" si="54"/>
        <v xml:space="preserve"> </v>
      </c>
      <c r="X687" s="141" t="str">
        <f ca="1">IF(S687=" "," ",IFERROR(VLOOKUP(U687,$F$23:$N$1023,7)+VLOOKUP(U687,$F$23:$N$1023,9)+IF(AND('депозитный калькулятор'!$G$13="нет",U687&lt;&gt;'депозитный калькулятор'!$D$8),VLOOKUP(U687,$F$23:$N$1023,4),0),0)+IF(U687='депозитный калькулятор'!$D$8,VLOOKUP(U687,$F$23:$N$1023,2)+VLOOKUP(U687,$F$23:$N$1023,4),0))</f>
        <v xml:space="preserve"> </v>
      </c>
      <c r="Y687" s="142" t="str">
        <f ca="1">IF(S687=" "," ",W687/(1+'депозитный калькулятор'!$K$8)^(T687/IF('депозитный калькулятор'!$G$7="30/360",360,365)))</f>
        <v xml:space="preserve"> </v>
      </c>
      <c r="Z687" s="142" t="str">
        <f ca="1">IF(S687=" "," ",X687/(1+'депозитный калькулятор'!$K$8)^(T687/IF('депозитный калькулятор'!$G$7="30/360",360,365)))</f>
        <v xml:space="preserve"> </v>
      </c>
      <c r="AA687" s="151"/>
      <c r="AB687" s="151"/>
      <c r="AC687" s="155"/>
      <c r="AD687" s="155"/>
    </row>
    <row r="688" spans="1:30" s="2" customFormat="1" ht="15.5" x14ac:dyDescent="0.35">
      <c r="A688" s="41" t="str">
        <f>IF(F688=" "," ",IF(OR('депозитный калькулятор'!$G$7="30/365",'депозитный калькулятор'!$G$7="30/360"),IF(AND(MONTH(F688)=2,DAY(F688)=DAY(EOMONTH(F688,0))),30-DAY(EOMONTH(F688,0)),IF(DAY(F688)=31,1," "))," "))</f>
        <v xml:space="preserve"> </v>
      </c>
      <c r="B688" s="130" t="str">
        <f t="shared" si="51"/>
        <v xml:space="preserve"> </v>
      </c>
      <c r="C688" s="130" t="str">
        <f>IF(OR(B688=0,B688=" ")," ",SUM($B$23:B688))</f>
        <v xml:space="preserve"> </v>
      </c>
      <c r="D688" s="62" t="str">
        <f>IF(D687=" "," ",IF(OR(F687='депозитный калькулятор'!$D$8,F687=" ")," ",D687+1))</f>
        <v xml:space="preserve"> </v>
      </c>
      <c r="E688" s="130" t="str">
        <f>IF(OR(F687='депозитный калькулятор'!$D$8,F687=" ")," ",IF(EOMONTH(F687,0)=F687,1,E687+1))</f>
        <v xml:space="preserve"> </v>
      </c>
      <c r="F688" s="64" t="str">
        <f>IF(F687=" "," ",IF(F687='депозитный калькулятор'!$D$8," ",F687+1))</f>
        <v xml:space="preserve"> </v>
      </c>
      <c r="G688" s="145" t="str">
        <f xml:space="preserve"> IF(F688&gt;'депозитный калькулятор'!$D$8," ",IF('депозитный калькулятор'!$G$13="есть",IF('депозитный калькулятор'!$G$14="есть",G687+IF(I687=" ",0,I687)-J688-K688+L688+M688-N688,G687+IF(I687=" ",0,I687)-J688-K688+M688-N688),IF('депозитный калькулятор'!$G$14="есть",G687-J688-K688+L688+M688-N688,G687-J688-K688+M688-N688)))</f>
        <v xml:space="preserve"> </v>
      </c>
      <c r="H688" s="133" t="str">
        <f>IF(F688&gt;'депозитный калькулятор'!$D$8," ",IF(AND(OR('депозитный калькулятор'!$G$7="30/365",'депозитный калькулятор'!$G$7="30/360"),AND(MONTH(F688)=2,EOMONTH(F688,0)=F688)),IF(DAY(F688)=28,3*G688*'депозитный калькулятор'!$G$8,2*G688*'депозитный калькулятор'!$G$8),IF(AND(OR('депозитный калькулятор'!$G$7="30/365",'депозитный калькулятор'!$G$7="30/360"),DAY(F688)=31)," ",IF(AND('депозитный калькулятор'!$G$7="факт/факт",MOD(YEAR(F688),4)=0),G688*'депозитный калькулятор'!$D$11/366,G688*'депозитный калькулятор'!$G$8))))</f>
        <v xml:space="preserve"> </v>
      </c>
      <c r="I688" s="134" t="str">
        <f ca="1">IF(F688=" "," ",IF('депозитный калькулятор'!$G$10="ежедневное",H688,IF(AND('депозитный калькулятор'!$G$10="еженедельное",WEEKDAY(F688,2)=7),SUM(OFFSET(H688,-6,0):H688),IF(AND('депозитный калькулятор'!$G$10="еженедельное",F688='депозитный калькулятор'!$D$8),SUM($H$23:H688)-SUM($I$23:I687),IF(AND('депозитный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недели",WEEKDAY(F688,2)=7),MIN(OFFSET(H688,-6,0):H688)*(COUNTIF(OFFSET(H688,-6,0):H688,"&gt;0")+SUMIF(OFFSET(A688,-WEEKDAY(F688,2),0):A688,"=2",OFFSET(A688,-WEEKDAY(F688,2),0):A688)),IF(AND('депозитный калькулятор'!$G$10="еженедельное, на минимальную сумму зафиксированную в течение недели",F688='депозитный калькулятор'!$D$8,WEEKDAY(F688,2)&lt;&gt;7),MIN(OFFSET(H688,-WEEKDAY(F688,2),0):H688)*(COUNTIF(OFFSET(H688,-WEEKDAY(F688,2)+1,0):H688,"&gt;0")+SUM(OFFSET(A688,-WEEKDAY(F688,2),0):A688)),IF(AND('депозитный калькулятор'!$G$10="ежемесячное (в конце месяца)",F688='депозитный калькулятор'!$D$8,EOMONTH(F688,0)&lt;&gt;F688),IF('депозитный калькулятор'!$F$1=1,$H$24,SUM($H$23:H688)-SUM($I$23:I687)),IF(AND('депозитный калькулятор'!$G$10="ежемесячное (в конце месяца)",EOMONTH(F688,0)=F688),SUM($H$23:H688)-SUM($I$23:I687),IF(AND('депозитный калькулятор'!$G$10="ежемесячное (по дням открытия вклада)",F688='депозитный калькулятор'!$D$8,DAY('депозитный калькулятор'!$D$7)&lt;&gt;DAY(F688)),IF('депозитный калькулятор'!$F$1=1,$H$24,SUM($H$23:H688)-SUM($I$23:I687)),IF(AND('депозитный калькулятор'!$G$10="ежемесячное (по дням открытия вклада)",DAY('депозитный калькулятор'!$D$7)=DAY(F688)),SUM($H$23:H688)-SUM($I$23:I687),IF(AND('депозитный калькулятор'!$G$10="ежемесячное, на минимальную сумму зафиксированную в течение месяца",F688='депозитный калькулятор'!$D$8,EOMONTH(F688,0)&lt;&gt;F688),IF('депозитный калькулятор'!$F$1=1,$H$24,IF(AND(OR('депозитный калькулятор'!$G$7="30/365",'депозитный калькулятор'!$G$7="30/360"),DAY(F688)=31),0,MIN(OFFSET(H688,-E688+1,0):H688)*(E688+SUMIF(OFFSET(A688,-E688+1,0):A688,"=2",OFFSET(A688,-E688+1,0):A688)))),IF(AND('депозитный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калькулятор'!$G$7="30/360"),DAY(EOMONTH(F688,0))=31),EOMONTH(F688,0)-1=F688,EOMONTH(F688,0)=F688)),IF(IF(AND(OR('депозитный калькулятор'!$G$7="30/365",'депозитный калькулятор'!$G$7="30/360"),DAY(EOMONTH($F$23,0))=31),F688=EOMONTH($F$23,0)-1,F688=EOMONTH($F$23,0)),MIN(OFFSET(H688,-(DAY(F688)-DAY($F$23)),0):H688)*E688,MIN(OFFSET(H688,-(DAY(F688)-1),0):H688)*IF(AND(OR('депозитный калькулятор'!$G$7="30/365",'депозитный калькулятор'!$G$7="30/360"),DAY(F688)&lt;30),30,DAY(F688))),IF(AND('депозитный калькулятор'!$G$10="ежемесячное, на средний остаток в течение месяца, при условии что остаток больше чем ограничение",F688='депозитный калькулятор'!$D$8,EOMONTH(F688,0)&lt;&gt;F688),IF('депозитный калькулятор'!$F$1=1,$H$24,SUM(OFFSET(Q688,-E688+1,0):Q688)),IF(AND('депозитный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калькулятор'!$G$7="30/360"),DAY(EOMONTH(F688,0))=31),EOMONTH(F688,0)-1=F688,EOMONTH(F688,0)=F688)),IF(IF(AND(OR('депозитный калькулятор'!$G$7="30/365",'депозитный калькулятор'!$G$7="30/360"),DAY(EOMONTH($F$24,0))=31),F688=EOMONTH($F$24,0)-1,F688=EOMONTH($F$24,0)),SUM(OFFSET(Q688,-E688+1,0):Q688),SUM(OFFSET(Q688,-E688+1,0):Q688)),IF('депозитный калькулятор'!$G$10="ежеквартальное",IF(F688&gt;'депозитный калькулятор'!$D$8," ",IF(AND(EOMONTH(F688,0)=F688,OR(MONTH(F688)=3,MONTH(F688)=6,MONTH(F688)=9,MONTH(F688)=12)),IF(EDATE(F688,-3)&lt;'депозитный калькулятор'!$D$7,SUM($H$23:H688),IF(MOD(YEAR(F688),4)=0,IF(AND(EOMONTH(F688,0)=F688,OR(MONTH(F688)=3,MONTH(F688)=6)),SUM(OFFSET(H688,-90,0):H688),IF(AND(EOMONTH(F688,0)=F688,OR(MONTH(F688)=9,MONTH(F688)=12)),SUM(OFFSET(H688,-91,0):H688))),IF(AND(EOMONTH(F688,0)=F688,MONTH(F688)=3),SUM(OFFSET(H688,-89,0):H688),IF(AND(EOMONTH(F688,0)=F688,MONTH(F688)=6),SUM(OFFSET(H688,-90,0):H688),IF(AND(EOMONTH(F688,0)=F688,OR(MONTH(F688)=9,MONTH(F688)=12)),SUM(OFFSET(H688,-91,0):H688)))))),IF(F688='депозитный калькулятор'!$D$8,SUM($H$23:H688)-SUM($I$23:I687),0))),IF('депозитный калькулятор'!$G$10="ежегодное",IF(F688&gt;'депозитный калькулятор'!$D$8," ",IF(F688='депозитный калькулятор'!$D$8,SUM($H$23:H688)-SUM($I$23:I687),IF(AND(EOMONTH(F688,0)=F688,MONTH(F688)=12),IF(MOD(YEAR(F687),4)=0,IF(F688-'депозитный калькулятор'!$D$7&lt;366,SUM($H$23:H688),SUM(OFFSET(H688,-365,0):H688)),IF(F688-'депозитный калькулятор'!$D$7&lt;365,SUM($H$23:H688),SUM(OFFSET(H688,-364,0):H688))),0))),IF(AND('депозитный калькулятор'!$G$10="в конце срока",'депозитный калькулятор'!$D$8=F688),SUM($H$23:H688),0))))))))))))))))))</f>
        <v xml:space="preserve"> </v>
      </c>
      <c r="J688" s="59" t="str">
        <f>IF(F688&gt;'депозитный калькулятор'!$D$8," ",IF('депозитный калькулятор'!$G$16="нет",0,IF(AND('депозитный калькулятор'!$G$17="разовая (в конце срока)",F688='депозитный калькулятор'!$D$8),'депозитный калькулятор'!$G$18,IF(AND('депозитный калькулятор'!$G$17="ежемесячная",EOMONTH(F687,0)=F687),'депозитный калькулятор'!$G$18,IF(AND('депозитный калькулятор'!$G$17="ежегодная",DAY(F687)=31,MONTH(F687)=12),'депозитный калькулятор'!$G$18,IF(AND('депозитный калькулятор'!$G$17="ежемесячная в зависимости от остатка",EOMONTH(F687,0)=F687,P687&gt;0),'депозитный калькулятор'!$G$18,IF(AND('депозитный калькулятор'!$G$17="ежегодная в зависимости от остатка",DAY(F687)=31,MONTH(F687)=12,P687&gt;0),'депозитный калькулятор'!$G$18,0)))))))</f>
        <v xml:space="preserve"> </v>
      </c>
      <c r="K688" s="135" t="str">
        <f>IF($F688=" "," ",IFERROR(VLOOKUP($F688,'депозитный калькулятор'!$B$26:$F$70,2,0),0))</f>
        <v xml:space="preserve"> </v>
      </c>
      <c r="L688" s="135" t="str">
        <f>IF($F688=" "," ",IFERROR(VLOOKUP($F688,'депозитный калькулятор'!$B$26:$F$70,3,0),0))</f>
        <v xml:space="preserve"> </v>
      </c>
      <c r="M688" s="135" t="str">
        <f>IF($F688=" "," ",IFERROR(VLOOKUP($F688,'депозитный калькулятор'!$B$26:$F$70,4,0),0))</f>
        <v xml:space="preserve"> </v>
      </c>
      <c r="N688" s="135" t="str">
        <f>IF($F688=" "," ",IFERROR(VLOOKUP($F688,'депозитный калькулятор'!$B$26:$F$70,5,0),0))</f>
        <v xml:space="preserve"> </v>
      </c>
      <c r="O688" s="146" t="str">
        <f>IF(F688&gt;'депозитный калькулятор'!$D$8," ",IF(F688='депозитный калькулятор'!$D$8,IF(AND($F$24='депозитный калькулятор'!$D$8,'депозитный калькулятор'!$G$13="нет"),-G688-IF(I688=" ",0,I688)-IF(AND(OR('депозитный калькулятор'!$G$7="30/365",'депозитный калькулятор'!$G$7="30/360"),'депозитный калькулятор'!$G$10="в начале срока"),I687,0)-L688+M688-N688,-G688-IF(I688=" ",0,I688)-L688+M688-N688),IF('депозитный калькулятор'!$G$13="есть",M688-N688+IF('депозитный калькулятор'!$G$14="есть",0,-L688),-IF(I688=" ",0,I688)-IF(AND(OR('депозитный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срока"),I687,0)+M688-N688+IF('депозитный калькулятор'!$G$14="есть",0,-L688))))</f>
        <v xml:space="preserve"> </v>
      </c>
      <c r="P688" s="147" t="str">
        <f>IF(F688&gt;'депозитный калькулятор'!$D$8," ",IF(EOMONTH(F687,0)=F687,0,IF(G688&gt;='депозитный калькулятор'!$G$19,P687,P687+1)))</f>
        <v xml:space="preserve"> </v>
      </c>
      <c r="Q688" s="138" t="str">
        <f>IF(F688=" "," ",IF(AND(OR('депозитный калькулятор'!$G$7="30/365",'депозитный калькулятор'!$G$7="30/360"),AND(MONTH(F688)=2,EOMONTH(F688,0)=F688)),IF(DAY(F688)=28,3,2),1)*IF(G688&gt;='депозитный калькулятор'!$G$11,IF(AND('депозитный калькулятор'!$G$7="факт/факт",MOD(YEAR(F688),4)=0),G688*'депозитный калькулятор'!$D$11/366,G688*'депозитный калькулятор'!$G$8),0))</f>
        <v xml:space="preserve"> </v>
      </c>
      <c r="R688" s="158"/>
      <c r="S688" s="62" t="str">
        <f t="shared" ca="1" si="52"/>
        <v xml:space="preserve"> </v>
      </c>
      <c r="T688" s="149" t="str">
        <f ca="1">IF(S688=" "," ",IF('депозитный калькулятор'!$G$7="30/360",DAYS360(U687,IF(DAY(U688)=31,U688-1,U688))+IF(AND(MONTH(U688)=2,U688=EOMONTH(U688,0)),30-DAY(EOMONTH(U688,0)))+T687,VLOOKUP(S688,$C$22:$F$1023,2,0)))</f>
        <v xml:space="preserve"> </v>
      </c>
      <c r="U688" s="64" t="str">
        <f t="shared" ca="1" si="50"/>
        <v xml:space="preserve"> </v>
      </c>
      <c r="V688" s="150" t="str">
        <f t="shared" ca="1" si="53"/>
        <v xml:space="preserve"> </v>
      </c>
      <c r="W688" s="62" t="str">
        <f t="shared" ca="1" si="54"/>
        <v xml:space="preserve"> </v>
      </c>
      <c r="X688" s="141" t="str">
        <f ca="1">IF(S688=" "," ",IFERROR(VLOOKUP(U688,$F$23:$N$1023,7)+VLOOKUP(U688,$F$23:$N$1023,9)+IF(AND('депозитный калькулятор'!$G$13="нет",U688&lt;&gt;'депозитный калькулятор'!$D$8),VLOOKUP(U688,$F$23:$N$1023,4),0),0)+IF(U688='депозитный калькулятор'!$D$8,VLOOKUP(U688,$F$23:$N$1023,2)+VLOOKUP(U688,$F$23:$N$1023,4),0))</f>
        <v xml:space="preserve"> </v>
      </c>
      <c r="Y688" s="142" t="str">
        <f ca="1">IF(S688=" "," ",W688/(1+'депозитный калькулятор'!$K$8)^(T688/IF('депозитный калькулятор'!$G$7="30/360",360,365)))</f>
        <v xml:space="preserve"> </v>
      </c>
      <c r="Z688" s="142" t="str">
        <f ca="1">IF(S688=" "," ",X688/(1+'депозитный калькулятор'!$K$8)^(T688/IF('депозитный калькулятор'!$G$7="30/360",360,365)))</f>
        <v xml:space="preserve"> </v>
      </c>
      <c r="AA688" s="151"/>
      <c r="AB688" s="151"/>
      <c r="AC688" s="155"/>
      <c r="AD688" s="155"/>
    </row>
    <row r="689" spans="1:30" s="2" customFormat="1" ht="15.5" x14ac:dyDescent="0.35">
      <c r="A689" s="41" t="str">
        <f>IF(F689=" "," ",IF(OR('депозитный калькулятор'!$G$7="30/365",'депозитный калькулятор'!$G$7="30/360"),IF(AND(MONTH(F689)=2,DAY(F689)=DAY(EOMONTH(F689,0))),30-DAY(EOMONTH(F689,0)),IF(DAY(F689)=31,1," "))," "))</f>
        <v xml:space="preserve"> </v>
      </c>
      <c r="B689" s="130" t="str">
        <f t="shared" si="51"/>
        <v xml:space="preserve"> </v>
      </c>
      <c r="C689" s="130" t="str">
        <f>IF(OR(B689=0,B689=" ")," ",SUM($B$23:B689))</f>
        <v xml:space="preserve"> </v>
      </c>
      <c r="D689" s="62" t="str">
        <f>IF(D688=" "," ",IF(OR(F688='депозитный калькулятор'!$D$8,F688=" ")," ",D688+1))</f>
        <v xml:space="preserve"> </v>
      </c>
      <c r="E689" s="130" t="str">
        <f>IF(OR(F688='депозитный калькулятор'!$D$8,F688=" ")," ",IF(EOMONTH(F688,0)=F688,1,E688+1))</f>
        <v xml:space="preserve"> </v>
      </c>
      <c r="F689" s="64" t="str">
        <f>IF(F688=" "," ",IF(F688='депозитный калькулятор'!$D$8," ",F688+1))</f>
        <v xml:space="preserve"> </v>
      </c>
      <c r="G689" s="145" t="str">
        <f xml:space="preserve"> IF(F689&gt;'депозитный калькулятор'!$D$8," ",IF('депозитный калькулятор'!$G$13="есть",IF('депозитный калькулятор'!$G$14="есть",G688+IF(I688=" ",0,I688)-J689-K689+L689+M689-N689,G688+IF(I688=" ",0,I688)-J689-K689+M689-N689),IF('депозитный калькулятор'!$G$14="есть",G688-J689-K689+L689+M689-N689,G688-J689-K689+M689-N689)))</f>
        <v xml:space="preserve"> </v>
      </c>
      <c r="H689" s="133" t="str">
        <f>IF(F689&gt;'депозитный калькулятор'!$D$8," ",IF(AND(OR('депозитный калькулятор'!$G$7="30/365",'депозитный калькулятор'!$G$7="30/360"),AND(MONTH(F689)=2,EOMONTH(F689,0)=F689)),IF(DAY(F689)=28,3*G689*'депозитный калькулятор'!$G$8,2*G689*'депозитный калькулятор'!$G$8),IF(AND(OR('депозитный калькулятор'!$G$7="30/365",'депозитный калькулятор'!$G$7="30/360"),DAY(F689)=31)," ",IF(AND('депозитный калькулятор'!$G$7="факт/факт",MOD(YEAR(F689),4)=0),G689*'депозитный калькулятор'!$D$11/366,G689*'депозитный калькулятор'!$G$8))))</f>
        <v xml:space="preserve"> </v>
      </c>
      <c r="I689" s="134" t="str">
        <f ca="1">IF(F689=" "," ",IF('депозитный калькулятор'!$G$10="ежедневное",H689,IF(AND('депозитный калькулятор'!$G$10="еженедельное",WEEKDAY(F689,2)=7),SUM(OFFSET(H689,-6,0):H689),IF(AND('депозитный калькулятор'!$G$10="еженедельное",F689='депозитный калькулятор'!$D$8),SUM($H$23:H689)-SUM($I$23:I688),IF(AND('депозитный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недели",WEEKDAY(F689,2)=7),MIN(OFFSET(H689,-6,0):H689)*(COUNTIF(OFFSET(H689,-6,0):H689,"&gt;0")+SUMIF(OFFSET(A689,-WEEKDAY(F689,2),0):A689,"=2",OFFSET(A689,-WEEKDAY(F689,2),0):A689)),IF(AND('депозитный калькулятор'!$G$10="еженедельное, на минимальную сумму зафиксированную в течение недели",F689='депозитный калькулятор'!$D$8,WEEKDAY(F689,2)&lt;&gt;7),MIN(OFFSET(H689,-WEEKDAY(F689,2),0):H689)*(COUNTIF(OFFSET(H689,-WEEKDAY(F689,2)+1,0):H689,"&gt;0")+SUM(OFFSET(A689,-WEEKDAY(F689,2),0):A689)),IF(AND('депозитный калькулятор'!$G$10="ежемесячное (в конце месяца)",F689='депозитный калькулятор'!$D$8,EOMONTH(F689,0)&lt;&gt;F689),IF('депозитный калькулятор'!$F$1=1,$H$24,SUM($H$23:H689)-SUM($I$23:I688)),IF(AND('депозитный калькулятор'!$G$10="ежемесячное (в конце месяца)",EOMONTH(F689,0)=F689),SUM($H$23:H689)-SUM($I$23:I688),IF(AND('депозитный калькулятор'!$G$10="ежемесячное (по дням открытия вклада)",F689='депозитный калькулятор'!$D$8,DAY('депозитный калькулятор'!$D$7)&lt;&gt;DAY(F689)),IF('депозитный калькулятор'!$F$1=1,$H$24,SUM($H$23:H689)-SUM($I$23:I688)),IF(AND('депозитный калькулятор'!$G$10="ежемесячное (по дням открытия вклада)",DAY('депозитный калькулятор'!$D$7)=DAY(F689)),SUM($H$23:H689)-SUM($I$23:I688),IF(AND('депозитный калькулятор'!$G$10="ежемесячное, на минимальную сумму зафиксированную в течение месяца",F689='депозитный калькулятор'!$D$8,EOMONTH(F689,0)&lt;&gt;F689),IF('депозитный калькулятор'!$F$1=1,$H$24,IF(AND(OR('депозитный калькулятор'!$G$7="30/365",'депозитный калькулятор'!$G$7="30/360"),DAY(F689)=31),0,MIN(OFFSET(H689,-E689+1,0):H689)*(E689+SUMIF(OFFSET(A689,-E689+1,0):A689,"=2",OFFSET(A689,-E689+1,0):A689)))),IF(AND('депозитный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калькулятор'!$G$7="30/360"),DAY(EOMONTH(F689,0))=31),EOMONTH(F689,0)-1=F689,EOMONTH(F689,0)=F689)),IF(IF(AND(OR('депозитный калькулятор'!$G$7="30/365",'депозитный калькулятор'!$G$7="30/360"),DAY(EOMONTH($F$23,0))=31),F689=EOMONTH($F$23,0)-1,F689=EOMONTH($F$23,0)),MIN(OFFSET(H689,-(DAY(F689)-DAY($F$23)),0):H689)*E689,MIN(OFFSET(H689,-(DAY(F689)-1),0):H689)*IF(AND(OR('депозитный калькулятор'!$G$7="30/365",'депозитный калькулятор'!$G$7="30/360"),DAY(F689)&lt;30),30,DAY(F689))),IF(AND('депозитный калькулятор'!$G$10="ежемесячное, на средний остаток в течение месяца, при условии что остаток больше чем ограничение",F689='депозитный калькулятор'!$D$8,EOMONTH(F689,0)&lt;&gt;F689),IF('депозитный калькулятор'!$F$1=1,$H$24,SUM(OFFSET(Q689,-E689+1,0):Q689)),IF(AND('депозитный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калькулятор'!$G$7="30/360"),DAY(EOMONTH(F689,0))=31),EOMONTH(F689,0)-1=F689,EOMONTH(F689,0)=F689)),IF(IF(AND(OR('депозитный калькулятор'!$G$7="30/365",'депозитный калькулятор'!$G$7="30/360"),DAY(EOMONTH($F$24,0))=31),F689=EOMONTH($F$24,0)-1,F689=EOMONTH($F$24,0)),SUM(OFFSET(Q689,-E689+1,0):Q689),SUM(OFFSET(Q689,-E689+1,0):Q689)),IF('депозитный калькулятор'!$G$10="ежеквартальное",IF(F689&gt;'депозитный калькулятор'!$D$8," ",IF(AND(EOMONTH(F689,0)=F689,OR(MONTH(F689)=3,MONTH(F689)=6,MONTH(F689)=9,MONTH(F689)=12)),IF(EDATE(F689,-3)&lt;'депозитный калькулятор'!$D$7,SUM($H$23:H689),IF(MOD(YEAR(F689),4)=0,IF(AND(EOMONTH(F689,0)=F689,OR(MONTH(F689)=3,MONTH(F689)=6)),SUM(OFFSET(H689,-90,0):H689),IF(AND(EOMONTH(F689,0)=F689,OR(MONTH(F689)=9,MONTH(F689)=12)),SUM(OFFSET(H689,-91,0):H689))),IF(AND(EOMONTH(F689,0)=F689,MONTH(F689)=3),SUM(OFFSET(H689,-89,0):H689),IF(AND(EOMONTH(F689,0)=F689,MONTH(F689)=6),SUM(OFFSET(H689,-90,0):H689),IF(AND(EOMONTH(F689,0)=F689,OR(MONTH(F689)=9,MONTH(F689)=12)),SUM(OFFSET(H689,-91,0):H689)))))),IF(F689='депозитный калькулятор'!$D$8,SUM($H$23:H689)-SUM($I$23:I688),0))),IF('депозитный калькулятор'!$G$10="ежегодное",IF(F689&gt;'депозитный калькулятор'!$D$8," ",IF(F689='депозитный калькулятор'!$D$8,SUM($H$23:H689)-SUM($I$23:I688),IF(AND(EOMONTH(F689,0)=F689,MONTH(F689)=12),IF(MOD(YEAR(F688),4)=0,IF(F689-'депозитный калькулятор'!$D$7&lt;366,SUM($H$23:H689),SUM(OFFSET(H689,-365,0):H689)),IF(F689-'депозитный калькулятор'!$D$7&lt;365,SUM($H$23:H689),SUM(OFFSET(H689,-364,0):H689))),0))),IF(AND('депозитный калькулятор'!$G$10="в конце срока",'депозитный калькулятор'!$D$8=F689),SUM($H$23:H689),0))))))))))))))))))</f>
        <v xml:space="preserve"> </v>
      </c>
      <c r="J689" s="59" t="str">
        <f>IF(F689&gt;'депозитный калькулятор'!$D$8," ",IF('депозитный калькулятор'!$G$16="нет",0,IF(AND('депозитный калькулятор'!$G$17="разовая (в конце срока)",F689='депозитный калькулятор'!$D$8),'депозитный калькулятор'!$G$18,IF(AND('депозитный калькулятор'!$G$17="ежемесячная",EOMONTH(F688,0)=F688),'депозитный калькулятор'!$G$18,IF(AND('депозитный калькулятор'!$G$17="ежегодная",DAY(F688)=31,MONTH(F688)=12),'депозитный калькулятор'!$G$18,IF(AND('депозитный калькулятор'!$G$17="ежемесячная в зависимости от остатка",EOMONTH(F688,0)=F688,P688&gt;0),'депозитный калькулятор'!$G$18,IF(AND('депозитный калькулятор'!$G$17="ежегодная в зависимости от остатка",DAY(F688)=31,MONTH(F688)=12,P688&gt;0),'депозитный калькулятор'!$G$18,0)))))))</f>
        <v xml:space="preserve"> </v>
      </c>
      <c r="K689" s="135" t="str">
        <f>IF($F689=" "," ",IFERROR(VLOOKUP($F689,'депозитный калькулятор'!$B$26:$F$70,2,0),0))</f>
        <v xml:space="preserve"> </v>
      </c>
      <c r="L689" s="135" t="str">
        <f>IF($F689=" "," ",IFERROR(VLOOKUP($F689,'депозитный калькулятор'!$B$26:$F$70,3,0),0))</f>
        <v xml:space="preserve"> </v>
      </c>
      <c r="M689" s="135" t="str">
        <f>IF($F689=" "," ",IFERROR(VLOOKUP($F689,'депозитный калькулятор'!$B$26:$F$70,4,0),0))</f>
        <v xml:space="preserve"> </v>
      </c>
      <c r="N689" s="135" t="str">
        <f>IF($F689=" "," ",IFERROR(VLOOKUP($F689,'депозитный калькулятор'!$B$26:$F$70,5,0),0))</f>
        <v xml:space="preserve"> </v>
      </c>
      <c r="O689" s="146" t="str">
        <f>IF(F689&gt;'депозитный калькулятор'!$D$8," ",IF(F689='депозитный калькулятор'!$D$8,IF(AND($F$24='депозитный калькулятор'!$D$8,'депозитный калькулятор'!$G$13="нет"),-G689-IF(I689=" ",0,I689)-IF(AND(OR('депозитный калькулятор'!$G$7="30/365",'депозитный калькулятор'!$G$7="30/360"),'депозитный калькулятор'!$G$10="в начале срока"),I688,0)-L689+M689-N689,-G689-IF(I689=" ",0,I689)-L689+M689-N689),IF('депозитный калькулятор'!$G$13="есть",M689-N689+IF('депозитный калькулятор'!$G$14="есть",0,-L689),-IF(I689=" ",0,I689)-IF(AND(OR('депозитный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срока"),I688,0)+M689-N689+IF('депозитный калькулятор'!$G$14="есть",0,-L689))))</f>
        <v xml:space="preserve"> </v>
      </c>
      <c r="P689" s="147" t="str">
        <f>IF(F689&gt;'депозитный калькулятор'!$D$8," ",IF(EOMONTH(F688,0)=F688,0,IF(G689&gt;='депозитный калькулятор'!$G$19,P688,P688+1)))</f>
        <v xml:space="preserve"> </v>
      </c>
      <c r="Q689" s="138" t="str">
        <f>IF(F689=" "," ",IF(AND(OR('депозитный калькулятор'!$G$7="30/365",'депозитный калькулятор'!$G$7="30/360"),AND(MONTH(F689)=2,EOMONTH(F689,0)=F689)),IF(DAY(F689)=28,3,2),1)*IF(G689&gt;='депозитный калькулятор'!$G$11,IF(AND('депозитный калькулятор'!$G$7="факт/факт",MOD(YEAR(F689),4)=0),G689*'депозитный калькулятор'!$D$11/366,G689*'депозитный калькулятор'!$G$8),0))</f>
        <v xml:space="preserve"> </v>
      </c>
      <c r="R689" s="158"/>
      <c r="S689" s="62" t="str">
        <f t="shared" ca="1" si="52"/>
        <v xml:space="preserve"> </v>
      </c>
      <c r="T689" s="149" t="str">
        <f ca="1">IF(S689=" "," ",IF('депозитный калькулятор'!$G$7="30/360",DAYS360(U688,IF(DAY(U689)=31,U689-1,U689))+IF(AND(MONTH(U689)=2,U689=EOMONTH(U689,0)),30-DAY(EOMONTH(U689,0)))+T688,VLOOKUP(S689,$C$22:$F$1023,2,0)))</f>
        <v xml:space="preserve"> </v>
      </c>
      <c r="U689" s="64" t="str">
        <f t="shared" ca="1" si="50"/>
        <v xml:space="preserve"> </v>
      </c>
      <c r="V689" s="150" t="str">
        <f t="shared" ca="1" si="53"/>
        <v xml:space="preserve"> </v>
      </c>
      <c r="W689" s="62" t="str">
        <f t="shared" ca="1" si="54"/>
        <v xml:space="preserve"> </v>
      </c>
      <c r="X689" s="141" t="str">
        <f ca="1">IF(S689=" "," ",IFERROR(VLOOKUP(U689,$F$23:$N$1023,7)+VLOOKUP(U689,$F$23:$N$1023,9)+IF(AND('депозитный калькулятор'!$G$13="нет",U689&lt;&gt;'депозитный калькулятор'!$D$8),VLOOKUP(U689,$F$23:$N$1023,4),0),0)+IF(U689='депозитный калькулятор'!$D$8,VLOOKUP(U689,$F$23:$N$1023,2)+VLOOKUP(U689,$F$23:$N$1023,4),0))</f>
        <v xml:space="preserve"> </v>
      </c>
      <c r="Y689" s="142" t="str">
        <f ca="1">IF(S689=" "," ",W689/(1+'депозитный калькулятор'!$K$8)^(T689/IF('депозитный калькулятор'!$G$7="30/360",360,365)))</f>
        <v xml:space="preserve"> </v>
      </c>
      <c r="Z689" s="142" t="str">
        <f ca="1">IF(S689=" "," ",X689/(1+'депозитный калькулятор'!$K$8)^(T689/IF('депозитный калькулятор'!$G$7="30/360",360,365)))</f>
        <v xml:space="preserve"> </v>
      </c>
      <c r="AA689" s="151"/>
      <c r="AB689" s="151"/>
      <c r="AC689" s="155"/>
      <c r="AD689" s="155"/>
    </row>
    <row r="690" spans="1:30" s="2" customFormat="1" ht="15.5" x14ac:dyDescent="0.35">
      <c r="A690" s="41" t="str">
        <f>IF(F690=" "," ",IF(OR('депозитный калькулятор'!$G$7="30/365",'депозитный калькулятор'!$G$7="30/360"),IF(AND(MONTH(F690)=2,DAY(F690)=DAY(EOMONTH(F690,0))),30-DAY(EOMONTH(F690,0)),IF(DAY(F690)=31,1," "))," "))</f>
        <v xml:space="preserve"> </v>
      </c>
      <c r="B690" s="130" t="str">
        <f t="shared" si="51"/>
        <v xml:space="preserve"> </v>
      </c>
      <c r="C690" s="130" t="str">
        <f>IF(OR(B690=0,B690=" ")," ",SUM($B$23:B690))</f>
        <v xml:space="preserve"> </v>
      </c>
      <c r="D690" s="62" t="str">
        <f>IF(D689=" "," ",IF(OR(F689='депозитный калькулятор'!$D$8,F689=" ")," ",D689+1))</f>
        <v xml:space="preserve"> </v>
      </c>
      <c r="E690" s="130" t="str">
        <f>IF(OR(F689='депозитный калькулятор'!$D$8,F689=" ")," ",IF(EOMONTH(F689,0)=F689,1,E689+1))</f>
        <v xml:space="preserve"> </v>
      </c>
      <c r="F690" s="64" t="str">
        <f>IF(F689=" "," ",IF(F689='депозитный калькулятор'!$D$8," ",F689+1))</f>
        <v xml:space="preserve"> </v>
      </c>
      <c r="G690" s="145" t="str">
        <f xml:space="preserve"> IF(F690&gt;'депозитный калькулятор'!$D$8," ",IF('депозитный калькулятор'!$G$13="есть",IF('депозитный калькулятор'!$G$14="есть",G689+IF(I689=" ",0,I689)-J690-K690+L690+M690-N690,G689+IF(I689=" ",0,I689)-J690-K690+M690-N690),IF('депозитный калькулятор'!$G$14="есть",G689-J690-K690+L690+M690-N690,G689-J690-K690+M690-N690)))</f>
        <v xml:space="preserve"> </v>
      </c>
      <c r="H690" s="133" t="str">
        <f>IF(F690&gt;'депозитный калькулятор'!$D$8," ",IF(AND(OR('депозитный калькулятор'!$G$7="30/365",'депозитный калькулятор'!$G$7="30/360"),AND(MONTH(F690)=2,EOMONTH(F690,0)=F690)),IF(DAY(F690)=28,3*G690*'депозитный калькулятор'!$G$8,2*G690*'депозитный калькулятор'!$G$8),IF(AND(OR('депозитный калькулятор'!$G$7="30/365",'депозитный калькулятор'!$G$7="30/360"),DAY(F690)=31)," ",IF(AND('депозитный калькулятор'!$G$7="факт/факт",MOD(YEAR(F690),4)=0),G690*'депозитный калькулятор'!$D$11/366,G690*'депозитный калькулятор'!$G$8))))</f>
        <v xml:space="preserve"> </v>
      </c>
      <c r="I690" s="134" t="str">
        <f ca="1">IF(F690=" "," ",IF('депозитный калькулятор'!$G$10="ежедневное",H690,IF(AND('депозитный калькулятор'!$G$10="еженедельное",WEEKDAY(F690,2)=7),SUM(OFFSET(H690,-6,0):H690),IF(AND('депозитный калькулятор'!$G$10="еженедельное",F690='депозитный калькулятор'!$D$8),SUM($H$23:H690)-SUM($I$23:I689),IF(AND('депозитный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недели",WEEKDAY(F690,2)=7),MIN(OFFSET(H690,-6,0):H690)*(COUNTIF(OFFSET(H690,-6,0):H690,"&gt;0")+SUMIF(OFFSET(A690,-WEEKDAY(F690,2),0):A690,"=2",OFFSET(A690,-WEEKDAY(F690,2),0):A690)),IF(AND('депозитный калькулятор'!$G$10="еженедельное, на минимальную сумму зафиксированную в течение недели",F690='депозитный калькулятор'!$D$8,WEEKDAY(F690,2)&lt;&gt;7),MIN(OFFSET(H690,-WEEKDAY(F690,2),0):H690)*(COUNTIF(OFFSET(H690,-WEEKDAY(F690,2)+1,0):H690,"&gt;0")+SUM(OFFSET(A690,-WEEKDAY(F690,2),0):A690)),IF(AND('депозитный калькулятор'!$G$10="ежемесячное (в конце месяца)",F690='депозитный калькулятор'!$D$8,EOMONTH(F690,0)&lt;&gt;F690),IF('депозитный калькулятор'!$F$1=1,$H$24,SUM($H$23:H690)-SUM($I$23:I689)),IF(AND('депозитный калькулятор'!$G$10="ежемесячное (в конце месяца)",EOMONTH(F690,0)=F690),SUM($H$23:H690)-SUM($I$23:I689),IF(AND('депозитный калькулятор'!$G$10="ежемесячное (по дням открытия вклада)",F690='депозитный калькулятор'!$D$8,DAY('депозитный калькулятор'!$D$7)&lt;&gt;DAY(F690)),IF('депозитный калькулятор'!$F$1=1,$H$24,SUM($H$23:H690)-SUM($I$23:I689)),IF(AND('депозитный калькулятор'!$G$10="ежемесячное (по дням открытия вклада)",DAY('депозитный калькулятор'!$D$7)=DAY(F690)),SUM($H$23:H690)-SUM($I$23:I689),IF(AND('депозитный калькулятор'!$G$10="ежемесячное, на минимальную сумму зафиксированную в течение месяца",F690='депозитный калькулятор'!$D$8,EOMONTH(F690,0)&lt;&gt;F690),IF('депозитный калькулятор'!$F$1=1,$H$24,IF(AND(OR('депозитный калькулятор'!$G$7="30/365",'депозитный калькулятор'!$G$7="30/360"),DAY(F690)=31),0,MIN(OFFSET(H690,-E690+1,0):H690)*(E690+SUMIF(OFFSET(A690,-E690+1,0):A690,"=2",OFFSET(A690,-E690+1,0):A690)))),IF(AND('депозитный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калькулятор'!$G$7="30/360"),DAY(EOMONTH(F690,0))=31),EOMONTH(F690,0)-1=F690,EOMONTH(F690,0)=F690)),IF(IF(AND(OR('депозитный калькулятор'!$G$7="30/365",'депозитный калькулятор'!$G$7="30/360"),DAY(EOMONTH($F$23,0))=31),F690=EOMONTH($F$23,0)-1,F690=EOMONTH($F$23,0)),MIN(OFFSET(H690,-(DAY(F690)-DAY($F$23)),0):H690)*E690,MIN(OFFSET(H690,-(DAY(F690)-1),0):H690)*IF(AND(OR('депозитный калькулятор'!$G$7="30/365",'депозитный калькулятор'!$G$7="30/360"),DAY(F690)&lt;30),30,DAY(F690))),IF(AND('депозитный калькулятор'!$G$10="ежемесячное, на средний остаток в течение месяца, при условии что остаток больше чем ограничение",F690='депозитный калькулятор'!$D$8,EOMONTH(F690,0)&lt;&gt;F690),IF('депозитный калькулятор'!$F$1=1,$H$24,SUM(OFFSET(Q690,-E690+1,0):Q690)),IF(AND('депозитный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калькулятор'!$G$7="30/360"),DAY(EOMONTH(F690,0))=31),EOMONTH(F690,0)-1=F690,EOMONTH(F690,0)=F690)),IF(IF(AND(OR('депозитный калькулятор'!$G$7="30/365",'депозитный калькулятор'!$G$7="30/360"),DAY(EOMONTH($F$24,0))=31),F690=EOMONTH($F$24,0)-1,F690=EOMONTH($F$24,0)),SUM(OFFSET(Q690,-E690+1,0):Q690),SUM(OFFSET(Q690,-E690+1,0):Q690)),IF('депозитный калькулятор'!$G$10="ежеквартальное",IF(F690&gt;'депозитный калькулятор'!$D$8," ",IF(AND(EOMONTH(F690,0)=F690,OR(MONTH(F690)=3,MONTH(F690)=6,MONTH(F690)=9,MONTH(F690)=12)),IF(EDATE(F690,-3)&lt;'депозитный калькулятор'!$D$7,SUM($H$23:H690),IF(MOD(YEAR(F690),4)=0,IF(AND(EOMONTH(F690,0)=F690,OR(MONTH(F690)=3,MONTH(F690)=6)),SUM(OFFSET(H690,-90,0):H690),IF(AND(EOMONTH(F690,0)=F690,OR(MONTH(F690)=9,MONTH(F690)=12)),SUM(OFFSET(H690,-91,0):H690))),IF(AND(EOMONTH(F690,0)=F690,MONTH(F690)=3),SUM(OFFSET(H690,-89,0):H690),IF(AND(EOMONTH(F690,0)=F690,MONTH(F690)=6),SUM(OFFSET(H690,-90,0):H690),IF(AND(EOMONTH(F690,0)=F690,OR(MONTH(F690)=9,MONTH(F690)=12)),SUM(OFFSET(H690,-91,0):H690)))))),IF(F690='депозитный калькулятор'!$D$8,SUM($H$23:H690)-SUM($I$23:I689),0))),IF('депозитный калькулятор'!$G$10="ежегодное",IF(F690&gt;'депозитный калькулятор'!$D$8," ",IF(F690='депозитный калькулятор'!$D$8,SUM($H$23:H690)-SUM($I$23:I689),IF(AND(EOMONTH(F690,0)=F690,MONTH(F690)=12),IF(MOD(YEAR(F689),4)=0,IF(F690-'депозитный калькулятор'!$D$7&lt;366,SUM($H$23:H690),SUM(OFFSET(H690,-365,0):H690)),IF(F690-'депозитный калькулятор'!$D$7&lt;365,SUM($H$23:H690),SUM(OFFSET(H690,-364,0):H690))),0))),IF(AND('депозитный калькулятор'!$G$10="в конце срока",'депозитный калькулятор'!$D$8=F690),SUM($H$23:H690),0))))))))))))))))))</f>
        <v xml:space="preserve"> </v>
      </c>
      <c r="J690" s="59" t="str">
        <f>IF(F690&gt;'депозитный калькулятор'!$D$8," ",IF('депозитный калькулятор'!$G$16="нет",0,IF(AND('депозитный калькулятор'!$G$17="разовая (в конце срока)",F690='депозитный калькулятор'!$D$8),'депозитный калькулятор'!$G$18,IF(AND('депозитный калькулятор'!$G$17="ежемесячная",EOMONTH(F689,0)=F689),'депозитный калькулятор'!$G$18,IF(AND('депозитный калькулятор'!$G$17="ежегодная",DAY(F689)=31,MONTH(F689)=12),'депозитный калькулятор'!$G$18,IF(AND('депозитный калькулятор'!$G$17="ежемесячная в зависимости от остатка",EOMONTH(F689,0)=F689,P689&gt;0),'депозитный калькулятор'!$G$18,IF(AND('депозитный калькулятор'!$G$17="ежегодная в зависимости от остатка",DAY(F689)=31,MONTH(F689)=12,P689&gt;0),'депозитный калькулятор'!$G$18,0)))))))</f>
        <v xml:space="preserve"> </v>
      </c>
      <c r="K690" s="135" t="str">
        <f>IF($F690=" "," ",IFERROR(VLOOKUP($F690,'депозитный калькулятор'!$B$26:$F$70,2,0),0))</f>
        <v xml:space="preserve"> </v>
      </c>
      <c r="L690" s="135" t="str">
        <f>IF($F690=" "," ",IFERROR(VLOOKUP($F690,'депозитный калькулятор'!$B$26:$F$70,3,0),0))</f>
        <v xml:space="preserve"> </v>
      </c>
      <c r="M690" s="135" t="str">
        <f>IF($F690=" "," ",IFERROR(VLOOKUP($F690,'депозитный калькулятор'!$B$26:$F$70,4,0),0))</f>
        <v xml:space="preserve"> </v>
      </c>
      <c r="N690" s="135" t="str">
        <f>IF($F690=" "," ",IFERROR(VLOOKUP($F690,'депозитный калькулятор'!$B$26:$F$70,5,0),0))</f>
        <v xml:space="preserve"> </v>
      </c>
      <c r="O690" s="146" t="str">
        <f>IF(F690&gt;'депозитный калькулятор'!$D$8," ",IF(F690='депозитный калькулятор'!$D$8,IF(AND($F$24='депозитный калькулятор'!$D$8,'депозитный калькулятор'!$G$13="нет"),-G690-IF(I690=" ",0,I690)-IF(AND(OR('депозитный калькулятор'!$G$7="30/365",'депозитный калькулятор'!$G$7="30/360"),'депозитный калькулятор'!$G$10="в начале срока"),I689,0)-L690+M690-N690,-G690-IF(I690=" ",0,I690)-L690+M690-N690),IF('депозитный калькулятор'!$G$13="есть",M690-N690+IF('депозитный калькулятор'!$G$14="есть",0,-L690),-IF(I690=" ",0,I690)-IF(AND(OR('депозитный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срока"),I689,0)+M690-N690+IF('депозитный калькулятор'!$G$14="есть",0,-L690))))</f>
        <v xml:space="preserve"> </v>
      </c>
      <c r="P690" s="147" t="str">
        <f>IF(F690&gt;'депозитный калькулятор'!$D$8," ",IF(EOMONTH(F689,0)=F689,0,IF(G690&gt;='депозитный калькулятор'!$G$19,P689,P689+1)))</f>
        <v xml:space="preserve"> </v>
      </c>
      <c r="Q690" s="138" t="str">
        <f>IF(F690=" "," ",IF(AND(OR('депозитный калькулятор'!$G$7="30/365",'депозитный калькулятор'!$G$7="30/360"),AND(MONTH(F690)=2,EOMONTH(F690,0)=F690)),IF(DAY(F690)=28,3,2),1)*IF(G690&gt;='депозитный калькулятор'!$G$11,IF(AND('депозитный калькулятор'!$G$7="факт/факт",MOD(YEAR(F690),4)=0),G690*'депозитный калькулятор'!$D$11/366,G690*'депозитный калькулятор'!$G$8),0))</f>
        <v xml:space="preserve"> </v>
      </c>
      <c r="R690" s="158"/>
      <c r="S690" s="62" t="str">
        <f t="shared" ca="1" si="52"/>
        <v xml:space="preserve"> </v>
      </c>
      <c r="T690" s="149" t="str">
        <f ca="1">IF(S690=" "," ",IF('депозитный калькулятор'!$G$7="30/360",DAYS360(U689,IF(DAY(U690)=31,U690-1,U690))+IF(AND(MONTH(U690)=2,U690=EOMONTH(U690,0)),30-DAY(EOMONTH(U690,0)))+T689,VLOOKUP(S690,$C$22:$F$1023,2,0)))</f>
        <v xml:space="preserve"> </v>
      </c>
      <c r="U690" s="64" t="str">
        <f t="shared" ca="1" si="50"/>
        <v xml:space="preserve"> </v>
      </c>
      <c r="V690" s="150" t="str">
        <f t="shared" ca="1" si="53"/>
        <v xml:space="preserve"> </v>
      </c>
      <c r="W690" s="62" t="str">
        <f t="shared" ca="1" si="54"/>
        <v xml:space="preserve"> </v>
      </c>
      <c r="X690" s="141" t="str">
        <f ca="1">IF(S690=" "," ",IFERROR(VLOOKUP(U690,$F$23:$N$1023,7)+VLOOKUP(U690,$F$23:$N$1023,9)+IF(AND('депозитный калькулятор'!$G$13="нет",U690&lt;&gt;'депозитный калькулятор'!$D$8),VLOOKUP(U690,$F$23:$N$1023,4),0),0)+IF(U690='депозитный калькулятор'!$D$8,VLOOKUP(U690,$F$23:$N$1023,2)+VLOOKUP(U690,$F$23:$N$1023,4),0))</f>
        <v xml:space="preserve"> </v>
      </c>
      <c r="Y690" s="142" t="str">
        <f ca="1">IF(S690=" "," ",W690/(1+'депозитный калькулятор'!$K$8)^(T690/IF('депозитный калькулятор'!$G$7="30/360",360,365)))</f>
        <v xml:space="preserve"> </v>
      </c>
      <c r="Z690" s="142" t="str">
        <f ca="1">IF(S690=" "," ",X690/(1+'депозитный калькулятор'!$K$8)^(T690/IF('депозитный калькулятор'!$G$7="30/360",360,365)))</f>
        <v xml:space="preserve"> </v>
      </c>
      <c r="AA690" s="151"/>
      <c r="AB690" s="151"/>
      <c r="AC690" s="155"/>
      <c r="AD690" s="155"/>
    </row>
    <row r="691" spans="1:30" s="2" customFormat="1" ht="15.5" x14ac:dyDescent="0.35">
      <c r="A691" s="41" t="str">
        <f>IF(F691=" "," ",IF(OR('депозитный калькулятор'!$G$7="30/365",'депозитный калькулятор'!$G$7="30/360"),IF(AND(MONTH(F691)=2,DAY(F691)=DAY(EOMONTH(F691,0))),30-DAY(EOMONTH(F691,0)),IF(DAY(F691)=31,1," "))," "))</f>
        <v xml:space="preserve"> </v>
      </c>
      <c r="B691" s="130" t="str">
        <f t="shared" si="51"/>
        <v xml:space="preserve"> </v>
      </c>
      <c r="C691" s="130" t="str">
        <f>IF(OR(B691=0,B691=" ")," ",SUM($B$23:B691))</f>
        <v xml:space="preserve"> </v>
      </c>
      <c r="D691" s="62" t="str">
        <f>IF(D690=" "," ",IF(OR(F690='депозитный калькулятор'!$D$8,F690=" ")," ",D690+1))</f>
        <v xml:space="preserve"> </v>
      </c>
      <c r="E691" s="130" t="str">
        <f>IF(OR(F690='депозитный калькулятор'!$D$8,F690=" ")," ",IF(EOMONTH(F690,0)=F690,1,E690+1))</f>
        <v xml:space="preserve"> </v>
      </c>
      <c r="F691" s="64" t="str">
        <f>IF(F690=" "," ",IF(F690='депозитный калькулятор'!$D$8," ",F690+1))</f>
        <v xml:space="preserve"> </v>
      </c>
      <c r="G691" s="145" t="str">
        <f xml:space="preserve"> IF(F691&gt;'депозитный калькулятор'!$D$8," ",IF('депозитный калькулятор'!$G$13="есть",IF('депозитный калькулятор'!$G$14="есть",G690+IF(I690=" ",0,I690)-J691-K691+L691+M691-N691,G690+IF(I690=" ",0,I690)-J691-K691+M691-N691),IF('депозитный калькулятор'!$G$14="есть",G690-J691-K691+L691+M691-N691,G690-J691-K691+M691-N691)))</f>
        <v xml:space="preserve"> </v>
      </c>
      <c r="H691" s="133" t="str">
        <f>IF(F691&gt;'депозитный калькулятор'!$D$8," ",IF(AND(OR('депозитный калькулятор'!$G$7="30/365",'депозитный калькулятор'!$G$7="30/360"),AND(MONTH(F691)=2,EOMONTH(F691,0)=F691)),IF(DAY(F691)=28,3*G691*'депозитный калькулятор'!$G$8,2*G691*'депозитный калькулятор'!$G$8),IF(AND(OR('депозитный калькулятор'!$G$7="30/365",'депозитный калькулятор'!$G$7="30/360"),DAY(F691)=31)," ",IF(AND('депозитный калькулятор'!$G$7="факт/факт",MOD(YEAR(F691),4)=0),G691*'депозитный калькулятор'!$D$11/366,G691*'депозитный калькулятор'!$G$8))))</f>
        <v xml:space="preserve"> </v>
      </c>
      <c r="I691" s="134" t="str">
        <f ca="1">IF(F691=" "," ",IF('депозитный калькулятор'!$G$10="ежедневное",H691,IF(AND('депозитный калькулятор'!$G$10="еженедельное",WEEKDAY(F691,2)=7),SUM(OFFSET(H691,-6,0):H691),IF(AND('депозитный калькулятор'!$G$10="еженедельное",F691='депозитный калькулятор'!$D$8),SUM($H$23:H691)-SUM($I$23:I690),IF(AND('депозитный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недели",WEEKDAY(F691,2)=7),MIN(OFFSET(H691,-6,0):H691)*(COUNTIF(OFFSET(H691,-6,0):H691,"&gt;0")+SUMIF(OFFSET(A691,-WEEKDAY(F691,2),0):A691,"=2",OFFSET(A691,-WEEKDAY(F691,2),0):A691)),IF(AND('депозитный калькулятор'!$G$10="еженедельное, на минимальную сумму зафиксированную в течение недели",F691='депозитный калькулятор'!$D$8,WEEKDAY(F691,2)&lt;&gt;7),MIN(OFFSET(H691,-WEEKDAY(F691,2),0):H691)*(COUNTIF(OFFSET(H691,-WEEKDAY(F691,2)+1,0):H691,"&gt;0")+SUM(OFFSET(A691,-WEEKDAY(F691,2),0):A691)),IF(AND('депозитный калькулятор'!$G$10="ежемесячное (в конце месяца)",F691='депозитный калькулятор'!$D$8,EOMONTH(F691,0)&lt;&gt;F691),IF('депозитный калькулятор'!$F$1=1,$H$24,SUM($H$23:H691)-SUM($I$23:I690)),IF(AND('депозитный калькулятор'!$G$10="ежемесячное (в конце месяца)",EOMONTH(F691,0)=F691),SUM($H$23:H691)-SUM($I$23:I690),IF(AND('депозитный калькулятор'!$G$10="ежемесячное (по дням открытия вклада)",F691='депозитный калькулятор'!$D$8,DAY('депозитный калькулятор'!$D$7)&lt;&gt;DAY(F691)),IF('депозитный калькулятор'!$F$1=1,$H$24,SUM($H$23:H691)-SUM($I$23:I690)),IF(AND('депозитный калькулятор'!$G$10="ежемесячное (по дням открытия вклада)",DAY('депозитный калькулятор'!$D$7)=DAY(F691)),SUM($H$23:H691)-SUM($I$23:I690),IF(AND('депозитный калькулятор'!$G$10="ежемесячное, на минимальную сумму зафиксированную в течение месяца",F691='депозитный калькулятор'!$D$8,EOMONTH(F691,0)&lt;&gt;F691),IF('депозитный калькулятор'!$F$1=1,$H$24,IF(AND(OR('депозитный калькулятор'!$G$7="30/365",'депозитный калькулятор'!$G$7="30/360"),DAY(F691)=31),0,MIN(OFFSET(H691,-E691+1,0):H691)*(E691+SUMIF(OFFSET(A691,-E691+1,0):A691,"=2",OFFSET(A691,-E691+1,0):A691)))),IF(AND('депозитный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калькулятор'!$G$7="30/360"),DAY(EOMONTH(F691,0))=31),EOMONTH(F691,0)-1=F691,EOMONTH(F691,0)=F691)),IF(IF(AND(OR('депозитный калькулятор'!$G$7="30/365",'депозитный калькулятор'!$G$7="30/360"),DAY(EOMONTH($F$23,0))=31),F691=EOMONTH($F$23,0)-1,F691=EOMONTH($F$23,0)),MIN(OFFSET(H691,-(DAY(F691)-DAY($F$23)),0):H691)*E691,MIN(OFFSET(H691,-(DAY(F691)-1),0):H691)*IF(AND(OR('депозитный калькулятор'!$G$7="30/365",'депозитный калькулятор'!$G$7="30/360"),DAY(F691)&lt;30),30,DAY(F691))),IF(AND('депозитный калькулятор'!$G$10="ежемесячное, на средний остаток в течение месяца, при условии что остаток больше чем ограничение",F691='депозитный калькулятор'!$D$8,EOMONTH(F691,0)&lt;&gt;F691),IF('депозитный калькулятор'!$F$1=1,$H$24,SUM(OFFSET(Q691,-E691+1,0):Q691)),IF(AND('депозитный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калькулятор'!$G$7="30/360"),DAY(EOMONTH(F691,0))=31),EOMONTH(F691,0)-1=F691,EOMONTH(F691,0)=F691)),IF(IF(AND(OR('депозитный калькулятор'!$G$7="30/365",'депозитный калькулятор'!$G$7="30/360"),DAY(EOMONTH($F$24,0))=31),F691=EOMONTH($F$24,0)-1,F691=EOMONTH($F$24,0)),SUM(OFFSET(Q691,-E691+1,0):Q691),SUM(OFFSET(Q691,-E691+1,0):Q691)),IF('депозитный калькулятор'!$G$10="ежеквартальное",IF(F691&gt;'депозитный калькулятор'!$D$8," ",IF(AND(EOMONTH(F691,0)=F691,OR(MONTH(F691)=3,MONTH(F691)=6,MONTH(F691)=9,MONTH(F691)=12)),IF(EDATE(F691,-3)&lt;'депозитный калькулятор'!$D$7,SUM($H$23:H691),IF(MOD(YEAR(F691),4)=0,IF(AND(EOMONTH(F691,0)=F691,OR(MONTH(F691)=3,MONTH(F691)=6)),SUM(OFFSET(H691,-90,0):H691),IF(AND(EOMONTH(F691,0)=F691,OR(MONTH(F691)=9,MONTH(F691)=12)),SUM(OFFSET(H691,-91,0):H691))),IF(AND(EOMONTH(F691,0)=F691,MONTH(F691)=3),SUM(OFFSET(H691,-89,0):H691),IF(AND(EOMONTH(F691,0)=F691,MONTH(F691)=6),SUM(OFFSET(H691,-90,0):H691),IF(AND(EOMONTH(F691,0)=F691,OR(MONTH(F691)=9,MONTH(F691)=12)),SUM(OFFSET(H691,-91,0):H691)))))),IF(F691='депозитный калькулятор'!$D$8,SUM($H$23:H691)-SUM($I$23:I690),0))),IF('депозитный калькулятор'!$G$10="ежегодное",IF(F691&gt;'депозитный калькулятор'!$D$8," ",IF(F691='депозитный калькулятор'!$D$8,SUM($H$23:H691)-SUM($I$23:I690),IF(AND(EOMONTH(F691,0)=F691,MONTH(F691)=12),IF(MOD(YEAR(F690),4)=0,IF(F691-'депозитный калькулятор'!$D$7&lt;366,SUM($H$23:H691),SUM(OFFSET(H691,-365,0):H691)),IF(F691-'депозитный калькулятор'!$D$7&lt;365,SUM($H$23:H691),SUM(OFFSET(H691,-364,0):H691))),0))),IF(AND('депозитный калькулятор'!$G$10="в конце срока",'депозитный калькулятор'!$D$8=F691),SUM($H$23:H691),0))))))))))))))))))</f>
        <v xml:space="preserve"> </v>
      </c>
      <c r="J691" s="59" t="str">
        <f>IF(F691&gt;'депозитный калькулятор'!$D$8," ",IF('депозитный калькулятор'!$G$16="нет",0,IF(AND('депозитный калькулятор'!$G$17="разовая (в конце срока)",F691='депозитный калькулятор'!$D$8),'депозитный калькулятор'!$G$18,IF(AND('депозитный калькулятор'!$G$17="ежемесячная",EOMONTH(F690,0)=F690),'депозитный калькулятор'!$G$18,IF(AND('депозитный калькулятор'!$G$17="ежегодная",DAY(F690)=31,MONTH(F690)=12),'депозитный калькулятор'!$G$18,IF(AND('депозитный калькулятор'!$G$17="ежемесячная в зависимости от остатка",EOMONTH(F690,0)=F690,P690&gt;0),'депозитный калькулятор'!$G$18,IF(AND('депозитный калькулятор'!$G$17="ежегодная в зависимости от остатка",DAY(F690)=31,MONTH(F690)=12,P690&gt;0),'депозитный калькулятор'!$G$18,0)))))))</f>
        <v xml:space="preserve"> </v>
      </c>
      <c r="K691" s="135" t="str">
        <f>IF($F691=" "," ",IFERROR(VLOOKUP($F691,'депозитный калькулятор'!$B$26:$F$70,2,0),0))</f>
        <v xml:space="preserve"> </v>
      </c>
      <c r="L691" s="135" t="str">
        <f>IF($F691=" "," ",IFERROR(VLOOKUP($F691,'депозитный калькулятор'!$B$26:$F$70,3,0),0))</f>
        <v xml:space="preserve"> </v>
      </c>
      <c r="M691" s="135" t="str">
        <f>IF($F691=" "," ",IFERROR(VLOOKUP($F691,'депозитный калькулятор'!$B$26:$F$70,4,0),0))</f>
        <v xml:space="preserve"> </v>
      </c>
      <c r="N691" s="135" t="str">
        <f>IF($F691=" "," ",IFERROR(VLOOKUP($F691,'депозитный калькулятор'!$B$26:$F$70,5,0),0))</f>
        <v xml:space="preserve"> </v>
      </c>
      <c r="O691" s="146" t="str">
        <f>IF(F691&gt;'депозитный калькулятор'!$D$8," ",IF(F691='депозитный калькулятор'!$D$8,IF(AND($F$24='депозитный калькулятор'!$D$8,'депозитный калькулятор'!$G$13="нет"),-G691-IF(I691=" ",0,I691)-IF(AND(OR('депозитный калькулятор'!$G$7="30/365",'депозитный калькулятор'!$G$7="30/360"),'депозитный калькулятор'!$G$10="в начале срока"),I690,0)-L691+M691-N691,-G691-IF(I691=" ",0,I691)-L691+M691-N691),IF('депозитный калькулятор'!$G$13="есть",M691-N691+IF('депозитный калькулятор'!$G$14="есть",0,-L691),-IF(I691=" ",0,I691)-IF(AND(OR('депозитный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срока"),I690,0)+M691-N691+IF('депозитный калькулятор'!$G$14="есть",0,-L691))))</f>
        <v xml:space="preserve"> </v>
      </c>
      <c r="P691" s="147" t="str">
        <f>IF(F691&gt;'депозитный калькулятор'!$D$8," ",IF(EOMONTH(F690,0)=F690,0,IF(G691&gt;='депозитный калькулятор'!$G$19,P690,P690+1)))</f>
        <v xml:space="preserve"> </v>
      </c>
      <c r="Q691" s="138" t="str">
        <f>IF(F691=" "," ",IF(AND(OR('депозитный калькулятор'!$G$7="30/365",'депозитный калькулятор'!$G$7="30/360"),AND(MONTH(F691)=2,EOMONTH(F691,0)=F691)),IF(DAY(F691)=28,3,2),1)*IF(G691&gt;='депозитный калькулятор'!$G$11,IF(AND('депозитный калькулятор'!$G$7="факт/факт",MOD(YEAR(F691),4)=0),G691*'депозитный калькулятор'!$D$11/366,G691*'депозитный калькулятор'!$G$8),0))</f>
        <v xml:space="preserve"> </v>
      </c>
      <c r="R691" s="158"/>
      <c r="S691" s="62" t="str">
        <f t="shared" ca="1" si="52"/>
        <v xml:space="preserve"> </v>
      </c>
      <c r="T691" s="149" t="str">
        <f ca="1">IF(S691=" "," ",IF('депозитный калькулятор'!$G$7="30/360",DAYS360(U690,IF(DAY(U691)=31,U691-1,U691))+IF(AND(MONTH(U691)=2,U691=EOMONTH(U691,0)),30-DAY(EOMONTH(U691,0)))+T690,VLOOKUP(S691,$C$22:$F$1023,2,0)))</f>
        <v xml:space="preserve"> </v>
      </c>
      <c r="U691" s="64" t="str">
        <f t="shared" ca="1" si="50"/>
        <v xml:space="preserve"> </v>
      </c>
      <c r="V691" s="150" t="str">
        <f t="shared" ca="1" si="53"/>
        <v xml:space="preserve"> </v>
      </c>
      <c r="W691" s="62" t="str">
        <f t="shared" ca="1" si="54"/>
        <v xml:space="preserve"> </v>
      </c>
      <c r="X691" s="141" t="str">
        <f ca="1">IF(S691=" "," ",IFERROR(VLOOKUP(U691,$F$23:$N$1023,7)+VLOOKUP(U691,$F$23:$N$1023,9)+IF(AND('депозитный калькулятор'!$G$13="нет",U691&lt;&gt;'депозитный калькулятор'!$D$8),VLOOKUP(U691,$F$23:$N$1023,4),0),0)+IF(U691='депозитный калькулятор'!$D$8,VLOOKUP(U691,$F$23:$N$1023,2)+VLOOKUP(U691,$F$23:$N$1023,4),0))</f>
        <v xml:space="preserve"> </v>
      </c>
      <c r="Y691" s="142" t="str">
        <f ca="1">IF(S691=" "," ",W691/(1+'депозитный калькулятор'!$K$8)^(T691/IF('депозитный калькулятор'!$G$7="30/360",360,365)))</f>
        <v xml:space="preserve"> </v>
      </c>
      <c r="Z691" s="142" t="str">
        <f ca="1">IF(S691=" "," ",X691/(1+'депозитный калькулятор'!$K$8)^(T691/IF('депозитный калькулятор'!$G$7="30/360",360,365)))</f>
        <v xml:space="preserve"> </v>
      </c>
      <c r="AA691" s="151"/>
      <c r="AB691" s="151"/>
      <c r="AC691" s="155"/>
      <c r="AD691" s="155"/>
    </row>
    <row r="692" spans="1:30" s="2" customFormat="1" ht="15.5" x14ac:dyDescent="0.35">
      <c r="A692" s="41" t="str">
        <f>IF(F692=" "," ",IF(OR('депозитный калькулятор'!$G$7="30/365",'депозитный калькулятор'!$G$7="30/360"),IF(AND(MONTH(F692)=2,DAY(F692)=DAY(EOMONTH(F692,0))),30-DAY(EOMONTH(F692,0)),IF(DAY(F692)=31,1," "))," "))</f>
        <v xml:space="preserve"> </v>
      </c>
      <c r="B692" s="130" t="str">
        <f t="shared" si="51"/>
        <v xml:space="preserve"> </v>
      </c>
      <c r="C692" s="130" t="str">
        <f>IF(OR(B692=0,B692=" ")," ",SUM($B$23:B692))</f>
        <v xml:space="preserve"> </v>
      </c>
      <c r="D692" s="62" t="str">
        <f>IF(D691=" "," ",IF(OR(F691='депозитный калькулятор'!$D$8,F691=" ")," ",D691+1))</f>
        <v xml:space="preserve"> </v>
      </c>
      <c r="E692" s="130" t="str">
        <f>IF(OR(F691='депозитный калькулятор'!$D$8,F691=" ")," ",IF(EOMONTH(F691,0)=F691,1,E691+1))</f>
        <v xml:space="preserve"> </v>
      </c>
      <c r="F692" s="64" t="str">
        <f>IF(F691=" "," ",IF(F691='депозитный калькулятор'!$D$8," ",F691+1))</f>
        <v xml:space="preserve"> </v>
      </c>
      <c r="G692" s="145" t="str">
        <f xml:space="preserve"> IF(F692&gt;'депозитный калькулятор'!$D$8," ",IF('депозитный калькулятор'!$G$13="есть",IF('депозитный калькулятор'!$G$14="есть",G691+IF(I691=" ",0,I691)-J692-K692+L692+M692-N692,G691+IF(I691=" ",0,I691)-J692-K692+M692-N692),IF('депозитный калькулятор'!$G$14="есть",G691-J692-K692+L692+M692-N692,G691-J692-K692+M692-N692)))</f>
        <v xml:space="preserve"> </v>
      </c>
      <c r="H692" s="133" t="str">
        <f>IF(F692&gt;'депозитный калькулятор'!$D$8," ",IF(AND(OR('депозитный калькулятор'!$G$7="30/365",'депозитный калькулятор'!$G$7="30/360"),AND(MONTH(F692)=2,EOMONTH(F692,0)=F692)),IF(DAY(F692)=28,3*G692*'депозитный калькулятор'!$G$8,2*G692*'депозитный калькулятор'!$G$8),IF(AND(OR('депозитный калькулятор'!$G$7="30/365",'депозитный калькулятор'!$G$7="30/360"),DAY(F692)=31)," ",IF(AND('депозитный калькулятор'!$G$7="факт/факт",MOD(YEAR(F692),4)=0),G692*'депозитный калькулятор'!$D$11/366,G692*'депозитный калькулятор'!$G$8))))</f>
        <v xml:space="preserve"> </v>
      </c>
      <c r="I692" s="134" t="str">
        <f ca="1">IF(F692=" "," ",IF('депозитный калькулятор'!$G$10="ежедневное",H692,IF(AND('депозитный калькулятор'!$G$10="еженедельное",WEEKDAY(F692,2)=7),SUM(OFFSET(H692,-6,0):H692),IF(AND('депозитный калькулятор'!$G$10="еженедельное",F692='депозитный калькулятор'!$D$8),SUM($H$23:H692)-SUM($I$23:I691),IF(AND('депозитный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недели",WEEKDAY(F692,2)=7),MIN(OFFSET(H692,-6,0):H692)*(COUNTIF(OFFSET(H692,-6,0):H692,"&gt;0")+SUMIF(OFFSET(A692,-WEEKDAY(F692,2),0):A692,"=2",OFFSET(A692,-WEEKDAY(F692,2),0):A692)),IF(AND('депозитный калькулятор'!$G$10="еженедельное, на минимальную сумму зафиксированную в течение недели",F692='депозитный калькулятор'!$D$8,WEEKDAY(F692,2)&lt;&gt;7),MIN(OFFSET(H692,-WEEKDAY(F692,2),0):H692)*(COUNTIF(OFFSET(H692,-WEEKDAY(F692,2)+1,0):H692,"&gt;0")+SUM(OFFSET(A692,-WEEKDAY(F692,2),0):A692)),IF(AND('депозитный калькулятор'!$G$10="ежемесячное (в конце месяца)",F692='депозитный калькулятор'!$D$8,EOMONTH(F692,0)&lt;&gt;F692),IF('депозитный калькулятор'!$F$1=1,$H$24,SUM($H$23:H692)-SUM($I$23:I691)),IF(AND('депозитный калькулятор'!$G$10="ежемесячное (в конце месяца)",EOMONTH(F692,0)=F692),SUM($H$23:H692)-SUM($I$23:I691),IF(AND('депозитный калькулятор'!$G$10="ежемесячное (по дням открытия вклада)",F692='депозитный калькулятор'!$D$8,DAY('депозитный калькулятор'!$D$7)&lt;&gt;DAY(F692)),IF('депозитный калькулятор'!$F$1=1,$H$24,SUM($H$23:H692)-SUM($I$23:I691)),IF(AND('депозитный калькулятор'!$G$10="ежемесячное (по дням открытия вклада)",DAY('депозитный калькулятор'!$D$7)=DAY(F692)),SUM($H$23:H692)-SUM($I$23:I691),IF(AND('депозитный калькулятор'!$G$10="ежемесячное, на минимальную сумму зафиксированную в течение месяца",F692='депозитный калькулятор'!$D$8,EOMONTH(F692,0)&lt;&gt;F692),IF('депозитный калькулятор'!$F$1=1,$H$24,IF(AND(OR('депозитный калькулятор'!$G$7="30/365",'депозитный калькулятор'!$G$7="30/360"),DAY(F692)=31),0,MIN(OFFSET(H692,-E692+1,0):H692)*(E692+SUMIF(OFFSET(A692,-E692+1,0):A692,"=2",OFFSET(A692,-E692+1,0):A692)))),IF(AND('депозитный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калькулятор'!$G$7="30/360"),DAY(EOMONTH(F692,0))=31),EOMONTH(F692,0)-1=F692,EOMONTH(F692,0)=F692)),IF(IF(AND(OR('депозитный калькулятор'!$G$7="30/365",'депозитный калькулятор'!$G$7="30/360"),DAY(EOMONTH($F$23,0))=31),F692=EOMONTH($F$23,0)-1,F692=EOMONTH($F$23,0)),MIN(OFFSET(H692,-(DAY(F692)-DAY($F$23)),0):H692)*E692,MIN(OFFSET(H692,-(DAY(F692)-1),0):H692)*IF(AND(OR('депозитный калькулятор'!$G$7="30/365",'депозитный калькулятор'!$G$7="30/360"),DAY(F692)&lt;30),30,DAY(F692))),IF(AND('депозитный калькулятор'!$G$10="ежемесячное, на средний остаток в течение месяца, при условии что остаток больше чем ограничение",F692='депозитный калькулятор'!$D$8,EOMONTH(F692,0)&lt;&gt;F692),IF('депозитный калькулятор'!$F$1=1,$H$24,SUM(OFFSET(Q692,-E692+1,0):Q692)),IF(AND('депозитный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калькулятор'!$G$7="30/360"),DAY(EOMONTH(F692,0))=31),EOMONTH(F692,0)-1=F692,EOMONTH(F692,0)=F692)),IF(IF(AND(OR('депозитный калькулятор'!$G$7="30/365",'депозитный калькулятор'!$G$7="30/360"),DAY(EOMONTH($F$24,0))=31),F692=EOMONTH($F$24,0)-1,F692=EOMONTH($F$24,0)),SUM(OFFSET(Q692,-E692+1,0):Q692),SUM(OFFSET(Q692,-E692+1,0):Q692)),IF('депозитный калькулятор'!$G$10="ежеквартальное",IF(F692&gt;'депозитный калькулятор'!$D$8," ",IF(AND(EOMONTH(F692,0)=F692,OR(MONTH(F692)=3,MONTH(F692)=6,MONTH(F692)=9,MONTH(F692)=12)),IF(EDATE(F692,-3)&lt;'депозитный калькулятор'!$D$7,SUM($H$23:H692),IF(MOD(YEAR(F692),4)=0,IF(AND(EOMONTH(F692,0)=F692,OR(MONTH(F692)=3,MONTH(F692)=6)),SUM(OFFSET(H692,-90,0):H692),IF(AND(EOMONTH(F692,0)=F692,OR(MONTH(F692)=9,MONTH(F692)=12)),SUM(OFFSET(H692,-91,0):H692))),IF(AND(EOMONTH(F692,0)=F692,MONTH(F692)=3),SUM(OFFSET(H692,-89,0):H692),IF(AND(EOMONTH(F692,0)=F692,MONTH(F692)=6),SUM(OFFSET(H692,-90,0):H692),IF(AND(EOMONTH(F692,0)=F692,OR(MONTH(F692)=9,MONTH(F692)=12)),SUM(OFFSET(H692,-91,0):H692)))))),IF(F692='депозитный калькулятор'!$D$8,SUM($H$23:H692)-SUM($I$23:I691),0))),IF('депозитный калькулятор'!$G$10="ежегодное",IF(F692&gt;'депозитный калькулятор'!$D$8," ",IF(F692='депозитный калькулятор'!$D$8,SUM($H$23:H692)-SUM($I$23:I691),IF(AND(EOMONTH(F692,0)=F692,MONTH(F692)=12),IF(MOD(YEAR(F691),4)=0,IF(F692-'депозитный калькулятор'!$D$7&lt;366,SUM($H$23:H692),SUM(OFFSET(H692,-365,0):H692)),IF(F692-'депозитный калькулятор'!$D$7&lt;365,SUM($H$23:H692),SUM(OFFSET(H692,-364,0):H692))),0))),IF(AND('депозитный калькулятор'!$G$10="в конце срока",'депозитный калькулятор'!$D$8=F692),SUM($H$23:H692),0))))))))))))))))))</f>
        <v xml:space="preserve"> </v>
      </c>
      <c r="J692" s="59" t="str">
        <f>IF(F692&gt;'депозитный калькулятор'!$D$8," ",IF('депозитный калькулятор'!$G$16="нет",0,IF(AND('депозитный калькулятор'!$G$17="разовая (в конце срока)",F692='депозитный калькулятор'!$D$8),'депозитный калькулятор'!$G$18,IF(AND('депозитный калькулятор'!$G$17="ежемесячная",EOMONTH(F691,0)=F691),'депозитный калькулятор'!$G$18,IF(AND('депозитный калькулятор'!$G$17="ежегодная",DAY(F691)=31,MONTH(F691)=12),'депозитный калькулятор'!$G$18,IF(AND('депозитный калькулятор'!$G$17="ежемесячная в зависимости от остатка",EOMONTH(F691,0)=F691,P691&gt;0),'депозитный калькулятор'!$G$18,IF(AND('депозитный калькулятор'!$G$17="ежегодная в зависимости от остатка",DAY(F691)=31,MONTH(F691)=12,P691&gt;0),'депозитный калькулятор'!$G$18,0)))))))</f>
        <v xml:space="preserve"> </v>
      </c>
      <c r="K692" s="135" t="str">
        <f>IF($F692=" "," ",IFERROR(VLOOKUP($F692,'депозитный калькулятор'!$B$26:$F$70,2,0),0))</f>
        <v xml:space="preserve"> </v>
      </c>
      <c r="L692" s="135" t="str">
        <f>IF($F692=" "," ",IFERROR(VLOOKUP($F692,'депозитный калькулятор'!$B$26:$F$70,3,0),0))</f>
        <v xml:space="preserve"> </v>
      </c>
      <c r="M692" s="135" t="str">
        <f>IF($F692=" "," ",IFERROR(VLOOKUP($F692,'депозитный калькулятор'!$B$26:$F$70,4,0),0))</f>
        <v xml:space="preserve"> </v>
      </c>
      <c r="N692" s="135" t="str">
        <f>IF($F692=" "," ",IFERROR(VLOOKUP($F692,'депозитный калькулятор'!$B$26:$F$70,5,0),0))</f>
        <v xml:space="preserve"> </v>
      </c>
      <c r="O692" s="146" t="str">
        <f>IF(F692&gt;'депозитный калькулятор'!$D$8," ",IF(F692='депозитный калькулятор'!$D$8,IF(AND($F$24='депозитный калькулятор'!$D$8,'депозитный калькулятор'!$G$13="нет"),-G692-IF(I692=" ",0,I692)-IF(AND(OR('депозитный калькулятор'!$G$7="30/365",'депозитный калькулятор'!$G$7="30/360"),'депозитный калькулятор'!$G$10="в начале срока"),I691,0)-L692+M692-N692,-G692-IF(I692=" ",0,I692)-L692+M692-N692),IF('депозитный калькулятор'!$G$13="есть",M692-N692+IF('депозитный калькулятор'!$G$14="есть",0,-L692),-IF(I692=" ",0,I692)-IF(AND(OR('депозитный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срока"),I691,0)+M692-N692+IF('депозитный калькулятор'!$G$14="есть",0,-L692))))</f>
        <v xml:space="preserve"> </v>
      </c>
      <c r="P692" s="147" t="str">
        <f>IF(F692&gt;'депозитный калькулятор'!$D$8," ",IF(EOMONTH(F691,0)=F691,0,IF(G692&gt;='депозитный калькулятор'!$G$19,P691,P691+1)))</f>
        <v xml:space="preserve"> </v>
      </c>
      <c r="Q692" s="138" t="str">
        <f>IF(F692=" "," ",IF(AND(OR('депозитный калькулятор'!$G$7="30/365",'депозитный калькулятор'!$G$7="30/360"),AND(MONTH(F692)=2,EOMONTH(F692,0)=F692)),IF(DAY(F692)=28,3,2),1)*IF(G692&gt;='депозитный калькулятор'!$G$11,IF(AND('депозитный калькулятор'!$G$7="факт/факт",MOD(YEAR(F692),4)=0),G692*'депозитный калькулятор'!$D$11/366,G692*'депозитный калькулятор'!$G$8),0))</f>
        <v xml:space="preserve"> </v>
      </c>
      <c r="R692" s="158"/>
      <c r="S692" s="62" t="str">
        <f t="shared" ca="1" si="52"/>
        <v xml:space="preserve"> </v>
      </c>
      <c r="T692" s="149" t="str">
        <f ca="1">IF(S692=" "," ",IF('депозитный калькулятор'!$G$7="30/360",DAYS360(U691,IF(DAY(U692)=31,U692-1,U692))+IF(AND(MONTH(U692)=2,U692=EOMONTH(U692,0)),30-DAY(EOMONTH(U692,0)))+T691,VLOOKUP(S692,$C$22:$F$1023,2,0)))</f>
        <v xml:space="preserve"> </v>
      </c>
      <c r="U692" s="64" t="str">
        <f t="shared" ca="1" si="50"/>
        <v xml:space="preserve"> </v>
      </c>
      <c r="V692" s="150" t="str">
        <f t="shared" ca="1" si="53"/>
        <v xml:space="preserve"> </v>
      </c>
      <c r="W692" s="62" t="str">
        <f t="shared" ca="1" si="54"/>
        <v xml:space="preserve"> </v>
      </c>
      <c r="X692" s="141" t="str">
        <f ca="1">IF(S692=" "," ",IFERROR(VLOOKUP(U692,$F$23:$N$1023,7)+VLOOKUP(U692,$F$23:$N$1023,9)+IF(AND('депозитный калькулятор'!$G$13="нет",U692&lt;&gt;'депозитный калькулятор'!$D$8),VLOOKUP(U692,$F$23:$N$1023,4),0),0)+IF(U692='депозитный калькулятор'!$D$8,VLOOKUP(U692,$F$23:$N$1023,2)+VLOOKUP(U692,$F$23:$N$1023,4),0))</f>
        <v xml:space="preserve"> </v>
      </c>
      <c r="Y692" s="142" t="str">
        <f ca="1">IF(S692=" "," ",W692/(1+'депозитный калькулятор'!$K$8)^(T692/IF('депозитный калькулятор'!$G$7="30/360",360,365)))</f>
        <v xml:space="preserve"> </v>
      </c>
      <c r="Z692" s="142" t="str">
        <f ca="1">IF(S692=" "," ",X692/(1+'депозитный калькулятор'!$K$8)^(T692/IF('депозитный калькулятор'!$G$7="30/360",360,365)))</f>
        <v xml:space="preserve"> </v>
      </c>
      <c r="AA692" s="151"/>
      <c r="AB692" s="151"/>
      <c r="AC692" s="155"/>
      <c r="AD692" s="155"/>
    </row>
    <row r="693" spans="1:30" s="2" customFormat="1" ht="15.5" x14ac:dyDescent="0.35">
      <c r="A693" s="41" t="str">
        <f>IF(F693=" "," ",IF(OR('депозитный калькулятор'!$G$7="30/365",'депозитный калькулятор'!$G$7="30/360"),IF(AND(MONTH(F693)=2,DAY(F693)=DAY(EOMONTH(F693,0))),30-DAY(EOMONTH(F693,0)),IF(DAY(F693)=31,1," "))," "))</f>
        <v xml:space="preserve"> </v>
      </c>
      <c r="B693" s="130" t="str">
        <f t="shared" si="51"/>
        <v xml:space="preserve"> </v>
      </c>
      <c r="C693" s="130" t="str">
        <f>IF(OR(B693=0,B693=" ")," ",SUM($B$23:B693))</f>
        <v xml:space="preserve"> </v>
      </c>
      <c r="D693" s="62" t="str">
        <f>IF(D692=" "," ",IF(OR(F692='депозитный калькулятор'!$D$8,F692=" ")," ",D692+1))</f>
        <v xml:space="preserve"> </v>
      </c>
      <c r="E693" s="130" t="str">
        <f>IF(OR(F692='депозитный калькулятор'!$D$8,F692=" ")," ",IF(EOMONTH(F692,0)=F692,1,E692+1))</f>
        <v xml:space="preserve"> </v>
      </c>
      <c r="F693" s="64" t="str">
        <f>IF(F692=" "," ",IF(F692='депозитный калькулятор'!$D$8," ",F692+1))</f>
        <v xml:space="preserve"> </v>
      </c>
      <c r="G693" s="145" t="str">
        <f xml:space="preserve"> IF(F693&gt;'депозитный калькулятор'!$D$8," ",IF('депозитный калькулятор'!$G$13="есть",IF('депозитный калькулятор'!$G$14="есть",G692+IF(I692=" ",0,I692)-J693-K693+L693+M693-N693,G692+IF(I692=" ",0,I692)-J693-K693+M693-N693),IF('депозитный калькулятор'!$G$14="есть",G692-J693-K693+L693+M693-N693,G692-J693-K693+M693-N693)))</f>
        <v xml:space="preserve"> </v>
      </c>
      <c r="H693" s="133" t="str">
        <f>IF(F693&gt;'депозитный калькулятор'!$D$8," ",IF(AND(OR('депозитный калькулятор'!$G$7="30/365",'депозитный калькулятор'!$G$7="30/360"),AND(MONTH(F693)=2,EOMONTH(F693,0)=F693)),IF(DAY(F693)=28,3*G693*'депозитный калькулятор'!$G$8,2*G693*'депозитный калькулятор'!$G$8),IF(AND(OR('депозитный калькулятор'!$G$7="30/365",'депозитный калькулятор'!$G$7="30/360"),DAY(F693)=31)," ",IF(AND('депозитный калькулятор'!$G$7="факт/факт",MOD(YEAR(F693),4)=0),G693*'депозитный калькулятор'!$D$11/366,G693*'депозитный калькулятор'!$G$8))))</f>
        <v xml:space="preserve"> </v>
      </c>
      <c r="I693" s="134" t="str">
        <f ca="1">IF(F693=" "," ",IF('депозитный калькулятор'!$G$10="ежедневное",H693,IF(AND('депозитный калькулятор'!$G$10="еженедельное",WEEKDAY(F693,2)=7),SUM(OFFSET(H693,-6,0):H693),IF(AND('депозитный калькулятор'!$G$10="еженедельное",F693='депозитный калькулятор'!$D$8),SUM($H$23:H693)-SUM($I$23:I692),IF(AND('депозитный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недели",WEEKDAY(F693,2)=7),MIN(OFFSET(H693,-6,0):H693)*(COUNTIF(OFFSET(H693,-6,0):H693,"&gt;0")+SUMIF(OFFSET(A693,-WEEKDAY(F693,2),0):A693,"=2",OFFSET(A693,-WEEKDAY(F693,2),0):A693)),IF(AND('депозитный калькулятор'!$G$10="еженедельное, на минимальную сумму зафиксированную в течение недели",F693='депозитный калькулятор'!$D$8,WEEKDAY(F693,2)&lt;&gt;7),MIN(OFFSET(H693,-WEEKDAY(F693,2),0):H693)*(COUNTIF(OFFSET(H693,-WEEKDAY(F693,2)+1,0):H693,"&gt;0")+SUM(OFFSET(A693,-WEEKDAY(F693,2),0):A693)),IF(AND('депозитный калькулятор'!$G$10="ежемесячное (в конце месяца)",F693='депозитный калькулятор'!$D$8,EOMONTH(F693,0)&lt;&gt;F693),IF('депозитный калькулятор'!$F$1=1,$H$24,SUM($H$23:H693)-SUM($I$23:I692)),IF(AND('депозитный калькулятор'!$G$10="ежемесячное (в конце месяца)",EOMONTH(F693,0)=F693),SUM($H$23:H693)-SUM($I$23:I692),IF(AND('депозитный калькулятор'!$G$10="ежемесячное (по дням открытия вклада)",F693='депозитный калькулятор'!$D$8,DAY('депозитный калькулятор'!$D$7)&lt;&gt;DAY(F693)),IF('депозитный калькулятор'!$F$1=1,$H$24,SUM($H$23:H693)-SUM($I$23:I692)),IF(AND('депозитный калькулятор'!$G$10="ежемесячное (по дням открытия вклада)",DAY('депозитный калькулятор'!$D$7)=DAY(F693)),SUM($H$23:H693)-SUM($I$23:I692),IF(AND('депозитный калькулятор'!$G$10="ежемесячное, на минимальную сумму зафиксированную в течение месяца",F693='депозитный калькулятор'!$D$8,EOMONTH(F693,0)&lt;&gt;F693),IF('депозитный калькулятор'!$F$1=1,$H$24,IF(AND(OR('депозитный калькулятор'!$G$7="30/365",'депозитный калькулятор'!$G$7="30/360"),DAY(F693)=31),0,MIN(OFFSET(H693,-E693+1,0):H693)*(E693+SUMIF(OFFSET(A693,-E693+1,0):A693,"=2",OFFSET(A693,-E693+1,0):A693)))),IF(AND('депозитный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калькулятор'!$G$7="30/360"),DAY(EOMONTH(F693,0))=31),EOMONTH(F693,0)-1=F693,EOMONTH(F693,0)=F693)),IF(IF(AND(OR('депозитный калькулятор'!$G$7="30/365",'депозитный калькулятор'!$G$7="30/360"),DAY(EOMONTH($F$23,0))=31),F693=EOMONTH($F$23,0)-1,F693=EOMONTH($F$23,0)),MIN(OFFSET(H693,-(DAY(F693)-DAY($F$23)),0):H693)*E693,MIN(OFFSET(H693,-(DAY(F693)-1),0):H693)*IF(AND(OR('депозитный калькулятор'!$G$7="30/365",'депозитный калькулятор'!$G$7="30/360"),DAY(F693)&lt;30),30,DAY(F693))),IF(AND('депозитный калькулятор'!$G$10="ежемесячное, на средний остаток в течение месяца, при условии что остаток больше чем ограничение",F693='депозитный калькулятор'!$D$8,EOMONTH(F693,0)&lt;&gt;F693),IF('депозитный калькулятор'!$F$1=1,$H$24,SUM(OFFSET(Q693,-E693+1,0):Q693)),IF(AND('депозитный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калькулятор'!$G$7="30/360"),DAY(EOMONTH(F693,0))=31),EOMONTH(F693,0)-1=F693,EOMONTH(F693,0)=F693)),IF(IF(AND(OR('депозитный калькулятор'!$G$7="30/365",'депозитный калькулятор'!$G$7="30/360"),DAY(EOMONTH($F$24,0))=31),F693=EOMONTH($F$24,0)-1,F693=EOMONTH($F$24,0)),SUM(OFFSET(Q693,-E693+1,0):Q693),SUM(OFFSET(Q693,-E693+1,0):Q693)),IF('депозитный калькулятор'!$G$10="ежеквартальное",IF(F693&gt;'депозитный калькулятор'!$D$8," ",IF(AND(EOMONTH(F693,0)=F693,OR(MONTH(F693)=3,MONTH(F693)=6,MONTH(F693)=9,MONTH(F693)=12)),IF(EDATE(F693,-3)&lt;'депозитный калькулятор'!$D$7,SUM($H$23:H693),IF(MOD(YEAR(F693),4)=0,IF(AND(EOMONTH(F693,0)=F693,OR(MONTH(F693)=3,MONTH(F693)=6)),SUM(OFFSET(H693,-90,0):H693),IF(AND(EOMONTH(F693,0)=F693,OR(MONTH(F693)=9,MONTH(F693)=12)),SUM(OFFSET(H693,-91,0):H693))),IF(AND(EOMONTH(F693,0)=F693,MONTH(F693)=3),SUM(OFFSET(H693,-89,0):H693),IF(AND(EOMONTH(F693,0)=F693,MONTH(F693)=6),SUM(OFFSET(H693,-90,0):H693),IF(AND(EOMONTH(F693,0)=F693,OR(MONTH(F693)=9,MONTH(F693)=12)),SUM(OFFSET(H693,-91,0):H693)))))),IF(F693='депозитный калькулятор'!$D$8,SUM($H$23:H693)-SUM($I$23:I692),0))),IF('депозитный калькулятор'!$G$10="ежегодное",IF(F693&gt;'депозитный калькулятор'!$D$8," ",IF(F693='депозитный калькулятор'!$D$8,SUM($H$23:H693)-SUM($I$23:I692),IF(AND(EOMONTH(F693,0)=F693,MONTH(F693)=12),IF(MOD(YEAR(F692),4)=0,IF(F693-'депозитный калькулятор'!$D$7&lt;366,SUM($H$23:H693),SUM(OFFSET(H693,-365,0):H693)),IF(F693-'депозитный калькулятор'!$D$7&lt;365,SUM($H$23:H693),SUM(OFFSET(H693,-364,0):H693))),0))),IF(AND('депозитный калькулятор'!$G$10="в конце срока",'депозитный калькулятор'!$D$8=F693),SUM($H$23:H693),0))))))))))))))))))</f>
        <v xml:space="preserve"> </v>
      </c>
      <c r="J693" s="59" t="str">
        <f>IF(F693&gt;'депозитный калькулятор'!$D$8," ",IF('депозитный калькулятор'!$G$16="нет",0,IF(AND('депозитный калькулятор'!$G$17="разовая (в конце срока)",F693='депозитный калькулятор'!$D$8),'депозитный калькулятор'!$G$18,IF(AND('депозитный калькулятор'!$G$17="ежемесячная",EOMONTH(F692,0)=F692),'депозитный калькулятор'!$G$18,IF(AND('депозитный калькулятор'!$G$17="ежегодная",DAY(F692)=31,MONTH(F692)=12),'депозитный калькулятор'!$G$18,IF(AND('депозитный калькулятор'!$G$17="ежемесячная в зависимости от остатка",EOMONTH(F692,0)=F692,P692&gt;0),'депозитный калькулятор'!$G$18,IF(AND('депозитный калькулятор'!$G$17="ежегодная в зависимости от остатка",DAY(F692)=31,MONTH(F692)=12,P692&gt;0),'депозитный калькулятор'!$G$18,0)))))))</f>
        <v xml:space="preserve"> </v>
      </c>
      <c r="K693" s="135" t="str">
        <f>IF($F693=" "," ",IFERROR(VLOOKUP($F693,'депозитный калькулятор'!$B$26:$F$70,2,0),0))</f>
        <v xml:space="preserve"> </v>
      </c>
      <c r="L693" s="135" t="str">
        <f>IF($F693=" "," ",IFERROR(VLOOKUP($F693,'депозитный калькулятор'!$B$26:$F$70,3,0),0))</f>
        <v xml:space="preserve"> </v>
      </c>
      <c r="M693" s="135" t="str">
        <f>IF($F693=" "," ",IFERROR(VLOOKUP($F693,'депозитный калькулятор'!$B$26:$F$70,4,0),0))</f>
        <v xml:space="preserve"> </v>
      </c>
      <c r="N693" s="135" t="str">
        <f>IF($F693=" "," ",IFERROR(VLOOKUP($F693,'депозитный калькулятор'!$B$26:$F$70,5,0),0))</f>
        <v xml:space="preserve"> </v>
      </c>
      <c r="O693" s="146" t="str">
        <f>IF(F693&gt;'депозитный калькулятор'!$D$8," ",IF(F693='депозитный калькулятор'!$D$8,IF(AND($F$24='депозитный калькулятор'!$D$8,'депозитный калькулятор'!$G$13="нет"),-G693-IF(I693=" ",0,I693)-IF(AND(OR('депозитный калькулятор'!$G$7="30/365",'депозитный калькулятор'!$G$7="30/360"),'депозитный калькулятор'!$G$10="в начале срока"),I692,0)-L693+M693-N693,-G693-IF(I693=" ",0,I693)-L693+M693-N693),IF('депозитный калькулятор'!$G$13="есть",M693-N693+IF('депозитный калькулятор'!$G$14="есть",0,-L693),-IF(I693=" ",0,I693)-IF(AND(OR('депозитный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срока"),I692,0)+M693-N693+IF('депозитный калькулятор'!$G$14="есть",0,-L693))))</f>
        <v xml:space="preserve"> </v>
      </c>
      <c r="P693" s="147" t="str">
        <f>IF(F693&gt;'депозитный калькулятор'!$D$8," ",IF(EOMONTH(F692,0)=F692,0,IF(G693&gt;='депозитный калькулятор'!$G$19,P692,P692+1)))</f>
        <v xml:space="preserve"> </v>
      </c>
      <c r="Q693" s="138" t="str">
        <f>IF(F693=" "," ",IF(AND(OR('депозитный калькулятор'!$G$7="30/365",'депозитный калькулятор'!$G$7="30/360"),AND(MONTH(F693)=2,EOMONTH(F693,0)=F693)),IF(DAY(F693)=28,3,2),1)*IF(G693&gt;='депозитный калькулятор'!$G$11,IF(AND('депозитный калькулятор'!$G$7="факт/факт",MOD(YEAR(F693),4)=0),G693*'депозитный калькулятор'!$D$11/366,G693*'депозитный калькулятор'!$G$8),0))</f>
        <v xml:space="preserve"> </v>
      </c>
      <c r="R693" s="158"/>
      <c r="S693" s="62" t="str">
        <f t="shared" ca="1" si="52"/>
        <v xml:space="preserve"> </v>
      </c>
      <c r="T693" s="149" t="str">
        <f ca="1">IF(S693=" "," ",IF('депозитный калькулятор'!$G$7="30/360",DAYS360(U692,IF(DAY(U693)=31,U693-1,U693))+IF(AND(MONTH(U693)=2,U693=EOMONTH(U693,0)),30-DAY(EOMONTH(U693,0)))+T692,VLOOKUP(S693,$C$22:$F$1023,2,0)))</f>
        <v xml:space="preserve"> </v>
      </c>
      <c r="U693" s="64" t="str">
        <f t="shared" ca="1" si="50"/>
        <v xml:space="preserve"> </v>
      </c>
      <c r="V693" s="150" t="str">
        <f t="shared" ca="1" si="53"/>
        <v xml:space="preserve"> </v>
      </c>
      <c r="W693" s="62" t="str">
        <f t="shared" ca="1" si="54"/>
        <v xml:space="preserve"> </v>
      </c>
      <c r="X693" s="141" t="str">
        <f ca="1">IF(S693=" "," ",IFERROR(VLOOKUP(U693,$F$23:$N$1023,7)+VLOOKUP(U693,$F$23:$N$1023,9)+IF(AND('депозитный калькулятор'!$G$13="нет",U693&lt;&gt;'депозитный калькулятор'!$D$8),VLOOKUP(U693,$F$23:$N$1023,4),0),0)+IF(U693='депозитный калькулятор'!$D$8,VLOOKUP(U693,$F$23:$N$1023,2)+VLOOKUP(U693,$F$23:$N$1023,4),0))</f>
        <v xml:space="preserve"> </v>
      </c>
      <c r="Y693" s="142" t="str">
        <f ca="1">IF(S693=" "," ",W693/(1+'депозитный калькулятор'!$K$8)^(T693/IF('депозитный калькулятор'!$G$7="30/360",360,365)))</f>
        <v xml:space="preserve"> </v>
      </c>
      <c r="Z693" s="142" t="str">
        <f ca="1">IF(S693=" "," ",X693/(1+'депозитный калькулятор'!$K$8)^(T693/IF('депозитный калькулятор'!$G$7="30/360",360,365)))</f>
        <v xml:space="preserve"> </v>
      </c>
      <c r="AA693" s="151"/>
      <c r="AB693" s="151"/>
      <c r="AC693" s="155"/>
      <c r="AD693" s="155"/>
    </row>
    <row r="694" spans="1:30" s="2" customFormat="1" ht="15.5" x14ac:dyDescent="0.35">
      <c r="A694" s="41" t="str">
        <f>IF(F694=" "," ",IF(OR('депозитный калькулятор'!$G$7="30/365",'депозитный калькулятор'!$G$7="30/360"),IF(AND(MONTH(F694)=2,DAY(F694)=DAY(EOMONTH(F694,0))),30-DAY(EOMONTH(F694,0)),IF(DAY(F694)=31,1," "))," "))</f>
        <v xml:space="preserve"> </v>
      </c>
      <c r="B694" s="130" t="str">
        <f t="shared" si="51"/>
        <v xml:space="preserve"> </v>
      </c>
      <c r="C694" s="130" t="str">
        <f>IF(OR(B694=0,B694=" ")," ",SUM($B$23:B694))</f>
        <v xml:space="preserve"> </v>
      </c>
      <c r="D694" s="62" t="str">
        <f>IF(D693=" "," ",IF(OR(F693='депозитный калькулятор'!$D$8,F693=" ")," ",D693+1))</f>
        <v xml:space="preserve"> </v>
      </c>
      <c r="E694" s="130" t="str">
        <f>IF(OR(F693='депозитный калькулятор'!$D$8,F693=" ")," ",IF(EOMONTH(F693,0)=F693,1,E693+1))</f>
        <v xml:space="preserve"> </v>
      </c>
      <c r="F694" s="64" t="str">
        <f>IF(F693=" "," ",IF(F693='депозитный калькулятор'!$D$8," ",F693+1))</f>
        <v xml:space="preserve"> </v>
      </c>
      <c r="G694" s="145" t="str">
        <f xml:space="preserve"> IF(F694&gt;'депозитный калькулятор'!$D$8," ",IF('депозитный калькулятор'!$G$13="есть",IF('депозитный калькулятор'!$G$14="есть",G693+IF(I693=" ",0,I693)-J694-K694+L694+M694-N694,G693+IF(I693=" ",0,I693)-J694-K694+M694-N694),IF('депозитный калькулятор'!$G$14="есть",G693-J694-K694+L694+M694-N694,G693-J694-K694+M694-N694)))</f>
        <v xml:space="preserve"> </v>
      </c>
      <c r="H694" s="133" t="str">
        <f>IF(F694&gt;'депозитный калькулятор'!$D$8," ",IF(AND(OR('депозитный калькулятор'!$G$7="30/365",'депозитный калькулятор'!$G$7="30/360"),AND(MONTH(F694)=2,EOMONTH(F694,0)=F694)),IF(DAY(F694)=28,3*G694*'депозитный калькулятор'!$G$8,2*G694*'депозитный калькулятор'!$G$8),IF(AND(OR('депозитный калькулятор'!$G$7="30/365",'депозитный калькулятор'!$G$7="30/360"),DAY(F694)=31)," ",IF(AND('депозитный калькулятор'!$G$7="факт/факт",MOD(YEAR(F694),4)=0),G694*'депозитный калькулятор'!$D$11/366,G694*'депозитный калькулятор'!$G$8))))</f>
        <v xml:space="preserve"> </v>
      </c>
      <c r="I694" s="134" t="str">
        <f ca="1">IF(F694=" "," ",IF('депозитный калькулятор'!$G$10="ежедневное",H694,IF(AND('депозитный калькулятор'!$G$10="еженедельное",WEEKDAY(F694,2)=7),SUM(OFFSET(H694,-6,0):H694),IF(AND('депозитный калькулятор'!$G$10="еженедельное",F694='депозитный калькулятор'!$D$8),SUM($H$23:H694)-SUM($I$23:I693),IF(AND('депозитный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недели",WEEKDAY(F694,2)=7),MIN(OFFSET(H694,-6,0):H694)*(COUNTIF(OFFSET(H694,-6,0):H694,"&gt;0")+SUMIF(OFFSET(A694,-WEEKDAY(F694,2),0):A694,"=2",OFFSET(A694,-WEEKDAY(F694,2),0):A694)),IF(AND('депозитный калькулятор'!$G$10="еженедельное, на минимальную сумму зафиксированную в течение недели",F694='депозитный калькулятор'!$D$8,WEEKDAY(F694,2)&lt;&gt;7),MIN(OFFSET(H694,-WEEKDAY(F694,2),0):H694)*(COUNTIF(OFFSET(H694,-WEEKDAY(F694,2)+1,0):H694,"&gt;0")+SUM(OFFSET(A694,-WEEKDAY(F694,2),0):A694)),IF(AND('депозитный калькулятор'!$G$10="ежемесячное (в конце месяца)",F694='депозитный калькулятор'!$D$8,EOMONTH(F694,0)&lt;&gt;F694),IF('депозитный калькулятор'!$F$1=1,$H$24,SUM($H$23:H694)-SUM($I$23:I693)),IF(AND('депозитный калькулятор'!$G$10="ежемесячное (в конце месяца)",EOMONTH(F694,0)=F694),SUM($H$23:H694)-SUM($I$23:I693),IF(AND('депозитный калькулятор'!$G$10="ежемесячное (по дням открытия вклада)",F694='депозитный калькулятор'!$D$8,DAY('депозитный калькулятор'!$D$7)&lt;&gt;DAY(F694)),IF('депозитный калькулятор'!$F$1=1,$H$24,SUM($H$23:H694)-SUM($I$23:I693)),IF(AND('депозитный калькулятор'!$G$10="ежемесячное (по дням открытия вклада)",DAY('депозитный калькулятор'!$D$7)=DAY(F694)),SUM($H$23:H694)-SUM($I$23:I693),IF(AND('депозитный калькулятор'!$G$10="ежемесячное, на минимальную сумму зафиксированную в течение месяца",F694='депозитный калькулятор'!$D$8,EOMONTH(F694,0)&lt;&gt;F694),IF('депозитный калькулятор'!$F$1=1,$H$24,IF(AND(OR('депозитный калькулятор'!$G$7="30/365",'депозитный калькулятор'!$G$7="30/360"),DAY(F694)=31),0,MIN(OFFSET(H694,-E694+1,0):H694)*(E694+SUMIF(OFFSET(A694,-E694+1,0):A694,"=2",OFFSET(A694,-E694+1,0):A694)))),IF(AND('депозитный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калькулятор'!$G$7="30/360"),DAY(EOMONTH(F694,0))=31),EOMONTH(F694,0)-1=F694,EOMONTH(F694,0)=F694)),IF(IF(AND(OR('депозитный калькулятор'!$G$7="30/365",'депозитный калькулятор'!$G$7="30/360"),DAY(EOMONTH($F$23,0))=31),F694=EOMONTH($F$23,0)-1,F694=EOMONTH($F$23,0)),MIN(OFFSET(H694,-(DAY(F694)-DAY($F$23)),0):H694)*E694,MIN(OFFSET(H694,-(DAY(F694)-1),0):H694)*IF(AND(OR('депозитный калькулятор'!$G$7="30/365",'депозитный калькулятор'!$G$7="30/360"),DAY(F694)&lt;30),30,DAY(F694))),IF(AND('депозитный калькулятор'!$G$10="ежемесячное, на средний остаток в течение месяца, при условии что остаток больше чем ограничение",F694='депозитный калькулятор'!$D$8,EOMONTH(F694,0)&lt;&gt;F694),IF('депозитный калькулятор'!$F$1=1,$H$24,SUM(OFFSET(Q694,-E694+1,0):Q694)),IF(AND('депозитный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калькулятор'!$G$7="30/360"),DAY(EOMONTH(F694,0))=31),EOMONTH(F694,0)-1=F694,EOMONTH(F694,0)=F694)),IF(IF(AND(OR('депозитный калькулятор'!$G$7="30/365",'депозитный калькулятор'!$G$7="30/360"),DAY(EOMONTH($F$24,0))=31),F694=EOMONTH($F$24,0)-1,F694=EOMONTH($F$24,0)),SUM(OFFSET(Q694,-E694+1,0):Q694),SUM(OFFSET(Q694,-E694+1,0):Q694)),IF('депозитный калькулятор'!$G$10="ежеквартальное",IF(F694&gt;'депозитный калькулятор'!$D$8," ",IF(AND(EOMONTH(F694,0)=F694,OR(MONTH(F694)=3,MONTH(F694)=6,MONTH(F694)=9,MONTH(F694)=12)),IF(EDATE(F694,-3)&lt;'депозитный калькулятор'!$D$7,SUM($H$23:H694),IF(MOD(YEAR(F694),4)=0,IF(AND(EOMONTH(F694,0)=F694,OR(MONTH(F694)=3,MONTH(F694)=6)),SUM(OFFSET(H694,-90,0):H694),IF(AND(EOMONTH(F694,0)=F694,OR(MONTH(F694)=9,MONTH(F694)=12)),SUM(OFFSET(H694,-91,0):H694))),IF(AND(EOMONTH(F694,0)=F694,MONTH(F694)=3),SUM(OFFSET(H694,-89,0):H694),IF(AND(EOMONTH(F694,0)=F694,MONTH(F694)=6),SUM(OFFSET(H694,-90,0):H694),IF(AND(EOMONTH(F694,0)=F694,OR(MONTH(F694)=9,MONTH(F694)=12)),SUM(OFFSET(H694,-91,0):H694)))))),IF(F694='депозитный калькулятор'!$D$8,SUM($H$23:H694)-SUM($I$23:I693),0))),IF('депозитный калькулятор'!$G$10="ежегодное",IF(F694&gt;'депозитный калькулятор'!$D$8," ",IF(F694='депозитный калькулятор'!$D$8,SUM($H$23:H694)-SUM($I$23:I693),IF(AND(EOMONTH(F694,0)=F694,MONTH(F694)=12),IF(MOD(YEAR(F693),4)=0,IF(F694-'депозитный калькулятор'!$D$7&lt;366,SUM($H$23:H694),SUM(OFFSET(H694,-365,0):H694)),IF(F694-'депозитный калькулятор'!$D$7&lt;365,SUM($H$23:H694),SUM(OFFSET(H694,-364,0):H694))),0))),IF(AND('депозитный калькулятор'!$G$10="в конце срока",'депозитный калькулятор'!$D$8=F694),SUM($H$23:H694),0))))))))))))))))))</f>
        <v xml:space="preserve"> </v>
      </c>
      <c r="J694" s="59" t="str">
        <f>IF(F694&gt;'депозитный калькулятор'!$D$8," ",IF('депозитный калькулятор'!$G$16="нет",0,IF(AND('депозитный калькулятор'!$G$17="разовая (в конце срока)",F694='депозитный калькулятор'!$D$8),'депозитный калькулятор'!$G$18,IF(AND('депозитный калькулятор'!$G$17="ежемесячная",EOMONTH(F693,0)=F693),'депозитный калькулятор'!$G$18,IF(AND('депозитный калькулятор'!$G$17="ежегодная",DAY(F693)=31,MONTH(F693)=12),'депозитный калькулятор'!$G$18,IF(AND('депозитный калькулятор'!$G$17="ежемесячная в зависимости от остатка",EOMONTH(F693,0)=F693,P693&gt;0),'депозитный калькулятор'!$G$18,IF(AND('депозитный калькулятор'!$G$17="ежегодная в зависимости от остатка",DAY(F693)=31,MONTH(F693)=12,P693&gt;0),'депозитный калькулятор'!$G$18,0)))))))</f>
        <v xml:space="preserve"> </v>
      </c>
      <c r="K694" s="135" t="str">
        <f>IF($F694=" "," ",IFERROR(VLOOKUP($F694,'депозитный калькулятор'!$B$26:$F$70,2,0),0))</f>
        <v xml:space="preserve"> </v>
      </c>
      <c r="L694" s="135" t="str">
        <f>IF($F694=" "," ",IFERROR(VLOOKUP($F694,'депозитный калькулятор'!$B$26:$F$70,3,0),0))</f>
        <v xml:space="preserve"> </v>
      </c>
      <c r="M694" s="135" t="str">
        <f>IF($F694=" "," ",IFERROR(VLOOKUP($F694,'депозитный калькулятор'!$B$26:$F$70,4,0),0))</f>
        <v xml:space="preserve"> </v>
      </c>
      <c r="N694" s="135" t="str">
        <f>IF($F694=" "," ",IFERROR(VLOOKUP($F694,'депозитный калькулятор'!$B$26:$F$70,5,0),0))</f>
        <v xml:space="preserve"> </v>
      </c>
      <c r="O694" s="146" t="str">
        <f>IF(F694&gt;'депозитный калькулятор'!$D$8," ",IF(F694='депозитный калькулятор'!$D$8,IF(AND($F$24='депозитный калькулятор'!$D$8,'депозитный калькулятор'!$G$13="нет"),-G694-IF(I694=" ",0,I694)-IF(AND(OR('депозитный калькулятор'!$G$7="30/365",'депозитный калькулятор'!$G$7="30/360"),'депозитный калькулятор'!$G$10="в начале срока"),I693,0)-L694+M694-N694,-G694-IF(I694=" ",0,I694)-L694+M694-N694),IF('депозитный калькулятор'!$G$13="есть",M694-N694+IF('депозитный калькулятор'!$G$14="есть",0,-L694),-IF(I694=" ",0,I694)-IF(AND(OR('депозитный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срока"),I693,0)+M694-N694+IF('депозитный калькулятор'!$G$14="есть",0,-L694))))</f>
        <v xml:space="preserve"> </v>
      </c>
      <c r="P694" s="147" t="str">
        <f>IF(F694&gt;'депозитный калькулятор'!$D$8," ",IF(EOMONTH(F693,0)=F693,0,IF(G694&gt;='депозитный калькулятор'!$G$19,P693,P693+1)))</f>
        <v xml:space="preserve"> </v>
      </c>
      <c r="Q694" s="138" t="str">
        <f>IF(F694=" "," ",IF(AND(OR('депозитный калькулятор'!$G$7="30/365",'депозитный калькулятор'!$G$7="30/360"),AND(MONTH(F694)=2,EOMONTH(F694,0)=F694)),IF(DAY(F694)=28,3,2),1)*IF(G694&gt;='депозитный калькулятор'!$G$11,IF(AND('депозитный калькулятор'!$G$7="факт/факт",MOD(YEAR(F694),4)=0),G694*'депозитный калькулятор'!$D$11/366,G694*'депозитный калькулятор'!$G$8),0))</f>
        <v xml:space="preserve"> </v>
      </c>
      <c r="R694" s="158"/>
      <c r="S694" s="62" t="str">
        <f t="shared" ca="1" si="52"/>
        <v xml:space="preserve"> </v>
      </c>
      <c r="T694" s="149" t="str">
        <f ca="1">IF(S694=" "," ",IF('депозитный калькулятор'!$G$7="30/360",DAYS360(U693,IF(DAY(U694)=31,U694-1,U694))+IF(AND(MONTH(U694)=2,U694=EOMONTH(U694,0)),30-DAY(EOMONTH(U694,0)))+T693,VLOOKUP(S694,$C$22:$F$1023,2,0)))</f>
        <v xml:space="preserve"> </v>
      </c>
      <c r="U694" s="64" t="str">
        <f t="shared" ca="1" si="50"/>
        <v xml:space="preserve"> </v>
      </c>
      <c r="V694" s="150" t="str">
        <f t="shared" ca="1" si="53"/>
        <v xml:space="preserve"> </v>
      </c>
      <c r="W694" s="62" t="str">
        <f t="shared" ca="1" si="54"/>
        <v xml:space="preserve"> </v>
      </c>
      <c r="X694" s="141" t="str">
        <f ca="1">IF(S694=" "," ",IFERROR(VLOOKUP(U694,$F$23:$N$1023,7)+VLOOKUP(U694,$F$23:$N$1023,9)+IF(AND('депозитный калькулятор'!$G$13="нет",U694&lt;&gt;'депозитный калькулятор'!$D$8),VLOOKUP(U694,$F$23:$N$1023,4),0),0)+IF(U694='депозитный калькулятор'!$D$8,VLOOKUP(U694,$F$23:$N$1023,2)+VLOOKUP(U694,$F$23:$N$1023,4),0))</f>
        <v xml:space="preserve"> </v>
      </c>
      <c r="Y694" s="142" t="str">
        <f ca="1">IF(S694=" "," ",W694/(1+'депозитный калькулятор'!$K$8)^(T694/IF('депозитный калькулятор'!$G$7="30/360",360,365)))</f>
        <v xml:space="preserve"> </v>
      </c>
      <c r="Z694" s="142" t="str">
        <f ca="1">IF(S694=" "," ",X694/(1+'депозитный калькулятор'!$K$8)^(T694/IF('депозитный калькулятор'!$G$7="30/360",360,365)))</f>
        <v xml:space="preserve"> </v>
      </c>
      <c r="AA694" s="151"/>
      <c r="AB694" s="151"/>
      <c r="AC694" s="155"/>
      <c r="AD694" s="155"/>
    </row>
    <row r="695" spans="1:30" s="2" customFormat="1" ht="15.5" x14ac:dyDescent="0.35">
      <c r="A695" s="41" t="str">
        <f>IF(F695=" "," ",IF(OR('депозитный калькулятор'!$G$7="30/365",'депозитный калькулятор'!$G$7="30/360"),IF(AND(MONTH(F695)=2,DAY(F695)=DAY(EOMONTH(F695,0))),30-DAY(EOMONTH(F695,0)),IF(DAY(F695)=31,1," "))," "))</f>
        <v xml:space="preserve"> </v>
      </c>
      <c r="B695" s="130" t="str">
        <f t="shared" si="51"/>
        <v xml:space="preserve"> </v>
      </c>
      <c r="C695" s="130" t="str">
        <f>IF(OR(B695=0,B695=" ")," ",SUM($B$23:B695))</f>
        <v xml:space="preserve"> </v>
      </c>
      <c r="D695" s="62" t="str">
        <f>IF(D694=" "," ",IF(OR(F694='депозитный калькулятор'!$D$8,F694=" ")," ",D694+1))</f>
        <v xml:space="preserve"> </v>
      </c>
      <c r="E695" s="130" t="str">
        <f>IF(OR(F694='депозитный калькулятор'!$D$8,F694=" ")," ",IF(EOMONTH(F694,0)=F694,1,E694+1))</f>
        <v xml:space="preserve"> </v>
      </c>
      <c r="F695" s="64" t="str">
        <f>IF(F694=" "," ",IF(F694='депозитный калькулятор'!$D$8," ",F694+1))</f>
        <v xml:space="preserve"> </v>
      </c>
      <c r="G695" s="145" t="str">
        <f xml:space="preserve"> IF(F695&gt;'депозитный калькулятор'!$D$8," ",IF('депозитный калькулятор'!$G$13="есть",IF('депозитный калькулятор'!$G$14="есть",G694+IF(I694=" ",0,I694)-J695-K695+L695+M695-N695,G694+IF(I694=" ",0,I694)-J695-K695+M695-N695),IF('депозитный калькулятор'!$G$14="есть",G694-J695-K695+L695+M695-N695,G694-J695-K695+M695-N695)))</f>
        <v xml:space="preserve"> </v>
      </c>
      <c r="H695" s="133" t="str">
        <f>IF(F695&gt;'депозитный калькулятор'!$D$8," ",IF(AND(OR('депозитный калькулятор'!$G$7="30/365",'депозитный калькулятор'!$G$7="30/360"),AND(MONTH(F695)=2,EOMONTH(F695,0)=F695)),IF(DAY(F695)=28,3*G695*'депозитный калькулятор'!$G$8,2*G695*'депозитный калькулятор'!$G$8),IF(AND(OR('депозитный калькулятор'!$G$7="30/365",'депозитный калькулятор'!$G$7="30/360"),DAY(F695)=31)," ",IF(AND('депозитный калькулятор'!$G$7="факт/факт",MOD(YEAR(F695),4)=0),G695*'депозитный калькулятор'!$D$11/366,G695*'депозитный калькулятор'!$G$8))))</f>
        <v xml:space="preserve"> </v>
      </c>
      <c r="I695" s="134" t="str">
        <f ca="1">IF(F695=" "," ",IF('депозитный калькулятор'!$G$10="ежедневное",H695,IF(AND('депозитный калькулятор'!$G$10="еженедельное",WEEKDAY(F695,2)=7),SUM(OFFSET(H695,-6,0):H695),IF(AND('депозитный калькулятор'!$G$10="еженедельное",F695='депозитный калькулятор'!$D$8),SUM($H$23:H695)-SUM($I$23:I694),IF(AND('депозитный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недели",WEEKDAY(F695,2)=7),MIN(OFFSET(H695,-6,0):H695)*(COUNTIF(OFFSET(H695,-6,0):H695,"&gt;0")+SUMIF(OFFSET(A695,-WEEKDAY(F695,2),0):A695,"=2",OFFSET(A695,-WEEKDAY(F695,2),0):A695)),IF(AND('депозитный калькулятор'!$G$10="еженедельное, на минимальную сумму зафиксированную в течение недели",F695='депозитный калькулятор'!$D$8,WEEKDAY(F695,2)&lt;&gt;7),MIN(OFFSET(H695,-WEEKDAY(F695,2),0):H695)*(COUNTIF(OFFSET(H695,-WEEKDAY(F695,2)+1,0):H695,"&gt;0")+SUM(OFFSET(A695,-WEEKDAY(F695,2),0):A695)),IF(AND('депозитный калькулятор'!$G$10="ежемесячное (в конце месяца)",F695='депозитный калькулятор'!$D$8,EOMONTH(F695,0)&lt;&gt;F695),IF('депозитный калькулятор'!$F$1=1,$H$24,SUM($H$23:H695)-SUM($I$23:I694)),IF(AND('депозитный калькулятор'!$G$10="ежемесячное (в конце месяца)",EOMONTH(F695,0)=F695),SUM($H$23:H695)-SUM($I$23:I694),IF(AND('депозитный калькулятор'!$G$10="ежемесячное (по дням открытия вклада)",F695='депозитный калькулятор'!$D$8,DAY('депозитный калькулятор'!$D$7)&lt;&gt;DAY(F695)),IF('депозитный калькулятор'!$F$1=1,$H$24,SUM($H$23:H695)-SUM($I$23:I694)),IF(AND('депозитный калькулятор'!$G$10="ежемесячное (по дням открытия вклада)",DAY('депозитный калькулятор'!$D$7)=DAY(F695)),SUM($H$23:H695)-SUM($I$23:I694),IF(AND('депозитный калькулятор'!$G$10="ежемесячное, на минимальную сумму зафиксированную в течение месяца",F695='депозитный калькулятор'!$D$8,EOMONTH(F695,0)&lt;&gt;F695),IF('депозитный калькулятор'!$F$1=1,$H$24,IF(AND(OR('депозитный калькулятор'!$G$7="30/365",'депозитный калькулятор'!$G$7="30/360"),DAY(F695)=31),0,MIN(OFFSET(H695,-E695+1,0):H695)*(E695+SUMIF(OFFSET(A695,-E695+1,0):A695,"=2",OFFSET(A695,-E695+1,0):A695)))),IF(AND('депозитный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калькулятор'!$G$7="30/360"),DAY(EOMONTH(F695,0))=31),EOMONTH(F695,0)-1=F695,EOMONTH(F695,0)=F695)),IF(IF(AND(OR('депозитный калькулятор'!$G$7="30/365",'депозитный калькулятор'!$G$7="30/360"),DAY(EOMONTH($F$23,0))=31),F695=EOMONTH($F$23,0)-1,F695=EOMONTH($F$23,0)),MIN(OFFSET(H695,-(DAY(F695)-DAY($F$23)),0):H695)*E695,MIN(OFFSET(H695,-(DAY(F695)-1),0):H695)*IF(AND(OR('депозитный калькулятор'!$G$7="30/365",'депозитный калькулятор'!$G$7="30/360"),DAY(F695)&lt;30),30,DAY(F695))),IF(AND('депозитный калькулятор'!$G$10="ежемесячное, на средний остаток в течение месяца, при условии что остаток больше чем ограничение",F695='депозитный калькулятор'!$D$8,EOMONTH(F695,0)&lt;&gt;F695),IF('депозитный калькулятор'!$F$1=1,$H$24,SUM(OFFSET(Q695,-E695+1,0):Q695)),IF(AND('депозитный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калькулятор'!$G$7="30/360"),DAY(EOMONTH(F695,0))=31),EOMONTH(F695,0)-1=F695,EOMONTH(F695,0)=F695)),IF(IF(AND(OR('депозитный калькулятор'!$G$7="30/365",'депозитный калькулятор'!$G$7="30/360"),DAY(EOMONTH($F$24,0))=31),F695=EOMONTH($F$24,0)-1,F695=EOMONTH($F$24,0)),SUM(OFFSET(Q695,-E695+1,0):Q695),SUM(OFFSET(Q695,-E695+1,0):Q695)),IF('депозитный калькулятор'!$G$10="ежеквартальное",IF(F695&gt;'депозитный калькулятор'!$D$8," ",IF(AND(EOMONTH(F695,0)=F695,OR(MONTH(F695)=3,MONTH(F695)=6,MONTH(F695)=9,MONTH(F695)=12)),IF(EDATE(F695,-3)&lt;'депозитный калькулятор'!$D$7,SUM($H$23:H695),IF(MOD(YEAR(F695),4)=0,IF(AND(EOMONTH(F695,0)=F695,OR(MONTH(F695)=3,MONTH(F695)=6)),SUM(OFFSET(H695,-90,0):H695),IF(AND(EOMONTH(F695,0)=F695,OR(MONTH(F695)=9,MONTH(F695)=12)),SUM(OFFSET(H695,-91,0):H695))),IF(AND(EOMONTH(F695,0)=F695,MONTH(F695)=3),SUM(OFFSET(H695,-89,0):H695),IF(AND(EOMONTH(F695,0)=F695,MONTH(F695)=6),SUM(OFFSET(H695,-90,0):H695),IF(AND(EOMONTH(F695,0)=F695,OR(MONTH(F695)=9,MONTH(F695)=12)),SUM(OFFSET(H695,-91,0):H695)))))),IF(F695='депозитный калькулятор'!$D$8,SUM($H$23:H695)-SUM($I$23:I694),0))),IF('депозитный калькулятор'!$G$10="ежегодное",IF(F695&gt;'депозитный калькулятор'!$D$8," ",IF(F695='депозитный калькулятор'!$D$8,SUM($H$23:H695)-SUM($I$23:I694),IF(AND(EOMONTH(F695,0)=F695,MONTH(F695)=12),IF(MOD(YEAR(F694),4)=0,IF(F695-'депозитный калькулятор'!$D$7&lt;366,SUM($H$23:H695),SUM(OFFSET(H695,-365,0):H695)),IF(F695-'депозитный калькулятор'!$D$7&lt;365,SUM($H$23:H695),SUM(OFFSET(H695,-364,0):H695))),0))),IF(AND('депозитный калькулятор'!$G$10="в конце срока",'депозитный калькулятор'!$D$8=F695),SUM($H$23:H695),0))))))))))))))))))</f>
        <v xml:space="preserve"> </v>
      </c>
      <c r="J695" s="59" t="str">
        <f>IF(F695&gt;'депозитный калькулятор'!$D$8," ",IF('депозитный калькулятор'!$G$16="нет",0,IF(AND('депозитный калькулятор'!$G$17="разовая (в конце срока)",F695='депозитный калькулятор'!$D$8),'депозитный калькулятор'!$G$18,IF(AND('депозитный калькулятор'!$G$17="ежемесячная",EOMONTH(F694,0)=F694),'депозитный калькулятор'!$G$18,IF(AND('депозитный калькулятор'!$G$17="ежегодная",DAY(F694)=31,MONTH(F694)=12),'депозитный калькулятор'!$G$18,IF(AND('депозитный калькулятор'!$G$17="ежемесячная в зависимости от остатка",EOMONTH(F694,0)=F694,P694&gt;0),'депозитный калькулятор'!$G$18,IF(AND('депозитный калькулятор'!$G$17="ежегодная в зависимости от остатка",DAY(F694)=31,MONTH(F694)=12,P694&gt;0),'депозитный калькулятор'!$G$18,0)))))))</f>
        <v xml:space="preserve"> </v>
      </c>
      <c r="K695" s="135" t="str">
        <f>IF($F695=" "," ",IFERROR(VLOOKUP($F695,'депозитный калькулятор'!$B$26:$F$70,2,0),0))</f>
        <v xml:space="preserve"> </v>
      </c>
      <c r="L695" s="135" t="str">
        <f>IF($F695=" "," ",IFERROR(VLOOKUP($F695,'депозитный калькулятор'!$B$26:$F$70,3,0),0))</f>
        <v xml:space="preserve"> </v>
      </c>
      <c r="M695" s="135" t="str">
        <f>IF($F695=" "," ",IFERROR(VLOOKUP($F695,'депозитный калькулятор'!$B$26:$F$70,4,0),0))</f>
        <v xml:space="preserve"> </v>
      </c>
      <c r="N695" s="135" t="str">
        <f>IF($F695=" "," ",IFERROR(VLOOKUP($F695,'депозитный калькулятор'!$B$26:$F$70,5,0),0))</f>
        <v xml:space="preserve"> </v>
      </c>
      <c r="O695" s="146" t="str">
        <f>IF(F695&gt;'депозитный калькулятор'!$D$8," ",IF(F695='депозитный калькулятор'!$D$8,IF(AND($F$24='депозитный калькулятор'!$D$8,'депозитный калькулятор'!$G$13="нет"),-G695-IF(I695=" ",0,I695)-IF(AND(OR('депозитный калькулятор'!$G$7="30/365",'депозитный калькулятор'!$G$7="30/360"),'депозитный калькулятор'!$G$10="в начале срока"),I694,0)-L695+M695-N695,-G695-IF(I695=" ",0,I695)-L695+M695-N695),IF('депозитный калькулятор'!$G$13="есть",M695-N695+IF('депозитный калькулятор'!$G$14="есть",0,-L695),-IF(I695=" ",0,I695)-IF(AND(OR('депозитный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срока"),I694,0)+M695-N695+IF('депозитный калькулятор'!$G$14="есть",0,-L695))))</f>
        <v xml:space="preserve"> </v>
      </c>
      <c r="P695" s="147" t="str">
        <f>IF(F695&gt;'депозитный калькулятор'!$D$8," ",IF(EOMONTH(F694,0)=F694,0,IF(G695&gt;='депозитный калькулятор'!$G$19,P694,P694+1)))</f>
        <v xml:space="preserve"> </v>
      </c>
      <c r="Q695" s="138" t="str">
        <f>IF(F695=" "," ",IF(AND(OR('депозитный калькулятор'!$G$7="30/365",'депозитный калькулятор'!$G$7="30/360"),AND(MONTH(F695)=2,EOMONTH(F695,0)=F695)),IF(DAY(F695)=28,3,2),1)*IF(G695&gt;='депозитный калькулятор'!$G$11,IF(AND('депозитный калькулятор'!$G$7="факт/факт",MOD(YEAR(F695),4)=0),G695*'депозитный калькулятор'!$D$11/366,G695*'депозитный калькулятор'!$G$8),0))</f>
        <v xml:space="preserve"> </v>
      </c>
      <c r="R695" s="158"/>
      <c r="S695" s="62" t="str">
        <f t="shared" ca="1" si="52"/>
        <v xml:space="preserve"> </v>
      </c>
      <c r="T695" s="149" t="str">
        <f ca="1">IF(S695=" "," ",IF('депозитный калькулятор'!$G$7="30/360",DAYS360(U694,IF(DAY(U695)=31,U695-1,U695))+IF(AND(MONTH(U695)=2,U695=EOMONTH(U695,0)),30-DAY(EOMONTH(U695,0)))+T694,VLOOKUP(S695,$C$22:$F$1023,2,0)))</f>
        <v xml:space="preserve"> </v>
      </c>
      <c r="U695" s="64" t="str">
        <f t="shared" ca="1" si="50"/>
        <v xml:space="preserve"> </v>
      </c>
      <c r="V695" s="150" t="str">
        <f t="shared" ca="1" si="53"/>
        <v xml:space="preserve"> </v>
      </c>
      <c r="W695" s="62" t="str">
        <f t="shared" ca="1" si="54"/>
        <v xml:space="preserve"> </v>
      </c>
      <c r="X695" s="141" t="str">
        <f ca="1">IF(S695=" "," ",IFERROR(VLOOKUP(U695,$F$23:$N$1023,7)+VLOOKUP(U695,$F$23:$N$1023,9)+IF(AND('депозитный калькулятор'!$G$13="нет",U695&lt;&gt;'депозитный калькулятор'!$D$8),VLOOKUP(U695,$F$23:$N$1023,4),0),0)+IF(U695='депозитный калькулятор'!$D$8,VLOOKUP(U695,$F$23:$N$1023,2)+VLOOKUP(U695,$F$23:$N$1023,4),0))</f>
        <v xml:space="preserve"> </v>
      </c>
      <c r="Y695" s="142" t="str">
        <f ca="1">IF(S695=" "," ",W695/(1+'депозитный калькулятор'!$K$8)^(T695/IF('депозитный калькулятор'!$G$7="30/360",360,365)))</f>
        <v xml:space="preserve"> </v>
      </c>
      <c r="Z695" s="142" t="str">
        <f ca="1">IF(S695=" "," ",X695/(1+'депозитный калькулятор'!$K$8)^(T695/IF('депозитный калькулятор'!$G$7="30/360",360,365)))</f>
        <v xml:space="preserve"> </v>
      </c>
      <c r="AA695" s="151"/>
      <c r="AB695" s="151"/>
      <c r="AC695" s="155"/>
      <c r="AD695" s="155"/>
    </row>
    <row r="696" spans="1:30" s="2" customFormat="1" ht="15.5" x14ac:dyDescent="0.35">
      <c r="A696" s="41" t="str">
        <f>IF(F696=" "," ",IF(OR('депозитный калькулятор'!$G$7="30/365",'депозитный калькулятор'!$G$7="30/360"),IF(AND(MONTH(F696)=2,DAY(F696)=DAY(EOMONTH(F696,0))),30-DAY(EOMONTH(F696,0)),IF(DAY(F696)=31,1," "))," "))</f>
        <v xml:space="preserve"> </v>
      </c>
      <c r="B696" s="130" t="str">
        <f t="shared" si="51"/>
        <v xml:space="preserve"> </v>
      </c>
      <c r="C696" s="130" t="str">
        <f>IF(OR(B696=0,B696=" ")," ",SUM($B$23:B696))</f>
        <v xml:space="preserve"> </v>
      </c>
      <c r="D696" s="62" t="str">
        <f>IF(D695=" "," ",IF(OR(F695='депозитный калькулятор'!$D$8,F695=" ")," ",D695+1))</f>
        <v xml:space="preserve"> </v>
      </c>
      <c r="E696" s="130" t="str">
        <f>IF(OR(F695='депозитный калькулятор'!$D$8,F695=" ")," ",IF(EOMONTH(F695,0)=F695,1,E695+1))</f>
        <v xml:space="preserve"> </v>
      </c>
      <c r="F696" s="64" t="str">
        <f>IF(F695=" "," ",IF(F695='депозитный калькулятор'!$D$8," ",F695+1))</f>
        <v xml:space="preserve"> </v>
      </c>
      <c r="G696" s="145" t="str">
        <f xml:space="preserve"> IF(F696&gt;'депозитный калькулятор'!$D$8," ",IF('депозитный калькулятор'!$G$13="есть",IF('депозитный калькулятор'!$G$14="есть",G695+IF(I695=" ",0,I695)-J696-K696+L696+M696-N696,G695+IF(I695=" ",0,I695)-J696-K696+M696-N696),IF('депозитный калькулятор'!$G$14="есть",G695-J696-K696+L696+M696-N696,G695-J696-K696+M696-N696)))</f>
        <v xml:space="preserve"> </v>
      </c>
      <c r="H696" s="133" t="str">
        <f>IF(F696&gt;'депозитный калькулятор'!$D$8," ",IF(AND(OR('депозитный калькулятор'!$G$7="30/365",'депозитный калькулятор'!$G$7="30/360"),AND(MONTH(F696)=2,EOMONTH(F696,0)=F696)),IF(DAY(F696)=28,3*G696*'депозитный калькулятор'!$G$8,2*G696*'депозитный калькулятор'!$G$8),IF(AND(OR('депозитный калькулятор'!$G$7="30/365",'депозитный калькулятор'!$G$7="30/360"),DAY(F696)=31)," ",IF(AND('депозитный калькулятор'!$G$7="факт/факт",MOD(YEAR(F696),4)=0),G696*'депозитный калькулятор'!$D$11/366,G696*'депозитный калькулятор'!$G$8))))</f>
        <v xml:space="preserve"> </v>
      </c>
      <c r="I696" s="134" t="str">
        <f ca="1">IF(F696=" "," ",IF('депозитный калькулятор'!$G$10="ежедневное",H696,IF(AND('депозитный калькулятор'!$G$10="еженедельное",WEEKDAY(F696,2)=7),SUM(OFFSET(H696,-6,0):H696),IF(AND('депозитный калькулятор'!$G$10="еженедельное",F696='депозитный калькулятор'!$D$8),SUM($H$23:H696)-SUM($I$23:I695),IF(AND('депозитный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недели",WEEKDAY(F696,2)=7),MIN(OFFSET(H696,-6,0):H696)*(COUNTIF(OFFSET(H696,-6,0):H696,"&gt;0")+SUMIF(OFFSET(A696,-WEEKDAY(F696,2),0):A696,"=2",OFFSET(A696,-WEEKDAY(F696,2),0):A696)),IF(AND('депозитный калькулятор'!$G$10="еженедельное, на минимальную сумму зафиксированную в течение недели",F696='депозитный калькулятор'!$D$8,WEEKDAY(F696,2)&lt;&gt;7),MIN(OFFSET(H696,-WEEKDAY(F696,2),0):H696)*(COUNTIF(OFFSET(H696,-WEEKDAY(F696,2)+1,0):H696,"&gt;0")+SUM(OFFSET(A696,-WEEKDAY(F696,2),0):A696)),IF(AND('депозитный калькулятор'!$G$10="ежемесячное (в конце месяца)",F696='депозитный калькулятор'!$D$8,EOMONTH(F696,0)&lt;&gt;F696),IF('депозитный калькулятор'!$F$1=1,$H$24,SUM($H$23:H696)-SUM($I$23:I695)),IF(AND('депозитный калькулятор'!$G$10="ежемесячное (в конце месяца)",EOMONTH(F696,0)=F696),SUM($H$23:H696)-SUM($I$23:I695),IF(AND('депозитный калькулятор'!$G$10="ежемесячное (по дням открытия вклада)",F696='депозитный калькулятор'!$D$8,DAY('депозитный калькулятор'!$D$7)&lt;&gt;DAY(F696)),IF('депозитный калькулятор'!$F$1=1,$H$24,SUM($H$23:H696)-SUM($I$23:I695)),IF(AND('депозитный калькулятор'!$G$10="ежемесячное (по дням открытия вклада)",DAY('депозитный калькулятор'!$D$7)=DAY(F696)),SUM($H$23:H696)-SUM($I$23:I695),IF(AND('депозитный калькулятор'!$G$10="ежемесячное, на минимальную сумму зафиксированную в течение месяца",F696='депозитный калькулятор'!$D$8,EOMONTH(F696,0)&lt;&gt;F696),IF('депозитный калькулятор'!$F$1=1,$H$24,IF(AND(OR('депозитный калькулятор'!$G$7="30/365",'депозитный калькулятор'!$G$7="30/360"),DAY(F696)=31),0,MIN(OFFSET(H696,-E696+1,0):H696)*(E696+SUMIF(OFFSET(A696,-E696+1,0):A696,"=2",OFFSET(A696,-E696+1,0):A696)))),IF(AND('депозитный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калькулятор'!$G$7="30/360"),DAY(EOMONTH(F696,0))=31),EOMONTH(F696,0)-1=F696,EOMONTH(F696,0)=F696)),IF(IF(AND(OR('депозитный калькулятор'!$G$7="30/365",'депозитный калькулятор'!$G$7="30/360"),DAY(EOMONTH($F$23,0))=31),F696=EOMONTH($F$23,0)-1,F696=EOMONTH($F$23,0)),MIN(OFFSET(H696,-(DAY(F696)-DAY($F$23)),0):H696)*E696,MIN(OFFSET(H696,-(DAY(F696)-1),0):H696)*IF(AND(OR('депозитный калькулятор'!$G$7="30/365",'депозитный калькулятор'!$G$7="30/360"),DAY(F696)&lt;30),30,DAY(F696))),IF(AND('депозитный калькулятор'!$G$10="ежемесячное, на средний остаток в течение месяца, при условии что остаток больше чем ограничение",F696='депозитный калькулятор'!$D$8,EOMONTH(F696,0)&lt;&gt;F696),IF('депозитный калькулятор'!$F$1=1,$H$24,SUM(OFFSET(Q696,-E696+1,0):Q696)),IF(AND('депозитный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калькулятор'!$G$7="30/360"),DAY(EOMONTH(F696,0))=31),EOMONTH(F696,0)-1=F696,EOMONTH(F696,0)=F696)),IF(IF(AND(OR('депозитный калькулятор'!$G$7="30/365",'депозитный калькулятор'!$G$7="30/360"),DAY(EOMONTH($F$24,0))=31),F696=EOMONTH($F$24,0)-1,F696=EOMONTH($F$24,0)),SUM(OFFSET(Q696,-E696+1,0):Q696),SUM(OFFSET(Q696,-E696+1,0):Q696)),IF('депозитный калькулятор'!$G$10="ежеквартальное",IF(F696&gt;'депозитный калькулятор'!$D$8," ",IF(AND(EOMONTH(F696,0)=F696,OR(MONTH(F696)=3,MONTH(F696)=6,MONTH(F696)=9,MONTH(F696)=12)),IF(EDATE(F696,-3)&lt;'депозитный калькулятор'!$D$7,SUM($H$23:H696),IF(MOD(YEAR(F696),4)=0,IF(AND(EOMONTH(F696,0)=F696,OR(MONTH(F696)=3,MONTH(F696)=6)),SUM(OFFSET(H696,-90,0):H696),IF(AND(EOMONTH(F696,0)=F696,OR(MONTH(F696)=9,MONTH(F696)=12)),SUM(OFFSET(H696,-91,0):H696))),IF(AND(EOMONTH(F696,0)=F696,MONTH(F696)=3),SUM(OFFSET(H696,-89,0):H696),IF(AND(EOMONTH(F696,0)=F696,MONTH(F696)=6),SUM(OFFSET(H696,-90,0):H696),IF(AND(EOMONTH(F696,0)=F696,OR(MONTH(F696)=9,MONTH(F696)=12)),SUM(OFFSET(H696,-91,0):H696)))))),IF(F696='депозитный калькулятор'!$D$8,SUM($H$23:H696)-SUM($I$23:I695),0))),IF('депозитный калькулятор'!$G$10="ежегодное",IF(F696&gt;'депозитный калькулятор'!$D$8," ",IF(F696='депозитный калькулятор'!$D$8,SUM($H$23:H696)-SUM($I$23:I695),IF(AND(EOMONTH(F696,0)=F696,MONTH(F696)=12),IF(MOD(YEAR(F695),4)=0,IF(F696-'депозитный калькулятор'!$D$7&lt;366,SUM($H$23:H696),SUM(OFFSET(H696,-365,0):H696)),IF(F696-'депозитный калькулятор'!$D$7&lt;365,SUM($H$23:H696),SUM(OFFSET(H696,-364,0):H696))),0))),IF(AND('депозитный калькулятор'!$G$10="в конце срока",'депозитный калькулятор'!$D$8=F696),SUM($H$23:H696),0))))))))))))))))))</f>
        <v xml:space="preserve"> </v>
      </c>
      <c r="J696" s="59" t="str">
        <f>IF(F696&gt;'депозитный калькулятор'!$D$8," ",IF('депозитный калькулятор'!$G$16="нет",0,IF(AND('депозитный калькулятор'!$G$17="разовая (в конце срока)",F696='депозитный калькулятор'!$D$8),'депозитный калькулятор'!$G$18,IF(AND('депозитный калькулятор'!$G$17="ежемесячная",EOMONTH(F695,0)=F695),'депозитный калькулятор'!$G$18,IF(AND('депозитный калькулятор'!$G$17="ежегодная",DAY(F695)=31,MONTH(F695)=12),'депозитный калькулятор'!$G$18,IF(AND('депозитный калькулятор'!$G$17="ежемесячная в зависимости от остатка",EOMONTH(F695,0)=F695,P695&gt;0),'депозитный калькулятор'!$G$18,IF(AND('депозитный калькулятор'!$G$17="ежегодная в зависимости от остатка",DAY(F695)=31,MONTH(F695)=12,P695&gt;0),'депозитный калькулятор'!$G$18,0)))))))</f>
        <v xml:space="preserve"> </v>
      </c>
      <c r="K696" s="135" t="str">
        <f>IF($F696=" "," ",IFERROR(VLOOKUP($F696,'депозитный калькулятор'!$B$26:$F$70,2,0),0))</f>
        <v xml:space="preserve"> </v>
      </c>
      <c r="L696" s="135" t="str">
        <f>IF($F696=" "," ",IFERROR(VLOOKUP($F696,'депозитный калькулятор'!$B$26:$F$70,3,0),0))</f>
        <v xml:space="preserve"> </v>
      </c>
      <c r="M696" s="135" t="str">
        <f>IF($F696=" "," ",IFERROR(VLOOKUP($F696,'депозитный калькулятор'!$B$26:$F$70,4,0),0))</f>
        <v xml:space="preserve"> </v>
      </c>
      <c r="N696" s="135" t="str">
        <f>IF($F696=" "," ",IFERROR(VLOOKUP($F696,'депозитный калькулятор'!$B$26:$F$70,5,0),0))</f>
        <v xml:space="preserve"> </v>
      </c>
      <c r="O696" s="146" t="str">
        <f>IF(F696&gt;'депозитный калькулятор'!$D$8," ",IF(F696='депозитный калькулятор'!$D$8,IF(AND($F$24='депозитный калькулятор'!$D$8,'депозитный калькулятор'!$G$13="нет"),-G696-IF(I696=" ",0,I696)-IF(AND(OR('депозитный калькулятор'!$G$7="30/365",'депозитный калькулятор'!$G$7="30/360"),'депозитный калькулятор'!$G$10="в начале срока"),I695,0)-L696+M696-N696,-G696-IF(I696=" ",0,I696)-L696+M696-N696),IF('депозитный калькулятор'!$G$13="есть",M696-N696+IF('депозитный калькулятор'!$G$14="есть",0,-L696),-IF(I696=" ",0,I696)-IF(AND(OR('депозитный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срока"),I695,0)+M696-N696+IF('депозитный калькулятор'!$G$14="есть",0,-L696))))</f>
        <v xml:space="preserve"> </v>
      </c>
      <c r="P696" s="147" t="str">
        <f>IF(F696&gt;'депозитный калькулятор'!$D$8," ",IF(EOMONTH(F695,0)=F695,0,IF(G696&gt;='депозитный калькулятор'!$G$19,P695,P695+1)))</f>
        <v xml:space="preserve"> </v>
      </c>
      <c r="Q696" s="138" t="str">
        <f>IF(F696=" "," ",IF(AND(OR('депозитный калькулятор'!$G$7="30/365",'депозитный калькулятор'!$G$7="30/360"),AND(MONTH(F696)=2,EOMONTH(F696,0)=F696)),IF(DAY(F696)=28,3,2),1)*IF(G696&gt;='депозитный калькулятор'!$G$11,IF(AND('депозитный калькулятор'!$G$7="факт/факт",MOD(YEAR(F696),4)=0),G696*'депозитный калькулятор'!$D$11/366,G696*'депозитный калькулятор'!$G$8),0))</f>
        <v xml:space="preserve"> </v>
      </c>
      <c r="R696" s="158"/>
      <c r="S696" s="62" t="str">
        <f t="shared" ca="1" si="52"/>
        <v xml:space="preserve"> </v>
      </c>
      <c r="T696" s="149" t="str">
        <f ca="1">IF(S696=" "," ",IF('депозитный калькулятор'!$G$7="30/360",DAYS360(U695,IF(DAY(U696)=31,U696-1,U696))+IF(AND(MONTH(U696)=2,U696=EOMONTH(U696,0)),30-DAY(EOMONTH(U696,0)))+T695,VLOOKUP(S696,$C$22:$F$1023,2,0)))</f>
        <v xml:space="preserve"> </v>
      </c>
      <c r="U696" s="64" t="str">
        <f t="shared" ca="1" si="50"/>
        <v xml:space="preserve"> </v>
      </c>
      <c r="V696" s="150" t="str">
        <f t="shared" ca="1" si="53"/>
        <v xml:space="preserve"> </v>
      </c>
      <c r="W696" s="62" t="str">
        <f t="shared" ca="1" si="54"/>
        <v xml:space="preserve"> </v>
      </c>
      <c r="X696" s="141" t="str">
        <f ca="1">IF(S696=" "," ",IFERROR(VLOOKUP(U696,$F$23:$N$1023,7)+VLOOKUP(U696,$F$23:$N$1023,9)+IF(AND('депозитный калькулятор'!$G$13="нет",U696&lt;&gt;'депозитный калькулятор'!$D$8),VLOOKUP(U696,$F$23:$N$1023,4),0),0)+IF(U696='депозитный калькулятор'!$D$8,VLOOKUP(U696,$F$23:$N$1023,2)+VLOOKUP(U696,$F$23:$N$1023,4),0))</f>
        <v xml:space="preserve"> </v>
      </c>
      <c r="Y696" s="142" t="str">
        <f ca="1">IF(S696=" "," ",W696/(1+'депозитный калькулятор'!$K$8)^(T696/IF('депозитный калькулятор'!$G$7="30/360",360,365)))</f>
        <v xml:space="preserve"> </v>
      </c>
      <c r="Z696" s="142" t="str">
        <f ca="1">IF(S696=" "," ",X696/(1+'депозитный калькулятор'!$K$8)^(T696/IF('депозитный калькулятор'!$G$7="30/360",360,365)))</f>
        <v xml:space="preserve"> </v>
      </c>
      <c r="AA696" s="151"/>
      <c r="AB696" s="151"/>
      <c r="AC696" s="155"/>
      <c r="AD696" s="155"/>
    </row>
    <row r="697" spans="1:30" s="2" customFormat="1" ht="15.5" x14ac:dyDescent="0.35">
      <c r="A697" s="41" t="str">
        <f>IF(F697=" "," ",IF(OR('депозитный калькулятор'!$G$7="30/365",'депозитный калькулятор'!$G$7="30/360"),IF(AND(MONTH(F697)=2,DAY(F697)=DAY(EOMONTH(F697,0))),30-DAY(EOMONTH(F697,0)),IF(DAY(F697)=31,1," "))," "))</f>
        <v xml:space="preserve"> </v>
      </c>
      <c r="B697" s="130" t="str">
        <f t="shared" si="51"/>
        <v xml:space="preserve"> </v>
      </c>
      <c r="C697" s="130" t="str">
        <f>IF(OR(B697=0,B697=" ")," ",SUM($B$23:B697))</f>
        <v xml:space="preserve"> </v>
      </c>
      <c r="D697" s="62" t="str">
        <f>IF(D696=" "," ",IF(OR(F696='депозитный калькулятор'!$D$8,F696=" ")," ",D696+1))</f>
        <v xml:space="preserve"> </v>
      </c>
      <c r="E697" s="130" t="str">
        <f>IF(OR(F696='депозитный калькулятор'!$D$8,F696=" ")," ",IF(EOMONTH(F696,0)=F696,1,E696+1))</f>
        <v xml:space="preserve"> </v>
      </c>
      <c r="F697" s="64" t="str">
        <f>IF(F696=" "," ",IF(F696='депозитный калькулятор'!$D$8," ",F696+1))</f>
        <v xml:space="preserve"> </v>
      </c>
      <c r="G697" s="145" t="str">
        <f xml:space="preserve"> IF(F697&gt;'депозитный калькулятор'!$D$8," ",IF('депозитный калькулятор'!$G$13="есть",IF('депозитный калькулятор'!$G$14="есть",G696+IF(I696=" ",0,I696)-J697-K697+L697+M697-N697,G696+IF(I696=" ",0,I696)-J697-K697+M697-N697),IF('депозитный калькулятор'!$G$14="есть",G696-J697-K697+L697+M697-N697,G696-J697-K697+M697-N697)))</f>
        <v xml:space="preserve"> </v>
      </c>
      <c r="H697" s="133" t="str">
        <f>IF(F697&gt;'депозитный калькулятор'!$D$8," ",IF(AND(OR('депозитный калькулятор'!$G$7="30/365",'депозитный калькулятор'!$G$7="30/360"),AND(MONTH(F697)=2,EOMONTH(F697,0)=F697)),IF(DAY(F697)=28,3*G697*'депозитный калькулятор'!$G$8,2*G697*'депозитный калькулятор'!$G$8),IF(AND(OR('депозитный калькулятор'!$G$7="30/365",'депозитный калькулятор'!$G$7="30/360"),DAY(F697)=31)," ",IF(AND('депозитный калькулятор'!$G$7="факт/факт",MOD(YEAR(F697),4)=0),G697*'депозитный калькулятор'!$D$11/366,G697*'депозитный калькулятор'!$G$8))))</f>
        <v xml:space="preserve"> </v>
      </c>
      <c r="I697" s="134" t="str">
        <f ca="1">IF(F697=" "," ",IF('депозитный калькулятор'!$G$10="ежедневное",H697,IF(AND('депозитный калькулятор'!$G$10="еженедельное",WEEKDAY(F697,2)=7),SUM(OFFSET(H697,-6,0):H697),IF(AND('депозитный калькулятор'!$G$10="еженедельное",F697='депозитный калькулятор'!$D$8),SUM($H$23:H697)-SUM($I$23:I696),IF(AND('депозитный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недели",WEEKDAY(F697,2)=7),MIN(OFFSET(H697,-6,0):H697)*(COUNTIF(OFFSET(H697,-6,0):H697,"&gt;0")+SUMIF(OFFSET(A697,-WEEKDAY(F697,2),0):A697,"=2",OFFSET(A697,-WEEKDAY(F697,2),0):A697)),IF(AND('депозитный калькулятор'!$G$10="еженедельное, на минимальную сумму зафиксированную в течение недели",F697='депозитный калькулятор'!$D$8,WEEKDAY(F697,2)&lt;&gt;7),MIN(OFFSET(H697,-WEEKDAY(F697,2),0):H697)*(COUNTIF(OFFSET(H697,-WEEKDAY(F697,2)+1,0):H697,"&gt;0")+SUM(OFFSET(A697,-WEEKDAY(F697,2),0):A697)),IF(AND('депозитный калькулятор'!$G$10="ежемесячное (в конце месяца)",F697='депозитный калькулятор'!$D$8,EOMONTH(F697,0)&lt;&gt;F697),IF('депозитный калькулятор'!$F$1=1,$H$24,SUM($H$23:H697)-SUM($I$23:I696)),IF(AND('депозитный калькулятор'!$G$10="ежемесячное (в конце месяца)",EOMONTH(F697,0)=F697),SUM($H$23:H697)-SUM($I$23:I696),IF(AND('депозитный калькулятор'!$G$10="ежемесячное (по дням открытия вклада)",F697='депозитный калькулятор'!$D$8,DAY('депозитный калькулятор'!$D$7)&lt;&gt;DAY(F697)),IF('депозитный калькулятор'!$F$1=1,$H$24,SUM($H$23:H697)-SUM($I$23:I696)),IF(AND('депозитный калькулятор'!$G$10="ежемесячное (по дням открытия вклада)",DAY('депозитный калькулятор'!$D$7)=DAY(F697)),SUM($H$23:H697)-SUM($I$23:I696),IF(AND('депозитный калькулятор'!$G$10="ежемесячное, на минимальную сумму зафиксированную в течение месяца",F697='депозитный калькулятор'!$D$8,EOMONTH(F697,0)&lt;&gt;F697),IF('депозитный калькулятор'!$F$1=1,$H$24,IF(AND(OR('депозитный калькулятор'!$G$7="30/365",'депозитный калькулятор'!$G$7="30/360"),DAY(F697)=31),0,MIN(OFFSET(H697,-E697+1,0):H697)*(E697+SUMIF(OFFSET(A697,-E697+1,0):A697,"=2",OFFSET(A697,-E697+1,0):A697)))),IF(AND('депозитный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калькулятор'!$G$7="30/360"),DAY(EOMONTH(F697,0))=31),EOMONTH(F697,0)-1=F697,EOMONTH(F697,0)=F697)),IF(IF(AND(OR('депозитный калькулятор'!$G$7="30/365",'депозитный калькулятор'!$G$7="30/360"),DAY(EOMONTH($F$23,0))=31),F697=EOMONTH($F$23,0)-1,F697=EOMONTH($F$23,0)),MIN(OFFSET(H697,-(DAY(F697)-DAY($F$23)),0):H697)*E697,MIN(OFFSET(H697,-(DAY(F697)-1),0):H697)*IF(AND(OR('депозитный калькулятор'!$G$7="30/365",'депозитный калькулятор'!$G$7="30/360"),DAY(F697)&lt;30),30,DAY(F697))),IF(AND('депозитный калькулятор'!$G$10="ежемесячное, на средний остаток в течение месяца, при условии что остаток больше чем ограничение",F697='депозитный калькулятор'!$D$8,EOMONTH(F697,0)&lt;&gt;F697),IF('депозитный калькулятор'!$F$1=1,$H$24,SUM(OFFSET(Q697,-E697+1,0):Q697)),IF(AND('депозитный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калькулятор'!$G$7="30/360"),DAY(EOMONTH(F697,0))=31),EOMONTH(F697,0)-1=F697,EOMONTH(F697,0)=F697)),IF(IF(AND(OR('депозитный калькулятор'!$G$7="30/365",'депозитный калькулятор'!$G$7="30/360"),DAY(EOMONTH($F$24,0))=31),F697=EOMONTH($F$24,0)-1,F697=EOMONTH($F$24,0)),SUM(OFFSET(Q697,-E697+1,0):Q697),SUM(OFFSET(Q697,-E697+1,0):Q697)),IF('депозитный калькулятор'!$G$10="ежеквартальное",IF(F697&gt;'депозитный калькулятор'!$D$8," ",IF(AND(EOMONTH(F697,0)=F697,OR(MONTH(F697)=3,MONTH(F697)=6,MONTH(F697)=9,MONTH(F697)=12)),IF(EDATE(F697,-3)&lt;'депозитный калькулятор'!$D$7,SUM($H$23:H697),IF(MOD(YEAR(F697),4)=0,IF(AND(EOMONTH(F697,0)=F697,OR(MONTH(F697)=3,MONTH(F697)=6)),SUM(OFFSET(H697,-90,0):H697),IF(AND(EOMONTH(F697,0)=F697,OR(MONTH(F697)=9,MONTH(F697)=12)),SUM(OFFSET(H697,-91,0):H697))),IF(AND(EOMONTH(F697,0)=F697,MONTH(F697)=3),SUM(OFFSET(H697,-89,0):H697),IF(AND(EOMONTH(F697,0)=F697,MONTH(F697)=6),SUM(OFFSET(H697,-90,0):H697),IF(AND(EOMONTH(F697,0)=F697,OR(MONTH(F697)=9,MONTH(F697)=12)),SUM(OFFSET(H697,-91,0):H697)))))),IF(F697='депозитный калькулятор'!$D$8,SUM($H$23:H697)-SUM($I$23:I696),0))),IF('депозитный калькулятор'!$G$10="ежегодное",IF(F697&gt;'депозитный калькулятор'!$D$8," ",IF(F697='депозитный калькулятор'!$D$8,SUM($H$23:H697)-SUM($I$23:I696),IF(AND(EOMONTH(F697,0)=F697,MONTH(F697)=12),IF(MOD(YEAR(F696),4)=0,IF(F697-'депозитный калькулятор'!$D$7&lt;366,SUM($H$23:H697),SUM(OFFSET(H697,-365,0):H697)),IF(F697-'депозитный калькулятор'!$D$7&lt;365,SUM($H$23:H697),SUM(OFFSET(H697,-364,0):H697))),0))),IF(AND('депозитный калькулятор'!$G$10="в конце срока",'депозитный калькулятор'!$D$8=F697),SUM($H$23:H697),0))))))))))))))))))</f>
        <v xml:space="preserve"> </v>
      </c>
      <c r="J697" s="59" t="str">
        <f>IF(F697&gt;'депозитный калькулятор'!$D$8," ",IF('депозитный калькулятор'!$G$16="нет",0,IF(AND('депозитный калькулятор'!$G$17="разовая (в конце срока)",F697='депозитный калькулятор'!$D$8),'депозитный калькулятор'!$G$18,IF(AND('депозитный калькулятор'!$G$17="ежемесячная",EOMONTH(F696,0)=F696),'депозитный калькулятор'!$G$18,IF(AND('депозитный калькулятор'!$G$17="ежегодная",DAY(F696)=31,MONTH(F696)=12),'депозитный калькулятор'!$G$18,IF(AND('депозитный калькулятор'!$G$17="ежемесячная в зависимости от остатка",EOMONTH(F696,0)=F696,P696&gt;0),'депозитный калькулятор'!$G$18,IF(AND('депозитный калькулятор'!$G$17="ежегодная в зависимости от остатка",DAY(F696)=31,MONTH(F696)=12,P696&gt;0),'депозитный калькулятор'!$G$18,0)))))))</f>
        <v xml:space="preserve"> </v>
      </c>
      <c r="K697" s="135" t="str">
        <f>IF($F697=" "," ",IFERROR(VLOOKUP($F697,'депозитный калькулятор'!$B$26:$F$70,2,0),0))</f>
        <v xml:space="preserve"> </v>
      </c>
      <c r="L697" s="135" t="str">
        <f>IF($F697=" "," ",IFERROR(VLOOKUP($F697,'депозитный калькулятор'!$B$26:$F$70,3,0),0))</f>
        <v xml:space="preserve"> </v>
      </c>
      <c r="M697" s="135" t="str">
        <f>IF($F697=" "," ",IFERROR(VLOOKUP($F697,'депозитный калькулятор'!$B$26:$F$70,4,0),0))</f>
        <v xml:space="preserve"> </v>
      </c>
      <c r="N697" s="135" t="str">
        <f>IF($F697=" "," ",IFERROR(VLOOKUP($F697,'депозитный калькулятор'!$B$26:$F$70,5,0),0))</f>
        <v xml:space="preserve"> </v>
      </c>
      <c r="O697" s="146" t="str">
        <f>IF(F697&gt;'депозитный калькулятор'!$D$8," ",IF(F697='депозитный калькулятор'!$D$8,IF(AND($F$24='депозитный калькулятор'!$D$8,'депозитный калькулятор'!$G$13="нет"),-G697-IF(I697=" ",0,I697)-IF(AND(OR('депозитный калькулятор'!$G$7="30/365",'депозитный калькулятор'!$G$7="30/360"),'депозитный калькулятор'!$G$10="в начале срока"),I696,0)-L697+M697-N697,-G697-IF(I697=" ",0,I697)-L697+M697-N697),IF('депозитный калькулятор'!$G$13="есть",M697-N697+IF('депозитный калькулятор'!$G$14="есть",0,-L697),-IF(I697=" ",0,I697)-IF(AND(OR('депозитный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срока"),I696,0)+M697-N697+IF('депозитный калькулятор'!$G$14="есть",0,-L697))))</f>
        <v xml:space="preserve"> </v>
      </c>
      <c r="P697" s="147" t="str">
        <f>IF(F697&gt;'депозитный калькулятор'!$D$8," ",IF(EOMONTH(F696,0)=F696,0,IF(G697&gt;='депозитный калькулятор'!$G$19,P696,P696+1)))</f>
        <v xml:space="preserve"> </v>
      </c>
      <c r="Q697" s="138" t="str">
        <f>IF(F697=" "," ",IF(AND(OR('депозитный калькулятор'!$G$7="30/365",'депозитный калькулятор'!$G$7="30/360"),AND(MONTH(F697)=2,EOMONTH(F697,0)=F697)),IF(DAY(F697)=28,3,2),1)*IF(G697&gt;='депозитный калькулятор'!$G$11,IF(AND('депозитный калькулятор'!$G$7="факт/факт",MOD(YEAR(F697),4)=0),G697*'депозитный калькулятор'!$D$11/366,G697*'депозитный калькулятор'!$G$8),0))</f>
        <v xml:space="preserve"> </v>
      </c>
      <c r="R697" s="158"/>
      <c r="S697" s="62" t="str">
        <f t="shared" ca="1" si="52"/>
        <v xml:space="preserve"> </v>
      </c>
      <c r="T697" s="149" t="str">
        <f ca="1">IF(S697=" "," ",IF('депозитный калькулятор'!$G$7="30/360",DAYS360(U696,IF(DAY(U697)=31,U697-1,U697))+IF(AND(MONTH(U697)=2,U697=EOMONTH(U697,0)),30-DAY(EOMONTH(U697,0)))+T696,VLOOKUP(S697,$C$22:$F$1023,2,0)))</f>
        <v xml:space="preserve"> </v>
      </c>
      <c r="U697" s="64" t="str">
        <f t="shared" ca="1" si="50"/>
        <v xml:space="preserve"> </v>
      </c>
      <c r="V697" s="150" t="str">
        <f t="shared" ca="1" si="53"/>
        <v xml:space="preserve"> </v>
      </c>
      <c r="W697" s="62" t="str">
        <f t="shared" ca="1" si="54"/>
        <v xml:space="preserve"> </v>
      </c>
      <c r="X697" s="141" t="str">
        <f ca="1">IF(S697=" "," ",IFERROR(VLOOKUP(U697,$F$23:$N$1023,7)+VLOOKUP(U697,$F$23:$N$1023,9)+IF(AND('депозитный калькулятор'!$G$13="нет",U697&lt;&gt;'депозитный калькулятор'!$D$8),VLOOKUP(U697,$F$23:$N$1023,4),0),0)+IF(U697='депозитный калькулятор'!$D$8,VLOOKUP(U697,$F$23:$N$1023,2)+VLOOKUP(U697,$F$23:$N$1023,4),0))</f>
        <v xml:space="preserve"> </v>
      </c>
      <c r="Y697" s="142" t="str">
        <f ca="1">IF(S697=" "," ",W697/(1+'депозитный калькулятор'!$K$8)^(T697/IF('депозитный калькулятор'!$G$7="30/360",360,365)))</f>
        <v xml:space="preserve"> </v>
      </c>
      <c r="Z697" s="142" t="str">
        <f ca="1">IF(S697=" "," ",X697/(1+'депозитный калькулятор'!$K$8)^(T697/IF('депозитный калькулятор'!$G$7="30/360",360,365)))</f>
        <v xml:space="preserve"> </v>
      </c>
      <c r="AA697" s="151"/>
      <c r="AB697" s="151"/>
      <c r="AC697" s="155"/>
      <c r="AD697" s="155"/>
    </row>
    <row r="698" spans="1:30" s="2" customFormat="1" ht="15.5" x14ac:dyDescent="0.35">
      <c r="A698" s="41" t="str">
        <f>IF(F698=" "," ",IF(OR('депозитный калькулятор'!$G$7="30/365",'депозитный калькулятор'!$G$7="30/360"),IF(AND(MONTH(F698)=2,DAY(F698)=DAY(EOMONTH(F698,0))),30-DAY(EOMONTH(F698,0)),IF(DAY(F698)=31,1," "))," "))</f>
        <v xml:space="preserve"> </v>
      </c>
      <c r="B698" s="130" t="str">
        <f t="shared" si="51"/>
        <v xml:space="preserve"> </v>
      </c>
      <c r="C698" s="130" t="str">
        <f>IF(OR(B698=0,B698=" ")," ",SUM($B$23:B698))</f>
        <v xml:space="preserve"> </v>
      </c>
      <c r="D698" s="62" t="str">
        <f>IF(D697=" "," ",IF(OR(F697='депозитный калькулятор'!$D$8,F697=" ")," ",D697+1))</f>
        <v xml:space="preserve"> </v>
      </c>
      <c r="E698" s="130" t="str">
        <f>IF(OR(F697='депозитный калькулятор'!$D$8,F697=" ")," ",IF(EOMONTH(F697,0)=F697,1,E697+1))</f>
        <v xml:space="preserve"> </v>
      </c>
      <c r="F698" s="64" t="str">
        <f>IF(F697=" "," ",IF(F697='депозитный калькулятор'!$D$8," ",F697+1))</f>
        <v xml:space="preserve"> </v>
      </c>
      <c r="G698" s="145" t="str">
        <f xml:space="preserve"> IF(F698&gt;'депозитный калькулятор'!$D$8," ",IF('депозитный калькулятор'!$G$13="есть",IF('депозитный калькулятор'!$G$14="есть",G697+IF(I697=" ",0,I697)-J698-K698+L698+M698-N698,G697+IF(I697=" ",0,I697)-J698-K698+M698-N698),IF('депозитный калькулятор'!$G$14="есть",G697-J698-K698+L698+M698-N698,G697-J698-K698+M698-N698)))</f>
        <v xml:space="preserve"> </v>
      </c>
      <c r="H698" s="133" t="str">
        <f>IF(F698&gt;'депозитный калькулятор'!$D$8," ",IF(AND(OR('депозитный калькулятор'!$G$7="30/365",'депозитный калькулятор'!$G$7="30/360"),AND(MONTH(F698)=2,EOMONTH(F698,0)=F698)),IF(DAY(F698)=28,3*G698*'депозитный калькулятор'!$G$8,2*G698*'депозитный калькулятор'!$G$8),IF(AND(OR('депозитный калькулятор'!$G$7="30/365",'депозитный калькулятор'!$G$7="30/360"),DAY(F698)=31)," ",IF(AND('депозитный калькулятор'!$G$7="факт/факт",MOD(YEAR(F698),4)=0),G698*'депозитный калькулятор'!$D$11/366,G698*'депозитный калькулятор'!$G$8))))</f>
        <v xml:space="preserve"> </v>
      </c>
      <c r="I698" s="134" t="str">
        <f ca="1">IF(F698=" "," ",IF('депозитный калькулятор'!$G$10="ежедневное",H698,IF(AND('депозитный калькулятор'!$G$10="еженедельное",WEEKDAY(F698,2)=7),SUM(OFFSET(H698,-6,0):H698),IF(AND('депозитный калькулятор'!$G$10="еженедельное",F698='депозитный калькулятор'!$D$8),SUM($H$23:H698)-SUM($I$23:I697),IF(AND('депозитный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недели",WEEKDAY(F698,2)=7),MIN(OFFSET(H698,-6,0):H698)*(COUNTIF(OFFSET(H698,-6,0):H698,"&gt;0")+SUMIF(OFFSET(A698,-WEEKDAY(F698,2),0):A698,"=2",OFFSET(A698,-WEEKDAY(F698,2),0):A698)),IF(AND('депозитный калькулятор'!$G$10="еженедельное, на минимальную сумму зафиксированную в течение недели",F698='депозитный калькулятор'!$D$8,WEEKDAY(F698,2)&lt;&gt;7),MIN(OFFSET(H698,-WEEKDAY(F698,2),0):H698)*(COUNTIF(OFFSET(H698,-WEEKDAY(F698,2)+1,0):H698,"&gt;0")+SUM(OFFSET(A698,-WEEKDAY(F698,2),0):A698)),IF(AND('депозитный калькулятор'!$G$10="ежемесячное (в конце месяца)",F698='депозитный калькулятор'!$D$8,EOMONTH(F698,0)&lt;&gt;F698),IF('депозитный калькулятор'!$F$1=1,$H$24,SUM($H$23:H698)-SUM($I$23:I697)),IF(AND('депозитный калькулятор'!$G$10="ежемесячное (в конце месяца)",EOMONTH(F698,0)=F698),SUM($H$23:H698)-SUM($I$23:I697),IF(AND('депозитный калькулятор'!$G$10="ежемесячное (по дням открытия вклада)",F698='депозитный калькулятор'!$D$8,DAY('депозитный калькулятор'!$D$7)&lt;&gt;DAY(F698)),IF('депозитный калькулятор'!$F$1=1,$H$24,SUM($H$23:H698)-SUM($I$23:I697)),IF(AND('депозитный калькулятор'!$G$10="ежемесячное (по дням открытия вклада)",DAY('депозитный калькулятор'!$D$7)=DAY(F698)),SUM($H$23:H698)-SUM($I$23:I697),IF(AND('депозитный калькулятор'!$G$10="ежемесячное, на минимальную сумму зафиксированную в течение месяца",F698='депозитный калькулятор'!$D$8,EOMONTH(F698,0)&lt;&gt;F698),IF('депозитный калькулятор'!$F$1=1,$H$24,IF(AND(OR('депозитный калькулятор'!$G$7="30/365",'депозитный калькулятор'!$G$7="30/360"),DAY(F698)=31),0,MIN(OFFSET(H698,-E698+1,0):H698)*(E698+SUMIF(OFFSET(A698,-E698+1,0):A698,"=2",OFFSET(A698,-E698+1,0):A698)))),IF(AND('депозитный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калькулятор'!$G$7="30/360"),DAY(EOMONTH(F698,0))=31),EOMONTH(F698,0)-1=F698,EOMONTH(F698,0)=F698)),IF(IF(AND(OR('депозитный калькулятор'!$G$7="30/365",'депозитный калькулятор'!$G$7="30/360"),DAY(EOMONTH($F$23,0))=31),F698=EOMONTH($F$23,0)-1,F698=EOMONTH($F$23,0)),MIN(OFFSET(H698,-(DAY(F698)-DAY($F$23)),0):H698)*E698,MIN(OFFSET(H698,-(DAY(F698)-1),0):H698)*IF(AND(OR('депозитный калькулятор'!$G$7="30/365",'депозитный калькулятор'!$G$7="30/360"),DAY(F698)&lt;30),30,DAY(F698))),IF(AND('депозитный калькулятор'!$G$10="ежемесячное, на средний остаток в течение месяца, при условии что остаток больше чем ограничение",F698='депозитный калькулятор'!$D$8,EOMONTH(F698,0)&lt;&gt;F698),IF('депозитный калькулятор'!$F$1=1,$H$24,SUM(OFFSET(Q698,-E698+1,0):Q698)),IF(AND('депозитный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калькулятор'!$G$7="30/360"),DAY(EOMONTH(F698,0))=31),EOMONTH(F698,0)-1=F698,EOMONTH(F698,0)=F698)),IF(IF(AND(OR('депозитный калькулятор'!$G$7="30/365",'депозитный калькулятор'!$G$7="30/360"),DAY(EOMONTH($F$24,0))=31),F698=EOMONTH($F$24,0)-1,F698=EOMONTH($F$24,0)),SUM(OFFSET(Q698,-E698+1,0):Q698),SUM(OFFSET(Q698,-E698+1,0):Q698)),IF('депозитный калькулятор'!$G$10="ежеквартальное",IF(F698&gt;'депозитный калькулятор'!$D$8," ",IF(AND(EOMONTH(F698,0)=F698,OR(MONTH(F698)=3,MONTH(F698)=6,MONTH(F698)=9,MONTH(F698)=12)),IF(EDATE(F698,-3)&lt;'депозитный калькулятор'!$D$7,SUM($H$23:H698),IF(MOD(YEAR(F698),4)=0,IF(AND(EOMONTH(F698,0)=F698,OR(MONTH(F698)=3,MONTH(F698)=6)),SUM(OFFSET(H698,-90,0):H698),IF(AND(EOMONTH(F698,0)=F698,OR(MONTH(F698)=9,MONTH(F698)=12)),SUM(OFFSET(H698,-91,0):H698))),IF(AND(EOMONTH(F698,0)=F698,MONTH(F698)=3),SUM(OFFSET(H698,-89,0):H698),IF(AND(EOMONTH(F698,0)=F698,MONTH(F698)=6),SUM(OFFSET(H698,-90,0):H698),IF(AND(EOMONTH(F698,0)=F698,OR(MONTH(F698)=9,MONTH(F698)=12)),SUM(OFFSET(H698,-91,0):H698)))))),IF(F698='депозитный калькулятор'!$D$8,SUM($H$23:H698)-SUM($I$23:I697),0))),IF('депозитный калькулятор'!$G$10="ежегодное",IF(F698&gt;'депозитный калькулятор'!$D$8," ",IF(F698='депозитный калькулятор'!$D$8,SUM($H$23:H698)-SUM($I$23:I697),IF(AND(EOMONTH(F698,0)=F698,MONTH(F698)=12),IF(MOD(YEAR(F697),4)=0,IF(F698-'депозитный калькулятор'!$D$7&lt;366,SUM($H$23:H698),SUM(OFFSET(H698,-365,0):H698)),IF(F698-'депозитный калькулятор'!$D$7&lt;365,SUM($H$23:H698),SUM(OFFSET(H698,-364,0):H698))),0))),IF(AND('депозитный калькулятор'!$G$10="в конце срока",'депозитный калькулятор'!$D$8=F698),SUM($H$23:H698),0))))))))))))))))))</f>
        <v xml:space="preserve"> </v>
      </c>
      <c r="J698" s="59" t="str">
        <f>IF(F698&gt;'депозитный калькулятор'!$D$8," ",IF('депозитный калькулятор'!$G$16="нет",0,IF(AND('депозитный калькулятор'!$G$17="разовая (в конце срока)",F698='депозитный калькулятор'!$D$8),'депозитный калькулятор'!$G$18,IF(AND('депозитный калькулятор'!$G$17="ежемесячная",EOMONTH(F697,0)=F697),'депозитный калькулятор'!$G$18,IF(AND('депозитный калькулятор'!$G$17="ежегодная",DAY(F697)=31,MONTH(F697)=12),'депозитный калькулятор'!$G$18,IF(AND('депозитный калькулятор'!$G$17="ежемесячная в зависимости от остатка",EOMONTH(F697,0)=F697,P697&gt;0),'депозитный калькулятор'!$G$18,IF(AND('депозитный калькулятор'!$G$17="ежегодная в зависимости от остатка",DAY(F697)=31,MONTH(F697)=12,P697&gt;0),'депозитный калькулятор'!$G$18,0)))))))</f>
        <v xml:space="preserve"> </v>
      </c>
      <c r="K698" s="135" t="str">
        <f>IF($F698=" "," ",IFERROR(VLOOKUP($F698,'депозитный калькулятор'!$B$26:$F$70,2,0),0))</f>
        <v xml:space="preserve"> </v>
      </c>
      <c r="L698" s="135" t="str">
        <f>IF($F698=" "," ",IFERROR(VLOOKUP($F698,'депозитный калькулятор'!$B$26:$F$70,3,0),0))</f>
        <v xml:space="preserve"> </v>
      </c>
      <c r="M698" s="135" t="str">
        <f>IF($F698=" "," ",IFERROR(VLOOKUP($F698,'депозитный калькулятор'!$B$26:$F$70,4,0),0))</f>
        <v xml:space="preserve"> </v>
      </c>
      <c r="N698" s="135" t="str">
        <f>IF($F698=" "," ",IFERROR(VLOOKUP($F698,'депозитный калькулятор'!$B$26:$F$70,5,0),0))</f>
        <v xml:space="preserve"> </v>
      </c>
      <c r="O698" s="146" t="str">
        <f>IF(F698&gt;'депозитный калькулятор'!$D$8," ",IF(F698='депозитный калькулятор'!$D$8,IF(AND($F$24='депозитный калькулятор'!$D$8,'депозитный калькулятор'!$G$13="нет"),-G698-IF(I698=" ",0,I698)-IF(AND(OR('депозитный калькулятор'!$G$7="30/365",'депозитный калькулятор'!$G$7="30/360"),'депозитный калькулятор'!$G$10="в начале срока"),I697,0)-L698+M698-N698,-G698-IF(I698=" ",0,I698)-L698+M698-N698),IF('депозитный калькулятор'!$G$13="есть",M698-N698+IF('депозитный калькулятор'!$G$14="есть",0,-L698),-IF(I698=" ",0,I698)-IF(AND(OR('депозитный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срока"),I697,0)+M698-N698+IF('депозитный калькулятор'!$G$14="есть",0,-L698))))</f>
        <v xml:space="preserve"> </v>
      </c>
      <c r="P698" s="147" t="str">
        <f>IF(F698&gt;'депозитный калькулятор'!$D$8," ",IF(EOMONTH(F697,0)=F697,0,IF(G698&gt;='депозитный калькулятор'!$G$19,P697,P697+1)))</f>
        <v xml:space="preserve"> </v>
      </c>
      <c r="Q698" s="138" t="str">
        <f>IF(F698=" "," ",IF(AND(OR('депозитный калькулятор'!$G$7="30/365",'депозитный калькулятор'!$G$7="30/360"),AND(MONTH(F698)=2,EOMONTH(F698,0)=F698)),IF(DAY(F698)=28,3,2),1)*IF(G698&gt;='депозитный калькулятор'!$G$11,IF(AND('депозитный калькулятор'!$G$7="факт/факт",MOD(YEAR(F698),4)=0),G698*'депозитный калькулятор'!$D$11/366,G698*'депозитный калькулятор'!$G$8),0))</f>
        <v xml:space="preserve"> </v>
      </c>
      <c r="R698" s="158"/>
      <c r="S698" s="62" t="str">
        <f t="shared" ca="1" si="52"/>
        <v xml:space="preserve"> </v>
      </c>
      <c r="T698" s="149" t="str">
        <f ca="1">IF(S698=" "," ",IF('депозитный калькулятор'!$G$7="30/360",DAYS360(U697,IF(DAY(U698)=31,U698-1,U698))+IF(AND(MONTH(U698)=2,U698=EOMONTH(U698,0)),30-DAY(EOMONTH(U698,0)))+T697,VLOOKUP(S698,$C$22:$F$1023,2,0)))</f>
        <v xml:space="preserve"> </v>
      </c>
      <c r="U698" s="64" t="str">
        <f t="shared" ca="1" si="50"/>
        <v xml:space="preserve"> </v>
      </c>
      <c r="V698" s="150" t="str">
        <f t="shared" ca="1" si="53"/>
        <v xml:space="preserve"> </v>
      </c>
      <c r="W698" s="62" t="str">
        <f t="shared" ca="1" si="54"/>
        <v xml:space="preserve"> </v>
      </c>
      <c r="X698" s="141" t="str">
        <f ca="1">IF(S698=" "," ",IFERROR(VLOOKUP(U698,$F$23:$N$1023,7)+VLOOKUP(U698,$F$23:$N$1023,9)+IF(AND('депозитный калькулятор'!$G$13="нет",U698&lt;&gt;'депозитный калькулятор'!$D$8),VLOOKUP(U698,$F$23:$N$1023,4),0),0)+IF(U698='депозитный калькулятор'!$D$8,VLOOKUP(U698,$F$23:$N$1023,2)+VLOOKUP(U698,$F$23:$N$1023,4),0))</f>
        <v xml:space="preserve"> </v>
      </c>
      <c r="Y698" s="142" t="str">
        <f ca="1">IF(S698=" "," ",W698/(1+'депозитный калькулятор'!$K$8)^(T698/IF('депозитный калькулятор'!$G$7="30/360",360,365)))</f>
        <v xml:space="preserve"> </v>
      </c>
      <c r="Z698" s="142" t="str">
        <f ca="1">IF(S698=" "," ",X698/(1+'депозитный калькулятор'!$K$8)^(T698/IF('депозитный калькулятор'!$G$7="30/360",360,365)))</f>
        <v xml:space="preserve"> </v>
      </c>
      <c r="AA698" s="151"/>
      <c r="AB698" s="151"/>
      <c r="AC698" s="155"/>
      <c r="AD698" s="155"/>
    </row>
    <row r="699" spans="1:30" s="2" customFormat="1" ht="15.5" x14ac:dyDescent="0.35">
      <c r="A699" s="41" t="str">
        <f>IF(F699=" "," ",IF(OR('депозитный калькулятор'!$G$7="30/365",'депозитный калькулятор'!$G$7="30/360"),IF(AND(MONTH(F699)=2,DAY(F699)=DAY(EOMONTH(F699,0))),30-DAY(EOMONTH(F699,0)),IF(DAY(F699)=31,1," "))," "))</f>
        <v xml:space="preserve"> </v>
      </c>
      <c r="B699" s="130" t="str">
        <f t="shared" si="51"/>
        <v xml:space="preserve"> </v>
      </c>
      <c r="C699" s="130" t="str">
        <f>IF(OR(B699=0,B699=" ")," ",SUM($B$23:B699))</f>
        <v xml:space="preserve"> </v>
      </c>
      <c r="D699" s="62" t="str">
        <f>IF(D698=" "," ",IF(OR(F698='депозитный калькулятор'!$D$8,F698=" ")," ",D698+1))</f>
        <v xml:space="preserve"> </v>
      </c>
      <c r="E699" s="130" t="str">
        <f>IF(OR(F698='депозитный калькулятор'!$D$8,F698=" ")," ",IF(EOMONTH(F698,0)=F698,1,E698+1))</f>
        <v xml:space="preserve"> </v>
      </c>
      <c r="F699" s="64" t="str">
        <f>IF(F698=" "," ",IF(F698='депозитный калькулятор'!$D$8," ",F698+1))</f>
        <v xml:space="preserve"> </v>
      </c>
      <c r="G699" s="145" t="str">
        <f xml:space="preserve"> IF(F699&gt;'депозитный калькулятор'!$D$8," ",IF('депозитный калькулятор'!$G$13="есть",IF('депозитный калькулятор'!$G$14="есть",G698+IF(I698=" ",0,I698)-J699-K699+L699+M699-N699,G698+IF(I698=" ",0,I698)-J699-K699+M699-N699),IF('депозитный калькулятор'!$G$14="есть",G698-J699-K699+L699+M699-N699,G698-J699-K699+M699-N699)))</f>
        <v xml:space="preserve"> </v>
      </c>
      <c r="H699" s="133" t="str">
        <f>IF(F699&gt;'депозитный калькулятор'!$D$8," ",IF(AND(OR('депозитный калькулятор'!$G$7="30/365",'депозитный калькулятор'!$G$7="30/360"),AND(MONTH(F699)=2,EOMONTH(F699,0)=F699)),IF(DAY(F699)=28,3*G699*'депозитный калькулятор'!$G$8,2*G699*'депозитный калькулятор'!$G$8),IF(AND(OR('депозитный калькулятор'!$G$7="30/365",'депозитный калькулятор'!$G$7="30/360"),DAY(F699)=31)," ",IF(AND('депозитный калькулятор'!$G$7="факт/факт",MOD(YEAR(F699),4)=0),G699*'депозитный калькулятор'!$D$11/366,G699*'депозитный калькулятор'!$G$8))))</f>
        <v xml:space="preserve"> </v>
      </c>
      <c r="I699" s="134" t="str">
        <f ca="1">IF(F699=" "," ",IF('депозитный калькулятор'!$G$10="ежедневное",H699,IF(AND('депозитный калькулятор'!$G$10="еженедельное",WEEKDAY(F699,2)=7),SUM(OFFSET(H699,-6,0):H699),IF(AND('депозитный калькулятор'!$G$10="еженедельное",F699='депозитный калькулятор'!$D$8),SUM($H$23:H699)-SUM($I$23:I698),IF(AND('депозитный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недели",WEEKDAY(F699,2)=7),MIN(OFFSET(H699,-6,0):H699)*(COUNTIF(OFFSET(H699,-6,0):H699,"&gt;0")+SUMIF(OFFSET(A699,-WEEKDAY(F699,2),0):A699,"=2",OFFSET(A699,-WEEKDAY(F699,2),0):A699)),IF(AND('депозитный калькулятор'!$G$10="еженедельное, на минимальную сумму зафиксированную в течение недели",F699='депозитный калькулятор'!$D$8,WEEKDAY(F699,2)&lt;&gt;7),MIN(OFFSET(H699,-WEEKDAY(F699,2),0):H699)*(COUNTIF(OFFSET(H699,-WEEKDAY(F699,2)+1,0):H699,"&gt;0")+SUM(OFFSET(A699,-WEEKDAY(F699,2),0):A699)),IF(AND('депозитный калькулятор'!$G$10="ежемесячное (в конце месяца)",F699='депозитный калькулятор'!$D$8,EOMONTH(F699,0)&lt;&gt;F699),IF('депозитный калькулятор'!$F$1=1,$H$24,SUM($H$23:H699)-SUM($I$23:I698)),IF(AND('депозитный калькулятор'!$G$10="ежемесячное (в конце месяца)",EOMONTH(F699,0)=F699),SUM($H$23:H699)-SUM($I$23:I698),IF(AND('депозитный калькулятор'!$G$10="ежемесячное (по дням открытия вклада)",F699='депозитный калькулятор'!$D$8,DAY('депозитный калькулятор'!$D$7)&lt;&gt;DAY(F699)),IF('депозитный калькулятор'!$F$1=1,$H$24,SUM($H$23:H699)-SUM($I$23:I698)),IF(AND('депозитный калькулятор'!$G$10="ежемесячное (по дням открытия вклада)",DAY('депозитный калькулятор'!$D$7)=DAY(F699)),SUM($H$23:H699)-SUM($I$23:I698),IF(AND('депозитный калькулятор'!$G$10="ежемесячное, на минимальную сумму зафиксированную в течение месяца",F699='депозитный калькулятор'!$D$8,EOMONTH(F699,0)&lt;&gt;F699),IF('депозитный калькулятор'!$F$1=1,$H$24,IF(AND(OR('депозитный калькулятор'!$G$7="30/365",'депозитный калькулятор'!$G$7="30/360"),DAY(F699)=31),0,MIN(OFFSET(H699,-E699+1,0):H699)*(E699+SUMIF(OFFSET(A699,-E699+1,0):A699,"=2",OFFSET(A699,-E699+1,0):A699)))),IF(AND('депозитный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калькулятор'!$G$7="30/360"),DAY(EOMONTH(F699,0))=31),EOMONTH(F699,0)-1=F699,EOMONTH(F699,0)=F699)),IF(IF(AND(OR('депозитный калькулятор'!$G$7="30/365",'депозитный калькулятор'!$G$7="30/360"),DAY(EOMONTH($F$23,0))=31),F699=EOMONTH($F$23,0)-1,F699=EOMONTH($F$23,0)),MIN(OFFSET(H699,-(DAY(F699)-DAY($F$23)),0):H699)*E699,MIN(OFFSET(H699,-(DAY(F699)-1),0):H699)*IF(AND(OR('депозитный калькулятор'!$G$7="30/365",'депозитный калькулятор'!$G$7="30/360"),DAY(F699)&lt;30),30,DAY(F699))),IF(AND('депозитный калькулятор'!$G$10="ежемесячное, на средний остаток в течение месяца, при условии что остаток больше чем ограничение",F699='депозитный калькулятор'!$D$8,EOMONTH(F699,0)&lt;&gt;F699),IF('депозитный калькулятор'!$F$1=1,$H$24,SUM(OFFSET(Q699,-E699+1,0):Q699)),IF(AND('депозитный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калькулятор'!$G$7="30/360"),DAY(EOMONTH(F699,0))=31),EOMONTH(F699,0)-1=F699,EOMONTH(F699,0)=F699)),IF(IF(AND(OR('депозитный калькулятор'!$G$7="30/365",'депозитный калькулятор'!$G$7="30/360"),DAY(EOMONTH($F$24,0))=31),F699=EOMONTH($F$24,0)-1,F699=EOMONTH($F$24,0)),SUM(OFFSET(Q699,-E699+1,0):Q699),SUM(OFFSET(Q699,-E699+1,0):Q699)),IF('депозитный калькулятор'!$G$10="ежеквартальное",IF(F699&gt;'депозитный калькулятор'!$D$8," ",IF(AND(EOMONTH(F699,0)=F699,OR(MONTH(F699)=3,MONTH(F699)=6,MONTH(F699)=9,MONTH(F699)=12)),IF(EDATE(F699,-3)&lt;'депозитный калькулятор'!$D$7,SUM($H$23:H699),IF(MOD(YEAR(F699),4)=0,IF(AND(EOMONTH(F699,0)=F699,OR(MONTH(F699)=3,MONTH(F699)=6)),SUM(OFFSET(H699,-90,0):H699),IF(AND(EOMONTH(F699,0)=F699,OR(MONTH(F699)=9,MONTH(F699)=12)),SUM(OFFSET(H699,-91,0):H699))),IF(AND(EOMONTH(F699,0)=F699,MONTH(F699)=3),SUM(OFFSET(H699,-89,0):H699),IF(AND(EOMONTH(F699,0)=F699,MONTH(F699)=6),SUM(OFFSET(H699,-90,0):H699),IF(AND(EOMONTH(F699,0)=F699,OR(MONTH(F699)=9,MONTH(F699)=12)),SUM(OFFSET(H699,-91,0):H699)))))),IF(F699='депозитный калькулятор'!$D$8,SUM($H$23:H699)-SUM($I$23:I698),0))),IF('депозитный калькулятор'!$G$10="ежегодное",IF(F699&gt;'депозитный калькулятор'!$D$8," ",IF(F699='депозитный калькулятор'!$D$8,SUM($H$23:H699)-SUM($I$23:I698),IF(AND(EOMONTH(F699,0)=F699,MONTH(F699)=12),IF(MOD(YEAR(F698),4)=0,IF(F699-'депозитный калькулятор'!$D$7&lt;366,SUM($H$23:H699),SUM(OFFSET(H699,-365,0):H699)),IF(F699-'депозитный калькулятор'!$D$7&lt;365,SUM($H$23:H699),SUM(OFFSET(H699,-364,0):H699))),0))),IF(AND('депозитный калькулятор'!$G$10="в конце срока",'депозитный калькулятор'!$D$8=F699),SUM($H$23:H699),0))))))))))))))))))</f>
        <v xml:space="preserve"> </v>
      </c>
      <c r="J699" s="59" t="str">
        <f>IF(F699&gt;'депозитный калькулятор'!$D$8," ",IF('депозитный калькулятор'!$G$16="нет",0,IF(AND('депозитный калькулятор'!$G$17="разовая (в конце срока)",F699='депозитный калькулятор'!$D$8),'депозитный калькулятор'!$G$18,IF(AND('депозитный калькулятор'!$G$17="ежемесячная",EOMONTH(F698,0)=F698),'депозитный калькулятор'!$G$18,IF(AND('депозитный калькулятор'!$G$17="ежегодная",DAY(F698)=31,MONTH(F698)=12),'депозитный калькулятор'!$G$18,IF(AND('депозитный калькулятор'!$G$17="ежемесячная в зависимости от остатка",EOMONTH(F698,0)=F698,P698&gt;0),'депозитный калькулятор'!$G$18,IF(AND('депозитный калькулятор'!$G$17="ежегодная в зависимости от остатка",DAY(F698)=31,MONTH(F698)=12,P698&gt;0),'депозитный калькулятор'!$G$18,0)))))))</f>
        <v xml:space="preserve"> </v>
      </c>
      <c r="K699" s="135" t="str">
        <f>IF($F699=" "," ",IFERROR(VLOOKUP($F699,'депозитный калькулятор'!$B$26:$F$70,2,0),0))</f>
        <v xml:space="preserve"> </v>
      </c>
      <c r="L699" s="135" t="str">
        <f>IF($F699=" "," ",IFERROR(VLOOKUP($F699,'депозитный калькулятор'!$B$26:$F$70,3,0),0))</f>
        <v xml:space="preserve"> </v>
      </c>
      <c r="M699" s="135" t="str">
        <f>IF($F699=" "," ",IFERROR(VLOOKUP($F699,'депозитный калькулятор'!$B$26:$F$70,4,0),0))</f>
        <v xml:space="preserve"> </v>
      </c>
      <c r="N699" s="135" t="str">
        <f>IF($F699=" "," ",IFERROR(VLOOKUP($F699,'депозитный калькулятор'!$B$26:$F$70,5,0),0))</f>
        <v xml:space="preserve"> </v>
      </c>
      <c r="O699" s="146" t="str">
        <f>IF(F699&gt;'депозитный калькулятор'!$D$8," ",IF(F699='депозитный калькулятор'!$D$8,IF(AND($F$24='депозитный калькулятор'!$D$8,'депозитный калькулятор'!$G$13="нет"),-G699-IF(I699=" ",0,I699)-IF(AND(OR('депозитный калькулятор'!$G$7="30/365",'депозитный калькулятор'!$G$7="30/360"),'депозитный калькулятор'!$G$10="в начале срока"),I698,0)-L699+M699-N699,-G699-IF(I699=" ",0,I699)-L699+M699-N699),IF('депозитный калькулятор'!$G$13="есть",M699-N699+IF('депозитный калькулятор'!$G$14="есть",0,-L699),-IF(I699=" ",0,I699)-IF(AND(OR('депозитный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срока"),I698,0)+M699-N699+IF('депозитный калькулятор'!$G$14="есть",0,-L699))))</f>
        <v xml:space="preserve"> </v>
      </c>
      <c r="P699" s="147" t="str">
        <f>IF(F699&gt;'депозитный калькулятор'!$D$8," ",IF(EOMONTH(F698,0)=F698,0,IF(G699&gt;='депозитный калькулятор'!$G$19,P698,P698+1)))</f>
        <v xml:space="preserve"> </v>
      </c>
      <c r="Q699" s="138" t="str">
        <f>IF(F699=" "," ",IF(AND(OR('депозитный калькулятор'!$G$7="30/365",'депозитный калькулятор'!$G$7="30/360"),AND(MONTH(F699)=2,EOMONTH(F699,0)=F699)),IF(DAY(F699)=28,3,2),1)*IF(G699&gt;='депозитный калькулятор'!$G$11,IF(AND('депозитный калькулятор'!$G$7="факт/факт",MOD(YEAR(F699),4)=0),G699*'депозитный калькулятор'!$D$11/366,G699*'депозитный калькулятор'!$G$8),0))</f>
        <v xml:space="preserve"> </v>
      </c>
      <c r="R699" s="158"/>
      <c r="S699" s="62" t="str">
        <f t="shared" ca="1" si="52"/>
        <v xml:space="preserve"> </v>
      </c>
      <c r="T699" s="149" t="str">
        <f ca="1">IF(S699=" "," ",IF('депозитный калькулятор'!$G$7="30/360",DAYS360(U698,IF(DAY(U699)=31,U699-1,U699))+IF(AND(MONTH(U699)=2,U699=EOMONTH(U699,0)),30-DAY(EOMONTH(U699,0)))+T698,VLOOKUP(S699,$C$22:$F$1023,2,0)))</f>
        <v xml:space="preserve"> </v>
      </c>
      <c r="U699" s="64" t="str">
        <f t="shared" ca="1" si="50"/>
        <v xml:space="preserve"> </v>
      </c>
      <c r="V699" s="150" t="str">
        <f t="shared" ca="1" si="53"/>
        <v xml:space="preserve"> </v>
      </c>
      <c r="W699" s="62" t="str">
        <f t="shared" ca="1" si="54"/>
        <v xml:space="preserve"> </v>
      </c>
      <c r="X699" s="141" t="str">
        <f ca="1">IF(S699=" "," ",IFERROR(VLOOKUP(U699,$F$23:$N$1023,7)+VLOOKUP(U699,$F$23:$N$1023,9)+IF(AND('депозитный калькулятор'!$G$13="нет",U699&lt;&gt;'депозитный калькулятор'!$D$8),VLOOKUP(U699,$F$23:$N$1023,4),0),0)+IF(U699='депозитный калькулятор'!$D$8,VLOOKUP(U699,$F$23:$N$1023,2)+VLOOKUP(U699,$F$23:$N$1023,4),0))</f>
        <v xml:space="preserve"> </v>
      </c>
      <c r="Y699" s="142" t="str">
        <f ca="1">IF(S699=" "," ",W699/(1+'депозитный калькулятор'!$K$8)^(T699/IF('депозитный калькулятор'!$G$7="30/360",360,365)))</f>
        <v xml:space="preserve"> </v>
      </c>
      <c r="Z699" s="142" t="str">
        <f ca="1">IF(S699=" "," ",X699/(1+'депозитный калькулятор'!$K$8)^(T699/IF('депозитный калькулятор'!$G$7="30/360",360,365)))</f>
        <v xml:space="preserve"> </v>
      </c>
      <c r="AA699" s="151"/>
      <c r="AB699" s="151"/>
      <c r="AC699" s="155"/>
      <c r="AD699" s="155"/>
    </row>
    <row r="700" spans="1:30" s="2" customFormat="1" ht="15.5" x14ac:dyDescent="0.35">
      <c r="A700" s="41" t="str">
        <f>IF(F700=" "," ",IF(OR('депозитный калькулятор'!$G$7="30/365",'депозитный калькулятор'!$G$7="30/360"),IF(AND(MONTH(F700)=2,DAY(F700)=DAY(EOMONTH(F700,0))),30-DAY(EOMONTH(F700,0)),IF(DAY(F700)=31,1," "))," "))</f>
        <v xml:space="preserve"> </v>
      </c>
      <c r="B700" s="130" t="str">
        <f t="shared" si="51"/>
        <v xml:space="preserve"> </v>
      </c>
      <c r="C700" s="130" t="str">
        <f>IF(OR(B700=0,B700=" ")," ",SUM($B$23:B700))</f>
        <v xml:space="preserve"> </v>
      </c>
      <c r="D700" s="62" t="str">
        <f>IF(D699=" "," ",IF(OR(F699='депозитный калькулятор'!$D$8,F699=" ")," ",D699+1))</f>
        <v xml:space="preserve"> </v>
      </c>
      <c r="E700" s="130" t="str">
        <f>IF(OR(F699='депозитный калькулятор'!$D$8,F699=" ")," ",IF(EOMONTH(F699,0)=F699,1,E699+1))</f>
        <v xml:space="preserve"> </v>
      </c>
      <c r="F700" s="64" t="str">
        <f>IF(F699=" "," ",IF(F699='депозитный калькулятор'!$D$8," ",F699+1))</f>
        <v xml:space="preserve"> </v>
      </c>
      <c r="G700" s="145" t="str">
        <f xml:space="preserve"> IF(F700&gt;'депозитный калькулятор'!$D$8," ",IF('депозитный калькулятор'!$G$13="есть",IF('депозитный калькулятор'!$G$14="есть",G699+IF(I699=" ",0,I699)-J700-K700+L700+M700-N700,G699+IF(I699=" ",0,I699)-J700-K700+M700-N700),IF('депозитный калькулятор'!$G$14="есть",G699-J700-K700+L700+M700-N700,G699-J700-K700+M700-N700)))</f>
        <v xml:space="preserve"> </v>
      </c>
      <c r="H700" s="133" t="str">
        <f>IF(F700&gt;'депозитный калькулятор'!$D$8," ",IF(AND(OR('депозитный калькулятор'!$G$7="30/365",'депозитный калькулятор'!$G$7="30/360"),AND(MONTH(F700)=2,EOMONTH(F700,0)=F700)),IF(DAY(F700)=28,3*G700*'депозитный калькулятор'!$G$8,2*G700*'депозитный калькулятор'!$G$8),IF(AND(OR('депозитный калькулятор'!$G$7="30/365",'депозитный калькулятор'!$G$7="30/360"),DAY(F700)=31)," ",IF(AND('депозитный калькулятор'!$G$7="факт/факт",MOD(YEAR(F700),4)=0),G700*'депозитный калькулятор'!$D$11/366,G700*'депозитный калькулятор'!$G$8))))</f>
        <v xml:space="preserve"> </v>
      </c>
      <c r="I700" s="134" t="str">
        <f ca="1">IF(F700=" "," ",IF('депозитный калькулятор'!$G$10="ежедневное",H700,IF(AND('депозитный калькулятор'!$G$10="еженедельное",WEEKDAY(F700,2)=7),SUM(OFFSET(H700,-6,0):H700),IF(AND('депозитный калькулятор'!$G$10="еженедельное",F700='депозитный калькулятор'!$D$8),SUM($H$23:H700)-SUM($I$23:I699),IF(AND('депозитный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недели",WEEKDAY(F700,2)=7),MIN(OFFSET(H700,-6,0):H700)*(COUNTIF(OFFSET(H700,-6,0):H700,"&gt;0")+SUMIF(OFFSET(A700,-WEEKDAY(F700,2),0):A700,"=2",OFFSET(A700,-WEEKDAY(F700,2),0):A700)),IF(AND('депозитный калькулятор'!$G$10="еженедельное, на минимальную сумму зафиксированную в течение недели",F700='депозитный калькулятор'!$D$8,WEEKDAY(F700,2)&lt;&gt;7),MIN(OFFSET(H700,-WEEKDAY(F700,2),0):H700)*(COUNTIF(OFFSET(H700,-WEEKDAY(F700,2)+1,0):H700,"&gt;0")+SUM(OFFSET(A700,-WEEKDAY(F700,2),0):A700)),IF(AND('депозитный калькулятор'!$G$10="ежемесячное (в конце месяца)",F700='депозитный калькулятор'!$D$8,EOMONTH(F700,0)&lt;&gt;F700),IF('депозитный калькулятор'!$F$1=1,$H$24,SUM($H$23:H700)-SUM($I$23:I699)),IF(AND('депозитный калькулятор'!$G$10="ежемесячное (в конце месяца)",EOMONTH(F700,0)=F700),SUM($H$23:H700)-SUM($I$23:I699),IF(AND('депозитный калькулятор'!$G$10="ежемесячное (по дням открытия вклада)",F700='депозитный калькулятор'!$D$8,DAY('депозитный калькулятор'!$D$7)&lt;&gt;DAY(F700)),IF('депозитный калькулятор'!$F$1=1,$H$24,SUM($H$23:H700)-SUM($I$23:I699)),IF(AND('депозитный калькулятор'!$G$10="ежемесячное (по дням открытия вклада)",DAY('депозитный калькулятор'!$D$7)=DAY(F700)),SUM($H$23:H700)-SUM($I$23:I699),IF(AND('депозитный калькулятор'!$G$10="ежемесячное, на минимальную сумму зафиксированную в течение месяца",F700='депозитный калькулятор'!$D$8,EOMONTH(F700,0)&lt;&gt;F700),IF('депозитный калькулятор'!$F$1=1,$H$24,IF(AND(OR('депозитный калькулятор'!$G$7="30/365",'депозитный калькулятор'!$G$7="30/360"),DAY(F700)=31),0,MIN(OFFSET(H700,-E700+1,0):H700)*(E700+SUMIF(OFFSET(A700,-E700+1,0):A700,"=2",OFFSET(A700,-E700+1,0):A700)))),IF(AND('депозитный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калькулятор'!$G$7="30/360"),DAY(EOMONTH(F700,0))=31),EOMONTH(F700,0)-1=F700,EOMONTH(F700,0)=F700)),IF(IF(AND(OR('депозитный калькулятор'!$G$7="30/365",'депозитный калькулятор'!$G$7="30/360"),DAY(EOMONTH($F$23,0))=31),F700=EOMONTH($F$23,0)-1,F700=EOMONTH($F$23,0)),MIN(OFFSET(H700,-(DAY(F700)-DAY($F$23)),0):H700)*E700,MIN(OFFSET(H700,-(DAY(F700)-1),0):H700)*IF(AND(OR('депозитный калькулятор'!$G$7="30/365",'депозитный калькулятор'!$G$7="30/360"),DAY(F700)&lt;30),30,DAY(F700))),IF(AND('депозитный калькулятор'!$G$10="ежемесячное, на средний остаток в течение месяца, при условии что остаток больше чем ограничение",F700='депозитный калькулятор'!$D$8,EOMONTH(F700,0)&lt;&gt;F700),IF('депозитный калькулятор'!$F$1=1,$H$24,SUM(OFFSET(Q700,-E700+1,0):Q700)),IF(AND('депозитный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калькулятор'!$G$7="30/360"),DAY(EOMONTH(F700,0))=31),EOMONTH(F700,0)-1=F700,EOMONTH(F700,0)=F700)),IF(IF(AND(OR('депозитный калькулятор'!$G$7="30/365",'депозитный калькулятор'!$G$7="30/360"),DAY(EOMONTH($F$24,0))=31),F700=EOMONTH($F$24,0)-1,F700=EOMONTH($F$24,0)),SUM(OFFSET(Q700,-E700+1,0):Q700),SUM(OFFSET(Q700,-E700+1,0):Q700)),IF('депозитный калькулятор'!$G$10="ежеквартальное",IF(F700&gt;'депозитный калькулятор'!$D$8," ",IF(AND(EOMONTH(F700,0)=F700,OR(MONTH(F700)=3,MONTH(F700)=6,MONTH(F700)=9,MONTH(F700)=12)),IF(EDATE(F700,-3)&lt;'депозитный калькулятор'!$D$7,SUM($H$23:H700),IF(MOD(YEAR(F700),4)=0,IF(AND(EOMONTH(F700,0)=F700,OR(MONTH(F700)=3,MONTH(F700)=6)),SUM(OFFSET(H700,-90,0):H700),IF(AND(EOMONTH(F700,0)=F700,OR(MONTH(F700)=9,MONTH(F700)=12)),SUM(OFFSET(H700,-91,0):H700))),IF(AND(EOMONTH(F700,0)=F700,MONTH(F700)=3),SUM(OFFSET(H700,-89,0):H700),IF(AND(EOMONTH(F700,0)=F700,MONTH(F700)=6),SUM(OFFSET(H700,-90,0):H700),IF(AND(EOMONTH(F700,0)=F700,OR(MONTH(F700)=9,MONTH(F700)=12)),SUM(OFFSET(H700,-91,0):H700)))))),IF(F700='депозитный калькулятор'!$D$8,SUM($H$23:H700)-SUM($I$23:I699),0))),IF('депозитный калькулятор'!$G$10="ежегодное",IF(F700&gt;'депозитный калькулятор'!$D$8," ",IF(F700='депозитный калькулятор'!$D$8,SUM($H$23:H700)-SUM($I$23:I699),IF(AND(EOMONTH(F700,0)=F700,MONTH(F700)=12),IF(MOD(YEAR(F699),4)=0,IF(F700-'депозитный калькулятор'!$D$7&lt;366,SUM($H$23:H700),SUM(OFFSET(H700,-365,0):H700)),IF(F700-'депозитный калькулятор'!$D$7&lt;365,SUM($H$23:H700),SUM(OFFSET(H700,-364,0):H700))),0))),IF(AND('депозитный калькулятор'!$G$10="в конце срока",'депозитный калькулятор'!$D$8=F700),SUM($H$23:H700),0))))))))))))))))))</f>
        <v xml:space="preserve"> </v>
      </c>
      <c r="J700" s="59" t="str">
        <f>IF(F700&gt;'депозитный калькулятор'!$D$8," ",IF('депозитный калькулятор'!$G$16="нет",0,IF(AND('депозитный калькулятор'!$G$17="разовая (в конце срока)",F700='депозитный калькулятор'!$D$8),'депозитный калькулятор'!$G$18,IF(AND('депозитный калькулятор'!$G$17="ежемесячная",EOMONTH(F699,0)=F699),'депозитный калькулятор'!$G$18,IF(AND('депозитный калькулятор'!$G$17="ежегодная",DAY(F699)=31,MONTH(F699)=12),'депозитный калькулятор'!$G$18,IF(AND('депозитный калькулятор'!$G$17="ежемесячная в зависимости от остатка",EOMONTH(F699,0)=F699,P699&gt;0),'депозитный калькулятор'!$G$18,IF(AND('депозитный калькулятор'!$G$17="ежегодная в зависимости от остатка",DAY(F699)=31,MONTH(F699)=12,P699&gt;0),'депозитный калькулятор'!$G$18,0)))))))</f>
        <v xml:space="preserve"> </v>
      </c>
      <c r="K700" s="135" t="str">
        <f>IF($F700=" "," ",IFERROR(VLOOKUP($F700,'депозитный калькулятор'!$B$26:$F$70,2,0),0))</f>
        <v xml:space="preserve"> </v>
      </c>
      <c r="L700" s="135" t="str">
        <f>IF($F700=" "," ",IFERROR(VLOOKUP($F700,'депозитный калькулятор'!$B$26:$F$70,3,0),0))</f>
        <v xml:space="preserve"> </v>
      </c>
      <c r="M700" s="135" t="str">
        <f>IF($F700=" "," ",IFERROR(VLOOKUP($F700,'депозитный калькулятор'!$B$26:$F$70,4,0),0))</f>
        <v xml:space="preserve"> </v>
      </c>
      <c r="N700" s="135" t="str">
        <f>IF($F700=" "," ",IFERROR(VLOOKUP($F700,'депозитный калькулятор'!$B$26:$F$70,5,0),0))</f>
        <v xml:space="preserve"> </v>
      </c>
      <c r="O700" s="146" t="str">
        <f>IF(F700&gt;'депозитный калькулятор'!$D$8," ",IF(F700='депозитный калькулятор'!$D$8,IF(AND($F$24='депозитный калькулятор'!$D$8,'депозитный калькулятор'!$G$13="нет"),-G700-IF(I700=" ",0,I700)-IF(AND(OR('депозитный калькулятор'!$G$7="30/365",'депозитный калькулятор'!$G$7="30/360"),'депозитный калькулятор'!$G$10="в начале срока"),I699,0)-L700+M700-N700,-G700-IF(I700=" ",0,I700)-L700+M700-N700),IF('депозитный калькулятор'!$G$13="есть",M700-N700+IF('депозитный калькулятор'!$G$14="есть",0,-L700),-IF(I700=" ",0,I700)-IF(AND(OR('депозитный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срока"),I699,0)+M700-N700+IF('депозитный калькулятор'!$G$14="есть",0,-L700))))</f>
        <v xml:space="preserve"> </v>
      </c>
      <c r="P700" s="147" t="str">
        <f>IF(F700&gt;'депозитный калькулятор'!$D$8," ",IF(EOMONTH(F699,0)=F699,0,IF(G700&gt;='депозитный калькулятор'!$G$19,P699,P699+1)))</f>
        <v xml:space="preserve"> </v>
      </c>
      <c r="Q700" s="138" t="str">
        <f>IF(F700=" "," ",IF(AND(OR('депозитный калькулятор'!$G$7="30/365",'депозитный калькулятор'!$G$7="30/360"),AND(MONTH(F700)=2,EOMONTH(F700,0)=F700)),IF(DAY(F700)=28,3,2),1)*IF(G700&gt;='депозитный калькулятор'!$G$11,IF(AND('депозитный калькулятор'!$G$7="факт/факт",MOD(YEAR(F700),4)=0),G700*'депозитный калькулятор'!$D$11/366,G700*'депозитный калькулятор'!$G$8),0))</f>
        <v xml:space="preserve"> </v>
      </c>
      <c r="R700" s="158"/>
      <c r="S700" s="62" t="str">
        <f t="shared" ca="1" si="52"/>
        <v xml:space="preserve"> </v>
      </c>
      <c r="T700" s="149" t="str">
        <f ca="1">IF(S700=" "," ",IF('депозитный калькулятор'!$G$7="30/360",DAYS360(U699,IF(DAY(U700)=31,U700-1,U700))+IF(AND(MONTH(U700)=2,U700=EOMONTH(U700,0)),30-DAY(EOMONTH(U700,0)))+T699,VLOOKUP(S700,$C$22:$F$1023,2,0)))</f>
        <v xml:space="preserve"> </v>
      </c>
      <c r="U700" s="64" t="str">
        <f t="shared" ca="1" si="50"/>
        <v xml:space="preserve"> </v>
      </c>
      <c r="V700" s="150" t="str">
        <f t="shared" ca="1" si="53"/>
        <v xml:space="preserve"> </v>
      </c>
      <c r="W700" s="62" t="str">
        <f t="shared" ca="1" si="54"/>
        <v xml:space="preserve"> </v>
      </c>
      <c r="X700" s="141" t="str">
        <f ca="1">IF(S700=" "," ",IFERROR(VLOOKUP(U700,$F$23:$N$1023,7)+VLOOKUP(U700,$F$23:$N$1023,9)+IF(AND('депозитный калькулятор'!$G$13="нет",U700&lt;&gt;'депозитный калькулятор'!$D$8),VLOOKUP(U700,$F$23:$N$1023,4),0),0)+IF(U700='депозитный калькулятор'!$D$8,VLOOKUP(U700,$F$23:$N$1023,2)+VLOOKUP(U700,$F$23:$N$1023,4),0))</f>
        <v xml:space="preserve"> </v>
      </c>
      <c r="Y700" s="142" t="str">
        <f ca="1">IF(S700=" "," ",W700/(1+'депозитный калькулятор'!$K$8)^(T700/IF('депозитный калькулятор'!$G$7="30/360",360,365)))</f>
        <v xml:space="preserve"> </v>
      </c>
      <c r="Z700" s="142" t="str">
        <f ca="1">IF(S700=" "," ",X700/(1+'депозитный калькулятор'!$K$8)^(T700/IF('депозитный калькулятор'!$G$7="30/360",360,365)))</f>
        <v xml:space="preserve"> </v>
      </c>
      <c r="AA700" s="151"/>
      <c r="AB700" s="151"/>
      <c r="AC700" s="155"/>
      <c r="AD700" s="155"/>
    </row>
    <row r="701" spans="1:30" s="2" customFormat="1" ht="15.5" x14ac:dyDescent="0.35">
      <c r="A701" s="41" t="str">
        <f>IF(F701=" "," ",IF(OR('депозитный калькулятор'!$G$7="30/365",'депозитный калькулятор'!$G$7="30/360"),IF(AND(MONTH(F701)=2,DAY(F701)=DAY(EOMONTH(F701,0))),30-DAY(EOMONTH(F701,0)),IF(DAY(F701)=31,1," "))," "))</f>
        <v xml:space="preserve"> </v>
      </c>
      <c r="B701" s="130" t="str">
        <f t="shared" si="51"/>
        <v xml:space="preserve"> </v>
      </c>
      <c r="C701" s="130" t="str">
        <f>IF(OR(B701=0,B701=" ")," ",SUM($B$23:B701))</f>
        <v xml:space="preserve"> </v>
      </c>
      <c r="D701" s="62" t="str">
        <f>IF(D700=" "," ",IF(OR(F700='депозитный калькулятор'!$D$8,F700=" ")," ",D700+1))</f>
        <v xml:space="preserve"> </v>
      </c>
      <c r="E701" s="130" t="str">
        <f>IF(OR(F700='депозитный калькулятор'!$D$8,F700=" ")," ",IF(EOMONTH(F700,0)=F700,1,E700+1))</f>
        <v xml:space="preserve"> </v>
      </c>
      <c r="F701" s="64" t="str">
        <f>IF(F700=" "," ",IF(F700='депозитный калькулятор'!$D$8," ",F700+1))</f>
        <v xml:space="preserve"> </v>
      </c>
      <c r="G701" s="145" t="str">
        <f xml:space="preserve"> IF(F701&gt;'депозитный калькулятор'!$D$8," ",IF('депозитный калькулятор'!$G$13="есть",IF('депозитный калькулятор'!$G$14="есть",G700+IF(I700=" ",0,I700)-J701-K701+L701+M701-N701,G700+IF(I700=" ",0,I700)-J701-K701+M701-N701),IF('депозитный калькулятор'!$G$14="есть",G700-J701-K701+L701+M701-N701,G700-J701-K701+M701-N701)))</f>
        <v xml:space="preserve"> </v>
      </c>
      <c r="H701" s="133" t="str">
        <f>IF(F701&gt;'депозитный калькулятор'!$D$8," ",IF(AND(OR('депозитный калькулятор'!$G$7="30/365",'депозитный калькулятор'!$G$7="30/360"),AND(MONTH(F701)=2,EOMONTH(F701,0)=F701)),IF(DAY(F701)=28,3*G701*'депозитный калькулятор'!$G$8,2*G701*'депозитный калькулятор'!$G$8),IF(AND(OR('депозитный калькулятор'!$G$7="30/365",'депозитный калькулятор'!$G$7="30/360"),DAY(F701)=31)," ",IF(AND('депозитный калькулятор'!$G$7="факт/факт",MOD(YEAR(F701),4)=0),G701*'депозитный калькулятор'!$D$11/366,G701*'депозитный калькулятор'!$G$8))))</f>
        <v xml:space="preserve"> </v>
      </c>
      <c r="I701" s="134" t="str">
        <f ca="1">IF(F701=" "," ",IF('депозитный калькулятор'!$G$10="ежедневное",H701,IF(AND('депозитный калькулятор'!$G$10="еженедельное",WEEKDAY(F701,2)=7),SUM(OFFSET(H701,-6,0):H701),IF(AND('депозитный калькулятор'!$G$10="еженедельное",F701='депозитный калькулятор'!$D$8),SUM($H$23:H701)-SUM($I$23:I700),IF(AND('депозитный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недели",WEEKDAY(F701,2)=7),MIN(OFFSET(H701,-6,0):H701)*(COUNTIF(OFFSET(H701,-6,0):H701,"&gt;0")+SUMIF(OFFSET(A701,-WEEKDAY(F701,2),0):A701,"=2",OFFSET(A701,-WEEKDAY(F701,2),0):A701)),IF(AND('депозитный калькулятор'!$G$10="еженедельное, на минимальную сумму зафиксированную в течение недели",F701='депозитный калькулятор'!$D$8,WEEKDAY(F701,2)&lt;&gt;7),MIN(OFFSET(H701,-WEEKDAY(F701,2),0):H701)*(COUNTIF(OFFSET(H701,-WEEKDAY(F701,2)+1,0):H701,"&gt;0")+SUM(OFFSET(A701,-WEEKDAY(F701,2),0):A701)),IF(AND('депозитный калькулятор'!$G$10="ежемесячное (в конце месяца)",F701='депозитный калькулятор'!$D$8,EOMONTH(F701,0)&lt;&gt;F701),IF('депозитный калькулятор'!$F$1=1,$H$24,SUM($H$23:H701)-SUM($I$23:I700)),IF(AND('депозитный калькулятор'!$G$10="ежемесячное (в конце месяца)",EOMONTH(F701,0)=F701),SUM($H$23:H701)-SUM($I$23:I700),IF(AND('депозитный калькулятор'!$G$10="ежемесячное (по дням открытия вклада)",F701='депозитный калькулятор'!$D$8,DAY('депозитный калькулятор'!$D$7)&lt;&gt;DAY(F701)),IF('депозитный калькулятор'!$F$1=1,$H$24,SUM($H$23:H701)-SUM($I$23:I700)),IF(AND('депозитный калькулятор'!$G$10="ежемесячное (по дням открытия вклада)",DAY('депозитный калькулятор'!$D$7)=DAY(F701)),SUM($H$23:H701)-SUM($I$23:I700),IF(AND('депозитный калькулятор'!$G$10="ежемесячное, на минимальную сумму зафиксированную в течение месяца",F701='депозитный калькулятор'!$D$8,EOMONTH(F701,0)&lt;&gt;F701),IF('депозитный калькулятор'!$F$1=1,$H$24,IF(AND(OR('депозитный калькулятор'!$G$7="30/365",'депозитный калькулятор'!$G$7="30/360"),DAY(F701)=31),0,MIN(OFFSET(H701,-E701+1,0):H701)*(E701+SUMIF(OFFSET(A701,-E701+1,0):A701,"=2",OFFSET(A701,-E701+1,0):A701)))),IF(AND('депозитный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калькулятор'!$G$7="30/360"),DAY(EOMONTH(F701,0))=31),EOMONTH(F701,0)-1=F701,EOMONTH(F701,0)=F701)),IF(IF(AND(OR('депозитный калькулятор'!$G$7="30/365",'депозитный калькулятор'!$G$7="30/360"),DAY(EOMONTH($F$23,0))=31),F701=EOMONTH($F$23,0)-1,F701=EOMONTH($F$23,0)),MIN(OFFSET(H701,-(DAY(F701)-DAY($F$23)),0):H701)*E701,MIN(OFFSET(H701,-(DAY(F701)-1),0):H701)*IF(AND(OR('депозитный калькулятор'!$G$7="30/365",'депозитный калькулятор'!$G$7="30/360"),DAY(F701)&lt;30),30,DAY(F701))),IF(AND('депозитный калькулятор'!$G$10="ежемесячное, на средний остаток в течение месяца, при условии что остаток больше чем ограничение",F701='депозитный калькулятор'!$D$8,EOMONTH(F701,0)&lt;&gt;F701),IF('депозитный калькулятор'!$F$1=1,$H$24,SUM(OFFSET(Q701,-E701+1,0):Q701)),IF(AND('депозитный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калькулятор'!$G$7="30/360"),DAY(EOMONTH(F701,0))=31),EOMONTH(F701,0)-1=F701,EOMONTH(F701,0)=F701)),IF(IF(AND(OR('депозитный калькулятор'!$G$7="30/365",'депозитный калькулятор'!$G$7="30/360"),DAY(EOMONTH($F$24,0))=31),F701=EOMONTH($F$24,0)-1,F701=EOMONTH($F$24,0)),SUM(OFFSET(Q701,-E701+1,0):Q701),SUM(OFFSET(Q701,-E701+1,0):Q701)),IF('депозитный калькулятор'!$G$10="ежеквартальное",IF(F701&gt;'депозитный калькулятор'!$D$8," ",IF(AND(EOMONTH(F701,0)=F701,OR(MONTH(F701)=3,MONTH(F701)=6,MONTH(F701)=9,MONTH(F701)=12)),IF(EDATE(F701,-3)&lt;'депозитный калькулятор'!$D$7,SUM($H$23:H701),IF(MOD(YEAR(F701),4)=0,IF(AND(EOMONTH(F701,0)=F701,OR(MONTH(F701)=3,MONTH(F701)=6)),SUM(OFFSET(H701,-90,0):H701),IF(AND(EOMONTH(F701,0)=F701,OR(MONTH(F701)=9,MONTH(F701)=12)),SUM(OFFSET(H701,-91,0):H701))),IF(AND(EOMONTH(F701,0)=F701,MONTH(F701)=3),SUM(OFFSET(H701,-89,0):H701),IF(AND(EOMONTH(F701,0)=F701,MONTH(F701)=6),SUM(OFFSET(H701,-90,0):H701),IF(AND(EOMONTH(F701,0)=F701,OR(MONTH(F701)=9,MONTH(F701)=12)),SUM(OFFSET(H701,-91,0):H701)))))),IF(F701='депозитный калькулятор'!$D$8,SUM($H$23:H701)-SUM($I$23:I700),0))),IF('депозитный калькулятор'!$G$10="ежегодное",IF(F701&gt;'депозитный калькулятор'!$D$8," ",IF(F701='депозитный калькулятор'!$D$8,SUM($H$23:H701)-SUM($I$23:I700),IF(AND(EOMONTH(F701,0)=F701,MONTH(F701)=12),IF(MOD(YEAR(F700),4)=0,IF(F701-'депозитный калькулятор'!$D$7&lt;366,SUM($H$23:H701),SUM(OFFSET(H701,-365,0):H701)),IF(F701-'депозитный калькулятор'!$D$7&lt;365,SUM($H$23:H701),SUM(OFFSET(H701,-364,0):H701))),0))),IF(AND('депозитный калькулятор'!$G$10="в конце срока",'депозитный калькулятор'!$D$8=F701),SUM($H$23:H701),0))))))))))))))))))</f>
        <v xml:space="preserve"> </v>
      </c>
      <c r="J701" s="59" t="str">
        <f>IF(F701&gt;'депозитный калькулятор'!$D$8," ",IF('депозитный калькулятор'!$G$16="нет",0,IF(AND('депозитный калькулятор'!$G$17="разовая (в конце срока)",F701='депозитный калькулятор'!$D$8),'депозитный калькулятор'!$G$18,IF(AND('депозитный калькулятор'!$G$17="ежемесячная",EOMONTH(F700,0)=F700),'депозитный калькулятор'!$G$18,IF(AND('депозитный калькулятор'!$G$17="ежегодная",DAY(F700)=31,MONTH(F700)=12),'депозитный калькулятор'!$G$18,IF(AND('депозитный калькулятор'!$G$17="ежемесячная в зависимости от остатка",EOMONTH(F700,0)=F700,P700&gt;0),'депозитный калькулятор'!$G$18,IF(AND('депозитный калькулятор'!$G$17="ежегодная в зависимости от остатка",DAY(F700)=31,MONTH(F700)=12,P700&gt;0),'депозитный калькулятор'!$G$18,0)))))))</f>
        <v xml:space="preserve"> </v>
      </c>
      <c r="K701" s="135" t="str">
        <f>IF($F701=" "," ",IFERROR(VLOOKUP($F701,'депозитный калькулятор'!$B$26:$F$70,2,0),0))</f>
        <v xml:space="preserve"> </v>
      </c>
      <c r="L701" s="135" t="str">
        <f>IF($F701=" "," ",IFERROR(VLOOKUP($F701,'депозитный калькулятор'!$B$26:$F$70,3,0),0))</f>
        <v xml:space="preserve"> </v>
      </c>
      <c r="M701" s="135" t="str">
        <f>IF($F701=" "," ",IFERROR(VLOOKUP($F701,'депозитный калькулятор'!$B$26:$F$70,4,0),0))</f>
        <v xml:space="preserve"> </v>
      </c>
      <c r="N701" s="135" t="str">
        <f>IF($F701=" "," ",IFERROR(VLOOKUP($F701,'депозитный калькулятор'!$B$26:$F$70,5,0),0))</f>
        <v xml:space="preserve"> </v>
      </c>
      <c r="O701" s="146" t="str">
        <f>IF(F701&gt;'депозитный калькулятор'!$D$8," ",IF(F701='депозитный калькулятор'!$D$8,IF(AND($F$24='депозитный калькулятор'!$D$8,'депозитный калькулятор'!$G$13="нет"),-G701-IF(I701=" ",0,I701)-IF(AND(OR('депозитный калькулятор'!$G$7="30/365",'депозитный калькулятор'!$G$7="30/360"),'депозитный калькулятор'!$G$10="в начале срока"),I700,0)-L701+M701-N701,-G701-IF(I701=" ",0,I701)-L701+M701-N701),IF('депозитный калькулятор'!$G$13="есть",M701-N701+IF('депозитный калькулятор'!$G$14="есть",0,-L701),-IF(I701=" ",0,I701)-IF(AND(OR('депозитный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срока"),I700,0)+M701-N701+IF('депозитный калькулятор'!$G$14="есть",0,-L701))))</f>
        <v xml:space="preserve"> </v>
      </c>
      <c r="P701" s="147" t="str">
        <f>IF(F701&gt;'депозитный калькулятор'!$D$8," ",IF(EOMONTH(F700,0)=F700,0,IF(G701&gt;='депозитный калькулятор'!$G$19,P700,P700+1)))</f>
        <v xml:space="preserve"> </v>
      </c>
      <c r="Q701" s="138" t="str">
        <f>IF(F701=" "," ",IF(AND(OR('депозитный калькулятор'!$G$7="30/365",'депозитный калькулятор'!$G$7="30/360"),AND(MONTH(F701)=2,EOMONTH(F701,0)=F701)),IF(DAY(F701)=28,3,2),1)*IF(G701&gt;='депозитный калькулятор'!$G$11,IF(AND('депозитный калькулятор'!$G$7="факт/факт",MOD(YEAR(F701),4)=0),G701*'депозитный калькулятор'!$D$11/366,G701*'депозитный калькулятор'!$G$8),0))</f>
        <v xml:space="preserve"> </v>
      </c>
      <c r="R701" s="158"/>
      <c r="S701" s="62" t="str">
        <f t="shared" ca="1" si="52"/>
        <v xml:space="preserve"> </v>
      </c>
      <c r="T701" s="149" t="str">
        <f ca="1">IF(S701=" "," ",IF('депозитный калькулятор'!$G$7="30/360",DAYS360(U700,IF(DAY(U701)=31,U701-1,U701))+IF(AND(MONTH(U701)=2,U701=EOMONTH(U701,0)),30-DAY(EOMONTH(U701,0)))+T700,VLOOKUP(S701,$C$22:$F$1023,2,0)))</f>
        <v xml:space="preserve"> </v>
      </c>
      <c r="U701" s="64" t="str">
        <f t="shared" ca="1" si="50"/>
        <v xml:space="preserve"> </v>
      </c>
      <c r="V701" s="150" t="str">
        <f t="shared" ca="1" si="53"/>
        <v xml:space="preserve"> </v>
      </c>
      <c r="W701" s="62" t="str">
        <f t="shared" ca="1" si="54"/>
        <v xml:space="preserve"> </v>
      </c>
      <c r="X701" s="141" t="str">
        <f ca="1">IF(S701=" "," ",IFERROR(VLOOKUP(U701,$F$23:$N$1023,7)+VLOOKUP(U701,$F$23:$N$1023,9)+IF(AND('депозитный калькулятор'!$G$13="нет",U701&lt;&gt;'депозитный калькулятор'!$D$8),VLOOKUP(U701,$F$23:$N$1023,4),0),0)+IF(U701='депозитный калькулятор'!$D$8,VLOOKUP(U701,$F$23:$N$1023,2)+VLOOKUP(U701,$F$23:$N$1023,4),0))</f>
        <v xml:space="preserve"> </v>
      </c>
      <c r="Y701" s="142" t="str">
        <f ca="1">IF(S701=" "," ",W701/(1+'депозитный калькулятор'!$K$8)^(T701/IF('депозитный калькулятор'!$G$7="30/360",360,365)))</f>
        <v xml:space="preserve"> </v>
      </c>
      <c r="Z701" s="142" t="str">
        <f ca="1">IF(S701=" "," ",X701/(1+'депозитный калькулятор'!$K$8)^(T701/IF('депозитный калькулятор'!$G$7="30/360",360,365)))</f>
        <v xml:space="preserve"> </v>
      </c>
      <c r="AA701" s="151"/>
      <c r="AB701" s="151"/>
      <c r="AC701" s="155"/>
      <c r="AD701" s="155"/>
    </row>
    <row r="702" spans="1:30" s="2" customFormat="1" ht="15.5" x14ac:dyDescent="0.35">
      <c r="A702" s="41" t="str">
        <f>IF(F702=" "," ",IF(OR('депозитный калькулятор'!$G$7="30/365",'депозитный калькулятор'!$G$7="30/360"),IF(AND(MONTH(F702)=2,DAY(F702)=DAY(EOMONTH(F702,0))),30-DAY(EOMONTH(F702,0)),IF(DAY(F702)=31,1," "))," "))</f>
        <v xml:space="preserve"> </v>
      </c>
      <c r="B702" s="130" t="str">
        <f t="shared" si="51"/>
        <v xml:space="preserve"> </v>
      </c>
      <c r="C702" s="130" t="str">
        <f>IF(OR(B702=0,B702=" ")," ",SUM($B$23:B702))</f>
        <v xml:space="preserve"> </v>
      </c>
      <c r="D702" s="62" t="str">
        <f>IF(D701=" "," ",IF(OR(F701='депозитный калькулятор'!$D$8,F701=" ")," ",D701+1))</f>
        <v xml:space="preserve"> </v>
      </c>
      <c r="E702" s="130" t="str">
        <f>IF(OR(F701='депозитный калькулятор'!$D$8,F701=" ")," ",IF(EOMONTH(F701,0)=F701,1,E701+1))</f>
        <v xml:space="preserve"> </v>
      </c>
      <c r="F702" s="64" t="str">
        <f>IF(F701=" "," ",IF(F701='депозитный калькулятор'!$D$8," ",F701+1))</f>
        <v xml:space="preserve"> </v>
      </c>
      <c r="G702" s="145" t="str">
        <f xml:space="preserve"> IF(F702&gt;'депозитный калькулятор'!$D$8," ",IF('депозитный калькулятор'!$G$13="есть",IF('депозитный калькулятор'!$G$14="есть",G701+IF(I701=" ",0,I701)-J702-K702+L702+M702-N702,G701+IF(I701=" ",0,I701)-J702-K702+M702-N702),IF('депозитный калькулятор'!$G$14="есть",G701-J702-K702+L702+M702-N702,G701-J702-K702+M702-N702)))</f>
        <v xml:space="preserve"> </v>
      </c>
      <c r="H702" s="133" t="str">
        <f>IF(F702&gt;'депозитный калькулятор'!$D$8," ",IF(AND(OR('депозитный калькулятор'!$G$7="30/365",'депозитный калькулятор'!$G$7="30/360"),AND(MONTH(F702)=2,EOMONTH(F702,0)=F702)),IF(DAY(F702)=28,3*G702*'депозитный калькулятор'!$G$8,2*G702*'депозитный калькулятор'!$G$8),IF(AND(OR('депозитный калькулятор'!$G$7="30/365",'депозитный калькулятор'!$G$7="30/360"),DAY(F702)=31)," ",IF(AND('депозитный калькулятор'!$G$7="факт/факт",MOD(YEAR(F702),4)=0),G702*'депозитный калькулятор'!$D$11/366,G702*'депозитный калькулятор'!$G$8))))</f>
        <v xml:space="preserve"> </v>
      </c>
      <c r="I702" s="134" t="str">
        <f ca="1">IF(F702=" "," ",IF('депозитный калькулятор'!$G$10="ежедневное",H702,IF(AND('депозитный калькулятор'!$G$10="еженедельное",WEEKDAY(F702,2)=7),SUM(OFFSET(H702,-6,0):H702),IF(AND('депозитный калькулятор'!$G$10="еженедельное",F702='депозитный калькулятор'!$D$8),SUM($H$23:H702)-SUM($I$23:I701),IF(AND('депозитный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недели",WEEKDAY(F702,2)=7),MIN(OFFSET(H702,-6,0):H702)*(COUNTIF(OFFSET(H702,-6,0):H702,"&gt;0")+SUMIF(OFFSET(A702,-WEEKDAY(F702,2),0):A702,"=2",OFFSET(A702,-WEEKDAY(F702,2),0):A702)),IF(AND('депозитный калькулятор'!$G$10="еженедельное, на минимальную сумму зафиксированную в течение недели",F702='депозитный калькулятор'!$D$8,WEEKDAY(F702,2)&lt;&gt;7),MIN(OFFSET(H702,-WEEKDAY(F702,2),0):H702)*(COUNTIF(OFFSET(H702,-WEEKDAY(F702,2)+1,0):H702,"&gt;0")+SUM(OFFSET(A702,-WEEKDAY(F702,2),0):A702)),IF(AND('депозитный калькулятор'!$G$10="ежемесячное (в конце месяца)",F702='депозитный калькулятор'!$D$8,EOMONTH(F702,0)&lt;&gt;F702),IF('депозитный калькулятор'!$F$1=1,$H$24,SUM($H$23:H702)-SUM($I$23:I701)),IF(AND('депозитный калькулятор'!$G$10="ежемесячное (в конце месяца)",EOMONTH(F702,0)=F702),SUM($H$23:H702)-SUM($I$23:I701),IF(AND('депозитный калькулятор'!$G$10="ежемесячное (по дням открытия вклада)",F702='депозитный калькулятор'!$D$8,DAY('депозитный калькулятор'!$D$7)&lt;&gt;DAY(F702)),IF('депозитный калькулятор'!$F$1=1,$H$24,SUM($H$23:H702)-SUM($I$23:I701)),IF(AND('депозитный калькулятор'!$G$10="ежемесячное (по дням открытия вклада)",DAY('депозитный калькулятор'!$D$7)=DAY(F702)),SUM($H$23:H702)-SUM($I$23:I701),IF(AND('депозитный калькулятор'!$G$10="ежемесячное, на минимальную сумму зафиксированную в течение месяца",F702='депозитный калькулятор'!$D$8,EOMONTH(F702,0)&lt;&gt;F702),IF('депозитный калькулятор'!$F$1=1,$H$24,IF(AND(OR('депозитный калькулятор'!$G$7="30/365",'депозитный калькулятор'!$G$7="30/360"),DAY(F702)=31),0,MIN(OFFSET(H702,-E702+1,0):H702)*(E702+SUMIF(OFFSET(A702,-E702+1,0):A702,"=2",OFFSET(A702,-E702+1,0):A702)))),IF(AND('депозитный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калькулятор'!$G$7="30/360"),DAY(EOMONTH(F702,0))=31),EOMONTH(F702,0)-1=F702,EOMONTH(F702,0)=F702)),IF(IF(AND(OR('депозитный калькулятор'!$G$7="30/365",'депозитный калькулятор'!$G$7="30/360"),DAY(EOMONTH($F$23,0))=31),F702=EOMONTH($F$23,0)-1,F702=EOMONTH($F$23,0)),MIN(OFFSET(H702,-(DAY(F702)-DAY($F$23)),0):H702)*E702,MIN(OFFSET(H702,-(DAY(F702)-1),0):H702)*IF(AND(OR('депозитный калькулятор'!$G$7="30/365",'депозитный калькулятор'!$G$7="30/360"),DAY(F702)&lt;30),30,DAY(F702))),IF(AND('депозитный калькулятор'!$G$10="ежемесячное, на средний остаток в течение месяца, при условии что остаток больше чем ограничение",F702='депозитный калькулятор'!$D$8,EOMONTH(F702,0)&lt;&gt;F702),IF('депозитный калькулятор'!$F$1=1,$H$24,SUM(OFFSET(Q702,-E702+1,0):Q702)),IF(AND('депозитный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калькулятор'!$G$7="30/360"),DAY(EOMONTH(F702,0))=31),EOMONTH(F702,0)-1=F702,EOMONTH(F702,0)=F702)),IF(IF(AND(OR('депозитный калькулятор'!$G$7="30/365",'депозитный калькулятор'!$G$7="30/360"),DAY(EOMONTH($F$24,0))=31),F702=EOMONTH($F$24,0)-1,F702=EOMONTH($F$24,0)),SUM(OFFSET(Q702,-E702+1,0):Q702),SUM(OFFSET(Q702,-E702+1,0):Q702)),IF('депозитный калькулятор'!$G$10="ежеквартальное",IF(F702&gt;'депозитный калькулятор'!$D$8," ",IF(AND(EOMONTH(F702,0)=F702,OR(MONTH(F702)=3,MONTH(F702)=6,MONTH(F702)=9,MONTH(F702)=12)),IF(EDATE(F702,-3)&lt;'депозитный калькулятор'!$D$7,SUM($H$23:H702),IF(MOD(YEAR(F702),4)=0,IF(AND(EOMONTH(F702,0)=F702,OR(MONTH(F702)=3,MONTH(F702)=6)),SUM(OFFSET(H702,-90,0):H702),IF(AND(EOMONTH(F702,0)=F702,OR(MONTH(F702)=9,MONTH(F702)=12)),SUM(OFFSET(H702,-91,0):H702))),IF(AND(EOMONTH(F702,0)=F702,MONTH(F702)=3),SUM(OFFSET(H702,-89,0):H702),IF(AND(EOMONTH(F702,0)=F702,MONTH(F702)=6),SUM(OFFSET(H702,-90,0):H702),IF(AND(EOMONTH(F702,0)=F702,OR(MONTH(F702)=9,MONTH(F702)=12)),SUM(OFFSET(H702,-91,0):H702)))))),IF(F702='депозитный калькулятор'!$D$8,SUM($H$23:H702)-SUM($I$23:I701),0))),IF('депозитный калькулятор'!$G$10="ежегодное",IF(F702&gt;'депозитный калькулятор'!$D$8," ",IF(F702='депозитный калькулятор'!$D$8,SUM($H$23:H702)-SUM($I$23:I701),IF(AND(EOMONTH(F702,0)=F702,MONTH(F702)=12),IF(MOD(YEAR(F701),4)=0,IF(F702-'депозитный калькулятор'!$D$7&lt;366,SUM($H$23:H702),SUM(OFFSET(H702,-365,0):H702)),IF(F702-'депозитный калькулятор'!$D$7&lt;365,SUM($H$23:H702),SUM(OFFSET(H702,-364,0):H702))),0))),IF(AND('депозитный калькулятор'!$G$10="в конце срока",'депозитный калькулятор'!$D$8=F702),SUM($H$23:H702),0))))))))))))))))))</f>
        <v xml:space="preserve"> </v>
      </c>
      <c r="J702" s="59" t="str">
        <f>IF(F702&gt;'депозитный калькулятор'!$D$8," ",IF('депозитный калькулятор'!$G$16="нет",0,IF(AND('депозитный калькулятор'!$G$17="разовая (в конце срока)",F702='депозитный калькулятор'!$D$8),'депозитный калькулятор'!$G$18,IF(AND('депозитный калькулятор'!$G$17="ежемесячная",EOMONTH(F701,0)=F701),'депозитный калькулятор'!$G$18,IF(AND('депозитный калькулятор'!$G$17="ежегодная",DAY(F701)=31,MONTH(F701)=12),'депозитный калькулятор'!$G$18,IF(AND('депозитный калькулятор'!$G$17="ежемесячная в зависимости от остатка",EOMONTH(F701,0)=F701,P701&gt;0),'депозитный калькулятор'!$G$18,IF(AND('депозитный калькулятор'!$G$17="ежегодная в зависимости от остатка",DAY(F701)=31,MONTH(F701)=12,P701&gt;0),'депозитный калькулятор'!$G$18,0)))))))</f>
        <v xml:space="preserve"> </v>
      </c>
      <c r="K702" s="135" t="str">
        <f>IF($F702=" "," ",IFERROR(VLOOKUP($F702,'депозитный калькулятор'!$B$26:$F$70,2,0),0))</f>
        <v xml:space="preserve"> </v>
      </c>
      <c r="L702" s="135" t="str">
        <f>IF($F702=" "," ",IFERROR(VLOOKUP($F702,'депозитный калькулятор'!$B$26:$F$70,3,0),0))</f>
        <v xml:space="preserve"> </v>
      </c>
      <c r="M702" s="135" t="str">
        <f>IF($F702=" "," ",IFERROR(VLOOKUP($F702,'депозитный калькулятор'!$B$26:$F$70,4,0),0))</f>
        <v xml:space="preserve"> </v>
      </c>
      <c r="N702" s="135" t="str">
        <f>IF($F702=" "," ",IFERROR(VLOOKUP($F702,'депозитный калькулятор'!$B$26:$F$70,5,0),0))</f>
        <v xml:space="preserve"> </v>
      </c>
      <c r="O702" s="146" t="str">
        <f>IF(F702&gt;'депозитный калькулятор'!$D$8," ",IF(F702='депозитный калькулятор'!$D$8,IF(AND($F$24='депозитный калькулятор'!$D$8,'депозитный калькулятор'!$G$13="нет"),-G702-IF(I702=" ",0,I702)-IF(AND(OR('депозитный калькулятор'!$G$7="30/365",'депозитный калькулятор'!$G$7="30/360"),'депозитный калькулятор'!$G$10="в начале срока"),I701,0)-L702+M702-N702,-G702-IF(I702=" ",0,I702)-L702+M702-N702),IF('депозитный калькулятор'!$G$13="есть",M702-N702+IF('депозитный калькулятор'!$G$14="есть",0,-L702),-IF(I702=" ",0,I702)-IF(AND(OR('депозитный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срока"),I701,0)+M702-N702+IF('депозитный калькулятор'!$G$14="есть",0,-L702))))</f>
        <v xml:space="preserve"> </v>
      </c>
      <c r="P702" s="147" t="str">
        <f>IF(F702&gt;'депозитный калькулятор'!$D$8," ",IF(EOMONTH(F701,0)=F701,0,IF(G702&gt;='депозитный калькулятор'!$G$19,P701,P701+1)))</f>
        <v xml:space="preserve"> </v>
      </c>
      <c r="Q702" s="138" t="str">
        <f>IF(F702=" "," ",IF(AND(OR('депозитный калькулятор'!$G$7="30/365",'депозитный калькулятор'!$G$7="30/360"),AND(MONTH(F702)=2,EOMONTH(F702,0)=F702)),IF(DAY(F702)=28,3,2),1)*IF(G702&gt;='депозитный калькулятор'!$G$11,IF(AND('депозитный калькулятор'!$G$7="факт/факт",MOD(YEAR(F702),4)=0),G702*'депозитный калькулятор'!$D$11/366,G702*'депозитный калькулятор'!$G$8),0))</f>
        <v xml:space="preserve"> </v>
      </c>
      <c r="R702" s="158"/>
      <c r="S702" s="62" t="str">
        <f t="shared" ca="1" si="52"/>
        <v xml:space="preserve"> </v>
      </c>
      <c r="T702" s="149" t="str">
        <f ca="1">IF(S702=" "," ",IF('депозитный калькулятор'!$G$7="30/360",DAYS360(U701,IF(DAY(U702)=31,U702-1,U702))+IF(AND(MONTH(U702)=2,U702=EOMONTH(U702,0)),30-DAY(EOMONTH(U702,0)))+T701,VLOOKUP(S702,$C$22:$F$1023,2,0)))</f>
        <v xml:space="preserve"> </v>
      </c>
      <c r="U702" s="64" t="str">
        <f t="shared" ca="1" si="50"/>
        <v xml:space="preserve"> </v>
      </c>
      <c r="V702" s="150" t="str">
        <f t="shared" ca="1" si="53"/>
        <v xml:space="preserve"> </v>
      </c>
      <c r="W702" s="62" t="str">
        <f t="shared" ca="1" si="54"/>
        <v xml:space="preserve"> </v>
      </c>
      <c r="X702" s="141" t="str">
        <f ca="1">IF(S702=" "," ",IFERROR(VLOOKUP(U702,$F$23:$N$1023,7)+VLOOKUP(U702,$F$23:$N$1023,9)+IF(AND('депозитный калькулятор'!$G$13="нет",U702&lt;&gt;'депозитный калькулятор'!$D$8),VLOOKUP(U702,$F$23:$N$1023,4),0),0)+IF(U702='депозитный калькулятор'!$D$8,VLOOKUP(U702,$F$23:$N$1023,2)+VLOOKUP(U702,$F$23:$N$1023,4),0))</f>
        <v xml:space="preserve"> </v>
      </c>
      <c r="Y702" s="142" t="str">
        <f ca="1">IF(S702=" "," ",W702/(1+'депозитный калькулятор'!$K$8)^(T702/IF('депозитный калькулятор'!$G$7="30/360",360,365)))</f>
        <v xml:space="preserve"> </v>
      </c>
      <c r="Z702" s="142" t="str">
        <f ca="1">IF(S702=" "," ",X702/(1+'депозитный калькулятор'!$K$8)^(T702/IF('депозитный калькулятор'!$G$7="30/360",360,365)))</f>
        <v xml:space="preserve"> </v>
      </c>
      <c r="AA702" s="151"/>
      <c r="AB702" s="151"/>
      <c r="AC702" s="155"/>
      <c r="AD702" s="155"/>
    </row>
    <row r="703" spans="1:30" s="2" customFormat="1" ht="15.5" x14ac:dyDescent="0.35">
      <c r="A703" s="41" t="str">
        <f>IF(F703=" "," ",IF(OR('депозитный калькулятор'!$G$7="30/365",'депозитный калькулятор'!$G$7="30/360"),IF(AND(MONTH(F703)=2,DAY(F703)=DAY(EOMONTH(F703,0))),30-DAY(EOMONTH(F703,0)),IF(DAY(F703)=31,1," "))," "))</f>
        <v xml:space="preserve"> </v>
      </c>
      <c r="B703" s="130" t="str">
        <f t="shared" si="51"/>
        <v xml:space="preserve"> </v>
      </c>
      <c r="C703" s="130" t="str">
        <f>IF(OR(B703=0,B703=" ")," ",SUM($B$23:B703))</f>
        <v xml:space="preserve"> </v>
      </c>
      <c r="D703" s="62" t="str">
        <f>IF(D702=" "," ",IF(OR(F702='депозитный калькулятор'!$D$8,F702=" ")," ",D702+1))</f>
        <v xml:space="preserve"> </v>
      </c>
      <c r="E703" s="130" t="str">
        <f>IF(OR(F702='депозитный калькулятор'!$D$8,F702=" ")," ",IF(EOMONTH(F702,0)=F702,1,E702+1))</f>
        <v xml:space="preserve"> </v>
      </c>
      <c r="F703" s="64" t="str">
        <f>IF(F702=" "," ",IF(F702='депозитный калькулятор'!$D$8," ",F702+1))</f>
        <v xml:space="preserve"> </v>
      </c>
      <c r="G703" s="145" t="str">
        <f xml:space="preserve"> IF(F703&gt;'депозитный калькулятор'!$D$8," ",IF('депозитный калькулятор'!$G$13="есть",IF('депозитный калькулятор'!$G$14="есть",G702+IF(I702=" ",0,I702)-J703-K703+L703+M703-N703,G702+IF(I702=" ",0,I702)-J703-K703+M703-N703),IF('депозитный калькулятор'!$G$14="есть",G702-J703-K703+L703+M703-N703,G702-J703-K703+M703-N703)))</f>
        <v xml:space="preserve"> </v>
      </c>
      <c r="H703" s="133" t="str">
        <f>IF(F703&gt;'депозитный калькулятор'!$D$8," ",IF(AND(OR('депозитный калькулятор'!$G$7="30/365",'депозитный калькулятор'!$G$7="30/360"),AND(MONTH(F703)=2,EOMONTH(F703,0)=F703)),IF(DAY(F703)=28,3*G703*'депозитный калькулятор'!$G$8,2*G703*'депозитный калькулятор'!$G$8),IF(AND(OR('депозитный калькулятор'!$G$7="30/365",'депозитный калькулятор'!$G$7="30/360"),DAY(F703)=31)," ",IF(AND('депозитный калькулятор'!$G$7="факт/факт",MOD(YEAR(F703),4)=0),G703*'депозитный калькулятор'!$D$11/366,G703*'депозитный калькулятор'!$G$8))))</f>
        <v xml:space="preserve"> </v>
      </c>
      <c r="I703" s="134" t="str">
        <f ca="1">IF(F703=" "," ",IF('депозитный калькулятор'!$G$10="ежедневное",H703,IF(AND('депозитный калькулятор'!$G$10="еженедельное",WEEKDAY(F703,2)=7),SUM(OFFSET(H703,-6,0):H703),IF(AND('депозитный калькулятор'!$G$10="еженедельное",F703='депозитный калькулятор'!$D$8),SUM($H$23:H703)-SUM($I$23:I702),IF(AND('депозитный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недели",WEEKDAY(F703,2)=7),MIN(OFFSET(H703,-6,0):H703)*(COUNTIF(OFFSET(H703,-6,0):H703,"&gt;0")+SUMIF(OFFSET(A703,-WEEKDAY(F703,2),0):A703,"=2",OFFSET(A703,-WEEKDAY(F703,2),0):A703)),IF(AND('депозитный калькулятор'!$G$10="еженедельное, на минимальную сумму зафиксированную в течение недели",F703='депозитный калькулятор'!$D$8,WEEKDAY(F703,2)&lt;&gt;7),MIN(OFFSET(H703,-WEEKDAY(F703,2),0):H703)*(COUNTIF(OFFSET(H703,-WEEKDAY(F703,2)+1,0):H703,"&gt;0")+SUM(OFFSET(A703,-WEEKDAY(F703,2),0):A703)),IF(AND('депозитный калькулятор'!$G$10="ежемесячное (в конце месяца)",F703='депозитный калькулятор'!$D$8,EOMONTH(F703,0)&lt;&gt;F703),IF('депозитный калькулятор'!$F$1=1,$H$24,SUM($H$23:H703)-SUM($I$23:I702)),IF(AND('депозитный калькулятор'!$G$10="ежемесячное (в конце месяца)",EOMONTH(F703,0)=F703),SUM($H$23:H703)-SUM($I$23:I702),IF(AND('депозитный калькулятор'!$G$10="ежемесячное (по дням открытия вклада)",F703='депозитный калькулятор'!$D$8,DAY('депозитный калькулятор'!$D$7)&lt;&gt;DAY(F703)),IF('депозитный калькулятор'!$F$1=1,$H$24,SUM($H$23:H703)-SUM($I$23:I702)),IF(AND('депозитный калькулятор'!$G$10="ежемесячное (по дням открытия вклада)",DAY('депозитный калькулятор'!$D$7)=DAY(F703)),SUM($H$23:H703)-SUM($I$23:I702),IF(AND('депозитный калькулятор'!$G$10="ежемесячное, на минимальную сумму зафиксированную в течение месяца",F703='депозитный калькулятор'!$D$8,EOMONTH(F703,0)&lt;&gt;F703),IF('депозитный калькулятор'!$F$1=1,$H$24,IF(AND(OR('депозитный калькулятор'!$G$7="30/365",'депозитный калькулятор'!$G$7="30/360"),DAY(F703)=31),0,MIN(OFFSET(H703,-E703+1,0):H703)*(E703+SUMIF(OFFSET(A703,-E703+1,0):A703,"=2",OFFSET(A703,-E703+1,0):A703)))),IF(AND('депозитный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калькулятор'!$G$7="30/360"),DAY(EOMONTH(F703,0))=31),EOMONTH(F703,0)-1=F703,EOMONTH(F703,0)=F703)),IF(IF(AND(OR('депозитный калькулятор'!$G$7="30/365",'депозитный калькулятор'!$G$7="30/360"),DAY(EOMONTH($F$23,0))=31),F703=EOMONTH($F$23,0)-1,F703=EOMONTH($F$23,0)),MIN(OFFSET(H703,-(DAY(F703)-DAY($F$23)),0):H703)*E703,MIN(OFFSET(H703,-(DAY(F703)-1),0):H703)*IF(AND(OR('депозитный калькулятор'!$G$7="30/365",'депозитный калькулятор'!$G$7="30/360"),DAY(F703)&lt;30),30,DAY(F703))),IF(AND('депозитный калькулятор'!$G$10="ежемесячное, на средний остаток в течение месяца, при условии что остаток больше чем ограничение",F703='депозитный калькулятор'!$D$8,EOMONTH(F703,0)&lt;&gt;F703),IF('депозитный калькулятор'!$F$1=1,$H$24,SUM(OFFSET(Q703,-E703+1,0):Q703)),IF(AND('депозитный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калькулятор'!$G$7="30/360"),DAY(EOMONTH(F703,0))=31),EOMONTH(F703,0)-1=F703,EOMONTH(F703,0)=F703)),IF(IF(AND(OR('депозитный калькулятор'!$G$7="30/365",'депозитный калькулятор'!$G$7="30/360"),DAY(EOMONTH($F$24,0))=31),F703=EOMONTH($F$24,0)-1,F703=EOMONTH($F$24,0)),SUM(OFFSET(Q703,-E703+1,0):Q703),SUM(OFFSET(Q703,-E703+1,0):Q703)),IF('депозитный калькулятор'!$G$10="ежеквартальное",IF(F703&gt;'депозитный калькулятор'!$D$8," ",IF(AND(EOMONTH(F703,0)=F703,OR(MONTH(F703)=3,MONTH(F703)=6,MONTH(F703)=9,MONTH(F703)=12)),IF(EDATE(F703,-3)&lt;'депозитный калькулятор'!$D$7,SUM($H$23:H703),IF(MOD(YEAR(F703),4)=0,IF(AND(EOMONTH(F703,0)=F703,OR(MONTH(F703)=3,MONTH(F703)=6)),SUM(OFFSET(H703,-90,0):H703),IF(AND(EOMONTH(F703,0)=F703,OR(MONTH(F703)=9,MONTH(F703)=12)),SUM(OFFSET(H703,-91,0):H703))),IF(AND(EOMONTH(F703,0)=F703,MONTH(F703)=3),SUM(OFFSET(H703,-89,0):H703),IF(AND(EOMONTH(F703,0)=F703,MONTH(F703)=6),SUM(OFFSET(H703,-90,0):H703),IF(AND(EOMONTH(F703,0)=F703,OR(MONTH(F703)=9,MONTH(F703)=12)),SUM(OFFSET(H703,-91,0):H703)))))),IF(F703='депозитный калькулятор'!$D$8,SUM($H$23:H703)-SUM($I$23:I702),0))),IF('депозитный калькулятор'!$G$10="ежегодное",IF(F703&gt;'депозитный калькулятор'!$D$8," ",IF(F703='депозитный калькулятор'!$D$8,SUM($H$23:H703)-SUM($I$23:I702),IF(AND(EOMONTH(F703,0)=F703,MONTH(F703)=12),IF(MOD(YEAR(F702),4)=0,IF(F703-'депозитный калькулятор'!$D$7&lt;366,SUM($H$23:H703),SUM(OFFSET(H703,-365,0):H703)),IF(F703-'депозитный калькулятор'!$D$7&lt;365,SUM($H$23:H703),SUM(OFFSET(H703,-364,0):H703))),0))),IF(AND('депозитный калькулятор'!$G$10="в конце срока",'депозитный калькулятор'!$D$8=F703),SUM($H$23:H703),0))))))))))))))))))</f>
        <v xml:space="preserve"> </v>
      </c>
      <c r="J703" s="59" t="str">
        <f>IF(F703&gt;'депозитный калькулятор'!$D$8," ",IF('депозитный калькулятор'!$G$16="нет",0,IF(AND('депозитный калькулятор'!$G$17="разовая (в конце срока)",F703='депозитный калькулятор'!$D$8),'депозитный калькулятор'!$G$18,IF(AND('депозитный калькулятор'!$G$17="ежемесячная",EOMONTH(F702,0)=F702),'депозитный калькулятор'!$G$18,IF(AND('депозитный калькулятор'!$G$17="ежегодная",DAY(F702)=31,MONTH(F702)=12),'депозитный калькулятор'!$G$18,IF(AND('депозитный калькулятор'!$G$17="ежемесячная в зависимости от остатка",EOMONTH(F702,0)=F702,P702&gt;0),'депозитный калькулятор'!$G$18,IF(AND('депозитный калькулятор'!$G$17="ежегодная в зависимости от остатка",DAY(F702)=31,MONTH(F702)=12,P702&gt;0),'депозитный калькулятор'!$G$18,0)))))))</f>
        <v xml:space="preserve"> </v>
      </c>
      <c r="K703" s="135" t="str">
        <f>IF($F703=" "," ",IFERROR(VLOOKUP($F703,'депозитный калькулятор'!$B$26:$F$70,2,0),0))</f>
        <v xml:space="preserve"> </v>
      </c>
      <c r="L703" s="135" t="str">
        <f>IF($F703=" "," ",IFERROR(VLOOKUP($F703,'депозитный калькулятор'!$B$26:$F$70,3,0),0))</f>
        <v xml:space="preserve"> </v>
      </c>
      <c r="M703" s="135" t="str">
        <f>IF($F703=" "," ",IFERROR(VLOOKUP($F703,'депозитный калькулятор'!$B$26:$F$70,4,0),0))</f>
        <v xml:space="preserve"> </v>
      </c>
      <c r="N703" s="135" t="str">
        <f>IF($F703=" "," ",IFERROR(VLOOKUP($F703,'депозитный калькулятор'!$B$26:$F$70,5,0),0))</f>
        <v xml:space="preserve"> </v>
      </c>
      <c r="O703" s="146" t="str">
        <f>IF(F703&gt;'депозитный калькулятор'!$D$8," ",IF(F703='депозитный калькулятор'!$D$8,IF(AND($F$24='депозитный калькулятор'!$D$8,'депозитный калькулятор'!$G$13="нет"),-G703-IF(I703=" ",0,I703)-IF(AND(OR('депозитный калькулятор'!$G$7="30/365",'депозитный калькулятор'!$G$7="30/360"),'депозитный калькулятор'!$G$10="в начале срока"),I702,0)-L703+M703-N703,-G703-IF(I703=" ",0,I703)-L703+M703-N703),IF('депозитный калькулятор'!$G$13="есть",M703-N703+IF('депозитный калькулятор'!$G$14="есть",0,-L703),-IF(I703=" ",0,I703)-IF(AND(OR('депозитный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срока"),I702,0)+M703-N703+IF('депозитный калькулятор'!$G$14="есть",0,-L703))))</f>
        <v xml:space="preserve"> </v>
      </c>
      <c r="P703" s="147" t="str">
        <f>IF(F703&gt;'депозитный калькулятор'!$D$8," ",IF(EOMONTH(F702,0)=F702,0,IF(G703&gt;='депозитный калькулятор'!$G$19,P702,P702+1)))</f>
        <v xml:space="preserve"> </v>
      </c>
      <c r="Q703" s="138" t="str">
        <f>IF(F703=" "," ",IF(AND(OR('депозитный калькулятор'!$G$7="30/365",'депозитный калькулятор'!$G$7="30/360"),AND(MONTH(F703)=2,EOMONTH(F703,0)=F703)),IF(DAY(F703)=28,3,2),1)*IF(G703&gt;='депозитный калькулятор'!$G$11,IF(AND('депозитный калькулятор'!$G$7="факт/факт",MOD(YEAR(F703),4)=0),G703*'депозитный калькулятор'!$D$11/366,G703*'депозитный калькулятор'!$G$8),0))</f>
        <v xml:space="preserve"> </v>
      </c>
      <c r="R703" s="158"/>
      <c r="S703" s="62" t="str">
        <f t="shared" ca="1" si="52"/>
        <v xml:space="preserve"> </v>
      </c>
      <c r="T703" s="149" t="str">
        <f ca="1">IF(S703=" "," ",IF('депозитный калькулятор'!$G$7="30/360",DAYS360(U702,IF(DAY(U703)=31,U703-1,U703))+IF(AND(MONTH(U703)=2,U703=EOMONTH(U703,0)),30-DAY(EOMONTH(U703,0)))+T702,VLOOKUP(S703,$C$22:$F$1023,2,0)))</f>
        <v xml:space="preserve"> </v>
      </c>
      <c r="U703" s="64" t="str">
        <f t="shared" ca="1" si="50"/>
        <v xml:space="preserve"> </v>
      </c>
      <c r="V703" s="150" t="str">
        <f t="shared" ca="1" si="53"/>
        <v xml:space="preserve"> </v>
      </c>
      <c r="W703" s="62" t="str">
        <f t="shared" ca="1" si="54"/>
        <v xml:space="preserve"> </v>
      </c>
      <c r="X703" s="141" t="str">
        <f ca="1">IF(S703=" "," ",IFERROR(VLOOKUP(U703,$F$23:$N$1023,7)+VLOOKUP(U703,$F$23:$N$1023,9)+IF(AND('депозитный калькулятор'!$G$13="нет",U703&lt;&gt;'депозитный калькулятор'!$D$8),VLOOKUP(U703,$F$23:$N$1023,4),0),0)+IF(U703='депозитный калькулятор'!$D$8,VLOOKUP(U703,$F$23:$N$1023,2)+VLOOKUP(U703,$F$23:$N$1023,4),0))</f>
        <v xml:space="preserve"> </v>
      </c>
      <c r="Y703" s="142" t="str">
        <f ca="1">IF(S703=" "," ",W703/(1+'депозитный калькулятор'!$K$8)^(T703/IF('депозитный калькулятор'!$G$7="30/360",360,365)))</f>
        <v xml:space="preserve"> </v>
      </c>
      <c r="Z703" s="142" t="str">
        <f ca="1">IF(S703=" "," ",X703/(1+'депозитный калькулятор'!$K$8)^(T703/IF('депозитный калькулятор'!$G$7="30/360",360,365)))</f>
        <v xml:space="preserve"> </v>
      </c>
      <c r="AA703" s="151"/>
      <c r="AB703" s="151"/>
      <c r="AC703" s="155"/>
      <c r="AD703" s="155"/>
    </row>
    <row r="704" spans="1:30" s="2" customFormat="1" ht="15.5" x14ac:dyDescent="0.35">
      <c r="A704" s="41" t="str">
        <f>IF(F704=" "," ",IF(OR('депозитный калькулятор'!$G$7="30/365",'депозитный калькулятор'!$G$7="30/360"),IF(AND(MONTH(F704)=2,DAY(F704)=DAY(EOMONTH(F704,0))),30-DAY(EOMONTH(F704,0)),IF(DAY(F704)=31,1," "))," "))</f>
        <v xml:space="preserve"> </v>
      </c>
      <c r="B704" s="130" t="str">
        <f t="shared" si="51"/>
        <v xml:space="preserve"> </v>
      </c>
      <c r="C704" s="130" t="str">
        <f>IF(OR(B704=0,B704=" ")," ",SUM($B$23:B704))</f>
        <v xml:space="preserve"> </v>
      </c>
      <c r="D704" s="62" t="str">
        <f>IF(D703=" "," ",IF(OR(F703='депозитный калькулятор'!$D$8,F703=" ")," ",D703+1))</f>
        <v xml:space="preserve"> </v>
      </c>
      <c r="E704" s="130" t="str">
        <f>IF(OR(F703='депозитный калькулятор'!$D$8,F703=" ")," ",IF(EOMONTH(F703,0)=F703,1,E703+1))</f>
        <v xml:space="preserve"> </v>
      </c>
      <c r="F704" s="64" t="str">
        <f>IF(F703=" "," ",IF(F703='депозитный калькулятор'!$D$8," ",F703+1))</f>
        <v xml:space="preserve"> </v>
      </c>
      <c r="G704" s="145" t="str">
        <f xml:space="preserve"> IF(F704&gt;'депозитный калькулятор'!$D$8," ",IF('депозитный калькулятор'!$G$13="есть",IF('депозитный калькулятор'!$G$14="есть",G703+IF(I703=" ",0,I703)-J704-K704+L704+M704-N704,G703+IF(I703=" ",0,I703)-J704-K704+M704-N704),IF('депозитный калькулятор'!$G$14="есть",G703-J704-K704+L704+M704-N704,G703-J704-K704+M704-N704)))</f>
        <v xml:space="preserve"> </v>
      </c>
      <c r="H704" s="133" t="str">
        <f>IF(F704&gt;'депозитный калькулятор'!$D$8," ",IF(AND(OR('депозитный калькулятор'!$G$7="30/365",'депозитный калькулятор'!$G$7="30/360"),AND(MONTH(F704)=2,EOMONTH(F704,0)=F704)),IF(DAY(F704)=28,3*G704*'депозитный калькулятор'!$G$8,2*G704*'депозитный калькулятор'!$G$8),IF(AND(OR('депозитный калькулятор'!$G$7="30/365",'депозитный калькулятор'!$G$7="30/360"),DAY(F704)=31)," ",IF(AND('депозитный калькулятор'!$G$7="факт/факт",MOD(YEAR(F704),4)=0),G704*'депозитный калькулятор'!$D$11/366,G704*'депозитный калькулятор'!$G$8))))</f>
        <v xml:space="preserve"> </v>
      </c>
      <c r="I704" s="134" t="str">
        <f ca="1">IF(F704=" "," ",IF('депозитный калькулятор'!$G$10="ежедневное",H704,IF(AND('депозитный калькулятор'!$G$10="еженедельное",WEEKDAY(F704,2)=7),SUM(OFFSET(H704,-6,0):H704),IF(AND('депозитный калькулятор'!$G$10="еженедельное",F704='депозитный калькулятор'!$D$8),SUM($H$23:H704)-SUM($I$23:I703),IF(AND('депозитный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недели",WEEKDAY(F704,2)=7),MIN(OFFSET(H704,-6,0):H704)*(COUNTIF(OFFSET(H704,-6,0):H704,"&gt;0")+SUMIF(OFFSET(A704,-WEEKDAY(F704,2),0):A704,"=2",OFFSET(A704,-WEEKDAY(F704,2),0):A704)),IF(AND('депозитный калькулятор'!$G$10="еженедельное, на минимальную сумму зафиксированную в течение недели",F704='депозитный калькулятор'!$D$8,WEEKDAY(F704,2)&lt;&gt;7),MIN(OFFSET(H704,-WEEKDAY(F704,2),0):H704)*(COUNTIF(OFFSET(H704,-WEEKDAY(F704,2)+1,0):H704,"&gt;0")+SUM(OFFSET(A704,-WEEKDAY(F704,2),0):A704)),IF(AND('депозитный калькулятор'!$G$10="ежемесячное (в конце месяца)",F704='депозитный калькулятор'!$D$8,EOMONTH(F704,0)&lt;&gt;F704),IF('депозитный калькулятор'!$F$1=1,$H$24,SUM($H$23:H704)-SUM($I$23:I703)),IF(AND('депозитный калькулятор'!$G$10="ежемесячное (в конце месяца)",EOMONTH(F704,0)=F704),SUM($H$23:H704)-SUM($I$23:I703),IF(AND('депозитный калькулятор'!$G$10="ежемесячное (по дням открытия вклада)",F704='депозитный калькулятор'!$D$8,DAY('депозитный калькулятор'!$D$7)&lt;&gt;DAY(F704)),IF('депозитный калькулятор'!$F$1=1,$H$24,SUM($H$23:H704)-SUM($I$23:I703)),IF(AND('депозитный калькулятор'!$G$10="ежемесячное (по дням открытия вклада)",DAY('депозитный калькулятор'!$D$7)=DAY(F704)),SUM($H$23:H704)-SUM($I$23:I703),IF(AND('депозитный калькулятор'!$G$10="ежемесячное, на минимальную сумму зафиксированную в течение месяца",F704='депозитный калькулятор'!$D$8,EOMONTH(F704,0)&lt;&gt;F704),IF('депозитный калькулятор'!$F$1=1,$H$24,IF(AND(OR('депозитный калькулятор'!$G$7="30/365",'депозитный калькулятор'!$G$7="30/360"),DAY(F704)=31),0,MIN(OFFSET(H704,-E704+1,0):H704)*(E704+SUMIF(OFFSET(A704,-E704+1,0):A704,"=2",OFFSET(A704,-E704+1,0):A704)))),IF(AND('депозитный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калькулятор'!$G$7="30/360"),DAY(EOMONTH(F704,0))=31),EOMONTH(F704,0)-1=F704,EOMONTH(F704,0)=F704)),IF(IF(AND(OR('депозитный калькулятор'!$G$7="30/365",'депозитный калькулятор'!$G$7="30/360"),DAY(EOMONTH($F$23,0))=31),F704=EOMONTH($F$23,0)-1,F704=EOMONTH($F$23,0)),MIN(OFFSET(H704,-(DAY(F704)-DAY($F$23)),0):H704)*E704,MIN(OFFSET(H704,-(DAY(F704)-1),0):H704)*IF(AND(OR('депозитный калькулятор'!$G$7="30/365",'депозитный калькулятор'!$G$7="30/360"),DAY(F704)&lt;30),30,DAY(F704))),IF(AND('депозитный калькулятор'!$G$10="ежемесячное, на средний остаток в течение месяца, при условии что остаток больше чем ограничение",F704='депозитный калькулятор'!$D$8,EOMONTH(F704,0)&lt;&gt;F704),IF('депозитный калькулятор'!$F$1=1,$H$24,SUM(OFFSET(Q704,-E704+1,0):Q704)),IF(AND('депозитный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калькулятор'!$G$7="30/360"),DAY(EOMONTH(F704,0))=31),EOMONTH(F704,0)-1=F704,EOMONTH(F704,0)=F704)),IF(IF(AND(OR('депозитный калькулятор'!$G$7="30/365",'депозитный калькулятор'!$G$7="30/360"),DAY(EOMONTH($F$24,0))=31),F704=EOMONTH($F$24,0)-1,F704=EOMONTH($F$24,0)),SUM(OFFSET(Q704,-E704+1,0):Q704),SUM(OFFSET(Q704,-E704+1,0):Q704)),IF('депозитный калькулятор'!$G$10="ежеквартальное",IF(F704&gt;'депозитный калькулятор'!$D$8," ",IF(AND(EOMONTH(F704,0)=F704,OR(MONTH(F704)=3,MONTH(F704)=6,MONTH(F704)=9,MONTH(F704)=12)),IF(EDATE(F704,-3)&lt;'депозитный калькулятор'!$D$7,SUM($H$23:H704),IF(MOD(YEAR(F704),4)=0,IF(AND(EOMONTH(F704,0)=F704,OR(MONTH(F704)=3,MONTH(F704)=6)),SUM(OFFSET(H704,-90,0):H704),IF(AND(EOMONTH(F704,0)=F704,OR(MONTH(F704)=9,MONTH(F704)=12)),SUM(OFFSET(H704,-91,0):H704))),IF(AND(EOMONTH(F704,0)=F704,MONTH(F704)=3),SUM(OFFSET(H704,-89,0):H704),IF(AND(EOMONTH(F704,0)=F704,MONTH(F704)=6),SUM(OFFSET(H704,-90,0):H704),IF(AND(EOMONTH(F704,0)=F704,OR(MONTH(F704)=9,MONTH(F704)=12)),SUM(OFFSET(H704,-91,0):H704)))))),IF(F704='депозитный калькулятор'!$D$8,SUM($H$23:H704)-SUM($I$23:I703),0))),IF('депозитный калькулятор'!$G$10="ежегодное",IF(F704&gt;'депозитный калькулятор'!$D$8," ",IF(F704='депозитный калькулятор'!$D$8,SUM($H$23:H704)-SUM($I$23:I703),IF(AND(EOMONTH(F704,0)=F704,MONTH(F704)=12),IF(MOD(YEAR(F703),4)=0,IF(F704-'депозитный калькулятор'!$D$7&lt;366,SUM($H$23:H704),SUM(OFFSET(H704,-365,0):H704)),IF(F704-'депозитный калькулятор'!$D$7&lt;365,SUM($H$23:H704),SUM(OFFSET(H704,-364,0):H704))),0))),IF(AND('депозитный калькулятор'!$G$10="в конце срока",'депозитный калькулятор'!$D$8=F704),SUM($H$23:H704),0))))))))))))))))))</f>
        <v xml:space="preserve"> </v>
      </c>
      <c r="J704" s="59" t="str">
        <f>IF(F704&gt;'депозитный калькулятор'!$D$8," ",IF('депозитный калькулятор'!$G$16="нет",0,IF(AND('депозитный калькулятор'!$G$17="разовая (в конце срока)",F704='депозитный калькулятор'!$D$8),'депозитный калькулятор'!$G$18,IF(AND('депозитный калькулятор'!$G$17="ежемесячная",EOMONTH(F703,0)=F703),'депозитный калькулятор'!$G$18,IF(AND('депозитный калькулятор'!$G$17="ежегодная",DAY(F703)=31,MONTH(F703)=12),'депозитный калькулятор'!$G$18,IF(AND('депозитный калькулятор'!$G$17="ежемесячная в зависимости от остатка",EOMONTH(F703,0)=F703,P703&gt;0),'депозитный калькулятор'!$G$18,IF(AND('депозитный калькулятор'!$G$17="ежегодная в зависимости от остатка",DAY(F703)=31,MONTH(F703)=12,P703&gt;0),'депозитный калькулятор'!$G$18,0)))))))</f>
        <v xml:space="preserve"> </v>
      </c>
      <c r="K704" s="135" t="str">
        <f>IF($F704=" "," ",IFERROR(VLOOKUP($F704,'депозитный калькулятор'!$B$26:$F$70,2,0),0))</f>
        <v xml:space="preserve"> </v>
      </c>
      <c r="L704" s="135" t="str">
        <f>IF($F704=" "," ",IFERROR(VLOOKUP($F704,'депозитный калькулятор'!$B$26:$F$70,3,0),0))</f>
        <v xml:space="preserve"> </v>
      </c>
      <c r="M704" s="135" t="str">
        <f>IF($F704=" "," ",IFERROR(VLOOKUP($F704,'депозитный калькулятор'!$B$26:$F$70,4,0),0))</f>
        <v xml:space="preserve"> </v>
      </c>
      <c r="N704" s="135" t="str">
        <f>IF($F704=" "," ",IFERROR(VLOOKUP($F704,'депозитный калькулятор'!$B$26:$F$70,5,0),0))</f>
        <v xml:space="preserve"> </v>
      </c>
      <c r="O704" s="146" t="str">
        <f>IF(F704&gt;'депозитный калькулятор'!$D$8," ",IF(F704='депозитный калькулятор'!$D$8,IF(AND($F$24='депозитный калькулятор'!$D$8,'депозитный калькулятор'!$G$13="нет"),-G704-IF(I704=" ",0,I704)-IF(AND(OR('депозитный калькулятор'!$G$7="30/365",'депозитный калькулятор'!$G$7="30/360"),'депозитный калькулятор'!$G$10="в начале срока"),I703,0)-L704+M704-N704,-G704-IF(I704=" ",0,I704)-L704+M704-N704),IF('депозитный калькулятор'!$G$13="есть",M704-N704+IF('депозитный калькулятор'!$G$14="есть",0,-L704),-IF(I704=" ",0,I704)-IF(AND(OR('депозитный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срока"),I703,0)+M704-N704+IF('депозитный калькулятор'!$G$14="есть",0,-L704))))</f>
        <v xml:space="preserve"> </v>
      </c>
      <c r="P704" s="147" t="str">
        <f>IF(F704&gt;'депозитный калькулятор'!$D$8," ",IF(EOMONTH(F703,0)=F703,0,IF(G704&gt;='депозитный калькулятор'!$G$19,P703,P703+1)))</f>
        <v xml:space="preserve"> </v>
      </c>
      <c r="Q704" s="138" t="str">
        <f>IF(F704=" "," ",IF(AND(OR('депозитный калькулятор'!$G$7="30/365",'депозитный калькулятор'!$G$7="30/360"),AND(MONTH(F704)=2,EOMONTH(F704,0)=F704)),IF(DAY(F704)=28,3,2),1)*IF(G704&gt;='депозитный калькулятор'!$G$11,IF(AND('депозитный калькулятор'!$G$7="факт/факт",MOD(YEAR(F704),4)=0),G704*'депозитный калькулятор'!$D$11/366,G704*'депозитный калькулятор'!$G$8),0))</f>
        <v xml:space="preserve"> </v>
      </c>
      <c r="R704" s="158"/>
      <c r="S704" s="62" t="str">
        <f t="shared" ca="1" si="52"/>
        <v xml:space="preserve"> </v>
      </c>
      <c r="T704" s="149" t="str">
        <f ca="1">IF(S704=" "," ",IF('депозитный калькулятор'!$G$7="30/360",DAYS360(U703,IF(DAY(U704)=31,U704-1,U704))+IF(AND(MONTH(U704)=2,U704=EOMONTH(U704,0)),30-DAY(EOMONTH(U704,0)))+T703,VLOOKUP(S704,$C$22:$F$1023,2,0)))</f>
        <v xml:space="preserve"> </v>
      </c>
      <c r="U704" s="64" t="str">
        <f t="shared" ca="1" si="50"/>
        <v xml:space="preserve"> </v>
      </c>
      <c r="V704" s="150" t="str">
        <f t="shared" ca="1" si="53"/>
        <v xml:space="preserve"> </v>
      </c>
      <c r="W704" s="62" t="str">
        <f t="shared" ca="1" si="54"/>
        <v xml:space="preserve"> </v>
      </c>
      <c r="X704" s="141" t="str">
        <f ca="1">IF(S704=" "," ",IFERROR(VLOOKUP(U704,$F$23:$N$1023,7)+VLOOKUP(U704,$F$23:$N$1023,9)+IF(AND('депозитный калькулятор'!$G$13="нет",U704&lt;&gt;'депозитный калькулятор'!$D$8),VLOOKUP(U704,$F$23:$N$1023,4),0),0)+IF(U704='депозитный калькулятор'!$D$8,VLOOKUP(U704,$F$23:$N$1023,2)+VLOOKUP(U704,$F$23:$N$1023,4),0))</f>
        <v xml:space="preserve"> </v>
      </c>
      <c r="Y704" s="142" t="str">
        <f ca="1">IF(S704=" "," ",W704/(1+'депозитный калькулятор'!$K$8)^(T704/IF('депозитный калькулятор'!$G$7="30/360",360,365)))</f>
        <v xml:space="preserve"> </v>
      </c>
      <c r="Z704" s="142" t="str">
        <f ca="1">IF(S704=" "," ",X704/(1+'депозитный калькулятор'!$K$8)^(T704/IF('депозитный калькулятор'!$G$7="30/360",360,365)))</f>
        <v xml:space="preserve"> </v>
      </c>
      <c r="AA704" s="151"/>
      <c r="AB704" s="151"/>
      <c r="AC704" s="155"/>
      <c r="AD704" s="155"/>
    </row>
    <row r="705" spans="1:30" s="2" customFormat="1" ht="15.5" x14ac:dyDescent="0.35">
      <c r="A705" s="41" t="str">
        <f>IF(F705=" "," ",IF(OR('депозитный калькулятор'!$G$7="30/365",'депозитный калькулятор'!$G$7="30/360"),IF(AND(MONTH(F705)=2,DAY(F705)=DAY(EOMONTH(F705,0))),30-DAY(EOMONTH(F705,0)),IF(DAY(F705)=31,1," "))," "))</f>
        <v xml:space="preserve"> </v>
      </c>
      <c r="B705" s="130" t="str">
        <f t="shared" si="51"/>
        <v xml:space="preserve"> </v>
      </c>
      <c r="C705" s="130" t="str">
        <f>IF(OR(B705=0,B705=" ")," ",SUM($B$23:B705))</f>
        <v xml:space="preserve"> </v>
      </c>
      <c r="D705" s="62" t="str">
        <f>IF(D704=" "," ",IF(OR(F704='депозитный калькулятор'!$D$8,F704=" ")," ",D704+1))</f>
        <v xml:space="preserve"> </v>
      </c>
      <c r="E705" s="130" t="str">
        <f>IF(OR(F704='депозитный калькулятор'!$D$8,F704=" ")," ",IF(EOMONTH(F704,0)=F704,1,E704+1))</f>
        <v xml:space="preserve"> </v>
      </c>
      <c r="F705" s="64" t="str">
        <f>IF(F704=" "," ",IF(F704='депозитный калькулятор'!$D$8," ",F704+1))</f>
        <v xml:space="preserve"> </v>
      </c>
      <c r="G705" s="145" t="str">
        <f xml:space="preserve"> IF(F705&gt;'депозитный калькулятор'!$D$8," ",IF('депозитный калькулятор'!$G$13="есть",IF('депозитный калькулятор'!$G$14="есть",G704+IF(I704=" ",0,I704)-J705-K705+L705+M705-N705,G704+IF(I704=" ",0,I704)-J705-K705+M705-N705),IF('депозитный калькулятор'!$G$14="есть",G704-J705-K705+L705+M705-N705,G704-J705-K705+M705-N705)))</f>
        <v xml:space="preserve"> </v>
      </c>
      <c r="H705" s="133" t="str">
        <f>IF(F705&gt;'депозитный калькулятор'!$D$8," ",IF(AND(OR('депозитный калькулятор'!$G$7="30/365",'депозитный калькулятор'!$G$7="30/360"),AND(MONTH(F705)=2,EOMONTH(F705,0)=F705)),IF(DAY(F705)=28,3*G705*'депозитный калькулятор'!$G$8,2*G705*'депозитный калькулятор'!$G$8),IF(AND(OR('депозитный калькулятор'!$G$7="30/365",'депозитный калькулятор'!$G$7="30/360"),DAY(F705)=31)," ",IF(AND('депозитный калькулятор'!$G$7="факт/факт",MOD(YEAR(F705),4)=0),G705*'депозитный калькулятор'!$D$11/366,G705*'депозитный калькулятор'!$G$8))))</f>
        <v xml:space="preserve"> </v>
      </c>
      <c r="I705" s="134" t="str">
        <f ca="1">IF(F705=" "," ",IF('депозитный калькулятор'!$G$10="ежедневное",H705,IF(AND('депозитный калькулятор'!$G$10="еженедельное",WEEKDAY(F705,2)=7),SUM(OFFSET(H705,-6,0):H705),IF(AND('депозитный калькулятор'!$G$10="еженедельное",F705='депозитный калькулятор'!$D$8),SUM($H$23:H705)-SUM($I$23:I704),IF(AND('депозитный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недели",WEEKDAY(F705,2)=7),MIN(OFFSET(H705,-6,0):H705)*(COUNTIF(OFFSET(H705,-6,0):H705,"&gt;0")+SUMIF(OFFSET(A705,-WEEKDAY(F705,2),0):A705,"=2",OFFSET(A705,-WEEKDAY(F705,2),0):A705)),IF(AND('депозитный калькулятор'!$G$10="еженедельное, на минимальную сумму зафиксированную в течение недели",F705='депозитный калькулятор'!$D$8,WEEKDAY(F705,2)&lt;&gt;7),MIN(OFFSET(H705,-WEEKDAY(F705,2),0):H705)*(COUNTIF(OFFSET(H705,-WEEKDAY(F705,2)+1,0):H705,"&gt;0")+SUM(OFFSET(A705,-WEEKDAY(F705,2),0):A705)),IF(AND('депозитный калькулятор'!$G$10="ежемесячное (в конце месяца)",F705='депозитный калькулятор'!$D$8,EOMONTH(F705,0)&lt;&gt;F705),IF('депозитный калькулятор'!$F$1=1,$H$24,SUM($H$23:H705)-SUM($I$23:I704)),IF(AND('депозитный калькулятор'!$G$10="ежемесячное (в конце месяца)",EOMONTH(F705,0)=F705),SUM($H$23:H705)-SUM($I$23:I704),IF(AND('депозитный калькулятор'!$G$10="ежемесячное (по дням открытия вклада)",F705='депозитный калькулятор'!$D$8,DAY('депозитный калькулятор'!$D$7)&lt;&gt;DAY(F705)),IF('депозитный калькулятор'!$F$1=1,$H$24,SUM($H$23:H705)-SUM($I$23:I704)),IF(AND('депозитный калькулятор'!$G$10="ежемесячное (по дням открытия вклада)",DAY('депозитный калькулятор'!$D$7)=DAY(F705)),SUM($H$23:H705)-SUM($I$23:I704),IF(AND('депозитный калькулятор'!$G$10="ежемесячное, на минимальную сумму зафиксированную в течение месяца",F705='депозитный калькулятор'!$D$8,EOMONTH(F705,0)&lt;&gt;F705),IF('депозитный калькулятор'!$F$1=1,$H$24,IF(AND(OR('депозитный калькулятор'!$G$7="30/365",'депозитный калькулятор'!$G$7="30/360"),DAY(F705)=31),0,MIN(OFFSET(H705,-E705+1,0):H705)*(E705+SUMIF(OFFSET(A705,-E705+1,0):A705,"=2",OFFSET(A705,-E705+1,0):A705)))),IF(AND('депозитный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калькулятор'!$G$7="30/360"),DAY(EOMONTH(F705,0))=31),EOMONTH(F705,0)-1=F705,EOMONTH(F705,0)=F705)),IF(IF(AND(OR('депозитный калькулятор'!$G$7="30/365",'депозитный калькулятор'!$G$7="30/360"),DAY(EOMONTH($F$23,0))=31),F705=EOMONTH($F$23,0)-1,F705=EOMONTH($F$23,0)),MIN(OFFSET(H705,-(DAY(F705)-DAY($F$23)),0):H705)*E705,MIN(OFFSET(H705,-(DAY(F705)-1),0):H705)*IF(AND(OR('депозитный калькулятор'!$G$7="30/365",'депозитный калькулятор'!$G$7="30/360"),DAY(F705)&lt;30),30,DAY(F705))),IF(AND('депозитный калькулятор'!$G$10="ежемесячное, на средний остаток в течение месяца, при условии что остаток больше чем ограничение",F705='депозитный калькулятор'!$D$8,EOMONTH(F705,0)&lt;&gt;F705),IF('депозитный калькулятор'!$F$1=1,$H$24,SUM(OFFSET(Q705,-E705+1,0):Q705)),IF(AND('депозитный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калькулятор'!$G$7="30/360"),DAY(EOMONTH(F705,0))=31),EOMONTH(F705,0)-1=F705,EOMONTH(F705,0)=F705)),IF(IF(AND(OR('депозитный калькулятор'!$G$7="30/365",'депозитный калькулятор'!$G$7="30/360"),DAY(EOMONTH($F$24,0))=31),F705=EOMONTH($F$24,0)-1,F705=EOMONTH($F$24,0)),SUM(OFFSET(Q705,-E705+1,0):Q705),SUM(OFFSET(Q705,-E705+1,0):Q705)),IF('депозитный калькулятор'!$G$10="ежеквартальное",IF(F705&gt;'депозитный калькулятор'!$D$8," ",IF(AND(EOMONTH(F705,0)=F705,OR(MONTH(F705)=3,MONTH(F705)=6,MONTH(F705)=9,MONTH(F705)=12)),IF(EDATE(F705,-3)&lt;'депозитный калькулятор'!$D$7,SUM($H$23:H705),IF(MOD(YEAR(F705),4)=0,IF(AND(EOMONTH(F705,0)=F705,OR(MONTH(F705)=3,MONTH(F705)=6)),SUM(OFFSET(H705,-90,0):H705),IF(AND(EOMONTH(F705,0)=F705,OR(MONTH(F705)=9,MONTH(F705)=12)),SUM(OFFSET(H705,-91,0):H705))),IF(AND(EOMONTH(F705,0)=F705,MONTH(F705)=3),SUM(OFFSET(H705,-89,0):H705),IF(AND(EOMONTH(F705,0)=F705,MONTH(F705)=6),SUM(OFFSET(H705,-90,0):H705),IF(AND(EOMONTH(F705,0)=F705,OR(MONTH(F705)=9,MONTH(F705)=12)),SUM(OFFSET(H705,-91,0):H705)))))),IF(F705='депозитный калькулятор'!$D$8,SUM($H$23:H705)-SUM($I$23:I704),0))),IF('депозитный калькулятор'!$G$10="ежегодное",IF(F705&gt;'депозитный калькулятор'!$D$8," ",IF(F705='депозитный калькулятор'!$D$8,SUM($H$23:H705)-SUM($I$23:I704),IF(AND(EOMONTH(F705,0)=F705,MONTH(F705)=12),IF(MOD(YEAR(F704),4)=0,IF(F705-'депозитный калькулятор'!$D$7&lt;366,SUM($H$23:H705),SUM(OFFSET(H705,-365,0):H705)),IF(F705-'депозитный калькулятор'!$D$7&lt;365,SUM($H$23:H705),SUM(OFFSET(H705,-364,0):H705))),0))),IF(AND('депозитный калькулятор'!$G$10="в конце срока",'депозитный калькулятор'!$D$8=F705),SUM($H$23:H705),0))))))))))))))))))</f>
        <v xml:space="preserve"> </v>
      </c>
      <c r="J705" s="59" t="str">
        <f>IF(F705&gt;'депозитный калькулятор'!$D$8," ",IF('депозитный калькулятор'!$G$16="нет",0,IF(AND('депозитный калькулятор'!$G$17="разовая (в конце срока)",F705='депозитный калькулятор'!$D$8),'депозитный калькулятор'!$G$18,IF(AND('депозитный калькулятор'!$G$17="ежемесячная",EOMONTH(F704,0)=F704),'депозитный калькулятор'!$G$18,IF(AND('депозитный калькулятор'!$G$17="ежегодная",DAY(F704)=31,MONTH(F704)=12),'депозитный калькулятор'!$G$18,IF(AND('депозитный калькулятор'!$G$17="ежемесячная в зависимости от остатка",EOMONTH(F704,0)=F704,P704&gt;0),'депозитный калькулятор'!$G$18,IF(AND('депозитный калькулятор'!$G$17="ежегодная в зависимости от остатка",DAY(F704)=31,MONTH(F704)=12,P704&gt;0),'депозитный калькулятор'!$G$18,0)))))))</f>
        <v xml:space="preserve"> </v>
      </c>
      <c r="K705" s="135" t="str">
        <f>IF($F705=" "," ",IFERROR(VLOOKUP($F705,'депозитный калькулятор'!$B$26:$F$70,2,0),0))</f>
        <v xml:space="preserve"> </v>
      </c>
      <c r="L705" s="135" t="str">
        <f>IF($F705=" "," ",IFERROR(VLOOKUP($F705,'депозитный калькулятор'!$B$26:$F$70,3,0),0))</f>
        <v xml:space="preserve"> </v>
      </c>
      <c r="M705" s="135" t="str">
        <f>IF($F705=" "," ",IFERROR(VLOOKUP($F705,'депозитный калькулятор'!$B$26:$F$70,4,0),0))</f>
        <v xml:space="preserve"> </v>
      </c>
      <c r="N705" s="135" t="str">
        <f>IF($F705=" "," ",IFERROR(VLOOKUP($F705,'депозитный калькулятор'!$B$26:$F$70,5,0),0))</f>
        <v xml:space="preserve"> </v>
      </c>
      <c r="O705" s="146" t="str">
        <f>IF(F705&gt;'депозитный калькулятор'!$D$8," ",IF(F705='депозитный калькулятор'!$D$8,IF(AND($F$24='депозитный калькулятор'!$D$8,'депозитный калькулятор'!$G$13="нет"),-G705-IF(I705=" ",0,I705)-IF(AND(OR('депозитный калькулятор'!$G$7="30/365",'депозитный калькулятор'!$G$7="30/360"),'депозитный калькулятор'!$G$10="в начале срока"),I704,0)-L705+M705-N705,-G705-IF(I705=" ",0,I705)-L705+M705-N705),IF('депозитный калькулятор'!$G$13="есть",M705-N705+IF('депозитный калькулятор'!$G$14="есть",0,-L705),-IF(I705=" ",0,I705)-IF(AND(OR('депозитный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срока"),I704,0)+M705-N705+IF('депозитный калькулятор'!$G$14="есть",0,-L705))))</f>
        <v xml:space="preserve"> </v>
      </c>
      <c r="P705" s="147" t="str">
        <f>IF(F705&gt;'депозитный калькулятор'!$D$8," ",IF(EOMONTH(F704,0)=F704,0,IF(G705&gt;='депозитный калькулятор'!$G$19,P704,P704+1)))</f>
        <v xml:space="preserve"> </v>
      </c>
      <c r="Q705" s="138" t="str">
        <f>IF(F705=" "," ",IF(AND(OR('депозитный калькулятор'!$G$7="30/365",'депозитный калькулятор'!$G$7="30/360"),AND(MONTH(F705)=2,EOMONTH(F705,0)=F705)),IF(DAY(F705)=28,3,2),1)*IF(G705&gt;='депозитный калькулятор'!$G$11,IF(AND('депозитный калькулятор'!$G$7="факт/факт",MOD(YEAR(F705),4)=0),G705*'депозитный калькулятор'!$D$11/366,G705*'депозитный калькулятор'!$G$8),0))</f>
        <v xml:space="preserve"> </v>
      </c>
      <c r="R705" s="158"/>
      <c r="S705" s="62" t="str">
        <f t="shared" ca="1" si="52"/>
        <v xml:space="preserve"> </v>
      </c>
      <c r="T705" s="149" t="str">
        <f ca="1">IF(S705=" "," ",IF('депозитный калькулятор'!$G$7="30/360",DAYS360(U704,IF(DAY(U705)=31,U705-1,U705))+IF(AND(MONTH(U705)=2,U705=EOMONTH(U705,0)),30-DAY(EOMONTH(U705,0)))+T704,VLOOKUP(S705,$C$22:$F$1023,2,0)))</f>
        <v xml:space="preserve"> </v>
      </c>
      <c r="U705" s="64" t="str">
        <f t="shared" ca="1" si="50"/>
        <v xml:space="preserve"> </v>
      </c>
      <c r="V705" s="150" t="str">
        <f t="shared" ca="1" si="53"/>
        <v xml:space="preserve"> </v>
      </c>
      <c r="W705" s="62" t="str">
        <f t="shared" ca="1" si="54"/>
        <v xml:space="preserve"> </v>
      </c>
      <c r="X705" s="141" t="str">
        <f ca="1">IF(S705=" "," ",IFERROR(VLOOKUP(U705,$F$23:$N$1023,7)+VLOOKUP(U705,$F$23:$N$1023,9)+IF(AND('депозитный калькулятор'!$G$13="нет",U705&lt;&gt;'депозитный калькулятор'!$D$8),VLOOKUP(U705,$F$23:$N$1023,4),0),0)+IF(U705='депозитный калькулятор'!$D$8,VLOOKUP(U705,$F$23:$N$1023,2)+VLOOKUP(U705,$F$23:$N$1023,4),0))</f>
        <v xml:space="preserve"> </v>
      </c>
      <c r="Y705" s="142" t="str">
        <f ca="1">IF(S705=" "," ",W705/(1+'депозитный калькулятор'!$K$8)^(T705/IF('депозитный калькулятор'!$G$7="30/360",360,365)))</f>
        <v xml:space="preserve"> </v>
      </c>
      <c r="Z705" s="142" t="str">
        <f ca="1">IF(S705=" "," ",X705/(1+'депозитный калькулятор'!$K$8)^(T705/IF('депозитный калькулятор'!$G$7="30/360",360,365)))</f>
        <v xml:space="preserve"> </v>
      </c>
      <c r="AA705" s="151"/>
      <c r="AB705" s="151"/>
      <c r="AC705" s="155"/>
      <c r="AD705" s="155"/>
    </row>
    <row r="706" spans="1:30" s="2" customFormat="1" ht="15.5" x14ac:dyDescent="0.35">
      <c r="A706" s="41" t="str">
        <f>IF(F706=" "," ",IF(OR('депозитный калькулятор'!$G$7="30/365",'депозитный калькулятор'!$G$7="30/360"),IF(AND(MONTH(F706)=2,DAY(F706)=DAY(EOMONTH(F706,0))),30-DAY(EOMONTH(F706,0)),IF(DAY(F706)=31,1," "))," "))</f>
        <v xml:space="preserve"> </v>
      </c>
      <c r="B706" s="130" t="str">
        <f t="shared" si="51"/>
        <v xml:space="preserve"> </v>
      </c>
      <c r="C706" s="130" t="str">
        <f>IF(OR(B706=0,B706=" ")," ",SUM($B$23:B706))</f>
        <v xml:space="preserve"> </v>
      </c>
      <c r="D706" s="62" t="str">
        <f>IF(D705=" "," ",IF(OR(F705='депозитный калькулятор'!$D$8,F705=" ")," ",D705+1))</f>
        <v xml:space="preserve"> </v>
      </c>
      <c r="E706" s="130" t="str">
        <f>IF(OR(F705='депозитный калькулятор'!$D$8,F705=" ")," ",IF(EOMONTH(F705,0)=F705,1,E705+1))</f>
        <v xml:space="preserve"> </v>
      </c>
      <c r="F706" s="64" t="str">
        <f>IF(F705=" "," ",IF(F705='депозитный калькулятор'!$D$8," ",F705+1))</f>
        <v xml:space="preserve"> </v>
      </c>
      <c r="G706" s="145" t="str">
        <f xml:space="preserve"> IF(F706&gt;'депозитный калькулятор'!$D$8," ",IF('депозитный калькулятор'!$G$13="есть",IF('депозитный калькулятор'!$G$14="есть",G705+IF(I705=" ",0,I705)-J706-K706+L706+M706-N706,G705+IF(I705=" ",0,I705)-J706-K706+M706-N706),IF('депозитный калькулятор'!$G$14="есть",G705-J706-K706+L706+M706-N706,G705-J706-K706+M706-N706)))</f>
        <v xml:space="preserve"> </v>
      </c>
      <c r="H706" s="133" t="str">
        <f>IF(F706&gt;'депозитный калькулятор'!$D$8," ",IF(AND(OR('депозитный калькулятор'!$G$7="30/365",'депозитный калькулятор'!$G$7="30/360"),AND(MONTH(F706)=2,EOMONTH(F706,0)=F706)),IF(DAY(F706)=28,3*G706*'депозитный калькулятор'!$G$8,2*G706*'депозитный калькулятор'!$G$8),IF(AND(OR('депозитный калькулятор'!$G$7="30/365",'депозитный калькулятор'!$G$7="30/360"),DAY(F706)=31)," ",IF(AND('депозитный калькулятор'!$G$7="факт/факт",MOD(YEAR(F706),4)=0),G706*'депозитный калькулятор'!$D$11/366,G706*'депозитный калькулятор'!$G$8))))</f>
        <v xml:space="preserve"> </v>
      </c>
      <c r="I706" s="134" t="str">
        <f ca="1">IF(F706=" "," ",IF('депозитный калькулятор'!$G$10="ежедневное",H706,IF(AND('депозитный калькулятор'!$G$10="еженедельное",WEEKDAY(F706,2)=7),SUM(OFFSET(H706,-6,0):H706),IF(AND('депозитный калькулятор'!$G$10="еженедельное",F706='депозитный калькулятор'!$D$8),SUM($H$23:H706)-SUM($I$23:I705),IF(AND('депозитный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недели",WEEKDAY(F706,2)=7),MIN(OFFSET(H706,-6,0):H706)*(COUNTIF(OFFSET(H706,-6,0):H706,"&gt;0")+SUMIF(OFFSET(A706,-WEEKDAY(F706,2),0):A706,"=2",OFFSET(A706,-WEEKDAY(F706,2),0):A706)),IF(AND('депозитный калькулятор'!$G$10="еженедельное, на минимальную сумму зафиксированную в течение недели",F706='депозитный калькулятор'!$D$8,WEEKDAY(F706,2)&lt;&gt;7),MIN(OFFSET(H706,-WEEKDAY(F706,2),0):H706)*(COUNTIF(OFFSET(H706,-WEEKDAY(F706,2)+1,0):H706,"&gt;0")+SUM(OFFSET(A706,-WEEKDAY(F706,2),0):A706)),IF(AND('депозитный калькулятор'!$G$10="ежемесячное (в конце месяца)",F706='депозитный калькулятор'!$D$8,EOMONTH(F706,0)&lt;&gt;F706),IF('депозитный калькулятор'!$F$1=1,$H$24,SUM($H$23:H706)-SUM($I$23:I705)),IF(AND('депозитный калькулятор'!$G$10="ежемесячное (в конце месяца)",EOMONTH(F706,0)=F706),SUM($H$23:H706)-SUM($I$23:I705),IF(AND('депозитный калькулятор'!$G$10="ежемесячное (по дням открытия вклада)",F706='депозитный калькулятор'!$D$8,DAY('депозитный калькулятор'!$D$7)&lt;&gt;DAY(F706)),IF('депозитный калькулятор'!$F$1=1,$H$24,SUM($H$23:H706)-SUM($I$23:I705)),IF(AND('депозитный калькулятор'!$G$10="ежемесячное (по дням открытия вклада)",DAY('депозитный калькулятор'!$D$7)=DAY(F706)),SUM($H$23:H706)-SUM($I$23:I705),IF(AND('депозитный калькулятор'!$G$10="ежемесячное, на минимальную сумму зафиксированную в течение месяца",F706='депозитный калькулятор'!$D$8,EOMONTH(F706,0)&lt;&gt;F706),IF('депозитный калькулятор'!$F$1=1,$H$24,IF(AND(OR('депозитный калькулятор'!$G$7="30/365",'депозитный калькулятор'!$G$7="30/360"),DAY(F706)=31),0,MIN(OFFSET(H706,-E706+1,0):H706)*(E706+SUMIF(OFFSET(A706,-E706+1,0):A706,"=2",OFFSET(A706,-E706+1,0):A706)))),IF(AND('депозитный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калькулятор'!$G$7="30/360"),DAY(EOMONTH(F706,0))=31),EOMONTH(F706,0)-1=F706,EOMONTH(F706,0)=F706)),IF(IF(AND(OR('депозитный калькулятор'!$G$7="30/365",'депозитный калькулятор'!$G$7="30/360"),DAY(EOMONTH($F$23,0))=31),F706=EOMONTH($F$23,0)-1,F706=EOMONTH($F$23,0)),MIN(OFFSET(H706,-(DAY(F706)-DAY($F$23)),0):H706)*E706,MIN(OFFSET(H706,-(DAY(F706)-1),0):H706)*IF(AND(OR('депозитный калькулятор'!$G$7="30/365",'депозитный калькулятор'!$G$7="30/360"),DAY(F706)&lt;30),30,DAY(F706))),IF(AND('депозитный калькулятор'!$G$10="ежемесячное, на средний остаток в течение месяца, при условии что остаток больше чем ограничение",F706='депозитный калькулятор'!$D$8,EOMONTH(F706,0)&lt;&gt;F706),IF('депозитный калькулятор'!$F$1=1,$H$24,SUM(OFFSET(Q706,-E706+1,0):Q706)),IF(AND('депозитный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калькулятор'!$G$7="30/360"),DAY(EOMONTH(F706,0))=31),EOMONTH(F706,0)-1=F706,EOMONTH(F706,0)=F706)),IF(IF(AND(OR('депозитный калькулятор'!$G$7="30/365",'депозитный калькулятор'!$G$7="30/360"),DAY(EOMONTH($F$24,0))=31),F706=EOMONTH($F$24,0)-1,F706=EOMONTH($F$24,0)),SUM(OFFSET(Q706,-E706+1,0):Q706),SUM(OFFSET(Q706,-E706+1,0):Q706)),IF('депозитный калькулятор'!$G$10="ежеквартальное",IF(F706&gt;'депозитный калькулятор'!$D$8," ",IF(AND(EOMONTH(F706,0)=F706,OR(MONTH(F706)=3,MONTH(F706)=6,MONTH(F706)=9,MONTH(F706)=12)),IF(EDATE(F706,-3)&lt;'депозитный калькулятор'!$D$7,SUM($H$23:H706),IF(MOD(YEAR(F706),4)=0,IF(AND(EOMONTH(F706,0)=F706,OR(MONTH(F706)=3,MONTH(F706)=6)),SUM(OFFSET(H706,-90,0):H706),IF(AND(EOMONTH(F706,0)=F706,OR(MONTH(F706)=9,MONTH(F706)=12)),SUM(OFFSET(H706,-91,0):H706))),IF(AND(EOMONTH(F706,0)=F706,MONTH(F706)=3),SUM(OFFSET(H706,-89,0):H706),IF(AND(EOMONTH(F706,0)=F706,MONTH(F706)=6),SUM(OFFSET(H706,-90,0):H706),IF(AND(EOMONTH(F706,0)=F706,OR(MONTH(F706)=9,MONTH(F706)=12)),SUM(OFFSET(H706,-91,0):H706)))))),IF(F706='депозитный калькулятор'!$D$8,SUM($H$23:H706)-SUM($I$23:I705),0))),IF('депозитный калькулятор'!$G$10="ежегодное",IF(F706&gt;'депозитный калькулятор'!$D$8," ",IF(F706='депозитный калькулятор'!$D$8,SUM($H$23:H706)-SUM($I$23:I705),IF(AND(EOMONTH(F706,0)=F706,MONTH(F706)=12),IF(MOD(YEAR(F705),4)=0,IF(F706-'депозитный калькулятор'!$D$7&lt;366,SUM($H$23:H706),SUM(OFFSET(H706,-365,0):H706)),IF(F706-'депозитный калькулятор'!$D$7&lt;365,SUM($H$23:H706),SUM(OFFSET(H706,-364,0):H706))),0))),IF(AND('депозитный калькулятор'!$G$10="в конце срока",'депозитный калькулятор'!$D$8=F706),SUM($H$23:H706),0))))))))))))))))))</f>
        <v xml:space="preserve"> </v>
      </c>
      <c r="J706" s="59" t="str">
        <f>IF(F706&gt;'депозитный калькулятор'!$D$8," ",IF('депозитный калькулятор'!$G$16="нет",0,IF(AND('депозитный калькулятор'!$G$17="разовая (в конце срока)",F706='депозитный калькулятор'!$D$8),'депозитный калькулятор'!$G$18,IF(AND('депозитный калькулятор'!$G$17="ежемесячная",EOMONTH(F705,0)=F705),'депозитный калькулятор'!$G$18,IF(AND('депозитный калькулятор'!$G$17="ежегодная",DAY(F705)=31,MONTH(F705)=12),'депозитный калькулятор'!$G$18,IF(AND('депозитный калькулятор'!$G$17="ежемесячная в зависимости от остатка",EOMONTH(F705,0)=F705,P705&gt;0),'депозитный калькулятор'!$G$18,IF(AND('депозитный калькулятор'!$G$17="ежегодная в зависимости от остатка",DAY(F705)=31,MONTH(F705)=12,P705&gt;0),'депозитный калькулятор'!$G$18,0)))))))</f>
        <v xml:space="preserve"> </v>
      </c>
      <c r="K706" s="135" t="str">
        <f>IF($F706=" "," ",IFERROR(VLOOKUP($F706,'депозитный калькулятор'!$B$26:$F$70,2,0),0))</f>
        <v xml:space="preserve"> </v>
      </c>
      <c r="L706" s="135" t="str">
        <f>IF($F706=" "," ",IFERROR(VLOOKUP($F706,'депозитный калькулятор'!$B$26:$F$70,3,0),0))</f>
        <v xml:space="preserve"> </v>
      </c>
      <c r="M706" s="135" t="str">
        <f>IF($F706=" "," ",IFERROR(VLOOKUP($F706,'депозитный калькулятор'!$B$26:$F$70,4,0),0))</f>
        <v xml:space="preserve"> </v>
      </c>
      <c r="N706" s="135" t="str">
        <f>IF($F706=" "," ",IFERROR(VLOOKUP($F706,'депозитный калькулятор'!$B$26:$F$70,5,0),0))</f>
        <v xml:space="preserve"> </v>
      </c>
      <c r="O706" s="146" t="str">
        <f>IF(F706&gt;'депозитный калькулятор'!$D$8," ",IF(F706='депозитный калькулятор'!$D$8,IF(AND($F$24='депозитный калькулятор'!$D$8,'депозитный калькулятор'!$G$13="нет"),-G706-IF(I706=" ",0,I706)-IF(AND(OR('депозитный калькулятор'!$G$7="30/365",'депозитный калькулятор'!$G$7="30/360"),'депозитный калькулятор'!$G$10="в начале срока"),I705,0)-L706+M706-N706,-G706-IF(I706=" ",0,I706)-L706+M706-N706),IF('депозитный калькулятор'!$G$13="есть",M706-N706+IF('депозитный калькулятор'!$G$14="есть",0,-L706),-IF(I706=" ",0,I706)-IF(AND(OR('депозитный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срока"),I705,0)+M706-N706+IF('депозитный калькулятор'!$G$14="есть",0,-L706))))</f>
        <v xml:space="preserve"> </v>
      </c>
      <c r="P706" s="147" t="str">
        <f>IF(F706&gt;'депозитный калькулятор'!$D$8," ",IF(EOMONTH(F705,0)=F705,0,IF(G706&gt;='депозитный калькулятор'!$G$19,P705,P705+1)))</f>
        <v xml:space="preserve"> </v>
      </c>
      <c r="Q706" s="138" t="str">
        <f>IF(F706=" "," ",IF(AND(OR('депозитный калькулятор'!$G$7="30/365",'депозитный калькулятор'!$G$7="30/360"),AND(MONTH(F706)=2,EOMONTH(F706,0)=F706)),IF(DAY(F706)=28,3,2),1)*IF(G706&gt;='депозитный калькулятор'!$G$11,IF(AND('депозитный калькулятор'!$G$7="факт/факт",MOD(YEAR(F706),4)=0),G706*'депозитный калькулятор'!$D$11/366,G706*'депозитный калькулятор'!$G$8),0))</f>
        <v xml:space="preserve"> </v>
      </c>
      <c r="R706" s="158"/>
      <c r="S706" s="62" t="str">
        <f t="shared" ca="1" si="52"/>
        <v xml:space="preserve"> </v>
      </c>
      <c r="T706" s="149" t="str">
        <f ca="1">IF(S706=" "," ",IF('депозитный калькулятор'!$G$7="30/360",DAYS360(U705,IF(DAY(U706)=31,U706-1,U706))+IF(AND(MONTH(U706)=2,U706=EOMONTH(U706,0)),30-DAY(EOMONTH(U706,0)))+T705,VLOOKUP(S706,$C$22:$F$1023,2,0)))</f>
        <v xml:space="preserve"> </v>
      </c>
      <c r="U706" s="64" t="str">
        <f t="shared" ca="1" si="50"/>
        <v xml:space="preserve"> </v>
      </c>
      <c r="V706" s="150" t="str">
        <f t="shared" ca="1" si="53"/>
        <v xml:space="preserve"> </v>
      </c>
      <c r="W706" s="62" t="str">
        <f t="shared" ca="1" si="54"/>
        <v xml:space="preserve"> </v>
      </c>
      <c r="X706" s="141" t="str">
        <f ca="1">IF(S706=" "," ",IFERROR(VLOOKUP(U706,$F$23:$N$1023,7)+VLOOKUP(U706,$F$23:$N$1023,9)+IF(AND('депозитный калькулятор'!$G$13="нет",U706&lt;&gt;'депозитный калькулятор'!$D$8),VLOOKUP(U706,$F$23:$N$1023,4),0),0)+IF(U706='депозитный калькулятор'!$D$8,VLOOKUP(U706,$F$23:$N$1023,2)+VLOOKUP(U706,$F$23:$N$1023,4),0))</f>
        <v xml:space="preserve"> </v>
      </c>
      <c r="Y706" s="142" t="str">
        <f ca="1">IF(S706=" "," ",W706/(1+'депозитный калькулятор'!$K$8)^(T706/IF('депозитный калькулятор'!$G$7="30/360",360,365)))</f>
        <v xml:space="preserve"> </v>
      </c>
      <c r="Z706" s="142" t="str">
        <f ca="1">IF(S706=" "," ",X706/(1+'депозитный калькулятор'!$K$8)^(T706/IF('депозитный калькулятор'!$G$7="30/360",360,365)))</f>
        <v xml:space="preserve"> </v>
      </c>
      <c r="AA706" s="151"/>
      <c r="AB706" s="151"/>
      <c r="AC706" s="155"/>
      <c r="AD706" s="155"/>
    </row>
    <row r="707" spans="1:30" s="2" customFormat="1" ht="15.5" x14ac:dyDescent="0.35">
      <c r="A707" s="41" t="str">
        <f>IF(F707=" "," ",IF(OR('депозитный калькулятор'!$G$7="30/365",'депозитный калькулятор'!$G$7="30/360"),IF(AND(MONTH(F707)=2,DAY(F707)=DAY(EOMONTH(F707,0))),30-DAY(EOMONTH(F707,0)),IF(DAY(F707)=31,1," "))," "))</f>
        <v xml:space="preserve"> </v>
      </c>
      <c r="B707" s="130" t="str">
        <f t="shared" si="51"/>
        <v xml:space="preserve"> </v>
      </c>
      <c r="C707" s="130" t="str">
        <f>IF(OR(B707=0,B707=" ")," ",SUM($B$23:B707))</f>
        <v xml:space="preserve"> </v>
      </c>
      <c r="D707" s="62" t="str">
        <f>IF(D706=" "," ",IF(OR(F706='депозитный калькулятор'!$D$8,F706=" ")," ",D706+1))</f>
        <v xml:space="preserve"> </v>
      </c>
      <c r="E707" s="130" t="str">
        <f>IF(OR(F706='депозитный калькулятор'!$D$8,F706=" ")," ",IF(EOMONTH(F706,0)=F706,1,E706+1))</f>
        <v xml:space="preserve"> </v>
      </c>
      <c r="F707" s="64" t="str">
        <f>IF(F706=" "," ",IF(F706='депозитный калькулятор'!$D$8," ",F706+1))</f>
        <v xml:space="preserve"> </v>
      </c>
      <c r="G707" s="145" t="str">
        <f xml:space="preserve"> IF(F707&gt;'депозитный калькулятор'!$D$8," ",IF('депозитный калькулятор'!$G$13="есть",IF('депозитный калькулятор'!$G$14="есть",G706+IF(I706=" ",0,I706)-J707-K707+L707+M707-N707,G706+IF(I706=" ",0,I706)-J707-K707+M707-N707),IF('депозитный калькулятор'!$G$14="есть",G706-J707-K707+L707+M707-N707,G706-J707-K707+M707-N707)))</f>
        <v xml:space="preserve"> </v>
      </c>
      <c r="H707" s="133" t="str">
        <f>IF(F707&gt;'депозитный калькулятор'!$D$8," ",IF(AND(OR('депозитный калькулятор'!$G$7="30/365",'депозитный калькулятор'!$G$7="30/360"),AND(MONTH(F707)=2,EOMONTH(F707,0)=F707)),IF(DAY(F707)=28,3*G707*'депозитный калькулятор'!$G$8,2*G707*'депозитный калькулятор'!$G$8),IF(AND(OR('депозитный калькулятор'!$G$7="30/365",'депозитный калькулятор'!$G$7="30/360"),DAY(F707)=31)," ",IF(AND('депозитный калькулятор'!$G$7="факт/факт",MOD(YEAR(F707),4)=0),G707*'депозитный калькулятор'!$D$11/366,G707*'депозитный калькулятор'!$G$8))))</f>
        <v xml:space="preserve"> </v>
      </c>
      <c r="I707" s="134" t="str">
        <f ca="1">IF(F707=" "," ",IF('депозитный калькулятор'!$G$10="ежедневное",H707,IF(AND('депозитный калькулятор'!$G$10="еженедельное",WEEKDAY(F707,2)=7),SUM(OFFSET(H707,-6,0):H707),IF(AND('депозитный калькулятор'!$G$10="еженедельное",F707='депозитный калькулятор'!$D$8),SUM($H$23:H707)-SUM($I$23:I706),IF(AND('депозитный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недели",WEEKDAY(F707,2)=7),MIN(OFFSET(H707,-6,0):H707)*(COUNTIF(OFFSET(H707,-6,0):H707,"&gt;0")+SUMIF(OFFSET(A707,-WEEKDAY(F707,2),0):A707,"=2",OFFSET(A707,-WEEKDAY(F707,2),0):A707)),IF(AND('депозитный калькулятор'!$G$10="еженедельное, на минимальную сумму зафиксированную в течение недели",F707='депозитный калькулятор'!$D$8,WEEKDAY(F707,2)&lt;&gt;7),MIN(OFFSET(H707,-WEEKDAY(F707,2),0):H707)*(COUNTIF(OFFSET(H707,-WEEKDAY(F707,2)+1,0):H707,"&gt;0")+SUM(OFFSET(A707,-WEEKDAY(F707,2),0):A707)),IF(AND('депозитный калькулятор'!$G$10="ежемесячное (в конце месяца)",F707='депозитный калькулятор'!$D$8,EOMONTH(F707,0)&lt;&gt;F707),IF('депозитный калькулятор'!$F$1=1,$H$24,SUM($H$23:H707)-SUM($I$23:I706)),IF(AND('депозитный калькулятор'!$G$10="ежемесячное (в конце месяца)",EOMONTH(F707,0)=F707),SUM($H$23:H707)-SUM($I$23:I706),IF(AND('депозитный калькулятор'!$G$10="ежемесячное (по дням открытия вклада)",F707='депозитный калькулятор'!$D$8,DAY('депозитный калькулятор'!$D$7)&lt;&gt;DAY(F707)),IF('депозитный калькулятор'!$F$1=1,$H$24,SUM($H$23:H707)-SUM($I$23:I706)),IF(AND('депозитный калькулятор'!$G$10="ежемесячное (по дням открытия вклада)",DAY('депозитный калькулятор'!$D$7)=DAY(F707)),SUM($H$23:H707)-SUM($I$23:I706),IF(AND('депозитный калькулятор'!$G$10="ежемесячное, на минимальную сумму зафиксированную в течение месяца",F707='депозитный калькулятор'!$D$8,EOMONTH(F707,0)&lt;&gt;F707),IF('депозитный калькулятор'!$F$1=1,$H$24,IF(AND(OR('депозитный калькулятор'!$G$7="30/365",'депозитный калькулятор'!$G$7="30/360"),DAY(F707)=31),0,MIN(OFFSET(H707,-E707+1,0):H707)*(E707+SUMIF(OFFSET(A707,-E707+1,0):A707,"=2",OFFSET(A707,-E707+1,0):A707)))),IF(AND('депозитный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калькулятор'!$G$7="30/360"),DAY(EOMONTH(F707,0))=31),EOMONTH(F707,0)-1=F707,EOMONTH(F707,0)=F707)),IF(IF(AND(OR('депозитный калькулятор'!$G$7="30/365",'депозитный калькулятор'!$G$7="30/360"),DAY(EOMONTH($F$23,0))=31),F707=EOMONTH($F$23,0)-1,F707=EOMONTH($F$23,0)),MIN(OFFSET(H707,-(DAY(F707)-DAY($F$23)),0):H707)*E707,MIN(OFFSET(H707,-(DAY(F707)-1),0):H707)*IF(AND(OR('депозитный калькулятор'!$G$7="30/365",'депозитный калькулятор'!$G$7="30/360"),DAY(F707)&lt;30),30,DAY(F707))),IF(AND('депозитный калькулятор'!$G$10="ежемесячное, на средний остаток в течение месяца, при условии что остаток больше чем ограничение",F707='депозитный калькулятор'!$D$8,EOMONTH(F707,0)&lt;&gt;F707),IF('депозитный калькулятор'!$F$1=1,$H$24,SUM(OFFSET(Q707,-E707+1,0):Q707)),IF(AND('депозитный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калькулятор'!$G$7="30/360"),DAY(EOMONTH(F707,0))=31),EOMONTH(F707,0)-1=F707,EOMONTH(F707,0)=F707)),IF(IF(AND(OR('депозитный калькулятор'!$G$7="30/365",'депозитный калькулятор'!$G$7="30/360"),DAY(EOMONTH($F$24,0))=31),F707=EOMONTH($F$24,0)-1,F707=EOMONTH($F$24,0)),SUM(OFFSET(Q707,-E707+1,0):Q707),SUM(OFFSET(Q707,-E707+1,0):Q707)),IF('депозитный калькулятор'!$G$10="ежеквартальное",IF(F707&gt;'депозитный калькулятор'!$D$8," ",IF(AND(EOMONTH(F707,0)=F707,OR(MONTH(F707)=3,MONTH(F707)=6,MONTH(F707)=9,MONTH(F707)=12)),IF(EDATE(F707,-3)&lt;'депозитный калькулятор'!$D$7,SUM($H$23:H707),IF(MOD(YEAR(F707),4)=0,IF(AND(EOMONTH(F707,0)=F707,OR(MONTH(F707)=3,MONTH(F707)=6)),SUM(OFFSET(H707,-90,0):H707),IF(AND(EOMONTH(F707,0)=F707,OR(MONTH(F707)=9,MONTH(F707)=12)),SUM(OFFSET(H707,-91,0):H707))),IF(AND(EOMONTH(F707,0)=F707,MONTH(F707)=3),SUM(OFFSET(H707,-89,0):H707),IF(AND(EOMONTH(F707,0)=F707,MONTH(F707)=6),SUM(OFFSET(H707,-90,0):H707),IF(AND(EOMONTH(F707,0)=F707,OR(MONTH(F707)=9,MONTH(F707)=12)),SUM(OFFSET(H707,-91,0):H707)))))),IF(F707='депозитный калькулятор'!$D$8,SUM($H$23:H707)-SUM($I$23:I706),0))),IF('депозитный калькулятор'!$G$10="ежегодное",IF(F707&gt;'депозитный калькулятор'!$D$8," ",IF(F707='депозитный калькулятор'!$D$8,SUM($H$23:H707)-SUM($I$23:I706),IF(AND(EOMONTH(F707,0)=F707,MONTH(F707)=12),IF(MOD(YEAR(F706),4)=0,IF(F707-'депозитный калькулятор'!$D$7&lt;366,SUM($H$23:H707),SUM(OFFSET(H707,-365,0):H707)),IF(F707-'депозитный калькулятор'!$D$7&lt;365,SUM($H$23:H707),SUM(OFFSET(H707,-364,0):H707))),0))),IF(AND('депозитный калькулятор'!$G$10="в конце срока",'депозитный калькулятор'!$D$8=F707),SUM($H$23:H707),0))))))))))))))))))</f>
        <v xml:space="preserve"> </v>
      </c>
      <c r="J707" s="59" t="str">
        <f>IF(F707&gt;'депозитный калькулятор'!$D$8," ",IF('депозитный калькулятор'!$G$16="нет",0,IF(AND('депозитный калькулятор'!$G$17="разовая (в конце срока)",F707='депозитный калькулятор'!$D$8),'депозитный калькулятор'!$G$18,IF(AND('депозитный калькулятор'!$G$17="ежемесячная",EOMONTH(F706,0)=F706),'депозитный калькулятор'!$G$18,IF(AND('депозитный калькулятор'!$G$17="ежегодная",DAY(F706)=31,MONTH(F706)=12),'депозитный калькулятор'!$G$18,IF(AND('депозитный калькулятор'!$G$17="ежемесячная в зависимости от остатка",EOMONTH(F706,0)=F706,P706&gt;0),'депозитный калькулятор'!$G$18,IF(AND('депозитный калькулятор'!$G$17="ежегодная в зависимости от остатка",DAY(F706)=31,MONTH(F706)=12,P706&gt;0),'депозитный калькулятор'!$G$18,0)))))))</f>
        <v xml:space="preserve"> </v>
      </c>
      <c r="K707" s="135" t="str">
        <f>IF($F707=" "," ",IFERROR(VLOOKUP($F707,'депозитный калькулятор'!$B$26:$F$70,2,0),0))</f>
        <v xml:space="preserve"> </v>
      </c>
      <c r="L707" s="135" t="str">
        <f>IF($F707=" "," ",IFERROR(VLOOKUP($F707,'депозитный калькулятор'!$B$26:$F$70,3,0),0))</f>
        <v xml:space="preserve"> </v>
      </c>
      <c r="M707" s="135" t="str">
        <f>IF($F707=" "," ",IFERROR(VLOOKUP($F707,'депозитный калькулятор'!$B$26:$F$70,4,0),0))</f>
        <v xml:space="preserve"> </v>
      </c>
      <c r="N707" s="135" t="str">
        <f>IF($F707=" "," ",IFERROR(VLOOKUP($F707,'депозитный калькулятор'!$B$26:$F$70,5,0),0))</f>
        <v xml:space="preserve"> </v>
      </c>
      <c r="O707" s="146" t="str">
        <f>IF(F707&gt;'депозитный калькулятор'!$D$8," ",IF(F707='депозитный калькулятор'!$D$8,IF(AND($F$24='депозитный калькулятор'!$D$8,'депозитный калькулятор'!$G$13="нет"),-G707-IF(I707=" ",0,I707)-IF(AND(OR('депозитный калькулятор'!$G$7="30/365",'депозитный калькулятор'!$G$7="30/360"),'депозитный калькулятор'!$G$10="в начале срока"),I706,0)-L707+M707-N707,-G707-IF(I707=" ",0,I707)-L707+M707-N707),IF('депозитный калькулятор'!$G$13="есть",M707-N707+IF('депозитный калькулятор'!$G$14="есть",0,-L707),-IF(I707=" ",0,I707)-IF(AND(OR('депозитный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срока"),I706,0)+M707-N707+IF('депозитный калькулятор'!$G$14="есть",0,-L707))))</f>
        <v xml:space="preserve"> </v>
      </c>
      <c r="P707" s="147" t="str">
        <f>IF(F707&gt;'депозитный калькулятор'!$D$8," ",IF(EOMONTH(F706,0)=F706,0,IF(G707&gt;='депозитный калькулятор'!$G$19,P706,P706+1)))</f>
        <v xml:space="preserve"> </v>
      </c>
      <c r="Q707" s="138" t="str">
        <f>IF(F707=" "," ",IF(AND(OR('депозитный калькулятор'!$G$7="30/365",'депозитный калькулятор'!$G$7="30/360"),AND(MONTH(F707)=2,EOMONTH(F707,0)=F707)),IF(DAY(F707)=28,3,2),1)*IF(G707&gt;='депозитный калькулятор'!$G$11,IF(AND('депозитный калькулятор'!$G$7="факт/факт",MOD(YEAR(F707),4)=0),G707*'депозитный калькулятор'!$D$11/366,G707*'депозитный калькулятор'!$G$8),0))</f>
        <v xml:space="preserve"> </v>
      </c>
      <c r="R707" s="158"/>
      <c r="S707" s="62" t="str">
        <f t="shared" ca="1" si="52"/>
        <v xml:space="preserve"> </v>
      </c>
      <c r="T707" s="149" t="str">
        <f ca="1">IF(S707=" "," ",IF('депозитный калькулятор'!$G$7="30/360",DAYS360(U706,IF(DAY(U707)=31,U707-1,U707))+IF(AND(MONTH(U707)=2,U707=EOMONTH(U707,0)),30-DAY(EOMONTH(U707,0)))+T706,VLOOKUP(S707,$C$22:$F$1023,2,0)))</f>
        <v xml:space="preserve"> </v>
      </c>
      <c r="U707" s="64" t="str">
        <f t="shared" ca="1" si="50"/>
        <v xml:space="preserve"> </v>
      </c>
      <c r="V707" s="150" t="str">
        <f t="shared" ca="1" si="53"/>
        <v xml:space="preserve"> </v>
      </c>
      <c r="W707" s="62" t="str">
        <f t="shared" ca="1" si="54"/>
        <v xml:space="preserve"> </v>
      </c>
      <c r="X707" s="141" t="str">
        <f ca="1">IF(S707=" "," ",IFERROR(VLOOKUP(U707,$F$23:$N$1023,7)+VLOOKUP(U707,$F$23:$N$1023,9)+IF(AND('депозитный калькулятор'!$G$13="нет",U707&lt;&gt;'депозитный калькулятор'!$D$8),VLOOKUP(U707,$F$23:$N$1023,4),0),0)+IF(U707='депозитный калькулятор'!$D$8,VLOOKUP(U707,$F$23:$N$1023,2)+VLOOKUP(U707,$F$23:$N$1023,4),0))</f>
        <v xml:space="preserve"> </v>
      </c>
      <c r="Y707" s="142" t="str">
        <f ca="1">IF(S707=" "," ",W707/(1+'депозитный калькулятор'!$K$8)^(T707/IF('депозитный калькулятор'!$G$7="30/360",360,365)))</f>
        <v xml:space="preserve"> </v>
      </c>
      <c r="Z707" s="142" t="str">
        <f ca="1">IF(S707=" "," ",X707/(1+'депозитный калькулятор'!$K$8)^(T707/IF('депозитный калькулятор'!$G$7="30/360",360,365)))</f>
        <v xml:space="preserve"> </v>
      </c>
      <c r="AA707" s="151"/>
      <c r="AB707" s="151"/>
      <c r="AC707" s="155"/>
      <c r="AD707" s="155"/>
    </row>
    <row r="708" spans="1:30" s="2" customFormat="1" ht="15.5" x14ac:dyDescent="0.35">
      <c r="A708" s="41" t="str">
        <f>IF(F708=" "," ",IF(OR('депозитный калькулятор'!$G$7="30/365",'депозитный калькулятор'!$G$7="30/360"),IF(AND(MONTH(F708)=2,DAY(F708)=DAY(EOMONTH(F708,0))),30-DAY(EOMONTH(F708,0)),IF(DAY(F708)=31,1," "))," "))</f>
        <v xml:space="preserve"> </v>
      </c>
      <c r="B708" s="130" t="str">
        <f t="shared" si="51"/>
        <v xml:space="preserve"> </v>
      </c>
      <c r="C708" s="130" t="str">
        <f>IF(OR(B708=0,B708=" ")," ",SUM($B$23:B708))</f>
        <v xml:space="preserve"> </v>
      </c>
      <c r="D708" s="62" t="str">
        <f>IF(D707=" "," ",IF(OR(F707='депозитный калькулятор'!$D$8,F707=" ")," ",D707+1))</f>
        <v xml:space="preserve"> </v>
      </c>
      <c r="E708" s="130" t="str">
        <f>IF(OR(F707='депозитный калькулятор'!$D$8,F707=" ")," ",IF(EOMONTH(F707,0)=F707,1,E707+1))</f>
        <v xml:space="preserve"> </v>
      </c>
      <c r="F708" s="64" t="str">
        <f>IF(F707=" "," ",IF(F707='депозитный калькулятор'!$D$8," ",F707+1))</f>
        <v xml:space="preserve"> </v>
      </c>
      <c r="G708" s="145" t="str">
        <f xml:space="preserve"> IF(F708&gt;'депозитный калькулятор'!$D$8," ",IF('депозитный калькулятор'!$G$13="есть",IF('депозитный калькулятор'!$G$14="есть",G707+IF(I707=" ",0,I707)-J708-K708+L708+M708-N708,G707+IF(I707=" ",0,I707)-J708-K708+M708-N708),IF('депозитный калькулятор'!$G$14="есть",G707-J708-K708+L708+M708-N708,G707-J708-K708+M708-N708)))</f>
        <v xml:space="preserve"> </v>
      </c>
      <c r="H708" s="133" t="str">
        <f>IF(F708&gt;'депозитный калькулятор'!$D$8," ",IF(AND(OR('депозитный калькулятор'!$G$7="30/365",'депозитный калькулятор'!$G$7="30/360"),AND(MONTH(F708)=2,EOMONTH(F708,0)=F708)),IF(DAY(F708)=28,3*G708*'депозитный калькулятор'!$G$8,2*G708*'депозитный калькулятор'!$G$8),IF(AND(OR('депозитный калькулятор'!$G$7="30/365",'депозитный калькулятор'!$G$7="30/360"),DAY(F708)=31)," ",IF(AND('депозитный калькулятор'!$G$7="факт/факт",MOD(YEAR(F708),4)=0),G708*'депозитный калькулятор'!$D$11/366,G708*'депозитный калькулятор'!$G$8))))</f>
        <v xml:space="preserve"> </v>
      </c>
      <c r="I708" s="134" t="str">
        <f ca="1">IF(F708=" "," ",IF('депозитный калькулятор'!$G$10="ежедневное",H708,IF(AND('депозитный калькулятор'!$G$10="еженедельное",WEEKDAY(F708,2)=7),SUM(OFFSET(H708,-6,0):H708),IF(AND('депозитный калькулятор'!$G$10="еженедельное",F708='депозитный калькулятор'!$D$8),SUM($H$23:H708)-SUM($I$23:I707),IF(AND('депозитный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недели",WEEKDAY(F708,2)=7),MIN(OFFSET(H708,-6,0):H708)*(COUNTIF(OFFSET(H708,-6,0):H708,"&gt;0")+SUMIF(OFFSET(A708,-WEEKDAY(F708,2),0):A708,"=2",OFFSET(A708,-WEEKDAY(F708,2),0):A708)),IF(AND('депозитный калькулятор'!$G$10="еженедельное, на минимальную сумму зафиксированную в течение недели",F708='депозитный калькулятор'!$D$8,WEEKDAY(F708,2)&lt;&gt;7),MIN(OFFSET(H708,-WEEKDAY(F708,2),0):H708)*(COUNTIF(OFFSET(H708,-WEEKDAY(F708,2)+1,0):H708,"&gt;0")+SUM(OFFSET(A708,-WEEKDAY(F708,2),0):A708)),IF(AND('депозитный калькулятор'!$G$10="ежемесячное (в конце месяца)",F708='депозитный калькулятор'!$D$8,EOMONTH(F708,0)&lt;&gt;F708),IF('депозитный калькулятор'!$F$1=1,$H$24,SUM($H$23:H708)-SUM($I$23:I707)),IF(AND('депозитный калькулятор'!$G$10="ежемесячное (в конце месяца)",EOMONTH(F708,0)=F708),SUM($H$23:H708)-SUM($I$23:I707),IF(AND('депозитный калькулятор'!$G$10="ежемесячное (по дням открытия вклада)",F708='депозитный калькулятор'!$D$8,DAY('депозитный калькулятор'!$D$7)&lt;&gt;DAY(F708)),IF('депозитный калькулятор'!$F$1=1,$H$24,SUM($H$23:H708)-SUM($I$23:I707)),IF(AND('депозитный калькулятор'!$G$10="ежемесячное (по дням открытия вклада)",DAY('депозитный калькулятор'!$D$7)=DAY(F708)),SUM($H$23:H708)-SUM($I$23:I707),IF(AND('депозитный калькулятор'!$G$10="ежемесячное, на минимальную сумму зафиксированную в течение месяца",F708='депозитный калькулятор'!$D$8,EOMONTH(F708,0)&lt;&gt;F708),IF('депозитный калькулятор'!$F$1=1,$H$24,IF(AND(OR('депозитный калькулятор'!$G$7="30/365",'депозитный калькулятор'!$G$7="30/360"),DAY(F708)=31),0,MIN(OFFSET(H708,-E708+1,0):H708)*(E708+SUMIF(OFFSET(A708,-E708+1,0):A708,"=2",OFFSET(A708,-E708+1,0):A708)))),IF(AND('депозитный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калькулятор'!$G$7="30/360"),DAY(EOMONTH(F708,0))=31),EOMONTH(F708,0)-1=F708,EOMONTH(F708,0)=F708)),IF(IF(AND(OR('депозитный калькулятор'!$G$7="30/365",'депозитный калькулятор'!$G$7="30/360"),DAY(EOMONTH($F$23,0))=31),F708=EOMONTH($F$23,0)-1,F708=EOMONTH($F$23,0)),MIN(OFFSET(H708,-(DAY(F708)-DAY($F$23)),0):H708)*E708,MIN(OFFSET(H708,-(DAY(F708)-1),0):H708)*IF(AND(OR('депозитный калькулятор'!$G$7="30/365",'депозитный калькулятор'!$G$7="30/360"),DAY(F708)&lt;30),30,DAY(F708))),IF(AND('депозитный калькулятор'!$G$10="ежемесячное, на средний остаток в течение месяца, при условии что остаток больше чем ограничение",F708='депозитный калькулятор'!$D$8,EOMONTH(F708,0)&lt;&gt;F708),IF('депозитный калькулятор'!$F$1=1,$H$24,SUM(OFFSET(Q708,-E708+1,0):Q708)),IF(AND('депозитный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калькулятор'!$G$7="30/360"),DAY(EOMONTH(F708,0))=31),EOMONTH(F708,0)-1=F708,EOMONTH(F708,0)=F708)),IF(IF(AND(OR('депозитный калькулятор'!$G$7="30/365",'депозитный калькулятор'!$G$7="30/360"),DAY(EOMONTH($F$24,0))=31),F708=EOMONTH($F$24,0)-1,F708=EOMONTH($F$24,0)),SUM(OFFSET(Q708,-E708+1,0):Q708),SUM(OFFSET(Q708,-E708+1,0):Q708)),IF('депозитный калькулятор'!$G$10="ежеквартальное",IF(F708&gt;'депозитный калькулятор'!$D$8," ",IF(AND(EOMONTH(F708,0)=F708,OR(MONTH(F708)=3,MONTH(F708)=6,MONTH(F708)=9,MONTH(F708)=12)),IF(EDATE(F708,-3)&lt;'депозитный калькулятор'!$D$7,SUM($H$23:H708),IF(MOD(YEAR(F708),4)=0,IF(AND(EOMONTH(F708,0)=F708,OR(MONTH(F708)=3,MONTH(F708)=6)),SUM(OFFSET(H708,-90,0):H708),IF(AND(EOMONTH(F708,0)=F708,OR(MONTH(F708)=9,MONTH(F708)=12)),SUM(OFFSET(H708,-91,0):H708))),IF(AND(EOMONTH(F708,0)=F708,MONTH(F708)=3),SUM(OFFSET(H708,-89,0):H708),IF(AND(EOMONTH(F708,0)=F708,MONTH(F708)=6),SUM(OFFSET(H708,-90,0):H708),IF(AND(EOMONTH(F708,0)=F708,OR(MONTH(F708)=9,MONTH(F708)=12)),SUM(OFFSET(H708,-91,0):H708)))))),IF(F708='депозитный калькулятор'!$D$8,SUM($H$23:H708)-SUM($I$23:I707),0))),IF('депозитный калькулятор'!$G$10="ежегодное",IF(F708&gt;'депозитный калькулятор'!$D$8," ",IF(F708='депозитный калькулятор'!$D$8,SUM($H$23:H708)-SUM($I$23:I707),IF(AND(EOMONTH(F708,0)=F708,MONTH(F708)=12),IF(MOD(YEAR(F707),4)=0,IF(F708-'депозитный калькулятор'!$D$7&lt;366,SUM($H$23:H708),SUM(OFFSET(H708,-365,0):H708)),IF(F708-'депозитный калькулятор'!$D$7&lt;365,SUM($H$23:H708),SUM(OFFSET(H708,-364,0):H708))),0))),IF(AND('депозитный калькулятор'!$G$10="в конце срока",'депозитный калькулятор'!$D$8=F708),SUM($H$23:H708),0))))))))))))))))))</f>
        <v xml:space="preserve"> </v>
      </c>
      <c r="J708" s="59" t="str">
        <f>IF(F708&gt;'депозитный калькулятор'!$D$8," ",IF('депозитный калькулятор'!$G$16="нет",0,IF(AND('депозитный калькулятор'!$G$17="разовая (в конце срока)",F708='депозитный калькулятор'!$D$8),'депозитный калькулятор'!$G$18,IF(AND('депозитный калькулятор'!$G$17="ежемесячная",EOMONTH(F707,0)=F707),'депозитный калькулятор'!$G$18,IF(AND('депозитный калькулятор'!$G$17="ежегодная",DAY(F707)=31,MONTH(F707)=12),'депозитный калькулятор'!$G$18,IF(AND('депозитный калькулятор'!$G$17="ежемесячная в зависимости от остатка",EOMONTH(F707,0)=F707,P707&gt;0),'депозитный калькулятор'!$G$18,IF(AND('депозитный калькулятор'!$G$17="ежегодная в зависимости от остатка",DAY(F707)=31,MONTH(F707)=12,P707&gt;0),'депозитный калькулятор'!$G$18,0)))))))</f>
        <v xml:space="preserve"> </v>
      </c>
      <c r="K708" s="135" t="str">
        <f>IF($F708=" "," ",IFERROR(VLOOKUP($F708,'депозитный калькулятор'!$B$26:$F$70,2,0),0))</f>
        <v xml:space="preserve"> </v>
      </c>
      <c r="L708" s="135" t="str">
        <f>IF($F708=" "," ",IFERROR(VLOOKUP($F708,'депозитный калькулятор'!$B$26:$F$70,3,0),0))</f>
        <v xml:space="preserve"> </v>
      </c>
      <c r="M708" s="135" t="str">
        <f>IF($F708=" "," ",IFERROR(VLOOKUP($F708,'депозитный калькулятор'!$B$26:$F$70,4,0),0))</f>
        <v xml:space="preserve"> </v>
      </c>
      <c r="N708" s="135" t="str">
        <f>IF($F708=" "," ",IFERROR(VLOOKUP($F708,'депозитный калькулятор'!$B$26:$F$70,5,0),0))</f>
        <v xml:space="preserve"> </v>
      </c>
      <c r="O708" s="146" t="str">
        <f>IF(F708&gt;'депозитный калькулятор'!$D$8," ",IF(F708='депозитный калькулятор'!$D$8,IF(AND($F$24='депозитный калькулятор'!$D$8,'депозитный калькулятор'!$G$13="нет"),-G708-IF(I708=" ",0,I708)-IF(AND(OR('депозитный калькулятор'!$G$7="30/365",'депозитный калькулятор'!$G$7="30/360"),'депозитный калькулятор'!$G$10="в начале срока"),I707,0)-L708+M708-N708,-G708-IF(I708=" ",0,I708)-L708+M708-N708),IF('депозитный калькулятор'!$G$13="есть",M708-N708+IF('депозитный калькулятор'!$G$14="есть",0,-L708),-IF(I708=" ",0,I708)-IF(AND(OR('депозитный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срока"),I707,0)+M708-N708+IF('депозитный калькулятор'!$G$14="есть",0,-L708))))</f>
        <v xml:space="preserve"> </v>
      </c>
      <c r="P708" s="147" t="str">
        <f>IF(F708&gt;'депозитный калькулятор'!$D$8," ",IF(EOMONTH(F707,0)=F707,0,IF(G708&gt;='депозитный калькулятор'!$G$19,P707,P707+1)))</f>
        <v xml:space="preserve"> </v>
      </c>
      <c r="Q708" s="138" t="str">
        <f>IF(F708=" "," ",IF(AND(OR('депозитный калькулятор'!$G$7="30/365",'депозитный калькулятор'!$G$7="30/360"),AND(MONTH(F708)=2,EOMONTH(F708,0)=F708)),IF(DAY(F708)=28,3,2),1)*IF(G708&gt;='депозитный калькулятор'!$G$11,IF(AND('депозитный калькулятор'!$G$7="факт/факт",MOD(YEAR(F708),4)=0),G708*'депозитный калькулятор'!$D$11/366,G708*'депозитный калькулятор'!$G$8),0))</f>
        <v xml:space="preserve"> </v>
      </c>
      <c r="R708" s="158"/>
      <c r="S708" s="62" t="str">
        <f t="shared" ca="1" si="52"/>
        <v xml:space="preserve"> </v>
      </c>
      <c r="T708" s="149" t="str">
        <f ca="1">IF(S708=" "," ",IF('депозитный калькулятор'!$G$7="30/360",DAYS360(U707,IF(DAY(U708)=31,U708-1,U708))+IF(AND(MONTH(U708)=2,U708=EOMONTH(U708,0)),30-DAY(EOMONTH(U708,0)))+T707,VLOOKUP(S708,$C$22:$F$1023,2,0)))</f>
        <v xml:space="preserve"> </v>
      </c>
      <c r="U708" s="64" t="str">
        <f t="shared" ca="1" si="50"/>
        <v xml:space="preserve"> </v>
      </c>
      <c r="V708" s="150" t="str">
        <f t="shared" ca="1" si="53"/>
        <v xml:space="preserve"> </v>
      </c>
      <c r="W708" s="62" t="str">
        <f t="shared" ca="1" si="54"/>
        <v xml:space="preserve"> </v>
      </c>
      <c r="X708" s="141" t="str">
        <f ca="1">IF(S708=" "," ",IFERROR(VLOOKUP(U708,$F$23:$N$1023,7)+VLOOKUP(U708,$F$23:$N$1023,9)+IF(AND('депозитный калькулятор'!$G$13="нет",U708&lt;&gt;'депозитный калькулятор'!$D$8),VLOOKUP(U708,$F$23:$N$1023,4),0),0)+IF(U708='депозитный калькулятор'!$D$8,VLOOKUP(U708,$F$23:$N$1023,2)+VLOOKUP(U708,$F$23:$N$1023,4),0))</f>
        <v xml:space="preserve"> </v>
      </c>
      <c r="Y708" s="142" t="str">
        <f ca="1">IF(S708=" "," ",W708/(1+'депозитный калькулятор'!$K$8)^(T708/IF('депозитный калькулятор'!$G$7="30/360",360,365)))</f>
        <v xml:space="preserve"> </v>
      </c>
      <c r="Z708" s="142" t="str">
        <f ca="1">IF(S708=" "," ",X708/(1+'депозитный калькулятор'!$K$8)^(T708/IF('депозитный калькулятор'!$G$7="30/360",360,365)))</f>
        <v xml:space="preserve"> </v>
      </c>
      <c r="AA708" s="151"/>
      <c r="AB708" s="151"/>
      <c r="AC708" s="155"/>
      <c r="AD708" s="155"/>
    </row>
    <row r="709" spans="1:30" s="2" customFormat="1" ht="15.5" x14ac:dyDescent="0.35">
      <c r="A709" s="41" t="str">
        <f>IF(F709=" "," ",IF(OR('депозитный калькулятор'!$G$7="30/365",'депозитный калькулятор'!$G$7="30/360"),IF(AND(MONTH(F709)=2,DAY(F709)=DAY(EOMONTH(F709,0))),30-DAY(EOMONTH(F709,0)),IF(DAY(F709)=31,1," "))," "))</f>
        <v xml:space="preserve"> </v>
      </c>
      <c r="B709" s="130" t="str">
        <f t="shared" si="51"/>
        <v xml:space="preserve"> </v>
      </c>
      <c r="C709" s="130" t="str">
        <f>IF(OR(B709=0,B709=" ")," ",SUM($B$23:B709))</f>
        <v xml:space="preserve"> </v>
      </c>
      <c r="D709" s="62" t="str">
        <f>IF(D708=" "," ",IF(OR(F708='депозитный калькулятор'!$D$8,F708=" ")," ",D708+1))</f>
        <v xml:space="preserve"> </v>
      </c>
      <c r="E709" s="130" t="str">
        <f>IF(OR(F708='депозитный калькулятор'!$D$8,F708=" ")," ",IF(EOMONTH(F708,0)=F708,1,E708+1))</f>
        <v xml:space="preserve"> </v>
      </c>
      <c r="F709" s="64" t="str">
        <f>IF(F708=" "," ",IF(F708='депозитный калькулятор'!$D$8," ",F708+1))</f>
        <v xml:space="preserve"> </v>
      </c>
      <c r="G709" s="145" t="str">
        <f xml:space="preserve"> IF(F709&gt;'депозитный калькулятор'!$D$8," ",IF('депозитный калькулятор'!$G$13="есть",IF('депозитный калькулятор'!$G$14="есть",G708+IF(I708=" ",0,I708)-J709-K709+L709+M709-N709,G708+IF(I708=" ",0,I708)-J709-K709+M709-N709),IF('депозитный калькулятор'!$G$14="есть",G708-J709-K709+L709+M709-N709,G708-J709-K709+M709-N709)))</f>
        <v xml:space="preserve"> </v>
      </c>
      <c r="H709" s="133" t="str">
        <f>IF(F709&gt;'депозитный калькулятор'!$D$8," ",IF(AND(OR('депозитный калькулятор'!$G$7="30/365",'депозитный калькулятор'!$G$7="30/360"),AND(MONTH(F709)=2,EOMONTH(F709,0)=F709)),IF(DAY(F709)=28,3*G709*'депозитный калькулятор'!$G$8,2*G709*'депозитный калькулятор'!$G$8),IF(AND(OR('депозитный калькулятор'!$G$7="30/365",'депозитный калькулятор'!$G$7="30/360"),DAY(F709)=31)," ",IF(AND('депозитный калькулятор'!$G$7="факт/факт",MOD(YEAR(F709),4)=0),G709*'депозитный калькулятор'!$D$11/366,G709*'депозитный калькулятор'!$G$8))))</f>
        <v xml:space="preserve"> </v>
      </c>
      <c r="I709" s="134" t="str">
        <f ca="1">IF(F709=" "," ",IF('депозитный калькулятор'!$G$10="ежедневное",H709,IF(AND('депозитный калькулятор'!$G$10="еженедельное",WEEKDAY(F709,2)=7),SUM(OFFSET(H709,-6,0):H709),IF(AND('депозитный калькулятор'!$G$10="еженедельное",F709='депозитный калькулятор'!$D$8),SUM($H$23:H709)-SUM($I$23:I708),IF(AND('депозитный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недели",WEEKDAY(F709,2)=7),MIN(OFFSET(H709,-6,0):H709)*(COUNTIF(OFFSET(H709,-6,0):H709,"&gt;0")+SUMIF(OFFSET(A709,-WEEKDAY(F709,2),0):A709,"=2",OFFSET(A709,-WEEKDAY(F709,2),0):A709)),IF(AND('депозитный калькулятор'!$G$10="еженедельное, на минимальную сумму зафиксированную в течение недели",F709='депозитный калькулятор'!$D$8,WEEKDAY(F709,2)&lt;&gt;7),MIN(OFFSET(H709,-WEEKDAY(F709,2),0):H709)*(COUNTIF(OFFSET(H709,-WEEKDAY(F709,2)+1,0):H709,"&gt;0")+SUM(OFFSET(A709,-WEEKDAY(F709,2),0):A709)),IF(AND('депозитный калькулятор'!$G$10="ежемесячное (в конце месяца)",F709='депозитный калькулятор'!$D$8,EOMONTH(F709,0)&lt;&gt;F709),IF('депозитный калькулятор'!$F$1=1,$H$24,SUM($H$23:H709)-SUM($I$23:I708)),IF(AND('депозитный калькулятор'!$G$10="ежемесячное (в конце месяца)",EOMONTH(F709,0)=F709),SUM($H$23:H709)-SUM($I$23:I708),IF(AND('депозитный калькулятор'!$G$10="ежемесячное (по дням открытия вклада)",F709='депозитный калькулятор'!$D$8,DAY('депозитный калькулятор'!$D$7)&lt;&gt;DAY(F709)),IF('депозитный калькулятор'!$F$1=1,$H$24,SUM($H$23:H709)-SUM($I$23:I708)),IF(AND('депозитный калькулятор'!$G$10="ежемесячное (по дням открытия вклада)",DAY('депозитный калькулятор'!$D$7)=DAY(F709)),SUM($H$23:H709)-SUM($I$23:I708),IF(AND('депозитный калькулятор'!$G$10="ежемесячное, на минимальную сумму зафиксированную в течение месяца",F709='депозитный калькулятор'!$D$8,EOMONTH(F709,0)&lt;&gt;F709),IF('депозитный калькулятор'!$F$1=1,$H$24,IF(AND(OR('депозитный калькулятор'!$G$7="30/365",'депозитный калькулятор'!$G$7="30/360"),DAY(F709)=31),0,MIN(OFFSET(H709,-E709+1,0):H709)*(E709+SUMIF(OFFSET(A709,-E709+1,0):A709,"=2",OFFSET(A709,-E709+1,0):A709)))),IF(AND('депозитный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калькулятор'!$G$7="30/360"),DAY(EOMONTH(F709,0))=31),EOMONTH(F709,0)-1=F709,EOMONTH(F709,0)=F709)),IF(IF(AND(OR('депозитный калькулятор'!$G$7="30/365",'депозитный калькулятор'!$G$7="30/360"),DAY(EOMONTH($F$23,0))=31),F709=EOMONTH($F$23,0)-1,F709=EOMONTH($F$23,0)),MIN(OFFSET(H709,-(DAY(F709)-DAY($F$23)),0):H709)*E709,MIN(OFFSET(H709,-(DAY(F709)-1),0):H709)*IF(AND(OR('депозитный калькулятор'!$G$7="30/365",'депозитный калькулятор'!$G$7="30/360"),DAY(F709)&lt;30),30,DAY(F709))),IF(AND('депозитный калькулятор'!$G$10="ежемесячное, на средний остаток в течение месяца, при условии что остаток больше чем ограничение",F709='депозитный калькулятор'!$D$8,EOMONTH(F709,0)&lt;&gt;F709),IF('депозитный калькулятор'!$F$1=1,$H$24,SUM(OFFSET(Q709,-E709+1,0):Q709)),IF(AND('депозитный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калькулятор'!$G$7="30/360"),DAY(EOMONTH(F709,0))=31),EOMONTH(F709,0)-1=F709,EOMONTH(F709,0)=F709)),IF(IF(AND(OR('депозитный калькулятор'!$G$7="30/365",'депозитный калькулятор'!$G$7="30/360"),DAY(EOMONTH($F$24,0))=31),F709=EOMONTH($F$24,0)-1,F709=EOMONTH($F$24,0)),SUM(OFFSET(Q709,-E709+1,0):Q709),SUM(OFFSET(Q709,-E709+1,0):Q709)),IF('депозитный калькулятор'!$G$10="ежеквартальное",IF(F709&gt;'депозитный калькулятор'!$D$8," ",IF(AND(EOMONTH(F709,0)=F709,OR(MONTH(F709)=3,MONTH(F709)=6,MONTH(F709)=9,MONTH(F709)=12)),IF(EDATE(F709,-3)&lt;'депозитный калькулятор'!$D$7,SUM($H$23:H709),IF(MOD(YEAR(F709),4)=0,IF(AND(EOMONTH(F709,0)=F709,OR(MONTH(F709)=3,MONTH(F709)=6)),SUM(OFFSET(H709,-90,0):H709),IF(AND(EOMONTH(F709,0)=F709,OR(MONTH(F709)=9,MONTH(F709)=12)),SUM(OFFSET(H709,-91,0):H709))),IF(AND(EOMONTH(F709,0)=F709,MONTH(F709)=3),SUM(OFFSET(H709,-89,0):H709),IF(AND(EOMONTH(F709,0)=F709,MONTH(F709)=6),SUM(OFFSET(H709,-90,0):H709),IF(AND(EOMONTH(F709,0)=F709,OR(MONTH(F709)=9,MONTH(F709)=12)),SUM(OFFSET(H709,-91,0):H709)))))),IF(F709='депозитный калькулятор'!$D$8,SUM($H$23:H709)-SUM($I$23:I708),0))),IF('депозитный калькулятор'!$G$10="ежегодное",IF(F709&gt;'депозитный калькулятор'!$D$8," ",IF(F709='депозитный калькулятор'!$D$8,SUM($H$23:H709)-SUM($I$23:I708),IF(AND(EOMONTH(F709,0)=F709,MONTH(F709)=12),IF(MOD(YEAR(F708),4)=0,IF(F709-'депозитный калькулятор'!$D$7&lt;366,SUM($H$23:H709),SUM(OFFSET(H709,-365,0):H709)),IF(F709-'депозитный калькулятор'!$D$7&lt;365,SUM($H$23:H709),SUM(OFFSET(H709,-364,0):H709))),0))),IF(AND('депозитный калькулятор'!$G$10="в конце срока",'депозитный калькулятор'!$D$8=F709),SUM($H$23:H709),0))))))))))))))))))</f>
        <v xml:space="preserve"> </v>
      </c>
      <c r="J709" s="59" t="str">
        <f>IF(F709&gt;'депозитный калькулятор'!$D$8," ",IF('депозитный калькулятор'!$G$16="нет",0,IF(AND('депозитный калькулятор'!$G$17="разовая (в конце срока)",F709='депозитный калькулятор'!$D$8),'депозитный калькулятор'!$G$18,IF(AND('депозитный калькулятор'!$G$17="ежемесячная",EOMONTH(F708,0)=F708),'депозитный калькулятор'!$G$18,IF(AND('депозитный калькулятор'!$G$17="ежегодная",DAY(F708)=31,MONTH(F708)=12),'депозитный калькулятор'!$G$18,IF(AND('депозитный калькулятор'!$G$17="ежемесячная в зависимости от остатка",EOMONTH(F708,0)=F708,P708&gt;0),'депозитный калькулятор'!$G$18,IF(AND('депозитный калькулятор'!$G$17="ежегодная в зависимости от остатка",DAY(F708)=31,MONTH(F708)=12,P708&gt;0),'депозитный калькулятор'!$G$18,0)))))))</f>
        <v xml:space="preserve"> </v>
      </c>
      <c r="K709" s="135" t="str">
        <f>IF($F709=" "," ",IFERROR(VLOOKUP($F709,'депозитный калькулятор'!$B$26:$F$70,2,0),0))</f>
        <v xml:space="preserve"> </v>
      </c>
      <c r="L709" s="135" t="str">
        <f>IF($F709=" "," ",IFERROR(VLOOKUP($F709,'депозитный калькулятор'!$B$26:$F$70,3,0),0))</f>
        <v xml:space="preserve"> </v>
      </c>
      <c r="M709" s="135" t="str">
        <f>IF($F709=" "," ",IFERROR(VLOOKUP($F709,'депозитный калькулятор'!$B$26:$F$70,4,0),0))</f>
        <v xml:space="preserve"> </v>
      </c>
      <c r="N709" s="135" t="str">
        <f>IF($F709=" "," ",IFERROR(VLOOKUP($F709,'депозитный калькулятор'!$B$26:$F$70,5,0),0))</f>
        <v xml:space="preserve"> </v>
      </c>
      <c r="O709" s="146" t="str">
        <f>IF(F709&gt;'депозитный калькулятор'!$D$8," ",IF(F709='депозитный калькулятор'!$D$8,IF(AND($F$24='депозитный калькулятор'!$D$8,'депозитный калькулятор'!$G$13="нет"),-G709-IF(I709=" ",0,I709)-IF(AND(OR('депозитный калькулятор'!$G$7="30/365",'депозитный калькулятор'!$G$7="30/360"),'депозитный калькулятор'!$G$10="в начале срока"),I708,0)-L709+M709-N709,-G709-IF(I709=" ",0,I709)-L709+M709-N709),IF('депозитный калькулятор'!$G$13="есть",M709-N709+IF('депозитный калькулятор'!$G$14="есть",0,-L709),-IF(I709=" ",0,I709)-IF(AND(OR('депозитный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срока"),I708,0)+M709-N709+IF('депозитный калькулятор'!$G$14="есть",0,-L709))))</f>
        <v xml:space="preserve"> </v>
      </c>
      <c r="P709" s="147" t="str">
        <f>IF(F709&gt;'депозитный калькулятор'!$D$8," ",IF(EOMONTH(F708,0)=F708,0,IF(G709&gt;='депозитный калькулятор'!$G$19,P708,P708+1)))</f>
        <v xml:space="preserve"> </v>
      </c>
      <c r="Q709" s="138" t="str">
        <f>IF(F709=" "," ",IF(AND(OR('депозитный калькулятор'!$G$7="30/365",'депозитный калькулятор'!$G$7="30/360"),AND(MONTH(F709)=2,EOMONTH(F709,0)=F709)),IF(DAY(F709)=28,3,2),1)*IF(G709&gt;='депозитный калькулятор'!$G$11,IF(AND('депозитный калькулятор'!$G$7="факт/факт",MOD(YEAR(F709),4)=0),G709*'депозитный калькулятор'!$D$11/366,G709*'депозитный калькулятор'!$G$8),0))</f>
        <v xml:space="preserve"> </v>
      </c>
      <c r="R709" s="158"/>
      <c r="S709" s="62" t="str">
        <f t="shared" ca="1" si="52"/>
        <v xml:space="preserve"> </v>
      </c>
      <c r="T709" s="149" t="str">
        <f ca="1">IF(S709=" "," ",IF('депозитный калькулятор'!$G$7="30/360",DAYS360(U708,IF(DAY(U709)=31,U709-1,U709))+IF(AND(MONTH(U709)=2,U709=EOMONTH(U709,0)),30-DAY(EOMONTH(U709,0)))+T708,VLOOKUP(S709,$C$22:$F$1023,2,0)))</f>
        <v xml:space="preserve"> </v>
      </c>
      <c r="U709" s="64" t="str">
        <f t="shared" ca="1" si="50"/>
        <v xml:space="preserve"> </v>
      </c>
      <c r="V709" s="150" t="str">
        <f t="shared" ca="1" si="53"/>
        <v xml:space="preserve"> </v>
      </c>
      <c r="W709" s="62" t="str">
        <f t="shared" ca="1" si="54"/>
        <v xml:space="preserve"> </v>
      </c>
      <c r="X709" s="141" t="str">
        <f ca="1">IF(S709=" "," ",IFERROR(VLOOKUP(U709,$F$23:$N$1023,7)+VLOOKUP(U709,$F$23:$N$1023,9)+IF(AND('депозитный калькулятор'!$G$13="нет",U709&lt;&gt;'депозитный калькулятор'!$D$8),VLOOKUP(U709,$F$23:$N$1023,4),0),0)+IF(U709='депозитный калькулятор'!$D$8,VLOOKUP(U709,$F$23:$N$1023,2)+VLOOKUP(U709,$F$23:$N$1023,4),0))</f>
        <v xml:space="preserve"> </v>
      </c>
      <c r="Y709" s="142" t="str">
        <f ca="1">IF(S709=" "," ",W709/(1+'депозитный калькулятор'!$K$8)^(T709/IF('депозитный калькулятор'!$G$7="30/360",360,365)))</f>
        <v xml:space="preserve"> </v>
      </c>
      <c r="Z709" s="142" t="str">
        <f ca="1">IF(S709=" "," ",X709/(1+'депозитный калькулятор'!$K$8)^(T709/IF('депозитный калькулятор'!$G$7="30/360",360,365)))</f>
        <v xml:space="preserve"> </v>
      </c>
      <c r="AA709" s="151"/>
      <c r="AB709" s="151"/>
      <c r="AC709" s="155"/>
      <c r="AD709" s="155"/>
    </row>
    <row r="710" spans="1:30" s="2" customFormat="1" ht="15.5" x14ac:dyDescent="0.35">
      <c r="A710" s="41" t="str">
        <f>IF(F710=" "," ",IF(OR('депозитный калькулятор'!$G$7="30/365",'депозитный калькулятор'!$G$7="30/360"),IF(AND(MONTH(F710)=2,DAY(F710)=DAY(EOMONTH(F710,0))),30-DAY(EOMONTH(F710,0)),IF(DAY(F710)=31,1," "))," "))</f>
        <v xml:space="preserve"> </v>
      </c>
      <c r="B710" s="130" t="str">
        <f t="shared" si="51"/>
        <v xml:space="preserve"> </v>
      </c>
      <c r="C710" s="130" t="str">
        <f>IF(OR(B710=0,B710=" ")," ",SUM($B$23:B710))</f>
        <v xml:space="preserve"> </v>
      </c>
      <c r="D710" s="62" t="str">
        <f>IF(D709=" "," ",IF(OR(F709='депозитный калькулятор'!$D$8,F709=" ")," ",D709+1))</f>
        <v xml:space="preserve"> </v>
      </c>
      <c r="E710" s="130" t="str">
        <f>IF(OR(F709='депозитный калькулятор'!$D$8,F709=" ")," ",IF(EOMONTH(F709,0)=F709,1,E709+1))</f>
        <v xml:space="preserve"> </v>
      </c>
      <c r="F710" s="64" t="str">
        <f>IF(F709=" "," ",IF(F709='депозитный калькулятор'!$D$8," ",F709+1))</f>
        <v xml:space="preserve"> </v>
      </c>
      <c r="G710" s="145" t="str">
        <f xml:space="preserve"> IF(F710&gt;'депозитный калькулятор'!$D$8," ",IF('депозитный калькулятор'!$G$13="есть",IF('депозитный калькулятор'!$G$14="есть",G709+IF(I709=" ",0,I709)-J710-K710+L710+M710-N710,G709+IF(I709=" ",0,I709)-J710-K710+M710-N710),IF('депозитный калькулятор'!$G$14="есть",G709-J710-K710+L710+M710-N710,G709-J710-K710+M710-N710)))</f>
        <v xml:space="preserve"> </v>
      </c>
      <c r="H710" s="133" t="str">
        <f>IF(F710&gt;'депозитный калькулятор'!$D$8," ",IF(AND(OR('депозитный калькулятор'!$G$7="30/365",'депозитный калькулятор'!$G$7="30/360"),AND(MONTH(F710)=2,EOMONTH(F710,0)=F710)),IF(DAY(F710)=28,3*G710*'депозитный калькулятор'!$G$8,2*G710*'депозитный калькулятор'!$G$8),IF(AND(OR('депозитный калькулятор'!$G$7="30/365",'депозитный калькулятор'!$G$7="30/360"),DAY(F710)=31)," ",IF(AND('депозитный калькулятор'!$G$7="факт/факт",MOD(YEAR(F710),4)=0),G710*'депозитный калькулятор'!$D$11/366,G710*'депозитный калькулятор'!$G$8))))</f>
        <v xml:space="preserve"> </v>
      </c>
      <c r="I710" s="134" t="str">
        <f ca="1">IF(F710=" "," ",IF('депозитный калькулятор'!$G$10="ежедневное",H710,IF(AND('депозитный калькулятор'!$G$10="еженедельное",WEEKDAY(F710,2)=7),SUM(OFFSET(H710,-6,0):H710),IF(AND('депозитный калькулятор'!$G$10="еженедельное",F710='депозитный калькулятор'!$D$8),SUM($H$23:H710)-SUM($I$23:I709),IF(AND('депозитный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недели",WEEKDAY(F710,2)=7),MIN(OFFSET(H710,-6,0):H710)*(COUNTIF(OFFSET(H710,-6,0):H710,"&gt;0")+SUMIF(OFFSET(A710,-WEEKDAY(F710,2),0):A710,"=2",OFFSET(A710,-WEEKDAY(F710,2),0):A710)),IF(AND('депозитный калькулятор'!$G$10="еженедельное, на минимальную сумму зафиксированную в течение недели",F710='депозитный калькулятор'!$D$8,WEEKDAY(F710,2)&lt;&gt;7),MIN(OFFSET(H710,-WEEKDAY(F710,2),0):H710)*(COUNTIF(OFFSET(H710,-WEEKDAY(F710,2)+1,0):H710,"&gt;0")+SUM(OFFSET(A710,-WEEKDAY(F710,2),0):A710)),IF(AND('депозитный калькулятор'!$G$10="ежемесячное (в конце месяца)",F710='депозитный калькулятор'!$D$8,EOMONTH(F710,0)&lt;&gt;F710),IF('депозитный калькулятор'!$F$1=1,$H$24,SUM($H$23:H710)-SUM($I$23:I709)),IF(AND('депозитный калькулятор'!$G$10="ежемесячное (в конце месяца)",EOMONTH(F710,0)=F710),SUM($H$23:H710)-SUM($I$23:I709),IF(AND('депозитный калькулятор'!$G$10="ежемесячное (по дням открытия вклада)",F710='депозитный калькулятор'!$D$8,DAY('депозитный калькулятор'!$D$7)&lt;&gt;DAY(F710)),IF('депозитный калькулятор'!$F$1=1,$H$24,SUM($H$23:H710)-SUM($I$23:I709)),IF(AND('депозитный калькулятор'!$G$10="ежемесячное (по дням открытия вклада)",DAY('депозитный калькулятор'!$D$7)=DAY(F710)),SUM($H$23:H710)-SUM($I$23:I709),IF(AND('депозитный калькулятор'!$G$10="ежемесячное, на минимальную сумму зафиксированную в течение месяца",F710='депозитный калькулятор'!$D$8,EOMONTH(F710,0)&lt;&gt;F710),IF('депозитный калькулятор'!$F$1=1,$H$24,IF(AND(OR('депозитный калькулятор'!$G$7="30/365",'депозитный калькулятор'!$G$7="30/360"),DAY(F710)=31),0,MIN(OFFSET(H710,-E710+1,0):H710)*(E710+SUMIF(OFFSET(A710,-E710+1,0):A710,"=2",OFFSET(A710,-E710+1,0):A710)))),IF(AND('депозитный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калькулятор'!$G$7="30/360"),DAY(EOMONTH(F710,0))=31),EOMONTH(F710,0)-1=F710,EOMONTH(F710,0)=F710)),IF(IF(AND(OR('депозитный калькулятор'!$G$7="30/365",'депозитный калькулятор'!$G$7="30/360"),DAY(EOMONTH($F$23,0))=31),F710=EOMONTH($F$23,0)-1,F710=EOMONTH($F$23,0)),MIN(OFFSET(H710,-(DAY(F710)-DAY($F$23)),0):H710)*E710,MIN(OFFSET(H710,-(DAY(F710)-1),0):H710)*IF(AND(OR('депозитный калькулятор'!$G$7="30/365",'депозитный калькулятор'!$G$7="30/360"),DAY(F710)&lt;30),30,DAY(F710))),IF(AND('депозитный калькулятор'!$G$10="ежемесячное, на средний остаток в течение месяца, при условии что остаток больше чем ограничение",F710='депозитный калькулятор'!$D$8,EOMONTH(F710,0)&lt;&gt;F710),IF('депозитный калькулятор'!$F$1=1,$H$24,SUM(OFFSET(Q710,-E710+1,0):Q710)),IF(AND('депозитный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калькулятор'!$G$7="30/360"),DAY(EOMONTH(F710,0))=31),EOMONTH(F710,0)-1=F710,EOMONTH(F710,0)=F710)),IF(IF(AND(OR('депозитный калькулятор'!$G$7="30/365",'депозитный калькулятор'!$G$7="30/360"),DAY(EOMONTH($F$24,0))=31),F710=EOMONTH($F$24,0)-1,F710=EOMONTH($F$24,0)),SUM(OFFSET(Q710,-E710+1,0):Q710),SUM(OFFSET(Q710,-E710+1,0):Q710)),IF('депозитный калькулятор'!$G$10="ежеквартальное",IF(F710&gt;'депозитный калькулятор'!$D$8," ",IF(AND(EOMONTH(F710,0)=F710,OR(MONTH(F710)=3,MONTH(F710)=6,MONTH(F710)=9,MONTH(F710)=12)),IF(EDATE(F710,-3)&lt;'депозитный калькулятор'!$D$7,SUM($H$23:H710),IF(MOD(YEAR(F710),4)=0,IF(AND(EOMONTH(F710,0)=F710,OR(MONTH(F710)=3,MONTH(F710)=6)),SUM(OFFSET(H710,-90,0):H710),IF(AND(EOMONTH(F710,0)=F710,OR(MONTH(F710)=9,MONTH(F710)=12)),SUM(OFFSET(H710,-91,0):H710))),IF(AND(EOMONTH(F710,0)=F710,MONTH(F710)=3),SUM(OFFSET(H710,-89,0):H710),IF(AND(EOMONTH(F710,0)=F710,MONTH(F710)=6),SUM(OFFSET(H710,-90,0):H710),IF(AND(EOMONTH(F710,0)=F710,OR(MONTH(F710)=9,MONTH(F710)=12)),SUM(OFFSET(H710,-91,0):H710)))))),IF(F710='депозитный калькулятор'!$D$8,SUM($H$23:H710)-SUM($I$23:I709),0))),IF('депозитный калькулятор'!$G$10="ежегодное",IF(F710&gt;'депозитный калькулятор'!$D$8," ",IF(F710='депозитный калькулятор'!$D$8,SUM($H$23:H710)-SUM($I$23:I709),IF(AND(EOMONTH(F710,0)=F710,MONTH(F710)=12),IF(MOD(YEAR(F709),4)=0,IF(F710-'депозитный калькулятор'!$D$7&lt;366,SUM($H$23:H710),SUM(OFFSET(H710,-365,0):H710)),IF(F710-'депозитный калькулятор'!$D$7&lt;365,SUM($H$23:H710),SUM(OFFSET(H710,-364,0):H710))),0))),IF(AND('депозитный калькулятор'!$G$10="в конце срока",'депозитный калькулятор'!$D$8=F710),SUM($H$23:H710),0))))))))))))))))))</f>
        <v xml:space="preserve"> </v>
      </c>
      <c r="J710" s="59" t="str">
        <f>IF(F710&gt;'депозитный калькулятор'!$D$8," ",IF('депозитный калькулятор'!$G$16="нет",0,IF(AND('депозитный калькулятор'!$G$17="разовая (в конце срока)",F710='депозитный калькулятор'!$D$8),'депозитный калькулятор'!$G$18,IF(AND('депозитный калькулятор'!$G$17="ежемесячная",EOMONTH(F709,0)=F709),'депозитный калькулятор'!$G$18,IF(AND('депозитный калькулятор'!$G$17="ежегодная",DAY(F709)=31,MONTH(F709)=12),'депозитный калькулятор'!$G$18,IF(AND('депозитный калькулятор'!$G$17="ежемесячная в зависимости от остатка",EOMONTH(F709,0)=F709,P709&gt;0),'депозитный калькулятор'!$G$18,IF(AND('депозитный калькулятор'!$G$17="ежегодная в зависимости от остатка",DAY(F709)=31,MONTH(F709)=12,P709&gt;0),'депозитный калькулятор'!$G$18,0)))))))</f>
        <v xml:space="preserve"> </v>
      </c>
      <c r="K710" s="135" t="str">
        <f>IF($F710=" "," ",IFERROR(VLOOKUP($F710,'депозитный калькулятор'!$B$26:$F$70,2,0),0))</f>
        <v xml:space="preserve"> </v>
      </c>
      <c r="L710" s="135" t="str">
        <f>IF($F710=" "," ",IFERROR(VLOOKUP($F710,'депозитный калькулятор'!$B$26:$F$70,3,0),0))</f>
        <v xml:space="preserve"> </v>
      </c>
      <c r="M710" s="135" t="str">
        <f>IF($F710=" "," ",IFERROR(VLOOKUP($F710,'депозитный калькулятор'!$B$26:$F$70,4,0),0))</f>
        <v xml:space="preserve"> </v>
      </c>
      <c r="N710" s="135" t="str">
        <f>IF($F710=" "," ",IFERROR(VLOOKUP($F710,'депозитный калькулятор'!$B$26:$F$70,5,0),0))</f>
        <v xml:space="preserve"> </v>
      </c>
      <c r="O710" s="146" t="str">
        <f>IF(F710&gt;'депозитный калькулятор'!$D$8," ",IF(F710='депозитный калькулятор'!$D$8,IF(AND($F$24='депозитный калькулятор'!$D$8,'депозитный калькулятор'!$G$13="нет"),-G710-IF(I710=" ",0,I710)-IF(AND(OR('депозитный калькулятор'!$G$7="30/365",'депозитный калькулятор'!$G$7="30/360"),'депозитный калькулятор'!$G$10="в начале срока"),I709,0)-L710+M710-N710,-G710-IF(I710=" ",0,I710)-L710+M710-N710),IF('депозитный калькулятор'!$G$13="есть",M710-N710+IF('депозитный калькулятор'!$G$14="есть",0,-L710),-IF(I710=" ",0,I710)-IF(AND(OR('депозитный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срока"),I709,0)+M710-N710+IF('депозитный калькулятор'!$G$14="есть",0,-L710))))</f>
        <v xml:space="preserve"> </v>
      </c>
      <c r="P710" s="147" t="str">
        <f>IF(F710&gt;'депозитный калькулятор'!$D$8," ",IF(EOMONTH(F709,0)=F709,0,IF(G710&gt;='депозитный калькулятор'!$G$19,P709,P709+1)))</f>
        <v xml:space="preserve"> </v>
      </c>
      <c r="Q710" s="138" t="str">
        <f>IF(F710=" "," ",IF(AND(OR('депозитный калькулятор'!$G$7="30/365",'депозитный калькулятор'!$G$7="30/360"),AND(MONTH(F710)=2,EOMONTH(F710,0)=F710)),IF(DAY(F710)=28,3,2),1)*IF(G710&gt;='депозитный калькулятор'!$G$11,IF(AND('депозитный калькулятор'!$G$7="факт/факт",MOD(YEAR(F710),4)=0),G710*'депозитный калькулятор'!$D$11/366,G710*'депозитный калькулятор'!$G$8),0))</f>
        <v xml:space="preserve"> </v>
      </c>
      <c r="R710" s="158"/>
      <c r="S710" s="62" t="str">
        <f t="shared" ca="1" si="52"/>
        <v xml:space="preserve"> </v>
      </c>
      <c r="T710" s="149" t="str">
        <f ca="1">IF(S710=" "," ",IF('депозитный калькулятор'!$G$7="30/360",DAYS360(U709,IF(DAY(U710)=31,U710-1,U710))+IF(AND(MONTH(U710)=2,U710=EOMONTH(U710,0)),30-DAY(EOMONTH(U710,0)))+T709,VLOOKUP(S710,$C$22:$F$1023,2,0)))</f>
        <v xml:space="preserve"> </v>
      </c>
      <c r="U710" s="64" t="str">
        <f t="shared" ca="1" si="50"/>
        <v xml:space="preserve"> </v>
      </c>
      <c r="V710" s="150" t="str">
        <f t="shared" ca="1" si="53"/>
        <v xml:space="preserve"> </v>
      </c>
      <c r="W710" s="62" t="str">
        <f t="shared" ca="1" si="54"/>
        <v xml:space="preserve"> </v>
      </c>
      <c r="X710" s="141" t="str">
        <f ca="1">IF(S710=" "," ",IFERROR(VLOOKUP(U710,$F$23:$N$1023,7)+VLOOKUP(U710,$F$23:$N$1023,9)+IF(AND('депозитный калькулятор'!$G$13="нет",U710&lt;&gt;'депозитный калькулятор'!$D$8),VLOOKUP(U710,$F$23:$N$1023,4),0),0)+IF(U710='депозитный калькулятор'!$D$8,VLOOKUP(U710,$F$23:$N$1023,2)+VLOOKUP(U710,$F$23:$N$1023,4),0))</f>
        <v xml:space="preserve"> </v>
      </c>
      <c r="Y710" s="142" t="str">
        <f ca="1">IF(S710=" "," ",W710/(1+'депозитный калькулятор'!$K$8)^(T710/IF('депозитный калькулятор'!$G$7="30/360",360,365)))</f>
        <v xml:space="preserve"> </v>
      </c>
      <c r="Z710" s="142" t="str">
        <f ca="1">IF(S710=" "," ",X710/(1+'депозитный калькулятор'!$K$8)^(T710/IF('депозитный калькулятор'!$G$7="30/360",360,365)))</f>
        <v xml:space="preserve"> </v>
      </c>
      <c r="AA710" s="151"/>
      <c r="AB710" s="151"/>
      <c r="AC710" s="155"/>
      <c r="AD710" s="155"/>
    </row>
    <row r="711" spans="1:30" s="2" customFormat="1" ht="15.5" x14ac:dyDescent="0.35">
      <c r="A711" s="41" t="str">
        <f>IF(F711=" "," ",IF(OR('депозитный калькулятор'!$G$7="30/365",'депозитный калькулятор'!$G$7="30/360"),IF(AND(MONTH(F711)=2,DAY(F711)=DAY(EOMONTH(F711,0))),30-DAY(EOMONTH(F711,0)),IF(DAY(F711)=31,1," "))," "))</f>
        <v xml:space="preserve"> </v>
      </c>
      <c r="B711" s="130" t="str">
        <f t="shared" si="51"/>
        <v xml:space="preserve"> </v>
      </c>
      <c r="C711" s="130" t="str">
        <f>IF(OR(B711=0,B711=" ")," ",SUM($B$23:B711))</f>
        <v xml:space="preserve"> </v>
      </c>
      <c r="D711" s="62" t="str">
        <f>IF(D710=" "," ",IF(OR(F710='депозитный калькулятор'!$D$8,F710=" ")," ",D710+1))</f>
        <v xml:space="preserve"> </v>
      </c>
      <c r="E711" s="130" t="str">
        <f>IF(OR(F710='депозитный калькулятор'!$D$8,F710=" ")," ",IF(EOMONTH(F710,0)=F710,1,E710+1))</f>
        <v xml:space="preserve"> </v>
      </c>
      <c r="F711" s="64" t="str">
        <f>IF(F710=" "," ",IF(F710='депозитный калькулятор'!$D$8," ",F710+1))</f>
        <v xml:space="preserve"> </v>
      </c>
      <c r="G711" s="145" t="str">
        <f xml:space="preserve"> IF(F711&gt;'депозитный калькулятор'!$D$8," ",IF('депозитный калькулятор'!$G$13="есть",IF('депозитный калькулятор'!$G$14="есть",G710+IF(I710=" ",0,I710)-J711-K711+L711+M711-N711,G710+IF(I710=" ",0,I710)-J711-K711+M711-N711),IF('депозитный калькулятор'!$G$14="есть",G710-J711-K711+L711+M711-N711,G710-J711-K711+M711-N711)))</f>
        <v xml:space="preserve"> </v>
      </c>
      <c r="H711" s="133" t="str">
        <f>IF(F711&gt;'депозитный калькулятор'!$D$8," ",IF(AND(OR('депозитный калькулятор'!$G$7="30/365",'депозитный калькулятор'!$G$7="30/360"),AND(MONTH(F711)=2,EOMONTH(F711,0)=F711)),IF(DAY(F711)=28,3*G711*'депозитный калькулятор'!$G$8,2*G711*'депозитный калькулятор'!$G$8),IF(AND(OR('депозитный калькулятор'!$G$7="30/365",'депозитный калькулятор'!$G$7="30/360"),DAY(F711)=31)," ",IF(AND('депозитный калькулятор'!$G$7="факт/факт",MOD(YEAR(F711),4)=0),G711*'депозитный калькулятор'!$D$11/366,G711*'депозитный калькулятор'!$G$8))))</f>
        <v xml:space="preserve"> </v>
      </c>
      <c r="I711" s="134" t="str">
        <f ca="1">IF(F711=" "," ",IF('депозитный калькулятор'!$G$10="ежедневное",H711,IF(AND('депозитный калькулятор'!$G$10="еженедельное",WEEKDAY(F711,2)=7),SUM(OFFSET(H711,-6,0):H711),IF(AND('депозитный калькулятор'!$G$10="еженедельное",F711='депозитный калькулятор'!$D$8),SUM($H$23:H711)-SUM($I$23:I710),IF(AND('депозитный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недели",WEEKDAY(F711,2)=7),MIN(OFFSET(H711,-6,0):H711)*(COUNTIF(OFFSET(H711,-6,0):H711,"&gt;0")+SUMIF(OFFSET(A711,-WEEKDAY(F711,2),0):A711,"=2",OFFSET(A711,-WEEKDAY(F711,2),0):A711)),IF(AND('депозитный калькулятор'!$G$10="еженедельное, на минимальную сумму зафиксированную в течение недели",F711='депозитный калькулятор'!$D$8,WEEKDAY(F711,2)&lt;&gt;7),MIN(OFFSET(H711,-WEEKDAY(F711,2),0):H711)*(COUNTIF(OFFSET(H711,-WEEKDAY(F711,2)+1,0):H711,"&gt;0")+SUM(OFFSET(A711,-WEEKDAY(F711,2),0):A711)),IF(AND('депозитный калькулятор'!$G$10="ежемесячное (в конце месяца)",F711='депозитный калькулятор'!$D$8,EOMONTH(F711,0)&lt;&gt;F711),IF('депозитный калькулятор'!$F$1=1,$H$24,SUM($H$23:H711)-SUM($I$23:I710)),IF(AND('депозитный калькулятор'!$G$10="ежемесячное (в конце месяца)",EOMONTH(F711,0)=F711),SUM($H$23:H711)-SUM($I$23:I710),IF(AND('депозитный калькулятор'!$G$10="ежемесячное (по дням открытия вклада)",F711='депозитный калькулятор'!$D$8,DAY('депозитный калькулятор'!$D$7)&lt;&gt;DAY(F711)),IF('депозитный калькулятор'!$F$1=1,$H$24,SUM($H$23:H711)-SUM($I$23:I710)),IF(AND('депозитный калькулятор'!$G$10="ежемесячное (по дням открытия вклада)",DAY('депозитный калькулятор'!$D$7)=DAY(F711)),SUM($H$23:H711)-SUM($I$23:I710),IF(AND('депозитный калькулятор'!$G$10="ежемесячное, на минимальную сумму зафиксированную в течение месяца",F711='депозитный калькулятор'!$D$8,EOMONTH(F711,0)&lt;&gt;F711),IF('депозитный калькулятор'!$F$1=1,$H$24,IF(AND(OR('депозитный калькулятор'!$G$7="30/365",'депозитный калькулятор'!$G$7="30/360"),DAY(F711)=31),0,MIN(OFFSET(H711,-E711+1,0):H711)*(E711+SUMIF(OFFSET(A711,-E711+1,0):A711,"=2",OFFSET(A711,-E711+1,0):A711)))),IF(AND('депозитный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калькулятор'!$G$7="30/360"),DAY(EOMONTH(F711,0))=31),EOMONTH(F711,0)-1=F711,EOMONTH(F711,0)=F711)),IF(IF(AND(OR('депозитный калькулятор'!$G$7="30/365",'депозитный калькулятор'!$G$7="30/360"),DAY(EOMONTH($F$23,0))=31),F711=EOMONTH($F$23,0)-1,F711=EOMONTH($F$23,0)),MIN(OFFSET(H711,-(DAY(F711)-DAY($F$23)),0):H711)*E711,MIN(OFFSET(H711,-(DAY(F711)-1),0):H711)*IF(AND(OR('депозитный калькулятор'!$G$7="30/365",'депозитный калькулятор'!$G$7="30/360"),DAY(F711)&lt;30),30,DAY(F711))),IF(AND('депозитный калькулятор'!$G$10="ежемесячное, на средний остаток в течение месяца, при условии что остаток больше чем ограничение",F711='депозитный калькулятор'!$D$8,EOMONTH(F711,0)&lt;&gt;F711),IF('депозитный калькулятор'!$F$1=1,$H$24,SUM(OFFSET(Q711,-E711+1,0):Q711)),IF(AND('депозитный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калькулятор'!$G$7="30/360"),DAY(EOMONTH(F711,0))=31),EOMONTH(F711,0)-1=F711,EOMONTH(F711,0)=F711)),IF(IF(AND(OR('депозитный калькулятор'!$G$7="30/365",'депозитный калькулятор'!$G$7="30/360"),DAY(EOMONTH($F$24,0))=31),F711=EOMONTH($F$24,0)-1,F711=EOMONTH($F$24,0)),SUM(OFFSET(Q711,-E711+1,0):Q711),SUM(OFFSET(Q711,-E711+1,0):Q711)),IF('депозитный калькулятор'!$G$10="ежеквартальное",IF(F711&gt;'депозитный калькулятор'!$D$8," ",IF(AND(EOMONTH(F711,0)=F711,OR(MONTH(F711)=3,MONTH(F711)=6,MONTH(F711)=9,MONTH(F711)=12)),IF(EDATE(F711,-3)&lt;'депозитный калькулятор'!$D$7,SUM($H$23:H711),IF(MOD(YEAR(F711),4)=0,IF(AND(EOMONTH(F711,0)=F711,OR(MONTH(F711)=3,MONTH(F711)=6)),SUM(OFFSET(H711,-90,0):H711),IF(AND(EOMONTH(F711,0)=F711,OR(MONTH(F711)=9,MONTH(F711)=12)),SUM(OFFSET(H711,-91,0):H711))),IF(AND(EOMONTH(F711,0)=F711,MONTH(F711)=3),SUM(OFFSET(H711,-89,0):H711),IF(AND(EOMONTH(F711,0)=F711,MONTH(F711)=6),SUM(OFFSET(H711,-90,0):H711),IF(AND(EOMONTH(F711,0)=F711,OR(MONTH(F711)=9,MONTH(F711)=12)),SUM(OFFSET(H711,-91,0):H711)))))),IF(F711='депозитный калькулятор'!$D$8,SUM($H$23:H711)-SUM($I$23:I710),0))),IF('депозитный калькулятор'!$G$10="ежегодное",IF(F711&gt;'депозитный калькулятор'!$D$8," ",IF(F711='депозитный калькулятор'!$D$8,SUM($H$23:H711)-SUM($I$23:I710),IF(AND(EOMONTH(F711,0)=F711,MONTH(F711)=12),IF(MOD(YEAR(F710),4)=0,IF(F711-'депозитный калькулятор'!$D$7&lt;366,SUM($H$23:H711),SUM(OFFSET(H711,-365,0):H711)),IF(F711-'депозитный калькулятор'!$D$7&lt;365,SUM($H$23:H711),SUM(OFFSET(H711,-364,0):H711))),0))),IF(AND('депозитный калькулятор'!$G$10="в конце срока",'депозитный калькулятор'!$D$8=F711),SUM($H$23:H711),0))))))))))))))))))</f>
        <v xml:space="preserve"> </v>
      </c>
      <c r="J711" s="59" t="str">
        <f>IF(F711&gt;'депозитный калькулятор'!$D$8," ",IF('депозитный калькулятор'!$G$16="нет",0,IF(AND('депозитный калькулятор'!$G$17="разовая (в конце срока)",F711='депозитный калькулятор'!$D$8),'депозитный калькулятор'!$G$18,IF(AND('депозитный калькулятор'!$G$17="ежемесячная",EOMONTH(F710,0)=F710),'депозитный калькулятор'!$G$18,IF(AND('депозитный калькулятор'!$G$17="ежегодная",DAY(F710)=31,MONTH(F710)=12),'депозитный калькулятор'!$G$18,IF(AND('депозитный калькулятор'!$G$17="ежемесячная в зависимости от остатка",EOMONTH(F710,0)=F710,P710&gt;0),'депозитный калькулятор'!$G$18,IF(AND('депозитный калькулятор'!$G$17="ежегодная в зависимости от остатка",DAY(F710)=31,MONTH(F710)=12,P710&gt;0),'депозитный калькулятор'!$G$18,0)))))))</f>
        <v xml:space="preserve"> </v>
      </c>
      <c r="K711" s="135" t="str">
        <f>IF($F711=" "," ",IFERROR(VLOOKUP($F711,'депозитный калькулятор'!$B$26:$F$70,2,0),0))</f>
        <v xml:space="preserve"> </v>
      </c>
      <c r="L711" s="135" t="str">
        <f>IF($F711=" "," ",IFERROR(VLOOKUP($F711,'депозитный калькулятор'!$B$26:$F$70,3,0),0))</f>
        <v xml:space="preserve"> </v>
      </c>
      <c r="M711" s="135" t="str">
        <f>IF($F711=" "," ",IFERROR(VLOOKUP($F711,'депозитный калькулятор'!$B$26:$F$70,4,0),0))</f>
        <v xml:space="preserve"> </v>
      </c>
      <c r="N711" s="135" t="str">
        <f>IF($F711=" "," ",IFERROR(VLOOKUP($F711,'депозитный калькулятор'!$B$26:$F$70,5,0),0))</f>
        <v xml:space="preserve"> </v>
      </c>
      <c r="O711" s="146" t="str">
        <f>IF(F711&gt;'депозитный калькулятор'!$D$8," ",IF(F711='депозитный калькулятор'!$D$8,IF(AND($F$24='депозитный калькулятор'!$D$8,'депозитный калькулятор'!$G$13="нет"),-G711-IF(I711=" ",0,I711)-IF(AND(OR('депозитный калькулятор'!$G$7="30/365",'депозитный калькулятор'!$G$7="30/360"),'депозитный калькулятор'!$G$10="в начале срока"),I710,0)-L711+M711-N711,-G711-IF(I711=" ",0,I711)-L711+M711-N711),IF('депозитный калькулятор'!$G$13="есть",M711-N711+IF('депозитный калькулятор'!$G$14="есть",0,-L711),-IF(I711=" ",0,I711)-IF(AND(OR('депозитный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срока"),I710,0)+M711-N711+IF('депозитный калькулятор'!$G$14="есть",0,-L711))))</f>
        <v xml:space="preserve"> </v>
      </c>
      <c r="P711" s="147" t="str">
        <f>IF(F711&gt;'депозитный калькулятор'!$D$8," ",IF(EOMONTH(F710,0)=F710,0,IF(G711&gt;='депозитный калькулятор'!$G$19,P710,P710+1)))</f>
        <v xml:space="preserve"> </v>
      </c>
      <c r="Q711" s="138" t="str">
        <f>IF(F711=" "," ",IF(AND(OR('депозитный калькулятор'!$G$7="30/365",'депозитный калькулятор'!$G$7="30/360"),AND(MONTH(F711)=2,EOMONTH(F711,0)=F711)),IF(DAY(F711)=28,3,2),1)*IF(G711&gt;='депозитный калькулятор'!$G$11,IF(AND('депозитный калькулятор'!$G$7="факт/факт",MOD(YEAR(F711),4)=0),G711*'депозитный калькулятор'!$D$11/366,G711*'депозитный калькулятор'!$G$8),0))</f>
        <v xml:space="preserve"> </v>
      </c>
      <c r="R711" s="158"/>
      <c r="S711" s="62" t="str">
        <f t="shared" ca="1" si="52"/>
        <v xml:space="preserve"> </v>
      </c>
      <c r="T711" s="149" t="str">
        <f ca="1">IF(S711=" "," ",IF('депозитный калькулятор'!$G$7="30/360",DAYS360(U710,IF(DAY(U711)=31,U711-1,U711))+IF(AND(MONTH(U711)=2,U711=EOMONTH(U711,0)),30-DAY(EOMONTH(U711,0)))+T710,VLOOKUP(S711,$C$22:$F$1023,2,0)))</f>
        <v xml:space="preserve"> </v>
      </c>
      <c r="U711" s="64" t="str">
        <f t="shared" ca="1" si="50"/>
        <v xml:space="preserve"> </v>
      </c>
      <c r="V711" s="150" t="str">
        <f t="shared" ca="1" si="53"/>
        <v xml:space="preserve"> </v>
      </c>
      <c r="W711" s="62" t="str">
        <f t="shared" ca="1" si="54"/>
        <v xml:space="preserve"> </v>
      </c>
      <c r="X711" s="141" t="str">
        <f ca="1">IF(S711=" "," ",IFERROR(VLOOKUP(U711,$F$23:$N$1023,7)+VLOOKUP(U711,$F$23:$N$1023,9)+IF(AND('депозитный калькулятор'!$G$13="нет",U711&lt;&gt;'депозитный калькулятор'!$D$8),VLOOKUP(U711,$F$23:$N$1023,4),0),0)+IF(U711='депозитный калькулятор'!$D$8,VLOOKUP(U711,$F$23:$N$1023,2)+VLOOKUP(U711,$F$23:$N$1023,4),0))</f>
        <v xml:space="preserve"> </v>
      </c>
      <c r="Y711" s="142" t="str">
        <f ca="1">IF(S711=" "," ",W711/(1+'депозитный калькулятор'!$K$8)^(T711/IF('депозитный калькулятор'!$G$7="30/360",360,365)))</f>
        <v xml:space="preserve"> </v>
      </c>
      <c r="Z711" s="142" t="str">
        <f ca="1">IF(S711=" "," ",X711/(1+'депозитный калькулятор'!$K$8)^(T711/IF('депозитный калькулятор'!$G$7="30/360",360,365)))</f>
        <v xml:space="preserve"> </v>
      </c>
      <c r="AA711" s="151"/>
      <c r="AB711" s="151"/>
      <c r="AC711" s="155"/>
      <c r="AD711" s="155"/>
    </row>
    <row r="712" spans="1:30" s="2" customFormat="1" ht="15.5" x14ac:dyDescent="0.35">
      <c r="A712" s="41" t="str">
        <f>IF(F712=" "," ",IF(OR('депозитный калькулятор'!$G$7="30/365",'депозитный калькулятор'!$G$7="30/360"),IF(AND(MONTH(F712)=2,DAY(F712)=DAY(EOMONTH(F712,0))),30-DAY(EOMONTH(F712,0)),IF(DAY(F712)=31,1," "))," "))</f>
        <v xml:space="preserve"> </v>
      </c>
      <c r="B712" s="130" t="str">
        <f t="shared" si="51"/>
        <v xml:space="preserve"> </v>
      </c>
      <c r="C712" s="130" t="str">
        <f>IF(OR(B712=0,B712=" ")," ",SUM($B$23:B712))</f>
        <v xml:space="preserve"> </v>
      </c>
      <c r="D712" s="62" t="str">
        <f>IF(D711=" "," ",IF(OR(F711='депозитный калькулятор'!$D$8,F711=" ")," ",D711+1))</f>
        <v xml:space="preserve"> </v>
      </c>
      <c r="E712" s="130" t="str">
        <f>IF(OR(F711='депозитный калькулятор'!$D$8,F711=" ")," ",IF(EOMONTH(F711,0)=F711,1,E711+1))</f>
        <v xml:space="preserve"> </v>
      </c>
      <c r="F712" s="64" t="str">
        <f>IF(F711=" "," ",IF(F711='депозитный калькулятор'!$D$8," ",F711+1))</f>
        <v xml:space="preserve"> </v>
      </c>
      <c r="G712" s="145" t="str">
        <f xml:space="preserve"> IF(F712&gt;'депозитный калькулятор'!$D$8," ",IF('депозитный калькулятор'!$G$13="есть",IF('депозитный калькулятор'!$G$14="есть",G711+IF(I711=" ",0,I711)-J712-K712+L712+M712-N712,G711+IF(I711=" ",0,I711)-J712-K712+M712-N712),IF('депозитный калькулятор'!$G$14="есть",G711-J712-K712+L712+M712-N712,G711-J712-K712+M712-N712)))</f>
        <v xml:space="preserve"> </v>
      </c>
      <c r="H712" s="133" t="str">
        <f>IF(F712&gt;'депозитный калькулятор'!$D$8," ",IF(AND(OR('депозитный калькулятор'!$G$7="30/365",'депозитный калькулятор'!$G$7="30/360"),AND(MONTH(F712)=2,EOMONTH(F712,0)=F712)),IF(DAY(F712)=28,3*G712*'депозитный калькулятор'!$G$8,2*G712*'депозитный калькулятор'!$G$8),IF(AND(OR('депозитный калькулятор'!$G$7="30/365",'депозитный калькулятор'!$G$7="30/360"),DAY(F712)=31)," ",IF(AND('депозитный калькулятор'!$G$7="факт/факт",MOD(YEAR(F712),4)=0),G712*'депозитный калькулятор'!$D$11/366,G712*'депозитный калькулятор'!$G$8))))</f>
        <v xml:space="preserve"> </v>
      </c>
      <c r="I712" s="134" t="str">
        <f ca="1">IF(F712=" "," ",IF('депозитный калькулятор'!$G$10="ежедневное",H712,IF(AND('депозитный калькулятор'!$G$10="еженедельное",WEEKDAY(F712,2)=7),SUM(OFFSET(H712,-6,0):H712),IF(AND('депозитный калькулятор'!$G$10="еженедельное",F712='депозитный калькулятор'!$D$8),SUM($H$23:H712)-SUM($I$23:I711),IF(AND('депозитный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недели",WEEKDAY(F712,2)=7),MIN(OFFSET(H712,-6,0):H712)*(COUNTIF(OFFSET(H712,-6,0):H712,"&gt;0")+SUMIF(OFFSET(A712,-WEEKDAY(F712,2),0):A712,"=2",OFFSET(A712,-WEEKDAY(F712,2),0):A712)),IF(AND('депозитный калькулятор'!$G$10="еженедельное, на минимальную сумму зафиксированную в течение недели",F712='депозитный калькулятор'!$D$8,WEEKDAY(F712,2)&lt;&gt;7),MIN(OFFSET(H712,-WEEKDAY(F712,2),0):H712)*(COUNTIF(OFFSET(H712,-WEEKDAY(F712,2)+1,0):H712,"&gt;0")+SUM(OFFSET(A712,-WEEKDAY(F712,2),0):A712)),IF(AND('депозитный калькулятор'!$G$10="ежемесячное (в конце месяца)",F712='депозитный калькулятор'!$D$8,EOMONTH(F712,0)&lt;&gt;F712),IF('депозитный калькулятор'!$F$1=1,$H$24,SUM($H$23:H712)-SUM($I$23:I711)),IF(AND('депозитный калькулятор'!$G$10="ежемесячное (в конце месяца)",EOMONTH(F712,0)=F712),SUM($H$23:H712)-SUM($I$23:I711),IF(AND('депозитный калькулятор'!$G$10="ежемесячное (по дням открытия вклада)",F712='депозитный калькулятор'!$D$8,DAY('депозитный калькулятор'!$D$7)&lt;&gt;DAY(F712)),IF('депозитный калькулятор'!$F$1=1,$H$24,SUM($H$23:H712)-SUM($I$23:I711)),IF(AND('депозитный калькулятор'!$G$10="ежемесячное (по дням открытия вклада)",DAY('депозитный калькулятор'!$D$7)=DAY(F712)),SUM($H$23:H712)-SUM($I$23:I711),IF(AND('депозитный калькулятор'!$G$10="ежемесячное, на минимальную сумму зафиксированную в течение месяца",F712='депозитный калькулятор'!$D$8,EOMONTH(F712,0)&lt;&gt;F712),IF('депозитный калькулятор'!$F$1=1,$H$24,IF(AND(OR('депозитный калькулятор'!$G$7="30/365",'депозитный калькулятор'!$G$7="30/360"),DAY(F712)=31),0,MIN(OFFSET(H712,-E712+1,0):H712)*(E712+SUMIF(OFFSET(A712,-E712+1,0):A712,"=2",OFFSET(A712,-E712+1,0):A712)))),IF(AND('депозитный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калькулятор'!$G$7="30/360"),DAY(EOMONTH(F712,0))=31),EOMONTH(F712,0)-1=F712,EOMONTH(F712,0)=F712)),IF(IF(AND(OR('депозитный калькулятор'!$G$7="30/365",'депозитный калькулятор'!$G$7="30/360"),DAY(EOMONTH($F$23,0))=31),F712=EOMONTH($F$23,0)-1,F712=EOMONTH($F$23,0)),MIN(OFFSET(H712,-(DAY(F712)-DAY($F$23)),0):H712)*E712,MIN(OFFSET(H712,-(DAY(F712)-1),0):H712)*IF(AND(OR('депозитный калькулятор'!$G$7="30/365",'депозитный калькулятор'!$G$7="30/360"),DAY(F712)&lt;30),30,DAY(F712))),IF(AND('депозитный калькулятор'!$G$10="ежемесячное, на средний остаток в течение месяца, при условии что остаток больше чем ограничение",F712='депозитный калькулятор'!$D$8,EOMONTH(F712,0)&lt;&gt;F712),IF('депозитный калькулятор'!$F$1=1,$H$24,SUM(OFFSET(Q712,-E712+1,0):Q712)),IF(AND('депозитный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калькулятор'!$G$7="30/360"),DAY(EOMONTH(F712,0))=31),EOMONTH(F712,0)-1=F712,EOMONTH(F712,0)=F712)),IF(IF(AND(OR('депозитный калькулятор'!$G$7="30/365",'депозитный калькулятор'!$G$7="30/360"),DAY(EOMONTH($F$24,0))=31),F712=EOMONTH($F$24,0)-1,F712=EOMONTH($F$24,0)),SUM(OFFSET(Q712,-E712+1,0):Q712),SUM(OFFSET(Q712,-E712+1,0):Q712)),IF('депозитный калькулятор'!$G$10="ежеквартальное",IF(F712&gt;'депозитный калькулятор'!$D$8," ",IF(AND(EOMONTH(F712,0)=F712,OR(MONTH(F712)=3,MONTH(F712)=6,MONTH(F712)=9,MONTH(F712)=12)),IF(EDATE(F712,-3)&lt;'депозитный калькулятор'!$D$7,SUM($H$23:H712),IF(MOD(YEAR(F712),4)=0,IF(AND(EOMONTH(F712,0)=F712,OR(MONTH(F712)=3,MONTH(F712)=6)),SUM(OFFSET(H712,-90,0):H712),IF(AND(EOMONTH(F712,0)=F712,OR(MONTH(F712)=9,MONTH(F712)=12)),SUM(OFFSET(H712,-91,0):H712))),IF(AND(EOMONTH(F712,0)=F712,MONTH(F712)=3),SUM(OFFSET(H712,-89,0):H712),IF(AND(EOMONTH(F712,0)=F712,MONTH(F712)=6),SUM(OFFSET(H712,-90,0):H712),IF(AND(EOMONTH(F712,0)=F712,OR(MONTH(F712)=9,MONTH(F712)=12)),SUM(OFFSET(H712,-91,0):H712)))))),IF(F712='депозитный калькулятор'!$D$8,SUM($H$23:H712)-SUM($I$23:I711),0))),IF('депозитный калькулятор'!$G$10="ежегодное",IF(F712&gt;'депозитный калькулятор'!$D$8," ",IF(F712='депозитный калькулятор'!$D$8,SUM($H$23:H712)-SUM($I$23:I711),IF(AND(EOMONTH(F712,0)=F712,MONTH(F712)=12),IF(MOD(YEAR(F711),4)=0,IF(F712-'депозитный калькулятор'!$D$7&lt;366,SUM($H$23:H712),SUM(OFFSET(H712,-365,0):H712)),IF(F712-'депозитный калькулятор'!$D$7&lt;365,SUM($H$23:H712),SUM(OFFSET(H712,-364,0):H712))),0))),IF(AND('депозитный калькулятор'!$G$10="в конце срока",'депозитный калькулятор'!$D$8=F712),SUM($H$23:H712),0))))))))))))))))))</f>
        <v xml:space="preserve"> </v>
      </c>
      <c r="J712" s="59" t="str">
        <f>IF(F712&gt;'депозитный калькулятор'!$D$8," ",IF('депозитный калькулятор'!$G$16="нет",0,IF(AND('депозитный калькулятор'!$G$17="разовая (в конце срока)",F712='депозитный калькулятор'!$D$8),'депозитный калькулятор'!$G$18,IF(AND('депозитный калькулятор'!$G$17="ежемесячная",EOMONTH(F711,0)=F711),'депозитный калькулятор'!$G$18,IF(AND('депозитный калькулятор'!$G$17="ежегодная",DAY(F711)=31,MONTH(F711)=12),'депозитный калькулятор'!$G$18,IF(AND('депозитный калькулятор'!$G$17="ежемесячная в зависимости от остатка",EOMONTH(F711,0)=F711,P711&gt;0),'депозитный калькулятор'!$G$18,IF(AND('депозитный калькулятор'!$G$17="ежегодная в зависимости от остатка",DAY(F711)=31,MONTH(F711)=12,P711&gt;0),'депозитный калькулятор'!$G$18,0)))))))</f>
        <v xml:space="preserve"> </v>
      </c>
      <c r="K712" s="135" t="str">
        <f>IF($F712=" "," ",IFERROR(VLOOKUP($F712,'депозитный калькулятор'!$B$26:$F$70,2,0),0))</f>
        <v xml:space="preserve"> </v>
      </c>
      <c r="L712" s="135" t="str">
        <f>IF($F712=" "," ",IFERROR(VLOOKUP($F712,'депозитный калькулятор'!$B$26:$F$70,3,0),0))</f>
        <v xml:space="preserve"> </v>
      </c>
      <c r="M712" s="135" t="str">
        <f>IF($F712=" "," ",IFERROR(VLOOKUP($F712,'депозитный калькулятор'!$B$26:$F$70,4,0),0))</f>
        <v xml:space="preserve"> </v>
      </c>
      <c r="N712" s="135" t="str">
        <f>IF($F712=" "," ",IFERROR(VLOOKUP($F712,'депозитный калькулятор'!$B$26:$F$70,5,0),0))</f>
        <v xml:space="preserve"> </v>
      </c>
      <c r="O712" s="146" t="str">
        <f>IF(F712&gt;'депозитный калькулятор'!$D$8," ",IF(F712='депозитный калькулятор'!$D$8,IF(AND($F$24='депозитный калькулятор'!$D$8,'депозитный калькулятор'!$G$13="нет"),-G712-IF(I712=" ",0,I712)-IF(AND(OR('депозитный калькулятор'!$G$7="30/365",'депозитный калькулятор'!$G$7="30/360"),'депозитный калькулятор'!$G$10="в начале срока"),I711,0)-L712+M712-N712,-G712-IF(I712=" ",0,I712)-L712+M712-N712),IF('депозитный калькулятор'!$G$13="есть",M712-N712+IF('депозитный калькулятор'!$G$14="есть",0,-L712),-IF(I712=" ",0,I712)-IF(AND(OR('депозитный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срока"),I711,0)+M712-N712+IF('депозитный калькулятор'!$G$14="есть",0,-L712))))</f>
        <v xml:space="preserve"> </v>
      </c>
      <c r="P712" s="147" t="str">
        <f>IF(F712&gt;'депозитный калькулятор'!$D$8," ",IF(EOMONTH(F711,0)=F711,0,IF(G712&gt;='депозитный калькулятор'!$G$19,P711,P711+1)))</f>
        <v xml:space="preserve"> </v>
      </c>
      <c r="Q712" s="138" t="str">
        <f>IF(F712=" "," ",IF(AND(OR('депозитный калькулятор'!$G$7="30/365",'депозитный калькулятор'!$G$7="30/360"),AND(MONTH(F712)=2,EOMONTH(F712,0)=F712)),IF(DAY(F712)=28,3,2),1)*IF(G712&gt;='депозитный калькулятор'!$G$11,IF(AND('депозитный калькулятор'!$G$7="факт/факт",MOD(YEAR(F712),4)=0),G712*'депозитный калькулятор'!$D$11/366,G712*'депозитный калькулятор'!$G$8),0))</f>
        <v xml:space="preserve"> </v>
      </c>
      <c r="R712" s="158"/>
      <c r="S712" s="62" t="str">
        <f t="shared" ca="1" si="52"/>
        <v xml:space="preserve"> </v>
      </c>
      <c r="T712" s="149" t="str">
        <f ca="1">IF(S712=" "," ",IF('депозитный калькулятор'!$G$7="30/360",DAYS360(U711,IF(DAY(U712)=31,U712-1,U712))+IF(AND(MONTH(U712)=2,U712=EOMONTH(U712,0)),30-DAY(EOMONTH(U712,0)))+T711,VLOOKUP(S712,$C$22:$F$1023,2,0)))</f>
        <v xml:space="preserve"> </v>
      </c>
      <c r="U712" s="64" t="str">
        <f t="shared" ca="1" si="50"/>
        <v xml:space="preserve"> </v>
      </c>
      <c r="V712" s="150" t="str">
        <f t="shared" ca="1" si="53"/>
        <v xml:space="preserve"> </v>
      </c>
      <c r="W712" s="62" t="str">
        <f t="shared" ca="1" si="54"/>
        <v xml:space="preserve"> </v>
      </c>
      <c r="X712" s="141" t="str">
        <f ca="1">IF(S712=" "," ",IFERROR(VLOOKUP(U712,$F$23:$N$1023,7)+VLOOKUP(U712,$F$23:$N$1023,9)+IF(AND('депозитный калькулятор'!$G$13="нет",U712&lt;&gt;'депозитный калькулятор'!$D$8),VLOOKUP(U712,$F$23:$N$1023,4),0),0)+IF(U712='депозитный калькулятор'!$D$8,VLOOKUP(U712,$F$23:$N$1023,2)+VLOOKUP(U712,$F$23:$N$1023,4),0))</f>
        <v xml:space="preserve"> </v>
      </c>
      <c r="Y712" s="142" t="str">
        <f ca="1">IF(S712=" "," ",W712/(1+'депозитный калькулятор'!$K$8)^(T712/IF('депозитный калькулятор'!$G$7="30/360",360,365)))</f>
        <v xml:space="preserve"> </v>
      </c>
      <c r="Z712" s="142" t="str">
        <f ca="1">IF(S712=" "," ",X712/(1+'депозитный калькулятор'!$K$8)^(T712/IF('депозитный калькулятор'!$G$7="30/360",360,365)))</f>
        <v xml:space="preserve"> </v>
      </c>
      <c r="AA712" s="151"/>
      <c r="AB712" s="151"/>
      <c r="AC712" s="155"/>
      <c r="AD712" s="155"/>
    </row>
    <row r="713" spans="1:30" s="2" customFormat="1" ht="15.5" x14ac:dyDescent="0.35">
      <c r="A713" s="41" t="str">
        <f>IF(F713=" "," ",IF(OR('депозитный калькулятор'!$G$7="30/365",'депозитный калькулятор'!$G$7="30/360"),IF(AND(MONTH(F713)=2,DAY(F713)=DAY(EOMONTH(F713,0))),30-DAY(EOMONTH(F713,0)),IF(DAY(F713)=31,1," "))," "))</f>
        <v xml:space="preserve"> </v>
      </c>
      <c r="B713" s="130" t="str">
        <f t="shared" si="51"/>
        <v xml:space="preserve"> </v>
      </c>
      <c r="C713" s="130" t="str">
        <f>IF(OR(B713=0,B713=" ")," ",SUM($B$23:B713))</f>
        <v xml:space="preserve"> </v>
      </c>
      <c r="D713" s="62" t="str">
        <f>IF(D712=" "," ",IF(OR(F712='депозитный калькулятор'!$D$8,F712=" ")," ",D712+1))</f>
        <v xml:space="preserve"> </v>
      </c>
      <c r="E713" s="130" t="str">
        <f>IF(OR(F712='депозитный калькулятор'!$D$8,F712=" ")," ",IF(EOMONTH(F712,0)=F712,1,E712+1))</f>
        <v xml:space="preserve"> </v>
      </c>
      <c r="F713" s="64" t="str">
        <f>IF(F712=" "," ",IF(F712='депозитный калькулятор'!$D$8," ",F712+1))</f>
        <v xml:space="preserve"> </v>
      </c>
      <c r="G713" s="145" t="str">
        <f xml:space="preserve"> IF(F713&gt;'депозитный калькулятор'!$D$8," ",IF('депозитный калькулятор'!$G$13="есть",IF('депозитный калькулятор'!$G$14="есть",G712+IF(I712=" ",0,I712)-J713-K713+L713+M713-N713,G712+IF(I712=" ",0,I712)-J713-K713+M713-N713),IF('депозитный калькулятор'!$G$14="есть",G712-J713-K713+L713+M713-N713,G712-J713-K713+M713-N713)))</f>
        <v xml:space="preserve"> </v>
      </c>
      <c r="H713" s="133" t="str">
        <f>IF(F713&gt;'депозитный калькулятор'!$D$8," ",IF(AND(OR('депозитный калькулятор'!$G$7="30/365",'депозитный калькулятор'!$G$7="30/360"),AND(MONTH(F713)=2,EOMONTH(F713,0)=F713)),IF(DAY(F713)=28,3*G713*'депозитный калькулятор'!$G$8,2*G713*'депозитный калькулятор'!$G$8),IF(AND(OR('депозитный калькулятор'!$G$7="30/365",'депозитный калькулятор'!$G$7="30/360"),DAY(F713)=31)," ",IF(AND('депозитный калькулятор'!$G$7="факт/факт",MOD(YEAR(F713),4)=0),G713*'депозитный калькулятор'!$D$11/366,G713*'депозитный калькулятор'!$G$8))))</f>
        <v xml:space="preserve"> </v>
      </c>
      <c r="I713" s="134" t="str">
        <f ca="1">IF(F713=" "," ",IF('депозитный калькулятор'!$G$10="ежедневное",H713,IF(AND('депозитный калькулятор'!$G$10="еженедельное",WEEKDAY(F713,2)=7),SUM(OFFSET(H713,-6,0):H713),IF(AND('депозитный калькулятор'!$G$10="еженедельное",F713='депозитный калькулятор'!$D$8),SUM($H$23:H713)-SUM($I$23:I712),IF(AND('депозитный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недели",WEEKDAY(F713,2)=7),MIN(OFFSET(H713,-6,0):H713)*(COUNTIF(OFFSET(H713,-6,0):H713,"&gt;0")+SUMIF(OFFSET(A713,-WEEKDAY(F713,2),0):A713,"=2",OFFSET(A713,-WEEKDAY(F713,2),0):A713)),IF(AND('депозитный калькулятор'!$G$10="еженедельное, на минимальную сумму зафиксированную в течение недели",F713='депозитный калькулятор'!$D$8,WEEKDAY(F713,2)&lt;&gt;7),MIN(OFFSET(H713,-WEEKDAY(F713,2),0):H713)*(COUNTIF(OFFSET(H713,-WEEKDAY(F713,2)+1,0):H713,"&gt;0")+SUM(OFFSET(A713,-WEEKDAY(F713,2),0):A713)),IF(AND('депозитный калькулятор'!$G$10="ежемесячное (в конце месяца)",F713='депозитный калькулятор'!$D$8,EOMONTH(F713,0)&lt;&gt;F713),IF('депозитный калькулятор'!$F$1=1,$H$24,SUM($H$23:H713)-SUM($I$23:I712)),IF(AND('депозитный калькулятор'!$G$10="ежемесячное (в конце месяца)",EOMONTH(F713,0)=F713),SUM($H$23:H713)-SUM($I$23:I712),IF(AND('депозитный калькулятор'!$G$10="ежемесячное (по дням открытия вклада)",F713='депозитный калькулятор'!$D$8,DAY('депозитный калькулятор'!$D$7)&lt;&gt;DAY(F713)),IF('депозитный калькулятор'!$F$1=1,$H$24,SUM($H$23:H713)-SUM($I$23:I712)),IF(AND('депозитный калькулятор'!$G$10="ежемесячное (по дням открытия вклада)",DAY('депозитный калькулятор'!$D$7)=DAY(F713)),SUM($H$23:H713)-SUM($I$23:I712),IF(AND('депозитный калькулятор'!$G$10="ежемесячное, на минимальную сумму зафиксированную в течение месяца",F713='депозитный калькулятор'!$D$8,EOMONTH(F713,0)&lt;&gt;F713),IF('депозитный калькулятор'!$F$1=1,$H$24,IF(AND(OR('депозитный калькулятор'!$G$7="30/365",'депозитный калькулятор'!$G$7="30/360"),DAY(F713)=31),0,MIN(OFFSET(H713,-E713+1,0):H713)*(E713+SUMIF(OFFSET(A713,-E713+1,0):A713,"=2",OFFSET(A713,-E713+1,0):A713)))),IF(AND('депозитный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калькулятор'!$G$7="30/360"),DAY(EOMONTH(F713,0))=31),EOMONTH(F713,0)-1=F713,EOMONTH(F713,0)=F713)),IF(IF(AND(OR('депозитный калькулятор'!$G$7="30/365",'депозитный калькулятор'!$G$7="30/360"),DAY(EOMONTH($F$23,0))=31),F713=EOMONTH($F$23,0)-1,F713=EOMONTH($F$23,0)),MIN(OFFSET(H713,-(DAY(F713)-DAY($F$23)),0):H713)*E713,MIN(OFFSET(H713,-(DAY(F713)-1),0):H713)*IF(AND(OR('депозитный калькулятор'!$G$7="30/365",'депозитный калькулятор'!$G$7="30/360"),DAY(F713)&lt;30),30,DAY(F713))),IF(AND('депозитный калькулятор'!$G$10="ежемесячное, на средний остаток в течение месяца, при условии что остаток больше чем ограничение",F713='депозитный калькулятор'!$D$8,EOMONTH(F713,0)&lt;&gt;F713),IF('депозитный калькулятор'!$F$1=1,$H$24,SUM(OFFSET(Q713,-E713+1,0):Q713)),IF(AND('депозитный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калькулятор'!$G$7="30/360"),DAY(EOMONTH(F713,0))=31),EOMONTH(F713,0)-1=F713,EOMONTH(F713,0)=F713)),IF(IF(AND(OR('депозитный калькулятор'!$G$7="30/365",'депозитный калькулятор'!$G$7="30/360"),DAY(EOMONTH($F$24,0))=31),F713=EOMONTH($F$24,0)-1,F713=EOMONTH($F$24,0)),SUM(OFFSET(Q713,-E713+1,0):Q713),SUM(OFFSET(Q713,-E713+1,0):Q713)),IF('депозитный калькулятор'!$G$10="ежеквартальное",IF(F713&gt;'депозитный калькулятор'!$D$8," ",IF(AND(EOMONTH(F713,0)=F713,OR(MONTH(F713)=3,MONTH(F713)=6,MONTH(F713)=9,MONTH(F713)=12)),IF(EDATE(F713,-3)&lt;'депозитный калькулятор'!$D$7,SUM($H$23:H713),IF(MOD(YEAR(F713),4)=0,IF(AND(EOMONTH(F713,0)=F713,OR(MONTH(F713)=3,MONTH(F713)=6)),SUM(OFFSET(H713,-90,0):H713),IF(AND(EOMONTH(F713,0)=F713,OR(MONTH(F713)=9,MONTH(F713)=12)),SUM(OFFSET(H713,-91,0):H713))),IF(AND(EOMONTH(F713,0)=F713,MONTH(F713)=3),SUM(OFFSET(H713,-89,0):H713),IF(AND(EOMONTH(F713,0)=F713,MONTH(F713)=6),SUM(OFFSET(H713,-90,0):H713),IF(AND(EOMONTH(F713,0)=F713,OR(MONTH(F713)=9,MONTH(F713)=12)),SUM(OFFSET(H713,-91,0):H713)))))),IF(F713='депозитный калькулятор'!$D$8,SUM($H$23:H713)-SUM($I$23:I712),0))),IF('депозитный калькулятор'!$G$10="ежегодное",IF(F713&gt;'депозитный калькулятор'!$D$8," ",IF(F713='депозитный калькулятор'!$D$8,SUM($H$23:H713)-SUM($I$23:I712),IF(AND(EOMONTH(F713,0)=F713,MONTH(F713)=12),IF(MOD(YEAR(F712),4)=0,IF(F713-'депозитный калькулятор'!$D$7&lt;366,SUM($H$23:H713),SUM(OFFSET(H713,-365,0):H713)),IF(F713-'депозитный калькулятор'!$D$7&lt;365,SUM($H$23:H713),SUM(OFFSET(H713,-364,0):H713))),0))),IF(AND('депозитный калькулятор'!$G$10="в конце срока",'депозитный калькулятор'!$D$8=F713),SUM($H$23:H713),0))))))))))))))))))</f>
        <v xml:space="preserve"> </v>
      </c>
      <c r="J713" s="59" t="str">
        <f>IF(F713&gt;'депозитный калькулятор'!$D$8," ",IF('депозитный калькулятор'!$G$16="нет",0,IF(AND('депозитный калькулятор'!$G$17="разовая (в конце срока)",F713='депозитный калькулятор'!$D$8),'депозитный калькулятор'!$G$18,IF(AND('депозитный калькулятор'!$G$17="ежемесячная",EOMONTH(F712,0)=F712),'депозитный калькулятор'!$G$18,IF(AND('депозитный калькулятор'!$G$17="ежегодная",DAY(F712)=31,MONTH(F712)=12),'депозитный калькулятор'!$G$18,IF(AND('депозитный калькулятор'!$G$17="ежемесячная в зависимости от остатка",EOMONTH(F712,0)=F712,P712&gt;0),'депозитный калькулятор'!$G$18,IF(AND('депозитный калькулятор'!$G$17="ежегодная в зависимости от остатка",DAY(F712)=31,MONTH(F712)=12,P712&gt;0),'депозитный калькулятор'!$G$18,0)))))))</f>
        <v xml:space="preserve"> </v>
      </c>
      <c r="K713" s="135" t="str">
        <f>IF($F713=" "," ",IFERROR(VLOOKUP($F713,'депозитный калькулятор'!$B$26:$F$70,2,0),0))</f>
        <v xml:space="preserve"> </v>
      </c>
      <c r="L713" s="135" t="str">
        <f>IF($F713=" "," ",IFERROR(VLOOKUP($F713,'депозитный калькулятор'!$B$26:$F$70,3,0),0))</f>
        <v xml:space="preserve"> </v>
      </c>
      <c r="M713" s="135" t="str">
        <f>IF($F713=" "," ",IFERROR(VLOOKUP($F713,'депозитный калькулятор'!$B$26:$F$70,4,0),0))</f>
        <v xml:space="preserve"> </v>
      </c>
      <c r="N713" s="135" t="str">
        <f>IF($F713=" "," ",IFERROR(VLOOKUP($F713,'депозитный калькулятор'!$B$26:$F$70,5,0),0))</f>
        <v xml:space="preserve"> </v>
      </c>
      <c r="O713" s="146" t="str">
        <f>IF(F713&gt;'депозитный калькулятор'!$D$8," ",IF(F713='депозитный калькулятор'!$D$8,IF(AND($F$24='депозитный калькулятор'!$D$8,'депозитный калькулятор'!$G$13="нет"),-G713-IF(I713=" ",0,I713)-IF(AND(OR('депозитный калькулятор'!$G$7="30/365",'депозитный калькулятор'!$G$7="30/360"),'депозитный калькулятор'!$G$10="в начале срока"),I712,0)-L713+M713-N713,-G713-IF(I713=" ",0,I713)-L713+M713-N713),IF('депозитный калькулятор'!$G$13="есть",M713-N713+IF('депозитный калькулятор'!$G$14="есть",0,-L713),-IF(I713=" ",0,I713)-IF(AND(OR('депозитный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срока"),I712,0)+M713-N713+IF('депозитный калькулятор'!$G$14="есть",0,-L713))))</f>
        <v xml:space="preserve"> </v>
      </c>
      <c r="P713" s="147" t="str">
        <f>IF(F713&gt;'депозитный калькулятор'!$D$8," ",IF(EOMONTH(F712,0)=F712,0,IF(G713&gt;='депозитный калькулятор'!$G$19,P712,P712+1)))</f>
        <v xml:space="preserve"> </v>
      </c>
      <c r="Q713" s="138" t="str">
        <f>IF(F713=" "," ",IF(AND(OR('депозитный калькулятор'!$G$7="30/365",'депозитный калькулятор'!$G$7="30/360"),AND(MONTH(F713)=2,EOMONTH(F713,0)=F713)),IF(DAY(F713)=28,3,2),1)*IF(G713&gt;='депозитный калькулятор'!$G$11,IF(AND('депозитный калькулятор'!$G$7="факт/факт",MOD(YEAR(F713),4)=0),G713*'депозитный калькулятор'!$D$11/366,G713*'депозитный калькулятор'!$G$8),0))</f>
        <v xml:space="preserve"> </v>
      </c>
      <c r="R713" s="158"/>
      <c r="S713" s="62" t="str">
        <f t="shared" ca="1" si="52"/>
        <v xml:space="preserve"> </v>
      </c>
      <c r="T713" s="149" t="str">
        <f ca="1">IF(S713=" "," ",IF('депозитный калькулятор'!$G$7="30/360",DAYS360(U712,IF(DAY(U713)=31,U713-1,U713))+IF(AND(MONTH(U713)=2,U713=EOMONTH(U713,0)),30-DAY(EOMONTH(U713,0)))+T712,VLOOKUP(S713,$C$22:$F$1023,2,0)))</f>
        <v xml:space="preserve"> </v>
      </c>
      <c r="U713" s="64" t="str">
        <f t="shared" ca="1" si="50"/>
        <v xml:space="preserve"> </v>
      </c>
      <c r="V713" s="150" t="str">
        <f t="shared" ca="1" si="53"/>
        <v xml:space="preserve"> </v>
      </c>
      <c r="W713" s="62" t="str">
        <f t="shared" ca="1" si="54"/>
        <v xml:space="preserve"> </v>
      </c>
      <c r="X713" s="141" t="str">
        <f ca="1">IF(S713=" "," ",IFERROR(VLOOKUP(U713,$F$23:$N$1023,7)+VLOOKUP(U713,$F$23:$N$1023,9)+IF(AND('депозитный калькулятор'!$G$13="нет",U713&lt;&gt;'депозитный калькулятор'!$D$8),VLOOKUP(U713,$F$23:$N$1023,4),0),0)+IF(U713='депозитный калькулятор'!$D$8,VLOOKUP(U713,$F$23:$N$1023,2)+VLOOKUP(U713,$F$23:$N$1023,4),0))</f>
        <v xml:space="preserve"> </v>
      </c>
      <c r="Y713" s="142" t="str">
        <f ca="1">IF(S713=" "," ",W713/(1+'депозитный калькулятор'!$K$8)^(T713/IF('депозитный калькулятор'!$G$7="30/360",360,365)))</f>
        <v xml:space="preserve"> </v>
      </c>
      <c r="Z713" s="142" t="str">
        <f ca="1">IF(S713=" "," ",X713/(1+'депозитный калькулятор'!$K$8)^(T713/IF('депозитный калькулятор'!$G$7="30/360",360,365)))</f>
        <v xml:space="preserve"> </v>
      </c>
      <c r="AA713" s="151"/>
      <c r="AB713" s="151"/>
      <c r="AC713" s="155"/>
      <c r="AD713" s="155"/>
    </row>
    <row r="714" spans="1:30" s="2" customFormat="1" ht="15.5" x14ac:dyDescent="0.35">
      <c r="A714" s="41" t="str">
        <f>IF(F714=" "," ",IF(OR('депозитный калькулятор'!$G$7="30/365",'депозитный калькулятор'!$G$7="30/360"),IF(AND(MONTH(F714)=2,DAY(F714)=DAY(EOMONTH(F714,0))),30-DAY(EOMONTH(F714,0)),IF(DAY(F714)=31,1," "))," "))</f>
        <v xml:space="preserve"> </v>
      </c>
      <c r="B714" s="130" t="str">
        <f t="shared" si="51"/>
        <v xml:space="preserve"> </v>
      </c>
      <c r="C714" s="130" t="str">
        <f>IF(OR(B714=0,B714=" ")," ",SUM($B$23:B714))</f>
        <v xml:space="preserve"> </v>
      </c>
      <c r="D714" s="62" t="str">
        <f>IF(D713=" "," ",IF(OR(F713='депозитный калькулятор'!$D$8,F713=" ")," ",D713+1))</f>
        <v xml:space="preserve"> </v>
      </c>
      <c r="E714" s="130" t="str">
        <f>IF(OR(F713='депозитный калькулятор'!$D$8,F713=" ")," ",IF(EOMONTH(F713,0)=F713,1,E713+1))</f>
        <v xml:space="preserve"> </v>
      </c>
      <c r="F714" s="64" t="str">
        <f>IF(F713=" "," ",IF(F713='депозитный калькулятор'!$D$8," ",F713+1))</f>
        <v xml:space="preserve"> </v>
      </c>
      <c r="G714" s="145" t="str">
        <f xml:space="preserve"> IF(F714&gt;'депозитный калькулятор'!$D$8," ",IF('депозитный калькулятор'!$G$13="есть",IF('депозитный калькулятор'!$G$14="есть",G713+IF(I713=" ",0,I713)-J714-K714+L714+M714-N714,G713+IF(I713=" ",0,I713)-J714-K714+M714-N714),IF('депозитный калькулятор'!$G$14="есть",G713-J714-K714+L714+M714-N714,G713-J714-K714+M714-N714)))</f>
        <v xml:space="preserve"> </v>
      </c>
      <c r="H714" s="133" t="str">
        <f>IF(F714&gt;'депозитный калькулятор'!$D$8," ",IF(AND(OR('депозитный калькулятор'!$G$7="30/365",'депозитный калькулятор'!$G$7="30/360"),AND(MONTH(F714)=2,EOMONTH(F714,0)=F714)),IF(DAY(F714)=28,3*G714*'депозитный калькулятор'!$G$8,2*G714*'депозитный калькулятор'!$G$8),IF(AND(OR('депозитный калькулятор'!$G$7="30/365",'депозитный калькулятор'!$G$7="30/360"),DAY(F714)=31)," ",IF(AND('депозитный калькулятор'!$G$7="факт/факт",MOD(YEAR(F714),4)=0),G714*'депозитный калькулятор'!$D$11/366,G714*'депозитный калькулятор'!$G$8))))</f>
        <v xml:space="preserve"> </v>
      </c>
      <c r="I714" s="134" t="str">
        <f ca="1">IF(F714=" "," ",IF('депозитный калькулятор'!$G$10="ежедневное",H714,IF(AND('депозитный калькулятор'!$G$10="еженедельное",WEEKDAY(F714,2)=7),SUM(OFFSET(H714,-6,0):H714),IF(AND('депозитный калькулятор'!$G$10="еженедельное",F714='депозитный калькулятор'!$D$8),SUM($H$23:H714)-SUM($I$23:I713),IF(AND('депозитный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недели",WEEKDAY(F714,2)=7),MIN(OFFSET(H714,-6,0):H714)*(COUNTIF(OFFSET(H714,-6,0):H714,"&gt;0")+SUMIF(OFFSET(A714,-WEEKDAY(F714,2),0):A714,"=2",OFFSET(A714,-WEEKDAY(F714,2),0):A714)),IF(AND('депозитный калькулятор'!$G$10="еженедельное, на минимальную сумму зафиксированную в течение недели",F714='депозитный калькулятор'!$D$8,WEEKDAY(F714,2)&lt;&gt;7),MIN(OFFSET(H714,-WEEKDAY(F714,2),0):H714)*(COUNTIF(OFFSET(H714,-WEEKDAY(F714,2)+1,0):H714,"&gt;0")+SUM(OFFSET(A714,-WEEKDAY(F714,2),0):A714)),IF(AND('депозитный калькулятор'!$G$10="ежемесячное (в конце месяца)",F714='депозитный калькулятор'!$D$8,EOMONTH(F714,0)&lt;&gt;F714),IF('депозитный калькулятор'!$F$1=1,$H$24,SUM($H$23:H714)-SUM($I$23:I713)),IF(AND('депозитный калькулятор'!$G$10="ежемесячное (в конце месяца)",EOMONTH(F714,0)=F714),SUM($H$23:H714)-SUM($I$23:I713),IF(AND('депозитный калькулятор'!$G$10="ежемесячное (по дням открытия вклада)",F714='депозитный калькулятор'!$D$8,DAY('депозитный калькулятор'!$D$7)&lt;&gt;DAY(F714)),IF('депозитный калькулятор'!$F$1=1,$H$24,SUM($H$23:H714)-SUM($I$23:I713)),IF(AND('депозитный калькулятор'!$G$10="ежемесячное (по дням открытия вклада)",DAY('депозитный калькулятор'!$D$7)=DAY(F714)),SUM($H$23:H714)-SUM($I$23:I713),IF(AND('депозитный калькулятор'!$G$10="ежемесячное, на минимальную сумму зафиксированную в течение месяца",F714='депозитный калькулятор'!$D$8,EOMONTH(F714,0)&lt;&gt;F714),IF('депозитный калькулятор'!$F$1=1,$H$24,IF(AND(OR('депозитный калькулятор'!$G$7="30/365",'депозитный калькулятор'!$G$7="30/360"),DAY(F714)=31),0,MIN(OFFSET(H714,-E714+1,0):H714)*(E714+SUMIF(OFFSET(A714,-E714+1,0):A714,"=2",OFFSET(A714,-E714+1,0):A714)))),IF(AND('депозитный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калькулятор'!$G$7="30/360"),DAY(EOMONTH(F714,0))=31),EOMONTH(F714,0)-1=F714,EOMONTH(F714,0)=F714)),IF(IF(AND(OR('депозитный калькулятор'!$G$7="30/365",'депозитный калькулятор'!$G$7="30/360"),DAY(EOMONTH($F$23,0))=31),F714=EOMONTH($F$23,0)-1,F714=EOMONTH($F$23,0)),MIN(OFFSET(H714,-(DAY(F714)-DAY($F$23)),0):H714)*E714,MIN(OFFSET(H714,-(DAY(F714)-1),0):H714)*IF(AND(OR('депозитный калькулятор'!$G$7="30/365",'депозитный калькулятор'!$G$7="30/360"),DAY(F714)&lt;30),30,DAY(F714))),IF(AND('депозитный калькулятор'!$G$10="ежемесячное, на средний остаток в течение месяца, при условии что остаток больше чем ограничение",F714='депозитный калькулятор'!$D$8,EOMONTH(F714,0)&lt;&gt;F714),IF('депозитный калькулятор'!$F$1=1,$H$24,SUM(OFFSET(Q714,-E714+1,0):Q714)),IF(AND('депозитный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калькулятор'!$G$7="30/360"),DAY(EOMONTH(F714,0))=31),EOMONTH(F714,0)-1=F714,EOMONTH(F714,0)=F714)),IF(IF(AND(OR('депозитный калькулятор'!$G$7="30/365",'депозитный калькулятор'!$G$7="30/360"),DAY(EOMONTH($F$24,0))=31),F714=EOMONTH($F$24,0)-1,F714=EOMONTH($F$24,0)),SUM(OFFSET(Q714,-E714+1,0):Q714),SUM(OFFSET(Q714,-E714+1,0):Q714)),IF('депозитный калькулятор'!$G$10="ежеквартальное",IF(F714&gt;'депозитный калькулятор'!$D$8," ",IF(AND(EOMONTH(F714,0)=F714,OR(MONTH(F714)=3,MONTH(F714)=6,MONTH(F714)=9,MONTH(F714)=12)),IF(EDATE(F714,-3)&lt;'депозитный калькулятор'!$D$7,SUM($H$23:H714),IF(MOD(YEAR(F714),4)=0,IF(AND(EOMONTH(F714,0)=F714,OR(MONTH(F714)=3,MONTH(F714)=6)),SUM(OFFSET(H714,-90,0):H714),IF(AND(EOMONTH(F714,0)=F714,OR(MONTH(F714)=9,MONTH(F714)=12)),SUM(OFFSET(H714,-91,0):H714))),IF(AND(EOMONTH(F714,0)=F714,MONTH(F714)=3),SUM(OFFSET(H714,-89,0):H714),IF(AND(EOMONTH(F714,0)=F714,MONTH(F714)=6),SUM(OFFSET(H714,-90,0):H714),IF(AND(EOMONTH(F714,0)=F714,OR(MONTH(F714)=9,MONTH(F714)=12)),SUM(OFFSET(H714,-91,0):H714)))))),IF(F714='депозитный калькулятор'!$D$8,SUM($H$23:H714)-SUM($I$23:I713),0))),IF('депозитный калькулятор'!$G$10="ежегодное",IF(F714&gt;'депозитный калькулятор'!$D$8," ",IF(F714='депозитный калькулятор'!$D$8,SUM($H$23:H714)-SUM($I$23:I713),IF(AND(EOMONTH(F714,0)=F714,MONTH(F714)=12),IF(MOD(YEAR(F713),4)=0,IF(F714-'депозитный калькулятор'!$D$7&lt;366,SUM($H$23:H714),SUM(OFFSET(H714,-365,0):H714)),IF(F714-'депозитный калькулятор'!$D$7&lt;365,SUM($H$23:H714),SUM(OFFSET(H714,-364,0):H714))),0))),IF(AND('депозитный калькулятор'!$G$10="в конце срока",'депозитный калькулятор'!$D$8=F714),SUM($H$23:H714),0))))))))))))))))))</f>
        <v xml:space="preserve"> </v>
      </c>
      <c r="J714" s="59" t="str">
        <f>IF(F714&gt;'депозитный калькулятор'!$D$8," ",IF('депозитный калькулятор'!$G$16="нет",0,IF(AND('депозитный калькулятор'!$G$17="разовая (в конце срока)",F714='депозитный калькулятор'!$D$8),'депозитный калькулятор'!$G$18,IF(AND('депозитный калькулятор'!$G$17="ежемесячная",EOMONTH(F713,0)=F713),'депозитный калькулятор'!$G$18,IF(AND('депозитный калькулятор'!$G$17="ежегодная",DAY(F713)=31,MONTH(F713)=12),'депозитный калькулятор'!$G$18,IF(AND('депозитный калькулятор'!$G$17="ежемесячная в зависимости от остатка",EOMONTH(F713,0)=F713,P713&gt;0),'депозитный калькулятор'!$G$18,IF(AND('депозитный калькулятор'!$G$17="ежегодная в зависимости от остатка",DAY(F713)=31,MONTH(F713)=12,P713&gt;0),'депозитный калькулятор'!$G$18,0)))))))</f>
        <v xml:space="preserve"> </v>
      </c>
      <c r="K714" s="135" t="str">
        <f>IF($F714=" "," ",IFERROR(VLOOKUP($F714,'депозитный калькулятор'!$B$26:$F$70,2,0),0))</f>
        <v xml:space="preserve"> </v>
      </c>
      <c r="L714" s="135" t="str">
        <f>IF($F714=" "," ",IFERROR(VLOOKUP($F714,'депозитный калькулятор'!$B$26:$F$70,3,0),0))</f>
        <v xml:space="preserve"> </v>
      </c>
      <c r="M714" s="135" t="str">
        <f>IF($F714=" "," ",IFERROR(VLOOKUP($F714,'депозитный калькулятор'!$B$26:$F$70,4,0),0))</f>
        <v xml:space="preserve"> </v>
      </c>
      <c r="N714" s="135" t="str">
        <f>IF($F714=" "," ",IFERROR(VLOOKUP($F714,'депозитный калькулятор'!$B$26:$F$70,5,0),0))</f>
        <v xml:space="preserve"> </v>
      </c>
      <c r="O714" s="146" t="str">
        <f>IF(F714&gt;'депозитный калькулятор'!$D$8," ",IF(F714='депозитный калькулятор'!$D$8,IF(AND($F$24='депозитный калькулятор'!$D$8,'депозитный калькулятор'!$G$13="нет"),-G714-IF(I714=" ",0,I714)-IF(AND(OR('депозитный калькулятор'!$G$7="30/365",'депозитный калькулятор'!$G$7="30/360"),'депозитный калькулятор'!$G$10="в начале срока"),I713,0)-L714+M714-N714,-G714-IF(I714=" ",0,I714)-L714+M714-N714),IF('депозитный калькулятор'!$G$13="есть",M714-N714+IF('депозитный калькулятор'!$G$14="есть",0,-L714),-IF(I714=" ",0,I714)-IF(AND(OR('депозитный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срока"),I713,0)+M714-N714+IF('депозитный калькулятор'!$G$14="есть",0,-L714))))</f>
        <v xml:space="preserve"> </v>
      </c>
      <c r="P714" s="147" t="str">
        <f>IF(F714&gt;'депозитный калькулятор'!$D$8," ",IF(EOMONTH(F713,0)=F713,0,IF(G714&gt;='депозитный калькулятор'!$G$19,P713,P713+1)))</f>
        <v xml:space="preserve"> </v>
      </c>
      <c r="Q714" s="138" t="str">
        <f>IF(F714=" "," ",IF(AND(OR('депозитный калькулятор'!$G$7="30/365",'депозитный калькулятор'!$G$7="30/360"),AND(MONTH(F714)=2,EOMONTH(F714,0)=F714)),IF(DAY(F714)=28,3,2),1)*IF(G714&gt;='депозитный калькулятор'!$G$11,IF(AND('депозитный калькулятор'!$G$7="факт/факт",MOD(YEAR(F714),4)=0),G714*'депозитный калькулятор'!$D$11/366,G714*'депозитный калькулятор'!$G$8),0))</f>
        <v xml:space="preserve"> </v>
      </c>
      <c r="R714" s="158"/>
      <c r="S714" s="62" t="str">
        <f t="shared" ca="1" si="52"/>
        <v xml:space="preserve"> </v>
      </c>
      <c r="T714" s="149" t="str">
        <f ca="1">IF(S714=" "," ",IF('депозитный калькулятор'!$G$7="30/360",DAYS360(U713,IF(DAY(U714)=31,U714-1,U714))+IF(AND(MONTH(U714)=2,U714=EOMONTH(U714,0)),30-DAY(EOMONTH(U714,0)))+T713,VLOOKUP(S714,$C$22:$F$1023,2,0)))</f>
        <v xml:space="preserve"> </v>
      </c>
      <c r="U714" s="64" t="str">
        <f t="shared" ca="1" si="50"/>
        <v xml:space="preserve"> </v>
      </c>
      <c r="V714" s="150" t="str">
        <f t="shared" ca="1" si="53"/>
        <v xml:space="preserve"> </v>
      </c>
      <c r="W714" s="62" t="str">
        <f t="shared" ca="1" si="54"/>
        <v xml:space="preserve"> </v>
      </c>
      <c r="X714" s="141" t="str">
        <f ca="1">IF(S714=" "," ",IFERROR(VLOOKUP(U714,$F$23:$N$1023,7)+VLOOKUP(U714,$F$23:$N$1023,9)+IF(AND('депозитный калькулятор'!$G$13="нет",U714&lt;&gt;'депозитный калькулятор'!$D$8),VLOOKUP(U714,$F$23:$N$1023,4),0),0)+IF(U714='депозитный калькулятор'!$D$8,VLOOKUP(U714,$F$23:$N$1023,2)+VLOOKUP(U714,$F$23:$N$1023,4),0))</f>
        <v xml:space="preserve"> </v>
      </c>
      <c r="Y714" s="142" t="str">
        <f ca="1">IF(S714=" "," ",W714/(1+'депозитный калькулятор'!$K$8)^(T714/IF('депозитный калькулятор'!$G$7="30/360",360,365)))</f>
        <v xml:space="preserve"> </v>
      </c>
      <c r="Z714" s="142" t="str">
        <f ca="1">IF(S714=" "," ",X714/(1+'депозитный калькулятор'!$K$8)^(T714/IF('депозитный калькулятор'!$G$7="30/360",360,365)))</f>
        <v xml:space="preserve"> </v>
      </c>
      <c r="AA714" s="151"/>
      <c r="AB714" s="151"/>
      <c r="AC714" s="155"/>
      <c r="AD714" s="155"/>
    </row>
    <row r="715" spans="1:30" s="2" customFormat="1" ht="15.5" x14ac:dyDescent="0.35">
      <c r="A715" s="41" t="str">
        <f>IF(F715=" "," ",IF(OR('депозитный калькулятор'!$G$7="30/365",'депозитный калькулятор'!$G$7="30/360"),IF(AND(MONTH(F715)=2,DAY(F715)=DAY(EOMONTH(F715,0))),30-DAY(EOMONTH(F715,0)),IF(DAY(F715)=31,1," "))," "))</f>
        <v xml:space="preserve"> </v>
      </c>
      <c r="B715" s="130" t="str">
        <f t="shared" si="51"/>
        <v xml:space="preserve"> </v>
      </c>
      <c r="C715" s="130" t="str">
        <f>IF(OR(B715=0,B715=" ")," ",SUM($B$23:B715))</f>
        <v xml:space="preserve"> </v>
      </c>
      <c r="D715" s="62" t="str">
        <f>IF(D714=" "," ",IF(OR(F714='депозитный калькулятор'!$D$8,F714=" ")," ",D714+1))</f>
        <v xml:space="preserve"> </v>
      </c>
      <c r="E715" s="130" t="str">
        <f>IF(OR(F714='депозитный калькулятор'!$D$8,F714=" ")," ",IF(EOMONTH(F714,0)=F714,1,E714+1))</f>
        <v xml:space="preserve"> </v>
      </c>
      <c r="F715" s="64" t="str">
        <f>IF(F714=" "," ",IF(F714='депозитный калькулятор'!$D$8," ",F714+1))</f>
        <v xml:space="preserve"> </v>
      </c>
      <c r="G715" s="145" t="str">
        <f xml:space="preserve"> IF(F715&gt;'депозитный калькулятор'!$D$8," ",IF('депозитный калькулятор'!$G$13="есть",IF('депозитный калькулятор'!$G$14="есть",G714+IF(I714=" ",0,I714)-J715-K715+L715+M715-N715,G714+IF(I714=" ",0,I714)-J715-K715+M715-N715),IF('депозитный калькулятор'!$G$14="есть",G714-J715-K715+L715+M715-N715,G714-J715-K715+M715-N715)))</f>
        <v xml:space="preserve"> </v>
      </c>
      <c r="H715" s="133" t="str">
        <f>IF(F715&gt;'депозитный калькулятор'!$D$8," ",IF(AND(OR('депозитный калькулятор'!$G$7="30/365",'депозитный калькулятор'!$G$7="30/360"),AND(MONTH(F715)=2,EOMONTH(F715,0)=F715)),IF(DAY(F715)=28,3*G715*'депозитный калькулятор'!$G$8,2*G715*'депозитный калькулятор'!$G$8),IF(AND(OR('депозитный калькулятор'!$G$7="30/365",'депозитный калькулятор'!$G$7="30/360"),DAY(F715)=31)," ",IF(AND('депозитный калькулятор'!$G$7="факт/факт",MOD(YEAR(F715),4)=0),G715*'депозитный калькулятор'!$D$11/366,G715*'депозитный калькулятор'!$G$8))))</f>
        <v xml:space="preserve"> </v>
      </c>
      <c r="I715" s="134" t="str">
        <f ca="1">IF(F715=" "," ",IF('депозитный калькулятор'!$G$10="ежедневное",H715,IF(AND('депозитный калькулятор'!$G$10="еженедельное",WEEKDAY(F715,2)=7),SUM(OFFSET(H715,-6,0):H715),IF(AND('депозитный калькулятор'!$G$10="еженедельное",F715='депозитный калькулятор'!$D$8),SUM($H$23:H715)-SUM($I$23:I714),IF(AND('депозитный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недели",WEEKDAY(F715,2)=7),MIN(OFFSET(H715,-6,0):H715)*(COUNTIF(OFFSET(H715,-6,0):H715,"&gt;0")+SUMIF(OFFSET(A715,-WEEKDAY(F715,2),0):A715,"=2",OFFSET(A715,-WEEKDAY(F715,2),0):A715)),IF(AND('депозитный калькулятор'!$G$10="еженедельное, на минимальную сумму зафиксированную в течение недели",F715='депозитный калькулятор'!$D$8,WEEKDAY(F715,2)&lt;&gt;7),MIN(OFFSET(H715,-WEEKDAY(F715,2),0):H715)*(COUNTIF(OFFSET(H715,-WEEKDAY(F715,2)+1,0):H715,"&gt;0")+SUM(OFFSET(A715,-WEEKDAY(F715,2),0):A715)),IF(AND('депозитный калькулятор'!$G$10="ежемесячное (в конце месяца)",F715='депозитный калькулятор'!$D$8,EOMONTH(F715,0)&lt;&gt;F715),IF('депозитный калькулятор'!$F$1=1,$H$24,SUM($H$23:H715)-SUM($I$23:I714)),IF(AND('депозитный калькулятор'!$G$10="ежемесячное (в конце месяца)",EOMONTH(F715,0)=F715),SUM($H$23:H715)-SUM($I$23:I714),IF(AND('депозитный калькулятор'!$G$10="ежемесячное (по дням открытия вклада)",F715='депозитный калькулятор'!$D$8,DAY('депозитный калькулятор'!$D$7)&lt;&gt;DAY(F715)),IF('депозитный калькулятор'!$F$1=1,$H$24,SUM($H$23:H715)-SUM($I$23:I714)),IF(AND('депозитный калькулятор'!$G$10="ежемесячное (по дням открытия вклада)",DAY('депозитный калькулятор'!$D$7)=DAY(F715)),SUM($H$23:H715)-SUM($I$23:I714),IF(AND('депозитный калькулятор'!$G$10="ежемесячное, на минимальную сумму зафиксированную в течение месяца",F715='депозитный калькулятор'!$D$8,EOMONTH(F715,0)&lt;&gt;F715),IF('депозитный калькулятор'!$F$1=1,$H$24,IF(AND(OR('депозитный калькулятор'!$G$7="30/365",'депозитный калькулятор'!$G$7="30/360"),DAY(F715)=31),0,MIN(OFFSET(H715,-E715+1,0):H715)*(E715+SUMIF(OFFSET(A715,-E715+1,0):A715,"=2",OFFSET(A715,-E715+1,0):A715)))),IF(AND('депозитный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калькулятор'!$G$7="30/360"),DAY(EOMONTH(F715,0))=31),EOMONTH(F715,0)-1=F715,EOMONTH(F715,0)=F715)),IF(IF(AND(OR('депозитный калькулятор'!$G$7="30/365",'депозитный калькулятор'!$G$7="30/360"),DAY(EOMONTH($F$23,0))=31),F715=EOMONTH($F$23,0)-1,F715=EOMONTH($F$23,0)),MIN(OFFSET(H715,-(DAY(F715)-DAY($F$23)),0):H715)*E715,MIN(OFFSET(H715,-(DAY(F715)-1),0):H715)*IF(AND(OR('депозитный калькулятор'!$G$7="30/365",'депозитный калькулятор'!$G$7="30/360"),DAY(F715)&lt;30),30,DAY(F715))),IF(AND('депозитный калькулятор'!$G$10="ежемесячное, на средний остаток в течение месяца, при условии что остаток больше чем ограничение",F715='депозитный калькулятор'!$D$8,EOMONTH(F715,0)&lt;&gt;F715),IF('депозитный калькулятор'!$F$1=1,$H$24,SUM(OFFSET(Q715,-E715+1,0):Q715)),IF(AND('депозитный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калькулятор'!$G$7="30/360"),DAY(EOMONTH(F715,0))=31),EOMONTH(F715,0)-1=F715,EOMONTH(F715,0)=F715)),IF(IF(AND(OR('депозитный калькулятор'!$G$7="30/365",'депозитный калькулятор'!$G$7="30/360"),DAY(EOMONTH($F$24,0))=31),F715=EOMONTH($F$24,0)-1,F715=EOMONTH($F$24,0)),SUM(OFFSET(Q715,-E715+1,0):Q715),SUM(OFFSET(Q715,-E715+1,0):Q715)),IF('депозитный калькулятор'!$G$10="ежеквартальное",IF(F715&gt;'депозитный калькулятор'!$D$8," ",IF(AND(EOMONTH(F715,0)=F715,OR(MONTH(F715)=3,MONTH(F715)=6,MONTH(F715)=9,MONTH(F715)=12)),IF(EDATE(F715,-3)&lt;'депозитный калькулятор'!$D$7,SUM($H$23:H715),IF(MOD(YEAR(F715),4)=0,IF(AND(EOMONTH(F715,0)=F715,OR(MONTH(F715)=3,MONTH(F715)=6)),SUM(OFFSET(H715,-90,0):H715),IF(AND(EOMONTH(F715,0)=F715,OR(MONTH(F715)=9,MONTH(F715)=12)),SUM(OFFSET(H715,-91,0):H715))),IF(AND(EOMONTH(F715,0)=F715,MONTH(F715)=3),SUM(OFFSET(H715,-89,0):H715),IF(AND(EOMONTH(F715,0)=F715,MONTH(F715)=6),SUM(OFFSET(H715,-90,0):H715),IF(AND(EOMONTH(F715,0)=F715,OR(MONTH(F715)=9,MONTH(F715)=12)),SUM(OFFSET(H715,-91,0):H715)))))),IF(F715='депозитный калькулятор'!$D$8,SUM($H$23:H715)-SUM($I$23:I714),0))),IF('депозитный калькулятор'!$G$10="ежегодное",IF(F715&gt;'депозитный калькулятор'!$D$8," ",IF(F715='депозитный калькулятор'!$D$8,SUM($H$23:H715)-SUM($I$23:I714),IF(AND(EOMONTH(F715,0)=F715,MONTH(F715)=12),IF(MOD(YEAR(F714),4)=0,IF(F715-'депозитный калькулятор'!$D$7&lt;366,SUM($H$23:H715),SUM(OFFSET(H715,-365,0):H715)),IF(F715-'депозитный калькулятор'!$D$7&lt;365,SUM($H$23:H715),SUM(OFFSET(H715,-364,0):H715))),0))),IF(AND('депозитный калькулятор'!$G$10="в конце срока",'депозитный калькулятор'!$D$8=F715),SUM($H$23:H715),0))))))))))))))))))</f>
        <v xml:space="preserve"> </v>
      </c>
      <c r="J715" s="59" t="str">
        <f>IF(F715&gt;'депозитный калькулятор'!$D$8," ",IF('депозитный калькулятор'!$G$16="нет",0,IF(AND('депозитный калькулятор'!$G$17="разовая (в конце срока)",F715='депозитный калькулятор'!$D$8),'депозитный калькулятор'!$G$18,IF(AND('депозитный калькулятор'!$G$17="ежемесячная",EOMONTH(F714,0)=F714),'депозитный калькулятор'!$G$18,IF(AND('депозитный калькулятор'!$G$17="ежегодная",DAY(F714)=31,MONTH(F714)=12),'депозитный калькулятор'!$G$18,IF(AND('депозитный калькулятор'!$G$17="ежемесячная в зависимости от остатка",EOMONTH(F714,0)=F714,P714&gt;0),'депозитный калькулятор'!$G$18,IF(AND('депозитный калькулятор'!$G$17="ежегодная в зависимости от остатка",DAY(F714)=31,MONTH(F714)=12,P714&gt;0),'депозитный калькулятор'!$G$18,0)))))))</f>
        <v xml:space="preserve"> </v>
      </c>
      <c r="K715" s="135" t="str">
        <f>IF($F715=" "," ",IFERROR(VLOOKUP($F715,'депозитный калькулятор'!$B$26:$F$70,2,0),0))</f>
        <v xml:space="preserve"> </v>
      </c>
      <c r="L715" s="135" t="str">
        <f>IF($F715=" "," ",IFERROR(VLOOKUP($F715,'депозитный калькулятор'!$B$26:$F$70,3,0),0))</f>
        <v xml:space="preserve"> </v>
      </c>
      <c r="M715" s="135" t="str">
        <f>IF($F715=" "," ",IFERROR(VLOOKUP($F715,'депозитный калькулятор'!$B$26:$F$70,4,0),0))</f>
        <v xml:space="preserve"> </v>
      </c>
      <c r="N715" s="135" t="str">
        <f>IF($F715=" "," ",IFERROR(VLOOKUP($F715,'депозитный калькулятор'!$B$26:$F$70,5,0),0))</f>
        <v xml:space="preserve"> </v>
      </c>
      <c r="O715" s="146" t="str">
        <f>IF(F715&gt;'депозитный калькулятор'!$D$8," ",IF(F715='депозитный калькулятор'!$D$8,IF(AND($F$24='депозитный калькулятор'!$D$8,'депозитный калькулятор'!$G$13="нет"),-G715-IF(I715=" ",0,I715)-IF(AND(OR('депозитный калькулятор'!$G$7="30/365",'депозитный калькулятор'!$G$7="30/360"),'депозитный калькулятор'!$G$10="в начале срока"),I714,0)-L715+M715-N715,-G715-IF(I715=" ",0,I715)-L715+M715-N715),IF('депозитный калькулятор'!$G$13="есть",M715-N715+IF('депозитный калькулятор'!$G$14="есть",0,-L715),-IF(I715=" ",0,I715)-IF(AND(OR('депозитный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срока"),I714,0)+M715-N715+IF('депозитный калькулятор'!$G$14="есть",0,-L715))))</f>
        <v xml:space="preserve"> </v>
      </c>
      <c r="P715" s="147" t="str">
        <f>IF(F715&gt;'депозитный калькулятор'!$D$8," ",IF(EOMONTH(F714,0)=F714,0,IF(G715&gt;='депозитный калькулятор'!$G$19,P714,P714+1)))</f>
        <v xml:space="preserve"> </v>
      </c>
      <c r="Q715" s="138" t="str">
        <f>IF(F715=" "," ",IF(AND(OR('депозитный калькулятор'!$G$7="30/365",'депозитный калькулятор'!$G$7="30/360"),AND(MONTH(F715)=2,EOMONTH(F715,0)=F715)),IF(DAY(F715)=28,3,2),1)*IF(G715&gt;='депозитный калькулятор'!$G$11,IF(AND('депозитный калькулятор'!$G$7="факт/факт",MOD(YEAR(F715),4)=0),G715*'депозитный калькулятор'!$D$11/366,G715*'депозитный калькулятор'!$G$8),0))</f>
        <v xml:space="preserve"> </v>
      </c>
      <c r="R715" s="158"/>
      <c r="S715" s="62" t="str">
        <f t="shared" ca="1" si="52"/>
        <v xml:space="preserve"> </v>
      </c>
      <c r="T715" s="149" t="str">
        <f ca="1">IF(S715=" "," ",IF('депозитный калькулятор'!$G$7="30/360",DAYS360(U714,IF(DAY(U715)=31,U715-1,U715))+IF(AND(MONTH(U715)=2,U715=EOMONTH(U715,0)),30-DAY(EOMONTH(U715,0)))+T714,VLOOKUP(S715,$C$22:$F$1023,2,0)))</f>
        <v xml:space="preserve"> </v>
      </c>
      <c r="U715" s="64" t="str">
        <f t="shared" ca="1" si="50"/>
        <v xml:space="preserve"> </v>
      </c>
      <c r="V715" s="150" t="str">
        <f t="shared" ca="1" si="53"/>
        <v xml:space="preserve"> </v>
      </c>
      <c r="W715" s="62" t="str">
        <f t="shared" ca="1" si="54"/>
        <v xml:space="preserve"> </v>
      </c>
      <c r="X715" s="141" t="str">
        <f ca="1">IF(S715=" "," ",IFERROR(VLOOKUP(U715,$F$23:$N$1023,7)+VLOOKUP(U715,$F$23:$N$1023,9)+IF(AND('депозитный калькулятор'!$G$13="нет",U715&lt;&gt;'депозитный калькулятор'!$D$8),VLOOKUP(U715,$F$23:$N$1023,4),0),0)+IF(U715='депозитный калькулятор'!$D$8,VLOOKUP(U715,$F$23:$N$1023,2)+VLOOKUP(U715,$F$23:$N$1023,4),0))</f>
        <v xml:space="preserve"> </v>
      </c>
      <c r="Y715" s="142" t="str">
        <f ca="1">IF(S715=" "," ",W715/(1+'депозитный калькулятор'!$K$8)^(T715/IF('депозитный калькулятор'!$G$7="30/360",360,365)))</f>
        <v xml:space="preserve"> </v>
      </c>
      <c r="Z715" s="142" t="str">
        <f ca="1">IF(S715=" "," ",X715/(1+'депозитный калькулятор'!$K$8)^(T715/IF('депозитный калькулятор'!$G$7="30/360",360,365)))</f>
        <v xml:space="preserve"> </v>
      </c>
      <c r="AA715" s="151"/>
      <c r="AB715" s="151"/>
      <c r="AC715" s="155"/>
      <c r="AD715" s="155"/>
    </row>
    <row r="716" spans="1:30" s="2" customFormat="1" ht="15.5" x14ac:dyDescent="0.35">
      <c r="A716" s="41" t="str">
        <f>IF(F716=" "," ",IF(OR('депозитный калькулятор'!$G$7="30/365",'депозитный калькулятор'!$G$7="30/360"),IF(AND(MONTH(F716)=2,DAY(F716)=DAY(EOMONTH(F716,0))),30-DAY(EOMONTH(F716,0)),IF(DAY(F716)=31,1," "))," "))</f>
        <v xml:space="preserve"> </v>
      </c>
      <c r="B716" s="130" t="str">
        <f t="shared" si="51"/>
        <v xml:space="preserve"> </v>
      </c>
      <c r="C716" s="130" t="str">
        <f>IF(OR(B716=0,B716=" ")," ",SUM($B$23:B716))</f>
        <v xml:space="preserve"> </v>
      </c>
      <c r="D716" s="62" t="str">
        <f>IF(D715=" "," ",IF(OR(F715='депозитный калькулятор'!$D$8,F715=" ")," ",D715+1))</f>
        <v xml:space="preserve"> </v>
      </c>
      <c r="E716" s="130" t="str">
        <f>IF(OR(F715='депозитный калькулятор'!$D$8,F715=" ")," ",IF(EOMONTH(F715,0)=F715,1,E715+1))</f>
        <v xml:space="preserve"> </v>
      </c>
      <c r="F716" s="64" t="str">
        <f>IF(F715=" "," ",IF(F715='депозитный калькулятор'!$D$8," ",F715+1))</f>
        <v xml:space="preserve"> </v>
      </c>
      <c r="G716" s="145" t="str">
        <f xml:space="preserve"> IF(F716&gt;'депозитный калькулятор'!$D$8," ",IF('депозитный калькулятор'!$G$13="есть",IF('депозитный калькулятор'!$G$14="есть",G715+IF(I715=" ",0,I715)-J716-K716+L716+M716-N716,G715+IF(I715=" ",0,I715)-J716-K716+M716-N716),IF('депозитный калькулятор'!$G$14="есть",G715-J716-K716+L716+M716-N716,G715-J716-K716+M716-N716)))</f>
        <v xml:space="preserve"> </v>
      </c>
      <c r="H716" s="133" t="str">
        <f>IF(F716&gt;'депозитный калькулятор'!$D$8," ",IF(AND(OR('депозитный калькулятор'!$G$7="30/365",'депозитный калькулятор'!$G$7="30/360"),AND(MONTH(F716)=2,EOMONTH(F716,0)=F716)),IF(DAY(F716)=28,3*G716*'депозитный калькулятор'!$G$8,2*G716*'депозитный калькулятор'!$G$8),IF(AND(OR('депозитный калькулятор'!$G$7="30/365",'депозитный калькулятор'!$G$7="30/360"),DAY(F716)=31)," ",IF(AND('депозитный калькулятор'!$G$7="факт/факт",MOD(YEAR(F716),4)=0),G716*'депозитный калькулятор'!$D$11/366,G716*'депозитный калькулятор'!$G$8))))</f>
        <v xml:space="preserve"> </v>
      </c>
      <c r="I716" s="134" t="str">
        <f ca="1">IF(F716=" "," ",IF('депозитный калькулятор'!$G$10="ежедневное",H716,IF(AND('депозитный калькулятор'!$G$10="еженедельное",WEEKDAY(F716,2)=7),SUM(OFFSET(H716,-6,0):H716),IF(AND('депозитный калькулятор'!$G$10="еженедельное",F716='депозитный калькулятор'!$D$8),SUM($H$23:H716)-SUM($I$23:I715),IF(AND('депозитный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недели",WEEKDAY(F716,2)=7),MIN(OFFSET(H716,-6,0):H716)*(COUNTIF(OFFSET(H716,-6,0):H716,"&gt;0")+SUMIF(OFFSET(A716,-WEEKDAY(F716,2),0):A716,"=2",OFFSET(A716,-WEEKDAY(F716,2),0):A716)),IF(AND('депозитный калькулятор'!$G$10="еженедельное, на минимальную сумму зафиксированную в течение недели",F716='депозитный калькулятор'!$D$8,WEEKDAY(F716,2)&lt;&gt;7),MIN(OFFSET(H716,-WEEKDAY(F716,2),0):H716)*(COUNTIF(OFFSET(H716,-WEEKDAY(F716,2)+1,0):H716,"&gt;0")+SUM(OFFSET(A716,-WEEKDAY(F716,2),0):A716)),IF(AND('депозитный калькулятор'!$G$10="ежемесячное (в конце месяца)",F716='депозитный калькулятор'!$D$8,EOMONTH(F716,0)&lt;&gt;F716),IF('депозитный калькулятор'!$F$1=1,$H$24,SUM($H$23:H716)-SUM($I$23:I715)),IF(AND('депозитный калькулятор'!$G$10="ежемесячное (в конце месяца)",EOMONTH(F716,0)=F716),SUM($H$23:H716)-SUM($I$23:I715),IF(AND('депозитный калькулятор'!$G$10="ежемесячное (по дням открытия вклада)",F716='депозитный калькулятор'!$D$8,DAY('депозитный калькулятор'!$D$7)&lt;&gt;DAY(F716)),IF('депозитный калькулятор'!$F$1=1,$H$24,SUM($H$23:H716)-SUM($I$23:I715)),IF(AND('депозитный калькулятор'!$G$10="ежемесячное (по дням открытия вклада)",DAY('депозитный калькулятор'!$D$7)=DAY(F716)),SUM($H$23:H716)-SUM($I$23:I715),IF(AND('депозитный калькулятор'!$G$10="ежемесячное, на минимальную сумму зафиксированную в течение месяца",F716='депозитный калькулятор'!$D$8,EOMONTH(F716,0)&lt;&gt;F716),IF('депозитный калькулятор'!$F$1=1,$H$24,IF(AND(OR('депозитный калькулятор'!$G$7="30/365",'депозитный калькулятор'!$G$7="30/360"),DAY(F716)=31),0,MIN(OFFSET(H716,-E716+1,0):H716)*(E716+SUMIF(OFFSET(A716,-E716+1,0):A716,"=2",OFFSET(A716,-E716+1,0):A716)))),IF(AND('депозитный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калькулятор'!$G$7="30/360"),DAY(EOMONTH(F716,0))=31),EOMONTH(F716,0)-1=F716,EOMONTH(F716,0)=F716)),IF(IF(AND(OR('депозитный калькулятор'!$G$7="30/365",'депозитный калькулятор'!$G$7="30/360"),DAY(EOMONTH($F$23,0))=31),F716=EOMONTH($F$23,0)-1,F716=EOMONTH($F$23,0)),MIN(OFFSET(H716,-(DAY(F716)-DAY($F$23)),0):H716)*E716,MIN(OFFSET(H716,-(DAY(F716)-1),0):H716)*IF(AND(OR('депозитный калькулятор'!$G$7="30/365",'депозитный калькулятор'!$G$7="30/360"),DAY(F716)&lt;30),30,DAY(F716))),IF(AND('депозитный калькулятор'!$G$10="ежемесячное, на средний остаток в течение месяца, при условии что остаток больше чем ограничение",F716='депозитный калькулятор'!$D$8,EOMONTH(F716,0)&lt;&gt;F716),IF('депозитный калькулятор'!$F$1=1,$H$24,SUM(OFFSET(Q716,-E716+1,0):Q716)),IF(AND('депозитный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калькулятор'!$G$7="30/360"),DAY(EOMONTH(F716,0))=31),EOMONTH(F716,0)-1=F716,EOMONTH(F716,0)=F716)),IF(IF(AND(OR('депозитный калькулятор'!$G$7="30/365",'депозитный калькулятор'!$G$7="30/360"),DAY(EOMONTH($F$24,0))=31),F716=EOMONTH($F$24,0)-1,F716=EOMONTH($F$24,0)),SUM(OFFSET(Q716,-E716+1,0):Q716),SUM(OFFSET(Q716,-E716+1,0):Q716)),IF('депозитный калькулятор'!$G$10="ежеквартальное",IF(F716&gt;'депозитный калькулятор'!$D$8," ",IF(AND(EOMONTH(F716,0)=F716,OR(MONTH(F716)=3,MONTH(F716)=6,MONTH(F716)=9,MONTH(F716)=12)),IF(EDATE(F716,-3)&lt;'депозитный калькулятор'!$D$7,SUM($H$23:H716),IF(MOD(YEAR(F716),4)=0,IF(AND(EOMONTH(F716,0)=F716,OR(MONTH(F716)=3,MONTH(F716)=6)),SUM(OFFSET(H716,-90,0):H716),IF(AND(EOMONTH(F716,0)=F716,OR(MONTH(F716)=9,MONTH(F716)=12)),SUM(OFFSET(H716,-91,0):H716))),IF(AND(EOMONTH(F716,0)=F716,MONTH(F716)=3),SUM(OFFSET(H716,-89,0):H716),IF(AND(EOMONTH(F716,0)=F716,MONTH(F716)=6),SUM(OFFSET(H716,-90,0):H716),IF(AND(EOMONTH(F716,0)=F716,OR(MONTH(F716)=9,MONTH(F716)=12)),SUM(OFFSET(H716,-91,0):H716)))))),IF(F716='депозитный калькулятор'!$D$8,SUM($H$23:H716)-SUM($I$23:I715),0))),IF('депозитный калькулятор'!$G$10="ежегодное",IF(F716&gt;'депозитный калькулятор'!$D$8," ",IF(F716='депозитный калькулятор'!$D$8,SUM($H$23:H716)-SUM($I$23:I715),IF(AND(EOMONTH(F716,0)=F716,MONTH(F716)=12),IF(MOD(YEAR(F715),4)=0,IF(F716-'депозитный калькулятор'!$D$7&lt;366,SUM($H$23:H716),SUM(OFFSET(H716,-365,0):H716)),IF(F716-'депозитный калькулятор'!$D$7&lt;365,SUM($H$23:H716),SUM(OFFSET(H716,-364,0):H716))),0))),IF(AND('депозитный калькулятор'!$G$10="в конце срока",'депозитный калькулятор'!$D$8=F716),SUM($H$23:H716),0))))))))))))))))))</f>
        <v xml:space="preserve"> </v>
      </c>
      <c r="J716" s="59" t="str">
        <f>IF(F716&gt;'депозитный калькулятор'!$D$8," ",IF('депозитный калькулятор'!$G$16="нет",0,IF(AND('депозитный калькулятор'!$G$17="разовая (в конце срока)",F716='депозитный калькулятор'!$D$8),'депозитный калькулятор'!$G$18,IF(AND('депозитный калькулятор'!$G$17="ежемесячная",EOMONTH(F715,0)=F715),'депозитный калькулятор'!$G$18,IF(AND('депозитный калькулятор'!$G$17="ежегодная",DAY(F715)=31,MONTH(F715)=12),'депозитный калькулятор'!$G$18,IF(AND('депозитный калькулятор'!$G$17="ежемесячная в зависимости от остатка",EOMONTH(F715,0)=F715,P715&gt;0),'депозитный калькулятор'!$G$18,IF(AND('депозитный калькулятор'!$G$17="ежегодная в зависимости от остатка",DAY(F715)=31,MONTH(F715)=12,P715&gt;0),'депозитный калькулятор'!$G$18,0)))))))</f>
        <v xml:space="preserve"> </v>
      </c>
      <c r="K716" s="135" t="str">
        <f>IF($F716=" "," ",IFERROR(VLOOKUP($F716,'депозитный калькулятор'!$B$26:$F$70,2,0),0))</f>
        <v xml:space="preserve"> </v>
      </c>
      <c r="L716" s="135" t="str">
        <f>IF($F716=" "," ",IFERROR(VLOOKUP($F716,'депозитный калькулятор'!$B$26:$F$70,3,0),0))</f>
        <v xml:space="preserve"> </v>
      </c>
      <c r="M716" s="135" t="str">
        <f>IF($F716=" "," ",IFERROR(VLOOKUP($F716,'депозитный калькулятор'!$B$26:$F$70,4,0),0))</f>
        <v xml:space="preserve"> </v>
      </c>
      <c r="N716" s="135" t="str">
        <f>IF($F716=" "," ",IFERROR(VLOOKUP($F716,'депозитный калькулятор'!$B$26:$F$70,5,0),0))</f>
        <v xml:space="preserve"> </v>
      </c>
      <c r="O716" s="146" t="str">
        <f>IF(F716&gt;'депозитный калькулятор'!$D$8," ",IF(F716='депозитный калькулятор'!$D$8,IF(AND($F$24='депозитный калькулятор'!$D$8,'депозитный калькулятор'!$G$13="нет"),-G716-IF(I716=" ",0,I716)-IF(AND(OR('депозитный калькулятор'!$G$7="30/365",'депозитный калькулятор'!$G$7="30/360"),'депозитный калькулятор'!$G$10="в начале срока"),I715,0)-L716+M716-N716,-G716-IF(I716=" ",0,I716)-L716+M716-N716),IF('депозитный калькулятор'!$G$13="есть",M716-N716+IF('депозитный калькулятор'!$G$14="есть",0,-L716),-IF(I716=" ",0,I716)-IF(AND(OR('депозитный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срока"),I715,0)+M716-N716+IF('депозитный калькулятор'!$G$14="есть",0,-L716))))</f>
        <v xml:space="preserve"> </v>
      </c>
      <c r="P716" s="147" t="str">
        <f>IF(F716&gt;'депозитный калькулятор'!$D$8," ",IF(EOMONTH(F715,0)=F715,0,IF(G716&gt;='депозитный калькулятор'!$G$19,P715,P715+1)))</f>
        <v xml:space="preserve"> </v>
      </c>
      <c r="Q716" s="138" t="str">
        <f>IF(F716=" "," ",IF(AND(OR('депозитный калькулятор'!$G$7="30/365",'депозитный калькулятор'!$G$7="30/360"),AND(MONTH(F716)=2,EOMONTH(F716,0)=F716)),IF(DAY(F716)=28,3,2),1)*IF(G716&gt;='депозитный калькулятор'!$G$11,IF(AND('депозитный калькулятор'!$G$7="факт/факт",MOD(YEAR(F716),4)=0),G716*'депозитный калькулятор'!$D$11/366,G716*'депозитный калькулятор'!$G$8),0))</f>
        <v xml:space="preserve"> </v>
      </c>
      <c r="R716" s="158"/>
      <c r="S716" s="62" t="str">
        <f t="shared" ca="1" si="52"/>
        <v xml:space="preserve"> </v>
      </c>
      <c r="T716" s="149" t="str">
        <f ca="1">IF(S716=" "," ",IF('депозитный калькулятор'!$G$7="30/360",DAYS360(U715,IF(DAY(U716)=31,U716-1,U716))+IF(AND(MONTH(U716)=2,U716=EOMONTH(U716,0)),30-DAY(EOMONTH(U716,0)))+T715,VLOOKUP(S716,$C$22:$F$1023,2,0)))</f>
        <v xml:space="preserve"> </v>
      </c>
      <c r="U716" s="64" t="str">
        <f t="shared" ca="1" si="50"/>
        <v xml:space="preserve"> </v>
      </c>
      <c r="V716" s="150" t="str">
        <f t="shared" ca="1" si="53"/>
        <v xml:space="preserve"> </v>
      </c>
      <c r="W716" s="62" t="str">
        <f t="shared" ca="1" si="54"/>
        <v xml:space="preserve"> </v>
      </c>
      <c r="X716" s="141" t="str">
        <f ca="1">IF(S716=" "," ",IFERROR(VLOOKUP(U716,$F$23:$N$1023,7)+VLOOKUP(U716,$F$23:$N$1023,9)+IF(AND('депозитный калькулятор'!$G$13="нет",U716&lt;&gt;'депозитный калькулятор'!$D$8),VLOOKUP(U716,$F$23:$N$1023,4),0),0)+IF(U716='депозитный калькулятор'!$D$8,VLOOKUP(U716,$F$23:$N$1023,2)+VLOOKUP(U716,$F$23:$N$1023,4),0))</f>
        <v xml:space="preserve"> </v>
      </c>
      <c r="Y716" s="142" t="str">
        <f ca="1">IF(S716=" "," ",W716/(1+'депозитный калькулятор'!$K$8)^(T716/IF('депозитный калькулятор'!$G$7="30/360",360,365)))</f>
        <v xml:space="preserve"> </v>
      </c>
      <c r="Z716" s="142" t="str">
        <f ca="1">IF(S716=" "," ",X716/(1+'депозитный калькулятор'!$K$8)^(T716/IF('депозитный калькулятор'!$G$7="30/360",360,365)))</f>
        <v xml:space="preserve"> </v>
      </c>
      <c r="AA716" s="151"/>
      <c r="AB716" s="151"/>
      <c r="AC716" s="155"/>
      <c r="AD716" s="155"/>
    </row>
    <row r="717" spans="1:30" s="2" customFormat="1" ht="15.5" x14ac:dyDescent="0.35">
      <c r="A717" s="41" t="str">
        <f>IF(F717=" "," ",IF(OR('депозитный калькулятор'!$G$7="30/365",'депозитный калькулятор'!$G$7="30/360"),IF(AND(MONTH(F717)=2,DAY(F717)=DAY(EOMONTH(F717,0))),30-DAY(EOMONTH(F717,0)),IF(DAY(F717)=31,1," "))," "))</f>
        <v xml:space="preserve"> </v>
      </c>
      <c r="B717" s="130" t="str">
        <f t="shared" si="51"/>
        <v xml:space="preserve"> </v>
      </c>
      <c r="C717" s="130" t="str">
        <f>IF(OR(B717=0,B717=" ")," ",SUM($B$23:B717))</f>
        <v xml:space="preserve"> </v>
      </c>
      <c r="D717" s="62" t="str">
        <f>IF(D716=" "," ",IF(OR(F716='депозитный калькулятор'!$D$8,F716=" ")," ",D716+1))</f>
        <v xml:space="preserve"> </v>
      </c>
      <c r="E717" s="130" t="str">
        <f>IF(OR(F716='депозитный калькулятор'!$D$8,F716=" ")," ",IF(EOMONTH(F716,0)=F716,1,E716+1))</f>
        <v xml:space="preserve"> </v>
      </c>
      <c r="F717" s="64" t="str">
        <f>IF(F716=" "," ",IF(F716='депозитный калькулятор'!$D$8," ",F716+1))</f>
        <v xml:space="preserve"> </v>
      </c>
      <c r="G717" s="145" t="str">
        <f xml:space="preserve"> IF(F717&gt;'депозитный калькулятор'!$D$8," ",IF('депозитный калькулятор'!$G$13="есть",IF('депозитный калькулятор'!$G$14="есть",G716+IF(I716=" ",0,I716)-J717-K717+L717+M717-N717,G716+IF(I716=" ",0,I716)-J717-K717+M717-N717),IF('депозитный калькулятор'!$G$14="есть",G716-J717-K717+L717+M717-N717,G716-J717-K717+M717-N717)))</f>
        <v xml:space="preserve"> </v>
      </c>
      <c r="H717" s="133" t="str">
        <f>IF(F717&gt;'депозитный калькулятор'!$D$8," ",IF(AND(OR('депозитный калькулятор'!$G$7="30/365",'депозитный калькулятор'!$G$7="30/360"),AND(MONTH(F717)=2,EOMONTH(F717,0)=F717)),IF(DAY(F717)=28,3*G717*'депозитный калькулятор'!$G$8,2*G717*'депозитный калькулятор'!$G$8),IF(AND(OR('депозитный калькулятор'!$G$7="30/365",'депозитный калькулятор'!$G$7="30/360"),DAY(F717)=31)," ",IF(AND('депозитный калькулятор'!$G$7="факт/факт",MOD(YEAR(F717),4)=0),G717*'депозитный калькулятор'!$D$11/366,G717*'депозитный калькулятор'!$G$8))))</f>
        <v xml:space="preserve"> </v>
      </c>
      <c r="I717" s="134" t="str">
        <f ca="1">IF(F717=" "," ",IF('депозитный калькулятор'!$G$10="ежедневное",H717,IF(AND('депозитный калькулятор'!$G$10="еженедельное",WEEKDAY(F717,2)=7),SUM(OFFSET(H717,-6,0):H717),IF(AND('депозитный калькулятор'!$G$10="еженедельное",F717='депозитный калькулятор'!$D$8),SUM($H$23:H717)-SUM($I$23:I716),IF(AND('депозитный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недели",WEEKDAY(F717,2)=7),MIN(OFFSET(H717,-6,0):H717)*(COUNTIF(OFFSET(H717,-6,0):H717,"&gt;0")+SUMIF(OFFSET(A717,-WEEKDAY(F717,2),0):A717,"=2",OFFSET(A717,-WEEKDAY(F717,2),0):A717)),IF(AND('депозитный калькулятор'!$G$10="еженедельное, на минимальную сумму зафиксированную в течение недели",F717='депозитный калькулятор'!$D$8,WEEKDAY(F717,2)&lt;&gt;7),MIN(OFFSET(H717,-WEEKDAY(F717,2),0):H717)*(COUNTIF(OFFSET(H717,-WEEKDAY(F717,2)+1,0):H717,"&gt;0")+SUM(OFFSET(A717,-WEEKDAY(F717,2),0):A717)),IF(AND('депозитный калькулятор'!$G$10="ежемесячное (в конце месяца)",F717='депозитный калькулятор'!$D$8,EOMONTH(F717,0)&lt;&gt;F717),IF('депозитный калькулятор'!$F$1=1,$H$24,SUM($H$23:H717)-SUM($I$23:I716)),IF(AND('депозитный калькулятор'!$G$10="ежемесячное (в конце месяца)",EOMONTH(F717,0)=F717),SUM($H$23:H717)-SUM($I$23:I716),IF(AND('депозитный калькулятор'!$G$10="ежемесячное (по дням открытия вклада)",F717='депозитный калькулятор'!$D$8,DAY('депозитный калькулятор'!$D$7)&lt;&gt;DAY(F717)),IF('депозитный калькулятор'!$F$1=1,$H$24,SUM($H$23:H717)-SUM($I$23:I716)),IF(AND('депозитный калькулятор'!$G$10="ежемесячное (по дням открытия вклада)",DAY('депозитный калькулятор'!$D$7)=DAY(F717)),SUM($H$23:H717)-SUM($I$23:I716),IF(AND('депозитный калькулятор'!$G$10="ежемесячное, на минимальную сумму зафиксированную в течение месяца",F717='депозитный калькулятор'!$D$8,EOMONTH(F717,0)&lt;&gt;F717),IF('депозитный калькулятор'!$F$1=1,$H$24,IF(AND(OR('депозитный калькулятор'!$G$7="30/365",'депозитный калькулятор'!$G$7="30/360"),DAY(F717)=31),0,MIN(OFFSET(H717,-E717+1,0):H717)*(E717+SUMIF(OFFSET(A717,-E717+1,0):A717,"=2",OFFSET(A717,-E717+1,0):A717)))),IF(AND('депозитный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калькулятор'!$G$7="30/360"),DAY(EOMONTH(F717,0))=31),EOMONTH(F717,0)-1=F717,EOMONTH(F717,0)=F717)),IF(IF(AND(OR('депозитный калькулятор'!$G$7="30/365",'депозитный калькулятор'!$G$7="30/360"),DAY(EOMONTH($F$23,0))=31),F717=EOMONTH($F$23,0)-1,F717=EOMONTH($F$23,0)),MIN(OFFSET(H717,-(DAY(F717)-DAY($F$23)),0):H717)*E717,MIN(OFFSET(H717,-(DAY(F717)-1),0):H717)*IF(AND(OR('депозитный калькулятор'!$G$7="30/365",'депозитный калькулятор'!$G$7="30/360"),DAY(F717)&lt;30),30,DAY(F717))),IF(AND('депозитный калькулятор'!$G$10="ежемесячное, на средний остаток в течение месяца, при условии что остаток больше чем ограничение",F717='депозитный калькулятор'!$D$8,EOMONTH(F717,0)&lt;&gt;F717),IF('депозитный калькулятор'!$F$1=1,$H$24,SUM(OFFSET(Q717,-E717+1,0):Q717)),IF(AND('депозитный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калькулятор'!$G$7="30/360"),DAY(EOMONTH(F717,0))=31),EOMONTH(F717,0)-1=F717,EOMONTH(F717,0)=F717)),IF(IF(AND(OR('депозитный калькулятор'!$G$7="30/365",'депозитный калькулятор'!$G$7="30/360"),DAY(EOMONTH($F$24,0))=31),F717=EOMONTH($F$24,0)-1,F717=EOMONTH($F$24,0)),SUM(OFFSET(Q717,-E717+1,0):Q717),SUM(OFFSET(Q717,-E717+1,0):Q717)),IF('депозитный калькулятор'!$G$10="ежеквартальное",IF(F717&gt;'депозитный калькулятор'!$D$8," ",IF(AND(EOMONTH(F717,0)=F717,OR(MONTH(F717)=3,MONTH(F717)=6,MONTH(F717)=9,MONTH(F717)=12)),IF(EDATE(F717,-3)&lt;'депозитный калькулятор'!$D$7,SUM($H$23:H717),IF(MOD(YEAR(F717),4)=0,IF(AND(EOMONTH(F717,0)=F717,OR(MONTH(F717)=3,MONTH(F717)=6)),SUM(OFFSET(H717,-90,0):H717),IF(AND(EOMONTH(F717,0)=F717,OR(MONTH(F717)=9,MONTH(F717)=12)),SUM(OFFSET(H717,-91,0):H717))),IF(AND(EOMONTH(F717,0)=F717,MONTH(F717)=3),SUM(OFFSET(H717,-89,0):H717),IF(AND(EOMONTH(F717,0)=F717,MONTH(F717)=6),SUM(OFFSET(H717,-90,0):H717),IF(AND(EOMONTH(F717,0)=F717,OR(MONTH(F717)=9,MONTH(F717)=12)),SUM(OFFSET(H717,-91,0):H717)))))),IF(F717='депозитный калькулятор'!$D$8,SUM($H$23:H717)-SUM($I$23:I716),0))),IF('депозитный калькулятор'!$G$10="ежегодное",IF(F717&gt;'депозитный калькулятор'!$D$8," ",IF(F717='депозитный калькулятор'!$D$8,SUM($H$23:H717)-SUM($I$23:I716),IF(AND(EOMONTH(F717,0)=F717,MONTH(F717)=12),IF(MOD(YEAR(F716),4)=0,IF(F717-'депозитный калькулятор'!$D$7&lt;366,SUM($H$23:H717),SUM(OFFSET(H717,-365,0):H717)),IF(F717-'депозитный калькулятор'!$D$7&lt;365,SUM($H$23:H717),SUM(OFFSET(H717,-364,0):H717))),0))),IF(AND('депозитный калькулятор'!$G$10="в конце срока",'депозитный калькулятор'!$D$8=F717),SUM($H$23:H717),0))))))))))))))))))</f>
        <v xml:space="preserve"> </v>
      </c>
      <c r="J717" s="59" t="str">
        <f>IF(F717&gt;'депозитный калькулятор'!$D$8," ",IF('депозитный калькулятор'!$G$16="нет",0,IF(AND('депозитный калькулятор'!$G$17="разовая (в конце срока)",F717='депозитный калькулятор'!$D$8),'депозитный калькулятор'!$G$18,IF(AND('депозитный калькулятор'!$G$17="ежемесячная",EOMONTH(F716,0)=F716),'депозитный калькулятор'!$G$18,IF(AND('депозитный калькулятор'!$G$17="ежегодная",DAY(F716)=31,MONTH(F716)=12),'депозитный калькулятор'!$G$18,IF(AND('депозитный калькулятор'!$G$17="ежемесячная в зависимости от остатка",EOMONTH(F716,0)=F716,P716&gt;0),'депозитный калькулятор'!$G$18,IF(AND('депозитный калькулятор'!$G$17="ежегодная в зависимости от остатка",DAY(F716)=31,MONTH(F716)=12,P716&gt;0),'депозитный калькулятор'!$G$18,0)))))))</f>
        <v xml:space="preserve"> </v>
      </c>
      <c r="K717" s="135" t="str">
        <f>IF($F717=" "," ",IFERROR(VLOOKUP($F717,'депозитный калькулятор'!$B$26:$F$70,2,0),0))</f>
        <v xml:space="preserve"> </v>
      </c>
      <c r="L717" s="135" t="str">
        <f>IF($F717=" "," ",IFERROR(VLOOKUP($F717,'депозитный калькулятор'!$B$26:$F$70,3,0),0))</f>
        <v xml:space="preserve"> </v>
      </c>
      <c r="M717" s="135" t="str">
        <f>IF($F717=" "," ",IFERROR(VLOOKUP($F717,'депозитный калькулятор'!$B$26:$F$70,4,0),0))</f>
        <v xml:space="preserve"> </v>
      </c>
      <c r="N717" s="135" t="str">
        <f>IF($F717=" "," ",IFERROR(VLOOKUP($F717,'депозитный калькулятор'!$B$26:$F$70,5,0),0))</f>
        <v xml:space="preserve"> </v>
      </c>
      <c r="O717" s="146" t="str">
        <f>IF(F717&gt;'депозитный калькулятор'!$D$8," ",IF(F717='депозитный калькулятор'!$D$8,IF(AND($F$24='депозитный калькулятор'!$D$8,'депозитный калькулятор'!$G$13="нет"),-G717-IF(I717=" ",0,I717)-IF(AND(OR('депозитный калькулятор'!$G$7="30/365",'депозитный калькулятор'!$G$7="30/360"),'депозитный калькулятор'!$G$10="в начале срока"),I716,0)-L717+M717-N717,-G717-IF(I717=" ",0,I717)-L717+M717-N717),IF('депозитный калькулятор'!$G$13="есть",M717-N717+IF('депозитный калькулятор'!$G$14="есть",0,-L717),-IF(I717=" ",0,I717)-IF(AND(OR('депозитный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срока"),I716,0)+M717-N717+IF('депозитный калькулятор'!$G$14="есть",0,-L717))))</f>
        <v xml:space="preserve"> </v>
      </c>
      <c r="P717" s="147" t="str">
        <f>IF(F717&gt;'депозитный калькулятор'!$D$8," ",IF(EOMONTH(F716,0)=F716,0,IF(G717&gt;='депозитный калькулятор'!$G$19,P716,P716+1)))</f>
        <v xml:space="preserve"> </v>
      </c>
      <c r="Q717" s="138" t="str">
        <f>IF(F717=" "," ",IF(AND(OR('депозитный калькулятор'!$G$7="30/365",'депозитный калькулятор'!$G$7="30/360"),AND(MONTH(F717)=2,EOMONTH(F717,0)=F717)),IF(DAY(F717)=28,3,2),1)*IF(G717&gt;='депозитный калькулятор'!$G$11,IF(AND('депозитный калькулятор'!$G$7="факт/факт",MOD(YEAR(F717),4)=0),G717*'депозитный калькулятор'!$D$11/366,G717*'депозитный калькулятор'!$G$8),0))</f>
        <v xml:space="preserve"> </v>
      </c>
      <c r="R717" s="158"/>
      <c r="S717" s="62" t="str">
        <f t="shared" ca="1" si="52"/>
        <v xml:space="preserve"> </v>
      </c>
      <c r="T717" s="149" t="str">
        <f ca="1">IF(S717=" "," ",IF('депозитный калькулятор'!$G$7="30/360",DAYS360(U716,IF(DAY(U717)=31,U717-1,U717))+IF(AND(MONTH(U717)=2,U717=EOMONTH(U717,0)),30-DAY(EOMONTH(U717,0)))+T716,VLOOKUP(S717,$C$22:$F$1023,2,0)))</f>
        <v xml:space="preserve"> </v>
      </c>
      <c r="U717" s="64" t="str">
        <f t="shared" ca="1" si="50"/>
        <v xml:space="preserve"> </v>
      </c>
      <c r="V717" s="150" t="str">
        <f t="shared" ca="1" si="53"/>
        <v xml:space="preserve"> </v>
      </c>
      <c r="W717" s="62" t="str">
        <f t="shared" ca="1" si="54"/>
        <v xml:space="preserve"> </v>
      </c>
      <c r="X717" s="141" t="str">
        <f ca="1">IF(S717=" "," ",IFERROR(VLOOKUP(U717,$F$23:$N$1023,7)+VLOOKUP(U717,$F$23:$N$1023,9)+IF(AND('депозитный калькулятор'!$G$13="нет",U717&lt;&gt;'депозитный калькулятор'!$D$8),VLOOKUP(U717,$F$23:$N$1023,4),0),0)+IF(U717='депозитный калькулятор'!$D$8,VLOOKUP(U717,$F$23:$N$1023,2)+VLOOKUP(U717,$F$23:$N$1023,4),0))</f>
        <v xml:space="preserve"> </v>
      </c>
      <c r="Y717" s="142" t="str">
        <f ca="1">IF(S717=" "," ",W717/(1+'депозитный калькулятор'!$K$8)^(T717/IF('депозитный калькулятор'!$G$7="30/360",360,365)))</f>
        <v xml:space="preserve"> </v>
      </c>
      <c r="Z717" s="142" t="str">
        <f ca="1">IF(S717=" "," ",X717/(1+'депозитный калькулятор'!$K$8)^(T717/IF('депозитный калькулятор'!$G$7="30/360",360,365)))</f>
        <v xml:space="preserve"> </v>
      </c>
      <c r="AA717" s="151"/>
      <c r="AB717" s="151"/>
      <c r="AC717" s="155"/>
      <c r="AD717" s="155"/>
    </row>
    <row r="718" spans="1:30" s="2" customFormat="1" ht="15.5" x14ac:dyDescent="0.35">
      <c r="A718" s="41" t="str">
        <f>IF(F718=" "," ",IF(OR('депозитный калькулятор'!$G$7="30/365",'депозитный калькулятор'!$G$7="30/360"),IF(AND(MONTH(F718)=2,DAY(F718)=DAY(EOMONTH(F718,0))),30-DAY(EOMONTH(F718,0)),IF(DAY(F718)=31,1," "))," "))</f>
        <v xml:space="preserve"> </v>
      </c>
      <c r="B718" s="130" t="str">
        <f t="shared" si="51"/>
        <v xml:space="preserve"> </v>
      </c>
      <c r="C718" s="130" t="str">
        <f>IF(OR(B718=0,B718=" ")," ",SUM($B$23:B718))</f>
        <v xml:space="preserve"> </v>
      </c>
      <c r="D718" s="62" t="str">
        <f>IF(D717=" "," ",IF(OR(F717='депозитный калькулятор'!$D$8,F717=" ")," ",D717+1))</f>
        <v xml:space="preserve"> </v>
      </c>
      <c r="E718" s="130" t="str">
        <f>IF(OR(F717='депозитный калькулятор'!$D$8,F717=" ")," ",IF(EOMONTH(F717,0)=F717,1,E717+1))</f>
        <v xml:space="preserve"> </v>
      </c>
      <c r="F718" s="64" t="str">
        <f>IF(F717=" "," ",IF(F717='депозитный калькулятор'!$D$8," ",F717+1))</f>
        <v xml:space="preserve"> </v>
      </c>
      <c r="G718" s="145" t="str">
        <f xml:space="preserve"> IF(F718&gt;'депозитный калькулятор'!$D$8," ",IF('депозитный калькулятор'!$G$13="есть",IF('депозитный калькулятор'!$G$14="есть",G717+IF(I717=" ",0,I717)-J718-K718+L718+M718-N718,G717+IF(I717=" ",0,I717)-J718-K718+M718-N718),IF('депозитный калькулятор'!$G$14="есть",G717-J718-K718+L718+M718-N718,G717-J718-K718+M718-N718)))</f>
        <v xml:space="preserve"> </v>
      </c>
      <c r="H718" s="133" t="str">
        <f>IF(F718&gt;'депозитный калькулятор'!$D$8," ",IF(AND(OR('депозитный калькулятор'!$G$7="30/365",'депозитный калькулятор'!$G$7="30/360"),AND(MONTH(F718)=2,EOMONTH(F718,0)=F718)),IF(DAY(F718)=28,3*G718*'депозитный калькулятор'!$G$8,2*G718*'депозитный калькулятор'!$G$8),IF(AND(OR('депозитный калькулятор'!$G$7="30/365",'депозитный калькулятор'!$G$7="30/360"),DAY(F718)=31)," ",IF(AND('депозитный калькулятор'!$G$7="факт/факт",MOD(YEAR(F718),4)=0),G718*'депозитный калькулятор'!$D$11/366,G718*'депозитный калькулятор'!$G$8))))</f>
        <v xml:space="preserve"> </v>
      </c>
      <c r="I718" s="134" t="str">
        <f ca="1">IF(F718=" "," ",IF('депозитный калькулятор'!$G$10="ежедневное",H718,IF(AND('депозитный калькулятор'!$G$10="еженедельное",WEEKDAY(F718,2)=7),SUM(OFFSET(H718,-6,0):H718),IF(AND('депозитный калькулятор'!$G$10="еженедельное",F718='депозитный калькулятор'!$D$8),SUM($H$23:H718)-SUM($I$23:I717),IF(AND('депозитный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недели",WEEKDAY(F718,2)=7),MIN(OFFSET(H718,-6,0):H718)*(COUNTIF(OFFSET(H718,-6,0):H718,"&gt;0")+SUMIF(OFFSET(A718,-WEEKDAY(F718,2),0):A718,"=2",OFFSET(A718,-WEEKDAY(F718,2),0):A718)),IF(AND('депозитный калькулятор'!$G$10="еженедельное, на минимальную сумму зафиксированную в течение недели",F718='депозитный калькулятор'!$D$8,WEEKDAY(F718,2)&lt;&gt;7),MIN(OFFSET(H718,-WEEKDAY(F718,2),0):H718)*(COUNTIF(OFFSET(H718,-WEEKDAY(F718,2)+1,0):H718,"&gt;0")+SUM(OFFSET(A718,-WEEKDAY(F718,2),0):A718)),IF(AND('депозитный калькулятор'!$G$10="ежемесячное (в конце месяца)",F718='депозитный калькулятор'!$D$8,EOMONTH(F718,0)&lt;&gt;F718),IF('депозитный калькулятор'!$F$1=1,$H$24,SUM($H$23:H718)-SUM($I$23:I717)),IF(AND('депозитный калькулятор'!$G$10="ежемесячное (в конце месяца)",EOMONTH(F718,0)=F718),SUM($H$23:H718)-SUM($I$23:I717),IF(AND('депозитный калькулятор'!$G$10="ежемесячное (по дням открытия вклада)",F718='депозитный калькулятор'!$D$8,DAY('депозитный калькулятор'!$D$7)&lt;&gt;DAY(F718)),IF('депозитный калькулятор'!$F$1=1,$H$24,SUM($H$23:H718)-SUM($I$23:I717)),IF(AND('депозитный калькулятор'!$G$10="ежемесячное (по дням открытия вклада)",DAY('депозитный калькулятор'!$D$7)=DAY(F718)),SUM($H$23:H718)-SUM($I$23:I717),IF(AND('депозитный калькулятор'!$G$10="ежемесячное, на минимальную сумму зафиксированную в течение месяца",F718='депозитный калькулятор'!$D$8,EOMONTH(F718,0)&lt;&gt;F718),IF('депозитный калькулятор'!$F$1=1,$H$24,IF(AND(OR('депозитный калькулятор'!$G$7="30/365",'депозитный калькулятор'!$G$7="30/360"),DAY(F718)=31),0,MIN(OFFSET(H718,-E718+1,0):H718)*(E718+SUMIF(OFFSET(A718,-E718+1,0):A718,"=2",OFFSET(A718,-E718+1,0):A718)))),IF(AND('депозитный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калькулятор'!$G$7="30/360"),DAY(EOMONTH(F718,0))=31),EOMONTH(F718,0)-1=F718,EOMONTH(F718,0)=F718)),IF(IF(AND(OR('депозитный калькулятор'!$G$7="30/365",'депозитный калькулятор'!$G$7="30/360"),DAY(EOMONTH($F$23,0))=31),F718=EOMONTH($F$23,0)-1,F718=EOMONTH($F$23,0)),MIN(OFFSET(H718,-(DAY(F718)-DAY($F$23)),0):H718)*E718,MIN(OFFSET(H718,-(DAY(F718)-1),0):H718)*IF(AND(OR('депозитный калькулятор'!$G$7="30/365",'депозитный калькулятор'!$G$7="30/360"),DAY(F718)&lt;30),30,DAY(F718))),IF(AND('депозитный калькулятор'!$G$10="ежемесячное, на средний остаток в течение месяца, при условии что остаток больше чем ограничение",F718='депозитный калькулятор'!$D$8,EOMONTH(F718,0)&lt;&gt;F718),IF('депозитный калькулятор'!$F$1=1,$H$24,SUM(OFFSET(Q718,-E718+1,0):Q718)),IF(AND('депозитный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калькулятор'!$G$7="30/360"),DAY(EOMONTH(F718,0))=31),EOMONTH(F718,0)-1=F718,EOMONTH(F718,0)=F718)),IF(IF(AND(OR('депозитный калькулятор'!$G$7="30/365",'депозитный калькулятор'!$G$7="30/360"),DAY(EOMONTH($F$24,0))=31),F718=EOMONTH($F$24,0)-1,F718=EOMONTH($F$24,0)),SUM(OFFSET(Q718,-E718+1,0):Q718),SUM(OFFSET(Q718,-E718+1,0):Q718)),IF('депозитный калькулятор'!$G$10="ежеквартальное",IF(F718&gt;'депозитный калькулятор'!$D$8," ",IF(AND(EOMONTH(F718,0)=F718,OR(MONTH(F718)=3,MONTH(F718)=6,MONTH(F718)=9,MONTH(F718)=12)),IF(EDATE(F718,-3)&lt;'депозитный калькулятор'!$D$7,SUM($H$23:H718),IF(MOD(YEAR(F718),4)=0,IF(AND(EOMONTH(F718,0)=F718,OR(MONTH(F718)=3,MONTH(F718)=6)),SUM(OFFSET(H718,-90,0):H718),IF(AND(EOMONTH(F718,0)=F718,OR(MONTH(F718)=9,MONTH(F718)=12)),SUM(OFFSET(H718,-91,0):H718))),IF(AND(EOMONTH(F718,0)=F718,MONTH(F718)=3),SUM(OFFSET(H718,-89,0):H718),IF(AND(EOMONTH(F718,0)=F718,MONTH(F718)=6),SUM(OFFSET(H718,-90,0):H718),IF(AND(EOMONTH(F718,0)=F718,OR(MONTH(F718)=9,MONTH(F718)=12)),SUM(OFFSET(H718,-91,0):H718)))))),IF(F718='депозитный калькулятор'!$D$8,SUM($H$23:H718)-SUM($I$23:I717),0))),IF('депозитный калькулятор'!$G$10="ежегодное",IF(F718&gt;'депозитный калькулятор'!$D$8," ",IF(F718='депозитный калькулятор'!$D$8,SUM($H$23:H718)-SUM($I$23:I717),IF(AND(EOMONTH(F718,0)=F718,MONTH(F718)=12),IF(MOD(YEAR(F717),4)=0,IF(F718-'депозитный калькулятор'!$D$7&lt;366,SUM($H$23:H718),SUM(OFFSET(H718,-365,0):H718)),IF(F718-'депозитный калькулятор'!$D$7&lt;365,SUM($H$23:H718),SUM(OFFSET(H718,-364,0):H718))),0))),IF(AND('депозитный калькулятор'!$G$10="в конце срока",'депозитный калькулятор'!$D$8=F718),SUM($H$23:H718),0))))))))))))))))))</f>
        <v xml:space="preserve"> </v>
      </c>
      <c r="J718" s="59" t="str">
        <f>IF(F718&gt;'депозитный калькулятор'!$D$8," ",IF('депозитный калькулятор'!$G$16="нет",0,IF(AND('депозитный калькулятор'!$G$17="разовая (в конце срока)",F718='депозитный калькулятор'!$D$8),'депозитный калькулятор'!$G$18,IF(AND('депозитный калькулятор'!$G$17="ежемесячная",EOMONTH(F717,0)=F717),'депозитный калькулятор'!$G$18,IF(AND('депозитный калькулятор'!$G$17="ежегодная",DAY(F717)=31,MONTH(F717)=12),'депозитный калькулятор'!$G$18,IF(AND('депозитный калькулятор'!$G$17="ежемесячная в зависимости от остатка",EOMONTH(F717,0)=F717,P717&gt;0),'депозитный калькулятор'!$G$18,IF(AND('депозитный калькулятор'!$G$17="ежегодная в зависимости от остатка",DAY(F717)=31,MONTH(F717)=12,P717&gt;0),'депозитный калькулятор'!$G$18,0)))))))</f>
        <v xml:space="preserve"> </v>
      </c>
      <c r="K718" s="135" t="str">
        <f>IF($F718=" "," ",IFERROR(VLOOKUP($F718,'депозитный калькулятор'!$B$26:$F$70,2,0),0))</f>
        <v xml:space="preserve"> </v>
      </c>
      <c r="L718" s="135" t="str">
        <f>IF($F718=" "," ",IFERROR(VLOOKUP($F718,'депозитный калькулятор'!$B$26:$F$70,3,0),0))</f>
        <v xml:space="preserve"> </v>
      </c>
      <c r="M718" s="135" t="str">
        <f>IF($F718=" "," ",IFERROR(VLOOKUP($F718,'депозитный калькулятор'!$B$26:$F$70,4,0),0))</f>
        <v xml:space="preserve"> </v>
      </c>
      <c r="N718" s="135" t="str">
        <f>IF($F718=" "," ",IFERROR(VLOOKUP($F718,'депозитный калькулятор'!$B$26:$F$70,5,0),0))</f>
        <v xml:space="preserve"> </v>
      </c>
      <c r="O718" s="146" t="str">
        <f>IF(F718&gt;'депозитный калькулятор'!$D$8," ",IF(F718='депозитный калькулятор'!$D$8,IF(AND($F$24='депозитный калькулятор'!$D$8,'депозитный калькулятор'!$G$13="нет"),-G718-IF(I718=" ",0,I718)-IF(AND(OR('депозитный калькулятор'!$G$7="30/365",'депозитный калькулятор'!$G$7="30/360"),'депозитный калькулятор'!$G$10="в начале срока"),I717,0)-L718+M718-N718,-G718-IF(I718=" ",0,I718)-L718+M718-N718),IF('депозитный калькулятор'!$G$13="есть",M718-N718+IF('депозитный калькулятор'!$G$14="есть",0,-L718),-IF(I718=" ",0,I718)-IF(AND(OR('депозитный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срока"),I717,0)+M718-N718+IF('депозитный калькулятор'!$G$14="есть",0,-L718))))</f>
        <v xml:space="preserve"> </v>
      </c>
      <c r="P718" s="147" t="str">
        <f>IF(F718&gt;'депозитный калькулятор'!$D$8," ",IF(EOMONTH(F717,0)=F717,0,IF(G718&gt;='депозитный калькулятор'!$G$19,P717,P717+1)))</f>
        <v xml:space="preserve"> </v>
      </c>
      <c r="Q718" s="138" t="str">
        <f>IF(F718=" "," ",IF(AND(OR('депозитный калькулятор'!$G$7="30/365",'депозитный калькулятор'!$G$7="30/360"),AND(MONTH(F718)=2,EOMONTH(F718,0)=F718)),IF(DAY(F718)=28,3,2),1)*IF(G718&gt;='депозитный калькулятор'!$G$11,IF(AND('депозитный калькулятор'!$G$7="факт/факт",MOD(YEAR(F718),4)=0),G718*'депозитный калькулятор'!$D$11/366,G718*'депозитный калькулятор'!$G$8),0))</f>
        <v xml:space="preserve"> </v>
      </c>
      <c r="R718" s="158"/>
      <c r="S718" s="62" t="str">
        <f t="shared" ca="1" si="52"/>
        <v xml:space="preserve"> </v>
      </c>
      <c r="T718" s="149" t="str">
        <f ca="1">IF(S718=" "," ",IF('депозитный калькулятор'!$G$7="30/360",DAYS360(U717,IF(DAY(U718)=31,U718-1,U718))+IF(AND(MONTH(U718)=2,U718=EOMONTH(U718,0)),30-DAY(EOMONTH(U718,0)))+T717,VLOOKUP(S718,$C$22:$F$1023,2,0)))</f>
        <v xml:space="preserve"> </v>
      </c>
      <c r="U718" s="64" t="str">
        <f t="shared" ca="1" si="50"/>
        <v xml:space="preserve"> </v>
      </c>
      <c r="V718" s="150" t="str">
        <f t="shared" ca="1" si="53"/>
        <v xml:space="preserve"> </v>
      </c>
      <c r="W718" s="62" t="str">
        <f t="shared" ca="1" si="54"/>
        <v xml:space="preserve"> </v>
      </c>
      <c r="X718" s="141" t="str">
        <f ca="1">IF(S718=" "," ",IFERROR(VLOOKUP(U718,$F$23:$N$1023,7)+VLOOKUP(U718,$F$23:$N$1023,9)+IF(AND('депозитный калькулятор'!$G$13="нет",U718&lt;&gt;'депозитный калькулятор'!$D$8),VLOOKUP(U718,$F$23:$N$1023,4),0),0)+IF(U718='депозитный калькулятор'!$D$8,VLOOKUP(U718,$F$23:$N$1023,2)+VLOOKUP(U718,$F$23:$N$1023,4),0))</f>
        <v xml:space="preserve"> </v>
      </c>
      <c r="Y718" s="142" t="str">
        <f ca="1">IF(S718=" "," ",W718/(1+'депозитный калькулятор'!$K$8)^(T718/IF('депозитный калькулятор'!$G$7="30/360",360,365)))</f>
        <v xml:space="preserve"> </v>
      </c>
      <c r="Z718" s="142" t="str">
        <f ca="1">IF(S718=" "," ",X718/(1+'депозитный калькулятор'!$K$8)^(T718/IF('депозитный калькулятор'!$G$7="30/360",360,365)))</f>
        <v xml:space="preserve"> </v>
      </c>
      <c r="AA718" s="151"/>
      <c r="AB718" s="151"/>
      <c r="AC718" s="155"/>
      <c r="AD718" s="155"/>
    </row>
    <row r="719" spans="1:30" s="2" customFormat="1" ht="15.5" x14ac:dyDescent="0.35">
      <c r="A719" s="41" t="str">
        <f>IF(F719=" "," ",IF(OR('депозитный калькулятор'!$G$7="30/365",'депозитный калькулятор'!$G$7="30/360"),IF(AND(MONTH(F719)=2,DAY(F719)=DAY(EOMONTH(F719,0))),30-DAY(EOMONTH(F719,0)),IF(DAY(F719)=31,1," "))," "))</f>
        <v xml:space="preserve"> </v>
      </c>
      <c r="B719" s="130" t="str">
        <f t="shared" si="51"/>
        <v xml:space="preserve"> </v>
      </c>
      <c r="C719" s="130" t="str">
        <f>IF(OR(B719=0,B719=" ")," ",SUM($B$23:B719))</f>
        <v xml:space="preserve"> </v>
      </c>
      <c r="D719" s="62" t="str">
        <f>IF(D718=" "," ",IF(OR(F718='депозитный калькулятор'!$D$8,F718=" ")," ",D718+1))</f>
        <v xml:space="preserve"> </v>
      </c>
      <c r="E719" s="130" t="str">
        <f>IF(OR(F718='депозитный калькулятор'!$D$8,F718=" ")," ",IF(EOMONTH(F718,0)=F718,1,E718+1))</f>
        <v xml:space="preserve"> </v>
      </c>
      <c r="F719" s="64" t="str">
        <f>IF(F718=" "," ",IF(F718='депозитный калькулятор'!$D$8," ",F718+1))</f>
        <v xml:space="preserve"> </v>
      </c>
      <c r="G719" s="145" t="str">
        <f xml:space="preserve"> IF(F719&gt;'депозитный калькулятор'!$D$8," ",IF('депозитный калькулятор'!$G$13="есть",IF('депозитный калькулятор'!$G$14="есть",G718+IF(I718=" ",0,I718)-J719-K719+L719+M719-N719,G718+IF(I718=" ",0,I718)-J719-K719+M719-N719),IF('депозитный калькулятор'!$G$14="есть",G718-J719-K719+L719+M719-N719,G718-J719-K719+M719-N719)))</f>
        <v xml:space="preserve"> </v>
      </c>
      <c r="H719" s="133" t="str">
        <f>IF(F719&gt;'депозитный калькулятор'!$D$8," ",IF(AND(OR('депозитный калькулятор'!$G$7="30/365",'депозитный калькулятор'!$G$7="30/360"),AND(MONTH(F719)=2,EOMONTH(F719,0)=F719)),IF(DAY(F719)=28,3*G719*'депозитный калькулятор'!$G$8,2*G719*'депозитный калькулятор'!$G$8),IF(AND(OR('депозитный калькулятор'!$G$7="30/365",'депозитный калькулятор'!$G$7="30/360"),DAY(F719)=31)," ",IF(AND('депозитный калькулятор'!$G$7="факт/факт",MOD(YEAR(F719),4)=0),G719*'депозитный калькулятор'!$D$11/366,G719*'депозитный калькулятор'!$G$8))))</f>
        <v xml:space="preserve"> </v>
      </c>
      <c r="I719" s="134" t="str">
        <f ca="1">IF(F719=" "," ",IF('депозитный калькулятор'!$G$10="ежедневное",H719,IF(AND('депозитный калькулятор'!$G$10="еженедельное",WEEKDAY(F719,2)=7),SUM(OFFSET(H719,-6,0):H719),IF(AND('депозитный калькулятор'!$G$10="еженедельное",F719='депозитный калькулятор'!$D$8),SUM($H$23:H719)-SUM($I$23:I718),IF(AND('депозитный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недели",WEEKDAY(F719,2)=7),MIN(OFFSET(H719,-6,0):H719)*(COUNTIF(OFFSET(H719,-6,0):H719,"&gt;0")+SUMIF(OFFSET(A719,-WEEKDAY(F719,2),0):A719,"=2",OFFSET(A719,-WEEKDAY(F719,2),0):A719)),IF(AND('депозитный калькулятор'!$G$10="еженедельное, на минимальную сумму зафиксированную в течение недели",F719='депозитный калькулятор'!$D$8,WEEKDAY(F719,2)&lt;&gt;7),MIN(OFFSET(H719,-WEEKDAY(F719,2),0):H719)*(COUNTIF(OFFSET(H719,-WEEKDAY(F719,2)+1,0):H719,"&gt;0")+SUM(OFFSET(A719,-WEEKDAY(F719,2),0):A719)),IF(AND('депозитный калькулятор'!$G$10="ежемесячное (в конце месяца)",F719='депозитный калькулятор'!$D$8,EOMONTH(F719,0)&lt;&gt;F719),IF('депозитный калькулятор'!$F$1=1,$H$24,SUM($H$23:H719)-SUM($I$23:I718)),IF(AND('депозитный калькулятор'!$G$10="ежемесячное (в конце месяца)",EOMONTH(F719,0)=F719),SUM($H$23:H719)-SUM($I$23:I718),IF(AND('депозитный калькулятор'!$G$10="ежемесячное (по дням открытия вклада)",F719='депозитный калькулятор'!$D$8,DAY('депозитный калькулятор'!$D$7)&lt;&gt;DAY(F719)),IF('депозитный калькулятор'!$F$1=1,$H$24,SUM($H$23:H719)-SUM($I$23:I718)),IF(AND('депозитный калькулятор'!$G$10="ежемесячное (по дням открытия вклада)",DAY('депозитный калькулятор'!$D$7)=DAY(F719)),SUM($H$23:H719)-SUM($I$23:I718),IF(AND('депозитный калькулятор'!$G$10="ежемесячное, на минимальную сумму зафиксированную в течение месяца",F719='депозитный калькулятор'!$D$8,EOMONTH(F719,0)&lt;&gt;F719),IF('депозитный калькулятор'!$F$1=1,$H$24,IF(AND(OR('депозитный калькулятор'!$G$7="30/365",'депозитный калькулятор'!$G$7="30/360"),DAY(F719)=31),0,MIN(OFFSET(H719,-E719+1,0):H719)*(E719+SUMIF(OFFSET(A719,-E719+1,0):A719,"=2",OFFSET(A719,-E719+1,0):A719)))),IF(AND('депозитный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калькулятор'!$G$7="30/360"),DAY(EOMONTH(F719,0))=31),EOMONTH(F719,0)-1=F719,EOMONTH(F719,0)=F719)),IF(IF(AND(OR('депозитный калькулятор'!$G$7="30/365",'депозитный калькулятор'!$G$7="30/360"),DAY(EOMONTH($F$23,0))=31),F719=EOMONTH($F$23,0)-1,F719=EOMONTH($F$23,0)),MIN(OFFSET(H719,-(DAY(F719)-DAY($F$23)),0):H719)*E719,MIN(OFFSET(H719,-(DAY(F719)-1),0):H719)*IF(AND(OR('депозитный калькулятор'!$G$7="30/365",'депозитный калькулятор'!$G$7="30/360"),DAY(F719)&lt;30),30,DAY(F719))),IF(AND('депозитный калькулятор'!$G$10="ежемесячное, на средний остаток в течение месяца, при условии что остаток больше чем ограничение",F719='депозитный калькулятор'!$D$8,EOMONTH(F719,0)&lt;&gt;F719),IF('депозитный калькулятор'!$F$1=1,$H$24,SUM(OFFSET(Q719,-E719+1,0):Q719)),IF(AND('депозитный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калькулятор'!$G$7="30/360"),DAY(EOMONTH(F719,0))=31),EOMONTH(F719,0)-1=F719,EOMONTH(F719,0)=F719)),IF(IF(AND(OR('депозитный калькулятор'!$G$7="30/365",'депозитный калькулятор'!$G$7="30/360"),DAY(EOMONTH($F$24,0))=31),F719=EOMONTH($F$24,0)-1,F719=EOMONTH($F$24,0)),SUM(OFFSET(Q719,-E719+1,0):Q719),SUM(OFFSET(Q719,-E719+1,0):Q719)),IF('депозитный калькулятор'!$G$10="ежеквартальное",IF(F719&gt;'депозитный калькулятор'!$D$8," ",IF(AND(EOMONTH(F719,0)=F719,OR(MONTH(F719)=3,MONTH(F719)=6,MONTH(F719)=9,MONTH(F719)=12)),IF(EDATE(F719,-3)&lt;'депозитный калькулятор'!$D$7,SUM($H$23:H719),IF(MOD(YEAR(F719),4)=0,IF(AND(EOMONTH(F719,0)=F719,OR(MONTH(F719)=3,MONTH(F719)=6)),SUM(OFFSET(H719,-90,0):H719),IF(AND(EOMONTH(F719,0)=F719,OR(MONTH(F719)=9,MONTH(F719)=12)),SUM(OFFSET(H719,-91,0):H719))),IF(AND(EOMONTH(F719,0)=F719,MONTH(F719)=3),SUM(OFFSET(H719,-89,0):H719),IF(AND(EOMONTH(F719,0)=F719,MONTH(F719)=6),SUM(OFFSET(H719,-90,0):H719),IF(AND(EOMONTH(F719,0)=F719,OR(MONTH(F719)=9,MONTH(F719)=12)),SUM(OFFSET(H719,-91,0):H719)))))),IF(F719='депозитный калькулятор'!$D$8,SUM($H$23:H719)-SUM($I$23:I718),0))),IF('депозитный калькулятор'!$G$10="ежегодное",IF(F719&gt;'депозитный калькулятор'!$D$8," ",IF(F719='депозитный калькулятор'!$D$8,SUM($H$23:H719)-SUM($I$23:I718),IF(AND(EOMONTH(F719,0)=F719,MONTH(F719)=12),IF(MOD(YEAR(F718),4)=0,IF(F719-'депозитный калькулятор'!$D$7&lt;366,SUM($H$23:H719),SUM(OFFSET(H719,-365,0):H719)),IF(F719-'депозитный калькулятор'!$D$7&lt;365,SUM($H$23:H719),SUM(OFFSET(H719,-364,0):H719))),0))),IF(AND('депозитный калькулятор'!$G$10="в конце срока",'депозитный калькулятор'!$D$8=F719),SUM($H$23:H719),0))))))))))))))))))</f>
        <v xml:space="preserve"> </v>
      </c>
      <c r="J719" s="59" t="str">
        <f>IF(F719&gt;'депозитный калькулятор'!$D$8," ",IF('депозитный калькулятор'!$G$16="нет",0,IF(AND('депозитный калькулятор'!$G$17="разовая (в конце срока)",F719='депозитный калькулятор'!$D$8),'депозитный калькулятор'!$G$18,IF(AND('депозитный калькулятор'!$G$17="ежемесячная",EOMONTH(F718,0)=F718),'депозитный калькулятор'!$G$18,IF(AND('депозитный калькулятор'!$G$17="ежегодная",DAY(F718)=31,MONTH(F718)=12),'депозитный калькулятор'!$G$18,IF(AND('депозитный калькулятор'!$G$17="ежемесячная в зависимости от остатка",EOMONTH(F718,0)=F718,P718&gt;0),'депозитный калькулятор'!$G$18,IF(AND('депозитный калькулятор'!$G$17="ежегодная в зависимости от остатка",DAY(F718)=31,MONTH(F718)=12,P718&gt;0),'депозитный калькулятор'!$G$18,0)))))))</f>
        <v xml:space="preserve"> </v>
      </c>
      <c r="K719" s="135" t="str">
        <f>IF($F719=" "," ",IFERROR(VLOOKUP($F719,'депозитный калькулятор'!$B$26:$F$70,2,0),0))</f>
        <v xml:space="preserve"> </v>
      </c>
      <c r="L719" s="135" t="str">
        <f>IF($F719=" "," ",IFERROR(VLOOKUP($F719,'депозитный калькулятор'!$B$26:$F$70,3,0),0))</f>
        <v xml:space="preserve"> </v>
      </c>
      <c r="M719" s="135" t="str">
        <f>IF($F719=" "," ",IFERROR(VLOOKUP($F719,'депозитный калькулятор'!$B$26:$F$70,4,0),0))</f>
        <v xml:space="preserve"> </v>
      </c>
      <c r="N719" s="135" t="str">
        <f>IF($F719=" "," ",IFERROR(VLOOKUP($F719,'депозитный калькулятор'!$B$26:$F$70,5,0),0))</f>
        <v xml:space="preserve"> </v>
      </c>
      <c r="O719" s="146" t="str">
        <f>IF(F719&gt;'депозитный калькулятор'!$D$8," ",IF(F719='депозитный калькулятор'!$D$8,IF(AND($F$24='депозитный калькулятор'!$D$8,'депозитный калькулятор'!$G$13="нет"),-G719-IF(I719=" ",0,I719)-IF(AND(OR('депозитный калькулятор'!$G$7="30/365",'депозитный калькулятор'!$G$7="30/360"),'депозитный калькулятор'!$G$10="в начале срока"),I718,0)-L719+M719-N719,-G719-IF(I719=" ",0,I719)-L719+M719-N719),IF('депозитный калькулятор'!$G$13="есть",M719-N719+IF('депозитный калькулятор'!$G$14="есть",0,-L719),-IF(I719=" ",0,I719)-IF(AND(OR('депозитный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срока"),I718,0)+M719-N719+IF('депозитный калькулятор'!$G$14="есть",0,-L719))))</f>
        <v xml:space="preserve"> </v>
      </c>
      <c r="P719" s="147" t="str">
        <f>IF(F719&gt;'депозитный калькулятор'!$D$8," ",IF(EOMONTH(F718,0)=F718,0,IF(G719&gt;='депозитный калькулятор'!$G$19,P718,P718+1)))</f>
        <v xml:space="preserve"> </v>
      </c>
      <c r="Q719" s="138" t="str">
        <f>IF(F719=" "," ",IF(AND(OR('депозитный калькулятор'!$G$7="30/365",'депозитный калькулятор'!$G$7="30/360"),AND(MONTH(F719)=2,EOMONTH(F719,0)=F719)),IF(DAY(F719)=28,3,2),1)*IF(G719&gt;='депозитный калькулятор'!$G$11,IF(AND('депозитный калькулятор'!$G$7="факт/факт",MOD(YEAR(F719),4)=0),G719*'депозитный калькулятор'!$D$11/366,G719*'депозитный калькулятор'!$G$8),0))</f>
        <v xml:space="preserve"> </v>
      </c>
      <c r="R719" s="158"/>
      <c r="S719" s="62" t="str">
        <f t="shared" ca="1" si="52"/>
        <v xml:space="preserve"> </v>
      </c>
      <c r="T719" s="149" t="str">
        <f ca="1">IF(S719=" "," ",IF('депозитный калькулятор'!$G$7="30/360",DAYS360(U718,IF(DAY(U719)=31,U719-1,U719))+IF(AND(MONTH(U719)=2,U719=EOMONTH(U719,0)),30-DAY(EOMONTH(U719,0)))+T718,VLOOKUP(S719,$C$22:$F$1023,2,0)))</f>
        <v xml:space="preserve"> </v>
      </c>
      <c r="U719" s="64" t="str">
        <f t="shared" ca="1" si="50"/>
        <v xml:space="preserve"> </v>
      </c>
      <c r="V719" s="150" t="str">
        <f t="shared" ca="1" si="53"/>
        <v xml:space="preserve"> </v>
      </c>
      <c r="W719" s="62" t="str">
        <f t="shared" ca="1" si="54"/>
        <v xml:space="preserve"> </v>
      </c>
      <c r="X719" s="141" t="str">
        <f ca="1">IF(S719=" "," ",IFERROR(VLOOKUP(U719,$F$23:$N$1023,7)+VLOOKUP(U719,$F$23:$N$1023,9)+IF(AND('депозитный калькулятор'!$G$13="нет",U719&lt;&gt;'депозитный калькулятор'!$D$8),VLOOKUP(U719,$F$23:$N$1023,4),0),0)+IF(U719='депозитный калькулятор'!$D$8,VLOOKUP(U719,$F$23:$N$1023,2)+VLOOKUP(U719,$F$23:$N$1023,4),0))</f>
        <v xml:space="preserve"> </v>
      </c>
      <c r="Y719" s="142" t="str">
        <f ca="1">IF(S719=" "," ",W719/(1+'депозитный калькулятор'!$K$8)^(T719/IF('депозитный калькулятор'!$G$7="30/360",360,365)))</f>
        <v xml:space="preserve"> </v>
      </c>
      <c r="Z719" s="142" t="str">
        <f ca="1">IF(S719=" "," ",X719/(1+'депозитный калькулятор'!$K$8)^(T719/IF('депозитный калькулятор'!$G$7="30/360",360,365)))</f>
        <v xml:space="preserve"> </v>
      </c>
      <c r="AA719" s="151"/>
      <c r="AB719" s="151"/>
      <c r="AC719" s="155"/>
      <c r="AD719" s="155"/>
    </row>
    <row r="720" spans="1:30" s="2" customFormat="1" ht="15.5" x14ac:dyDescent="0.35">
      <c r="A720" s="41" t="str">
        <f>IF(F720=" "," ",IF(OR('депозитный калькулятор'!$G$7="30/365",'депозитный калькулятор'!$G$7="30/360"),IF(AND(MONTH(F720)=2,DAY(F720)=DAY(EOMONTH(F720,0))),30-DAY(EOMONTH(F720,0)),IF(DAY(F720)=31,1," "))," "))</f>
        <v xml:space="preserve"> </v>
      </c>
      <c r="B720" s="130" t="str">
        <f t="shared" si="51"/>
        <v xml:space="preserve"> </v>
      </c>
      <c r="C720" s="130" t="str">
        <f>IF(OR(B720=0,B720=" ")," ",SUM($B$23:B720))</f>
        <v xml:space="preserve"> </v>
      </c>
      <c r="D720" s="62" t="str">
        <f>IF(D719=" "," ",IF(OR(F719='депозитный калькулятор'!$D$8,F719=" ")," ",D719+1))</f>
        <v xml:space="preserve"> </v>
      </c>
      <c r="E720" s="130" t="str">
        <f>IF(OR(F719='депозитный калькулятор'!$D$8,F719=" ")," ",IF(EOMONTH(F719,0)=F719,1,E719+1))</f>
        <v xml:space="preserve"> </v>
      </c>
      <c r="F720" s="64" t="str">
        <f>IF(F719=" "," ",IF(F719='депозитный калькулятор'!$D$8," ",F719+1))</f>
        <v xml:space="preserve"> </v>
      </c>
      <c r="G720" s="145" t="str">
        <f xml:space="preserve"> IF(F720&gt;'депозитный калькулятор'!$D$8," ",IF('депозитный калькулятор'!$G$13="есть",IF('депозитный калькулятор'!$G$14="есть",G719+IF(I719=" ",0,I719)-J720-K720+L720+M720-N720,G719+IF(I719=" ",0,I719)-J720-K720+M720-N720),IF('депозитный калькулятор'!$G$14="есть",G719-J720-K720+L720+M720-N720,G719-J720-K720+M720-N720)))</f>
        <v xml:space="preserve"> </v>
      </c>
      <c r="H720" s="133" t="str">
        <f>IF(F720&gt;'депозитный калькулятор'!$D$8," ",IF(AND(OR('депозитный калькулятор'!$G$7="30/365",'депозитный калькулятор'!$G$7="30/360"),AND(MONTH(F720)=2,EOMONTH(F720,0)=F720)),IF(DAY(F720)=28,3*G720*'депозитный калькулятор'!$G$8,2*G720*'депозитный калькулятор'!$G$8),IF(AND(OR('депозитный калькулятор'!$G$7="30/365",'депозитный калькулятор'!$G$7="30/360"),DAY(F720)=31)," ",IF(AND('депозитный калькулятор'!$G$7="факт/факт",MOD(YEAR(F720),4)=0),G720*'депозитный калькулятор'!$D$11/366,G720*'депозитный калькулятор'!$G$8))))</f>
        <v xml:space="preserve"> </v>
      </c>
      <c r="I720" s="134" t="str">
        <f ca="1">IF(F720=" "," ",IF('депозитный калькулятор'!$G$10="ежедневное",H720,IF(AND('депозитный калькулятор'!$G$10="еженедельное",WEEKDAY(F720,2)=7),SUM(OFFSET(H720,-6,0):H720),IF(AND('депозитный калькулятор'!$G$10="еженедельное",F720='депозитный калькулятор'!$D$8),SUM($H$23:H720)-SUM($I$23:I719),IF(AND('депозитный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недели",WEEKDAY(F720,2)=7),MIN(OFFSET(H720,-6,0):H720)*(COUNTIF(OFFSET(H720,-6,0):H720,"&gt;0")+SUMIF(OFFSET(A720,-WEEKDAY(F720,2),0):A720,"=2",OFFSET(A720,-WEEKDAY(F720,2),0):A720)),IF(AND('депозитный калькулятор'!$G$10="еженедельное, на минимальную сумму зафиксированную в течение недели",F720='депозитный калькулятор'!$D$8,WEEKDAY(F720,2)&lt;&gt;7),MIN(OFFSET(H720,-WEEKDAY(F720,2),0):H720)*(COUNTIF(OFFSET(H720,-WEEKDAY(F720,2)+1,0):H720,"&gt;0")+SUM(OFFSET(A720,-WEEKDAY(F720,2),0):A720)),IF(AND('депозитный калькулятор'!$G$10="ежемесячное (в конце месяца)",F720='депозитный калькулятор'!$D$8,EOMONTH(F720,0)&lt;&gt;F720),IF('депозитный калькулятор'!$F$1=1,$H$24,SUM($H$23:H720)-SUM($I$23:I719)),IF(AND('депозитный калькулятор'!$G$10="ежемесячное (в конце месяца)",EOMONTH(F720,0)=F720),SUM($H$23:H720)-SUM($I$23:I719),IF(AND('депозитный калькулятор'!$G$10="ежемесячное (по дням открытия вклада)",F720='депозитный калькулятор'!$D$8,DAY('депозитный калькулятор'!$D$7)&lt;&gt;DAY(F720)),IF('депозитный калькулятор'!$F$1=1,$H$24,SUM($H$23:H720)-SUM($I$23:I719)),IF(AND('депозитный калькулятор'!$G$10="ежемесячное (по дням открытия вклада)",DAY('депозитный калькулятор'!$D$7)=DAY(F720)),SUM($H$23:H720)-SUM($I$23:I719),IF(AND('депозитный калькулятор'!$G$10="ежемесячное, на минимальную сумму зафиксированную в течение месяца",F720='депозитный калькулятор'!$D$8,EOMONTH(F720,0)&lt;&gt;F720),IF('депозитный калькулятор'!$F$1=1,$H$24,IF(AND(OR('депозитный калькулятор'!$G$7="30/365",'депозитный калькулятор'!$G$7="30/360"),DAY(F720)=31),0,MIN(OFFSET(H720,-E720+1,0):H720)*(E720+SUMIF(OFFSET(A720,-E720+1,0):A720,"=2",OFFSET(A720,-E720+1,0):A720)))),IF(AND('депозитный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калькулятор'!$G$7="30/360"),DAY(EOMONTH(F720,0))=31),EOMONTH(F720,0)-1=F720,EOMONTH(F720,0)=F720)),IF(IF(AND(OR('депозитный калькулятор'!$G$7="30/365",'депозитный калькулятор'!$G$7="30/360"),DAY(EOMONTH($F$23,0))=31),F720=EOMONTH($F$23,0)-1,F720=EOMONTH($F$23,0)),MIN(OFFSET(H720,-(DAY(F720)-DAY($F$23)),0):H720)*E720,MIN(OFFSET(H720,-(DAY(F720)-1),0):H720)*IF(AND(OR('депозитный калькулятор'!$G$7="30/365",'депозитный калькулятор'!$G$7="30/360"),DAY(F720)&lt;30),30,DAY(F720))),IF(AND('депозитный калькулятор'!$G$10="ежемесячное, на средний остаток в течение месяца, при условии что остаток больше чем ограничение",F720='депозитный калькулятор'!$D$8,EOMONTH(F720,0)&lt;&gt;F720),IF('депозитный калькулятор'!$F$1=1,$H$24,SUM(OFFSET(Q720,-E720+1,0):Q720)),IF(AND('депозитный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калькулятор'!$G$7="30/360"),DAY(EOMONTH(F720,0))=31),EOMONTH(F720,0)-1=F720,EOMONTH(F720,0)=F720)),IF(IF(AND(OR('депозитный калькулятор'!$G$7="30/365",'депозитный калькулятор'!$G$7="30/360"),DAY(EOMONTH($F$24,0))=31),F720=EOMONTH($F$24,0)-1,F720=EOMONTH($F$24,0)),SUM(OFFSET(Q720,-E720+1,0):Q720),SUM(OFFSET(Q720,-E720+1,0):Q720)),IF('депозитный калькулятор'!$G$10="ежеквартальное",IF(F720&gt;'депозитный калькулятор'!$D$8," ",IF(AND(EOMONTH(F720,0)=F720,OR(MONTH(F720)=3,MONTH(F720)=6,MONTH(F720)=9,MONTH(F720)=12)),IF(EDATE(F720,-3)&lt;'депозитный калькулятор'!$D$7,SUM($H$23:H720),IF(MOD(YEAR(F720),4)=0,IF(AND(EOMONTH(F720,0)=F720,OR(MONTH(F720)=3,MONTH(F720)=6)),SUM(OFFSET(H720,-90,0):H720),IF(AND(EOMONTH(F720,0)=F720,OR(MONTH(F720)=9,MONTH(F720)=12)),SUM(OFFSET(H720,-91,0):H720))),IF(AND(EOMONTH(F720,0)=F720,MONTH(F720)=3),SUM(OFFSET(H720,-89,0):H720),IF(AND(EOMONTH(F720,0)=F720,MONTH(F720)=6),SUM(OFFSET(H720,-90,0):H720),IF(AND(EOMONTH(F720,0)=F720,OR(MONTH(F720)=9,MONTH(F720)=12)),SUM(OFFSET(H720,-91,0):H720)))))),IF(F720='депозитный калькулятор'!$D$8,SUM($H$23:H720)-SUM($I$23:I719),0))),IF('депозитный калькулятор'!$G$10="ежегодное",IF(F720&gt;'депозитный калькулятор'!$D$8," ",IF(F720='депозитный калькулятор'!$D$8,SUM($H$23:H720)-SUM($I$23:I719),IF(AND(EOMONTH(F720,0)=F720,MONTH(F720)=12),IF(MOD(YEAR(F719),4)=0,IF(F720-'депозитный калькулятор'!$D$7&lt;366,SUM($H$23:H720),SUM(OFFSET(H720,-365,0):H720)),IF(F720-'депозитный калькулятор'!$D$7&lt;365,SUM($H$23:H720),SUM(OFFSET(H720,-364,0):H720))),0))),IF(AND('депозитный калькулятор'!$G$10="в конце срока",'депозитный калькулятор'!$D$8=F720),SUM($H$23:H720),0))))))))))))))))))</f>
        <v xml:space="preserve"> </v>
      </c>
      <c r="J720" s="59" t="str">
        <f>IF(F720&gt;'депозитный калькулятор'!$D$8," ",IF('депозитный калькулятор'!$G$16="нет",0,IF(AND('депозитный калькулятор'!$G$17="разовая (в конце срока)",F720='депозитный калькулятор'!$D$8),'депозитный калькулятор'!$G$18,IF(AND('депозитный калькулятор'!$G$17="ежемесячная",EOMONTH(F719,0)=F719),'депозитный калькулятор'!$G$18,IF(AND('депозитный калькулятор'!$G$17="ежегодная",DAY(F719)=31,MONTH(F719)=12),'депозитный калькулятор'!$G$18,IF(AND('депозитный калькулятор'!$G$17="ежемесячная в зависимости от остатка",EOMONTH(F719,0)=F719,P719&gt;0),'депозитный калькулятор'!$G$18,IF(AND('депозитный калькулятор'!$G$17="ежегодная в зависимости от остатка",DAY(F719)=31,MONTH(F719)=12,P719&gt;0),'депозитный калькулятор'!$G$18,0)))))))</f>
        <v xml:space="preserve"> </v>
      </c>
      <c r="K720" s="135" t="str">
        <f>IF($F720=" "," ",IFERROR(VLOOKUP($F720,'депозитный калькулятор'!$B$26:$F$70,2,0),0))</f>
        <v xml:space="preserve"> </v>
      </c>
      <c r="L720" s="135" t="str">
        <f>IF($F720=" "," ",IFERROR(VLOOKUP($F720,'депозитный калькулятор'!$B$26:$F$70,3,0),0))</f>
        <v xml:space="preserve"> </v>
      </c>
      <c r="M720" s="135" t="str">
        <f>IF($F720=" "," ",IFERROR(VLOOKUP($F720,'депозитный калькулятор'!$B$26:$F$70,4,0),0))</f>
        <v xml:space="preserve"> </v>
      </c>
      <c r="N720" s="135" t="str">
        <f>IF($F720=" "," ",IFERROR(VLOOKUP($F720,'депозитный калькулятор'!$B$26:$F$70,5,0),0))</f>
        <v xml:space="preserve"> </v>
      </c>
      <c r="O720" s="146" t="str">
        <f>IF(F720&gt;'депозитный калькулятор'!$D$8," ",IF(F720='депозитный калькулятор'!$D$8,IF(AND($F$24='депозитный калькулятор'!$D$8,'депозитный калькулятор'!$G$13="нет"),-G720-IF(I720=" ",0,I720)-IF(AND(OR('депозитный калькулятор'!$G$7="30/365",'депозитный калькулятор'!$G$7="30/360"),'депозитный калькулятор'!$G$10="в начале срока"),I719,0)-L720+M720-N720,-G720-IF(I720=" ",0,I720)-L720+M720-N720),IF('депозитный калькулятор'!$G$13="есть",M720-N720+IF('депозитный калькулятор'!$G$14="есть",0,-L720),-IF(I720=" ",0,I720)-IF(AND(OR('депозитный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срока"),I719,0)+M720-N720+IF('депозитный калькулятор'!$G$14="есть",0,-L720))))</f>
        <v xml:space="preserve"> </v>
      </c>
      <c r="P720" s="147" t="str">
        <f>IF(F720&gt;'депозитный калькулятор'!$D$8," ",IF(EOMONTH(F719,0)=F719,0,IF(G720&gt;='депозитный калькулятор'!$G$19,P719,P719+1)))</f>
        <v xml:space="preserve"> </v>
      </c>
      <c r="Q720" s="138" t="str">
        <f>IF(F720=" "," ",IF(AND(OR('депозитный калькулятор'!$G$7="30/365",'депозитный калькулятор'!$G$7="30/360"),AND(MONTH(F720)=2,EOMONTH(F720,0)=F720)),IF(DAY(F720)=28,3,2),1)*IF(G720&gt;='депозитный калькулятор'!$G$11,IF(AND('депозитный калькулятор'!$G$7="факт/факт",MOD(YEAR(F720),4)=0),G720*'депозитный калькулятор'!$D$11/366,G720*'депозитный калькулятор'!$G$8),0))</f>
        <v xml:space="preserve"> </v>
      </c>
      <c r="R720" s="158"/>
      <c r="S720" s="62" t="str">
        <f t="shared" ca="1" si="52"/>
        <v xml:space="preserve"> </v>
      </c>
      <c r="T720" s="149" t="str">
        <f ca="1">IF(S720=" "," ",IF('депозитный калькулятор'!$G$7="30/360",DAYS360(U719,IF(DAY(U720)=31,U720-1,U720))+IF(AND(MONTH(U720)=2,U720=EOMONTH(U720,0)),30-DAY(EOMONTH(U720,0)))+T719,VLOOKUP(S720,$C$22:$F$1023,2,0)))</f>
        <v xml:space="preserve"> </v>
      </c>
      <c r="U720" s="64" t="str">
        <f t="shared" ca="1" si="50"/>
        <v xml:space="preserve"> </v>
      </c>
      <c r="V720" s="150" t="str">
        <f t="shared" ca="1" si="53"/>
        <v xml:space="preserve"> </v>
      </c>
      <c r="W720" s="62" t="str">
        <f t="shared" ca="1" si="54"/>
        <v xml:space="preserve"> </v>
      </c>
      <c r="X720" s="141" t="str">
        <f ca="1">IF(S720=" "," ",IFERROR(VLOOKUP(U720,$F$23:$N$1023,7)+VLOOKUP(U720,$F$23:$N$1023,9)+IF(AND('депозитный калькулятор'!$G$13="нет",U720&lt;&gt;'депозитный калькулятор'!$D$8),VLOOKUP(U720,$F$23:$N$1023,4),0),0)+IF(U720='депозитный калькулятор'!$D$8,VLOOKUP(U720,$F$23:$N$1023,2)+VLOOKUP(U720,$F$23:$N$1023,4),0))</f>
        <v xml:space="preserve"> </v>
      </c>
      <c r="Y720" s="142" t="str">
        <f ca="1">IF(S720=" "," ",W720/(1+'депозитный калькулятор'!$K$8)^(T720/IF('депозитный калькулятор'!$G$7="30/360",360,365)))</f>
        <v xml:space="preserve"> </v>
      </c>
      <c r="Z720" s="142" t="str">
        <f ca="1">IF(S720=" "," ",X720/(1+'депозитный калькулятор'!$K$8)^(T720/IF('депозитный калькулятор'!$G$7="30/360",360,365)))</f>
        <v xml:space="preserve"> </v>
      </c>
      <c r="AA720" s="151"/>
      <c r="AB720" s="151"/>
      <c r="AC720" s="155"/>
      <c r="AD720" s="155"/>
    </row>
    <row r="721" spans="1:30" s="2" customFormat="1" ht="15.5" x14ac:dyDescent="0.35">
      <c r="A721" s="41" t="str">
        <f>IF(F721=" "," ",IF(OR('депозитный калькулятор'!$G$7="30/365",'депозитный калькулятор'!$G$7="30/360"),IF(AND(MONTH(F721)=2,DAY(F721)=DAY(EOMONTH(F721,0))),30-DAY(EOMONTH(F721,0)),IF(DAY(F721)=31,1," "))," "))</f>
        <v xml:space="preserve"> </v>
      </c>
      <c r="B721" s="130" t="str">
        <f t="shared" si="51"/>
        <v xml:space="preserve"> </v>
      </c>
      <c r="C721" s="130" t="str">
        <f>IF(OR(B721=0,B721=" ")," ",SUM($B$23:B721))</f>
        <v xml:space="preserve"> </v>
      </c>
      <c r="D721" s="62" t="str">
        <f>IF(D720=" "," ",IF(OR(F720='депозитный калькулятор'!$D$8,F720=" ")," ",D720+1))</f>
        <v xml:space="preserve"> </v>
      </c>
      <c r="E721" s="130" t="str">
        <f>IF(OR(F720='депозитный калькулятор'!$D$8,F720=" ")," ",IF(EOMONTH(F720,0)=F720,1,E720+1))</f>
        <v xml:space="preserve"> </v>
      </c>
      <c r="F721" s="64" t="str">
        <f>IF(F720=" "," ",IF(F720='депозитный калькулятор'!$D$8," ",F720+1))</f>
        <v xml:space="preserve"> </v>
      </c>
      <c r="G721" s="145" t="str">
        <f xml:space="preserve"> IF(F721&gt;'депозитный калькулятор'!$D$8," ",IF('депозитный калькулятор'!$G$13="есть",IF('депозитный калькулятор'!$G$14="есть",G720+IF(I720=" ",0,I720)-J721-K721+L721+M721-N721,G720+IF(I720=" ",0,I720)-J721-K721+M721-N721),IF('депозитный калькулятор'!$G$14="есть",G720-J721-K721+L721+M721-N721,G720-J721-K721+M721-N721)))</f>
        <v xml:space="preserve"> </v>
      </c>
      <c r="H721" s="133" t="str">
        <f>IF(F721&gt;'депозитный калькулятор'!$D$8," ",IF(AND(OR('депозитный калькулятор'!$G$7="30/365",'депозитный калькулятор'!$G$7="30/360"),AND(MONTH(F721)=2,EOMONTH(F721,0)=F721)),IF(DAY(F721)=28,3*G721*'депозитный калькулятор'!$G$8,2*G721*'депозитный калькулятор'!$G$8),IF(AND(OR('депозитный калькулятор'!$G$7="30/365",'депозитный калькулятор'!$G$7="30/360"),DAY(F721)=31)," ",IF(AND('депозитный калькулятор'!$G$7="факт/факт",MOD(YEAR(F721),4)=0),G721*'депозитный калькулятор'!$D$11/366,G721*'депозитный калькулятор'!$G$8))))</f>
        <v xml:space="preserve"> </v>
      </c>
      <c r="I721" s="134" t="str">
        <f ca="1">IF(F721=" "," ",IF('депозитный калькулятор'!$G$10="ежедневное",H721,IF(AND('депозитный калькулятор'!$G$10="еженедельное",WEEKDAY(F721,2)=7),SUM(OFFSET(H721,-6,0):H721),IF(AND('депозитный калькулятор'!$G$10="еженедельное",F721='депозитный калькулятор'!$D$8),SUM($H$23:H721)-SUM($I$23:I720),IF(AND('депозитный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недели",WEEKDAY(F721,2)=7),MIN(OFFSET(H721,-6,0):H721)*(COUNTIF(OFFSET(H721,-6,0):H721,"&gt;0")+SUMIF(OFFSET(A721,-WEEKDAY(F721,2),0):A721,"=2",OFFSET(A721,-WEEKDAY(F721,2),0):A721)),IF(AND('депозитный калькулятор'!$G$10="еженедельное, на минимальную сумму зафиксированную в течение недели",F721='депозитный калькулятор'!$D$8,WEEKDAY(F721,2)&lt;&gt;7),MIN(OFFSET(H721,-WEEKDAY(F721,2),0):H721)*(COUNTIF(OFFSET(H721,-WEEKDAY(F721,2)+1,0):H721,"&gt;0")+SUM(OFFSET(A721,-WEEKDAY(F721,2),0):A721)),IF(AND('депозитный калькулятор'!$G$10="ежемесячное (в конце месяца)",F721='депозитный калькулятор'!$D$8,EOMONTH(F721,0)&lt;&gt;F721),IF('депозитный калькулятор'!$F$1=1,$H$24,SUM($H$23:H721)-SUM($I$23:I720)),IF(AND('депозитный калькулятор'!$G$10="ежемесячное (в конце месяца)",EOMONTH(F721,0)=F721),SUM($H$23:H721)-SUM($I$23:I720),IF(AND('депозитный калькулятор'!$G$10="ежемесячное (по дням открытия вклада)",F721='депозитный калькулятор'!$D$8,DAY('депозитный калькулятор'!$D$7)&lt;&gt;DAY(F721)),IF('депозитный калькулятор'!$F$1=1,$H$24,SUM($H$23:H721)-SUM($I$23:I720)),IF(AND('депозитный калькулятор'!$G$10="ежемесячное (по дням открытия вклада)",DAY('депозитный калькулятор'!$D$7)=DAY(F721)),SUM($H$23:H721)-SUM($I$23:I720),IF(AND('депозитный калькулятор'!$G$10="ежемесячное, на минимальную сумму зафиксированную в течение месяца",F721='депозитный калькулятор'!$D$8,EOMONTH(F721,0)&lt;&gt;F721),IF('депозитный калькулятор'!$F$1=1,$H$24,IF(AND(OR('депозитный калькулятор'!$G$7="30/365",'депозитный калькулятор'!$G$7="30/360"),DAY(F721)=31),0,MIN(OFFSET(H721,-E721+1,0):H721)*(E721+SUMIF(OFFSET(A721,-E721+1,0):A721,"=2",OFFSET(A721,-E721+1,0):A721)))),IF(AND('депозитный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калькулятор'!$G$7="30/360"),DAY(EOMONTH(F721,0))=31),EOMONTH(F721,0)-1=F721,EOMONTH(F721,0)=F721)),IF(IF(AND(OR('депозитный калькулятор'!$G$7="30/365",'депозитный калькулятор'!$G$7="30/360"),DAY(EOMONTH($F$23,0))=31),F721=EOMONTH($F$23,0)-1,F721=EOMONTH($F$23,0)),MIN(OFFSET(H721,-(DAY(F721)-DAY($F$23)),0):H721)*E721,MIN(OFFSET(H721,-(DAY(F721)-1),0):H721)*IF(AND(OR('депозитный калькулятор'!$G$7="30/365",'депозитный калькулятор'!$G$7="30/360"),DAY(F721)&lt;30),30,DAY(F721))),IF(AND('депозитный калькулятор'!$G$10="ежемесячное, на средний остаток в течение месяца, при условии что остаток больше чем ограничение",F721='депозитный калькулятор'!$D$8,EOMONTH(F721,0)&lt;&gt;F721),IF('депозитный калькулятор'!$F$1=1,$H$24,SUM(OFFSET(Q721,-E721+1,0):Q721)),IF(AND('депозитный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калькулятор'!$G$7="30/360"),DAY(EOMONTH(F721,0))=31),EOMONTH(F721,0)-1=F721,EOMONTH(F721,0)=F721)),IF(IF(AND(OR('депозитный калькулятор'!$G$7="30/365",'депозитный калькулятор'!$G$7="30/360"),DAY(EOMONTH($F$24,0))=31),F721=EOMONTH($F$24,0)-1,F721=EOMONTH($F$24,0)),SUM(OFFSET(Q721,-E721+1,0):Q721),SUM(OFFSET(Q721,-E721+1,0):Q721)),IF('депозитный калькулятор'!$G$10="ежеквартальное",IF(F721&gt;'депозитный калькулятор'!$D$8," ",IF(AND(EOMONTH(F721,0)=F721,OR(MONTH(F721)=3,MONTH(F721)=6,MONTH(F721)=9,MONTH(F721)=12)),IF(EDATE(F721,-3)&lt;'депозитный калькулятор'!$D$7,SUM($H$23:H721),IF(MOD(YEAR(F721),4)=0,IF(AND(EOMONTH(F721,0)=F721,OR(MONTH(F721)=3,MONTH(F721)=6)),SUM(OFFSET(H721,-90,0):H721),IF(AND(EOMONTH(F721,0)=F721,OR(MONTH(F721)=9,MONTH(F721)=12)),SUM(OFFSET(H721,-91,0):H721))),IF(AND(EOMONTH(F721,0)=F721,MONTH(F721)=3),SUM(OFFSET(H721,-89,0):H721),IF(AND(EOMONTH(F721,0)=F721,MONTH(F721)=6),SUM(OFFSET(H721,-90,0):H721),IF(AND(EOMONTH(F721,0)=F721,OR(MONTH(F721)=9,MONTH(F721)=12)),SUM(OFFSET(H721,-91,0):H721)))))),IF(F721='депозитный калькулятор'!$D$8,SUM($H$23:H721)-SUM($I$23:I720),0))),IF('депозитный калькулятор'!$G$10="ежегодное",IF(F721&gt;'депозитный калькулятор'!$D$8," ",IF(F721='депозитный калькулятор'!$D$8,SUM($H$23:H721)-SUM($I$23:I720),IF(AND(EOMONTH(F721,0)=F721,MONTH(F721)=12),IF(MOD(YEAR(F720),4)=0,IF(F721-'депозитный калькулятор'!$D$7&lt;366,SUM($H$23:H721),SUM(OFFSET(H721,-365,0):H721)),IF(F721-'депозитный калькулятор'!$D$7&lt;365,SUM($H$23:H721),SUM(OFFSET(H721,-364,0):H721))),0))),IF(AND('депозитный калькулятор'!$G$10="в конце срока",'депозитный калькулятор'!$D$8=F721),SUM($H$23:H721),0))))))))))))))))))</f>
        <v xml:space="preserve"> </v>
      </c>
      <c r="J721" s="59" t="str">
        <f>IF(F721&gt;'депозитный калькулятор'!$D$8," ",IF('депозитный калькулятор'!$G$16="нет",0,IF(AND('депозитный калькулятор'!$G$17="разовая (в конце срока)",F721='депозитный калькулятор'!$D$8),'депозитный калькулятор'!$G$18,IF(AND('депозитный калькулятор'!$G$17="ежемесячная",EOMONTH(F720,0)=F720),'депозитный калькулятор'!$G$18,IF(AND('депозитный калькулятор'!$G$17="ежегодная",DAY(F720)=31,MONTH(F720)=12),'депозитный калькулятор'!$G$18,IF(AND('депозитный калькулятор'!$G$17="ежемесячная в зависимости от остатка",EOMONTH(F720,0)=F720,P720&gt;0),'депозитный калькулятор'!$G$18,IF(AND('депозитный калькулятор'!$G$17="ежегодная в зависимости от остатка",DAY(F720)=31,MONTH(F720)=12,P720&gt;0),'депозитный калькулятор'!$G$18,0)))))))</f>
        <v xml:space="preserve"> </v>
      </c>
      <c r="K721" s="135" t="str">
        <f>IF($F721=" "," ",IFERROR(VLOOKUP($F721,'депозитный калькулятор'!$B$26:$F$70,2,0),0))</f>
        <v xml:space="preserve"> </v>
      </c>
      <c r="L721" s="135" t="str">
        <f>IF($F721=" "," ",IFERROR(VLOOKUP($F721,'депозитный калькулятор'!$B$26:$F$70,3,0),0))</f>
        <v xml:space="preserve"> </v>
      </c>
      <c r="M721" s="135" t="str">
        <f>IF($F721=" "," ",IFERROR(VLOOKUP($F721,'депозитный калькулятор'!$B$26:$F$70,4,0),0))</f>
        <v xml:space="preserve"> </v>
      </c>
      <c r="N721" s="135" t="str">
        <f>IF($F721=" "," ",IFERROR(VLOOKUP($F721,'депозитный калькулятор'!$B$26:$F$70,5,0),0))</f>
        <v xml:space="preserve"> </v>
      </c>
      <c r="O721" s="146" t="str">
        <f>IF(F721&gt;'депозитный калькулятор'!$D$8," ",IF(F721='депозитный калькулятор'!$D$8,IF(AND($F$24='депозитный калькулятор'!$D$8,'депозитный калькулятор'!$G$13="нет"),-G721-IF(I721=" ",0,I721)-IF(AND(OR('депозитный калькулятор'!$G$7="30/365",'депозитный калькулятор'!$G$7="30/360"),'депозитный калькулятор'!$G$10="в начале срока"),I720,0)-L721+M721-N721,-G721-IF(I721=" ",0,I721)-L721+M721-N721),IF('депозитный калькулятор'!$G$13="есть",M721-N721+IF('депозитный калькулятор'!$G$14="есть",0,-L721),-IF(I721=" ",0,I721)-IF(AND(OR('депозитный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срока"),I720,0)+M721-N721+IF('депозитный калькулятор'!$G$14="есть",0,-L721))))</f>
        <v xml:space="preserve"> </v>
      </c>
      <c r="P721" s="147" t="str">
        <f>IF(F721&gt;'депозитный калькулятор'!$D$8," ",IF(EOMONTH(F720,0)=F720,0,IF(G721&gt;='депозитный калькулятор'!$G$19,P720,P720+1)))</f>
        <v xml:space="preserve"> </v>
      </c>
      <c r="Q721" s="138" t="str">
        <f>IF(F721=" "," ",IF(AND(OR('депозитный калькулятор'!$G$7="30/365",'депозитный калькулятор'!$G$7="30/360"),AND(MONTH(F721)=2,EOMONTH(F721,0)=F721)),IF(DAY(F721)=28,3,2),1)*IF(G721&gt;='депозитный калькулятор'!$G$11,IF(AND('депозитный калькулятор'!$G$7="факт/факт",MOD(YEAR(F721),4)=0),G721*'депозитный калькулятор'!$D$11/366,G721*'депозитный калькулятор'!$G$8),0))</f>
        <v xml:space="preserve"> </v>
      </c>
      <c r="R721" s="158"/>
      <c r="S721" s="62" t="str">
        <f t="shared" ca="1" si="52"/>
        <v xml:space="preserve"> </v>
      </c>
      <c r="T721" s="149" t="str">
        <f ca="1">IF(S721=" "," ",IF('депозитный калькулятор'!$G$7="30/360",DAYS360(U720,IF(DAY(U721)=31,U721-1,U721))+IF(AND(MONTH(U721)=2,U721=EOMONTH(U721,0)),30-DAY(EOMONTH(U721,0)))+T720,VLOOKUP(S721,$C$22:$F$1023,2,0)))</f>
        <v xml:space="preserve"> </v>
      </c>
      <c r="U721" s="64" t="str">
        <f t="shared" ca="1" si="50"/>
        <v xml:space="preserve"> </v>
      </c>
      <c r="V721" s="150" t="str">
        <f t="shared" ca="1" si="53"/>
        <v xml:space="preserve"> </v>
      </c>
      <c r="W721" s="62" t="str">
        <f t="shared" ca="1" si="54"/>
        <v xml:space="preserve"> </v>
      </c>
      <c r="X721" s="141" t="str">
        <f ca="1">IF(S721=" "," ",IFERROR(VLOOKUP(U721,$F$23:$N$1023,7)+VLOOKUP(U721,$F$23:$N$1023,9)+IF(AND('депозитный калькулятор'!$G$13="нет",U721&lt;&gt;'депозитный калькулятор'!$D$8),VLOOKUP(U721,$F$23:$N$1023,4),0),0)+IF(U721='депозитный калькулятор'!$D$8,VLOOKUP(U721,$F$23:$N$1023,2)+VLOOKUP(U721,$F$23:$N$1023,4),0))</f>
        <v xml:space="preserve"> </v>
      </c>
      <c r="Y721" s="142" t="str">
        <f ca="1">IF(S721=" "," ",W721/(1+'депозитный калькулятор'!$K$8)^(T721/IF('депозитный калькулятор'!$G$7="30/360",360,365)))</f>
        <v xml:space="preserve"> </v>
      </c>
      <c r="Z721" s="142" t="str">
        <f ca="1">IF(S721=" "," ",X721/(1+'депозитный калькулятор'!$K$8)^(T721/IF('депозитный калькулятор'!$G$7="30/360",360,365)))</f>
        <v xml:space="preserve"> </v>
      </c>
      <c r="AA721" s="151"/>
      <c r="AB721" s="151"/>
      <c r="AC721" s="155"/>
      <c r="AD721" s="155"/>
    </row>
    <row r="722" spans="1:30" s="2" customFormat="1" ht="15.5" x14ac:dyDescent="0.35">
      <c r="A722" s="41" t="str">
        <f>IF(F722=" "," ",IF(OR('депозитный калькулятор'!$G$7="30/365",'депозитный калькулятор'!$G$7="30/360"),IF(AND(MONTH(F722)=2,DAY(F722)=DAY(EOMONTH(F722,0))),30-DAY(EOMONTH(F722,0)),IF(DAY(F722)=31,1," "))," "))</f>
        <v xml:space="preserve"> </v>
      </c>
      <c r="B722" s="130" t="str">
        <f t="shared" si="51"/>
        <v xml:space="preserve"> </v>
      </c>
      <c r="C722" s="130" t="str">
        <f>IF(OR(B722=0,B722=" ")," ",SUM($B$23:B722))</f>
        <v xml:space="preserve"> </v>
      </c>
      <c r="D722" s="62" t="str">
        <f>IF(D721=" "," ",IF(OR(F721='депозитный калькулятор'!$D$8,F721=" ")," ",D721+1))</f>
        <v xml:space="preserve"> </v>
      </c>
      <c r="E722" s="130" t="str">
        <f>IF(OR(F721='депозитный калькулятор'!$D$8,F721=" ")," ",IF(EOMONTH(F721,0)=F721,1,E721+1))</f>
        <v xml:space="preserve"> </v>
      </c>
      <c r="F722" s="64" t="str">
        <f>IF(F721=" "," ",IF(F721='депозитный калькулятор'!$D$8," ",F721+1))</f>
        <v xml:space="preserve"> </v>
      </c>
      <c r="G722" s="145" t="str">
        <f xml:space="preserve"> IF(F722&gt;'депозитный калькулятор'!$D$8," ",IF('депозитный калькулятор'!$G$13="есть",IF('депозитный калькулятор'!$G$14="есть",G721+IF(I721=" ",0,I721)-J722-K722+L722+M722-N722,G721+IF(I721=" ",0,I721)-J722-K722+M722-N722),IF('депозитный калькулятор'!$G$14="есть",G721-J722-K722+L722+M722-N722,G721-J722-K722+M722-N722)))</f>
        <v xml:space="preserve"> </v>
      </c>
      <c r="H722" s="133" t="str">
        <f>IF(F722&gt;'депозитный калькулятор'!$D$8," ",IF(AND(OR('депозитный калькулятор'!$G$7="30/365",'депозитный калькулятор'!$G$7="30/360"),AND(MONTH(F722)=2,EOMONTH(F722,0)=F722)),IF(DAY(F722)=28,3*G722*'депозитный калькулятор'!$G$8,2*G722*'депозитный калькулятор'!$G$8),IF(AND(OR('депозитный калькулятор'!$G$7="30/365",'депозитный калькулятор'!$G$7="30/360"),DAY(F722)=31)," ",IF(AND('депозитный калькулятор'!$G$7="факт/факт",MOD(YEAR(F722),4)=0),G722*'депозитный калькулятор'!$D$11/366,G722*'депозитный калькулятор'!$G$8))))</f>
        <v xml:space="preserve"> </v>
      </c>
      <c r="I722" s="134" t="str">
        <f ca="1">IF(F722=" "," ",IF('депозитный калькулятор'!$G$10="ежедневное",H722,IF(AND('депозитный калькулятор'!$G$10="еженедельное",WEEKDAY(F722,2)=7),SUM(OFFSET(H722,-6,0):H722),IF(AND('депозитный калькулятор'!$G$10="еженедельное",F722='депозитный калькулятор'!$D$8),SUM($H$23:H722)-SUM($I$23:I721),IF(AND('депозитный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недели",WEEKDAY(F722,2)=7),MIN(OFFSET(H722,-6,0):H722)*(COUNTIF(OFFSET(H722,-6,0):H722,"&gt;0")+SUMIF(OFFSET(A722,-WEEKDAY(F722,2),0):A722,"=2",OFFSET(A722,-WEEKDAY(F722,2),0):A722)),IF(AND('депозитный калькулятор'!$G$10="еженедельное, на минимальную сумму зафиксированную в течение недели",F722='депозитный калькулятор'!$D$8,WEEKDAY(F722,2)&lt;&gt;7),MIN(OFFSET(H722,-WEEKDAY(F722,2),0):H722)*(COUNTIF(OFFSET(H722,-WEEKDAY(F722,2)+1,0):H722,"&gt;0")+SUM(OFFSET(A722,-WEEKDAY(F722,2),0):A722)),IF(AND('депозитный калькулятор'!$G$10="ежемесячное (в конце месяца)",F722='депозитный калькулятор'!$D$8,EOMONTH(F722,0)&lt;&gt;F722),IF('депозитный калькулятор'!$F$1=1,$H$24,SUM($H$23:H722)-SUM($I$23:I721)),IF(AND('депозитный калькулятор'!$G$10="ежемесячное (в конце месяца)",EOMONTH(F722,0)=F722),SUM($H$23:H722)-SUM($I$23:I721),IF(AND('депозитный калькулятор'!$G$10="ежемесячное (по дням открытия вклада)",F722='депозитный калькулятор'!$D$8,DAY('депозитный калькулятор'!$D$7)&lt;&gt;DAY(F722)),IF('депозитный калькулятор'!$F$1=1,$H$24,SUM($H$23:H722)-SUM($I$23:I721)),IF(AND('депозитный калькулятор'!$G$10="ежемесячное (по дням открытия вклада)",DAY('депозитный калькулятор'!$D$7)=DAY(F722)),SUM($H$23:H722)-SUM($I$23:I721),IF(AND('депозитный калькулятор'!$G$10="ежемесячное, на минимальную сумму зафиксированную в течение месяца",F722='депозитный калькулятор'!$D$8,EOMONTH(F722,0)&lt;&gt;F722),IF('депозитный калькулятор'!$F$1=1,$H$24,IF(AND(OR('депозитный калькулятор'!$G$7="30/365",'депозитный калькулятор'!$G$7="30/360"),DAY(F722)=31),0,MIN(OFFSET(H722,-E722+1,0):H722)*(E722+SUMIF(OFFSET(A722,-E722+1,0):A722,"=2",OFFSET(A722,-E722+1,0):A722)))),IF(AND('депозитный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калькулятор'!$G$7="30/360"),DAY(EOMONTH(F722,0))=31),EOMONTH(F722,0)-1=F722,EOMONTH(F722,0)=F722)),IF(IF(AND(OR('депозитный калькулятор'!$G$7="30/365",'депозитный калькулятор'!$G$7="30/360"),DAY(EOMONTH($F$23,0))=31),F722=EOMONTH($F$23,0)-1,F722=EOMONTH($F$23,0)),MIN(OFFSET(H722,-(DAY(F722)-DAY($F$23)),0):H722)*E722,MIN(OFFSET(H722,-(DAY(F722)-1),0):H722)*IF(AND(OR('депозитный калькулятор'!$G$7="30/365",'депозитный калькулятор'!$G$7="30/360"),DAY(F722)&lt;30),30,DAY(F722))),IF(AND('депозитный калькулятор'!$G$10="ежемесячное, на средний остаток в течение месяца, при условии что остаток больше чем ограничение",F722='депозитный калькулятор'!$D$8,EOMONTH(F722,0)&lt;&gt;F722),IF('депозитный калькулятор'!$F$1=1,$H$24,SUM(OFFSET(Q722,-E722+1,0):Q722)),IF(AND('депозитный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калькулятор'!$G$7="30/360"),DAY(EOMONTH(F722,0))=31),EOMONTH(F722,0)-1=F722,EOMONTH(F722,0)=F722)),IF(IF(AND(OR('депозитный калькулятор'!$G$7="30/365",'депозитный калькулятор'!$G$7="30/360"),DAY(EOMONTH($F$24,0))=31),F722=EOMONTH($F$24,0)-1,F722=EOMONTH($F$24,0)),SUM(OFFSET(Q722,-E722+1,0):Q722),SUM(OFFSET(Q722,-E722+1,0):Q722)),IF('депозитный калькулятор'!$G$10="ежеквартальное",IF(F722&gt;'депозитный калькулятор'!$D$8," ",IF(AND(EOMONTH(F722,0)=F722,OR(MONTH(F722)=3,MONTH(F722)=6,MONTH(F722)=9,MONTH(F722)=12)),IF(EDATE(F722,-3)&lt;'депозитный калькулятор'!$D$7,SUM($H$23:H722),IF(MOD(YEAR(F722),4)=0,IF(AND(EOMONTH(F722,0)=F722,OR(MONTH(F722)=3,MONTH(F722)=6)),SUM(OFFSET(H722,-90,0):H722),IF(AND(EOMONTH(F722,0)=F722,OR(MONTH(F722)=9,MONTH(F722)=12)),SUM(OFFSET(H722,-91,0):H722))),IF(AND(EOMONTH(F722,0)=F722,MONTH(F722)=3),SUM(OFFSET(H722,-89,0):H722),IF(AND(EOMONTH(F722,0)=F722,MONTH(F722)=6),SUM(OFFSET(H722,-90,0):H722),IF(AND(EOMONTH(F722,0)=F722,OR(MONTH(F722)=9,MONTH(F722)=12)),SUM(OFFSET(H722,-91,0):H722)))))),IF(F722='депозитный калькулятор'!$D$8,SUM($H$23:H722)-SUM($I$23:I721),0))),IF('депозитный калькулятор'!$G$10="ежегодное",IF(F722&gt;'депозитный калькулятор'!$D$8," ",IF(F722='депозитный калькулятор'!$D$8,SUM($H$23:H722)-SUM($I$23:I721),IF(AND(EOMONTH(F722,0)=F722,MONTH(F722)=12),IF(MOD(YEAR(F721),4)=0,IF(F722-'депозитный калькулятор'!$D$7&lt;366,SUM($H$23:H722),SUM(OFFSET(H722,-365,0):H722)),IF(F722-'депозитный калькулятор'!$D$7&lt;365,SUM($H$23:H722),SUM(OFFSET(H722,-364,0):H722))),0))),IF(AND('депозитный калькулятор'!$G$10="в конце срока",'депозитный калькулятор'!$D$8=F722),SUM($H$23:H722),0))))))))))))))))))</f>
        <v xml:space="preserve"> </v>
      </c>
      <c r="J722" s="59" t="str">
        <f>IF(F722&gt;'депозитный калькулятор'!$D$8," ",IF('депозитный калькулятор'!$G$16="нет",0,IF(AND('депозитный калькулятор'!$G$17="разовая (в конце срока)",F722='депозитный калькулятор'!$D$8),'депозитный калькулятор'!$G$18,IF(AND('депозитный калькулятор'!$G$17="ежемесячная",EOMONTH(F721,0)=F721),'депозитный калькулятор'!$G$18,IF(AND('депозитный калькулятор'!$G$17="ежегодная",DAY(F721)=31,MONTH(F721)=12),'депозитный калькулятор'!$G$18,IF(AND('депозитный калькулятор'!$G$17="ежемесячная в зависимости от остатка",EOMONTH(F721,0)=F721,P721&gt;0),'депозитный калькулятор'!$G$18,IF(AND('депозитный калькулятор'!$G$17="ежегодная в зависимости от остатка",DAY(F721)=31,MONTH(F721)=12,P721&gt;0),'депозитный калькулятор'!$G$18,0)))))))</f>
        <v xml:space="preserve"> </v>
      </c>
      <c r="K722" s="135" t="str">
        <f>IF($F722=" "," ",IFERROR(VLOOKUP($F722,'депозитный калькулятор'!$B$26:$F$70,2,0),0))</f>
        <v xml:space="preserve"> </v>
      </c>
      <c r="L722" s="135" t="str">
        <f>IF($F722=" "," ",IFERROR(VLOOKUP($F722,'депозитный калькулятор'!$B$26:$F$70,3,0),0))</f>
        <v xml:space="preserve"> </v>
      </c>
      <c r="M722" s="135" t="str">
        <f>IF($F722=" "," ",IFERROR(VLOOKUP($F722,'депозитный калькулятор'!$B$26:$F$70,4,0),0))</f>
        <v xml:space="preserve"> </v>
      </c>
      <c r="N722" s="135" t="str">
        <f>IF($F722=" "," ",IFERROR(VLOOKUP($F722,'депозитный калькулятор'!$B$26:$F$70,5,0),0))</f>
        <v xml:space="preserve"> </v>
      </c>
      <c r="O722" s="146" t="str">
        <f>IF(F722&gt;'депозитный калькулятор'!$D$8," ",IF(F722='депозитный калькулятор'!$D$8,IF(AND($F$24='депозитный калькулятор'!$D$8,'депозитный калькулятор'!$G$13="нет"),-G722-IF(I722=" ",0,I722)-IF(AND(OR('депозитный калькулятор'!$G$7="30/365",'депозитный калькулятор'!$G$7="30/360"),'депозитный калькулятор'!$G$10="в начале срока"),I721,0)-L722+M722-N722,-G722-IF(I722=" ",0,I722)-L722+M722-N722),IF('депозитный калькулятор'!$G$13="есть",M722-N722+IF('депозитный калькулятор'!$G$14="есть",0,-L722),-IF(I722=" ",0,I722)-IF(AND(OR('депозитный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срока"),I721,0)+M722-N722+IF('депозитный калькулятор'!$G$14="есть",0,-L722))))</f>
        <v xml:space="preserve"> </v>
      </c>
      <c r="P722" s="147" t="str">
        <f>IF(F722&gt;'депозитный калькулятор'!$D$8," ",IF(EOMONTH(F721,0)=F721,0,IF(G722&gt;='депозитный калькулятор'!$G$19,P721,P721+1)))</f>
        <v xml:space="preserve"> </v>
      </c>
      <c r="Q722" s="138" t="str">
        <f>IF(F722=" "," ",IF(AND(OR('депозитный калькулятор'!$G$7="30/365",'депозитный калькулятор'!$G$7="30/360"),AND(MONTH(F722)=2,EOMONTH(F722,0)=F722)),IF(DAY(F722)=28,3,2),1)*IF(G722&gt;='депозитный калькулятор'!$G$11,IF(AND('депозитный калькулятор'!$G$7="факт/факт",MOD(YEAR(F722),4)=0),G722*'депозитный калькулятор'!$D$11/366,G722*'депозитный калькулятор'!$G$8),0))</f>
        <v xml:space="preserve"> </v>
      </c>
      <c r="R722" s="158"/>
      <c r="S722" s="62" t="str">
        <f t="shared" ca="1" si="52"/>
        <v xml:space="preserve"> </v>
      </c>
      <c r="T722" s="149" t="str">
        <f ca="1">IF(S722=" "," ",IF('депозитный калькулятор'!$G$7="30/360",DAYS360(U721,IF(DAY(U722)=31,U722-1,U722))+IF(AND(MONTH(U722)=2,U722=EOMONTH(U722,0)),30-DAY(EOMONTH(U722,0)))+T721,VLOOKUP(S722,$C$22:$F$1023,2,0)))</f>
        <v xml:space="preserve"> </v>
      </c>
      <c r="U722" s="64" t="str">
        <f t="shared" ca="1" si="50"/>
        <v xml:space="preserve"> </v>
      </c>
      <c r="V722" s="150" t="str">
        <f t="shared" ca="1" si="53"/>
        <v xml:space="preserve"> </v>
      </c>
      <c r="W722" s="62" t="str">
        <f t="shared" ca="1" si="54"/>
        <v xml:space="preserve"> </v>
      </c>
      <c r="X722" s="141" t="str">
        <f ca="1">IF(S722=" "," ",IFERROR(VLOOKUP(U722,$F$23:$N$1023,7)+VLOOKUP(U722,$F$23:$N$1023,9)+IF(AND('депозитный калькулятор'!$G$13="нет",U722&lt;&gt;'депозитный калькулятор'!$D$8),VLOOKUP(U722,$F$23:$N$1023,4),0),0)+IF(U722='депозитный калькулятор'!$D$8,VLOOKUP(U722,$F$23:$N$1023,2)+VLOOKUP(U722,$F$23:$N$1023,4),0))</f>
        <v xml:space="preserve"> </v>
      </c>
      <c r="Y722" s="142" t="str">
        <f ca="1">IF(S722=" "," ",W722/(1+'депозитный калькулятор'!$K$8)^(T722/IF('депозитный калькулятор'!$G$7="30/360",360,365)))</f>
        <v xml:space="preserve"> </v>
      </c>
      <c r="Z722" s="142" t="str">
        <f ca="1">IF(S722=" "," ",X722/(1+'депозитный калькулятор'!$K$8)^(T722/IF('депозитный калькулятор'!$G$7="30/360",360,365)))</f>
        <v xml:space="preserve"> </v>
      </c>
      <c r="AA722" s="151"/>
      <c r="AB722" s="151"/>
      <c r="AC722" s="155"/>
      <c r="AD722" s="155"/>
    </row>
    <row r="723" spans="1:30" s="2" customFormat="1" ht="15.5" x14ac:dyDescent="0.35">
      <c r="A723" s="41" t="str">
        <f>IF(F723=" "," ",IF(OR('депозитный калькулятор'!$G$7="30/365",'депозитный калькулятор'!$G$7="30/360"),IF(AND(MONTH(F723)=2,DAY(F723)=DAY(EOMONTH(F723,0))),30-DAY(EOMONTH(F723,0)),IF(DAY(F723)=31,1," "))," "))</f>
        <v xml:space="preserve"> </v>
      </c>
      <c r="B723" s="130" t="str">
        <f t="shared" si="51"/>
        <v xml:space="preserve"> </v>
      </c>
      <c r="C723" s="130" t="str">
        <f>IF(OR(B723=0,B723=" ")," ",SUM($B$23:B723))</f>
        <v xml:space="preserve"> </v>
      </c>
      <c r="D723" s="62" t="str">
        <f>IF(D722=" "," ",IF(OR(F722='депозитный калькулятор'!$D$8,F722=" ")," ",D722+1))</f>
        <v xml:space="preserve"> </v>
      </c>
      <c r="E723" s="130" t="str">
        <f>IF(OR(F722='депозитный калькулятор'!$D$8,F722=" ")," ",IF(EOMONTH(F722,0)=F722,1,E722+1))</f>
        <v xml:space="preserve"> </v>
      </c>
      <c r="F723" s="64" t="str">
        <f>IF(F722=" "," ",IF(F722='депозитный калькулятор'!$D$8," ",F722+1))</f>
        <v xml:space="preserve"> </v>
      </c>
      <c r="G723" s="145" t="str">
        <f xml:space="preserve"> IF(F723&gt;'депозитный калькулятор'!$D$8," ",IF('депозитный калькулятор'!$G$13="есть",IF('депозитный калькулятор'!$G$14="есть",G722+IF(I722=" ",0,I722)-J723-K723+L723+M723-N723,G722+IF(I722=" ",0,I722)-J723-K723+M723-N723),IF('депозитный калькулятор'!$G$14="есть",G722-J723-K723+L723+M723-N723,G722-J723-K723+M723-N723)))</f>
        <v xml:space="preserve"> </v>
      </c>
      <c r="H723" s="133" t="str">
        <f>IF(F723&gt;'депозитный калькулятор'!$D$8," ",IF(AND(OR('депозитный калькулятор'!$G$7="30/365",'депозитный калькулятор'!$G$7="30/360"),AND(MONTH(F723)=2,EOMONTH(F723,0)=F723)),IF(DAY(F723)=28,3*G723*'депозитный калькулятор'!$G$8,2*G723*'депозитный калькулятор'!$G$8),IF(AND(OR('депозитный калькулятор'!$G$7="30/365",'депозитный калькулятор'!$G$7="30/360"),DAY(F723)=31)," ",IF(AND('депозитный калькулятор'!$G$7="факт/факт",MOD(YEAR(F723),4)=0),G723*'депозитный калькулятор'!$D$11/366,G723*'депозитный калькулятор'!$G$8))))</f>
        <v xml:space="preserve"> </v>
      </c>
      <c r="I723" s="134" t="str">
        <f ca="1">IF(F723=" "," ",IF('депозитный калькулятор'!$G$10="ежедневное",H723,IF(AND('депозитный калькулятор'!$G$10="еженедельное",WEEKDAY(F723,2)=7),SUM(OFFSET(H723,-6,0):H723),IF(AND('депозитный калькулятор'!$G$10="еженедельное",F723='депозитный калькулятор'!$D$8),SUM($H$23:H723)-SUM($I$23:I722),IF(AND('депозитный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недели",WEEKDAY(F723,2)=7),MIN(OFFSET(H723,-6,0):H723)*(COUNTIF(OFFSET(H723,-6,0):H723,"&gt;0")+SUMIF(OFFSET(A723,-WEEKDAY(F723,2),0):A723,"=2",OFFSET(A723,-WEEKDAY(F723,2),0):A723)),IF(AND('депозитный калькулятор'!$G$10="еженедельное, на минимальную сумму зафиксированную в течение недели",F723='депозитный калькулятор'!$D$8,WEEKDAY(F723,2)&lt;&gt;7),MIN(OFFSET(H723,-WEEKDAY(F723,2),0):H723)*(COUNTIF(OFFSET(H723,-WEEKDAY(F723,2)+1,0):H723,"&gt;0")+SUM(OFFSET(A723,-WEEKDAY(F723,2),0):A723)),IF(AND('депозитный калькулятор'!$G$10="ежемесячное (в конце месяца)",F723='депозитный калькулятор'!$D$8,EOMONTH(F723,0)&lt;&gt;F723),IF('депозитный калькулятор'!$F$1=1,$H$24,SUM($H$23:H723)-SUM($I$23:I722)),IF(AND('депозитный калькулятор'!$G$10="ежемесячное (в конце месяца)",EOMONTH(F723,0)=F723),SUM($H$23:H723)-SUM($I$23:I722),IF(AND('депозитный калькулятор'!$G$10="ежемесячное (по дням открытия вклада)",F723='депозитный калькулятор'!$D$8,DAY('депозитный калькулятор'!$D$7)&lt;&gt;DAY(F723)),IF('депозитный калькулятор'!$F$1=1,$H$24,SUM($H$23:H723)-SUM($I$23:I722)),IF(AND('депозитный калькулятор'!$G$10="ежемесячное (по дням открытия вклада)",DAY('депозитный калькулятор'!$D$7)=DAY(F723)),SUM($H$23:H723)-SUM($I$23:I722),IF(AND('депозитный калькулятор'!$G$10="ежемесячное, на минимальную сумму зафиксированную в течение месяца",F723='депозитный калькулятор'!$D$8,EOMONTH(F723,0)&lt;&gt;F723),IF('депозитный калькулятор'!$F$1=1,$H$24,IF(AND(OR('депозитный калькулятор'!$G$7="30/365",'депозитный калькулятор'!$G$7="30/360"),DAY(F723)=31),0,MIN(OFFSET(H723,-E723+1,0):H723)*(E723+SUMIF(OFFSET(A723,-E723+1,0):A723,"=2",OFFSET(A723,-E723+1,0):A723)))),IF(AND('депозитный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калькулятор'!$G$7="30/360"),DAY(EOMONTH(F723,0))=31),EOMONTH(F723,0)-1=F723,EOMONTH(F723,0)=F723)),IF(IF(AND(OR('депозитный калькулятор'!$G$7="30/365",'депозитный калькулятор'!$G$7="30/360"),DAY(EOMONTH($F$23,0))=31),F723=EOMONTH($F$23,0)-1,F723=EOMONTH($F$23,0)),MIN(OFFSET(H723,-(DAY(F723)-DAY($F$23)),0):H723)*E723,MIN(OFFSET(H723,-(DAY(F723)-1),0):H723)*IF(AND(OR('депозитный калькулятор'!$G$7="30/365",'депозитный калькулятор'!$G$7="30/360"),DAY(F723)&lt;30),30,DAY(F723))),IF(AND('депозитный калькулятор'!$G$10="ежемесячное, на средний остаток в течение месяца, при условии что остаток больше чем ограничение",F723='депозитный калькулятор'!$D$8,EOMONTH(F723,0)&lt;&gt;F723),IF('депозитный калькулятор'!$F$1=1,$H$24,SUM(OFFSET(Q723,-E723+1,0):Q723)),IF(AND('депозитный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калькулятор'!$G$7="30/360"),DAY(EOMONTH(F723,0))=31),EOMONTH(F723,0)-1=F723,EOMONTH(F723,0)=F723)),IF(IF(AND(OR('депозитный калькулятор'!$G$7="30/365",'депозитный калькулятор'!$G$7="30/360"),DAY(EOMONTH($F$24,0))=31),F723=EOMONTH($F$24,0)-1,F723=EOMONTH($F$24,0)),SUM(OFFSET(Q723,-E723+1,0):Q723),SUM(OFFSET(Q723,-E723+1,0):Q723)),IF('депозитный калькулятор'!$G$10="ежеквартальное",IF(F723&gt;'депозитный калькулятор'!$D$8," ",IF(AND(EOMONTH(F723,0)=F723,OR(MONTH(F723)=3,MONTH(F723)=6,MONTH(F723)=9,MONTH(F723)=12)),IF(EDATE(F723,-3)&lt;'депозитный калькулятор'!$D$7,SUM($H$23:H723),IF(MOD(YEAR(F723),4)=0,IF(AND(EOMONTH(F723,0)=F723,OR(MONTH(F723)=3,MONTH(F723)=6)),SUM(OFFSET(H723,-90,0):H723),IF(AND(EOMONTH(F723,0)=F723,OR(MONTH(F723)=9,MONTH(F723)=12)),SUM(OFFSET(H723,-91,0):H723))),IF(AND(EOMONTH(F723,0)=F723,MONTH(F723)=3),SUM(OFFSET(H723,-89,0):H723),IF(AND(EOMONTH(F723,0)=F723,MONTH(F723)=6),SUM(OFFSET(H723,-90,0):H723),IF(AND(EOMONTH(F723,0)=F723,OR(MONTH(F723)=9,MONTH(F723)=12)),SUM(OFFSET(H723,-91,0):H723)))))),IF(F723='депозитный калькулятор'!$D$8,SUM($H$23:H723)-SUM($I$23:I722),0))),IF('депозитный калькулятор'!$G$10="ежегодное",IF(F723&gt;'депозитный калькулятор'!$D$8," ",IF(F723='депозитный калькулятор'!$D$8,SUM($H$23:H723)-SUM($I$23:I722),IF(AND(EOMONTH(F723,0)=F723,MONTH(F723)=12),IF(MOD(YEAR(F722),4)=0,IF(F723-'депозитный калькулятор'!$D$7&lt;366,SUM($H$23:H723),SUM(OFFSET(H723,-365,0):H723)),IF(F723-'депозитный калькулятор'!$D$7&lt;365,SUM($H$23:H723),SUM(OFFSET(H723,-364,0):H723))),0))),IF(AND('депозитный калькулятор'!$G$10="в конце срока",'депозитный калькулятор'!$D$8=F723),SUM($H$23:H723),0))))))))))))))))))</f>
        <v xml:space="preserve"> </v>
      </c>
      <c r="J723" s="59" t="str">
        <f>IF(F723&gt;'депозитный калькулятор'!$D$8," ",IF('депозитный калькулятор'!$G$16="нет",0,IF(AND('депозитный калькулятор'!$G$17="разовая (в конце срока)",F723='депозитный калькулятор'!$D$8),'депозитный калькулятор'!$G$18,IF(AND('депозитный калькулятор'!$G$17="ежемесячная",EOMONTH(F722,0)=F722),'депозитный калькулятор'!$G$18,IF(AND('депозитный калькулятор'!$G$17="ежегодная",DAY(F722)=31,MONTH(F722)=12),'депозитный калькулятор'!$G$18,IF(AND('депозитный калькулятор'!$G$17="ежемесячная в зависимости от остатка",EOMONTH(F722,0)=F722,P722&gt;0),'депозитный калькулятор'!$G$18,IF(AND('депозитный калькулятор'!$G$17="ежегодная в зависимости от остатка",DAY(F722)=31,MONTH(F722)=12,P722&gt;0),'депозитный калькулятор'!$G$18,0)))))))</f>
        <v xml:space="preserve"> </v>
      </c>
      <c r="K723" s="135" t="str">
        <f>IF($F723=" "," ",IFERROR(VLOOKUP($F723,'депозитный калькулятор'!$B$26:$F$70,2,0),0))</f>
        <v xml:space="preserve"> </v>
      </c>
      <c r="L723" s="135" t="str">
        <f>IF($F723=" "," ",IFERROR(VLOOKUP($F723,'депозитный калькулятор'!$B$26:$F$70,3,0),0))</f>
        <v xml:space="preserve"> </v>
      </c>
      <c r="M723" s="135" t="str">
        <f>IF($F723=" "," ",IFERROR(VLOOKUP($F723,'депозитный калькулятор'!$B$26:$F$70,4,0),0))</f>
        <v xml:space="preserve"> </v>
      </c>
      <c r="N723" s="135" t="str">
        <f>IF($F723=" "," ",IFERROR(VLOOKUP($F723,'депозитный калькулятор'!$B$26:$F$70,5,0),0))</f>
        <v xml:space="preserve"> </v>
      </c>
      <c r="O723" s="146" t="str">
        <f>IF(F723&gt;'депозитный калькулятор'!$D$8," ",IF(F723='депозитный калькулятор'!$D$8,IF(AND($F$24='депозитный калькулятор'!$D$8,'депозитный калькулятор'!$G$13="нет"),-G723-IF(I723=" ",0,I723)-IF(AND(OR('депозитный калькулятор'!$G$7="30/365",'депозитный калькулятор'!$G$7="30/360"),'депозитный калькулятор'!$G$10="в начале срока"),I722,0)-L723+M723-N723,-G723-IF(I723=" ",0,I723)-L723+M723-N723),IF('депозитный калькулятор'!$G$13="есть",M723-N723+IF('депозитный калькулятор'!$G$14="есть",0,-L723),-IF(I723=" ",0,I723)-IF(AND(OR('депозитный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срока"),I722,0)+M723-N723+IF('депозитный калькулятор'!$G$14="есть",0,-L723))))</f>
        <v xml:space="preserve"> </v>
      </c>
      <c r="P723" s="147" t="str">
        <f>IF(F723&gt;'депозитный калькулятор'!$D$8," ",IF(EOMONTH(F722,0)=F722,0,IF(G723&gt;='депозитный калькулятор'!$G$19,P722,P722+1)))</f>
        <v xml:space="preserve"> </v>
      </c>
      <c r="Q723" s="138" t="str">
        <f>IF(F723=" "," ",IF(AND(OR('депозитный калькулятор'!$G$7="30/365",'депозитный калькулятор'!$G$7="30/360"),AND(MONTH(F723)=2,EOMONTH(F723,0)=F723)),IF(DAY(F723)=28,3,2),1)*IF(G723&gt;='депозитный калькулятор'!$G$11,IF(AND('депозитный калькулятор'!$G$7="факт/факт",MOD(YEAR(F723),4)=0),G723*'депозитный калькулятор'!$D$11/366,G723*'депозитный калькулятор'!$G$8),0))</f>
        <v xml:space="preserve"> </v>
      </c>
      <c r="R723" s="158"/>
      <c r="S723" s="62" t="str">
        <f t="shared" ca="1" si="52"/>
        <v xml:space="preserve"> </v>
      </c>
      <c r="T723" s="149" t="str">
        <f ca="1">IF(S723=" "," ",IF('депозитный калькулятор'!$G$7="30/360",DAYS360(U722,IF(DAY(U723)=31,U723-1,U723))+IF(AND(MONTH(U723)=2,U723=EOMONTH(U723,0)),30-DAY(EOMONTH(U723,0)))+T722,VLOOKUP(S723,$C$22:$F$1023,2,0)))</f>
        <v xml:space="preserve"> </v>
      </c>
      <c r="U723" s="64" t="str">
        <f t="shared" ca="1" si="50"/>
        <v xml:space="preserve"> </v>
      </c>
      <c r="V723" s="150" t="str">
        <f t="shared" ca="1" si="53"/>
        <v xml:space="preserve"> </v>
      </c>
      <c r="W723" s="62" t="str">
        <f t="shared" ca="1" si="54"/>
        <v xml:space="preserve"> </v>
      </c>
      <c r="X723" s="141" t="str">
        <f ca="1">IF(S723=" "," ",IFERROR(VLOOKUP(U723,$F$23:$N$1023,7)+VLOOKUP(U723,$F$23:$N$1023,9)+IF(AND('депозитный калькулятор'!$G$13="нет",U723&lt;&gt;'депозитный калькулятор'!$D$8),VLOOKUP(U723,$F$23:$N$1023,4),0),0)+IF(U723='депозитный калькулятор'!$D$8,VLOOKUP(U723,$F$23:$N$1023,2)+VLOOKUP(U723,$F$23:$N$1023,4),0))</f>
        <v xml:space="preserve"> </v>
      </c>
      <c r="Y723" s="142" t="str">
        <f ca="1">IF(S723=" "," ",W723/(1+'депозитный калькулятор'!$K$8)^(T723/IF('депозитный калькулятор'!$G$7="30/360",360,365)))</f>
        <v xml:space="preserve"> </v>
      </c>
      <c r="Z723" s="142" t="str">
        <f ca="1">IF(S723=" "," ",X723/(1+'депозитный калькулятор'!$K$8)^(T723/IF('депозитный калькулятор'!$G$7="30/360",360,365)))</f>
        <v xml:space="preserve"> </v>
      </c>
      <c r="AA723" s="151"/>
      <c r="AB723" s="151"/>
      <c r="AC723" s="155"/>
      <c r="AD723" s="155"/>
    </row>
    <row r="724" spans="1:30" s="2" customFormat="1" ht="15.5" x14ac:dyDescent="0.35">
      <c r="A724" s="41" t="str">
        <f>IF(F724=" "," ",IF(OR('депозитный калькулятор'!$G$7="30/365",'депозитный калькулятор'!$G$7="30/360"),IF(AND(MONTH(F724)=2,DAY(F724)=DAY(EOMONTH(F724,0))),30-DAY(EOMONTH(F724,0)),IF(DAY(F724)=31,1," "))," "))</f>
        <v xml:space="preserve"> </v>
      </c>
      <c r="B724" s="130" t="str">
        <f t="shared" si="51"/>
        <v xml:space="preserve"> </v>
      </c>
      <c r="C724" s="130" t="str">
        <f>IF(OR(B724=0,B724=" ")," ",SUM($B$23:B724))</f>
        <v xml:space="preserve"> </v>
      </c>
      <c r="D724" s="62" t="str">
        <f>IF(D723=" "," ",IF(OR(F723='депозитный калькулятор'!$D$8,F723=" ")," ",D723+1))</f>
        <v xml:space="preserve"> </v>
      </c>
      <c r="E724" s="130" t="str">
        <f>IF(OR(F723='депозитный калькулятор'!$D$8,F723=" ")," ",IF(EOMONTH(F723,0)=F723,1,E723+1))</f>
        <v xml:space="preserve"> </v>
      </c>
      <c r="F724" s="64" t="str">
        <f>IF(F723=" "," ",IF(F723='депозитный калькулятор'!$D$8," ",F723+1))</f>
        <v xml:space="preserve"> </v>
      </c>
      <c r="G724" s="145" t="str">
        <f xml:space="preserve"> IF(F724&gt;'депозитный калькулятор'!$D$8," ",IF('депозитный калькулятор'!$G$13="есть",IF('депозитный калькулятор'!$G$14="есть",G723+IF(I723=" ",0,I723)-J724-K724+L724+M724-N724,G723+IF(I723=" ",0,I723)-J724-K724+M724-N724),IF('депозитный калькулятор'!$G$14="есть",G723-J724-K724+L724+M724-N724,G723-J724-K724+M724-N724)))</f>
        <v xml:space="preserve"> </v>
      </c>
      <c r="H724" s="133" t="str">
        <f>IF(F724&gt;'депозитный калькулятор'!$D$8," ",IF(AND(OR('депозитный калькулятор'!$G$7="30/365",'депозитный калькулятор'!$G$7="30/360"),AND(MONTH(F724)=2,EOMONTH(F724,0)=F724)),IF(DAY(F724)=28,3*G724*'депозитный калькулятор'!$G$8,2*G724*'депозитный калькулятор'!$G$8),IF(AND(OR('депозитный калькулятор'!$G$7="30/365",'депозитный калькулятор'!$G$7="30/360"),DAY(F724)=31)," ",IF(AND('депозитный калькулятор'!$G$7="факт/факт",MOD(YEAR(F724),4)=0),G724*'депозитный калькулятор'!$D$11/366,G724*'депозитный калькулятор'!$G$8))))</f>
        <v xml:space="preserve"> </v>
      </c>
      <c r="I724" s="134" t="str">
        <f ca="1">IF(F724=" "," ",IF('депозитный калькулятор'!$G$10="ежедневное",H724,IF(AND('депозитный калькулятор'!$G$10="еженедельное",WEEKDAY(F724,2)=7),SUM(OFFSET(H724,-6,0):H724),IF(AND('депозитный калькулятор'!$G$10="еженедельное",F724='депозитный калькулятор'!$D$8),SUM($H$23:H724)-SUM($I$23:I723),IF(AND('депозитный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недели",WEEKDAY(F724,2)=7),MIN(OFFSET(H724,-6,0):H724)*(COUNTIF(OFFSET(H724,-6,0):H724,"&gt;0")+SUMIF(OFFSET(A724,-WEEKDAY(F724,2),0):A724,"=2",OFFSET(A724,-WEEKDAY(F724,2),0):A724)),IF(AND('депозитный калькулятор'!$G$10="еженедельное, на минимальную сумму зафиксированную в течение недели",F724='депозитный калькулятор'!$D$8,WEEKDAY(F724,2)&lt;&gt;7),MIN(OFFSET(H724,-WEEKDAY(F724,2),0):H724)*(COUNTIF(OFFSET(H724,-WEEKDAY(F724,2)+1,0):H724,"&gt;0")+SUM(OFFSET(A724,-WEEKDAY(F724,2),0):A724)),IF(AND('депозитный калькулятор'!$G$10="ежемесячное (в конце месяца)",F724='депозитный калькулятор'!$D$8,EOMONTH(F724,0)&lt;&gt;F724),IF('депозитный калькулятор'!$F$1=1,$H$24,SUM($H$23:H724)-SUM($I$23:I723)),IF(AND('депозитный калькулятор'!$G$10="ежемесячное (в конце месяца)",EOMONTH(F724,0)=F724),SUM($H$23:H724)-SUM($I$23:I723),IF(AND('депозитный калькулятор'!$G$10="ежемесячное (по дням открытия вклада)",F724='депозитный калькулятор'!$D$8,DAY('депозитный калькулятор'!$D$7)&lt;&gt;DAY(F724)),IF('депозитный калькулятор'!$F$1=1,$H$24,SUM($H$23:H724)-SUM($I$23:I723)),IF(AND('депозитный калькулятор'!$G$10="ежемесячное (по дням открытия вклада)",DAY('депозитный калькулятор'!$D$7)=DAY(F724)),SUM($H$23:H724)-SUM($I$23:I723),IF(AND('депозитный калькулятор'!$G$10="ежемесячное, на минимальную сумму зафиксированную в течение месяца",F724='депозитный калькулятор'!$D$8,EOMONTH(F724,0)&lt;&gt;F724),IF('депозитный калькулятор'!$F$1=1,$H$24,IF(AND(OR('депозитный калькулятор'!$G$7="30/365",'депозитный калькулятор'!$G$7="30/360"),DAY(F724)=31),0,MIN(OFFSET(H724,-E724+1,0):H724)*(E724+SUMIF(OFFSET(A724,-E724+1,0):A724,"=2",OFFSET(A724,-E724+1,0):A724)))),IF(AND('депозитный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калькулятор'!$G$7="30/360"),DAY(EOMONTH(F724,0))=31),EOMONTH(F724,0)-1=F724,EOMONTH(F724,0)=F724)),IF(IF(AND(OR('депозитный калькулятор'!$G$7="30/365",'депозитный калькулятор'!$G$7="30/360"),DAY(EOMONTH($F$23,0))=31),F724=EOMONTH($F$23,0)-1,F724=EOMONTH($F$23,0)),MIN(OFFSET(H724,-(DAY(F724)-DAY($F$23)),0):H724)*E724,MIN(OFFSET(H724,-(DAY(F724)-1),0):H724)*IF(AND(OR('депозитный калькулятор'!$G$7="30/365",'депозитный калькулятор'!$G$7="30/360"),DAY(F724)&lt;30),30,DAY(F724))),IF(AND('депозитный калькулятор'!$G$10="ежемесячное, на средний остаток в течение месяца, при условии что остаток больше чем ограничение",F724='депозитный калькулятор'!$D$8,EOMONTH(F724,0)&lt;&gt;F724),IF('депозитный калькулятор'!$F$1=1,$H$24,SUM(OFFSET(Q724,-E724+1,0):Q724)),IF(AND('депозитный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калькулятор'!$G$7="30/360"),DAY(EOMONTH(F724,0))=31),EOMONTH(F724,0)-1=F724,EOMONTH(F724,0)=F724)),IF(IF(AND(OR('депозитный калькулятор'!$G$7="30/365",'депозитный калькулятор'!$G$7="30/360"),DAY(EOMONTH($F$24,0))=31),F724=EOMONTH($F$24,0)-1,F724=EOMONTH($F$24,0)),SUM(OFFSET(Q724,-E724+1,0):Q724),SUM(OFFSET(Q724,-E724+1,0):Q724)),IF('депозитный калькулятор'!$G$10="ежеквартальное",IF(F724&gt;'депозитный калькулятор'!$D$8," ",IF(AND(EOMONTH(F724,0)=F724,OR(MONTH(F724)=3,MONTH(F724)=6,MONTH(F724)=9,MONTH(F724)=12)),IF(EDATE(F724,-3)&lt;'депозитный калькулятор'!$D$7,SUM($H$23:H724),IF(MOD(YEAR(F724),4)=0,IF(AND(EOMONTH(F724,0)=F724,OR(MONTH(F724)=3,MONTH(F724)=6)),SUM(OFFSET(H724,-90,0):H724),IF(AND(EOMONTH(F724,0)=F724,OR(MONTH(F724)=9,MONTH(F724)=12)),SUM(OFFSET(H724,-91,0):H724))),IF(AND(EOMONTH(F724,0)=F724,MONTH(F724)=3),SUM(OFFSET(H724,-89,0):H724),IF(AND(EOMONTH(F724,0)=F724,MONTH(F724)=6),SUM(OFFSET(H724,-90,0):H724),IF(AND(EOMONTH(F724,0)=F724,OR(MONTH(F724)=9,MONTH(F724)=12)),SUM(OFFSET(H724,-91,0):H724)))))),IF(F724='депозитный калькулятор'!$D$8,SUM($H$23:H724)-SUM($I$23:I723),0))),IF('депозитный калькулятор'!$G$10="ежегодное",IF(F724&gt;'депозитный калькулятор'!$D$8," ",IF(F724='депозитный калькулятор'!$D$8,SUM($H$23:H724)-SUM($I$23:I723),IF(AND(EOMONTH(F724,0)=F724,MONTH(F724)=12),IF(MOD(YEAR(F723),4)=0,IF(F724-'депозитный калькулятор'!$D$7&lt;366,SUM($H$23:H724),SUM(OFFSET(H724,-365,0):H724)),IF(F724-'депозитный калькулятор'!$D$7&lt;365,SUM($H$23:H724),SUM(OFFSET(H724,-364,0):H724))),0))),IF(AND('депозитный калькулятор'!$G$10="в конце срока",'депозитный калькулятор'!$D$8=F724),SUM($H$23:H724),0))))))))))))))))))</f>
        <v xml:space="preserve"> </v>
      </c>
      <c r="J724" s="59" t="str">
        <f>IF(F724&gt;'депозитный калькулятор'!$D$8," ",IF('депозитный калькулятор'!$G$16="нет",0,IF(AND('депозитный калькулятор'!$G$17="разовая (в конце срока)",F724='депозитный калькулятор'!$D$8),'депозитный калькулятор'!$G$18,IF(AND('депозитный калькулятор'!$G$17="ежемесячная",EOMONTH(F723,0)=F723),'депозитный калькулятор'!$G$18,IF(AND('депозитный калькулятор'!$G$17="ежегодная",DAY(F723)=31,MONTH(F723)=12),'депозитный калькулятор'!$G$18,IF(AND('депозитный калькулятор'!$G$17="ежемесячная в зависимости от остатка",EOMONTH(F723,0)=F723,P723&gt;0),'депозитный калькулятор'!$G$18,IF(AND('депозитный калькулятор'!$G$17="ежегодная в зависимости от остатка",DAY(F723)=31,MONTH(F723)=12,P723&gt;0),'депозитный калькулятор'!$G$18,0)))))))</f>
        <v xml:space="preserve"> </v>
      </c>
      <c r="K724" s="135" t="str">
        <f>IF($F724=" "," ",IFERROR(VLOOKUP($F724,'депозитный калькулятор'!$B$26:$F$70,2,0),0))</f>
        <v xml:space="preserve"> </v>
      </c>
      <c r="L724" s="135" t="str">
        <f>IF($F724=" "," ",IFERROR(VLOOKUP($F724,'депозитный калькулятор'!$B$26:$F$70,3,0),0))</f>
        <v xml:space="preserve"> </v>
      </c>
      <c r="M724" s="135" t="str">
        <f>IF($F724=" "," ",IFERROR(VLOOKUP($F724,'депозитный калькулятор'!$B$26:$F$70,4,0),0))</f>
        <v xml:space="preserve"> </v>
      </c>
      <c r="N724" s="135" t="str">
        <f>IF($F724=" "," ",IFERROR(VLOOKUP($F724,'депозитный калькулятор'!$B$26:$F$70,5,0),0))</f>
        <v xml:space="preserve"> </v>
      </c>
      <c r="O724" s="146" t="str">
        <f>IF(F724&gt;'депозитный калькулятор'!$D$8," ",IF(F724='депозитный калькулятор'!$D$8,IF(AND($F$24='депозитный калькулятор'!$D$8,'депозитный калькулятор'!$G$13="нет"),-G724-IF(I724=" ",0,I724)-IF(AND(OR('депозитный калькулятор'!$G$7="30/365",'депозитный калькулятор'!$G$7="30/360"),'депозитный калькулятор'!$G$10="в начале срока"),I723,0)-L724+M724-N724,-G724-IF(I724=" ",0,I724)-L724+M724-N724),IF('депозитный калькулятор'!$G$13="есть",M724-N724+IF('депозитный калькулятор'!$G$14="есть",0,-L724),-IF(I724=" ",0,I724)-IF(AND(OR('депозитный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срока"),I723,0)+M724-N724+IF('депозитный калькулятор'!$G$14="есть",0,-L724))))</f>
        <v xml:space="preserve"> </v>
      </c>
      <c r="P724" s="147" t="str">
        <f>IF(F724&gt;'депозитный калькулятор'!$D$8," ",IF(EOMONTH(F723,0)=F723,0,IF(G724&gt;='депозитный калькулятор'!$G$19,P723,P723+1)))</f>
        <v xml:space="preserve"> </v>
      </c>
      <c r="Q724" s="138" t="str">
        <f>IF(F724=" "," ",IF(AND(OR('депозитный калькулятор'!$G$7="30/365",'депозитный калькулятор'!$G$7="30/360"),AND(MONTH(F724)=2,EOMONTH(F724,0)=F724)),IF(DAY(F724)=28,3,2),1)*IF(G724&gt;='депозитный калькулятор'!$G$11,IF(AND('депозитный калькулятор'!$G$7="факт/факт",MOD(YEAR(F724),4)=0),G724*'депозитный калькулятор'!$D$11/366,G724*'депозитный калькулятор'!$G$8),0))</f>
        <v xml:space="preserve"> </v>
      </c>
      <c r="R724" s="158"/>
      <c r="S724" s="62" t="str">
        <f t="shared" ca="1" si="52"/>
        <v xml:space="preserve"> </v>
      </c>
      <c r="T724" s="149" t="str">
        <f ca="1">IF(S724=" "," ",IF('депозитный калькулятор'!$G$7="30/360",DAYS360(U723,IF(DAY(U724)=31,U724-1,U724))+IF(AND(MONTH(U724)=2,U724=EOMONTH(U724,0)),30-DAY(EOMONTH(U724,0)))+T723,VLOOKUP(S724,$C$22:$F$1023,2,0)))</f>
        <v xml:space="preserve"> </v>
      </c>
      <c r="U724" s="64" t="str">
        <f t="shared" ca="1" si="50"/>
        <v xml:space="preserve"> </v>
      </c>
      <c r="V724" s="150" t="str">
        <f t="shared" ca="1" si="53"/>
        <v xml:space="preserve"> </v>
      </c>
      <c r="W724" s="62" t="str">
        <f t="shared" ca="1" si="54"/>
        <v xml:space="preserve"> </v>
      </c>
      <c r="X724" s="141" t="str">
        <f ca="1">IF(S724=" "," ",IFERROR(VLOOKUP(U724,$F$23:$N$1023,7)+VLOOKUP(U724,$F$23:$N$1023,9)+IF(AND('депозитный калькулятор'!$G$13="нет",U724&lt;&gt;'депозитный калькулятор'!$D$8),VLOOKUP(U724,$F$23:$N$1023,4),0),0)+IF(U724='депозитный калькулятор'!$D$8,VLOOKUP(U724,$F$23:$N$1023,2)+VLOOKUP(U724,$F$23:$N$1023,4),0))</f>
        <v xml:space="preserve"> </v>
      </c>
      <c r="Y724" s="142" t="str">
        <f ca="1">IF(S724=" "," ",W724/(1+'депозитный калькулятор'!$K$8)^(T724/IF('депозитный калькулятор'!$G$7="30/360",360,365)))</f>
        <v xml:space="preserve"> </v>
      </c>
      <c r="Z724" s="142" t="str">
        <f ca="1">IF(S724=" "," ",X724/(1+'депозитный калькулятор'!$K$8)^(T724/IF('депозитный калькулятор'!$G$7="30/360",360,365)))</f>
        <v xml:space="preserve"> </v>
      </c>
      <c r="AA724" s="151"/>
      <c r="AB724" s="151"/>
      <c r="AC724" s="155"/>
      <c r="AD724" s="155"/>
    </row>
    <row r="725" spans="1:30" s="2" customFormat="1" ht="15.5" x14ac:dyDescent="0.35">
      <c r="A725" s="41" t="str">
        <f>IF(F725=" "," ",IF(OR('депозитный калькулятор'!$G$7="30/365",'депозитный калькулятор'!$G$7="30/360"),IF(AND(MONTH(F725)=2,DAY(F725)=DAY(EOMONTH(F725,0))),30-DAY(EOMONTH(F725,0)),IF(DAY(F725)=31,1," "))," "))</f>
        <v xml:space="preserve"> </v>
      </c>
      <c r="B725" s="130" t="str">
        <f t="shared" si="51"/>
        <v xml:space="preserve"> </v>
      </c>
      <c r="C725" s="130" t="str">
        <f>IF(OR(B725=0,B725=" ")," ",SUM($B$23:B725))</f>
        <v xml:space="preserve"> </v>
      </c>
      <c r="D725" s="62" t="str">
        <f>IF(D724=" "," ",IF(OR(F724='депозитный калькулятор'!$D$8,F724=" ")," ",D724+1))</f>
        <v xml:space="preserve"> </v>
      </c>
      <c r="E725" s="130" t="str">
        <f>IF(OR(F724='депозитный калькулятор'!$D$8,F724=" ")," ",IF(EOMONTH(F724,0)=F724,1,E724+1))</f>
        <v xml:space="preserve"> </v>
      </c>
      <c r="F725" s="64" t="str">
        <f>IF(F724=" "," ",IF(F724='депозитный калькулятор'!$D$8," ",F724+1))</f>
        <v xml:space="preserve"> </v>
      </c>
      <c r="G725" s="145" t="str">
        <f xml:space="preserve"> IF(F725&gt;'депозитный калькулятор'!$D$8," ",IF('депозитный калькулятор'!$G$13="есть",IF('депозитный калькулятор'!$G$14="есть",G724+IF(I724=" ",0,I724)-J725-K725+L725+M725-N725,G724+IF(I724=" ",0,I724)-J725-K725+M725-N725),IF('депозитный калькулятор'!$G$14="есть",G724-J725-K725+L725+M725-N725,G724-J725-K725+M725-N725)))</f>
        <v xml:space="preserve"> </v>
      </c>
      <c r="H725" s="133" t="str">
        <f>IF(F725&gt;'депозитный калькулятор'!$D$8," ",IF(AND(OR('депозитный калькулятор'!$G$7="30/365",'депозитный калькулятор'!$G$7="30/360"),AND(MONTH(F725)=2,EOMONTH(F725,0)=F725)),IF(DAY(F725)=28,3*G725*'депозитный калькулятор'!$G$8,2*G725*'депозитный калькулятор'!$G$8),IF(AND(OR('депозитный калькулятор'!$G$7="30/365",'депозитный калькулятор'!$G$7="30/360"),DAY(F725)=31)," ",IF(AND('депозитный калькулятор'!$G$7="факт/факт",MOD(YEAR(F725),4)=0),G725*'депозитный калькулятор'!$D$11/366,G725*'депозитный калькулятор'!$G$8))))</f>
        <v xml:space="preserve"> </v>
      </c>
      <c r="I725" s="134" t="str">
        <f ca="1">IF(F725=" "," ",IF('депозитный калькулятор'!$G$10="ежедневное",H725,IF(AND('депозитный калькулятор'!$G$10="еженедельное",WEEKDAY(F725,2)=7),SUM(OFFSET(H725,-6,0):H725),IF(AND('депозитный калькулятор'!$G$10="еженедельное",F725='депозитный калькулятор'!$D$8),SUM($H$23:H725)-SUM($I$23:I724),IF(AND('депозитный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недели",WEEKDAY(F725,2)=7),MIN(OFFSET(H725,-6,0):H725)*(COUNTIF(OFFSET(H725,-6,0):H725,"&gt;0")+SUMIF(OFFSET(A725,-WEEKDAY(F725,2),0):A725,"=2",OFFSET(A725,-WEEKDAY(F725,2),0):A725)),IF(AND('депозитный калькулятор'!$G$10="еженедельное, на минимальную сумму зафиксированную в течение недели",F725='депозитный калькулятор'!$D$8,WEEKDAY(F725,2)&lt;&gt;7),MIN(OFFSET(H725,-WEEKDAY(F725,2),0):H725)*(COUNTIF(OFFSET(H725,-WEEKDAY(F725,2)+1,0):H725,"&gt;0")+SUM(OFFSET(A725,-WEEKDAY(F725,2),0):A725)),IF(AND('депозитный калькулятор'!$G$10="ежемесячное (в конце месяца)",F725='депозитный калькулятор'!$D$8,EOMONTH(F725,0)&lt;&gt;F725),IF('депозитный калькулятор'!$F$1=1,$H$24,SUM($H$23:H725)-SUM($I$23:I724)),IF(AND('депозитный калькулятор'!$G$10="ежемесячное (в конце месяца)",EOMONTH(F725,0)=F725),SUM($H$23:H725)-SUM($I$23:I724),IF(AND('депозитный калькулятор'!$G$10="ежемесячное (по дням открытия вклада)",F725='депозитный калькулятор'!$D$8,DAY('депозитный калькулятор'!$D$7)&lt;&gt;DAY(F725)),IF('депозитный калькулятор'!$F$1=1,$H$24,SUM($H$23:H725)-SUM($I$23:I724)),IF(AND('депозитный калькулятор'!$G$10="ежемесячное (по дням открытия вклада)",DAY('депозитный калькулятор'!$D$7)=DAY(F725)),SUM($H$23:H725)-SUM($I$23:I724),IF(AND('депозитный калькулятор'!$G$10="ежемесячное, на минимальную сумму зафиксированную в течение месяца",F725='депозитный калькулятор'!$D$8,EOMONTH(F725,0)&lt;&gt;F725),IF('депозитный калькулятор'!$F$1=1,$H$24,IF(AND(OR('депозитный калькулятор'!$G$7="30/365",'депозитный калькулятор'!$G$7="30/360"),DAY(F725)=31),0,MIN(OFFSET(H725,-E725+1,0):H725)*(E725+SUMIF(OFFSET(A725,-E725+1,0):A725,"=2",OFFSET(A725,-E725+1,0):A725)))),IF(AND('депозитный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калькулятор'!$G$7="30/360"),DAY(EOMONTH(F725,0))=31),EOMONTH(F725,0)-1=F725,EOMONTH(F725,0)=F725)),IF(IF(AND(OR('депозитный калькулятор'!$G$7="30/365",'депозитный калькулятор'!$G$7="30/360"),DAY(EOMONTH($F$23,0))=31),F725=EOMONTH($F$23,0)-1,F725=EOMONTH($F$23,0)),MIN(OFFSET(H725,-(DAY(F725)-DAY($F$23)),0):H725)*E725,MIN(OFFSET(H725,-(DAY(F725)-1),0):H725)*IF(AND(OR('депозитный калькулятор'!$G$7="30/365",'депозитный калькулятор'!$G$7="30/360"),DAY(F725)&lt;30),30,DAY(F725))),IF(AND('депозитный калькулятор'!$G$10="ежемесячное, на средний остаток в течение месяца, при условии что остаток больше чем ограничение",F725='депозитный калькулятор'!$D$8,EOMONTH(F725,0)&lt;&gt;F725),IF('депозитный калькулятор'!$F$1=1,$H$24,SUM(OFFSET(Q725,-E725+1,0):Q725)),IF(AND('депозитный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калькулятор'!$G$7="30/360"),DAY(EOMONTH(F725,0))=31),EOMONTH(F725,0)-1=F725,EOMONTH(F725,0)=F725)),IF(IF(AND(OR('депозитный калькулятор'!$G$7="30/365",'депозитный калькулятор'!$G$7="30/360"),DAY(EOMONTH($F$24,0))=31),F725=EOMONTH($F$24,0)-1,F725=EOMONTH($F$24,0)),SUM(OFFSET(Q725,-E725+1,0):Q725),SUM(OFFSET(Q725,-E725+1,0):Q725)),IF('депозитный калькулятор'!$G$10="ежеквартальное",IF(F725&gt;'депозитный калькулятор'!$D$8," ",IF(AND(EOMONTH(F725,0)=F725,OR(MONTH(F725)=3,MONTH(F725)=6,MONTH(F725)=9,MONTH(F725)=12)),IF(EDATE(F725,-3)&lt;'депозитный калькулятор'!$D$7,SUM($H$23:H725),IF(MOD(YEAR(F725),4)=0,IF(AND(EOMONTH(F725,0)=F725,OR(MONTH(F725)=3,MONTH(F725)=6)),SUM(OFFSET(H725,-90,0):H725),IF(AND(EOMONTH(F725,0)=F725,OR(MONTH(F725)=9,MONTH(F725)=12)),SUM(OFFSET(H725,-91,0):H725))),IF(AND(EOMONTH(F725,0)=F725,MONTH(F725)=3),SUM(OFFSET(H725,-89,0):H725),IF(AND(EOMONTH(F725,0)=F725,MONTH(F725)=6),SUM(OFFSET(H725,-90,0):H725),IF(AND(EOMONTH(F725,0)=F725,OR(MONTH(F725)=9,MONTH(F725)=12)),SUM(OFFSET(H725,-91,0):H725)))))),IF(F725='депозитный калькулятор'!$D$8,SUM($H$23:H725)-SUM($I$23:I724),0))),IF('депозитный калькулятор'!$G$10="ежегодное",IF(F725&gt;'депозитный калькулятор'!$D$8," ",IF(F725='депозитный калькулятор'!$D$8,SUM($H$23:H725)-SUM($I$23:I724),IF(AND(EOMONTH(F725,0)=F725,MONTH(F725)=12),IF(MOD(YEAR(F724),4)=0,IF(F725-'депозитный калькулятор'!$D$7&lt;366,SUM($H$23:H725),SUM(OFFSET(H725,-365,0):H725)),IF(F725-'депозитный калькулятор'!$D$7&lt;365,SUM($H$23:H725),SUM(OFFSET(H725,-364,0):H725))),0))),IF(AND('депозитный калькулятор'!$G$10="в конце срока",'депозитный калькулятор'!$D$8=F725),SUM($H$23:H725),0))))))))))))))))))</f>
        <v xml:space="preserve"> </v>
      </c>
      <c r="J725" s="59" t="str">
        <f>IF(F725&gt;'депозитный калькулятор'!$D$8," ",IF('депозитный калькулятор'!$G$16="нет",0,IF(AND('депозитный калькулятор'!$G$17="разовая (в конце срока)",F725='депозитный калькулятор'!$D$8),'депозитный калькулятор'!$G$18,IF(AND('депозитный калькулятор'!$G$17="ежемесячная",EOMONTH(F724,0)=F724),'депозитный калькулятор'!$G$18,IF(AND('депозитный калькулятор'!$G$17="ежегодная",DAY(F724)=31,MONTH(F724)=12),'депозитный калькулятор'!$G$18,IF(AND('депозитный калькулятор'!$G$17="ежемесячная в зависимости от остатка",EOMONTH(F724,0)=F724,P724&gt;0),'депозитный калькулятор'!$G$18,IF(AND('депозитный калькулятор'!$G$17="ежегодная в зависимости от остатка",DAY(F724)=31,MONTH(F724)=12,P724&gt;0),'депозитный калькулятор'!$G$18,0)))))))</f>
        <v xml:space="preserve"> </v>
      </c>
      <c r="K725" s="135" t="str">
        <f>IF($F725=" "," ",IFERROR(VLOOKUP($F725,'депозитный калькулятор'!$B$26:$F$70,2,0),0))</f>
        <v xml:space="preserve"> </v>
      </c>
      <c r="L725" s="135" t="str">
        <f>IF($F725=" "," ",IFERROR(VLOOKUP($F725,'депозитный калькулятор'!$B$26:$F$70,3,0),0))</f>
        <v xml:space="preserve"> </v>
      </c>
      <c r="M725" s="135" t="str">
        <f>IF($F725=" "," ",IFERROR(VLOOKUP($F725,'депозитный калькулятор'!$B$26:$F$70,4,0),0))</f>
        <v xml:space="preserve"> </v>
      </c>
      <c r="N725" s="135" t="str">
        <f>IF($F725=" "," ",IFERROR(VLOOKUP($F725,'депозитный калькулятор'!$B$26:$F$70,5,0),0))</f>
        <v xml:space="preserve"> </v>
      </c>
      <c r="O725" s="146" t="str">
        <f>IF(F725&gt;'депозитный калькулятор'!$D$8," ",IF(F725='депозитный калькулятор'!$D$8,IF(AND($F$24='депозитный калькулятор'!$D$8,'депозитный калькулятор'!$G$13="нет"),-G725-IF(I725=" ",0,I725)-IF(AND(OR('депозитный калькулятор'!$G$7="30/365",'депозитный калькулятор'!$G$7="30/360"),'депозитный калькулятор'!$G$10="в начале срока"),I724,0)-L725+M725-N725,-G725-IF(I725=" ",0,I725)-L725+M725-N725),IF('депозитный калькулятор'!$G$13="есть",M725-N725+IF('депозитный калькулятор'!$G$14="есть",0,-L725),-IF(I725=" ",0,I725)-IF(AND(OR('депозитный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срока"),I724,0)+M725-N725+IF('депозитный калькулятор'!$G$14="есть",0,-L725))))</f>
        <v xml:space="preserve"> </v>
      </c>
      <c r="P725" s="147" t="str">
        <f>IF(F725&gt;'депозитный калькулятор'!$D$8," ",IF(EOMONTH(F724,0)=F724,0,IF(G725&gt;='депозитный калькулятор'!$G$19,P724,P724+1)))</f>
        <v xml:space="preserve"> </v>
      </c>
      <c r="Q725" s="138" t="str">
        <f>IF(F725=" "," ",IF(AND(OR('депозитный калькулятор'!$G$7="30/365",'депозитный калькулятор'!$G$7="30/360"),AND(MONTH(F725)=2,EOMONTH(F725,0)=F725)),IF(DAY(F725)=28,3,2),1)*IF(G725&gt;='депозитный калькулятор'!$G$11,IF(AND('депозитный калькулятор'!$G$7="факт/факт",MOD(YEAR(F725),4)=0),G725*'депозитный калькулятор'!$D$11/366,G725*'депозитный калькулятор'!$G$8),0))</f>
        <v xml:space="preserve"> </v>
      </c>
      <c r="R725" s="158"/>
      <c r="S725" s="62" t="str">
        <f t="shared" ca="1" si="52"/>
        <v xml:space="preserve"> </v>
      </c>
      <c r="T725" s="149" t="str">
        <f ca="1">IF(S725=" "," ",IF('депозитный калькулятор'!$G$7="30/360",DAYS360(U724,IF(DAY(U725)=31,U725-1,U725))+IF(AND(MONTH(U725)=2,U725=EOMONTH(U725,0)),30-DAY(EOMONTH(U725,0)))+T724,VLOOKUP(S725,$C$22:$F$1023,2,0)))</f>
        <v xml:space="preserve"> </v>
      </c>
      <c r="U725" s="64" t="str">
        <f t="shared" ca="1" si="50"/>
        <v xml:space="preserve"> </v>
      </c>
      <c r="V725" s="150" t="str">
        <f t="shared" ca="1" si="53"/>
        <v xml:space="preserve"> </v>
      </c>
      <c r="W725" s="62" t="str">
        <f t="shared" ca="1" si="54"/>
        <v xml:space="preserve"> </v>
      </c>
      <c r="X725" s="141" t="str">
        <f ca="1">IF(S725=" "," ",IFERROR(VLOOKUP(U725,$F$23:$N$1023,7)+VLOOKUP(U725,$F$23:$N$1023,9)+IF(AND('депозитный калькулятор'!$G$13="нет",U725&lt;&gt;'депозитный калькулятор'!$D$8),VLOOKUP(U725,$F$23:$N$1023,4),0),0)+IF(U725='депозитный калькулятор'!$D$8,VLOOKUP(U725,$F$23:$N$1023,2)+VLOOKUP(U725,$F$23:$N$1023,4),0))</f>
        <v xml:space="preserve"> </v>
      </c>
      <c r="Y725" s="142" t="str">
        <f ca="1">IF(S725=" "," ",W725/(1+'депозитный калькулятор'!$K$8)^(T725/IF('депозитный калькулятор'!$G$7="30/360",360,365)))</f>
        <v xml:space="preserve"> </v>
      </c>
      <c r="Z725" s="142" t="str">
        <f ca="1">IF(S725=" "," ",X725/(1+'депозитный калькулятор'!$K$8)^(T725/IF('депозитный калькулятор'!$G$7="30/360",360,365)))</f>
        <v xml:space="preserve"> </v>
      </c>
      <c r="AA725" s="151"/>
      <c r="AB725" s="151"/>
      <c r="AC725" s="155"/>
      <c r="AD725" s="155"/>
    </row>
    <row r="726" spans="1:30" s="2" customFormat="1" ht="15.5" x14ac:dyDescent="0.35">
      <c r="A726" s="41" t="str">
        <f>IF(F726=" "," ",IF(OR('депозитный калькулятор'!$G$7="30/365",'депозитный калькулятор'!$G$7="30/360"),IF(AND(MONTH(F726)=2,DAY(F726)=DAY(EOMONTH(F726,0))),30-DAY(EOMONTH(F726,0)),IF(DAY(F726)=31,1," "))," "))</f>
        <v xml:space="preserve"> </v>
      </c>
      <c r="B726" s="130" t="str">
        <f t="shared" si="51"/>
        <v xml:space="preserve"> </v>
      </c>
      <c r="C726" s="130" t="str">
        <f>IF(OR(B726=0,B726=" ")," ",SUM($B$23:B726))</f>
        <v xml:space="preserve"> </v>
      </c>
      <c r="D726" s="62" t="str">
        <f>IF(D725=" "," ",IF(OR(F725='депозитный калькулятор'!$D$8,F725=" ")," ",D725+1))</f>
        <v xml:space="preserve"> </v>
      </c>
      <c r="E726" s="130" t="str">
        <f>IF(OR(F725='депозитный калькулятор'!$D$8,F725=" ")," ",IF(EOMONTH(F725,0)=F725,1,E725+1))</f>
        <v xml:space="preserve"> </v>
      </c>
      <c r="F726" s="64" t="str">
        <f>IF(F725=" "," ",IF(F725='депозитный калькулятор'!$D$8," ",F725+1))</f>
        <v xml:space="preserve"> </v>
      </c>
      <c r="G726" s="145" t="str">
        <f xml:space="preserve"> IF(F726&gt;'депозитный калькулятор'!$D$8," ",IF('депозитный калькулятор'!$G$13="есть",IF('депозитный калькулятор'!$G$14="есть",G725+IF(I725=" ",0,I725)-J726-K726+L726+M726-N726,G725+IF(I725=" ",0,I725)-J726-K726+M726-N726),IF('депозитный калькулятор'!$G$14="есть",G725-J726-K726+L726+M726-N726,G725-J726-K726+M726-N726)))</f>
        <v xml:space="preserve"> </v>
      </c>
      <c r="H726" s="133" t="str">
        <f>IF(F726&gt;'депозитный калькулятор'!$D$8," ",IF(AND(OR('депозитный калькулятор'!$G$7="30/365",'депозитный калькулятор'!$G$7="30/360"),AND(MONTH(F726)=2,EOMONTH(F726,0)=F726)),IF(DAY(F726)=28,3*G726*'депозитный калькулятор'!$G$8,2*G726*'депозитный калькулятор'!$G$8),IF(AND(OR('депозитный калькулятор'!$G$7="30/365",'депозитный калькулятор'!$G$7="30/360"),DAY(F726)=31)," ",IF(AND('депозитный калькулятор'!$G$7="факт/факт",MOD(YEAR(F726),4)=0),G726*'депозитный калькулятор'!$D$11/366,G726*'депозитный калькулятор'!$G$8))))</f>
        <v xml:space="preserve"> </v>
      </c>
      <c r="I726" s="134" t="str">
        <f ca="1">IF(F726=" "," ",IF('депозитный калькулятор'!$G$10="ежедневное",H726,IF(AND('депозитный калькулятор'!$G$10="еженедельное",WEEKDAY(F726,2)=7),SUM(OFFSET(H726,-6,0):H726),IF(AND('депозитный калькулятор'!$G$10="еженедельное",F726='депозитный калькулятор'!$D$8),SUM($H$23:H726)-SUM($I$23:I725),IF(AND('депозитный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недели",WEEKDAY(F726,2)=7),MIN(OFFSET(H726,-6,0):H726)*(COUNTIF(OFFSET(H726,-6,0):H726,"&gt;0")+SUMIF(OFFSET(A726,-WEEKDAY(F726,2),0):A726,"=2",OFFSET(A726,-WEEKDAY(F726,2),0):A726)),IF(AND('депозитный калькулятор'!$G$10="еженедельное, на минимальную сумму зафиксированную в течение недели",F726='депозитный калькулятор'!$D$8,WEEKDAY(F726,2)&lt;&gt;7),MIN(OFFSET(H726,-WEEKDAY(F726,2),0):H726)*(COUNTIF(OFFSET(H726,-WEEKDAY(F726,2)+1,0):H726,"&gt;0")+SUM(OFFSET(A726,-WEEKDAY(F726,2),0):A726)),IF(AND('депозитный калькулятор'!$G$10="ежемесячное (в конце месяца)",F726='депозитный калькулятор'!$D$8,EOMONTH(F726,0)&lt;&gt;F726),IF('депозитный калькулятор'!$F$1=1,$H$24,SUM($H$23:H726)-SUM($I$23:I725)),IF(AND('депозитный калькулятор'!$G$10="ежемесячное (в конце месяца)",EOMONTH(F726,0)=F726),SUM($H$23:H726)-SUM($I$23:I725),IF(AND('депозитный калькулятор'!$G$10="ежемесячное (по дням открытия вклада)",F726='депозитный калькулятор'!$D$8,DAY('депозитный калькулятор'!$D$7)&lt;&gt;DAY(F726)),IF('депозитный калькулятор'!$F$1=1,$H$24,SUM($H$23:H726)-SUM($I$23:I725)),IF(AND('депозитный калькулятор'!$G$10="ежемесячное (по дням открытия вклада)",DAY('депозитный калькулятор'!$D$7)=DAY(F726)),SUM($H$23:H726)-SUM($I$23:I725),IF(AND('депозитный калькулятор'!$G$10="ежемесячное, на минимальную сумму зафиксированную в течение месяца",F726='депозитный калькулятор'!$D$8,EOMONTH(F726,0)&lt;&gt;F726),IF('депозитный калькулятор'!$F$1=1,$H$24,IF(AND(OR('депозитный калькулятор'!$G$7="30/365",'депозитный калькулятор'!$G$7="30/360"),DAY(F726)=31),0,MIN(OFFSET(H726,-E726+1,0):H726)*(E726+SUMIF(OFFSET(A726,-E726+1,0):A726,"=2",OFFSET(A726,-E726+1,0):A726)))),IF(AND('депозитный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калькулятор'!$G$7="30/360"),DAY(EOMONTH(F726,0))=31),EOMONTH(F726,0)-1=F726,EOMONTH(F726,0)=F726)),IF(IF(AND(OR('депозитный калькулятор'!$G$7="30/365",'депозитный калькулятор'!$G$7="30/360"),DAY(EOMONTH($F$23,0))=31),F726=EOMONTH($F$23,0)-1,F726=EOMONTH($F$23,0)),MIN(OFFSET(H726,-(DAY(F726)-DAY($F$23)),0):H726)*E726,MIN(OFFSET(H726,-(DAY(F726)-1),0):H726)*IF(AND(OR('депозитный калькулятор'!$G$7="30/365",'депозитный калькулятор'!$G$7="30/360"),DAY(F726)&lt;30),30,DAY(F726))),IF(AND('депозитный калькулятор'!$G$10="ежемесячное, на средний остаток в течение месяца, при условии что остаток больше чем ограничение",F726='депозитный калькулятор'!$D$8,EOMONTH(F726,0)&lt;&gt;F726),IF('депозитный калькулятор'!$F$1=1,$H$24,SUM(OFFSET(Q726,-E726+1,0):Q726)),IF(AND('депозитный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калькулятор'!$G$7="30/360"),DAY(EOMONTH(F726,0))=31),EOMONTH(F726,0)-1=F726,EOMONTH(F726,0)=F726)),IF(IF(AND(OR('депозитный калькулятор'!$G$7="30/365",'депозитный калькулятор'!$G$7="30/360"),DAY(EOMONTH($F$24,0))=31),F726=EOMONTH($F$24,0)-1,F726=EOMONTH($F$24,0)),SUM(OFFSET(Q726,-E726+1,0):Q726),SUM(OFFSET(Q726,-E726+1,0):Q726)),IF('депозитный калькулятор'!$G$10="ежеквартальное",IF(F726&gt;'депозитный калькулятор'!$D$8," ",IF(AND(EOMONTH(F726,0)=F726,OR(MONTH(F726)=3,MONTH(F726)=6,MONTH(F726)=9,MONTH(F726)=12)),IF(EDATE(F726,-3)&lt;'депозитный калькулятор'!$D$7,SUM($H$23:H726),IF(MOD(YEAR(F726),4)=0,IF(AND(EOMONTH(F726,0)=F726,OR(MONTH(F726)=3,MONTH(F726)=6)),SUM(OFFSET(H726,-90,0):H726),IF(AND(EOMONTH(F726,0)=F726,OR(MONTH(F726)=9,MONTH(F726)=12)),SUM(OFFSET(H726,-91,0):H726))),IF(AND(EOMONTH(F726,0)=F726,MONTH(F726)=3),SUM(OFFSET(H726,-89,0):H726),IF(AND(EOMONTH(F726,0)=F726,MONTH(F726)=6),SUM(OFFSET(H726,-90,0):H726),IF(AND(EOMONTH(F726,0)=F726,OR(MONTH(F726)=9,MONTH(F726)=12)),SUM(OFFSET(H726,-91,0):H726)))))),IF(F726='депозитный калькулятор'!$D$8,SUM($H$23:H726)-SUM($I$23:I725),0))),IF('депозитный калькулятор'!$G$10="ежегодное",IF(F726&gt;'депозитный калькулятор'!$D$8," ",IF(F726='депозитный калькулятор'!$D$8,SUM($H$23:H726)-SUM($I$23:I725),IF(AND(EOMONTH(F726,0)=F726,MONTH(F726)=12),IF(MOD(YEAR(F725),4)=0,IF(F726-'депозитный калькулятор'!$D$7&lt;366,SUM($H$23:H726),SUM(OFFSET(H726,-365,0):H726)),IF(F726-'депозитный калькулятор'!$D$7&lt;365,SUM($H$23:H726),SUM(OFFSET(H726,-364,0):H726))),0))),IF(AND('депозитный калькулятор'!$G$10="в конце срока",'депозитный калькулятор'!$D$8=F726),SUM($H$23:H726),0))))))))))))))))))</f>
        <v xml:space="preserve"> </v>
      </c>
      <c r="J726" s="59" t="str">
        <f>IF(F726&gt;'депозитный калькулятор'!$D$8," ",IF('депозитный калькулятор'!$G$16="нет",0,IF(AND('депозитный калькулятор'!$G$17="разовая (в конце срока)",F726='депозитный калькулятор'!$D$8),'депозитный калькулятор'!$G$18,IF(AND('депозитный калькулятор'!$G$17="ежемесячная",EOMONTH(F725,0)=F725),'депозитный калькулятор'!$G$18,IF(AND('депозитный калькулятор'!$G$17="ежегодная",DAY(F725)=31,MONTH(F725)=12),'депозитный калькулятор'!$G$18,IF(AND('депозитный калькулятор'!$G$17="ежемесячная в зависимости от остатка",EOMONTH(F725,0)=F725,P725&gt;0),'депозитный калькулятор'!$G$18,IF(AND('депозитный калькулятор'!$G$17="ежегодная в зависимости от остатка",DAY(F725)=31,MONTH(F725)=12,P725&gt;0),'депозитный калькулятор'!$G$18,0)))))))</f>
        <v xml:space="preserve"> </v>
      </c>
      <c r="K726" s="135" t="str">
        <f>IF($F726=" "," ",IFERROR(VLOOKUP($F726,'депозитный калькулятор'!$B$26:$F$70,2,0),0))</f>
        <v xml:space="preserve"> </v>
      </c>
      <c r="L726" s="135" t="str">
        <f>IF($F726=" "," ",IFERROR(VLOOKUP($F726,'депозитный калькулятор'!$B$26:$F$70,3,0),0))</f>
        <v xml:space="preserve"> </v>
      </c>
      <c r="M726" s="135" t="str">
        <f>IF($F726=" "," ",IFERROR(VLOOKUP($F726,'депозитный калькулятор'!$B$26:$F$70,4,0),0))</f>
        <v xml:space="preserve"> </v>
      </c>
      <c r="N726" s="135" t="str">
        <f>IF($F726=" "," ",IFERROR(VLOOKUP($F726,'депозитный калькулятор'!$B$26:$F$70,5,0),0))</f>
        <v xml:space="preserve"> </v>
      </c>
      <c r="O726" s="146" t="str">
        <f>IF(F726&gt;'депозитный калькулятор'!$D$8," ",IF(F726='депозитный калькулятор'!$D$8,IF(AND($F$24='депозитный калькулятор'!$D$8,'депозитный калькулятор'!$G$13="нет"),-G726-IF(I726=" ",0,I726)-IF(AND(OR('депозитный калькулятор'!$G$7="30/365",'депозитный калькулятор'!$G$7="30/360"),'депозитный калькулятор'!$G$10="в начале срока"),I725,0)-L726+M726-N726,-G726-IF(I726=" ",0,I726)-L726+M726-N726),IF('депозитный калькулятор'!$G$13="есть",M726-N726+IF('депозитный калькулятор'!$G$14="есть",0,-L726),-IF(I726=" ",0,I726)-IF(AND(OR('депозитный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срока"),I725,0)+M726-N726+IF('депозитный калькулятор'!$G$14="есть",0,-L726))))</f>
        <v xml:space="preserve"> </v>
      </c>
      <c r="P726" s="147" t="str">
        <f>IF(F726&gt;'депозитный калькулятор'!$D$8," ",IF(EOMONTH(F725,0)=F725,0,IF(G726&gt;='депозитный калькулятор'!$G$19,P725,P725+1)))</f>
        <v xml:space="preserve"> </v>
      </c>
      <c r="Q726" s="138" t="str">
        <f>IF(F726=" "," ",IF(AND(OR('депозитный калькулятор'!$G$7="30/365",'депозитный калькулятор'!$G$7="30/360"),AND(MONTH(F726)=2,EOMONTH(F726,0)=F726)),IF(DAY(F726)=28,3,2),1)*IF(G726&gt;='депозитный калькулятор'!$G$11,IF(AND('депозитный калькулятор'!$G$7="факт/факт",MOD(YEAR(F726),4)=0),G726*'депозитный калькулятор'!$D$11/366,G726*'депозитный калькулятор'!$G$8),0))</f>
        <v xml:space="preserve"> </v>
      </c>
      <c r="R726" s="158"/>
      <c r="S726" s="62" t="str">
        <f t="shared" ca="1" si="52"/>
        <v xml:space="preserve"> </v>
      </c>
      <c r="T726" s="149" t="str">
        <f ca="1">IF(S726=" "," ",IF('депозитный калькулятор'!$G$7="30/360",DAYS360(U725,IF(DAY(U726)=31,U726-1,U726))+IF(AND(MONTH(U726)=2,U726=EOMONTH(U726,0)),30-DAY(EOMONTH(U726,0)))+T725,VLOOKUP(S726,$C$22:$F$1023,2,0)))</f>
        <v xml:space="preserve"> </v>
      </c>
      <c r="U726" s="64" t="str">
        <f t="shared" ca="1" si="50"/>
        <v xml:space="preserve"> </v>
      </c>
      <c r="V726" s="150" t="str">
        <f t="shared" ca="1" si="53"/>
        <v xml:space="preserve"> </v>
      </c>
      <c r="W726" s="62" t="str">
        <f t="shared" ca="1" si="54"/>
        <v xml:space="preserve"> </v>
      </c>
      <c r="X726" s="141" t="str">
        <f ca="1">IF(S726=" "," ",IFERROR(VLOOKUP(U726,$F$23:$N$1023,7)+VLOOKUP(U726,$F$23:$N$1023,9)+IF(AND('депозитный калькулятор'!$G$13="нет",U726&lt;&gt;'депозитный калькулятор'!$D$8),VLOOKUP(U726,$F$23:$N$1023,4),0),0)+IF(U726='депозитный калькулятор'!$D$8,VLOOKUP(U726,$F$23:$N$1023,2)+VLOOKUP(U726,$F$23:$N$1023,4),0))</f>
        <v xml:space="preserve"> </v>
      </c>
      <c r="Y726" s="142" t="str">
        <f ca="1">IF(S726=" "," ",W726/(1+'депозитный калькулятор'!$K$8)^(T726/IF('депозитный калькулятор'!$G$7="30/360",360,365)))</f>
        <v xml:space="preserve"> </v>
      </c>
      <c r="Z726" s="142" t="str">
        <f ca="1">IF(S726=" "," ",X726/(1+'депозитный калькулятор'!$K$8)^(T726/IF('депозитный калькулятор'!$G$7="30/360",360,365)))</f>
        <v xml:space="preserve"> </v>
      </c>
      <c r="AA726" s="151"/>
      <c r="AB726" s="151"/>
      <c r="AC726" s="155"/>
      <c r="AD726" s="155"/>
    </row>
    <row r="727" spans="1:30" s="2" customFormat="1" ht="15.5" x14ac:dyDescent="0.35">
      <c r="A727" s="41" t="str">
        <f>IF(F727=" "," ",IF(OR('депозитный калькулятор'!$G$7="30/365",'депозитный калькулятор'!$G$7="30/360"),IF(AND(MONTH(F727)=2,DAY(F727)=DAY(EOMONTH(F727,0))),30-DAY(EOMONTH(F727,0)),IF(DAY(F727)=31,1," "))," "))</f>
        <v xml:space="preserve"> </v>
      </c>
      <c r="B727" s="130" t="str">
        <f t="shared" si="51"/>
        <v xml:space="preserve"> </v>
      </c>
      <c r="C727" s="130" t="str">
        <f>IF(OR(B727=0,B727=" ")," ",SUM($B$23:B727))</f>
        <v xml:space="preserve"> </v>
      </c>
      <c r="D727" s="62" t="str">
        <f>IF(D726=" "," ",IF(OR(F726='депозитный калькулятор'!$D$8,F726=" ")," ",D726+1))</f>
        <v xml:space="preserve"> </v>
      </c>
      <c r="E727" s="130" t="str">
        <f>IF(OR(F726='депозитный калькулятор'!$D$8,F726=" ")," ",IF(EOMONTH(F726,0)=F726,1,E726+1))</f>
        <v xml:space="preserve"> </v>
      </c>
      <c r="F727" s="64" t="str">
        <f>IF(F726=" "," ",IF(F726='депозитный калькулятор'!$D$8," ",F726+1))</f>
        <v xml:space="preserve"> </v>
      </c>
      <c r="G727" s="145" t="str">
        <f xml:space="preserve"> IF(F727&gt;'депозитный калькулятор'!$D$8," ",IF('депозитный калькулятор'!$G$13="есть",IF('депозитный калькулятор'!$G$14="есть",G726+IF(I726=" ",0,I726)-J727-K727+L727+M727-N727,G726+IF(I726=" ",0,I726)-J727-K727+M727-N727),IF('депозитный калькулятор'!$G$14="есть",G726-J727-K727+L727+M727-N727,G726-J727-K727+M727-N727)))</f>
        <v xml:space="preserve"> </v>
      </c>
      <c r="H727" s="133" t="str">
        <f>IF(F727&gt;'депозитный калькулятор'!$D$8," ",IF(AND(OR('депозитный калькулятор'!$G$7="30/365",'депозитный калькулятор'!$G$7="30/360"),AND(MONTH(F727)=2,EOMONTH(F727,0)=F727)),IF(DAY(F727)=28,3*G727*'депозитный калькулятор'!$G$8,2*G727*'депозитный калькулятор'!$G$8),IF(AND(OR('депозитный калькулятор'!$G$7="30/365",'депозитный калькулятор'!$G$7="30/360"),DAY(F727)=31)," ",IF(AND('депозитный калькулятор'!$G$7="факт/факт",MOD(YEAR(F727),4)=0),G727*'депозитный калькулятор'!$D$11/366,G727*'депозитный калькулятор'!$G$8))))</f>
        <v xml:space="preserve"> </v>
      </c>
      <c r="I727" s="134" t="str">
        <f ca="1">IF(F727=" "," ",IF('депозитный калькулятор'!$G$10="ежедневное",H727,IF(AND('депозитный калькулятор'!$G$10="еженедельное",WEEKDAY(F727,2)=7),SUM(OFFSET(H727,-6,0):H727),IF(AND('депозитный калькулятор'!$G$10="еженедельное",F727='депозитный калькулятор'!$D$8),SUM($H$23:H727)-SUM($I$23:I726),IF(AND('депозитный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недели",WEEKDAY(F727,2)=7),MIN(OFFSET(H727,-6,0):H727)*(COUNTIF(OFFSET(H727,-6,0):H727,"&gt;0")+SUMIF(OFFSET(A727,-WEEKDAY(F727,2),0):A727,"=2",OFFSET(A727,-WEEKDAY(F727,2),0):A727)),IF(AND('депозитный калькулятор'!$G$10="еженедельное, на минимальную сумму зафиксированную в течение недели",F727='депозитный калькулятор'!$D$8,WEEKDAY(F727,2)&lt;&gt;7),MIN(OFFSET(H727,-WEEKDAY(F727,2),0):H727)*(COUNTIF(OFFSET(H727,-WEEKDAY(F727,2)+1,0):H727,"&gt;0")+SUM(OFFSET(A727,-WEEKDAY(F727,2),0):A727)),IF(AND('депозитный калькулятор'!$G$10="ежемесячное (в конце месяца)",F727='депозитный калькулятор'!$D$8,EOMONTH(F727,0)&lt;&gt;F727),IF('депозитный калькулятор'!$F$1=1,$H$24,SUM($H$23:H727)-SUM($I$23:I726)),IF(AND('депозитный калькулятор'!$G$10="ежемесячное (в конце месяца)",EOMONTH(F727,0)=F727),SUM($H$23:H727)-SUM($I$23:I726),IF(AND('депозитный калькулятор'!$G$10="ежемесячное (по дням открытия вклада)",F727='депозитный калькулятор'!$D$8,DAY('депозитный калькулятор'!$D$7)&lt;&gt;DAY(F727)),IF('депозитный калькулятор'!$F$1=1,$H$24,SUM($H$23:H727)-SUM($I$23:I726)),IF(AND('депозитный калькулятор'!$G$10="ежемесячное (по дням открытия вклада)",DAY('депозитный калькулятор'!$D$7)=DAY(F727)),SUM($H$23:H727)-SUM($I$23:I726),IF(AND('депозитный калькулятор'!$G$10="ежемесячное, на минимальную сумму зафиксированную в течение месяца",F727='депозитный калькулятор'!$D$8,EOMONTH(F727,0)&lt;&gt;F727),IF('депозитный калькулятор'!$F$1=1,$H$24,IF(AND(OR('депозитный калькулятор'!$G$7="30/365",'депозитный калькулятор'!$G$7="30/360"),DAY(F727)=31),0,MIN(OFFSET(H727,-E727+1,0):H727)*(E727+SUMIF(OFFSET(A727,-E727+1,0):A727,"=2",OFFSET(A727,-E727+1,0):A727)))),IF(AND('депозитный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калькулятор'!$G$7="30/360"),DAY(EOMONTH(F727,0))=31),EOMONTH(F727,0)-1=F727,EOMONTH(F727,0)=F727)),IF(IF(AND(OR('депозитный калькулятор'!$G$7="30/365",'депозитный калькулятор'!$G$7="30/360"),DAY(EOMONTH($F$23,0))=31),F727=EOMONTH($F$23,0)-1,F727=EOMONTH($F$23,0)),MIN(OFFSET(H727,-(DAY(F727)-DAY($F$23)),0):H727)*E727,MIN(OFFSET(H727,-(DAY(F727)-1),0):H727)*IF(AND(OR('депозитный калькулятор'!$G$7="30/365",'депозитный калькулятор'!$G$7="30/360"),DAY(F727)&lt;30),30,DAY(F727))),IF(AND('депозитный калькулятор'!$G$10="ежемесячное, на средний остаток в течение месяца, при условии что остаток больше чем ограничение",F727='депозитный калькулятор'!$D$8,EOMONTH(F727,0)&lt;&gt;F727),IF('депозитный калькулятор'!$F$1=1,$H$24,SUM(OFFSET(Q727,-E727+1,0):Q727)),IF(AND('депозитный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калькулятор'!$G$7="30/360"),DAY(EOMONTH(F727,0))=31),EOMONTH(F727,0)-1=F727,EOMONTH(F727,0)=F727)),IF(IF(AND(OR('депозитный калькулятор'!$G$7="30/365",'депозитный калькулятор'!$G$7="30/360"),DAY(EOMONTH($F$24,0))=31),F727=EOMONTH($F$24,0)-1,F727=EOMONTH($F$24,0)),SUM(OFFSET(Q727,-E727+1,0):Q727),SUM(OFFSET(Q727,-E727+1,0):Q727)),IF('депозитный калькулятор'!$G$10="ежеквартальное",IF(F727&gt;'депозитный калькулятор'!$D$8," ",IF(AND(EOMONTH(F727,0)=F727,OR(MONTH(F727)=3,MONTH(F727)=6,MONTH(F727)=9,MONTH(F727)=12)),IF(EDATE(F727,-3)&lt;'депозитный калькулятор'!$D$7,SUM($H$23:H727),IF(MOD(YEAR(F727),4)=0,IF(AND(EOMONTH(F727,0)=F727,OR(MONTH(F727)=3,MONTH(F727)=6)),SUM(OFFSET(H727,-90,0):H727),IF(AND(EOMONTH(F727,0)=F727,OR(MONTH(F727)=9,MONTH(F727)=12)),SUM(OFFSET(H727,-91,0):H727))),IF(AND(EOMONTH(F727,0)=F727,MONTH(F727)=3),SUM(OFFSET(H727,-89,0):H727),IF(AND(EOMONTH(F727,0)=F727,MONTH(F727)=6),SUM(OFFSET(H727,-90,0):H727),IF(AND(EOMONTH(F727,0)=F727,OR(MONTH(F727)=9,MONTH(F727)=12)),SUM(OFFSET(H727,-91,0):H727)))))),IF(F727='депозитный калькулятор'!$D$8,SUM($H$23:H727)-SUM($I$23:I726),0))),IF('депозитный калькулятор'!$G$10="ежегодное",IF(F727&gt;'депозитный калькулятор'!$D$8," ",IF(F727='депозитный калькулятор'!$D$8,SUM($H$23:H727)-SUM($I$23:I726),IF(AND(EOMONTH(F727,0)=F727,MONTH(F727)=12),IF(MOD(YEAR(F726),4)=0,IF(F727-'депозитный калькулятор'!$D$7&lt;366,SUM($H$23:H727),SUM(OFFSET(H727,-365,0):H727)),IF(F727-'депозитный калькулятор'!$D$7&lt;365,SUM($H$23:H727),SUM(OFFSET(H727,-364,0):H727))),0))),IF(AND('депозитный калькулятор'!$G$10="в конце срока",'депозитный калькулятор'!$D$8=F727),SUM($H$23:H727),0))))))))))))))))))</f>
        <v xml:space="preserve"> </v>
      </c>
      <c r="J727" s="59" t="str">
        <f>IF(F727&gt;'депозитный калькулятор'!$D$8," ",IF('депозитный калькулятор'!$G$16="нет",0,IF(AND('депозитный калькулятор'!$G$17="разовая (в конце срока)",F727='депозитный калькулятор'!$D$8),'депозитный калькулятор'!$G$18,IF(AND('депозитный калькулятор'!$G$17="ежемесячная",EOMONTH(F726,0)=F726),'депозитный калькулятор'!$G$18,IF(AND('депозитный калькулятор'!$G$17="ежегодная",DAY(F726)=31,MONTH(F726)=12),'депозитный калькулятор'!$G$18,IF(AND('депозитный калькулятор'!$G$17="ежемесячная в зависимости от остатка",EOMONTH(F726,0)=F726,P726&gt;0),'депозитный калькулятор'!$G$18,IF(AND('депозитный калькулятор'!$G$17="ежегодная в зависимости от остатка",DAY(F726)=31,MONTH(F726)=12,P726&gt;0),'депозитный калькулятор'!$G$18,0)))))))</f>
        <v xml:space="preserve"> </v>
      </c>
      <c r="K727" s="135" t="str">
        <f>IF($F727=" "," ",IFERROR(VLOOKUP($F727,'депозитный калькулятор'!$B$26:$F$70,2,0),0))</f>
        <v xml:space="preserve"> </v>
      </c>
      <c r="L727" s="135" t="str">
        <f>IF($F727=" "," ",IFERROR(VLOOKUP($F727,'депозитный калькулятор'!$B$26:$F$70,3,0),0))</f>
        <v xml:space="preserve"> </v>
      </c>
      <c r="M727" s="135" t="str">
        <f>IF($F727=" "," ",IFERROR(VLOOKUP($F727,'депозитный калькулятор'!$B$26:$F$70,4,0),0))</f>
        <v xml:space="preserve"> </v>
      </c>
      <c r="N727" s="135" t="str">
        <f>IF($F727=" "," ",IFERROR(VLOOKUP($F727,'депозитный калькулятор'!$B$26:$F$70,5,0),0))</f>
        <v xml:space="preserve"> </v>
      </c>
      <c r="O727" s="146" t="str">
        <f>IF(F727&gt;'депозитный калькулятор'!$D$8," ",IF(F727='депозитный калькулятор'!$D$8,IF(AND($F$24='депозитный калькулятор'!$D$8,'депозитный калькулятор'!$G$13="нет"),-G727-IF(I727=" ",0,I727)-IF(AND(OR('депозитный калькулятор'!$G$7="30/365",'депозитный калькулятор'!$G$7="30/360"),'депозитный калькулятор'!$G$10="в начале срока"),I726,0)-L727+M727-N727,-G727-IF(I727=" ",0,I727)-L727+M727-N727),IF('депозитный калькулятор'!$G$13="есть",M727-N727+IF('депозитный калькулятор'!$G$14="есть",0,-L727),-IF(I727=" ",0,I727)-IF(AND(OR('депозитный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срока"),I726,0)+M727-N727+IF('депозитный калькулятор'!$G$14="есть",0,-L727))))</f>
        <v xml:space="preserve"> </v>
      </c>
      <c r="P727" s="147" t="str">
        <f>IF(F727&gt;'депозитный калькулятор'!$D$8," ",IF(EOMONTH(F726,0)=F726,0,IF(G727&gt;='депозитный калькулятор'!$G$19,P726,P726+1)))</f>
        <v xml:space="preserve"> </v>
      </c>
      <c r="Q727" s="138" t="str">
        <f>IF(F727=" "," ",IF(AND(OR('депозитный калькулятор'!$G$7="30/365",'депозитный калькулятор'!$G$7="30/360"),AND(MONTH(F727)=2,EOMONTH(F727,0)=F727)),IF(DAY(F727)=28,3,2),1)*IF(G727&gt;='депозитный калькулятор'!$G$11,IF(AND('депозитный калькулятор'!$G$7="факт/факт",MOD(YEAR(F727),4)=0),G727*'депозитный калькулятор'!$D$11/366,G727*'депозитный калькулятор'!$G$8),0))</f>
        <v xml:space="preserve"> </v>
      </c>
      <c r="R727" s="158"/>
      <c r="S727" s="62" t="str">
        <f t="shared" ca="1" si="52"/>
        <v xml:space="preserve"> </v>
      </c>
      <c r="T727" s="149" t="str">
        <f ca="1">IF(S727=" "," ",IF('депозитный калькулятор'!$G$7="30/360",DAYS360(U726,IF(DAY(U727)=31,U727-1,U727))+IF(AND(MONTH(U727)=2,U727=EOMONTH(U727,0)),30-DAY(EOMONTH(U727,0)))+T726,VLOOKUP(S727,$C$22:$F$1023,2,0)))</f>
        <v xml:space="preserve"> </v>
      </c>
      <c r="U727" s="64" t="str">
        <f t="shared" ref="U727:U790" ca="1" si="55">IF(S727=" "," ",VLOOKUP(S727,$C$22:$F$1023,4,0))</f>
        <v xml:space="preserve"> </v>
      </c>
      <c r="V727" s="150" t="str">
        <f t="shared" ca="1" si="53"/>
        <v xml:space="preserve"> </v>
      </c>
      <c r="W727" s="62" t="str">
        <f t="shared" ca="1" si="54"/>
        <v xml:space="preserve"> </v>
      </c>
      <c r="X727" s="141" t="str">
        <f ca="1">IF(S727=" "," ",IFERROR(VLOOKUP(U727,$F$23:$N$1023,7)+VLOOKUP(U727,$F$23:$N$1023,9)+IF(AND('депозитный калькулятор'!$G$13="нет",U727&lt;&gt;'депозитный калькулятор'!$D$8),VLOOKUP(U727,$F$23:$N$1023,4),0),0)+IF(U727='депозитный калькулятор'!$D$8,VLOOKUP(U727,$F$23:$N$1023,2)+VLOOKUP(U727,$F$23:$N$1023,4),0))</f>
        <v xml:space="preserve"> </v>
      </c>
      <c r="Y727" s="142" t="str">
        <f ca="1">IF(S727=" "," ",W727/(1+'депозитный калькулятор'!$K$8)^(T727/IF('депозитный калькулятор'!$G$7="30/360",360,365)))</f>
        <v xml:space="preserve"> </v>
      </c>
      <c r="Z727" s="142" t="str">
        <f ca="1">IF(S727=" "," ",X727/(1+'депозитный калькулятор'!$K$8)^(T727/IF('депозитный калькулятор'!$G$7="30/360",360,365)))</f>
        <v xml:space="preserve"> </v>
      </c>
      <c r="AA727" s="151"/>
      <c r="AB727" s="151"/>
      <c r="AC727" s="155"/>
      <c r="AD727" s="155"/>
    </row>
    <row r="728" spans="1:30" s="2" customFormat="1" ht="15.5" x14ac:dyDescent="0.35">
      <c r="A728" s="41" t="str">
        <f>IF(F728=" "," ",IF(OR('депозитный калькулятор'!$G$7="30/365",'депозитный калькулятор'!$G$7="30/360"),IF(AND(MONTH(F728)=2,DAY(F728)=DAY(EOMONTH(F728,0))),30-DAY(EOMONTH(F728,0)),IF(DAY(F728)=31,1," "))," "))</f>
        <v xml:space="preserve"> </v>
      </c>
      <c r="B728" s="130" t="str">
        <f t="shared" ref="B728:B791" si="56">IF(F728=" "," ",IF(O728&lt;&gt;0,1,0))</f>
        <v xml:space="preserve"> </v>
      </c>
      <c r="C728" s="130" t="str">
        <f>IF(OR(B728=0,B728=" ")," ",SUM($B$23:B728))</f>
        <v xml:space="preserve"> </v>
      </c>
      <c r="D728" s="62" t="str">
        <f>IF(D727=" "," ",IF(OR(F727='депозитный калькулятор'!$D$8,F727=" ")," ",D727+1))</f>
        <v xml:space="preserve"> </v>
      </c>
      <c r="E728" s="130" t="str">
        <f>IF(OR(F727='депозитный калькулятор'!$D$8,F727=" ")," ",IF(EOMONTH(F727,0)=F727,1,E727+1))</f>
        <v xml:space="preserve"> </v>
      </c>
      <c r="F728" s="64" t="str">
        <f>IF(F727=" "," ",IF(F727='депозитный калькулятор'!$D$8," ",F727+1))</f>
        <v xml:space="preserve"> </v>
      </c>
      <c r="G728" s="145" t="str">
        <f xml:space="preserve"> IF(F728&gt;'депозитный калькулятор'!$D$8," ",IF('депозитный калькулятор'!$G$13="есть",IF('депозитный калькулятор'!$G$14="есть",G727+IF(I727=" ",0,I727)-J728-K728+L728+M728-N728,G727+IF(I727=" ",0,I727)-J728-K728+M728-N728),IF('депозитный калькулятор'!$G$14="есть",G727-J728-K728+L728+M728-N728,G727-J728-K728+M728-N728)))</f>
        <v xml:space="preserve"> </v>
      </c>
      <c r="H728" s="133" t="str">
        <f>IF(F728&gt;'депозитный калькулятор'!$D$8," ",IF(AND(OR('депозитный калькулятор'!$G$7="30/365",'депозитный калькулятор'!$G$7="30/360"),AND(MONTH(F728)=2,EOMONTH(F728,0)=F728)),IF(DAY(F728)=28,3*G728*'депозитный калькулятор'!$G$8,2*G728*'депозитный калькулятор'!$G$8),IF(AND(OR('депозитный калькулятор'!$G$7="30/365",'депозитный калькулятор'!$G$7="30/360"),DAY(F728)=31)," ",IF(AND('депозитный калькулятор'!$G$7="факт/факт",MOD(YEAR(F728),4)=0),G728*'депозитный калькулятор'!$D$11/366,G728*'депозитный калькулятор'!$G$8))))</f>
        <v xml:space="preserve"> </v>
      </c>
      <c r="I728" s="134" t="str">
        <f ca="1">IF(F728=" "," ",IF('депозитный калькулятор'!$G$10="ежедневное",H728,IF(AND('депозитный калькулятор'!$G$10="еженедельное",WEEKDAY(F728,2)=7),SUM(OFFSET(H728,-6,0):H728),IF(AND('депозитный калькулятор'!$G$10="еженедельное",F728='депозитный калькулятор'!$D$8),SUM($H$23:H728)-SUM($I$23:I727),IF(AND('депозитный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недели",WEEKDAY(F728,2)=7),MIN(OFFSET(H728,-6,0):H728)*(COUNTIF(OFFSET(H728,-6,0):H728,"&gt;0")+SUMIF(OFFSET(A728,-WEEKDAY(F728,2),0):A728,"=2",OFFSET(A728,-WEEKDAY(F728,2),0):A728)),IF(AND('депозитный калькулятор'!$G$10="еженедельное, на минимальную сумму зафиксированную в течение недели",F728='депозитный калькулятор'!$D$8,WEEKDAY(F728,2)&lt;&gt;7),MIN(OFFSET(H728,-WEEKDAY(F728,2),0):H728)*(COUNTIF(OFFSET(H728,-WEEKDAY(F728,2)+1,0):H728,"&gt;0")+SUM(OFFSET(A728,-WEEKDAY(F728,2),0):A728)),IF(AND('депозитный калькулятор'!$G$10="ежемесячное (в конце месяца)",F728='депозитный калькулятор'!$D$8,EOMONTH(F728,0)&lt;&gt;F728),IF('депозитный калькулятор'!$F$1=1,$H$24,SUM($H$23:H728)-SUM($I$23:I727)),IF(AND('депозитный калькулятор'!$G$10="ежемесячное (в конце месяца)",EOMONTH(F728,0)=F728),SUM($H$23:H728)-SUM($I$23:I727),IF(AND('депозитный калькулятор'!$G$10="ежемесячное (по дням открытия вклада)",F728='депозитный калькулятор'!$D$8,DAY('депозитный калькулятор'!$D$7)&lt;&gt;DAY(F728)),IF('депозитный калькулятор'!$F$1=1,$H$24,SUM($H$23:H728)-SUM($I$23:I727)),IF(AND('депозитный калькулятор'!$G$10="ежемесячное (по дням открытия вклада)",DAY('депозитный калькулятор'!$D$7)=DAY(F728)),SUM($H$23:H728)-SUM($I$23:I727),IF(AND('депозитный калькулятор'!$G$10="ежемесячное, на минимальную сумму зафиксированную в течение месяца",F728='депозитный калькулятор'!$D$8,EOMONTH(F728,0)&lt;&gt;F728),IF('депозитный калькулятор'!$F$1=1,$H$24,IF(AND(OR('депозитный калькулятор'!$G$7="30/365",'депозитный калькулятор'!$G$7="30/360"),DAY(F728)=31),0,MIN(OFFSET(H728,-E728+1,0):H728)*(E728+SUMIF(OFFSET(A728,-E728+1,0):A728,"=2",OFFSET(A728,-E728+1,0):A728)))),IF(AND('депозитный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калькулятор'!$G$7="30/360"),DAY(EOMONTH(F728,0))=31),EOMONTH(F728,0)-1=F728,EOMONTH(F728,0)=F728)),IF(IF(AND(OR('депозитный калькулятор'!$G$7="30/365",'депозитный калькулятор'!$G$7="30/360"),DAY(EOMONTH($F$23,0))=31),F728=EOMONTH($F$23,0)-1,F728=EOMONTH($F$23,0)),MIN(OFFSET(H728,-(DAY(F728)-DAY($F$23)),0):H728)*E728,MIN(OFFSET(H728,-(DAY(F728)-1),0):H728)*IF(AND(OR('депозитный калькулятор'!$G$7="30/365",'депозитный калькулятор'!$G$7="30/360"),DAY(F728)&lt;30),30,DAY(F728))),IF(AND('депозитный калькулятор'!$G$10="ежемесячное, на средний остаток в течение месяца, при условии что остаток больше чем ограничение",F728='депозитный калькулятор'!$D$8,EOMONTH(F728,0)&lt;&gt;F728),IF('депозитный калькулятор'!$F$1=1,$H$24,SUM(OFFSET(Q728,-E728+1,0):Q728)),IF(AND('депозитный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калькулятор'!$G$7="30/360"),DAY(EOMONTH(F728,0))=31),EOMONTH(F728,0)-1=F728,EOMONTH(F728,0)=F728)),IF(IF(AND(OR('депозитный калькулятор'!$G$7="30/365",'депозитный калькулятор'!$G$7="30/360"),DAY(EOMONTH($F$24,0))=31),F728=EOMONTH($F$24,0)-1,F728=EOMONTH($F$24,0)),SUM(OFFSET(Q728,-E728+1,0):Q728),SUM(OFFSET(Q728,-E728+1,0):Q728)),IF('депозитный калькулятор'!$G$10="ежеквартальное",IF(F728&gt;'депозитный калькулятор'!$D$8," ",IF(AND(EOMONTH(F728,0)=F728,OR(MONTH(F728)=3,MONTH(F728)=6,MONTH(F728)=9,MONTH(F728)=12)),IF(EDATE(F728,-3)&lt;'депозитный калькулятор'!$D$7,SUM($H$23:H728),IF(MOD(YEAR(F728),4)=0,IF(AND(EOMONTH(F728,0)=F728,OR(MONTH(F728)=3,MONTH(F728)=6)),SUM(OFFSET(H728,-90,0):H728),IF(AND(EOMONTH(F728,0)=F728,OR(MONTH(F728)=9,MONTH(F728)=12)),SUM(OFFSET(H728,-91,0):H728))),IF(AND(EOMONTH(F728,0)=F728,MONTH(F728)=3),SUM(OFFSET(H728,-89,0):H728),IF(AND(EOMONTH(F728,0)=F728,MONTH(F728)=6),SUM(OFFSET(H728,-90,0):H728),IF(AND(EOMONTH(F728,0)=F728,OR(MONTH(F728)=9,MONTH(F728)=12)),SUM(OFFSET(H728,-91,0):H728)))))),IF(F728='депозитный калькулятор'!$D$8,SUM($H$23:H728)-SUM($I$23:I727),0))),IF('депозитный калькулятор'!$G$10="ежегодное",IF(F728&gt;'депозитный калькулятор'!$D$8," ",IF(F728='депозитный калькулятор'!$D$8,SUM($H$23:H728)-SUM($I$23:I727),IF(AND(EOMONTH(F728,0)=F728,MONTH(F728)=12),IF(MOD(YEAR(F727),4)=0,IF(F728-'депозитный калькулятор'!$D$7&lt;366,SUM($H$23:H728),SUM(OFFSET(H728,-365,0):H728)),IF(F728-'депозитный калькулятор'!$D$7&lt;365,SUM($H$23:H728),SUM(OFFSET(H728,-364,0):H728))),0))),IF(AND('депозитный калькулятор'!$G$10="в конце срока",'депозитный калькулятор'!$D$8=F728),SUM($H$23:H728),0))))))))))))))))))</f>
        <v xml:space="preserve"> </v>
      </c>
      <c r="J728" s="59" t="str">
        <f>IF(F728&gt;'депозитный калькулятор'!$D$8," ",IF('депозитный калькулятор'!$G$16="нет",0,IF(AND('депозитный калькулятор'!$G$17="разовая (в конце срока)",F728='депозитный калькулятор'!$D$8),'депозитный калькулятор'!$G$18,IF(AND('депозитный калькулятор'!$G$17="ежемесячная",EOMONTH(F727,0)=F727),'депозитный калькулятор'!$G$18,IF(AND('депозитный калькулятор'!$G$17="ежегодная",DAY(F727)=31,MONTH(F727)=12),'депозитный калькулятор'!$G$18,IF(AND('депозитный калькулятор'!$G$17="ежемесячная в зависимости от остатка",EOMONTH(F727,0)=F727,P727&gt;0),'депозитный калькулятор'!$G$18,IF(AND('депозитный калькулятор'!$G$17="ежегодная в зависимости от остатка",DAY(F727)=31,MONTH(F727)=12,P727&gt;0),'депозитный калькулятор'!$G$18,0)))))))</f>
        <v xml:space="preserve"> </v>
      </c>
      <c r="K728" s="135" t="str">
        <f>IF($F728=" "," ",IFERROR(VLOOKUP($F728,'депозитный калькулятор'!$B$26:$F$70,2,0),0))</f>
        <v xml:space="preserve"> </v>
      </c>
      <c r="L728" s="135" t="str">
        <f>IF($F728=" "," ",IFERROR(VLOOKUP($F728,'депозитный калькулятор'!$B$26:$F$70,3,0),0))</f>
        <v xml:space="preserve"> </v>
      </c>
      <c r="M728" s="135" t="str">
        <f>IF($F728=" "," ",IFERROR(VLOOKUP($F728,'депозитный калькулятор'!$B$26:$F$70,4,0),0))</f>
        <v xml:space="preserve"> </v>
      </c>
      <c r="N728" s="135" t="str">
        <f>IF($F728=" "," ",IFERROR(VLOOKUP($F728,'депозитный калькулятор'!$B$26:$F$70,5,0),0))</f>
        <v xml:space="preserve"> </v>
      </c>
      <c r="O728" s="146" t="str">
        <f>IF(F728&gt;'депозитный калькулятор'!$D$8," ",IF(F728='депозитный калькулятор'!$D$8,IF(AND($F$24='депозитный калькулятор'!$D$8,'депозитный калькулятор'!$G$13="нет"),-G728-IF(I728=" ",0,I728)-IF(AND(OR('депозитный калькулятор'!$G$7="30/365",'депозитный калькулятор'!$G$7="30/360"),'депозитный калькулятор'!$G$10="в начале срока"),I727,0)-L728+M728-N728,-G728-IF(I728=" ",0,I728)-L728+M728-N728),IF('депозитный калькулятор'!$G$13="есть",M728-N728+IF('депозитный калькулятор'!$G$14="есть",0,-L728),-IF(I728=" ",0,I728)-IF(AND(OR('депозитный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срока"),I727,0)+M728-N728+IF('депозитный калькулятор'!$G$14="есть",0,-L728))))</f>
        <v xml:space="preserve"> </v>
      </c>
      <c r="P728" s="147" t="str">
        <f>IF(F728&gt;'депозитный калькулятор'!$D$8," ",IF(EOMONTH(F727,0)=F727,0,IF(G728&gt;='депозитный калькулятор'!$G$19,P727,P727+1)))</f>
        <v xml:space="preserve"> </v>
      </c>
      <c r="Q728" s="138" t="str">
        <f>IF(F728=" "," ",IF(AND(OR('депозитный калькулятор'!$G$7="30/365",'депозитный калькулятор'!$G$7="30/360"),AND(MONTH(F728)=2,EOMONTH(F728,0)=F728)),IF(DAY(F728)=28,3,2),1)*IF(G728&gt;='депозитный калькулятор'!$G$11,IF(AND('депозитный калькулятор'!$G$7="факт/факт",MOD(YEAR(F728),4)=0),G728*'депозитный калькулятор'!$D$11/366,G728*'депозитный калькулятор'!$G$8),0))</f>
        <v xml:space="preserve"> </v>
      </c>
      <c r="R728" s="158"/>
      <c r="S728" s="62" t="str">
        <f t="shared" ref="S728:S791" ca="1" si="57">IF(S727&lt;COUNTIFS($B$23:$B$1023,"&gt;0"),S727+1," ")</f>
        <v xml:space="preserve"> </v>
      </c>
      <c r="T728" s="149" t="str">
        <f ca="1">IF(S728=" "," ",IF('депозитный калькулятор'!$G$7="30/360",DAYS360(U727,IF(DAY(U728)=31,U728-1,U728))+IF(AND(MONTH(U728)=2,U728=EOMONTH(U728,0)),30-DAY(EOMONTH(U728,0)))+T727,VLOOKUP(S728,$C$22:$F$1023,2,0)))</f>
        <v xml:space="preserve"> </v>
      </c>
      <c r="U728" s="64" t="str">
        <f t="shared" ca="1" si="55"/>
        <v xml:space="preserve"> </v>
      </c>
      <c r="V728" s="150" t="str">
        <f t="shared" ref="V728:V791" ca="1" si="58">VLOOKUP(U728,$F$24:$O$1023,10)</f>
        <v xml:space="preserve"> </v>
      </c>
      <c r="W728" s="62" t="str">
        <f t="shared" ref="W728:W791" ca="1" si="59">IF(S728=" "," ",VLOOKUP(U728,$F$24:$N$1023,8))</f>
        <v xml:space="preserve"> </v>
      </c>
      <c r="X728" s="141" t="str">
        <f ca="1">IF(S728=" "," ",IFERROR(VLOOKUP(U728,$F$23:$N$1023,7)+VLOOKUP(U728,$F$23:$N$1023,9)+IF(AND('депозитный калькулятор'!$G$13="нет",U728&lt;&gt;'депозитный калькулятор'!$D$8),VLOOKUP(U728,$F$23:$N$1023,4),0),0)+IF(U728='депозитный калькулятор'!$D$8,VLOOKUP(U728,$F$23:$N$1023,2)+VLOOKUP(U728,$F$23:$N$1023,4),0))</f>
        <v xml:space="preserve"> </v>
      </c>
      <c r="Y728" s="142" t="str">
        <f ca="1">IF(S728=" "," ",W728/(1+'депозитный калькулятор'!$K$8)^(T728/IF('депозитный калькулятор'!$G$7="30/360",360,365)))</f>
        <v xml:space="preserve"> </v>
      </c>
      <c r="Z728" s="142" t="str">
        <f ca="1">IF(S728=" "," ",X728/(1+'депозитный калькулятор'!$K$8)^(T728/IF('депозитный калькулятор'!$G$7="30/360",360,365)))</f>
        <v xml:space="preserve"> </v>
      </c>
      <c r="AA728" s="151"/>
      <c r="AB728" s="151"/>
      <c r="AC728" s="155"/>
      <c r="AD728" s="155"/>
    </row>
    <row r="729" spans="1:30" s="2" customFormat="1" ht="15.5" x14ac:dyDescent="0.35">
      <c r="A729" s="41" t="str">
        <f>IF(F729=" "," ",IF(OR('депозитный калькулятор'!$G$7="30/365",'депозитный калькулятор'!$G$7="30/360"),IF(AND(MONTH(F729)=2,DAY(F729)=DAY(EOMONTH(F729,0))),30-DAY(EOMONTH(F729,0)),IF(DAY(F729)=31,1," "))," "))</f>
        <v xml:space="preserve"> </v>
      </c>
      <c r="B729" s="130" t="str">
        <f t="shared" si="56"/>
        <v xml:space="preserve"> </v>
      </c>
      <c r="C729" s="130" t="str">
        <f>IF(OR(B729=0,B729=" ")," ",SUM($B$23:B729))</f>
        <v xml:space="preserve"> </v>
      </c>
      <c r="D729" s="62" t="str">
        <f>IF(D728=" "," ",IF(OR(F728='депозитный калькулятор'!$D$8,F728=" ")," ",D728+1))</f>
        <v xml:space="preserve"> </v>
      </c>
      <c r="E729" s="130" t="str">
        <f>IF(OR(F728='депозитный калькулятор'!$D$8,F728=" ")," ",IF(EOMONTH(F728,0)=F728,1,E728+1))</f>
        <v xml:space="preserve"> </v>
      </c>
      <c r="F729" s="64" t="str">
        <f>IF(F728=" "," ",IF(F728='депозитный калькулятор'!$D$8," ",F728+1))</f>
        <v xml:space="preserve"> </v>
      </c>
      <c r="G729" s="145" t="str">
        <f xml:space="preserve"> IF(F729&gt;'депозитный калькулятор'!$D$8," ",IF('депозитный калькулятор'!$G$13="есть",IF('депозитный калькулятор'!$G$14="есть",G728+IF(I728=" ",0,I728)-J729-K729+L729+M729-N729,G728+IF(I728=" ",0,I728)-J729-K729+M729-N729),IF('депозитный калькулятор'!$G$14="есть",G728-J729-K729+L729+M729-N729,G728-J729-K729+M729-N729)))</f>
        <v xml:space="preserve"> </v>
      </c>
      <c r="H729" s="133" t="str">
        <f>IF(F729&gt;'депозитный калькулятор'!$D$8," ",IF(AND(OR('депозитный калькулятор'!$G$7="30/365",'депозитный калькулятор'!$G$7="30/360"),AND(MONTH(F729)=2,EOMONTH(F729,0)=F729)),IF(DAY(F729)=28,3*G729*'депозитный калькулятор'!$G$8,2*G729*'депозитный калькулятор'!$G$8),IF(AND(OR('депозитный калькулятор'!$G$7="30/365",'депозитный калькулятор'!$G$7="30/360"),DAY(F729)=31)," ",IF(AND('депозитный калькулятор'!$G$7="факт/факт",MOD(YEAR(F729),4)=0),G729*'депозитный калькулятор'!$D$11/366,G729*'депозитный калькулятор'!$G$8))))</f>
        <v xml:space="preserve"> </v>
      </c>
      <c r="I729" s="134" t="str">
        <f ca="1">IF(F729=" "," ",IF('депозитный калькулятор'!$G$10="ежедневное",H729,IF(AND('депозитный калькулятор'!$G$10="еженедельное",WEEKDAY(F729,2)=7),SUM(OFFSET(H729,-6,0):H729),IF(AND('депозитный калькулятор'!$G$10="еженедельное",F729='депозитный калькулятор'!$D$8),SUM($H$23:H729)-SUM($I$23:I728),IF(AND('депозитный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недели",WEEKDAY(F729,2)=7),MIN(OFFSET(H729,-6,0):H729)*(COUNTIF(OFFSET(H729,-6,0):H729,"&gt;0")+SUMIF(OFFSET(A729,-WEEKDAY(F729,2),0):A729,"=2",OFFSET(A729,-WEEKDAY(F729,2),0):A729)),IF(AND('депозитный калькулятор'!$G$10="еженедельное, на минимальную сумму зафиксированную в течение недели",F729='депозитный калькулятор'!$D$8,WEEKDAY(F729,2)&lt;&gt;7),MIN(OFFSET(H729,-WEEKDAY(F729,2),0):H729)*(COUNTIF(OFFSET(H729,-WEEKDAY(F729,2)+1,0):H729,"&gt;0")+SUM(OFFSET(A729,-WEEKDAY(F729,2),0):A729)),IF(AND('депозитный калькулятор'!$G$10="ежемесячное (в конце месяца)",F729='депозитный калькулятор'!$D$8,EOMONTH(F729,0)&lt;&gt;F729),IF('депозитный калькулятор'!$F$1=1,$H$24,SUM($H$23:H729)-SUM($I$23:I728)),IF(AND('депозитный калькулятор'!$G$10="ежемесячное (в конце месяца)",EOMONTH(F729,0)=F729),SUM($H$23:H729)-SUM($I$23:I728),IF(AND('депозитный калькулятор'!$G$10="ежемесячное (по дням открытия вклада)",F729='депозитный калькулятор'!$D$8,DAY('депозитный калькулятор'!$D$7)&lt;&gt;DAY(F729)),IF('депозитный калькулятор'!$F$1=1,$H$24,SUM($H$23:H729)-SUM($I$23:I728)),IF(AND('депозитный калькулятор'!$G$10="ежемесячное (по дням открытия вклада)",DAY('депозитный калькулятор'!$D$7)=DAY(F729)),SUM($H$23:H729)-SUM($I$23:I728),IF(AND('депозитный калькулятор'!$G$10="ежемесячное, на минимальную сумму зафиксированную в течение месяца",F729='депозитный калькулятор'!$D$8,EOMONTH(F729,0)&lt;&gt;F729),IF('депозитный калькулятор'!$F$1=1,$H$24,IF(AND(OR('депозитный калькулятор'!$G$7="30/365",'депозитный калькулятор'!$G$7="30/360"),DAY(F729)=31),0,MIN(OFFSET(H729,-E729+1,0):H729)*(E729+SUMIF(OFFSET(A729,-E729+1,0):A729,"=2",OFFSET(A729,-E729+1,0):A729)))),IF(AND('депозитный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калькулятор'!$G$7="30/360"),DAY(EOMONTH(F729,0))=31),EOMONTH(F729,0)-1=F729,EOMONTH(F729,0)=F729)),IF(IF(AND(OR('депозитный калькулятор'!$G$7="30/365",'депозитный калькулятор'!$G$7="30/360"),DAY(EOMONTH($F$23,0))=31),F729=EOMONTH($F$23,0)-1,F729=EOMONTH($F$23,0)),MIN(OFFSET(H729,-(DAY(F729)-DAY($F$23)),0):H729)*E729,MIN(OFFSET(H729,-(DAY(F729)-1),0):H729)*IF(AND(OR('депозитный калькулятор'!$G$7="30/365",'депозитный калькулятор'!$G$7="30/360"),DAY(F729)&lt;30),30,DAY(F729))),IF(AND('депозитный калькулятор'!$G$10="ежемесячное, на средний остаток в течение месяца, при условии что остаток больше чем ограничение",F729='депозитный калькулятор'!$D$8,EOMONTH(F729,0)&lt;&gt;F729),IF('депозитный калькулятор'!$F$1=1,$H$24,SUM(OFFSET(Q729,-E729+1,0):Q729)),IF(AND('депозитный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калькулятор'!$G$7="30/360"),DAY(EOMONTH(F729,0))=31),EOMONTH(F729,0)-1=F729,EOMONTH(F729,0)=F729)),IF(IF(AND(OR('депозитный калькулятор'!$G$7="30/365",'депозитный калькулятор'!$G$7="30/360"),DAY(EOMONTH($F$24,0))=31),F729=EOMONTH($F$24,0)-1,F729=EOMONTH($F$24,0)),SUM(OFFSET(Q729,-E729+1,0):Q729),SUM(OFFSET(Q729,-E729+1,0):Q729)),IF('депозитный калькулятор'!$G$10="ежеквартальное",IF(F729&gt;'депозитный калькулятор'!$D$8," ",IF(AND(EOMONTH(F729,0)=F729,OR(MONTH(F729)=3,MONTH(F729)=6,MONTH(F729)=9,MONTH(F729)=12)),IF(EDATE(F729,-3)&lt;'депозитный калькулятор'!$D$7,SUM($H$23:H729),IF(MOD(YEAR(F729),4)=0,IF(AND(EOMONTH(F729,0)=F729,OR(MONTH(F729)=3,MONTH(F729)=6)),SUM(OFFSET(H729,-90,0):H729),IF(AND(EOMONTH(F729,0)=F729,OR(MONTH(F729)=9,MONTH(F729)=12)),SUM(OFFSET(H729,-91,0):H729))),IF(AND(EOMONTH(F729,0)=F729,MONTH(F729)=3),SUM(OFFSET(H729,-89,0):H729),IF(AND(EOMONTH(F729,0)=F729,MONTH(F729)=6),SUM(OFFSET(H729,-90,0):H729),IF(AND(EOMONTH(F729,0)=F729,OR(MONTH(F729)=9,MONTH(F729)=12)),SUM(OFFSET(H729,-91,0):H729)))))),IF(F729='депозитный калькулятор'!$D$8,SUM($H$23:H729)-SUM($I$23:I728),0))),IF('депозитный калькулятор'!$G$10="ежегодное",IF(F729&gt;'депозитный калькулятор'!$D$8," ",IF(F729='депозитный калькулятор'!$D$8,SUM($H$23:H729)-SUM($I$23:I728),IF(AND(EOMONTH(F729,0)=F729,MONTH(F729)=12),IF(MOD(YEAR(F728),4)=0,IF(F729-'депозитный калькулятор'!$D$7&lt;366,SUM($H$23:H729),SUM(OFFSET(H729,-365,0):H729)),IF(F729-'депозитный калькулятор'!$D$7&lt;365,SUM($H$23:H729),SUM(OFFSET(H729,-364,0):H729))),0))),IF(AND('депозитный калькулятор'!$G$10="в конце срока",'депозитный калькулятор'!$D$8=F729),SUM($H$23:H729),0))))))))))))))))))</f>
        <v xml:space="preserve"> </v>
      </c>
      <c r="J729" s="59" t="str">
        <f>IF(F729&gt;'депозитный калькулятор'!$D$8," ",IF('депозитный калькулятор'!$G$16="нет",0,IF(AND('депозитный калькулятор'!$G$17="разовая (в конце срока)",F729='депозитный калькулятор'!$D$8),'депозитный калькулятор'!$G$18,IF(AND('депозитный калькулятор'!$G$17="ежемесячная",EOMONTH(F728,0)=F728),'депозитный калькулятор'!$G$18,IF(AND('депозитный калькулятор'!$G$17="ежегодная",DAY(F728)=31,MONTH(F728)=12),'депозитный калькулятор'!$G$18,IF(AND('депозитный калькулятор'!$G$17="ежемесячная в зависимости от остатка",EOMONTH(F728,0)=F728,P728&gt;0),'депозитный калькулятор'!$G$18,IF(AND('депозитный калькулятор'!$G$17="ежегодная в зависимости от остатка",DAY(F728)=31,MONTH(F728)=12,P728&gt;0),'депозитный калькулятор'!$G$18,0)))))))</f>
        <v xml:space="preserve"> </v>
      </c>
      <c r="K729" s="135" t="str">
        <f>IF($F729=" "," ",IFERROR(VLOOKUP($F729,'депозитный калькулятор'!$B$26:$F$70,2,0),0))</f>
        <v xml:space="preserve"> </v>
      </c>
      <c r="L729" s="135" t="str">
        <f>IF($F729=" "," ",IFERROR(VLOOKUP($F729,'депозитный калькулятор'!$B$26:$F$70,3,0),0))</f>
        <v xml:space="preserve"> </v>
      </c>
      <c r="M729" s="135" t="str">
        <f>IF($F729=" "," ",IFERROR(VLOOKUP($F729,'депозитный калькулятор'!$B$26:$F$70,4,0),0))</f>
        <v xml:space="preserve"> </v>
      </c>
      <c r="N729" s="135" t="str">
        <f>IF($F729=" "," ",IFERROR(VLOOKUP($F729,'депозитный калькулятор'!$B$26:$F$70,5,0),0))</f>
        <v xml:space="preserve"> </v>
      </c>
      <c r="O729" s="146" t="str">
        <f>IF(F729&gt;'депозитный калькулятор'!$D$8," ",IF(F729='депозитный калькулятор'!$D$8,IF(AND($F$24='депозитный калькулятор'!$D$8,'депозитный калькулятор'!$G$13="нет"),-G729-IF(I729=" ",0,I729)-IF(AND(OR('депозитный калькулятор'!$G$7="30/365",'депозитный калькулятор'!$G$7="30/360"),'депозитный калькулятор'!$G$10="в начале срока"),I728,0)-L729+M729-N729,-G729-IF(I729=" ",0,I729)-L729+M729-N729),IF('депозитный калькулятор'!$G$13="есть",M729-N729+IF('депозитный калькулятор'!$G$14="есть",0,-L729),-IF(I729=" ",0,I729)-IF(AND(OR('депозитный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срока"),I728,0)+M729-N729+IF('депозитный калькулятор'!$G$14="есть",0,-L729))))</f>
        <v xml:space="preserve"> </v>
      </c>
      <c r="P729" s="147" t="str">
        <f>IF(F729&gt;'депозитный калькулятор'!$D$8," ",IF(EOMONTH(F728,0)=F728,0,IF(G729&gt;='депозитный калькулятор'!$G$19,P728,P728+1)))</f>
        <v xml:space="preserve"> </v>
      </c>
      <c r="Q729" s="138" t="str">
        <f>IF(F729=" "," ",IF(AND(OR('депозитный калькулятор'!$G$7="30/365",'депозитный калькулятор'!$G$7="30/360"),AND(MONTH(F729)=2,EOMONTH(F729,0)=F729)),IF(DAY(F729)=28,3,2),1)*IF(G729&gt;='депозитный калькулятор'!$G$11,IF(AND('депозитный калькулятор'!$G$7="факт/факт",MOD(YEAR(F729),4)=0),G729*'депозитный калькулятор'!$D$11/366,G729*'депозитный калькулятор'!$G$8),0))</f>
        <v xml:space="preserve"> </v>
      </c>
      <c r="R729" s="158"/>
      <c r="S729" s="62" t="str">
        <f t="shared" ca="1" si="57"/>
        <v xml:space="preserve"> </v>
      </c>
      <c r="T729" s="149" t="str">
        <f ca="1">IF(S729=" "," ",IF('депозитный калькулятор'!$G$7="30/360",DAYS360(U728,IF(DAY(U729)=31,U729-1,U729))+IF(AND(MONTH(U729)=2,U729=EOMONTH(U729,0)),30-DAY(EOMONTH(U729,0)))+T728,VLOOKUP(S729,$C$22:$F$1023,2,0)))</f>
        <v xml:space="preserve"> </v>
      </c>
      <c r="U729" s="64" t="str">
        <f t="shared" ca="1" si="55"/>
        <v xml:space="preserve"> </v>
      </c>
      <c r="V729" s="150" t="str">
        <f t="shared" ca="1" si="58"/>
        <v xml:space="preserve"> </v>
      </c>
      <c r="W729" s="62" t="str">
        <f t="shared" ca="1" si="59"/>
        <v xml:space="preserve"> </v>
      </c>
      <c r="X729" s="141" t="str">
        <f ca="1">IF(S729=" "," ",IFERROR(VLOOKUP(U729,$F$23:$N$1023,7)+VLOOKUP(U729,$F$23:$N$1023,9)+IF(AND('депозитный калькулятор'!$G$13="нет",U729&lt;&gt;'депозитный калькулятор'!$D$8),VLOOKUP(U729,$F$23:$N$1023,4),0),0)+IF(U729='депозитный калькулятор'!$D$8,VLOOKUP(U729,$F$23:$N$1023,2)+VLOOKUP(U729,$F$23:$N$1023,4),0))</f>
        <v xml:space="preserve"> </v>
      </c>
      <c r="Y729" s="142" t="str">
        <f ca="1">IF(S729=" "," ",W729/(1+'депозитный калькулятор'!$K$8)^(T729/IF('депозитный калькулятор'!$G$7="30/360",360,365)))</f>
        <v xml:space="preserve"> </v>
      </c>
      <c r="Z729" s="142" t="str">
        <f ca="1">IF(S729=" "," ",X729/(1+'депозитный калькулятор'!$K$8)^(T729/IF('депозитный калькулятор'!$G$7="30/360",360,365)))</f>
        <v xml:space="preserve"> </v>
      </c>
      <c r="AA729" s="151"/>
      <c r="AB729" s="151"/>
      <c r="AC729" s="155"/>
      <c r="AD729" s="155"/>
    </row>
    <row r="730" spans="1:30" s="2" customFormat="1" ht="15.5" x14ac:dyDescent="0.35">
      <c r="A730" s="41" t="str">
        <f>IF(F730=" "," ",IF(OR('депозитный калькулятор'!$G$7="30/365",'депозитный калькулятор'!$G$7="30/360"),IF(AND(MONTH(F730)=2,DAY(F730)=DAY(EOMONTH(F730,0))),30-DAY(EOMONTH(F730,0)),IF(DAY(F730)=31,1," "))," "))</f>
        <v xml:space="preserve"> </v>
      </c>
      <c r="B730" s="130" t="str">
        <f t="shared" si="56"/>
        <v xml:space="preserve"> </v>
      </c>
      <c r="C730" s="130" t="str">
        <f>IF(OR(B730=0,B730=" ")," ",SUM($B$23:B730))</f>
        <v xml:space="preserve"> </v>
      </c>
      <c r="D730" s="62" t="str">
        <f>IF(D729=" "," ",IF(OR(F729='депозитный калькулятор'!$D$8,F729=" ")," ",D729+1))</f>
        <v xml:space="preserve"> </v>
      </c>
      <c r="E730" s="130" t="str">
        <f>IF(OR(F729='депозитный калькулятор'!$D$8,F729=" ")," ",IF(EOMONTH(F729,0)=F729,1,E729+1))</f>
        <v xml:space="preserve"> </v>
      </c>
      <c r="F730" s="64" t="str">
        <f>IF(F729=" "," ",IF(F729='депозитный калькулятор'!$D$8," ",F729+1))</f>
        <v xml:space="preserve"> </v>
      </c>
      <c r="G730" s="145" t="str">
        <f xml:space="preserve"> IF(F730&gt;'депозитный калькулятор'!$D$8," ",IF('депозитный калькулятор'!$G$13="есть",IF('депозитный калькулятор'!$G$14="есть",G729+IF(I729=" ",0,I729)-J730-K730+L730+M730-N730,G729+IF(I729=" ",0,I729)-J730-K730+M730-N730),IF('депозитный калькулятор'!$G$14="есть",G729-J730-K730+L730+M730-N730,G729-J730-K730+M730-N730)))</f>
        <v xml:space="preserve"> </v>
      </c>
      <c r="H730" s="133" t="str">
        <f>IF(F730&gt;'депозитный калькулятор'!$D$8," ",IF(AND(OR('депозитный калькулятор'!$G$7="30/365",'депозитный калькулятор'!$G$7="30/360"),AND(MONTH(F730)=2,EOMONTH(F730,0)=F730)),IF(DAY(F730)=28,3*G730*'депозитный калькулятор'!$G$8,2*G730*'депозитный калькулятор'!$G$8),IF(AND(OR('депозитный калькулятор'!$G$7="30/365",'депозитный калькулятор'!$G$7="30/360"),DAY(F730)=31)," ",IF(AND('депозитный калькулятор'!$G$7="факт/факт",MOD(YEAR(F730),4)=0),G730*'депозитный калькулятор'!$D$11/366,G730*'депозитный калькулятор'!$G$8))))</f>
        <v xml:space="preserve"> </v>
      </c>
      <c r="I730" s="134" t="str">
        <f ca="1">IF(F730=" "," ",IF('депозитный калькулятор'!$G$10="ежедневное",H730,IF(AND('депозитный калькулятор'!$G$10="еженедельное",WEEKDAY(F730,2)=7),SUM(OFFSET(H730,-6,0):H730),IF(AND('депозитный калькулятор'!$G$10="еженедельное",F730='депозитный калькулятор'!$D$8),SUM($H$23:H730)-SUM($I$23:I729),IF(AND('депозитный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недели",WEEKDAY(F730,2)=7),MIN(OFFSET(H730,-6,0):H730)*(COUNTIF(OFFSET(H730,-6,0):H730,"&gt;0")+SUMIF(OFFSET(A730,-WEEKDAY(F730,2),0):A730,"=2",OFFSET(A730,-WEEKDAY(F730,2),0):A730)),IF(AND('депозитный калькулятор'!$G$10="еженедельное, на минимальную сумму зафиксированную в течение недели",F730='депозитный калькулятор'!$D$8,WEEKDAY(F730,2)&lt;&gt;7),MIN(OFFSET(H730,-WEEKDAY(F730,2),0):H730)*(COUNTIF(OFFSET(H730,-WEEKDAY(F730,2)+1,0):H730,"&gt;0")+SUM(OFFSET(A730,-WEEKDAY(F730,2),0):A730)),IF(AND('депозитный калькулятор'!$G$10="ежемесячное (в конце месяца)",F730='депозитный калькулятор'!$D$8,EOMONTH(F730,0)&lt;&gt;F730),IF('депозитный калькулятор'!$F$1=1,$H$24,SUM($H$23:H730)-SUM($I$23:I729)),IF(AND('депозитный калькулятор'!$G$10="ежемесячное (в конце месяца)",EOMONTH(F730,0)=F730),SUM($H$23:H730)-SUM($I$23:I729),IF(AND('депозитный калькулятор'!$G$10="ежемесячное (по дням открытия вклада)",F730='депозитный калькулятор'!$D$8,DAY('депозитный калькулятор'!$D$7)&lt;&gt;DAY(F730)),IF('депозитный калькулятор'!$F$1=1,$H$24,SUM($H$23:H730)-SUM($I$23:I729)),IF(AND('депозитный калькулятор'!$G$10="ежемесячное (по дням открытия вклада)",DAY('депозитный калькулятор'!$D$7)=DAY(F730)),SUM($H$23:H730)-SUM($I$23:I729),IF(AND('депозитный калькулятор'!$G$10="ежемесячное, на минимальную сумму зафиксированную в течение месяца",F730='депозитный калькулятор'!$D$8,EOMONTH(F730,0)&lt;&gt;F730),IF('депозитный калькулятор'!$F$1=1,$H$24,IF(AND(OR('депозитный калькулятор'!$G$7="30/365",'депозитный калькулятор'!$G$7="30/360"),DAY(F730)=31),0,MIN(OFFSET(H730,-E730+1,0):H730)*(E730+SUMIF(OFFSET(A730,-E730+1,0):A730,"=2",OFFSET(A730,-E730+1,0):A730)))),IF(AND('депозитный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калькулятор'!$G$7="30/360"),DAY(EOMONTH(F730,0))=31),EOMONTH(F730,0)-1=F730,EOMONTH(F730,0)=F730)),IF(IF(AND(OR('депозитный калькулятор'!$G$7="30/365",'депозитный калькулятор'!$G$7="30/360"),DAY(EOMONTH($F$23,0))=31),F730=EOMONTH($F$23,0)-1,F730=EOMONTH($F$23,0)),MIN(OFFSET(H730,-(DAY(F730)-DAY($F$23)),0):H730)*E730,MIN(OFFSET(H730,-(DAY(F730)-1),0):H730)*IF(AND(OR('депозитный калькулятор'!$G$7="30/365",'депозитный калькулятор'!$G$7="30/360"),DAY(F730)&lt;30),30,DAY(F730))),IF(AND('депозитный калькулятор'!$G$10="ежемесячное, на средний остаток в течение месяца, при условии что остаток больше чем ограничение",F730='депозитный калькулятор'!$D$8,EOMONTH(F730,0)&lt;&gt;F730),IF('депозитный калькулятор'!$F$1=1,$H$24,SUM(OFFSET(Q730,-E730+1,0):Q730)),IF(AND('депозитный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калькулятор'!$G$7="30/360"),DAY(EOMONTH(F730,0))=31),EOMONTH(F730,0)-1=F730,EOMONTH(F730,0)=F730)),IF(IF(AND(OR('депозитный калькулятор'!$G$7="30/365",'депозитный калькулятор'!$G$7="30/360"),DAY(EOMONTH($F$24,0))=31),F730=EOMONTH($F$24,0)-1,F730=EOMONTH($F$24,0)),SUM(OFFSET(Q730,-E730+1,0):Q730),SUM(OFFSET(Q730,-E730+1,0):Q730)),IF('депозитный калькулятор'!$G$10="ежеквартальное",IF(F730&gt;'депозитный калькулятор'!$D$8," ",IF(AND(EOMONTH(F730,0)=F730,OR(MONTH(F730)=3,MONTH(F730)=6,MONTH(F730)=9,MONTH(F730)=12)),IF(EDATE(F730,-3)&lt;'депозитный калькулятор'!$D$7,SUM($H$23:H730),IF(MOD(YEAR(F730),4)=0,IF(AND(EOMONTH(F730,0)=F730,OR(MONTH(F730)=3,MONTH(F730)=6)),SUM(OFFSET(H730,-90,0):H730),IF(AND(EOMONTH(F730,0)=F730,OR(MONTH(F730)=9,MONTH(F730)=12)),SUM(OFFSET(H730,-91,0):H730))),IF(AND(EOMONTH(F730,0)=F730,MONTH(F730)=3),SUM(OFFSET(H730,-89,0):H730),IF(AND(EOMONTH(F730,0)=F730,MONTH(F730)=6),SUM(OFFSET(H730,-90,0):H730),IF(AND(EOMONTH(F730,0)=F730,OR(MONTH(F730)=9,MONTH(F730)=12)),SUM(OFFSET(H730,-91,0):H730)))))),IF(F730='депозитный калькулятор'!$D$8,SUM($H$23:H730)-SUM($I$23:I729),0))),IF('депозитный калькулятор'!$G$10="ежегодное",IF(F730&gt;'депозитный калькулятор'!$D$8," ",IF(F730='депозитный калькулятор'!$D$8,SUM($H$23:H730)-SUM($I$23:I729),IF(AND(EOMONTH(F730,0)=F730,MONTH(F730)=12),IF(MOD(YEAR(F729),4)=0,IF(F730-'депозитный калькулятор'!$D$7&lt;366,SUM($H$23:H730),SUM(OFFSET(H730,-365,0):H730)),IF(F730-'депозитный калькулятор'!$D$7&lt;365,SUM($H$23:H730),SUM(OFFSET(H730,-364,0):H730))),0))),IF(AND('депозитный калькулятор'!$G$10="в конце срока",'депозитный калькулятор'!$D$8=F730),SUM($H$23:H730),0))))))))))))))))))</f>
        <v xml:space="preserve"> </v>
      </c>
      <c r="J730" s="59" t="str">
        <f>IF(F730&gt;'депозитный калькулятор'!$D$8," ",IF('депозитный калькулятор'!$G$16="нет",0,IF(AND('депозитный калькулятор'!$G$17="разовая (в конце срока)",F730='депозитный калькулятор'!$D$8),'депозитный калькулятор'!$G$18,IF(AND('депозитный калькулятор'!$G$17="ежемесячная",EOMONTH(F729,0)=F729),'депозитный калькулятор'!$G$18,IF(AND('депозитный калькулятор'!$G$17="ежегодная",DAY(F729)=31,MONTH(F729)=12),'депозитный калькулятор'!$G$18,IF(AND('депозитный калькулятор'!$G$17="ежемесячная в зависимости от остатка",EOMONTH(F729,0)=F729,P729&gt;0),'депозитный калькулятор'!$G$18,IF(AND('депозитный калькулятор'!$G$17="ежегодная в зависимости от остатка",DAY(F729)=31,MONTH(F729)=12,P729&gt;0),'депозитный калькулятор'!$G$18,0)))))))</f>
        <v xml:space="preserve"> </v>
      </c>
      <c r="K730" s="135" t="str">
        <f>IF($F730=" "," ",IFERROR(VLOOKUP($F730,'депозитный калькулятор'!$B$26:$F$70,2,0),0))</f>
        <v xml:space="preserve"> </v>
      </c>
      <c r="L730" s="135" t="str">
        <f>IF($F730=" "," ",IFERROR(VLOOKUP($F730,'депозитный калькулятор'!$B$26:$F$70,3,0),0))</f>
        <v xml:space="preserve"> </v>
      </c>
      <c r="M730" s="135" t="str">
        <f>IF($F730=" "," ",IFERROR(VLOOKUP($F730,'депозитный калькулятор'!$B$26:$F$70,4,0),0))</f>
        <v xml:space="preserve"> </v>
      </c>
      <c r="N730" s="135" t="str">
        <f>IF($F730=" "," ",IFERROR(VLOOKUP($F730,'депозитный калькулятор'!$B$26:$F$70,5,0),0))</f>
        <v xml:space="preserve"> </v>
      </c>
      <c r="O730" s="146" t="str">
        <f>IF(F730&gt;'депозитный калькулятор'!$D$8," ",IF(F730='депозитный калькулятор'!$D$8,IF(AND($F$24='депозитный калькулятор'!$D$8,'депозитный калькулятор'!$G$13="нет"),-G730-IF(I730=" ",0,I730)-IF(AND(OR('депозитный калькулятор'!$G$7="30/365",'депозитный калькулятор'!$G$7="30/360"),'депозитный калькулятор'!$G$10="в начале срока"),I729,0)-L730+M730-N730,-G730-IF(I730=" ",0,I730)-L730+M730-N730),IF('депозитный калькулятор'!$G$13="есть",M730-N730+IF('депозитный калькулятор'!$G$14="есть",0,-L730),-IF(I730=" ",0,I730)-IF(AND(OR('депозитный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срока"),I729,0)+M730-N730+IF('депозитный калькулятор'!$G$14="есть",0,-L730))))</f>
        <v xml:space="preserve"> </v>
      </c>
      <c r="P730" s="147" t="str">
        <f>IF(F730&gt;'депозитный калькулятор'!$D$8," ",IF(EOMONTH(F729,0)=F729,0,IF(G730&gt;='депозитный калькулятор'!$G$19,P729,P729+1)))</f>
        <v xml:space="preserve"> </v>
      </c>
      <c r="Q730" s="138" t="str">
        <f>IF(F730=" "," ",IF(AND(OR('депозитный калькулятор'!$G$7="30/365",'депозитный калькулятор'!$G$7="30/360"),AND(MONTH(F730)=2,EOMONTH(F730,0)=F730)),IF(DAY(F730)=28,3,2),1)*IF(G730&gt;='депозитный калькулятор'!$G$11,IF(AND('депозитный калькулятор'!$G$7="факт/факт",MOD(YEAR(F730),4)=0),G730*'депозитный калькулятор'!$D$11/366,G730*'депозитный калькулятор'!$G$8),0))</f>
        <v xml:space="preserve"> </v>
      </c>
      <c r="R730" s="158"/>
      <c r="S730" s="62" t="str">
        <f t="shared" ca="1" si="57"/>
        <v xml:space="preserve"> </v>
      </c>
      <c r="T730" s="149" t="str">
        <f ca="1">IF(S730=" "," ",IF('депозитный калькулятор'!$G$7="30/360",DAYS360(U729,IF(DAY(U730)=31,U730-1,U730))+IF(AND(MONTH(U730)=2,U730=EOMONTH(U730,0)),30-DAY(EOMONTH(U730,0)))+T729,VLOOKUP(S730,$C$22:$F$1023,2,0)))</f>
        <v xml:space="preserve"> </v>
      </c>
      <c r="U730" s="64" t="str">
        <f t="shared" ca="1" si="55"/>
        <v xml:space="preserve"> </v>
      </c>
      <c r="V730" s="150" t="str">
        <f t="shared" ca="1" si="58"/>
        <v xml:space="preserve"> </v>
      </c>
      <c r="W730" s="62" t="str">
        <f t="shared" ca="1" si="59"/>
        <v xml:space="preserve"> </v>
      </c>
      <c r="X730" s="141" t="str">
        <f ca="1">IF(S730=" "," ",IFERROR(VLOOKUP(U730,$F$23:$N$1023,7)+VLOOKUP(U730,$F$23:$N$1023,9)+IF(AND('депозитный калькулятор'!$G$13="нет",U730&lt;&gt;'депозитный калькулятор'!$D$8),VLOOKUP(U730,$F$23:$N$1023,4),0),0)+IF(U730='депозитный калькулятор'!$D$8,VLOOKUP(U730,$F$23:$N$1023,2)+VLOOKUP(U730,$F$23:$N$1023,4),0))</f>
        <v xml:space="preserve"> </v>
      </c>
      <c r="Y730" s="142" t="str">
        <f ca="1">IF(S730=" "," ",W730/(1+'депозитный калькулятор'!$K$8)^(T730/IF('депозитный калькулятор'!$G$7="30/360",360,365)))</f>
        <v xml:space="preserve"> </v>
      </c>
      <c r="Z730" s="142" t="str">
        <f ca="1">IF(S730=" "," ",X730/(1+'депозитный калькулятор'!$K$8)^(T730/IF('депозитный калькулятор'!$G$7="30/360",360,365)))</f>
        <v xml:space="preserve"> </v>
      </c>
      <c r="AA730" s="151"/>
      <c r="AB730" s="151"/>
      <c r="AC730" s="155"/>
      <c r="AD730" s="155"/>
    </row>
    <row r="731" spans="1:30" s="2" customFormat="1" ht="15.5" x14ac:dyDescent="0.35">
      <c r="A731" s="41" t="str">
        <f>IF(F731=" "," ",IF(OR('депозитный калькулятор'!$G$7="30/365",'депозитный калькулятор'!$G$7="30/360"),IF(AND(MONTH(F731)=2,DAY(F731)=DAY(EOMONTH(F731,0))),30-DAY(EOMONTH(F731,0)),IF(DAY(F731)=31,1," "))," "))</f>
        <v xml:space="preserve"> </v>
      </c>
      <c r="B731" s="130" t="str">
        <f t="shared" si="56"/>
        <v xml:space="preserve"> </v>
      </c>
      <c r="C731" s="130" t="str">
        <f>IF(OR(B731=0,B731=" ")," ",SUM($B$23:B731))</f>
        <v xml:space="preserve"> </v>
      </c>
      <c r="D731" s="62" t="str">
        <f>IF(D730=" "," ",IF(OR(F730='депозитный калькулятор'!$D$8,F730=" ")," ",D730+1))</f>
        <v xml:space="preserve"> </v>
      </c>
      <c r="E731" s="130" t="str">
        <f>IF(OR(F730='депозитный калькулятор'!$D$8,F730=" ")," ",IF(EOMONTH(F730,0)=F730,1,E730+1))</f>
        <v xml:space="preserve"> </v>
      </c>
      <c r="F731" s="64" t="str">
        <f>IF(F730=" "," ",IF(F730='депозитный калькулятор'!$D$8," ",F730+1))</f>
        <v xml:space="preserve"> </v>
      </c>
      <c r="G731" s="145" t="str">
        <f xml:space="preserve"> IF(F731&gt;'депозитный калькулятор'!$D$8," ",IF('депозитный калькулятор'!$G$13="есть",IF('депозитный калькулятор'!$G$14="есть",G730+IF(I730=" ",0,I730)-J731-K731+L731+M731-N731,G730+IF(I730=" ",0,I730)-J731-K731+M731-N731),IF('депозитный калькулятор'!$G$14="есть",G730-J731-K731+L731+M731-N731,G730-J731-K731+M731-N731)))</f>
        <v xml:space="preserve"> </v>
      </c>
      <c r="H731" s="133" t="str">
        <f>IF(F731&gt;'депозитный калькулятор'!$D$8," ",IF(AND(OR('депозитный калькулятор'!$G$7="30/365",'депозитный калькулятор'!$G$7="30/360"),AND(MONTH(F731)=2,EOMONTH(F731,0)=F731)),IF(DAY(F731)=28,3*G731*'депозитный калькулятор'!$G$8,2*G731*'депозитный калькулятор'!$G$8),IF(AND(OR('депозитный калькулятор'!$G$7="30/365",'депозитный калькулятор'!$G$7="30/360"),DAY(F731)=31)," ",IF(AND('депозитный калькулятор'!$G$7="факт/факт",MOD(YEAR(F731),4)=0),G731*'депозитный калькулятор'!$D$11/366,G731*'депозитный калькулятор'!$G$8))))</f>
        <v xml:space="preserve"> </v>
      </c>
      <c r="I731" s="134" t="str">
        <f ca="1">IF(F731=" "," ",IF('депозитный калькулятор'!$G$10="ежедневное",H731,IF(AND('депозитный калькулятор'!$G$10="еженедельное",WEEKDAY(F731,2)=7),SUM(OFFSET(H731,-6,0):H731),IF(AND('депозитный калькулятор'!$G$10="еженедельное",F731='депозитный калькулятор'!$D$8),SUM($H$23:H731)-SUM($I$23:I730),IF(AND('депозитный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недели",WEEKDAY(F731,2)=7),MIN(OFFSET(H731,-6,0):H731)*(COUNTIF(OFFSET(H731,-6,0):H731,"&gt;0")+SUMIF(OFFSET(A731,-WEEKDAY(F731,2),0):A731,"=2",OFFSET(A731,-WEEKDAY(F731,2),0):A731)),IF(AND('депозитный калькулятор'!$G$10="еженедельное, на минимальную сумму зафиксированную в течение недели",F731='депозитный калькулятор'!$D$8,WEEKDAY(F731,2)&lt;&gt;7),MIN(OFFSET(H731,-WEEKDAY(F731,2),0):H731)*(COUNTIF(OFFSET(H731,-WEEKDAY(F731,2)+1,0):H731,"&gt;0")+SUM(OFFSET(A731,-WEEKDAY(F731,2),0):A731)),IF(AND('депозитный калькулятор'!$G$10="ежемесячное (в конце месяца)",F731='депозитный калькулятор'!$D$8,EOMONTH(F731,0)&lt;&gt;F731),IF('депозитный калькулятор'!$F$1=1,$H$24,SUM($H$23:H731)-SUM($I$23:I730)),IF(AND('депозитный калькулятор'!$G$10="ежемесячное (в конце месяца)",EOMONTH(F731,0)=F731),SUM($H$23:H731)-SUM($I$23:I730),IF(AND('депозитный калькулятор'!$G$10="ежемесячное (по дням открытия вклада)",F731='депозитный калькулятор'!$D$8,DAY('депозитный калькулятор'!$D$7)&lt;&gt;DAY(F731)),IF('депозитный калькулятор'!$F$1=1,$H$24,SUM($H$23:H731)-SUM($I$23:I730)),IF(AND('депозитный калькулятор'!$G$10="ежемесячное (по дням открытия вклада)",DAY('депозитный калькулятор'!$D$7)=DAY(F731)),SUM($H$23:H731)-SUM($I$23:I730),IF(AND('депозитный калькулятор'!$G$10="ежемесячное, на минимальную сумму зафиксированную в течение месяца",F731='депозитный калькулятор'!$D$8,EOMONTH(F731,0)&lt;&gt;F731),IF('депозитный калькулятор'!$F$1=1,$H$24,IF(AND(OR('депозитный калькулятор'!$G$7="30/365",'депозитный калькулятор'!$G$7="30/360"),DAY(F731)=31),0,MIN(OFFSET(H731,-E731+1,0):H731)*(E731+SUMIF(OFFSET(A731,-E731+1,0):A731,"=2",OFFSET(A731,-E731+1,0):A731)))),IF(AND('депозитный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калькулятор'!$G$7="30/360"),DAY(EOMONTH(F731,0))=31),EOMONTH(F731,0)-1=F731,EOMONTH(F731,0)=F731)),IF(IF(AND(OR('депозитный калькулятор'!$G$7="30/365",'депозитный калькулятор'!$G$7="30/360"),DAY(EOMONTH($F$23,0))=31),F731=EOMONTH($F$23,0)-1,F731=EOMONTH($F$23,0)),MIN(OFFSET(H731,-(DAY(F731)-DAY($F$23)),0):H731)*E731,MIN(OFFSET(H731,-(DAY(F731)-1),0):H731)*IF(AND(OR('депозитный калькулятор'!$G$7="30/365",'депозитный калькулятор'!$G$7="30/360"),DAY(F731)&lt;30),30,DAY(F731))),IF(AND('депозитный калькулятор'!$G$10="ежемесячное, на средний остаток в течение месяца, при условии что остаток больше чем ограничение",F731='депозитный калькулятор'!$D$8,EOMONTH(F731,0)&lt;&gt;F731),IF('депозитный калькулятор'!$F$1=1,$H$24,SUM(OFFSET(Q731,-E731+1,0):Q731)),IF(AND('депозитный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калькулятор'!$G$7="30/360"),DAY(EOMONTH(F731,0))=31),EOMONTH(F731,0)-1=F731,EOMONTH(F731,0)=F731)),IF(IF(AND(OR('депозитный калькулятор'!$G$7="30/365",'депозитный калькулятор'!$G$7="30/360"),DAY(EOMONTH($F$24,0))=31),F731=EOMONTH($F$24,0)-1,F731=EOMONTH($F$24,0)),SUM(OFFSET(Q731,-E731+1,0):Q731),SUM(OFFSET(Q731,-E731+1,0):Q731)),IF('депозитный калькулятор'!$G$10="ежеквартальное",IF(F731&gt;'депозитный калькулятор'!$D$8," ",IF(AND(EOMONTH(F731,0)=F731,OR(MONTH(F731)=3,MONTH(F731)=6,MONTH(F731)=9,MONTH(F731)=12)),IF(EDATE(F731,-3)&lt;'депозитный калькулятор'!$D$7,SUM($H$23:H731),IF(MOD(YEAR(F731),4)=0,IF(AND(EOMONTH(F731,0)=F731,OR(MONTH(F731)=3,MONTH(F731)=6)),SUM(OFFSET(H731,-90,0):H731),IF(AND(EOMONTH(F731,0)=F731,OR(MONTH(F731)=9,MONTH(F731)=12)),SUM(OFFSET(H731,-91,0):H731))),IF(AND(EOMONTH(F731,0)=F731,MONTH(F731)=3),SUM(OFFSET(H731,-89,0):H731),IF(AND(EOMONTH(F731,0)=F731,MONTH(F731)=6),SUM(OFFSET(H731,-90,0):H731),IF(AND(EOMONTH(F731,0)=F731,OR(MONTH(F731)=9,MONTH(F731)=12)),SUM(OFFSET(H731,-91,0):H731)))))),IF(F731='депозитный калькулятор'!$D$8,SUM($H$23:H731)-SUM($I$23:I730),0))),IF('депозитный калькулятор'!$G$10="ежегодное",IF(F731&gt;'депозитный калькулятор'!$D$8," ",IF(F731='депозитный калькулятор'!$D$8,SUM($H$23:H731)-SUM($I$23:I730),IF(AND(EOMONTH(F731,0)=F731,MONTH(F731)=12),IF(MOD(YEAR(F730),4)=0,IF(F731-'депозитный калькулятор'!$D$7&lt;366,SUM($H$23:H731),SUM(OFFSET(H731,-365,0):H731)),IF(F731-'депозитный калькулятор'!$D$7&lt;365,SUM($H$23:H731),SUM(OFFSET(H731,-364,0):H731))),0))),IF(AND('депозитный калькулятор'!$G$10="в конце срока",'депозитный калькулятор'!$D$8=F731),SUM($H$23:H731),0))))))))))))))))))</f>
        <v xml:space="preserve"> </v>
      </c>
      <c r="J731" s="59" t="str">
        <f>IF(F731&gt;'депозитный калькулятор'!$D$8," ",IF('депозитный калькулятор'!$G$16="нет",0,IF(AND('депозитный калькулятор'!$G$17="разовая (в конце срока)",F731='депозитный калькулятор'!$D$8),'депозитный калькулятор'!$G$18,IF(AND('депозитный калькулятор'!$G$17="ежемесячная",EOMONTH(F730,0)=F730),'депозитный калькулятор'!$G$18,IF(AND('депозитный калькулятор'!$G$17="ежегодная",DAY(F730)=31,MONTH(F730)=12),'депозитный калькулятор'!$G$18,IF(AND('депозитный калькулятор'!$G$17="ежемесячная в зависимости от остатка",EOMONTH(F730,0)=F730,P730&gt;0),'депозитный калькулятор'!$G$18,IF(AND('депозитный калькулятор'!$G$17="ежегодная в зависимости от остатка",DAY(F730)=31,MONTH(F730)=12,P730&gt;0),'депозитный калькулятор'!$G$18,0)))))))</f>
        <v xml:space="preserve"> </v>
      </c>
      <c r="K731" s="135" t="str">
        <f>IF($F731=" "," ",IFERROR(VLOOKUP($F731,'депозитный калькулятор'!$B$26:$F$70,2,0),0))</f>
        <v xml:space="preserve"> </v>
      </c>
      <c r="L731" s="135" t="str">
        <f>IF($F731=" "," ",IFERROR(VLOOKUP($F731,'депозитный калькулятор'!$B$26:$F$70,3,0),0))</f>
        <v xml:space="preserve"> </v>
      </c>
      <c r="M731" s="135" t="str">
        <f>IF($F731=" "," ",IFERROR(VLOOKUP($F731,'депозитный калькулятор'!$B$26:$F$70,4,0),0))</f>
        <v xml:space="preserve"> </v>
      </c>
      <c r="N731" s="135" t="str">
        <f>IF($F731=" "," ",IFERROR(VLOOKUP($F731,'депозитный калькулятор'!$B$26:$F$70,5,0),0))</f>
        <v xml:space="preserve"> </v>
      </c>
      <c r="O731" s="146" t="str">
        <f>IF(F731&gt;'депозитный калькулятор'!$D$8," ",IF(F731='депозитный калькулятор'!$D$8,IF(AND($F$24='депозитный калькулятор'!$D$8,'депозитный калькулятор'!$G$13="нет"),-G731-IF(I731=" ",0,I731)-IF(AND(OR('депозитный калькулятор'!$G$7="30/365",'депозитный калькулятор'!$G$7="30/360"),'депозитный калькулятор'!$G$10="в начале срока"),I730,0)-L731+M731-N731,-G731-IF(I731=" ",0,I731)-L731+M731-N731),IF('депозитный калькулятор'!$G$13="есть",M731-N731+IF('депозитный калькулятор'!$G$14="есть",0,-L731),-IF(I731=" ",0,I731)-IF(AND(OR('депозитный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срока"),I730,0)+M731-N731+IF('депозитный калькулятор'!$G$14="есть",0,-L731))))</f>
        <v xml:space="preserve"> </v>
      </c>
      <c r="P731" s="147" t="str">
        <f>IF(F731&gt;'депозитный калькулятор'!$D$8," ",IF(EOMONTH(F730,0)=F730,0,IF(G731&gt;='депозитный калькулятор'!$G$19,P730,P730+1)))</f>
        <v xml:space="preserve"> </v>
      </c>
      <c r="Q731" s="138" t="str">
        <f>IF(F731=" "," ",IF(AND(OR('депозитный калькулятор'!$G$7="30/365",'депозитный калькулятор'!$G$7="30/360"),AND(MONTH(F731)=2,EOMONTH(F731,0)=F731)),IF(DAY(F731)=28,3,2),1)*IF(G731&gt;='депозитный калькулятор'!$G$11,IF(AND('депозитный калькулятор'!$G$7="факт/факт",MOD(YEAR(F731),4)=0),G731*'депозитный калькулятор'!$D$11/366,G731*'депозитный калькулятор'!$G$8),0))</f>
        <v xml:space="preserve"> </v>
      </c>
      <c r="R731" s="158"/>
      <c r="S731" s="62" t="str">
        <f t="shared" ca="1" si="57"/>
        <v xml:space="preserve"> </v>
      </c>
      <c r="T731" s="149" t="str">
        <f ca="1">IF(S731=" "," ",IF('депозитный калькулятор'!$G$7="30/360",DAYS360(U730,IF(DAY(U731)=31,U731-1,U731))+IF(AND(MONTH(U731)=2,U731=EOMONTH(U731,0)),30-DAY(EOMONTH(U731,0)))+T730,VLOOKUP(S731,$C$22:$F$1023,2,0)))</f>
        <v xml:space="preserve"> </v>
      </c>
      <c r="U731" s="64" t="str">
        <f t="shared" ca="1" si="55"/>
        <v xml:space="preserve"> </v>
      </c>
      <c r="V731" s="150" t="str">
        <f t="shared" ca="1" si="58"/>
        <v xml:space="preserve"> </v>
      </c>
      <c r="W731" s="62" t="str">
        <f t="shared" ca="1" si="59"/>
        <v xml:space="preserve"> </v>
      </c>
      <c r="X731" s="141" t="str">
        <f ca="1">IF(S731=" "," ",IFERROR(VLOOKUP(U731,$F$23:$N$1023,7)+VLOOKUP(U731,$F$23:$N$1023,9)+IF(AND('депозитный калькулятор'!$G$13="нет",U731&lt;&gt;'депозитный калькулятор'!$D$8),VLOOKUP(U731,$F$23:$N$1023,4),0),0)+IF(U731='депозитный калькулятор'!$D$8,VLOOKUP(U731,$F$23:$N$1023,2)+VLOOKUP(U731,$F$23:$N$1023,4),0))</f>
        <v xml:space="preserve"> </v>
      </c>
      <c r="Y731" s="142" t="str">
        <f ca="1">IF(S731=" "," ",W731/(1+'депозитный калькулятор'!$K$8)^(T731/IF('депозитный калькулятор'!$G$7="30/360",360,365)))</f>
        <v xml:space="preserve"> </v>
      </c>
      <c r="Z731" s="142" t="str">
        <f ca="1">IF(S731=" "," ",X731/(1+'депозитный калькулятор'!$K$8)^(T731/IF('депозитный калькулятор'!$G$7="30/360",360,365)))</f>
        <v xml:space="preserve"> </v>
      </c>
      <c r="AA731" s="151"/>
      <c r="AB731" s="151"/>
      <c r="AC731" s="155"/>
      <c r="AD731" s="155"/>
    </row>
    <row r="732" spans="1:30" s="2" customFormat="1" ht="15.5" x14ac:dyDescent="0.35">
      <c r="A732" s="41" t="str">
        <f>IF(F732=" "," ",IF(OR('депозитный калькулятор'!$G$7="30/365",'депозитный калькулятор'!$G$7="30/360"),IF(AND(MONTH(F732)=2,DAY(F732)=DAY(EOMONTH(F732,0))),30-DAY(EOMONTH(F732,0)),IF(DAY(F732)=31,1," "))," "))</f>
        <v xml:space="preserve"> </v>
      </c>
      <c r="B732" s="130" t="str">
        <f t="shared" si="56"/>
        <v xml:space="preserve"> </v>
      </c>
      <c r="C732" s="130" t="str">
        <f>IF(OR(B732=0,B732=" ")," ",SUM($B$23:B732))</f>
        <v xml:space="preserve"> </v>
      </c>
      <c r="D732" s="62" t="str">
        <f>IF(D731=" "," ",IF(OR(F731='депозитный калькулятор'!$D$8,F731=" ")," ",D731+1))</f>
        <v xml:space="preserve"> </v>
      </c>
      <c r="E732" s="130" t="str">
        <f>IF(OR(F731='депозитный калькулятор'!$D$8,F731=" ")," ",IF(EOMONTH(F731,0)=F731,1,E731+1))</f>
        <v xml:space="preserve"> </v>
      </c>
      <c r="F732" s="64" t="str">
        <f>IF(F731=" "," ",IF(F731='депозитный калькулятор'!$D$8," ",F731+1))</f>
        <v xml:space="preserve"> </v>
      </c>
      <c r="G732" s="145" t="str">
        <f xml:space="preserve"> IF(F732&gt;'депозитный калькулятор'!$D$8," ",IF('депозитный калькулятор'!$G$13="есть",IF('депозитный калькулятор'!$G$14="есть",G731+IF(I731=" ",0,I731)-J732-K732+L732+M732-N732,G731+IF(I731=" ",0,I731)-J732-K732+M732-N732),IF('депозитный калькулятор'!$G$14="есть",G731-J732-K732+L732+M732-N732,G731-J732-K732+M732-N732)))</f>
        <v xml:space="preserve"> </v>
      </c>
      <c r="H732" s="133" t="str">
        <f>IF(F732&gt;'депозитный калькулятор'!$D$8," ",IF(AND(OR('депозитный калькулятор'!$G$7="30/365",'депозитный калькулятор'!$G$7="30/360"),AND(MONTH(F732)=2,EOMONTH(F732,0)=F732)),IF(DAY(F732)=28,3*G732*'депозитный калькулятор'!$G$8,2*G732*'депозитный калькулятор'!$G$8),IF(AND(OR('депозитный калькулятор'!$G$7="30/365",'депозитный калькулятор'!$G$7="30/360"),DAY(F732)=31)," ",IF(AND('депозитный калькулятор'!$G$7="факт/факт",MOD(YEAR(F732),4)=0),G732*'депозитный калькулятор'!$D$11/366,G732*'депозитный калькулятор'!$G$8))))</f>
        <v xml:space="preserve"> </v>
      </c>
      <c r="I732" s="134" t="str">
        <f ca="1">IF(F732=" "," ",IF('депозитный калькулятор'!$G$10="ежедневное",H732,IF(AND('депозитный калькулятор'!$G$10="еженедельное",WEEKDAY(F732,2)=7),SUM(OFFSET(H732,-6,0):H732),IF(AND('депозитный калькулятор'!$G$10="еженедельное",F732='депозитный калькулятор'!$D$8),SUM($H$23:H732)-SUM($I$23:I731),IF(AND('депозитный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недели",WEEKDAY(F732,2)=7),MIN(OFFSET(H732,-6,0):H732)*(COUNTIF(OFFSET(H732,-6,0):H732,"&gt;0")+SUMIF(OFFSET(A732,-WEEKDAY(F732,2),0):A732,"=2",OFFSET(A732,-WEEKDAY(F732,2),0):A732)),IF(AND('депозитный калькулятор'!$G$10="еженедельное, на минимальную сумму зафиксированную в течение недели",F732='депозитный калькулятор'!$D$8,WEEKDAY(F732,2)&lt;&gt;7),MIN(OFFSET(H732,-WEEKDAY(F732,2),0):H732)*(COUNTIF(OFFSET(H732,-WEEKDAY(F732,2)+1,0):H732,"&gt;0")+SUM(OFFSET(A732,-WEEKDAY(F732,2),0):A732)),IF(AND('депозитный калькулятор'!$G$10="ежемесячное (в конце месяца)",F732='депозитный калькулятор'!$D$8,EOMONTH(F732,0)&lt;&gt;F732),IF('депозитный калькулятор'!$F$1=1,$H$24,SUM($H$23:H732)-SUM($I$23:I731)),IF(AND('депозитный калькулятор'!$G$10="ежемесячное (в конце месяца)",EOMONTH(F732,0)=F732),SUM($H$23:H732)-SUM($I$23:I731),IF(AND('депозитный калькулятор'!$G$10="ежемесячное (по дням открытия вклада)",F732='депозитный калькулятор'!$D$8,DAY('депозитный калькулятор'!$D$7)&lt;&gt;DAY(F732)),IF('депозитный калькулятор'!$F$1=1,$H$24,SUM($H$23:H732)-SUM($I$23:I731)),IF(AND('депозитный калькулятор'!$G$10="ежемесячное (по дням открытия вклада)",DAY('депозитный калькулятор'!$D$7)=DAY(F732)),SUM($H$23:H732)-SUM($I$23:I731),IF(AND('депозитный калькулятор'!$G$10="ежемесячное, на минимальную сумму зафиксированную в течение месяца",F732='депозитный калькулятор'!$D$8,EOMONTH(F732,0)&lt;&gt;F732),IF('депозитный калькулятор'!$F$1=1,$H$24,IF(AND(OR('депозитный калькулятор'!$G$7="30/365",'депозитный калькулятор'!$G$7="30/360"),DAY(F732)=31),0,MIN(OFFSET(H732,-E732+1,0):H732)*(E732+SUMIF(OFFSET(A732,-E732+1,0):A732,"=2",OFFSET(A732,-E732+1,0):A732)))),IF(AND('депозитный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калькулятор'!$G$7="30/360"),DAY(EOMONTH(F732,0))=31),EOMONTH(F732,0)-1=F732,EOMONTH(F732,0)=F732)),IF(IF(AND(OR('депозитный калькулятор'!$G$7="30/365",'депозитный калькулятор'!$G$7="30/360"),DAY(EOMONTH($F$23,0))=31),F732=EOMONTH($F$23,0)-1,F732=EOMONTH($F$23,0)),MIN(OFFSET(H732,-(DAY(F732)-DAY($F$23)),0):H732)*E732,MIN(OFFSET(H732,-(DAY(F732)-1),0):H732)*IF(AND(OR('депозитный калькулятор'!$G$7="30/365",'депозитный калькулятор'!$G$7="30/360"),DAY(F732)&lt;30),30,DAY(F732))),IF(AND('депозитный калькулятор'!$G$10="ежемесячное, на средний остаток в течение месяца, при условии что остаток больше чем ограничение",F732='депозитный калькулятор'!$D$8,EOMONTH(F732,0)&lt;&gt;F732),IF('депозитный калькулятор'!$F$1=1,$H$24,SUM(OFFSET(Q732,-E732+1,0):Q732)),IF(AND('депозитный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калькулятор'!$G$7="30/360"),DAY(EOMONTH(F732,0))=31),EOMONTH(F732,0)-1=F732,EOMONTH(F732,0)=F732)),IF(IF(AND(OR('депозитный калькулятор'!$G$7="30/365",'депозитный калькулятор'!$G$7="30/360"),DAY(EOMONTH($F$24,0))=31),F732=EOMONTH($F$24,0)-1,F732=EOMONTH($F$24,0)),SUM(OFFSET(Q732,-E732+1,0):Q732),SUM(OFFSET(Q732,-E732+1,0):Q732)),IF('депозитный калькулятор'!$G$10="ежеквартальное",IF(F732&gt;'депозитный калькулятор'!$D$8," ",IF(AND(EOMONTH(F732,0)=F732,OR(MONTH(F732)=3,MONTH(F732)=6,MONTH(F732)=9,MONTH(F732)=12)),IF(EDATE(F732,-3)&lt;'депозитный калькулятор'!$D$7,SUM($H$23:H732),IF(MOD(YEAR(F732),4)=0,IF(AND(EOMONTH(F732,0)=F732,OR(MONTH(F732)=3,MONTH(F732)=6)),SUM(OFFSET(H732,-90,0):H732),IF(AND(EOMONTH(F732,0)=F732,OR(MONTH(F732)=9,MONTH(F732)=12)),SUM(OFFSET(H732,-91,0):H732))),IF(AND(EOMONTH(F732,0)=F732,MONTH(F732)=3),SUM(OFFSET(H732,-89,0):H732),IF(AND(EOMONTH(F732,0)=F732,MONTH(F732)=6),SUM(OFFSET(H732,-90,0):H732),IF(AND(EOMONTH(F732,0)=F732,OR(MONTH(F732)=9,MONTH(F732)=12)),SUM(OFFSET(H732,-91,0):H732)))))),IF(F732='депозитный калькулятор'!$D$8,SUM($H$23:H732)-SUM($I$23:I731),0))),IF('депозитный калькулятор'!$G$10="ежегодное",IF(F732&gt;'депозитный калькулятор'!$D$8," ",IF(F732='депозитный калькулятор'!$D$8,SUM($H$23:H732)-SUM($I$23:I731),IF(AND(EOMONTH(F732,0)=F732,MONTH(F732)=12),IF(MOD(YEAR(F731),4)=0,IF(F732-'депозитный калькулятор'!$D$7&lt;366,SUM($H$23:H732),SUM(OFFSET(H732,-365,0):H732)),IF(F732-'депозитный калькулятор'!$D$7&lt;365,SUM($H$23:H732),SUM(OFFSET(H732,-364,0):H732))),0))),IF(AND('депозитный калькулятор'!$G$10="в конце срока",'депозитный калькулятор'!$D$8=F732),SUM($H$23:H732),0))))))))))))))))))</f>
        <v xml:space="preserve"> </v>
      </c>
      <c r="J732" s="59" t="str">
        <f>IF(F732&gt;'депозитный калькулятор'!$D$8," ",IF('депозитный калькулятор'!$G$16="нет",0,IF(AND('депозитный калькулятор'!$G$17="разовая (в конце срока)",F732='депозитный калькулятор'!$D$8),'депозитный калькулятор'!$G$18,IF(AND('депозитный калькулятор'!$G$17="ежемесячная",EOMONTH(F731,0)=F731),'депозитный калькулятор'!$G$18,IF(AND('депозитный калькулятор'!$G$17="ежегодная",DAY(F731)=31,MONTH(F731)=12),'депозитный калькулятор'!$G$18,IF(AND('депозитный калькулятор'!$G$17="ежемесячная в зависимости от остатка",EOMONTH(F731,0)=F731,P731&gt;0),'депозитный калькулятор'!$G$18,IF(AND('депозитный калькулятор'!$G$17="ежегодная в зависимости от остатка",DAY(F731)=31,MONTH(F731)=12,P731&gt;0),'депозитный калькулятор'!$G$18,0)))))))</f>
        <v xml:space="preserve"> </v>
      </c>
      <c r="K732" s="135" t="str">
        <f>IF($F732=" "," ",IFERROR(VLOOKUP($F732,'депозитный калькулятор'!$B$26:$F$70,2,0),0))</f>
        <v xml:space="preserve"> </v>
      </c>
      <c r="L732" s="135" t="str">
        <f>IF($F732=" "," ",IFERROR(VLOOKUP($F732,'депозитный калькулятор'!$B$26:$F$70,3,0),0))</f>
        <v xml:space="preserve"> </v>
      </c>
      <c r="M732" s="135" t="str">
        <f>IF($F732=" "," ",IFERROR(VLOOKUP($F732,'депозитный калькулятор'!$B$26:$F$70,4,0),0))</f>
        <v xml:space="preserve"> </v>
      </c>
      <c r="N732" s="135" t="str">
        <f>IF($F732=" "," ",IFERROR(VLOOKUP($F732,'депозитный калькулятор'!$B$26:$F$70,5,0),0))</f>
        <v xml:space="preserve"> </v>
      </c>
      <c r="O732" s="146" t="str">
        <f>IF(F732&gt;'депозитный калькулятор'!$D$8," ",IF(F732='депозитный калькулятор'!$D$8,IF(AND($F$24='депозитный калькулятор'!$D$8,'депозитный калькулятор'!$G$13="нет"),-G732-IF(I732=" ",0,I732)-IF(AND(OR('депозитный калькулятор'!$G$7="30/365",'депозитный калькулятор'!$G$7="30/360"),'депозитный калькулятор'!$G$10="в начале срока"),I731,0)-L732+M732-N732,-G732-IF(I732=" ",0,I732)-L732+M732-N732),IF('депозитный калькулятор'!$G$13="есть",M732-N732+IF('депозитный калькулятор'!$G$14="есть",0,-L732),-IF(I732=" ",0,I732)-IF(AND(OR('депозитный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срока"),I731,0)+M732-N732+IF('депозитный калькулятор'!$G$14="есть",0,-L732))))</f>
        <v xml:space="preserve"> </v>
      </c>
      <c r="P732" s="147" t="str">
        <f>IF(F732&gt;'депозитный калькулятор'!$D$8," ",IF(EOMONTH(F731,0)=F731,0,IF(G732&gt;='депозитный калькулятор'!$G$19,P731,P731+1)))</f>
        <v xml:space="preserve"> </v>
      </c>
      <c r="Q732" s="138" t="str">
        <f>IF(F732=" "," ",IF(AND(OR('депозитный калькулятор'!$G$7="30/365",'депозитный калькулятор'!$G$7="30/360"),AND(MONTH(F732)=2,EOMONTH(F732,0)=F732)),IF(DAY(F732)=28,3,2),1)*IF(G732&gt;='депозитный калькулятор'!$G$11,IF(AND('депозитный калькулятор'!$G$7="факт/факт",MOD(YEAR(F732),4)=0),G732*'депозитный калькулятор'!$D$11/366,G732*'депозитный калькулятор'!$G$8),0))</f>
        <v xml:space="preserve"> </v>
      </c>
      <c r="R732" s="158"/>
      <c r="S732" s="62" t="str">
        <f t="shared" ca="1" si="57"/>
        <v xml:space="preserve"> </v>
      </c>
      <c r="T732" s="149" t="str">
        <f ca="1">IF(S732=" "," ",IF('депозитный калькулятор'!$G$7="30/360",DAYS360(U731,IF(DAY(U732)=31,U732-1,U732))+IF(AND(MONTH(U732)=2,U732=EOMONTH(U732,0)),30-DAY(EOMONTH(U732,0)))+T731,VLOOKUP(S732,$C$22:$F$1023,2,0)))</f>
        <v xml:space="preserve"> </v>
      </c>
      <c r="U732" s="64" t="str">
        <f t="shared" ca="1" si="55"/>
        <v xml:space="preserve"> </v>
      </c>
      <c r="V732" s="150" t="str">
        <f t="shared" ca="1" si="58"/>
        <v xml:space="preserve"> </v>
      </c>
      <c r="W732" s="62" t="str">
        <f t="shared" ca="1" si="59"/>
        <v xml:space="preserve"> </v>
      </c>
      <c r="X732" s="141" t="str">
        <f ca="1">IF(S732=" "," ",IFERROR(VLOOKUP(U732,$F$23:$N$1023,7)+VLOOKUP(U732,$F$23:$N$1023,9)+IF(AND('депозитный калькулятор'!$G$13="нет",U732&lt;&gt;'депозитный калькулятор'!$D$8),VLOOKUP(U732,$F$23:$N$1023,4),0),0)+IF(U732='депозитный калькулятор'!$D$8,VLOOKUP(U732,$F$23:$N$1023,2)+VLOOKUP(U732,$F$23:$N$1023,4),0))</f>
        <v xml:space="preserve"> </v>
      </c>
      <c r="Y732" s="142" t="str">
        <f ca="1">IF(S732=" "," ",W732/(1+'депозитный калькулятор'!$K$8)^(T732/IF('депозитный калькулятор'!$G$7="30/360",360,365)))</f>
        <v xml:space="preserve"> </v>
      </c>
      <c r="Z732" s="142" t="str">
        <f ca="1">IF(S732=" "," ",X732/(1+'депозитный калькулятор'!$K$8)^(T732/IF('депозитный калькулятор'!$G$7="30/360",360,365)))</f>
        <v xml:space="preserve"> </v>
      </c>
      <c r="AA732" s="151"/>
      <c r="AB732" s="151"/>
      <c r="AC732" s="155"/>
      <c r="AD732" s="155"/>
    </row>
    <row r="733" spans="1:30" s="2" customFormat="1" ht="15.5" x14ac:dyDescent="0.35">
      <c r="A733" s="41" t="str">
        <f>IF(F733=" "," ",IF(OR('депозитный калькулятор'!$G$7="30/365",'депозитный калькулятор'!$G$7="30/360"),IF(AND(MONTH(F733)=2,DAY(F733)=DAY(EOMONTH(F733,0))),30-DAY(EOMONTH(F733,0)),IF(DAY(F733)=31,1," "))," "))</f>
        <v xml:space="preserve"> </v>
      </c>
      <c r="B733" s="130" t="str">
        <f t="shared" si="56"/>
        <v xml:space="preserve"> </v>
      </c>
      <c r="C733" s="130" t="str">
        <f>IF(OR(B733=0,B733=" ")," ",SUM($B$23:B733))</f>
        <v xml:space="preserve"> </v>
      </c>
      <c r="D733" s="62" t="str">
        <f>IF(D732=" "," ",IF(OR(F732='депозитный калькулятор'!$D$8,F732=" ")," ",D732+1))</f>
        <v xml:space="preserve"> </v>
      </c>
      <c r="E733" s="130" t="str">
        <f>IF(OR(F732='депозитный калькулятор'!$D$8,F732=" ")," ",IF(EOMONTH(F732,0)=F732,1,E732+1))</f>
        <v xml:space="preserve"> </v>
      </c>
      <c r="F733" s="64" t="str">
        <f>IF(F732=" "," ",IF(F732='депозитный калькулятор'!$D$8," ",F732+1))</f>
        <v xml:space="preserve"> </v>
      </c>
      <c r="G733" s="145" t="str">
        <f xml:space="preserve"> IF(F733&gt;'депозитный калькулятор'!$D$8," ",IF('депозитный калькулятор'!$G$13="есть",IF('депозитный калькулятор'!$G$14="есть",G732+IF(I732=" ",0,I732)-J733-K733+L733+M733-N733,G732+IF(I732=" ",0,I732)-J733-K733+M733-N733),IF('депозитный калькулятор'!$G$14="есть",G732-J733-K733+L733+M733-N733,G732-J733-K733+M733-N733)))</f>
        <v xml:space="preserve"> </v>
      </c>
      <c r="H733" s="133" t="str">
        <f>IF(F733&gt;'депозитный калькулятор'!$D$8," ",IF(AND(OR('депозитный калькулятор'!$G$7="30/365",'депозитный калькулятор'!$G$7="30/360"),AND(MONTH(F733)=2,EOMONTH(F733,0)=F733)),IF(DAY(F733)=28,3*G733*'депозитный калькулятор'!$G$8,2*G733*'депозитный калькулятор'!$G$8),IF(AND(OR('депозитный калькулятор'!$G$7="30/365",'депозитный калькулятор'!$G$7="30/360"),DAY(F733)=31)," ",IF(AND('депозитный калькулятор'!$G$7="факт/факт",MOD(YEAR(F733),4)=0),G733*'депозитный калькулятор'!$D$11/366,G733*'депозитный калькулятор'!$G$8))))</f>
        <v xml:space="preserve"> </v>
      </c>
      <c r="I733" s="134" t="str">
        <f ca="1">IF(F733=" "," ",IF('депозитный калькулятор'!$G$10="ежедневное",H733,IF(AND('депозитный калькулятор'!$G$10="еженедельное",WEEKDAY(F733,2)=7),SUM(OFFSET(H733,-6,0):H733),IF(AND('депозитный калькулятор'!$G$10="еженедельное",F733='депозитный калькулятор'!$D$8),SUM($H$23:H733)-SUM($I$23:I732),IF(AND('депозитный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недели",WEEKDAY(F733,2)=7),MIN(OFFSET(H733,-6,0):H733)*(COUNTIF(OFFSET(H733,-6,0):H733,"&gt;0")+SUMIF(OFFSET(A733,-WEEKDAY(F733,2),0):A733,"=2",OFFSET(A733,-WEEKDAY(F733,2),0):A733)),IF(AND('депозитный калькулятор'!$G$10="еженедельное, на минимальную сумму зафиксированную в течение недели",F733='депозитный калькулятор'!$D$8,WEEKDAY(F733,2)&lt;&gt;7),MIN(OFFSET(H733,-WEEKDAY(F733,2),0):H733)*(COUNTIF(OFFSET(H733,-WEEKDAY(F733,2)+1,0):H733,"&gt;0")+SUM(OFFSET(A733,-WEEKDAY(F733,2),0):A733)),IF(AND('депозитный калькулятор'!$G$10="ежемесячное (в конце месяца)",F733='депозитный калькулятор'!$D$8,EOMONTH(F733,0)&lt;&gt;F733),IF('депозитный калькулятор'!$F$1=1,$H$24,SUM($H$23:H733)-SUM($I$23:I732)),IF(AND('депозитный калькулятор'!$G$10="ежемесячное (в конце месяца)",EOMONTH(F733,0)=F733),SUM($H$23:H733)-SUM($I$23:I732),IF(AND('депозитный калькулятор'!$G$10="ежемесячное (по дням открытия вклада)",F733='депозитный калькулятор'!$D$8,DAY('депозитный калькулятор'!$D$7)&lt;&gt;DAY(F733)),IF('депозитный калькулятор'!$F$1=1,$H$24,SUM($H$23:H733)-SUM($I$23:I732)),IF(AND('депозитный калькулятор'!$G$10="ежемесячное (по дням открытия вклада)",DAY('депозитный калькулятор'!$D$7)=DAY(F733)),SUM($H$23:H733)-SUM($I$23:I732),IF(AND('депозитный калькулятор'!$G$10="ежемесячное, на минимальную сумму зафиксированную в течение месяца",F733='депозитный калькулятор'!$D$8,EOMONTH(F733,0)&lt;&gt;F733),IF('депозитный калькулятор'!$F$1=1,$H$24,IF(AND(OR('депозитный калькулятор'!$G$7="30/365",'депозитный калькулятор'!$G$7="30/360"),DAY(F733)=31),0,MIN(OFFSET(H733,-E733+1,0):H733)*(E733+SUMIF(OFFSET(A733,-E733+1,0):A733,"=2",OFFSET(A733,-E733+1,0):A733)))),IF(AND('депозитный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калькулятор'!$G$7="30/360"),DAY(EOMONTH(F733,0))=31),EOMONTH(F733,0)-1=F733,EOMONTH(F733,0)=F733)),IF(IF(AND(OR('депозитный калькулятор'!$G$7="30/365",'депозитный калькулятор'!$G$7="30/360"),DAY(EOMONTH($F$23,0))=31),F733=EOMONTH($F$23,0)-1,F733=EOMONTH($F$23,0)),MIN(OFFSET(H733,-(DAY(F733)-DAY($F$23)),0):H733)*E733,MIN(OFFSET(H733,-(DAY(F733)-1),0):H733)*IF(AND(OR('депозитный калькулятор'!$G$7="30/365",'депозитный калькулятор'!$G$7="30/360"),DAY(F733)&lt;30),30,DAY(F733))),IF(AND('депозитный калькулятор'!$G$10="ежемесячное, на средний остаток в течение месяца, при условии что остаток больше чем ограничение",F733='депозитный калькулятор'!$D$8,EOMONTH(F733,0)&lt;&gt;F733),IF('депозитный калькулятор'!$F$1=1,$H$24,SUM(OFFSET(Q733,-E733+1,0):Q733)),IF(AND('депозитный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калькулятор'!$G$7="30/360"),DAY(EOMONTH(F733,0))=31),EOMONTH(F733,0)-1=F733,EOMONTH(F733,0)=F733)),IF(IF(AND(OR('депозитный калькулятор'!$G$7="30/365",'депозитный калькулятор'!$G$7="30/360"),DAY(EOMONTH($F$24,0))=31),F733=EOMONTH($F$24,0)-1,F733=EOMONTH($F$24,0)),SUM(OFFSET(Q733,-E733+1,0):Q733),SUM(OFFSET(Q733,-E733+1,0):Q733)),IF('депозитный калькулятор'!$G$10="ежеквартальное",IF(F733&gt;'депозитный калькулятор'!$D$8," ",IF(AND(EOMONTH(F733,0)=F733,OR(MONTH(F733)=3,MONTH(F733)=6,MONTH(F733)=9,MONTH(F733)=12)),IF(EDATE(F733,-3)&lt;'депозитный калькулятор'!$D$7,SUM($H$23:H733),IF(MOD(YEAR(F733),4)=0,IF(AND(EOMONTH(F733,0)=F733,OR(MONTH(F733)=3,MONTH(F733)=6)),SUM(OFFSET(H733,-90,0):H733),IF(AND(EOMONTH(F733,0)=F733,OR(MONTH(F733)=9,MONTH(F733)=12)),SUM(OFFSET(H733,-91,0):H733))),IF(AND(EOMONTH(F733,0)=F733,MONTH(F733)=3),SUM(OFFSET(H733,-89,0):H733),IF(AND(EOMONTH(F733,0)=F733,MONTH(F733)=6),SUM(OFFSET(H733,-90,0):H733),IF(AND(EOMONTH(F733,0)=F733,OR(MONTH(F733)=9,MONTH(F733)=12)),SUM(OFFSET(H733,-91,0):H733)))))),IF(F733='депозитный калькулятор'!$D$8,SUM($H$23:H733)-SUM($I$23:I732),0))),IF('депозитный калькулятор'!$G$10="ежегодное",IF(F733&gt;'депозитный калькулятор'!$D$8," ",IF(F733='депозитный калькулятор'!$D$8,SUM($H$23:H733)-SUM($I$23:I732),IF(AND(EOMONTH(F733,0)=F733,MONTH(F733)=12),IF(MOD(YEAR(F732),4)=0,IF(F733-'депозитный калькулятор'!$D$7&lt;366,SUM($H$23:H733),SUM(OFFSET(H733,-365,0):H733)),IF(F733-'депозитный калькулятор'!$D$7&lt;365,SUM($H$23:H733),SUM(OFFSET(H733,-364,0):H733))),0))),IF(AND('депозитный калькулятор'!$G$10="в конце срока",'депозитный калькулятор'!$D$8=F733),SUM($H$23:H733),0))))))))))))))))))</f>
        <v xml:space="preserve"> </v>
      </c>
      <c r="J733" s="59" t="str">
        <f>IF(F733&gt;'депозитный калькулятор'!$D$8," ",IF('депозитный калькулятор'!$G$16="нет",0,IF(AND('депозитный калькулятор'!$G$17="разовая (в конце срока)",F733='депозитный калькулятор'!$D$8),'депозитный калькулятор'!$G$18,IF(AND('депозитный калькулятор'!$G$17="ежемесячная",EOMONTH(F732,0)=F732),'депозитный калькулятор'!$G$18,IF(AND('депозитный калькулятор'!$G$17="ежегодная",DAY(F732)=31,MONTH(F732)=12),'депозитный калькулятор'!$G$18,IF(AND('депозитный калькулятор'!$G$17="ежемесячная в зависимости от остатка",EOMONTH(F732,0)=F732,P732&gt;0),'депозитный калькулятор'!$G$18,IF(AND('депозитный калькулятор'!$G$17="ежегодная в зависимости от остатка",DAY(F732)=31,MONTH(F732)=12,P732&gt;0),'депозитный калькулятор'!$G$18,0)))))))</f>
        <v xml:space="preserve"> </v>
      </c>
      <c r="K733" s="135" t="str">
        <f>IF($F733=" "," ",IFERROR(VLOOKUP($F733,'депозитный калькулятор'!$B$26:$F$70,2,0),0))</f>
        <v xml:space="preserve"> </v>
      </c>
      <c r="L733" s="135" t="str">
        <f>IF($F733=" "," ",IFERROR(VLOOKUP($F733,'депозитный калькулятор'!$B$26:$F$70,3,0),0))</f>
        <v xml:space="preserve"> </v>
      </c>
      <c r="M733" s="135" t="str">
        <f>IF($F733=" "," ",IFERROR(VLOOKUP($F733,'депозитный калькулятор'!$B$26:$F$70,4,0),0))</f>
        <v xml:space="preserve"> </v>
      </c>
      <c r="N733" s="135" t="str">
        <f>IF($F733=" "," ",IFERROR(VLOOKUP($F733,'депозитный калькулятор'!$B$26:$F$70,5,0),0))</f>
        <v xml:space="preserve"> </v>
      </c>
      <c r="O733" s="146" t="str">
        <f>IF(F733&gt;'депозитный калькулятор'!$D$8," ",IF(F733='депозитный калькулятор'!$D$8,IF(AND($F$24='депозитный калькулятор'!$D$8,'депозитный калькулятор'!$G$13="нет"),-G733-IF(I733=" ",0,I733)-IF(AND(OR('депозитный калькулятор'!$G$7="30/365",'депозитный калькулятор'!$G$7="30/360"),'депозитный калькулятор'!$G$10="в начале срока"),I732,0)-L733+M733-N733,-G733-IF(I733=" ",0,I733)-L733+M733-N733),IF('депозитный калькулятор'!$G$13="есть",M733-N733+IF('депозитный калькулятор'!$G$14="есть",0,-L733),-IF(I733=" ",0,I733)-IF(AND(OR('депозитный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срока"),I732,0)+M733-N733+IF('депозитный калькулятор'!$G$14="есть",0,-L733))))</f>
        <v xml:space="preserve"> </v>
      </c>
      <c r="P733" s="147" t="str">
        <f>IF(F733&gt;'депозитный калькулятор'!$D$8," ",IF(EOMONTH(F732,0)=F732,0,IF(G733&gt;='депозитный калькулятор'!$G$19,P732,P732+1)))</f>
        <v xml:space="preserve"> </v>
      </c>
      <c r="Q733" s="138" t="str">
        <f>IF(F733=" "," ",IF(AND(OR('депозитный калькулятор'!$G$7="30/365",'депозитный калькулятор'!$G$7="30/360"),AND(MONTH(F733)=2,EOMONTH(F733,0)=F733)),IF(DAY(F733)=28,3,2),1)*IF(G733&gt;='депозитный калькулятор'!$G$11,IF(AND('депозитный калькулятор'!$G$7="факт/факт",MOD(YEAR(F733),4)=0),G733*'депозитный калькулятор'!$D$11/366,G733*'депозитный калькулятор'!$G$8),0))</f>
        <v xml:space="preserve"> </v>
      </c>
      <c r="R733" s="158"/>
      <c r="S733" s="62" t="str">
        <f t="shared" ca="1" si="57"/>
        <v xml:space="preserve"> </v>
      </c>
      <c r="T733" s="149" t="str">
        <f ca="1">IF(S733=" "," ",IF('депозитный калькулятор'!$G$7="30/360",DAYS360(U732,IF(DAY(U733)=31,U733-1,U733))+IF(AND(MONTH(U733)=2,U733=EOMONTH(U733,0)),30-DAY(EOMONTH(U733,0)))+T732,VLOOKUP(S733,$C$22:$F$1023,2,0)))</f>
        <v xml:space="preserve"> </v>
      </c>
      <c r="U733" s="64" t="str">
        <f t="shared" ca="1" si="55"/>
        <v xml:space="preserve"> </v>
      </c>
      <c r="V733" s="150" t="str">
        <f t="shared" ca="1" si="58"/>
        <v xml:space="preserve"> </v>
      </c>
      <c r="W733" s="62" t="str">
        <f t="shared" ca="1" si="59"/>
        <v xml:space="preserve"> </v>
      </c>
      <c r="X733" s="141" t="str">
        <f ca="1">IF(S733=" "," ",IFERROR(VLOOKUP(U733,$F$23:$N$1023,7)+VLOOKUP(U733,$F$23:$N$1023,9)+IF(AND('депозитный калькулятор'!$G$13="нет",U733&lt;&gt;'депозитный калькулятор'!$D$8),VLOOKUP(U733,$F$23:$N$1023,4),0),0)+IF(U733='депозитный калькулятор'!$D$8,VLOOKUP(U733,$F$23:$N$1023,2)+VLOOKUP(U733,$F$23:$N$1023,4),0))</f>
        <v xml:space="preserve"> </v>
      </c>
      <c r="Y733" s="142" t="str">
        <f ca="1">IF(S733=" "," ",W733/(1+'депозитный калькулятор'!$K$8)^(T733/IF('депозитный калькулятор'!$G$7="30/360",360,365)))</f>
        <v xml:space="preserve"> </v>
      </c>
      <c r="Z733" s="142" t="str">
        <f ca="1">IF(S733=" "," ",X733/(1+'депозитный калькулятор'!$K$8)^(T733/IF('депозитный калькулятор'!$G$7="30/360",360,365)))</f>
        <v xml:space="preserve"> </v>
      </c>
      <c r="AA733" s="151"/>
      <c r="AB733" s="151"/>
      <c r="AC733" s="155"/>
      <c r="AD733" s="155"/>
    </row>
    <row r="734" spans="1:30" s="2" customFormat="1" ht="15.5" x14ac:dyDescent="0.35">
      <c r="A734" s="41" t="str">
        <f>IF(F734=" "," ",IF(OR('депозитный калькулятор'!$G$7="30/365",'депозитный калькулятор'!$G$7="30/360"),IF(AND(MONTH(F734)=2,DAY(F734)=DAY(EOMONTH(F734,0))),30-DAY(EOMONTH(F734,0)),IF(DAY(F734)=31,1," "))," "))</f>
        <v xml:space="preserve"> </v>
      </c>
      <c r="B734" s="130" t="str">
        <f t="shared" si="56"/>
        <v xml:space="preserve"> </v>
      </c>
      <c r="C734" s="130" t="str">
        <f>IF(OR(B734=0,B734=" ")," ",SUM($B$23:B734))</f>
        <v xml:space="preserve"> </v>
      </c>
      <c r="D734" s="62" t="str">
        <f>IF(D733=" "," ",IF(OR(F733='депозитный калькулятор'!$D$8,F733=" ")," ",D733+1))</f>
        <v xml:space="preserve"> </v>
      </c>
      <c r="E734" s="130" t="str">
        <f>IF(OR(F733='депозитный калькулятор'!$D$8,F733=" ")," ",IF(EOMONTH(F733,0)=F733,1,E733+1))</f>
        <v xml:space="preserve"> </v>
      </c>
      <c r="F734" s="64" t="str">
        <f>IF(F733=" "," ",IF(F733='депозитный калькулятор'!$D$8," ",F733+1))</f>
        <v xml:space="preserve"> </v>
      </c>
      <c r="G734" s="145" t="str">
        <f xml:space="preserve"> IF(F734&gt;'депозитный калькулятор'!$D$8," ",IF('депозитный калькулятор'!$G$13="есть",IF('депозитный калькулятор'!$G$14="есть",G733+IF(I733=" ",0,I733)-J734-K734+L734+M734-N734,G733+IF(I733=" ",0,I733)-J734-K734+M734-N734),IF('депозитный калькулятор'!$G$14="есть",G733-J734-K734+L734+M734-N734,G733-J734-K734+M734-N734)))</f>
        <v xml:space="preserve"> </v>
      </c>
      <c r="H734" s="133" t="str">
        <f>IF(F734&gt;'депозитный калькулятор'!$D$8," ",IF(AND(OR('депозитный калькулятор'!$G$7="30/365",'депозитный калькулятор'!$G$7="30/360"),AND(MONTH(F734)=2,EOMONTH(F734,0)=F734)),IF(DAY(F734)=28,3*G734*'депозитный калькулятор'!$G$8,2*G734*'депозитный калькулятор'!$G$8),IF(AND(OR('депозитный калькулятор'!$G$7="30/365",'депозитный калькулятор'!$G$7="30/360"),DAY(F734)=31)," ",IF(AND('депозитный калькулятор'!$G$7="факт/факт",MOD(YEAR(F734),4)=0),G734*'депозитный калькулятор'!$D$11/366,G734*'депозитный калькулятор'!$G$8))))</f>
        <v xml:space="preserve"> </v>
      </c>
      <c r="I734" s="134" t="str">
        <f ca="1">IF(F734=" "," ",IF('депозитный калькулятор'!$G$10="ежедневное",H734,IF(AND('депозитный калькулятор'!$G$10="еженедельное",WEEKDAY(F734,2)=7),SUM(OFFSET(H734,-6,0):H734),IF(AND('депозитный калькулятор'!$G$10="еженедельное",F734='депозитный калькулятор'!$D$8),SUM($H$23:H734)-SUM($I$23:I733),IF(AND('депозитный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недели",WEEKDAY(F734,2)=7),MIN(OFFSET(H734,-6,0):H734)*(COUNTIF(OFFSET(H734,-6,0):H734,"&gt;0")+SUMIF(OFFSET(A734,-WEEKDAY(F734,2),0):A734,"=2",OFFSET(A734,-WEEKDAY(F734,2),0):A734)),IF(AND('депозитный калькулятор'!$G$10="еженедельное, на минимальную сумму зафиксированную в течение недели",F734='депозитный калькулятор'!$D$8,WEEKDAY(F734,2)&lt;&gt;7),MIN(OFFSET(H734,-WEEKDAY(F734,2),0):H734)*(COUNTIF(OFFSET(H734,-WEEKDAY(F734,2)+1,0):H734,"&gt;0")+SUM(OFFSET(A734,-WEEKDAY(F734,2),0):A734)),IF(AND('депозитный калькулятор'!$G$10="ежемесячное (в конце месяца)",F734='депозитный калькулятор'!$D$8,EOMONTH(F734,0)&lt;&gt;F734),IF('депозитный калькулятор'!$F$1=1,$H$24,SUM($H$23:H734)-SUM($I$23:I733)),IF(AND('депозитный калькулятор'!$G$10="ежемесячное (в конце месяца)",EOMONTH(F734,0)=F734),SUM($H$23:H734)-SUM($I$23:I733),IF(AND('депозитный калькулятор'!$G$10="ежемесячное (по дням открытия вклада)",F734='депозитный калькулятор'!$D$8,DAY('депозитный калькулятор'!$D$7)&lt;&gt;DAY(F734)),IF('депозитный калькулятор'!$F$1=1,$H$24,SUM($H$23:H734)-SUM($I$23:I733)),IF(AND('депозитный калькулятор'!$G$10="ежемесячное (по дням открытия вклада)",DAY('депозитный калькулятор'!$D$7)=DAY(F734)),SUM($H$23:H734)-SUM($I$23:I733),IF(AND('депозитный калькулятор'!$G$10="ежемесячное, на минимальную сумму зафиксированную в течение месяца",F734='депозитный калькулятор'!$D$8,EOMONTH(F734,0)&lt;&gt;F734),IF('депозитный калькулятор'!$F$1=1,$H$24,IF(AND(OR('депозитный калькулятор'!$G$7="30/365",'депозитный калькулятор'!$G$7="30/360"),DAY(F734)=31),0,MIN(OFFSET(H734,-E734+1,0):H734)*(E734+SUMIF(OFFSET(A734,-E734+1,0):A734,"=2",OFFSET(A734,-E734+1,0):A734)))),IF(AND('депозитный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калькулятор'!$G$7="30/360"),DAY(EOMONTH(F734,0))=31),EOMONTH(F734,0)-1=F734,EOMONTH(F734,0)=F734)),IF(IF(AND(OR('депозитный калькулятор'!$G$7="30/365",'депозитный калькулятор'!$G$7="30/360"),DAY(EOMONTH($F$23,0))=31),F734=EOMONTH($F$23,0)-1,F734=EOMONTH($F$23,0)),MIN(OFFSET(H734,-(DAY(F734)-DAY($F$23)),0):H734)*E734,MIN(OFFSET(H734,-(DAY(F734)-1),0):H734)*IF(AND(OR('депозитный калькулятор'!$G$7="30/365",'депозитный калькулятор'!$G$7="30/360"),DAY(F734)&lt;30),30,DAY(F734))),IF(AND('депозитный калькулятор'!$G$10="ежемесячное, на средний остаток в течение месяца, при условии что остаток больше чем ограничение",F734='депозитный калькулятор'!$D$8,EOMONTH(F734,0)&lt;&gt;F734),IF('депозитный калькулятор'!$F$1=1,$H$24,SUM(OFFSET(Q734,-E734+1,0):Q734)),IF(AND('депозитный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калькулятор'!$G$7="30/360"),DAY(EOMONTH(F734,0))=31),EOMONTH(F734,0)-1=F734,EOMONTH(F734,0)=F734)),IF(IF(AND(OR('депозитный калькулятор'!$G$7="30/365",'депозитный калькулятор'!$G$7="30/360"),DAY(EOMONTH($F$24,0))=31),F734=EOMONTH($F$24,0)-1,F734=EOMONTH($F$24,0)),SUM(OFFSET(Q734,-E734+1,0):Q734),SUM(OFFSET(Q734,-E734+1,0):Q734)),IF('депозитный калькулятор'!$G$10="ежеквартальное",IF(F734&gt;'депозитный калькулятор'!$D$8," ",IF(AND(EOMONTH(F734,0)=F734,OR(MONTH(F734)=3,MONTH(F734)=6,MONTH(F734)=9,MONTH(F734)=12)),IF(EDATE(F734,-3)&lt;'депозитный калькулятор'!$D$7,SUM($H$23:H734),IF(MOD(YEAR(F734),4)=0,IF(AND(EOMONTH(F734,0)=F734,OR(MONTH(F734)=3,MONTH(F734)=6)),SUM(OFFSET(H734,-90,0):H734),IF(AND(EOMONTH(F734,0)=F734,OR(MONTH(F734)=9,MONTH(F734)=12)),SUM(OFFSET(H734,-91,0):H734))),IF(AND(EOMONTH(F734,0)=F734,MONTH(F734)=3),SUM(OFFSET(H734,-89,0):H734),IF(AND(EOMONTH(F734,0)=F734,MONTH(F734)=6),SUM(OFFSET(H734,-90,0):H734),IF(AND(EOMONTH(F734,0)=F734,OR(MONTH(F734)=9,MONTH(F734)=12)),SUM(OFFSET(H734,-91,0):H734)))))),IF(F734='депозитный калькулятор'!$D$8,SUM($H$23:H734)-SUM($I$23:I733),0))),IF('депозитный калькулятор'!$G$10="ежегодное",IF(F734&gt;'депозитный калькулятор'!$D$8," ",IF(F734='депозитный калькулятор'!$D$8,SUM($H$23:H734)-SUM($I$23:I733),IF(AND(EOMONTH(F734,0)=F734,MONTH(F734)=12),IF(MOD(YEAR(F733),4)=0,IF(F734-'депозитный калькулятор'!$D$7&lt;366,SUM($H$23:H734),SUM(OFFSET(H734,-365,0):H734)),IF(F734-'депозитный калькулятор'!$D$7&lt;365,SUM($H$23:H734),SUM(OFFSET(H734,-364,0):H734))),0))),IF(AND('депозитный калькулятор'!$G$10="в конце срока",'депозитный калькулятор'!$D$8=F734),SUM($H$23:H734),0))))))))))))))))))</f>
        <v xml:space="preserve"> </v>
      </c>
      <c r="J734" s="59" t="str">
        <f>IF(F734&gt;'депозитный калькулятор'!$D$8," ",IF('депозитный калькулятор'!$G$16="нет",0,IF(AND('депозитный калькулятор'!$G$17="разовая (в конце срока)",F734='депозитный калькулятор'!$D$8),'депозитный калькулятор'!$G$18,IF(AND('депозитный калькулятор'!$G$17="ежемесячная",EOMONTH(F733,0)=F733),'депозитный калькулятор'!$G$18,IF(AND('депозитный калькулятор'!$G$17="ежегодная",DAY(F733)=31,MONTH(F733)=12),'депозитный калькулятор'!$G$18,IF(AND('депозитный калькулятор'!$G$17="ежемесячная в зависимости от остатка",EOMONTH(F733,0)=F733,P733&gt;0),'депозитный калькулятор'!$G$18,IF(AND('депозитный калькулятор'!$G$17="ежегодная в зависимости от остатка",DAY(F733)=31,MONTH(F733)=12,P733&gt;0),'депозитный калькулятор'!$G$18,0)))))))</f>
        <v xml:space="preserve"> </v>
      </c>
      <c r="K734" s="135" t="str">
        <f>IF($F734=" "," ",IFERROR(VLOOKUP($F734,'депозитный калькулятор'!$B$26:$F$70,2,0),0))</f>
        <v xml:space="preserve"> </v>
      </c>
      <c r="L734" s="135" t="str">
        <f>IF($F734=" "," ",IFERROR(VLOOKUP($F734,'депозитный калькулятор'!$B$26:$F$70,3,0),0))</f>
        <v xml:space="preserve"> </v>
      </c>
      <c r="M734" s="135" t="str">
        <f>IF($F734=" "," ",IFERROR(VLOOKUP($F734,'депозитный калькулятор'!$B$26:$F$70,4,0),0))</f>
        <v xml:space="preserve"> </v>
      </c>
      <c r="N734" s="135" t="str">
        <f>IF($F734=" "," ",IFERROR(VLOOKUP($F734,'депозитный калькулятор'!$B$26:$F$70,5,0),0))</f>
        <v xml:space="preserve"> </v>
      </c>
      <c r="O734" s="146" t="str">
        <f>IF(F734&gt;'депозитный калькулятор'!$D$8," ",IF(F734='депозитный калькулятор'!$D$8,IF(AND($F$24='депозитный калькулятор'!$D$8,'депозитный калькулятор'!$G$13="нет"),-G734-IF(I734=" ",0,I734)-IF(AND(OR('депозитный калькулятор'!$G$7="30/365",'депозитный калькулятор'!$G$7="30/360"),'депозитный калькулятор'!$G$10="в начале срока"),I733,0)-L734+M734-N734,-G734-IF(I734=" ",0,I734)-L734+M734-N734),IF('депозитный калькулятор'!$G$13="есть",M734-N734+IF('депозитный калькулятор'!$G$14="есть",0,-L734),-IF(I734=" ",0,I734)-IF(AND(OR('депозитный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срока"),I733,0)+M734-N734+IF('депозитный калькулятор'!$G$14="есть",0,-L734))))</f>
        <v xml:space="preserve"> </v>
      </c>
      <c r="P734" s="147" t="str">
        <f>IF(F734&gt;'депозитный калькулятор'!$D$8," ",IF(EOMONTH(F733,0)=F733,0,IF(G734&gt;='депозитный калькулятор'!$G$19,P733,P733+1)))</f>
        <v xml:space="preserve"> </v>
      </c>
      <c r="Q734" s="138" t="str">
        <f>IF(F734=" "," ",IF(AND(OR('депозитный калькулятор'!$G$7="30/365",'депозитный калькулятор'!$G$7="30/360"),AND(MONTH(F734)=2,EOMONTH(F734,0)=F734)),IF(DAY(F734)=28,3,2),1)*IF(G734&gt;='депозитный калькулятор'!$G$11,IF(AND('депозитный калькулятор'!$G$7="факт/факт",MOD(YEAR(F734),4)=0),G734*'депозитный калькулятор'!$D$11/366,G734*'депозитный калькулятор'!$G$8),0))</f>
        <v xml:space="preserve"> </v>
      </c>
      <c r="R734" s="158"/>
      <c r="S734" s="62" t="str">
        <f t="shared" ca="1" si="57"/>
        <v xml:space="preserve"> </v>
      </c>
      <c r="T734" s="149" t="str">
        <f ca="1">IF(S734=" "," ",IF('депозитный калькулятор'!$G$7="30/360",DAYS360(U733,IF(DAY(U734)=31,U734-1,U734))+IF(AND(MONTH(U734)=2,U734=EOMONTH(U734,0)),30-DAY(EOMONTH(U734,0)))+T733,VLOOKUP(S734,$C$22:$F$1023,2,0)))</f>
        <v xml:space="preserve"> </v>
      </c>
      <c r="U734" s="64" t="str">
        <f t="shared" ca="1" si="55"/>
        <v xml:space="preserve"> </v>
      </c>
      <c r="V734" s="150" t="str">
        <f t="shared" ca="1" si="58"/>
        <v xml:space="preserve"> </v>
      </c>
      <c r="W734" s="62" t="str">
        <f t="shared" ca="1" si="59"/>
        <v xml:space="preserve"> </v>
      </c>
      <c r="X734" s="141" t="str">
        <f ca="1">IF(S734=" "," ",IFERROR(VLOOKUP(U734,$F$23:$N$1023,7)+VLOOKUP(U734,$F$23:$N$1023,9)+IF(AND('депозитный калькулятор'!$G$13="нет",U734&lt;&gt;'депозитный калькулятор'!$D$8),VLOOKUP(U734,$F$23:$N$1023,4),0),0)+IF(U734='депозитный калькулятор'!$D$8,VLOOKUP(U734,$F$23:$N$1023,2)+VLOOKUP(U734,$F$23:$N$1023,4),0))</f>
        <v xml:space="preserve"> </v>
      </c>
      <c r="Y734" s="142" t="str">
        <f ca="1">IF(S734=" "," ",W734/(1+'депозитный калькулятор'!$K$8)^(T734/IF('депозитный калькулятор'!$G$7="30/360",360,365)))</f>
        <v xml:space="preserve"> </v>
      </c>
      <c r="Z734" s="142" t="str">
        <f ca="1">IF(S734=" "," ",X734/(1+'депозитный калькулятор'!$K$8)^(T734/IF('депозитный калькулятор'!$G$7="30/360",360,365)))</f>
        <v xml:space="preserve"> </v>
      </c>
      <c r="AA734" s="151"/>
      <c r="AB734" s="151"/>
      <c r="AC734" s="155"/>
      <c r="AD734" s="155"/>
    </row>
    <row r="735" spans="1:30" s="2" customFormat="1" ht="15.5" x14ac:dyDescent="0.35">
      <c r="A735" s="41" t="str">
        <f>IF(F735=" "," ",IF(OR('депозитный калькулятор'!$G$7="30/365",'депозитный калькулятор'!$G$7="30/360"),IF(AND(MONTH(F735)=2,DAY(F735)=DAY(EOMONTH(F735,0))),30-DAY(EOMONTH(F735,0)),IF(DAY(F735)=31,1," "))," "))</f>
        <v xml:space="preserve"> </v>
      </c>
      <c r="B735" s="130" t="str">
        <f t="shared" si="56"/>
        <v xml:space="preserve"> </v>
      </c>
      <c r="C735" s="130" t="str">
        <f>IF(OR(B735=0,B735=" ")," ",SUM($B$23:B735))</f>
        <v xml:space="preserve"> </v>
      </c>
      <c r="D735" s="62" t="str">
        <f>IF(D734=" "," ",IF(OR(F734='депозитный калькулятор'!$D$8,F734=" ")," ",D734+1))</f>
        <v xml:space="preserve"> </v>
      </c>
      <c r="E735" s="130" t="str">
        <f>IF(OR(F734='депозитный калькулятор'!$D$8,F734=" ")," ",IF(EOMONTH(F734,0)=F734,1,E734+1))</f>
        <v xml:space="preserve"> </v>
      </c>
      <c r="F735" s="64" t="str">
        <f>IF(F734=" "," ",IF(F734='депозитный калькулятор'!$D$8," ",F734+1))</f>
        <v xml:space="preserve"> </v>
      </c>
      <c r="G735" s="145" t="str">
        <f xml:space="preserve"> IF(F735&gt;'депозитный калькулятор'!$D$8," ",IF('депозитный калькулятор'!$G$13="есть",IF('депозитный калькулятор'!$G$14="есть",G734+IF(I734=" ",0,I734)-J735-K735+L735+M735-N735,G734+IF(I734=" ",0,I734)-J735-K735+M735-N735),IF('депозитный калькулятор'!$G$14="есть",G734-J735-K735+L735+M735-N735,G734-J735-K735+M735-N735)))</f>
        <v xml:space="preserve"> </v>
      </c>
      <c r="H735" s="133" t="str">
        <f>IF(F735&gt;'депозитный калькулятор'!$D$8," ",IF(AND(OR('депозитный калькулятор'!$G$7="30/365",'депозитный калькулятор'!$G$7="30/360"),AND(MONTH(F735)=2,EOMONTH(F735,0)=F735)),IF(DAY(F735)=28,3*G735*'депозитный калькулятор'!$G$8,2*G735*'депозитный калькулятор'!$G$8),IF(AND(OR('депозитный калькулятор'!$G$7="30/365",'депозитный калькулятор'!$G$7="30/360"),DAY(F735)=31)," ",IF(AND('депозитный калькулятор'!$G$7="факт/факт",MOD(YEAR(F735),4)=0),G735*'депозитный калькулятор'!$D$11/366,G735*'депозитный калькулятор'!$G$8))))</f>
        <v xml:space="preserve"> </v>
      </c>
      <c r="I735" s="134" t="str">
        <f ca="1">IF(F735=" "," ",IF('депозитный калькулятор'!$G$10="ежедневное",H735,IF(AND('депозитный калькулятор'!$G$10="еженедельное",WEEKDAY(F735,2)=7),SUM(OFFSET(H735,-6,0):H735),IF(AND('депозитный калькулятор'!$G$10="еженедельное",F735='депозитный калькулятор'!$D$8),SUM($H$23:H735)-SUM($I$23:I734),IF(AND('депозитный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недели",WEEKDAY(F735,2)=7),MIN(OFFSET(H735,-6,0):H735)*(COUNTIF(OFFSET(H735,-6,0):H735,"&gt;0")+SUMIF(OFFSET(A735,-WEEKDAY(F735,2),0):A735,"=2",OFFSET(A735,-WEEKDAY(F735,2),0):A735)),IF(AND('депозитный калькулятор'!$G$10="еженедельное, на минимальную сумму зафиксированную в течение недели",F735='депозитный калькулятор'!$D$8,WEEKDAY(F735,2)&lt;&gt;7),MIN(OFFSET(H735,-WEEKDAY(F735,2),0):H735)*(COUNTIF(OFFSET(H735,-WEEKDAY(F735,2)+1,0):H735,"&gt;0")+SUM(OFFSET(A735,-WEEKDAY(F735,2),0):A735)),IF(AND('депозитный калькулятор'!$G$10="ежемесячное (в конце месяца)",F735='депозитный калькулятор'!$D$8,EOMONTH(F735,0)&lt;&gt;F735),IF('депозитный калькулятор'!$F$1=1,$H$24,SUM($H$23:H735)-SUM($I$23:I734)),IF(AND('депозитный калькулятор'!$G$10="ежемесячное (в конце месяца)",EOMONTH(F735,0)=F735),SUM($H$23:H735)-SUM($I$23:I734),IF(AND('депозитный калькулятор'!$G$10="ежемесячное (по дням открытия вклада)",F735='депозитный калькулятор'!$D$8,DAY('депозитный калькулятор'!$D$7)&lt;&gt;DAY(F735)),IF('депозитный калькулятор'!$F$1=1,$H$24,SUM($H$23:H735)-SUM($I$23:I734)),IF(AND('депозитный калькулятор'!$G$10="ежемесячное (по дням открытия вклада)",DAY('депозитный калькулятор'!$D$7)=DAY(F735)),SUM($H$23:H735)-SUM($I$23:I734),IF(AND('депозитный калькулятор'!$G$10="ежемесячное, на минимальную сумму зафиксированную в течение месяца",F735='депозитный калькулятор'!$D$8,EOMONTH(F735,0)&lt;&gt;F735),IF('депозитный калькулятор'!$F$1=1,$H$24,IF(AND(OR('депозитный калькулятор'!$G$7="30/365",'депозитный калькулятор'!$G$7="30/360"),DAY(F735)=31),0,MIN(OFFSET(H735,-E735+1,0):H735)*(E735+SUMIF(OFFSET(A735,-E735+1,0):A735,"=2",OFFSET(A735,-E735+1,0):A735)))),IF(AND('депозитный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калькулятор'!$G$7="30/360"),DAY(EOMONTH(F735,0))=31),EOMONTH(F735,0)-1=F735,EOMONTH(F735,0)=F735)),IF(IF(AND(OR('депозитный калькулятор'!$G$7="30/365",'депозитный калькулятор'!$G$7="30/360"),DAY(EOMONTH($F$23,0))=31),F735=EOMONTH($F$23,0)-1,F735=EOMONTH($F$23,0)),MIN(OFFSET(H735,-(DAY(F735)-DAY($F$23)),0):H735)*E735,MIN(OFFSET(H735,-(DAY(F735)-1),0):H735)*IF(AND(OR('депозитный калькулятор'!$G$7="30/365",'депозитный калькулятор'!$G$7="30/360"),DAY(F735)&lt;30),30,DAY(F735))),IF(AND('депозитный калькулятор'!$G$10="ежемесячное, на средний остаток в течение месяца, при условии что остаток больше чем ограничение",F735='депозитный калькулятор'!$D$8,EOMONTH(F735,0)&lt;&gt;F735),IF('депозитный калькулятор'!$F$1=1,$H$24,SUM(OFFSET(Q735,-E735+1,0):Q735)),IF(AND('депозитный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калькулятор'!$G$7="30/360"),DAY(EOMONTH(F735,0))=31),EOMONTH(F735,0)-1=F735,EOMONTH(F735,0)=F735)),IF(IF(AND(OR('депозитный калькулятор'!$G$7="30/365",'депозитный калькулятор'!$G$7="30/360"),DAY(EOMONTH($F$24,0))=31),F735=EOMONTH($F$24,0)-1,F735=EOMONTH($F$24,0)),SUM(OFFSET(Q735,-E735+1,0):Q735),SUM(OFFSET(Q735,-E735+1,0):Q735)),IF('депозитный калькулятор'!$G$10="ежеквартальное",IF(F735&gt;'депозитный калькулятор'!$D$8," ",IF(AND(EOMONTH(F735,0)=F735,OR(MONTH(F735)=3,MONTH(F735)=6,MONTH(F735)=9,MONTH(F735)=12)),IF(EDATE(F735,-3)&lt;'депозитный калькулятор'!$D$7,SUM($H$23:H735),IF(MOD(YEAR(F735),4)=0,IF(AND(EOMONTH(F735,0)=F735,OR(MONTH(F735)=3,MONTH(F735)=6)),SUM(OFFSET(H735,-90,0):H735),IF(AND(EOMONTH(F735,0)=F735,OR(MONTH(F735)=9,MONTH(F735)=12)),SUM(OFFSET(H735,-91,0):H735))),IF(AND(EOMONTH(F735,0)=F735,MONTH(F735)=3),SUM(OFFSET(H735,-89,0):H735),IF(AND(EOMONTH(F735,0)=F735,MONTH(F735)=6),SUM(OFFSET(H735,-90,0):H735),IF(AND(EOMONTH(F735,0)=F735,OR(MONTH(F735)=9,MONTH(F735)=12)),SUM(OFFSET(H735,-91,0):H735)))))),IF(F735='депозитный калькулятор'!$D$8,SUM($H$23:H735)-SUM($I$23:I734),0))),IF('депозитный калькулятор'!$G$10="ежегодное",IF(F735&gt;'депозитный калькулятор'!$D$8," ",IF(F735='депозитный калькулятор'!$D$8,SUM($H$23:H735)-SUM($I$23:I734),IF(AND(EOMONTH(F735,0)=F735,MONTH(F735)=12),IF(MOD(YEAR(F734),4)=0,IF(F735-'депозитный калькулятор'!$D$7&lt;366,SUM($H$23:H735),SUM(OFFSET(H735,-365,0):H735)),IF(F735-'депозитный калькулятор'!$D$7&lt;365,SUM($H$23:H735),SUM(OFFSET(H735,-364,0):H735))),0))),IF(AND('депозитный калькулятор'!$G$10="в конце срока",'депозитный калькулятор'!$D$8=F735),SUM($H$23:H735),0))))))))))))))))))</f>
        <v xml:space="preserve"> </v>
      </c>
      <c r="J735" s="59" t="str">
        <f>IF(F735&gt;'депозитный калькулятор'!$D$8," ",IF('депозитный калькулятор'!$G$16="нет",0,IF(AND('депозитный калькулятор'!$G$17="разовая (в конце срока)",F735='депозитный калькулятор'!$D$8),'депозитный калькулятор'!$G$18,IF(AND('депозитный калькулятор'!$G$17="ежемесячная",EOMONTH(F734,0)=F734),'депозитный калькулятор'!$G$18,IF(AND('депозитный калькулятор'!$G$17="ежегодная",DAY(F734)=31,MONTH(F734)=12),'депозитный калькулятор'!$G$18,IF(AND('депозитный калькулятор'!$G$17="ежемесячная в зависимости от остатка",EOMONTH(F734,0)=F734,P734&gt;0),'депозитный калькулятор'!$G$18,IF(AND('депозитный калькулятор'!$G$17="ежегодная в зависимости от остатка",DAY(F734)=31,MONTH(F734)=12,P734&gt;0),'депозитный калькулятор'!$G$18,0)))))))</f>
        <v xml:space="preserve"> </v>
      </c>
      <c r="K735" s="135" t="str">
        <f>IF($F735=" "," ",IFERROR(VLOOKUP($F735,'депозитный калькулятор'!$B$26:$F$70,2,0),0))</f>
        <v xml:space="preserve"> </v>
      </c>
      <c r="L735" s="135" t="str">
        <f>IF($F735=" "," ",IFERROR(VLOOKUP($F735,'депозитный калькулятор'!$B$26:$F$70,3,0),0))</f>
        <v xml:space="preserve"> </v>
      </c>
      <c r="M735" s="135" t="str">
        <f>IF($F735=" "," ",IFERROR(VLOOKUP($F735,'депозитный калькулятор'!$B$26:$F$70,4,0),0))</f>
        <v xml:space="preserve"> </v>
      </c>
      <c r="N735" s="135" t="str">
        <f>IF($F735=" "," ",IFERROR(VLOOKUP($F735,'депозитный калькулятор'!$B$26:$F$70,5,0),0))</f>
        <v xml:space="preserve"> </v>
      </c>
      <c r="O735" s="146" t="str">
        <f>IF(F735&gt;'депозитный калькулятор'!$D$8," ",IF(F735='депозитный калькулятор'!$D$8,IF(AND($F$24='депозитный калькулятор'!$D$8,'депозитный калькулятор'!$G$13="нет"),-G735-IF(I735=" ",0,I735)-IF(AND(OR('депозитный калькулятор'!$G$7="30/365",'депозитный калькулятор'!$G$7="30/360"),'депозитный калькулятор'!$G$10="в начале срока"),I734,0)-L735+M735-N735,-G735-IF(I735=" ",0,I735)-L735+M735-N735),IF('депозитный калькулятор'!$G$13="есть",M735-N735+IF('депозитный калькулятор'!$G$14="есть",0,-L735),-IF(I735=" ",0,I735)-IF(AND(OR('депозитный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срока"),I734,0)+M735-N735+IF('депозитный калькулятор'!$G$14="есть",0,-L735))))</f>
        <v xml:space="preserve"> </v>
      </c>
      <c r="P735" s="147" t="str">
        <f>IF(F735&gt;'депозитный калькулятор'!$D$8," ",IF(EOMONTH(F734,0)=F734,0,IF(G735&gt;='депозитный калькулятор'!$G$19,P734,P734+1)))</f>
        <v xml:space="preserve"> </v>
      </c>
      <c r="Q735" s="138" t="str">
        <f>IF(F735=" "," ",IF(AND(OR('депозитный калькулятор'!$G$7="30/365",'депозитный калькулятор'!$G$7="30/360"),AND(MONTH(F735)=2,EOMONTH(F735,0)=F735)),IF(DAY(F735)=28,3,2),1)*IF(G735&gt;='депозитный калькулятор'!$G$11,IF(AND('депозитный калькулятор'!$G$7="факт/факт",MOD(YEAR(F735),4)=0),G735*'депозитный калькулятор'!$D$11/366,G735*'депозитный калькулятор'!$G$8),0))</f>
        <v xml:space="preserve"> </v>
      </c>
      <c r="R735" s="158"/>
      <c r="S735" s="62" t="str">
        <f t="shared" ca="1" si="57"/>
        <v xml:space="preserve"> </v>
      </c>
      <c r="T735" s="149" t="str">
        <f ca="1">IF(S735=" "," ",IF('депозитный калькулятор'!$G$7="30/360",DAYS360(U734,IF(DAY(U735)=31,U735-1,U735))+IF(AND(MONTH(U735)=2,U735=EOMONTH(U735,0)),30-DAY(EOMONTH(U735,0)))+T734,VLOOKUP(S735,$C$22:$F$1023,2,0)))</f>
        <v xml:space="preserve"> </v>
      </c>
      <c r="U735" s="64" t="str">
        <f t="shared" ca="1" si="55"/>
        <v xml:space="preserve"> </v>
      </c>
      <c r="V735" s="150" t="str">
        <f t="shared" ca="1" si="58"/>
        <v xml:space="preserve"> </v>
      </c>
      <c r="W735" s="62" t="str">
        <f t="shared" ca="1" si="59"/>
        <v xml:space="preserve"> </v>
      </c>
      <c r="X735" s="141" t="str">
        <f ca="1">IF(S735=" "," ",IFERROR(VLOOKUP(U735,$F$23:$N$1023,7)+VLOOKUP(U735,$F$23:$N$1023,9)+IF(AND('депозитный калькулятор'!$G$13="нет",U735&lt;&gt;'депозитный калькулятор'!$D$8),VLOOKUP(U735,$F$23:$N$1023,4),0),0)+IF(U735='депозитный калькулятор'!$D$8,VLOOKUP(U735,$F$23:$N$1023,2)+VLOOKUP(U735,$F$23:$N$1023,4),0))</f>
        <v xml:space="preserve"> </v>
      </c>
      <c r="Y735" s="142" t="str">
        <f ca="1">IF(S735=" "," ",W735/(1+'депозитный калькулятор'!$K$8)^(T735/IF('депозитный калькулятор'!$G$7="30/360",360,365)))</f>
        <v xml:space="preserve"> </v>
      </c>
      <c r="Z735" s="142" t="str">
        <f ca="1">IF(S735=" "," ",X735/(1+'депозитный калькулятор'!$K$8)^(T735/IF('депозитный калькулятор'!$G$7="30/360",360,365)))</f>
        <v xml:space="preserve"> </v>
      </c>
      <c r="AA735" s="151"/>
      <c r="AB735" s="151"/>
      <c r="AC735" s="155"/>
      <c r="AD735" s="155"/>
    </row>
    <row r="736" spans="1:30" s="2" customFormat="1" ht="15.5" x14ac:dyDescent="0.35">
      <c r="A736" s="41" t="str">
        <f>IF(F736=" "," ",IF(OR('депозитный калькулятор'!$G$7="30/365",'депозитный калькулятор'!$G$7="30/360"),IF(AND(MONTH(F736)=2,DAY(F736)=DAY(EOMONTH(F736,0))),30-DAY(EOMONTH(F736,0)),IF(DAY(F736)=31,1," "))," "))</f>
        <v xml:space="preserve"> </v>
      </c>
      <c r="B736" s="130" t="str">
        <f t="shared" si="56"/>
        <v xml:space="preserve"> </v>
      </c>
      <c r="C736" s="130" t="str">
        <f>IF(OR(B736=0,B736=" ")," ",SUM($B$23:B736))</f>
        <v xml:space="preserve"> </v>
      </c>
      <c r="D736" s="62" t="str">
        <f>IF(D735=" "," ",IF(OR(F735='депозитный калькулятор'!$D$8,F735=" ")," ",D735+1))</f>
        <v xml:space="preserve"> </v>
      </c>
      <c r="E736" s="130" t="str">
        <f>IF(OR(F735='депозитный калькулятор'!$D$8,F735=" ")," ",IF(EOMONTH(F735,0)=F735,1,E735+1))</f>
        <v xml:space="preserve"> </v>
      </c>
      <c r="F736" s="64" t="str">
        <f>IF(F735=" "," ",IF(F735='депозитный калькулятор'!$D$8," ",F735+1))</f>
        <v xml:space="preserve"> </v>
      </c>
      <c r="G736" s="145" t="str">
        <f xml:space="preserve"> IF(F736&gt;'депозитный калькулятор'!$D$8," ",IF('депозитный калькулятор'!$G$13="есть",IF('депозитный калькулятор'!$G$14="есть",G735+IF(I735=" ",0,I735)-J736-K736+L736+M736-N736,G735+IF(I735=" ",0,I735)-J736-K736+M736-N736),IF('депозитный калькулятор'!$G$14="есть",G735-J736-K736+L736+M736-N736,G735-J736-K736+M736-N736)))</f>
        <v xml:space="preserve"> </v>
      </c>
      <c r="H736" s="133" t="str">
        <f>IF(F736&gt;'депозитный калькулятор'!$D$8," ",IF(AND(OR('депозитный калькулятор'!$G$7="30/365",'депозитный калькулятор'!$G$7="30/360"),AND(MONTH(F736)=2,EOMONTH(F736,0)=F736)),IF(DAY(F736)=28,3*G736*'депозитный калькулятор'!$G$8,2*G736*'депозитный калькулятор'!$G$8),IF(AND(OR('депозитный калькулятор'!$G$7="30/365",'депозитный калькулятор'!$G$7="30/360"),DAY(F736)=31)," ",IF(AND('депозитный калькулятор'!$G$7="факт/факт",MOD(YEAR(F736),4)=0),G736*'депозитный калькулятор'!$D$11/366,G736*'депозитный калькулятор'!$G$8))))</f>
        <v xml:space="preserve"> </v>
      </c>
      <c r="I736" s="134" t="str">
        <f ca="1">IF(F736=" "," ",IF('депозитный калькулятор'!$G$10="ежедневное",H736,IF(AND('депозитный калькулятор'!$G$10="еженедельное",WEEKDAY(F736,2)=7),SUM(OFFSET(H736,-6,0):H736),IF(AND('депозитный калькулятор'!$G$10="еженедельное",F736='депозитный калькулятор'!$D$8),SUM($H$23:H736)-SUM($I$23:I735),IF(AND('депозитный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недели",WEEKDAY(F736,2)=7),MIN(OFFSET(H736,-6,0):H736)*(COUNTIF(OFFSET(H736,-6,0):H736,"&gt;0")+SUMIF(OFFSET(A736,-WEEKDAY(F736,2),0):A736,"=2",OFFSET(A736,-WEEKDAY(F736,2),0):A736)),IF(AND('депозитный калькулятор'!$G$10="еженедельное, на минимальную сумму зафиксированную в течение недели",F736='депозитный калькулятор'!$D$8,WEEKDAY(F736,2)&lt;&gt;7),MIN(OFFSET(H736,-WEEKDAY(F736,2),0):H736)*(COUNTIF(OFFSET(H736,-WEEKDAY(F736,2)+1,0):H736,"&gt;0")+SUM(OFFSET(A736,-WEEKDAY(F736,2),0):A736)),IF(AND('депозитный калькулятор'!$G$10="ежемесячное (в конце месяца)",F736='депозитный калькулятор'!$D$8,EOMONTH(F736,0)&lt;&gt;F736),IF('депозитный калькулятор'!$F$1=1,$H$24,SUM($H$23:H736)-SUM($I$23:I735)),IF(AND('депозитный калькулятор'!$G$10="ежемесячное (в конце месяца)",EOMONTH(F736,0)=F736),SUM($H$23:H736)-SUM($I$23:I735),IF(AND('депозитный калькулятор'!$G$10="ежемесячное (по дням открытия вклада)",F736='депозитный калькулятор'!$D$8,DAY('депозитный калькулятор'!$D$7)&lt;&gt;DAY(F736)),IF('депозитный калькулятор'!$F$1=1,$H$24,SUM($H$23:H736)-SUM($I$23:I735)),IF(AND('депозитный калькулятор'!$G$10="ежемесячное (по дням открытия вклада)",DAY('депозитный калькулятор'!$D$7)=DAY(F736)),SUM($H$23:H736)-SUM($I$23:I735),IF(AND('депозитный калькулятор'!$G$10="ежемесячное, на минимальную сумму зафиксированную в течение месяца",F736='депозитный калькулятор'!$D$8,EOMONTH(F736,0)&lt;&gt;F736),IF('депозитный калькулятор'!$F$1=1,$H$24,IF(AND(OR('депозитный калькулятор'!$G$7="30/365",'депозитный калькулятор'!$G$7="30/360"),DAY(F736)=31),0,MIN(OFFSET(H736,-E736+1,0):H736)*(E736+SUMIF(OFFSET(A736,-E736+1,0):A736,"=2",OFFSET(A736,-E736+1,0):A736)))),IF(AND('депозитный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калькулятор'!$G$7="30/360"),DAY(EOMONTH(F736,0))=31),EOMONTH(F736,0)-1=F736,EOMONTH(F736,0)=F736)),IF(IF(AND(OR('депозитный калькулятор'!$G$7="30/365",'депозитный калькулятор'!$G$7="30/360"),DAY(EOMONTH($F$23,0))=31),F736=EOMONTH($F$23,0)-1,F736=EOMONTH($F$23,0)),MIN(OFFSET(H736,-(DAY(F736)-DAY($F$23)),0):H736)*E736,MIN(OFFSET(H736,-(DAY(F736)-1),0):H736)*IF(AND(OR('депозитный калькулятор'!$G$7="30/365",'депозитный калькулятор'!$G$7="30/360"),DAY(F736)&lt;30),30,DAY(F736))),IF(AND('депозитный калькулятор'!$G$10="ежемесячное, на средний остаток в течение месяца, при условии что остаток больше чем ограничение",F736='депозитный калькулятор'!$D$8,EOMONTH(F736,0)&lt;&gt;F736),IF('депозитный калькулятор'!$F$1=1,$H$24,SUM(OFFSET(Q736,-E736+1,0):Q736)),IF(AND('депозитный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калькулятор'!$G$7="30/360"),DAY(EOMONTH(F736,0))=31),EOMONTH(F736,0)-1=F736,EOMONTH(F736,0)=F736)),IF(IF(AND(OR('депозитный калькулятор'!$G$7="30/365",'депозитный калькулятор'!$G$7="30/360"),DAY(EOMONTH($F$24,0))=31),F736=EOMONTH($F$24,0)-1,F736=EOMONTH($F$24,0)),SUM(OFFSET(Q736,-E736+1,0):Q736),SUM(OFFSET(Q736,-E736+1,0):Q736)),IF('депозитный калькулятор'!$G$10="ежеквартальное",IF(F736&gt;'депозитный калькулятор'!$D$8," ",IF(AND(EOMONTH(F736,0)=F736,OR(MONTH(F736)=3,MONTH(F736)=6,MONTH(F736)=9,MONTH(F736)=12)),IF(EDATE(F736,-3)&lt;'депозитный калькулятор'!$D$7,SUM($H$23:H736),IF(MOD(YEAR(F736),4)=0,IF(AND(EOMONTH(F736,0)=F736,OR(MONTH(F736)=3,MONTH(F736)=6)),SUM(OFFSET(H736,-90,0):H736),IF(AND(EOMONTH(F736,0)=F736,OR(MONTH(F736)=9,MONTH(F736)=12)),SUM(OFFSET(H736,-91,0):H736))),IF(AND(EOMONTH(F736,0)=F736,MONTH(F736)=3),SUM(OFFSET(H736,-89,0):H736),IF(AND(EOMONTH(F736,0)=F736,MONTH(F736)=6),SUM(OFFSET(H736,-90,0):H736),IF(AND(EOMONTH(F736,0)=F736,OR(MONTH(F736)=9,MONTH(F736)=12)),SUM(OFFSET(H736,-91,0):H736)))))),IF(F736='депозитный калькулятор'!$D$8,SUM($H$23:H736)-SUM($I$23:I735),0))),IF('депозитный калькулятор'!$G$10="ежегодное",IF(F736&gt;'депозитный калькулятор'!$D$8," ",IF(F736='депозитный калькулятор'!$D$8,SUM($H$23:H736)-SUM($I$23:I735),IF(AND(EOMONTH(F736,0)=F736,MONTH(F736)=12),IF(MOD(YEAR(F735),4)=0,IF(F736-'депозитный калькулятор'!$D$7&lt;366,SUM($H$23:H736),SUM(OFFSET(H736,-365,0):H736)),IF(F736-'депозитный калькулятор'!$D$7&lt;365,SUM($H$23:H736),SUM(OFFSET(H736,-364,0):H736))),0))),IF(AND('депозитный калькулятор'!$G$10="в конце срока",'депозитный калькулятор'!$D$8=F736),SUM($H$23:H736),0))))))))))))))))))</f>
        <v xml:space="preserve"> </v>
      </c>
      <c r="J736" s="59" t="str">
        <f>IF(F736&gt;'депозитный калькулятор'!$D$8," ",IF('депозитный калькулятор'!$G$16="нет",0,IF(AND('депозитный калькулятор'!$G$17="разовая (в конце срока)",F736='депозитный калькулятор'!$D$8),'депозитный калькулятор'!$G$18,IF(AND('депозитный калькулятор'!$G$17="ежемесячная",EOMONTH(F735,0)=F735),'депозитный калькулятор'!$G$18,IF(AND('депозитный калькулятор'!$G$17="ежегодная",DAY(F735)=31,MONTH(F735)=12),'депозитный калькулятор'!$G$18,IF(AND('депозитный калькулятор'!$G$17="ежемесячная в зависимости от остатка",EOMONTH(F735,0)=F735,P735&gt;0),'депозитный калькулятор'!$G$18,IF(AND('депозитный калькулятор'!$G$17="ежегодная в зависимости от остатка",DAY(F735)=31,MONTH(F735)=12,P735&gt;0),'депозитный калькулятор'!$G$18,0)))))))</f>
        <v xml:space="preserve"> </v>
      </c>
      <c r="K736" s="135" t="str">
        <f>IF($F736=" "," ",IFERROR(VLOOKUP($F736,'депозитный калькулятор'!$B$26:$F$70,2,0),0))</f>
        <v xml:space="preserve"> </v>
      </c>
      <c r="L736" s="135" t="str">
        <f>IF($F736=" "," ",IFERROR(VLOOKUP($F736,'депозитный калькулятор'!$B$26:$F$70,3,0),0))</f>
        <v xml:space="preserve"> </v>
      </c>
      <c r="M736" s="135" t="str">
        <f>IF($F736=" "," ",IFERROR(VLOOKUP($F736,'депозитный калькулятор'!$B$26:$F$70,4,0),0))</f>
        <v xml:space="preserve"> </v>
      </c>
      <c r="N736" s="135" t="str">
        <f>IF($F736=" "," ",IFERROR(VLOOKUP($F736,'депозитный калькулятор'!$B$26:$F$70,5,0),0))</f>
        <v xml:space="preserve"> </v>
      </c>
      <c r="O736" s="146" t="str">
        <f>IF(F736&gt;'депозитный калькулятор'!$D$8," ",IF(F736='депозитный калькулятор'!$D$8,IF(AND($F$24='депозитный калькулятор'!$D$8,'депозитный калькулятор'!$G$13="нет"),-G736-IF(I736=" ",0,I736)-IF(AND(OR('депозитный калькулятор'!$G$7="30/365",'депозитный калькулятор'!$G$7="30/360"),'депозитный калькулятор'!$G$10="в начале срока"),I735,0)-L736+M736-N736,-G736-IF(I736=" ",0,I736)-L736+M736-N736),IF('депозитный калькулятор'!$G$13="есть",M736-N736+IF('депозитный калькулятор'!$G$14="есть",0,-L736),-IF(I736=" ",0,I736)-IF(AND(OR('депозитный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срока"),I735,0)+M736-N736+IF('депозитный калькулятор'!$G$14="есть",0,-L736))))</f>
        <v xml:space="preserve"> </v>
      </c>
      <c r="P736" s="147" t="str">
        <f>IF(F736&gt;'депозитный калькулятор'!$D$8," ",IF(EOMONTH(F735,0)=F735,0,IF(G736&gt;='депозитный калькулятор'!$G$19,P735,P735+1)))</f>
        <v xml:space="preserve"> </v>
      </c>
      <c r="Q736" s="138" t="str">
        <f>IF(F736=" "," ",IF(AND(OR('депозитный калькулятор'!$G$7="30/365",'депозитный калькулятор'!$G$7="30/360"),AND(MONTH(F736)=2,EOMONTH(F736,0)=F736)),IF(DAY(F736)=28,3,2),1)*IF(G736&gt;='депозитный калькулятор'!$G$11,IF(AND('депозитный калькулятор'!$G$7="факт/факт",MOD(YEAR(F736),4)=0),G736*'депозитный калькулятор'!$D$11/366,G736*'депозитный калькулятор'!$G$8),0))</f>
        <v xml:space="preserve"> </v>
      </c>
      <c r="R736" s="158"/>
      <c r="S736" s="62" t="str">
        <f t="shared" ca="1" si="57"/>
        <v xml:space="preserve"> </v>
      </c>
      <c r="T736" s="149" t="str">
        <f ca="1">IF(S736=" "," ",IF('депозитный калькулятор'!$G$7="30/360",DAYS360(U735,IF(DAY(U736)=31,U736-1,U736))+IF(AND(MONTH(U736)=2,U736=EOMONTH(U736,0)),30-DAY(EOMONTH(U736,0)))+T735,VLOOKUP(S736,$C$22:$F$1023,2,0)))</f>
        <v xml:space="preserve"> </v>
      </c>
      <c r="U736" s="64" t="str">
        <f t="shared" ca="1" si="55"/>
        <v xml:space="preserve"> </v>
      </c>
      <c r="V736" s="150" t="str">
        <f t="shared" ca="1" si="58"/>
        <v xml:space="preserve"> </v>
      </c>
      <c r="W736" s="62" t="str">
        <f t="shared" ca="1" si="59"/>
        <v xml:space="preserve"> </v>
      </c>
      <c r="X736" s="141" t="str">
        <f ca="1">IF(S736=" "," ",IFERROR(VLOOKUP(U736,$F$23:$N$1023,7)+VLOOKUP(U736,$F$23:$N$1023,9)+IF(AND('депозитный калькулятор'!$G$13="нет",U736&lt;&gt;'депозитный калькулятор'!$D$8),VLOOKUP(U736,$F$23:$N$1023,4),0),0)+IF(U736='депозитный калькулятор'!$D$8,VLOOKUP(U736,$F$23:$N$1023,2)+VLOOKUP(U736,$F$23:$N$1023,4),0))</f>
        <v xml:space="preserve"> </v>
      </c>
      <c r="Y736" s="142" t="str">
        <f ca="1">IF(S736=" "," ",W736/(1+'депозитный калькулятор'!$K$8)^(T736/IF('депозитный калькулятор'!$G$7="30/360",360,365)))</f>
        <v xml:space="preserve"> </v>
      </c>
      <c r="Z736" s="142" t="str">
        <f ca="1">IF(S736=" "," ",X736/(1+'депозитный калькулятор'!$K$8)^(T736/IF('депозитный калькулятор'!$G$7="30/360",360,365)))</f>
        <v xml:space="preserve"> </v>
      </c>
      <c r="AA736" s="151"/>
      <c r="AB736" s="151"/>
      <c r="AC736" s="155"/>
      <c r="AD736" s="155"/>
    </row>
    <row r="737" spans="1:30" s="2" customFormat="1" ht="15.5" x14ac:dyDescent="0.35">
      <c r="A737" s="41" t="str">
        <f>IF(F737=" "," ",IF(OR('депозитный калькулятор'!$G$7="30/365",'депозитный калькулятор'!$G$7="30/360"),IF(AND(MONTH(F737)=2,DAY(F737)=DAY(EOMONTH(F737,0))),30-DAY(EOMONTH(F737,0)),IF(DAY(F737)=31,1," "))," "))</f>
        <v xml:space="preserve"> </v>
      </c>
      <c r="B737" s="130" t="str">
        <f t="shared" si="56"/>
        <v xml:space="preserve"> </v>
      </c>
      <c r="C737" s="130" t="str">
        <f>IF(OR(B737=0,B737=" ")," ",SUM($B$23:B737))</f>
        <v xml:space="preserve"> </v>
      </c>
      <c r="D737" s="62" t="str">
        <f>IF(D736=" "," ",IF(OR(F736='депозитный калькулятор'!$D$8,F736=" ")," ",D736+1))</f>
        <v xml:space="preserve"> </v>
      </c>
      <c r="E737" s="130" t="str">
        <f>IF(OR(F736='депозитный калькулятор'!$D$8,F736=" ")," ",IF(EOMONTH(F736,0)=F736,1,E736+1))</f>
        <v xml:space="preserve"> </v>
      </c>
      <c r="F737" s="64" t="str">
        <f>IF(F736=" "," ",IF(F736='депозитный калькулятор'!$D$8," ",F736+1))</f>
        <v xml:space="preserve"> </v>
      </c>
      <c r="G737" s="145" t="str">
        <f xml:space="preserve"> IF(F737&gt;'депозитный калькулятор'!$D$8," ",IF('депозитный калькулятор'!$G$13="есть",IF('депозитный калькулятор'!$G$14="есть",G736+IF(I736=" ",0,I736)-J737-K737+L737+M737-N737,G736+IF(I736=" ",0,I736)-J737-K737+M737-N737),IF('депозитный калькулятор'!$G$14="есть",G736-J737-K737+L737+M737-N737,G736-J737-K737+M737-N737)))</f>
        <v xml:space="preserve"> </v>
      </c>
      <c r="H737" s="133" t="str">
        <f>IF(F737&gt;'депозитный калькулятор'!$D$8," ",IF(AND(OR('депозитный калькулятор'!$G$7="30/365",'депозитный калькулятор'!$G$7="30/360"),AND(MONTH(F737)=2,EOMONTH(F737,0)=F737)),IF(DAY(F737)=28,3*G737*'депозитный калькулятор'!$G$8,2*G737*'депозитный калькулятор'!$G$8),IF(AND(OR('депозитный калькулятор'!$G$7="30/365",'депозитный калькулятор'!$G$7="30/360"),DAY(F737)=31)," ",IF(AND('депозитный калькулятор'!$G$7="факт/факт",MOD(YEAR(F737),4)=0),G737*'депозитный калькулятор'!$D$11/366,G737*'депозитный калькулятор'!$G$8))))</f>
        <v xml:space="preserve"> </v>
      </c>
      <c r="I737" s="134" t="str">
        <f ca="1">IF(F737=" "," ",IF('депозитный калькулятор'!$G$10="ежедневное",H737,IF(AND('депозитный калькулятор'!$G$10="еженедельное",WEEKDAY(F737,2)=7),SUM(OFFSET(H737,-6,0):H737),IF(AND('депозитный калькулятор'!$G$10="еженедельное",F737='депозитный калькулятор'!$D$8),SUM($H$23:H737)-SUM($I$23:I736),IF(AND('депозитный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недели",WEEKDAY(F737,2)=7),MIN(OFFSET(H737,-6,0):H737)*(COUNTIF(OFFSET(H737,-6,0):H737,"&gt;0")+SUMIF(OFFSET(A737,-WEEKDAY(F737,2),0):A737,"=2",OFFSET(A737,-WEEKDAY(F737,2),0):A737)),IF(AND('депозитный калькулятор'!$G$10="еженедельное, на минимальную сумму зафиксированную в течение недели",F737='депозитный калькулятор'!$D$8,WEEKDAY(F737,2)&lt;&gt;7),MIN(OFFSET(H737,-WEEKDAY(F737,2),0):H737)*(COUNTIF(OFFSET(H737,-WEEKDAY(F737,2)+1,0):H737,"&gt;0")+SUM(OFFSET(A737,-WEEKDAY(F737,2),0):A737)),IF(AND('депозитный калькулятор'!$G$10="ежемесячное (в конце месяца)",F737='депозитный калькулятор'!$D$8,EOMONTH(F737,0)&lt;&gt;F737),IF('депозитный калькулятор'!$F$1=1,$H$24,SUM($H$23:H737)-SUM($I$23:I736)),IF(AND('депозитный калькулятор'!$G$10="ежемесячное (в конце месяца)",EOMONTH(F737,0)=F737),SUM($H$23:H737)-SUM($I$23:I736),IF(AND('депозитный калькулятор'!$G$10="ежемесячное (по дням открытия вклада)",F737='депозитный калькулятор'!$D$8,DAY('депозитный калькулятор'!$D$7)&lt;&gt;DAY(F737)),IF('депозитный калькулятор'!$F$1=1,$H$24,SUM($H$23:H737)-SUM($I$23:I736)),IF(AND('депозитный калькулятор'!$G$10="ежемесячное (по дням открытия вклада)",DAY('депозитный калькулятор'!$D$7)=DAY(F737)),SUM($H$23:H737)-SUM($I$23:I736),IF(AND('депозитный калькулятор'!$G$10="ежемесячное, на минимальную сумму зафиксированную в течение месяца",F737='депозитный калькулятор'!$D$8,EOMONTH(F737,0)&lt;&gt;F737),IF('депозитный калькулятор'!$F$1=1,$H$24,IF(AND(OR('депозитный калькулятор'!$G$7="30/365",'депозитный калькулятор'!$G$7="30/360"),DAY(F737)=31),0,MIN(OFFSET(H737,-E737+1,0):H737)*(E737+SUMIF(OFFSET(A737,-E737+1,0):A737,"=2",OFFSET(A737,-E737+1,0):A737)))),IF(AND('депозитный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калькулятор'!$G$7="30/360"),DAY(EOMONTH(F737,0))=31),EOMONTH(F737,0)-1=F737,EOMONTH(F737,0)=F737)),IF(IF(AND(OR('депозитный калькулятор'!$G$7="30/365",'депозитный калькулятор'!$G$7="30/360"),DAY(EOMONTH($F$23,0))=31),F737=EOMONTH($F$23,0)-1,F737=EOMONTH($F$23,0)),MIN(OFFSET(H737,-(DAY(F737)-DAY($F$23)),0):H737)*E737,MIN(OFFSET(H737,-(DAY(F737)-1),0):H737)*IF(AND(OR('депозитный калькулятор'!$G$7="30/365",'депозитный калькулятор'!$G$7="30/360"),DAY(F737)&lt;30),30,DAY(F737))),IF(AND('депозитный калькулятор'!$G$10="ежемесячное, на средний остаток в течение месяца, при условии что остаток больше чем ограничение",F737='депозитный калькулятор'!$D$8,EOMONTH(F737,0)&lt;&gt;F737),IF('депозитный калькулятор'!$F$1=1,$H$24,SUM(OFFSET(Q737,-E737+1,0):Q737)),IF(AND('депозитный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калькулятор'!$G$7="30/360"),DAY(EOMONTH(F737,0))=31),EOMONTH(F737,0)-1=F737,EOMONTH(F737,0)=F737)),IF(IF(AND(OR('депозитный калькулятор'!$G$7="30/365",'депозитный калькулятор'!$G$7="30/360"),DAY(EOMONTH($F$24,0))=31),F737=EOMONTH($F$24,0)-1,F737=EOMONTH($F$24,0)),SUM(OFFSET(Q737,-E737+1,0):Q737),SUM(OFFSET(Q737,-E737+1,0):Q737)),IF('депозитный калькулятор'!$G$10="ежеквартальное",IF(F737&gt;'депозитный калькулятор'!$D$8," ",IF(AND(EOMONTH(F737,0)=F737,OR(MONTH(F737)=3,MONTH(F737)=6,MONTH(F737)=9,MONTH(F737)=12)),IF(EDATE(F737,-3)&lt;'депозитный калькулятор'!$D$7,SUM($H$23:H737),IF(MOD(YEAR(F737),4)=0,IF(AND(EOMONTH(F737,0)=F737,OR(MONTH(F737)=3,MONTH(F737)=6)),SUM(OFFSET(H737,-90,0):H737),IF(AND(EOMONTH(F737,0)=F737,OR(MONTH(F737)=9,MONTH(F737)=12)),SUM(OFFSET(H737,-91,0):H737))),IF(AND(EOMONTH(F737,0)=F737,MONTH(F737)=3),SUM(OFFSET(H737,-89,0):H737),IF(AND(EOMONTH(F737,0)=F737,MONTH(F737)=6),SUM(OFFSET(H737,-90,0):H737),IF(AND(EOMONTH(F737,0)=F737,OR(MONTH(F737)=9,MONTH(F737)=12)),SUM(OFFSET(H737,-91,0):H737)))))),IF(F737='депозитный калькулятор'!$D$8,SUM($H$23:H737)-SUM($I$23:I736),0))),IF('депозитный калькулятор'!$G$10="ежегодное",IF(F737&gt;'депозитный калькулятор'!$D$8," ",IF(F737='депозитный калькулятор'!$D$8,SUM($H$23:H737)-SUM($I$23:I736),IF(AND(EOMONTH(F737,0)=F737,MONTH(F737)=12),IF(MOD(YEAR(F736),4)=0,IF(F737-'депозитный калькулятор'!$D$7&lt;366,SUM($H$23:H737),SUM(OFFSET(H737,-365,0):H737)),IF(F737-'депозитный калькулятор'!$D$7&lt;365,SUM($H$23:H737),SUM(OFFSET(H737,-364,0):H737))),0))),IF(AND('депозитный калькулятор'!$G$10="в конце срока",'депозитный калькулятор'!$D$8=F737),SUM($H$23:H737),0))))))))))))))))))</f>
        <v xml:space="preserve"> </v>
      </c>
      <c r="J737" s="59" t="str">
        <f>IF(F737&gt;'депозитный калькулятор'!$D$8," ",IF('депозитный калькулятор'!$G$16="нет",0,IF(AND('депозитный калькулятор'!$G$17="разовая (в конце срока)",F737='депозитный калькулятор'!$D$8),'депозитный калькулятор'!$G$18,IF(AND('депозитный калькулятор'!$G$17="ежемесячная",EOMONTH(F736,0)=F736),'депозитный калькулятор'!$G$18,IF(AND('депозитный калькулятор'!$G$17="ежегодная",DAY(F736)=31,MONTH(F736)=12),'депозитный калькулятор'!$G$18,IF(AND('депозитный калькулятор'!$G$17="ежемесячная в зависимости от остатка",EOMONTH(F736,0)=F736,P736&gt;0),'депозитный калькулятор'!$G$18,IF(AND('депозитный калькулятор'!$G$17="ежегодная в зависимости от остатка",DAY(F736)=31,MONTH(F736)=12,P736&gt;0),'депозитный калькулятор'!$G$18,0)))))))</f>
        <v xml:space="preserve"> </v>
      </c>
      <c r="K737" s="135" t="str">
        <f>IF($F737=" "," ",IFERROR(VLOOKUP($F737,'депозитный калькулятор'!$B$26:$F$70,2,0),0))</f>
        <v xml:space="preserve"> </v>
      </c>
      <c r="L737" s="135" t="str">
        <f>IF($F737=" "," ",IFERROR(VLOOKUP($F737,'депозитный калькулятор'!$B$26:$F$70,3,0),0))</f>
        <v xml:space="preserve"> </v>
      </c>
      <c r="M737" s="135" t="str">
        <f>IF($F737=" "," ",IFERROR(VLOOKUP($F737,'депозитный калькулятор'!$B$26:$F$70,4,0),0))</f>
        <v xml:space="preserve"> </v>
      </c>
      <c r="N737" s="135" t="str">
        <f>IF($F737=" "," ",IFERROR(VLOOKUP($F737,'депозитный калькулятор'!$B$26:$F$70,5,0),0))</f>
        <v xml:space="preserve"> </v>
      </c>
      <c r="O737" s="146" t="str">
        <f>IF(F737&gt;'депозитный калькулятор'!$D$8," ",IF(F737='депозитный калькулятор'!$D$8,IF(AND($F$24='депозитный калькулятор'!$D$8,'депозитный калькулятор'!$G$13="нет"),-G737-IF(I737=" ",0,I737)-IF(AND(OR('депозитный калькулятор'!$G$7="30/365",'депозитный калькулятор'!$G$7="30/360"),'депозитный калькулятор'!$G$10="в начале срока"),I736,0)-L737+M737-N737,-G737-IF(I737=" ",0,I737)-L737+M737-N737),IF('депозитный калькулятор'!$G$13="есть",M737-N737+IF('депозитный калькулятор'!$G$14="есть",0,-L737),-IF(I737=" ",0,I737)-IF(AND(OR('депозитный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срока"),I736,0)+M737-N737+IF('депозитный калькулятор'!$G$14="есть",0,-L737))))</f>
        <v xml:space="preserve"> </v>
      </c>
      <c r="P737" s="147" t="str">
        <f>IF(F737&gt;'депозитный калькулятор'!$D$8," ",IF(EOMONTH(F736,0)=F736,0,IF(G737&gt;='депозитный калькулятор'!$G$19,P736,P736+1)))</f>
        <v xml:space="preserve"> </v>
      </c>
      <c r="Q737" s="138" t="str">
        <f>IF(F737=" "," ",IF(AND(OR('депозитный калькулятор'!$G$7="30/365",'депозитный калькулятор'!$G$7="30/360"),AND(MONTH(F737)=2,EOMONTH(F737,0)=F737)),IF(DAY(F737)=28,3,2),1)*IF(G737&gt;='депозитный калькулятор'!$G$11,IF(AND('депозитный калькулятор'!$G$7="факт/факт",MOD(YEAR(F737),4)=0),G737*'депозитный калькулятор'!$D$11/366,G737*'депозитный калькулятор'!$G$8),0))</f>
        <v xml:space="preserve"> </v>
      </c>
      <c r="R737" s="158"/>
      <c r="S737" s="62" t="str">
        <f t="shared" ca="1" si="57"/>
        <v xml:space="preserve"> </v>
      </c>
      <c r="T737" s="149" t="str">
        <f ca="1">IF(S737=" "," ",IF('депозитный калькулятор'!$G$7="30/360",DAYS360(U736,IF(DAY(U737)=31,U737-1,U737))+IF(AND(MONTH(U737)=2,U737=EOMONTH(U737,0)),30-DAY(EOMONTH(U737,0)))+T736,VLOOKUP(S737,$C$22:$F$1023,2,0)))</f>
        <v xml:space="preserve"> </v>
      </c>
      <c r="U737" s="64" t="str">
        <f t="shared" ca="1" si="55"/>
        <v xml:space="preserve"> </v>
      </c>
      <c r="V737" s="150" t="str">
        <f t="shared" ca="1" si="58"/>
        <v xml:space="preserve"> </v>
      </c>
      <c r="W737" s="62" t="str">
        <f t="shared" ca="1" si="59"/>
        <v xml:space="preserve"> </v>
      </c>
      <c r="X737" s="141" t="str">
        <f ca="1">IF(S737=" "," ",IFERROR(VLOOKUP(U737,$F$23:$N$1023,7)+VLOOKUP(U737,$F$23:$N$1023,9)+IF(AND('депозитный калькулятор'!$G$13="нет",U737&lt;&gt;'депозитный калькулятор'!$D$8),VLOOKUP(U737,$F$23:$N$1023,4),0),0)+IF(U737='депозитный калькулятор'!$D$8,VLOOKUP(U737,$F$23:$N$1023,2)+VLOOKUP(U737,$F$23:$N$1023,4),0))</f>
        <v xml:space="preserve"> </v>
      </c>
      <c r="Y737" s="142" t="str">
        <f ca="1">IF(S737=" "," ",W737/(1+'депозитный калькулятор'!$K$8)^(T737/IF('депозитный калькулятор'!$G$7="30/360",360,365)))</f>
        <v xml:space="preserve"> </v>
      </c>
      <c r="Z737" s="142" t="str">
        <f ca="1">IF(S737=" "," ",X737/(1+'депозитный калькулятор'!$K$8)^(T737/IF('депозитный калькулятор'!$G$7="30/360",360,365)))</f>
        <v xml:space="preserve"> </v>
      </c>
      <c r="AA737" s="151"/>
      <c r="AB737" s="151"/>
      <c r="AC737" s="155"/>
      <c r="AD737" s="155"/>
    </row>
    <row r="738" spans="1:30" s="2" customFormat="1" ht="15.5" x14ac:dyDescent="0.35">
      <c r="A738" s="41" t="str">
        <f>IF(F738=" "," ",IF(OR('депозитный калькулятор'!$G$7="30/365",'депозитный калькулятор'!$G$7="30/360"),IF(AND(MONTH(F738)=2,DAY(F738)=DAY(EOMONTH(F738,0))),30-DAY(EOMONTH(F738,0)),IF(DAY(F738)=31,1," "))," "))</f>
        <v xml:space="preserve"> </v>
      </c>
      <c r="B738" s="130" t="str">
        <f t="shared" si="56"/>
        <v xml:space="preserve"> </v>
      </c>
      <c r="C738" s="130" t="str">
        <f>IF(OR(B738=0,B738=" ")," ",SUM($B$23:B738))</f>
        <v xml:space="preserve"> </v>
      </c>
      <c r="D738" s="62" t="str">
        <f>IF(D737=" "," ",IF(OR(F737='депозитный калькулятор'!$D$8,F737=" ")," ",D737+1))</f>
        <v xml:space="preserve"> </v>
      </c>
      <c r="E738" s="130" t="str">
        <f>IF(OR(F737='депозитный калькулятор'!$D$8,F737=" ")," ",IF(EOMONTH(F737,0)=F737,1,E737+1))</f>
        <v xml:space="preserve"> </v>
      </c>
      <c r="F738" s="64" t="str">
        <f>IF(F737=" "," ",IF(F737='депозитный калькулятор'!$D$8," ",F737+1))</f>
        <v xml:space="preserve"> </v>
      </c>
      <c r="G738" s="145" t="str">
        <f xml:space="preserve"> IF(F738&gt;'депозитный калькулятор'!$D$8," ",IF('депозитный калькулятор'!$G$13="есть",IF('депозитный калькулятор'!$G$14="есть",G737+IF(I737=" ",0,I737)-J738-K738+L738+M738-N738,G737+IF(I737=" ",0,I737)-J738-K738+M738-N738),IF('депозитный калькулятор'!$G$14="есть",G737-J738-K738+L738+M738-N738,G737-J738-K738+M738-N738)))</f>
        <v xml:space="preserve"> </v>
      </c>
      <c r="H738" s="133" t="str">
        <f>IF(F738&gt;'депозитный калькулятор'!$D$8," ",IF(AND(OR('депозитный калькулятор'!$G$7="30/365",'депозитный калькулятор'!$G$7="30/360"),AND(MONTH(F738)=2,EOMONTH(F738,0)=F738)),IF(DAY(F738)=28,3*G738*'депозитный калькулятор'!$G$8,2*G738*'депозитный калькулятор'!$G$8),IF(AND(OR('депозитный калькулятор'!$G$7="30/365",'депозитный калькулятор'!$G$7="30/360"),DAY(F738)=31)," ",IF(AND('депозитный калькулятор'!$G$7="факт/факт",MOD(YEAR(F738),4)=0),G738*'депозитный калькулятор'!$D$11/366,G738*'депозитный калькулятор'!$G$8))))</f>
        <v xml:space="preserve"> </v>
      </c>
      <c r="I738" s="134" t="str">
        <f ca="1">IF(F738=" "," ",IF('депозитный калькулятор'!$G$10="ежедневное",H738,IF(AND('депозитный калькулятор'!$G$10="еженедельное",WEEKDAY(F738,2)=7),SUM(OFFSET(H738,-6,0):H738),IF(AND('депозитный калькулятор'!$G$10="еженедельное",F738='депозитный калькулятор'!$D$8),SUM($H$23:H738)-SUM($I$23:I737),IF(AND('депозитный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недели",WEEKDAY(F738,2)=7),MIN(OFFSET(H738,-6,0):H738)*(COUNTIF(OFFSET(H738,-6,0):H738,"&gt;0")+SUMIF(OFFSET(A738,-WEEKDAY(F738,2),0):A738,"=2",OFFSET(A738,-WEEKDAY(F738,2),0):A738)),IF(AND('депозитный калькулятор'!$G$10="еженедельное, на минимальную сумму зафиксированную в течение недели",F738='депозитный калькулятор'!$D$8,WEEKDAY(F738,2)&lt;&gt;7),MIN(OFFSET(H738,-WEEKDAY(F738,2),0):H738)*(COUNTIF(OFFSET(H738,-WEEKDAY(F738,2)+1,0):H738,"&gt;0")+SUM(OFFSET(A738,-WEEKDAY(F738,2),0):A738)),IF(AND('депозитный калькулятор'!$G$10="ежемесячное (в конце месяца)",F738='депозитный калькулятор'!$D$8,EOMONTH(F738,0)&lt;&gt;F738),IF('депозитный калькулятор'!$F$1=1,$H$24,SUM($H$23:H738)-SUM($I$23:I737)),IF(AND('депозитный калькулятор'!$G$10="ежемесячное (в конце месяца)",EOMONTH(F738,0)=F738),SUM($H$23:H738)-SUM($I$23:I737),IF(AND('депозитный калькулятор'!$G$10="ежемесячное (по дням открытия вклада)",F738='депозитный калькулятор'!$D$8,DAY('депозитный калькулятор'!$D$7)&lt;&gt;DAY(F738)),IF('депозитный калькулятор'!$F$1=1,$H$24,SUM($H$23:H738)-SUM($I$23:I737)),IF(AND('депозитный калькулятор'!$G$10="ежемесячное (по дням открытия вклада)",DAY('депозитный калькулятор'!$D$7)=DAY(F738)),SUM($H$23:H738)-SUM($I$23:I737),IF(AND('депозитный калькулятор'!$G$10="ежемесячное, на минимальную сумму зафиксированную в течение месяца",F738='депозитный калькулятор'!$D$8,EOMONTH(F738,0)&lt;&gt;F738),IF('депозитный калькулятор'!$F$1=1,$H$24,IF(AND(OR('депозитный калькулятор'!$G$7="30/365",'депозитный калькулятор'!$G$7="30/360"),DAY(F738)=31),0,MIN(OFFSET(H738,-E738+1,0):H738)*(E738+SUMIF(OFFSET(A738,-E738+1,0):A738,"=2",OFFSET(A738,-E738+1,0):A738)))),IF(AND('депозитный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калькулятор'!$G$7="30/360"),DAY(EOMONTH(F738,0))=31),EOMONTH(F738,0)-1=F738,EOMONTH(F738,0)=F738)),IF(IF(AND(OR('депозитный калькулятор'!$G$7="30/365",'депозитный калькулятор'!$G$7="30/360"),DAY(EOMONTH($F$23,0))=31),F738=EOMONTH($F$23,0)-1,F738=EOMONTH($F$23,0)),MIN(OFFSET(H738,-(DAY(F738)-DAY($F$23)),0):H738)*E738,MIN(OFFSET(H738,-(DAY(F738)-1),0):H738)*IF(AND(OR('депозитный калькулятор'!$G$7="30/365",'депозитный калькулятор'!$G$7="30/360"),DAY(F738)&lt;30),30,DAY(F738))),IF(AND('депозитный калькулятор'!$G$10="ежемесячное, на средний остаток в течение месяца, при условии что остаток больше чем ограничение",F738='депозитный калькулятор'!$D$8,EOMONTH(F738,0)&lt;&gt;F738),IF('депозитный калькулятор'!$F$1=1,$H$24,SUM(OFFSET(Q738,-E738+1,0):Q738)),IF(AND('депозитный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калькулятор'!$G$7="30/360"),DAY(EOMONTH(F738,0))=31),EOMONTH(F738,0)-1=F738,EOMONTH(F738,0)=F738)),IF(IF(AND(OR('депозитный калькулятор'!$G$7="30/365",'депозитный калькулятор'!$G$7="30/360"),DAY(EOMONTH($F$24,0))=31),F738=EOMONTH($F$24,0)-1,F738=EOMONTH($F$24,0)),SUM(OFFSET(Q738,-E738+1,0):Q738),SUM(OFFSET(Q738,-E738+1,0):Q738)),IF('депозитный калькулятор'!$G$10="ежеквартальное",IF(F738&gt;'депозитный калькулятор'!$D$8," ",IF(AND(EOMONTH(F738,0)=F738,OR(MONTH(F738)=3,MONTH(F738)=6,MONTH(F738)=9,MONTH(F738)=12)),IF(EDATE(F738,-3)&lt;'депозитный калькулятор'!$D$7,SUM($H$23:H738),IF(MOD(YEAR(F738),4)=0,IF(AND(EOMONTH(F738,0)=F738,OR(MONTH(F738)=3,MONTH(F738)=6)),SUM(OFFSET(H738,-90,0):H738),IF(AND(EOMONTH(F738,0)=F738,OR(MONTH(F738)=9,MONTH(F738)=12)),SUM(OFFSET(H738,-91,0):H738))),IF(AND(EOMONTH(F738,0)=F738,MONTH(F738)=3),SUM(OFFSET(H738,-89,0):H738),IF(AND(EOMONTH(F738,0)=F738,MONTH(F738)=6),SUM(OFFSET(H738,-90,0):H738),IF(AND(EOMONTH(F738,0)=F738,OR(MONTH(F738)=9,MONTH(F738)=12)),SUM(OFFSET(H738,-91,0):H738)))))),IF(F738='депозитный калькулятор'!$D$8,SUM($H$23:H738)-SUM($I$23:I737),0))),IF('депозитный калькулятор'!$G$10="ежегодное",IF(F738&gt;'депозитный калькулятор'!$D$8," ",IF(F738='депозитный калькулятор'!$D$8,SUM($H$23:H738)-SUM($I$23:I737),IF(AND(EOMONTH(F738,0)=F738,MONTH(F738)=12),IF(MOD(YEAR(F737),4)=0,IF(F738-'депозитный калькулятор'!$D$7&lt;366,SUM($H$23:H738),SUM(OFFSET(H738,-365,0):H738)),IF(F738-'депозитный калькулятор'!$D$7&lt;365,SUM($H$23:H738),SUM(OFFSET(H738,-364,0):H738))),0))),IF(AND('депозитный калькулятор'!$G$10="в конце срока",'депозитный калькулятор'!$D$8=F738),SUM($H$23:H738),0))))))))))))))))))</f>
        <v xml:space="preserve"> </v>
      </c>
      <c r="J738" s="59" t="str">
        <f>IF(F738&gt;'депозитный калькулятор'!$D$8," ",IF('депозитный калькулятор'!$G$16="нет",0,IF(AND('депозитный калькулятор'!$G$17="разовая (в конце срока)",F738='депозитный калькулятор'!$D$8),'депозитный калькулятор'!$G$18,IF(AND('депозитный калькулятор'!$G$17="ежемесячная",EOMONTH(F737,0)=F737),'депозитный калькулятор'!$G$18,IF(AND('депозитный калькулятор'!$G$17="ежегодная",DAY(F737)=31,MONTH(F737)=12),'депозитный калькулятор'!$G$18,IF(AND('депозитный калькулятор'!$G$17="ежемесячная в зависимости от остатка",EOMONTH(F737,0)=F737,P737&gt;0),'депозитный калькулятор'!$G$18,IF(AND('депозитный калькулятор'!$G$17="ежегодная в зависимости от остатка",DAY(F737)=31,MONTH(F737)=12,P737&gt;0),'депозитный калькулятор'!$G$18,0)))))))</f>
        <v xml:space="preserve"> </v>
      </c>
      <c r="K738" s="135" t="str">
        <f>IF($F738=" "," ",IFERROR(VLOOKUP($F738,'депозитный калькулятор'!$B$26:$F$70,2,0),0))</f>
        <v xml:space="preserve"> </v>
      </c>
      <c r="L738" s="135" t="str">
        <f>IF($F738=" "," ",IFERROR(VLOOKUP($F738,'депозитный калькулятор'!$B$26:$F$70,3,0),0))</f>
        <v xml:space="preserve"> </v>
      </c>
      <c r="M738" s="135" t="str">
        <f>IF($F738=" "," ",IFERROR(VLOOKUP($F738,'депозитный калькулятор'!$B$26:$F$70,4,0),0))</f>
        <v xml:space="preserve"> </v>
      </c>
      <c r="N738" s="135" t="str">
        <f>IF($F738=" "," ",IFERROR(VLOOKUP($F738,'депозитный калькулятор'!$B$26:$F$70,5,0),0))</f>
        <v xml:space="preserve"> </v>
      </c>
      <c r="O738" s="146" t="str">
        <f>IF(F738&gt;'депозитный калькулятор'!$D$8," ",IF(F738='депозитный калькулятор'!$D$8,IF(AND($F$24='депозитный калькулятор'!$D$8,'депозитный калькулятор'!$G$13="нет"),-G738-IF(I738=" ",0,I738)-IF(AND(OR('депозитный калькулятор'!$G$7="30/365",'депозитный калькулятор'!$G$7="30/360"),'депозитный калькулятор'!$G$10="в начале срока"),I737,0)-L738+M738-N738,-G738-IF(I738=" ",0,I738)-L738+M738-N738),IF('депозитный калькулятор'!$G$13="есть",M738-N738+IF('депозитный калькулятор'!$G$14="есть",0,-L738),-IF(I738=" ",0,I738)-IF(AND(OR('депозитный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срока"),I737,0)+M738-N738+IF('депозитный калькулятор'!$G$14="есть",0,-L738))))</f>
        <v xml:space="preserve"> </v>
      </c>
      <c r="P738" s="147" t="str">
        <f>IF(F738&gt;'депозитный калькулятор'!$D$8," ",IF(EOMONTH(F737,0)=F737,0,IF(G738&gt;='депозитный калькулятор'!$G$19,P737,P737+1)))</f>
        <v xml:space="preserve"> </v>
      </c>
      <c r="Q738" s="138" t="str">
        <f>IF(F738=" "," ",IF(AND(OR('депозитный калькулятор'!$G$7="30/365",'депозитный калькулятор'!$G$7="30/360"),AND(MONTH(F738)=2,EOMONTH(F738,0)=F738)),IF(DAY(F738)=28,3,2),1)*IF(G738&gt;='депозитный калькулятор'!$G$11,IF(AND('депозитный калькулятор'!$G$7="факт/факт",MOD(YEAR(F738),4)=0),G738*'депозитный калькулятор'!$D$11/366,G738*'депозитный калькулятор'!$G$8),0))</f>
        <v xml:space="preserve"> </v>
      </c>
      <c r="R738" s="158"/>
      <c r="S738" s="62" t="str">
        <f t="shared" ca="1" si="57"/>
        <v xml:space="preserve"> </v>
      </c>
      <c r="T738" s="149" t="str">
        <f ca="1">IF(S738=" "," ",IF('депозитный калькулятор'!$G$7="30/360",DAYS360(U737,IF(DAY(U738)=31,U738-1,U738))+IF(AND(MONTH(U738)=2,U738=EOMONTH(U738,0)),30-DAY(EOMONTH(U738,0)))+T737,VLOOKUP(S738,$C$22:$F$1023,2,0)))</f>
        <v xml:space="preserve"> </v>
      </c>
      <c r="U738" s="64" t="str">
        <f t="shared" ca="1" si="55"/>
        <v xml:space="preserve"> </v>
      </c>
      <c r="V738" s="150" t="str">
        <f t="shared" ca="1" si="58"/>
        <v xml:space="preserve"> </v>
      </c>
      <c r="W738" s="62" t="str">
        <f t="shared" ca="1" si="59"/>
        <v xml:space="preserve"> </v>
      </c>
      <c r="X738" s="141" t="str">
        <f ca="1">IF(S738=" "," ",IFERROR(VLOOKUP(U738,$F$23:$N$1023,7)+VLOOKUP(U738,$F$23:$N$1023,9)+IF(AND('депозитный калькулятор'!$G$13="нет",U738&lt;&gt;'депозитный калькулятор'!$D$8),VLOOKUP(U738,$F$23:$N$1023,4),0),0)+IF(U738='депозитный калькулятор'!$D$8,VLOOKUP(U738,$F$23:$N$1023,2)+VLOOKUP(U738,$F$23:$N$1023,4),0))</f>
        <v xml:space="preserve"> </v>
      </c>
      <c r="Y738" s="142" t="str">
        <f ca="1">IF(S738=" "," ",W738/(1+'депозитный калькулятор'!$K$8)^(T738/IF('депозитный калькулятор'!$G$7="30/360",360,365)))</f>
        <v xml:space="preserve"> </v>
      </c>
      <c r="Z738" s="142" t="str">
        <f ca="1">IF(S738=" "," ",X738/(1+'депозитный калькулятор'!$K$8)^(T738/IF('депозитный калькулятор'!$G$7="30/360",360,365)))</f>
        <v xml:space="preserve"> </v>
      </c>
      <c r="AA738" s="151"/>
      <c r="AB738" s="151"/>
      <c r="AC738" s="155"/>
      <c r="AD738" s="155"/>
    </row>
    <row r="739" spans="1:30" s="2" customFormat="1" ht="15.5" x14ac:dyDescent="0.35">
      <c r="A739" s="41" t="str">
        <f>IF(F739=" "," ",IF(OR('депозитный калькулятор'!$G$7="30/365",'депозитный калькулятор'!$G$7="30/360"),IF(AND(MONTH(F739)=2,DAY(F739)=DAY(EOMONTH(F739,0))),30-DAY(EOMONTH(F739,0)),IF(DAY(F739)=31,1," "))," "))</f>
        <v xml:space="preserve"> </v>
      </c>
      <c r="B739" s="130" t="str">
        <f t="shared" si="56"/>
        <v xml:space="preserve"> </v>
      </c>
      <c r="C739" s="130" t="str">
        <f>IF(OR(B739=0,B739=" ")," ",SUM($B$23:B739))</f>
        <v xml:space="preserve"> </v>
      </c>
      <c r="D739" s="62" t="str">
        <f>IF(D738=" "," ",IF(OR(F738='депозитный калькулятор'!$D$8,F738=" ")," ",D738+1))</f>
        <v xml:space="preserve"> </v>
      </c>
      <c r="E739" s="130" t="str">
        <f>IF(OR(F738='депозитный калькулятор'!$D$8,F738=" ")," ",IF(EOMONTH(F738,0)=F738,1,E738+1))</f>
        <v xml:space="preserve"> </v>
      </c>
      <c r="F739" s="64" t="str">
        <f>IF(F738=" "," ",IF(F738='депозитный калькулятор'!$D$8," ",F738+1))</f>
        <v xml:space="preserve"> </v>
      </c>
      <c r="G739" s="145" t="str">
        <f xml:space="preserve"> IF(F739&gt;'депозитный калькулятор'!$D$8," ",IF('депозитный калькулятор'!$G$13="есть",IF('депозитный калькулятор'!$G$14="есть",G738+IF(I738=" ",0,I738)-J739-K739+L739+M739-N739,G738+IF(I738=" ",0,I738)-J739-K739+M739-N739),IF('депозитный калькулятор'!$G$14="есть",G738-J739-K739+L739+M739-N739,G738-J739-K739+M739-N739)))</f>
        <v xml:space="preserve"> </v>
      </c>
      <c r="H739" s="133" t="str">
        <f>IF(F739&gt;'депозитный калькулятор'!$D$8," ",IF(AND(OR('депозитный калькулятор'!$G$7="30/365",'депозитный калькулятор'!$G$7="30/360"),AND(MONTH(F739)=2,EOMONTH(F739,0)=F739)),IF(DAY(F739)=28,3*G739*'депозитный калькулятор'!$G$8,2*G739*'депозитный калькулятор'!$G$8),IF(AND(OR('депозитный калькулятор'!$G$7="30/365",'депозитный калькулятор'!$G$7="30/360"),DAY(F739)=31)," ",IF(AND('депозитный калькулятор'!$G$7="факт/факт",MOD(YEAR(F739),4)=0),G739*'депозитный калькулятор'!$D$11/366,G739*'депозитный калькулятор'!$G$8))))</f>
        <v xml:space="preserve"> </v>
      </c>
      <c r="I739" s="134" t="str">
        <f ca="1">IF(F739=" "," ",IF('депозитный калькулятор'!$G$10="ежедневное",H739,IF(AND('депозитный калькулятор'!$G$10="еженедельное",WEEKDAY(F739,2)=7),SUM(OFFSET(H739,-6,0):H739),IF(AND('депозитный калькулятор'!$G$10="еженедельное",F739='депозитный калькулятор'!$D$8),SUM($H$23:H739)-SUM($I$23:I738),IF(AND('депозитный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недели",WEEKDAY(F739,2)=7),MIN(OFFSET(H739,-6,0):H739)*(COUNTIF(OFFSET(H739,-6,0):H739,"&gt;0")+SUMIF(OFFSET(A739,-WEEKDAY(F739,2),0):A739,"=2",OFFSET(A739,-WEEKDAY(F739,2),0):A739)),IF(AND('депозитный калькулятор'!$G$10="еженедельное, на минимальную сумму зафиксированную в течение недели",F739='депозитный калькулятор'!$D$8,WEEKDAY(F739,2)&lt;&gt;7),MIN(OFFSET(H739,-WEEKDAY(F739,2),0):H739)*(COUNTIF(OFFSET(H739,-WEEKDAY(F739,2)+1,0):H739,"&gt;0")+SUM(OFFSET(A739,-WEEKDAY(F739,2),0):A739)),IF(AND('депозитный калькулятор'!$G$10="ежемесячное (в конце месяца)",F739='депозитный калькулятор'!$D$8,EOMONTH(F739,0)&lt;&gt;F739),IF('депозитный калькулятор'!$F$1=1,$H$24,SUM($H$23:H739)-SUM($I$23:I738)),IF(AND('депозитный калькулятор'!$G$10="ежемесячное (в конце месяца)",EOMONTH(F739,0)=F739),SUM($H$23:H739)-SUM($I$23:I738),IF(AND('депозитный калькулятор'!$G$10="ежемесячное (по дням открытия вклада)",F739='депозитный калькулятор'!$D$8,DAY('депозитный калькулятор'!$D$7)&lt;&gt;DAY(F739)),IF('депозитный калькулятор'!$F$1=1,$H$24,SUM($H$23:H739)-SUM($I$23:I738)),IF(AND('депозитный калькулятор'!$G$10="ежемесячное (по дням открытия вклада)",DAY('депозитный калькулятор'!$D$7)=DAY(F739)),SUM($H$23:H739)-SUM($I$23:I738),IF(AND('депозитный калькулятор'!$G$10="ежемесячное, на минимальную сумму зафиксированную в течение месяца",F739='депозитный калькулятор'!$D$8,EOMONTH(F739,0)&lt;&gt;F739),IF('депозитный калькулятор'!$F$1=1,$H$24,IF(AND(OR('депозитный калькулятор'!$G$7="30/365",'депозитный калькулятор'!$G$7="30/360"),DAY(F739)=31),0,MIN(OFFSET(H739,-E739+1,0):H739)*(E739+SUMIF(OFFSET(A739,-E739+1,0):A739,"=2",OFFSET(A739,-E739+1,0):A739)))),IF(AND('депозитный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калькулятор'!$G$7="30/360"),DAY(EOMONTH(F739,0))=31),EOMONTH(F739,0)-1=F739,EOMONTH(F739,0)=F739)),IF(IF(AND(OR('депозитный калькулятор'!$G$7="30/365",'депозитный калькулятор'!$G$7="30/360"),DAY(EOMONTH($F$23,0))=31),F739=EOMONTH($F$23,0)-1,F739=EOMONTH($F$23,0)),MIN(OFFSET(H739,-(DAY(F739)-DAY($F$23)),0):H739)*E739,MIN(OFFSET(H739,-(DAY(F739)-1),0):H739)*IF(AND(OR('депозитный калькулятор'!$G$7="30/365",'депозитный калькулятор'!$G$7="30/360"),DAY(F739)&lt;30),30,DAY(F739))),IF(AND('депозитный калькулятор'!$G$10="ежемесячное, на средний остаток в течение месяца, при условии что остаток больше чем ограничение",F739='депозитный калькулятор'!$D$8,EOMONTH(F739,0)&lt;&gt;F739),IF('депозитный калькулятор'!$F$1=1,$H$24,SUM(OFFSET(Q739,-E739+1,0):Q739)),IF(AND('депозитный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калькулятор'!$G$7="30/360"),DAY(EOMONTH(F739,0))=31),EOMONTH(F739,0)-1=F739,EOMONTH(F739,0)=F739)),IF(IF(AND(OR('депозитный калькулятор'!$G$7="30/365",'депозитный калькулятор'!$G$7="30/360"),DAY(EOMONTH($F$24,0))=31),F739=EOMONTH($F$24,0)-1,F739=EOMONTH($F$24,0)),SUM(OFFSET(Q739,-E739+1,0):Q739),SUM(OFFSET(Q739,-E739+1,0):Q739)),IF('депозитный калькулятор'!$G$10="ежеквартальное",IF(F739&gt;'депозитный калькулятор'!$D$8," ",IF(AND(EOMONTH(F739,0)=F739,OR(MONTH(F739)=3,MONTH(F739)=6,MONTH(F739)=9,MONTH(F739)=12)),IF(EDATE(F739,-3)&lt;'депозитный калькулятор'!$D$7,SUM($H$23:H739),IF(MOD(YEAR(F739),4)=0,IF(AND(EOMONTH(F739,0)=F739,OR(MONTH(F739)=3,MONTH(F739)=6)),SUM(OFFSET(H739,-90,0):H739),IF(AND(EOMONTH(F739,0)=F739,OR(MONTH(F739)=9,MONTH(F739)=12)),SUM(OFFSET(H739,-91,0):H739))),IF(AND(EOMONTH(F739,0)=F739,MONTH(F739)=3),SUM(OFFSET(H739,-89,0):H739),IF(AND(EOMONTH(F739,0)=F739,MONTH(F739)=6),SUM(OFFSET(H739,-90,0):H739),IF(AND(EOMONTH(F739,0)=F739,OR(MONTH(F739)=9,MONTH(F739)=12)),SUM(OFFSET(H739,-91,0):H739)))))),IF(F739='депозитный калькулятор'!$D$8,SUM($H$23:H739)-SUM($I$23:I738),0))),IF('депозитный калькулятор'!$G$10="ежегодное",IF(F739&gt;'депозитный калькулятор'!$D$8," ",IF(F739='депозитный калькулятор'!$D$8,SUM($H$23:H739)-SUM($I$23:I738),IF(AND(EOMONTH(F739,0)=F739,MONTH(F739)=12),IF(MOD(YEAR(F738),4)=0,IF(F739-'депозитный калькулятор'!$D$7&lt;366,SUM($H$23:H739),SUM(OFFSET(H739,-365,0):H739)),IF(F739-'депозитный калькулятор'!$D$7&lt;365,SUM($H$23:H739),SUM(OFFSET(H739,-364,0):H739))),0))),IF(AND('депозитный калькулятор'!$G$10="в конце срока",'депозитный калькулятор'!$D$8=F739),SUM($H$23:H739),0))))))))))))))))))</f>
        <v xml:space="preserve"> </v>
      </c>
      <c r="J739" s="59" t="str">
        <f>IF(F739&gt;'депозитный калькулятор'!$D$8," ",IF('депозитный калькулятор'!$G$16="нет",0,IF(AND('депозитный калькулятор'!$G$17="разовая (в конце срока)",F739='депозитный калькулятор'!$D$8),'депозитный калькулятор'!$G$18,IF(AND('депозитный калькулятор'!$G$17="ежемесячная",EOMONTH(F738,0)=F738),'депозитный калькулятор'!$G$18,IF(AND('депозитный калькулятор'!$G$17="ежегодная",DAY(F738)=31,MONTH(F738)=12),'депозитный калькулятор'!$G$18,IF(AND('депозитный калькулятор'!$G$17="ежемесячная в зависимости от остатка",EOMONTH(F738,0)=F738,P738&gt;0),'депозитный калькулятор'!$G$18,IF(AND('депозитный калькулятор'!$G$17="ежегодная в зависимости от остатка",DAY(F738)=31,MONTH(F738)=12,P738&gt;0),'депозитный калькулятор'!$G$18,0)))))))</f>
        <v xml:space="preserve"> </v>
      </c>
      <c r="K739" s="135" t="str">
        <f>IF($F739=" "," ",IFERROR(VLOOKUP($F739,'депозитный калькулятор'!$B$26:$F$70,2,0),0))</f>
        <v xml:space="preserve"> </v>
      </c>
      <c r="L739" s="135" t="str">
        <f>IF($F739=" "," ",IFERROR(VLOOKUP($F739,'депозитный калькулятор'!$B$26:$F$70,3,0),0))</f>
        <v xml:space="preserve"> </v>
      </c>
      <c r="M739" s="135" t="str">
        <f>IF($F739=" "," ",IFERROR(VLOOKUP($F739,'депозитный калькулятор'!$B$26:$F$70,4,0),0))</f>
        <v xml:space="preserve"> </v>
      </c>
      <c r="N739" s="135" t="str">
        <f>IF($F739=" "," ",IFERROR(VLOOKUP($F739,'депозитный калькулятор'!$B$26:$F$70,5,0),0))</f>
        <v xml:space="preserve"> </v>
      </c>
      <c r="O739" s="146" t="str">
        <f>IF(F739&gt;'депозитный калькулятор'!$D$8," ",IF(F739='депозитный калькулятор'!$D$8,IF(AND($F$24='депозитный калькулятор'!$D$8,'депозитный калькулятор'!$G$13="нет"),-G739-IF(I739=" ",0,I739)-IF(AND(OR('депозитный калькулятор'!$G$7="30/365",'депозитный калькулятор'!$G$7="30/360"),'депозитный калькулятор'!$G$10="в начале срока"),I738,0)-L739+M739-N739,-G739-IF(I739=" ",0,I739)-L739+M739-N739),IF('депозитный калькулятор'!$G$13="есть",M739-N739+IF('депозитный калькулятор'!$G$14="есть",0,-L739),-IF(I739=" ",0,I739)-IF(AND(OR('депозитный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срока"),I738,0)+M739-N739+IF('депозитный калькулятор'!$G$14="есть",0,-L739))))</f>
        <v xml:space="preserve"> </v>
      </c>
      <c r="P739" s="147" t="str">
        <f>IF(F739&gt;'депозитный калькулятор'!$D$8," ",IF(EOMONTH(F738,0)=F738,0,IF(G739&gt;='депозитный калькулятор'!$G$19,P738,P738+1)))</f>
        <v xml:space="preserve"> </v>
      </c>
      <c r="Q739" s="138" t="str">
        <f>IF(F739=" "," ",IF(AND(OR('депозитный калькулятор'!$G$7="30/365",'депозитный калькулятор'!$G$7="30/360"),AND(MONTH(F739)=2,EOMONTH(F739,0)=F739)),IF(DAY(F739)=28,3,2),1)*IF(G739&gt;='депозитный калькулятор'!$G$11,IF(AND('депозитный калькулятор'!$G$7="факт/факт",MOD(YEAR(F739),4)=0),G739*'депозитный калькулятор'!$D$11/366,G739*'депозитный калькулятор'!$G$8),0))</f>
        <v xml:space="preserve"> </v>
      </c>
      <c r="R739" s="158"/>
      <c r="S739" s="62" t="str">
        <f t="shared" ca="1" si="57"/>
        <v xml:space="preserve"> </v>
      </c>
      <c r="T739" s="149" t="str">
        <f ca="1">IF(S739=" "," ",IF('депозитный калькулятор'!$G$7="30/360",DAYS360(U738,IF(DAY(U739)=31,U739-1,U739))+IF(AND(MONTH(U739)=2,U739=EOMONTH(U739,0)),30-DAY(EOMONTH(U739,0)))+T738,VLOOKUP(S739,$C$22:$F$1023,2,0)))</f>
        <v xml:space="preserve"> </v>
      </c>
      <c r="U739" s="64" t="str">
        <f t="shared" ca="1" si="55"/>
        <v xml:space="preserve"> </v>
      </c>
      <c r="V739" s="150" t="str">
        <f t="shared" ca="1" si="58"/>
        <v xml:space="preserve"> </v>
      </c>
      <c r="W739" s="62" t="str">
        <f t="shared" ca="1" si="59"/>
        <v xml:space="preserve"> </v>
      </c>
      <c r="X739" s="141" t="str">
        <f ca="1">IF(S739=" "," ",IFERROR(VLOOKUP(U739,$F$23:$N$1023,7)+VLOOKUP(U739,$F$23:$N$1023,9)+IF(AND('депозитный калькулятор'!$G$13="нет",U739&lt;&gt;'депозитный калькулятор'!$D$8),VLOOKUP(U739,$F$23:$N$1023,4),0),0)+IF(U739='депозитный калькулятор'!$D$8,VLOOKUP(U739,$F$23:$N$1023,2)+VLOOKUP(U739,$F$23:$N$1023,4),0))</f>
        <v xml:space="preserve"> </v>
      </c>
      <c r="Y739" s="142" t="str">
        <f ca="1">IF(S739=" "," ",W739/(1+'депозитный калькулятор'!$K$8)^(T739/IF('депозитный калькулятор'!$G$7="30/360",360,365)))</f>
        <v xml:space="preserve"> </v>
      </c>
      <c r="Z739" s="142" t="str">
        <f ca="1">IF(S739=" "," ",X739/(1+'депозитный калькулятор'!$K$8)^(T739/IF('депозитный калькулятор'!$G$7="30/360",360,365)))</f>
        <v xml:space="preserve"> </v>
      </c>
      <c r="AA739" s="151"/>
      <c r="AB739" s="151"/>
      <c r="AC739" s="155"/>
      <c r="AD739" s="155"/>
    </row>
    <row r="740" spans="1:30" s="2" customFormat="1" ht="15.5" x14ac:dyDescent="0.35">
      <c r="A740" s="41" t="str">
        <f>IF(F740=" "," ",IF(OR('депозитный калькулятор'!$G$7="30/365",'депозитный калькулятор'!$G$7="30/360"),IF(AND(MONTH(F740)=2,DAY(F740)=DAY(EOMONTH(F740,0))),30-DAY(EOMONTH(F740,0)),IF(DAY(F740)=31,1," "))," "))</f>
        <v xml:space="preserve"> </v>
      </c>
      <c r="B740" s="130" t="str">
        <f t="shared" si="56"/>
        <v xml:space="preserve"> </v>
      </c>
      <c r="C740" s="130" t="str">
        <f>IF(OR(B740=0,B740=" ")," ",SUM($B$23:B740))</f>
        <v xml:space="preserve"> </v>
      </c>
      <c r="D740" s="62" t="str">
        <f>IF(D739=" "," ",IF(OR(F739='депозитный калькулятор'!$D$8,F739=" ")," ",D739+1))</f>
        <v xml:space="preserve"> </v>
      </c>
      <c r="E740" s="130" t="str">
        <f>IF(OR(F739='депозитный калькулятор'!$D$8,F739=" ")," ",IF(EOMONTH(F739,0)=F739,1,E739+1))</f>
        <v xml:space="preserve"> </v>
      </c>
      <c r="F740" s="64" t="str">
        <f>IF(F739=" "," ",IF(F739='депозитный калькулятор'!$D$8," ",F739+1))</f>
        <v xml:space="preserve"> </v>
      </c>
      <c r="G740" s="145" t="str">
        <f xml:space="preserve"> IF(F740&gt;'депозитный калькулятор'!$D$8," ",IF('депозитный калькулятор'!$G$13="есть",IF('депозитный калькулятор'!$G$14="есть",G739+IF(I739=" ",0,I739)-J740-K740+L740+M740-N740,G739+IF(I739=" ",0,I739)-J740-K740+M740-N740),IF('депозитный калькулятор'!$G$14="есть",G739-J740-K740+L740+M740-N740,G739-J740-K740+M740-N740)))</f>
        <v xml:space="preserve"> </v>
      </c>
      <c r="H740" s="133" t="str">
        <f>IF(F740&gt;'депозитный калькулятор'!$D$8," ",IF(AND(OR('депозитный калькулятор'!$G$7="30/365",'депозитный калькулятор'!$G$7="30/360"),AND(MONTH(F740)=2,EOMONTH(F740,0)=F740)),IF(DAY(F740)=28,3*G740*'депозитный калькулятор'!$G$8,2*G740*'депозитный калькулятор'!$G$8),IF(AND(OR('депозитный калькулятор'!$G$7="30/365",'депозитный калькулятор'!$G$7="30/360"),DAY(F740)=31)," ",IF(AND('депозитный калькулятор'!$G$7="факт/факт",MOD(YEAR(F740),4)=0),G740*'депозитный калькулятор'!$D$11/366,G740*'депозитный калькулятор'!$G$8))))</f>
        <v xml:space="preserve"> </v>
      </c>
      <c r="I740" s="134" t="str">
        <f ca="1">IF(F740=" "," ",IF('депозитный калькулятор'!$G$10="ежедневное",H740,IF(AND('депозитный калькулятор'!$G$10="еженедельное",WEEKDAY(F740,2)=7),SUM(OFFSET(H740,-6,0):H740),IF(AND('депозитный калькулятор'!$G$10="еженедельное",F740='депозитный калькулятор'!$D$8),SUM($H$23:H740)-SUM($I$23:I739),IF(AND('депозитный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недели",WEEKDAY(F740,2)=7),MIN(OFFSET(H740,-6,0):H740)*(COUNTIF(OFFSET(H740,-6,0):H740,"&gt;0")+SUMIF(OFFSET(A740,-WEEKDAY(F740,2),0):A740,"=2",OFFSET(A740,-WEEKDAY(F740,2),0):A740)),IF(AND('депозитный калькулятор'!$G$10="еженедельное, на минимальную сумму зафиксированную в течение недели",F740='депозитный калькулятор'!$D$8,WEEKDAY(F740,2)&lt;&gt;7),MIN(OFFSET(H740,-WEEKDAY(F740,2),0):H740)*(COUNTIF(OFFSET(H740,-WEEKDAY(F740,2)+1,0):H740,"&gt;0")+SUM(OFFSET(A740,-WEEKDAY(F740,2),0):A740)),IF(AND('депозитный калькулятор'!$G$10="ежемесячное (в конце месяца)",F740='депозитный калькулятор'!$D$8,EOMONTH(F740,0)&lt;&gt;F740),IF('депозитный калькулятор'!$F$1=1,$H$24,SUM($H$23:H740)-SUM($I$23:I739)),IF(AND('депозитный калькулятор'!$G$10="ежемесячное (в конце месяца)",EOMONTH(F740,0)=F740),SUM($H$23:H740)-SUM($I$23:I739),IF(AND('депозитный калькулятор'!$G$10="ежемесячное (по дням открытия вклада)",F740='депозитный калькулятор'!$D$8,DAY('депозитный калькулятор'!$D$7)&lt;&gt;DAY(F740)),IF('депозитный калькулятор'!$F$1=1,$H$24,SUM($H$23:H740)-SUM($I$23:I739)),IF(AND('депозитный калькулятор'!$G$10="ежемесячное (по дням открытия вклада)",DAY('депозитный калькулятор'!$D$7)=DAY(F740)),SUM($H$23:H740)-SUM($I$23:I739),IF(AND('депозитный калькулятор'!$G$10="ежемесячное, на минимальную сумму зафиксированную в течение месяца",F740='депозитный калькулятор'!$D$8,EOMONTH(F740,0)&lt;&gt;F740),IF('депозитный калькулятор'!$F$1=1,$H$24,IF(AND(OR('депозитный калькулятор'!$G$7="30/365",'депозитный калькулятор'!$G$7="30/360"),DAY(F740)=31),0,MIN(OFFSET(H740,-E740+1,0):H740)*(E740+SUMIF(OFFSET(A740,-E740+1,0):A740,"=2",OFFSET(A740,-E740+1,0):A740)))),IF(AND('депозитный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калькулятор'!$G$7="30/360"),DAY(EOMONTH(F740,0))=31),EOMONTH(F740,0)-1=F740,EOMONTH(F740,0)=F740)),IF(IF(AND(OR('депозитный калькулятор'!$G$7="30/365",'депозитный калькулятор'!$G$7="30/360"),DAY(EOMONTH($F$23,0))=31),F740=EOMONTH($F$23,0)-1,F740=EOMONTH($F$23,0)),MIN(OFFSET(H740,-(DAY(F740)-DAY($F$23)),0):H740)*E740,MIN(OFFSET(H740,-(DAY(F740)-1),0):H740)*IF(AND(OR('депозитный калькулятор'!$G$7="30/365",'депозитный калькулятор'!$G$7="30/360"),DAY(F740)&lt;30),30,DAY(F740))),IF(AND('депозитный калькулятор'!$G$10="ежемесячное, на средний остаток в течение месяца, при условии что остаток больше чем ограничение",F740='депозитный калькулятор'!$D$8,EOMONTH(F740,0)&lt;&gt;F740),IF('депозитный калькулятор'!$F$1=1,$H$24,SUM(OFFSET(Q740,-E740+1,0):Q740)),IF(AND('депозитный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калькулятор'!$G$7="30/360"),DAY(EOMONTH(F740,0))=31),EOMONTH(F740,0)-1=F740,EOMONTH(F740,0)=F740)),IF(IF(AND(OR('депозитный калькулятор'!$G$7="30/365",'депозитный калькулятор'!$G$7="30/360"),DAY(EOMONTH($F$24,0))=31),F740=EOMONTH($F$24,0)-1,F740=EOMONTH($F$24,0)),SUM(OFFSET(Q740,-E740+1,0):Q740),SUM(OFFSET(Q740,-E740+1,0):Q740)),IF('депозитный калькулятор'!$G$10="ежеквартальное",IF(F740&gt;'депозитный калькулятор'!$D$8," ",IF(AND(EOMONTH(F740,0)=F740,OR(MONTH(F740)=3,MONTH(F740)=6,MONTH(F740)=9,MONTH(F740)=12)),IF(EDATE(F740,-3)&lt;'депозитный калькулятор'!$D$7,SUM($H$23:H740),IF(MOD(YEAR(F740),4)=0,IF(AND(EOMONTH(F740,0)=F740,OR(MONTH(F740)=3,MONTH(F740)=6)),SUM(OFFSET(H740,-90,0):H740),IF(AND(EOMONTH(F740,0)=F740,OR(MONTH(F740)=9,MONTH(F740)=12)),SUM(OFFSET(H740,-91,0):H740))),IF(AND(EOMONTH(F740,0)=F740,MONTH(F740)=3),SUM(OFFSET(H740,-89,0):H740),IF(AND(EOMONTH(F740,0)=F740,MONTH(F740)=6),SUM(OFFSET(H740,-90,0):H740),IF(AND(EOMONTH(F740,0)=F740,OR(MONTH(F740)=9,MONTH(F740)=12)),SUM(OFFSET(H740,-91,0):H740)))))),IF(F740='депозитный калькулятор'!$D$8,SUM($H$23:H740)-SUM($I$23:I739),0))),IF('депозитный калькулятор'!$G$10="ежегодное",IF(F740&gt;'депозитный калькулятор'!$D$8," ",IF(F740='депозитный калькулятор'!$D$8,SUM($H$23:H740)-SUM($I$23:I739),IF(AND(EOMONTH(F740,0)=F740,MONTH(F740)=12),IF(MOD(YEAR(F739),4)=0,IF(F740-'депозитный калькулятор'!$D$7&lt;366,SUM($H$23:H740),SUM(OFFSET(H740,-365,0):H740)),IF(F740-'депозитный калькулятор'!$D$7&lt;365,SUM($H$23:H740),SUM(OFFSET(H740,-364,0):H740))),0))),IF(AND('депозитный калькулятор'!$G$10="в конце срока",'депозитный калькулятор'!$D$8=F740),SUM($H$23:H740),0))))))))))))))))))</f>
        <v xml:space="preserve"> </v>
      </c>
      <c r="J740" s="59" t="str">
        <f>IF(F740&gt;'депозитный калькулятор'!$D$8," ",IF('депозитный калькулятор'!$G$16="нет",0,IF(AND('депозитный калькулятор'!$G$17="разовая (в конце срока)",F740='депозитный калькулятор'!$D$8),'депозитный калькулятор'!$G$18,IF(AND('депозитный калькулятор'!$G$17="ежемесячная",EOMONTH(F739,0)=F739),'депозитный калькулятор'!$G$18,IF(AND('депозитный калькулятор'!$G$17="ежегодная",DAY(F739)=31,MONTH(F739)=12),'депозитный калькулятор'!$G$18,IF(AND('депозитный калькулятор'!$G$17="ежемесячная в зависимости от остатка",EOMONTH(F739,0)=F739,P739&gt;0),'депозитный калькулятор'!$G$18,IF(AND('депозитный калькулятор'!$G$17="ежегодная в зависимости от остатка",DAY(F739)=31,MONTH(F739)=12,P739&gt;0),'депозитный калькулятор'!$G$18,0)))))))</f>
        <v xml:space="preserve"> </v>
      </c>
      <c r="K740" s="135" t="str">
        <f>IF($F740=" "," ",IFERROR(VLOOKUP($F740,'депозитный калькулятор'!$B$26:$F$70,2,0),0))</f>
        <v xml:space="preserve"> </v>
      </c>
      <c r="L740" s="135" t="str">
        <f>IF($F740=" "," ",IFERROR(VLOOKUP($F740,'депозитный калькулятор'!$B$26:$F$70,3,0),0))</f>
        <v xml:space="preserve"> </v>
      </c>
      <c r="M740" s="135" t="str">
        <f>IF($F740=" "," ",IFERROR(VLOOKUP($F740,'депозитный калькулятор'!$B$26:$F$70,4,0),0))</f>
        <v xml:space="preserve"> </v>
      </c>
      <c r="N740" s="135" t="str">
        <f>IF($F740=" "," ",IFERROR(VLOOKUP($F740,'депозитный калькулятор'!$B$26:$F$70,5,0),0))</f>
        <v xml:space="preserve"> </v>
      </c>
      <c r="O740" s="146" t="str">
        <f>IF(F740&gt;'депозитный калькулятор'!$D$8," ",IF(F740='депозитный калькулятор'!$D$8,IF(AND($F$24='депозитный калькулятор'!$D$8,'депозитный калькулятор'!$G$13="нет"),-G740-IF(I740=" ",0,I740)-IF(AND(OR('депозитный калькулятор'!$G$7="30/365",'депозитный калькулятор'!$G$7="30/360"),'депозитный калькулятор'!$G$10="в начале срока"),I739,0)-L740+M740-N740,-G740-IF(I740=" ",0,I740)-L740+M740-N740),IF('депозитный калькулятор'!$G$13="есть",M740-N740+IF('депозитный калькулятор'!$G$14="есть",0,-L740),-IF(I740=" ",0,I740)-IF(AND(OR('депозитный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срока"),I739,0)+M740-N740+IF('депозитный калькулятор'!$G$14="есть",0,-L740))))</f>
        <v xml:space="preserve"> </v>
      </c>
      <c r="P740" s="147" t="str">
        <f>IF(F740&gt;'депозитный калькулятор'!$D$8," ",IF(EOMONTH(F739,0)=F739,0,IF(G740&gt;='депозитный калькулятор'!$G$19,P739,P739+1)))</f>
        <v xml:space="preserve"> </v>
      </c>
      <c r="Q740" s="138" t="str">
        <f>IF(F740=" "," ",IF(AND(OR('депозитный калькулятор'!$G$7="30/365",'депозитный калькулятор'!$G$7="30/360"),AND(MONTH(F740)=2,EOMONTH(F740,0)=F740)),IF(DAY(F740)=28,3,2),1)*IF(G740&gt;='депозитный калькулятор'!$G$11,IF(AND('депозитный калькулятор'!$G$7="факт/факт",MOD(YEAR(F740),4)=0),G740*'депозитный калькулятор'!$D$11/366,G740*'депозитный калькулятор'!$G$8),0))</f>
        <v xml:space="preserve"> </v>
      </c>
      <c r="R740" s="158"/>
      <c r="S740" s="62" t="str">
        <f t="shared" ca="1" si="57"/>
        <v xml:space="preserve"> </v>
      </c>
      <c r="T740" s="149" t="str">
        <f ca="1">IF(S740=" "," ",IF('депозитный калькулятор'!$G$7="30/360",DAYS360(U739,IF(DAY(U740)=31,U740-1,U740))+IF(AND(MONTH(U740)=2,U740=EOMONTH(U740,0)),30-DAY(EOMONTH(U740,0)))+T739,VLOOKUP(S740,$C$22:$F$1023,2,0)))</f>
        <v xml:space="preserve"> </v>
      </c>
      <c r="U740" s="64" t="str">
        <f t="shared" ca="1" si="55"/>
        <v xml:space="preserve"> </v>
      </c>
      <c r="V740" s="150" t="str">
        <f t="shared" ca="1" si="58"/>
        <v xml:space="preserve"> </v>
      </c>
      <c r="W740" s="62" t="str">
        <f t="shared" ca="1" si="59"/>
        <v xml:space="preserve"> </v>
      </c>
      <c r="X740" s="141" t="str">
        <f ca="1">IF(S740=" "," ",IFERROR(VLOOKUP(U740,$F$23:$N$1023,7)+VLOOKUP(U740,$F$23:$N$1023,9)+IF(AND('депозитный калькулятор'!$G$13="нет",U740&lt;&gt;'депозитный калькулятор'!$D$8),VLOOKUP(U740,$F$23:$N$1023,4),0),0)+IF(U740='депозитный калькулятор'!$D$8,VLOOKUP(U740,$F$23:$N$1023,2)+VLOOKUP(U740,$F$23:$N$1023,4),0))</f>
        <v xml:space="preserve"> </v>
      </c>
      <c r="Y740" s="142" t="str">
        <f ca="1">IF(S740=" "," ",W740/(1+'депозитный калькулятор'!$K$8)^(T740/IF('депозитный калькулятор'!$G$7="30/360",360,365)))</f>
        <v xml:space="preserve"> </v>
      </c>
      <c r="Z740" s="142" t="str">
        <f ca="1">IF(S740=" "," ",X740/(1+'депозитный калькулятор'!$K$8)^(T740/IF('депозитный калькулятор'!$G$7="30/360",360,365)))</f>
        <v xml:space="preserve"> </v>
      </c>
      <c r="AA740" s="151"/>
      <c r="AB740" s="151"/>
      <c r="AC740" s="155"/>
      <c r="AD740" s="155"/>
    </row>
    <row r="741" spans="1:30" s="2" customFormat="1" ht="15.5" x14ac:dyDescent="0.35">
      <c r="A741" s="41" t="str">
        <f>IF(F741=" "," ",IF(OR('депозитный калькулятор'!$G$7="30/365",'депозитный калькулятор'!$G$7="30/360"),IF(AND(MONTH(F741)=2,DAY(F741)=DAY(EOMONTH(F741,0))),30-DAY(EOMONTH(F741,0)),IF(DAY(F741)=31,1," "))," "))</f>
        <v xml:space="preserve"> </v>
      </c>
      <c r="B741" s="130" t="str">
        <f t="shared" si="56"/>
        <v xml:space="preserve"> </v>
      </c>
      <c r="C741" s="130" t="str">
        <f>IF(OR(B741=0,B741=" ")," ",SUM($B$23:B741))</f>
        <v xml:space="preserve"> </v>
      </c>
      <c r="D741" s="62" t="str">
        <f>IF(D740=" "," ",IF(OR(F740='депозитный калькулятор'!$D$8,F740=" ")," ",D740+1))</f>
        <v xml:space="preserve"> </v>
      </c>
      <c r="E741" s="130" t="str">
        <f>IF(OR(F740='депозитный калькулятор'!$D$8,F740=" ")," ",IF(EOMONTH(F740,0)=F740,1,E740+1))</f>
        <v xml:space="preserve"> </v>
      </c>
      <c r="F741" s="64" t="str">
        <f>IF(F740=" "," ",IF(F740='депозитный калькулятор'!$D$8," ",F740+1))</f>
        <v xml:space="preserve"> </v>
      </c>
      <c r="G741" s="145" t="str">
        <f xml:space="preserve"> IF(F741&gt;'депозитный калькулятор'!$D$8," ",IF('депозитный калькулятор'!$G$13="есть",IF('депозитный калькулятор'!$G$14="есть",G740+IF(I740=" ",0,I740)-J741-K741+L741+M741-N741,G740+IF(I740=" ",0,I740)-J741-K741+M741-N741),IF('депозитный калькулятор'!$G$14="есть",G740-J741-K741+L741+M741-N741,G740-J741-K741+M741-N741)))</f>
        <v xml:space="preserve"> </v>
      </c>
      <c r="H741" s="133" t="str">
        <f>IF(F741&gt;'депозитный калькулятор'!$D$8," ",IF(AND(OR('депозитный калькулятор'!$G$7="30/365",'депозитный калькулятор'!$G$7="30/360"),AND(MONTH(F741)=2,EOMONTH(F741,0)=F741)),IF(DAY(F741)=28,3*G741*'депозитный калькулятор'!$G$8,2*G741*'депозитный калькулятор'!$G$8),IF(AND(OR('депозитный калькулятор'!$G$7="30/365",'депозитный калькулятор'!$G$7="30/360"),DAY(F741)=31)," ",IF(AND('депозитный калькулятор'!$G$7="факт/факт",MOD(YEAR(F741),4)=0),G741*'депозитный калькулятор'!$D$11/366,G741*'депозитный калькулятор'!$G$8))))</f>
        <v xml:space="preserve"> </v>
      </c>
      <c r="I741" s="134" t="str">
        <f ca="1">IF(F741=" "," ",IF('депозитный калькулятор'!$G$10="ежедневное",H741,IF(AND('депозитный калькулятор'!$G$10="еженедельное",WEEKDAY(F741,2)=7),SUM(OFFSET(H741,-6,0):H741),IF(AND('депозитный калькулятор'!$G$10="еженедельное",F741='депозитный калькулятор'!$D$8),SUM($H$23:H741)-SUM($I$23:I740),IF(AND('депозитный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недели",WEEKDAY(F741,2)=7),MIN(OFFSET(H741,-6,0):H741)*(COUNTIF(OFFSET(H741,-6,0):H741,"&gt;0")+SUMIF(OFFSET(A741,-WEEKDAY(F741,2),0):A741,"=2",OFFSET(A741,-WEEKDAY(F741,2),0):A741)),IF(AND('депозитный калькулятор'!$G$10="еженедельное, на минимальную сумму зафиксированную в течение недели",F741='депозитный калькулятор'!$D$8,WEEKDAY(F741,2)&lt;&gt;7),MIN(OFFSET(H741,-WEEKDAY(F741,2),0):H741)*(COUNTIF(OFFSET(H741,-WEEKDAY(F741,2)+1,0):H741,"&gt;0")+SUM(OFFSET(A741,-WEEKDAY(F741,2),0):A741)),IF(AND('депозитный калькулятор'!$G$10="ежемесячное (в конце месяца)",F741='депозитный калькулятор'!$D$8,EOMONTH(F741,0)&lt;&gt;F741),IF('депозитный калькулятор'!$F$1=1,$H$24,SUM($H$23:H741)-SUM($I$23:I740)),IF(AND('депозитный калькулятор'!$G$10="ежемесячное (в конце месяца)",EOMONTH(F741,0)=F741),SUM($H$23:H741)-SUM($I$23:I740),IF(AND('депозитный калькулятор'!$G$10="ежемесячное (по дням открытия вклада)",F741='депозитный калькулятор'!$D$8,DAY('депозитный калькулятор'!$D$7)&lt;&gt;DAY(F741)),IF('депозитный калькулятор'!$F$1=1,$H$24,SUM($H$23:H741)-SUM($I$23:I740)),IF(AND('депозитный калькулятор'!$G$10="ежемесячное (по дням открытия вклада)",DAY('депозитный калькулятор'!$D$7)=DAY(F741)),SUM($H$23:H741)-SUM($I$23:I740),IF(AND('депозитный калькулятор'!$G$10="ежемесячное, на минимальную сумму зафиксированную в течение месяца",F741='депозитный калькулятор'!$D$8,EOMONTH(F741,0)&lt;&gt;F741),IF('депозитный калькулятор'!$F$1=1,$H$24,IF(AND(OR('депозитный калькулятор'!$G$7="30/365",'депозитный калькулятор'!$G$7="30/360"),DAY(F741)=31),0,MIN(OFFSET(H741,-E741+1,0):H741)*(E741+SUMIF(OFFSET(A741,-E741+1,0):A741,"=2",OFFSET(A741,-E741+1,0):A741)))),IF(AND('депозитный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калькулятор'!$G$7="30/360"),DAY(EOMONTH(F741,0))=31),EOMONTH(F741,0)-1=F741,EOMONTH(F741,0)=F741)),IF(IF(AND(OR('депозитный калькулятор'!$G$7="30/365",'депозитный калькулятор'!$G$7="30/360"),DAY(EOMONTH($F$23,0))=31),F741=EOMONTH($F$23,0)-1,F741=EOMONTH($F$23,0)),MIN(OFFSET(H741,-(DAY(F741)-DAY($F$23)),0):H741)*E741,MIN(OFFSET(H741,-(DAY(F741)-1),0):H741)*IF(AND(OR('депозитный калькулятор'!$G$7="30/365",'депозитный калькулятор'!$G$7="30/360"),DAY(F741)&lt;30),30,DAY(F741))),IF(AND('депозитный калькулятор'!$G$10="ежемесячное, на средний остаток в течение месяца, при условии что остаток больше чем ограничение",F741='депозитный калькулятор'!$D$8,EOMONTH(F741,0)&lt;&gt;F741),IF('депозитный калькулятор'!$F$1=1,$H$24,SUM(OFFSET(Q741,-E741+1,0):Q741)),IF(AND('депозитный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калькулятор'!$G$7="30/360"),DAY(EOMONTH(F741,0))=31),EOMONTH(F741,0)-1=F741,EOMONTH(F741,0)=F741)),IF(IF(AND(OR('депозитный калькулятор'!$G$7="30/365",'депозитный калькулятор'!$G$7="30/360"),DAY(EOMONTH($F$24,0))=31),F741=EOMONTH($F$24,0)-1,F741=EOMONTH($F$24,0)),SUM(OFFSET(Q741,-E741+1,0):Q741),SUM(OFFSET(Q741,-E741+1,0):Q741)),IF('депозитный калькулятор'!$G$10="ежеквартальное",IF(F741&gt;'депозитный калькулятор'!$D$8," ",IF(AND(EOMONTH(F741,0)=F741,OR(MONTH(F741)=3,MONTH(F741)=6,MONTH(F741)=9,MONTH(F741)=12)),IF(EDATE(F741,-3)&lt;'депозитный калькулятор'!$D$7,SUM($H$23:H741),IF(MOD(YEAR(F741),4)=0,IF(AND(EOMONTH(F741,0)=F741,OR(MONTH(F741)=3,MONTH(F741)=6)),SUM(OFFSET(H741,-90,0):H741),IF(AND(EOMONTH(F741,0)=F741,OR(MONTH(F741)=9,MONTH(F741)=12)),SUM(OFFSET(H741,-91,0):H741))),IF(AND(EOMONTH(F741,0)=F741,MONTH(F741)=3),SUM(OFFSET(H741,-89,0):H741),IF(AND(EOMONTH(F741,0)=F741,MONTH(F741)=6),SUM(OFFSET(H741,-90,0):H741),IF(AND(EOMONTH(F741,0)=F741,OR(MONTH(F741)=9,MONTH(F741)=12)),SUM(OFFSET(H741,-91,0):H741)))))),IF(F741='депозитный калькулятор'!$D$8,SUM($H$23:H741)-SUM($I$23:I740),0))),IF('депозитный калькулятор'!$G$10="ежегодное",IF(F741&gt;'депозитный калькулятор'!$D$8," ",IF(F741='депозитный калькулятор'!$D$8,SUM($H$23:H741)-SUM($I$23:I740),IF(AND(EOMONTH(F741,0)=F741,MONTH(F741)=12),IF(MOD(YEAR(F740),4)=0,IF(F741-'депозитный калькулятор'!$D$7&lt;366,SUM($H$23:H741),SUM(OFFSET(H741,-365,0):H741)),IF(F741-'депозитный калькулятор'!$D$7&lt;365,SUM($H$23:H741),SUM(OFFSET(H741,-364,0):H741))),0))),IF(AND('депозитный калькулятор'!$G$10="в конце срока",'депозитный калькулятор'!$D$8=F741),SUM($H$23:H741),0))))))))))))))))))</f>
        <v xml:space="preserve"> </v>
      </c>
      <c r="J741" s="59" t="str">
        <f>IF(F741&gt;'депозитный калькулятор'!$D$8," ",IF('депозитный калькулятор'!$G$16="нет",0,IF(AND('депозитный калькулятор'!$G$17="разовая (в конце срока)",F741='депозитный калькулятор'!$D$8),'депозитный калькулятор'!$G$18,IF(AND('депозитный калькулятор'!$G$17="ежемесячная",EOMONTH(F740,0)=F740),'депозитный калькулятор'!$G$18,IF(AND('депозитный калькулятор'!$G$17="ежегодная",DAY(F740)=31,MONTH(F740)=12),'депозитный калькулятор'!$G$18,IF(AND('депозитный калькулятор'!$G$17="ежемесячная в зависимости от остатка",EOMONTH(F740,0)=F740,P740&gt;0),'депозитный калькулятор'!$G$18,IF(AND('депозитный калькулятор'!$G$17="ежегодная в зависимости от остатка",DAY(F740)=31,MONTH(F740)=12,P740&gt;0),'депозитный калькулятор'!$G$18,0)))))))</f>
        <v xml:space="preserve"> </v>
      </c>
      <c r="K741" s="135" t="str">
        <f>IF($F741=" "," ",IFERROR(VLOOKUP($F741,'депозитный калькулятор'!$B$26:$F$70,2,0),0))</f>
        <v xml:space="preserve"> </v>
      </c>
      <c r="L741" s="135" t="str">
        <f>IF($F741=" "," ",IFERROR(VLOOKUP($F741,'депозитный калькулятор'!$B$26:$F$70,3,0),0))</f>
        <v xml:space="preserve"> </v>
      </c>
      <c r="M741" s="135" t="str">
        <f>IF($F741=" "," ",IFERROR(VLOOKUP($F741,'депозитный калькулятор'!$B$26:$F$70,4,0),0))</f>
        <v xml:space="preserve"> </v>
      </c>
      <c r="N741" s="135" t="str">
        <f>IF($F741=" "," ",IFERROR(VLOOKUP($F741,'депозитный калькулятор'!$B$26:$F$70,5,0),0))</f>
        <v xml:space="preserve"> </v>
      </c>
      <c r="O741" s="146" t="str">
        <f>IF(F741&gt;'депозитный калькулятор'!$D$8," ",IF(F741='депозитный калькулятор'!$D$8,IF(AND($F$24='депозитный калькулятор'!$D$8,'депозитный калькулятор'!$G$13="нет"),-G741-IF(I741=" ",0,I741)-IF(AND(OR('депозитный калькулятор'!$G$7="30/365",'депозитный калькулятор'!$G$7="30/360"),'депозитный калькулятор'!$G$10="в начале срока"),I740,0)-L741+M741-N741,-G741-IF(I741=" ",0,I741)-L741+M741-N741),IF('депозитный калькулятор'!$G$13="есть",M741-N741+IF('депозитный калькулятор'!$G$14="есть",0,-L741),-IF(I741=" ",0,I741)-IF(AND(OR('депозитный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срока"),I740,0)+M741-N741+IF('депозитный калькулятор'!$G$14="есть",0,-L741))))</f>
        <v xml:space="preserve"> </v>
      </c>
      <c r="P741" s="147" t="str">
        <f>IF(F741&gt;'депозитный калькулятор'!$D$8," ",IF(EOMONTH(F740,0)=F740,0,IF(G741&gt;='депозитный калькулятор'!$G$19,P740,P740+1)))</f>
        <v xml:space="preserve"> </v>
      </c>
      <c r="Q741" s="138" t="str">
        <f>IF(F741=" "," ",IF(AND(OR('депозитный калькулятор'!$G$7="30/365",'депозитный калькулятор'!$G$7="30/360"),AND(MONTH(F741)=2,EOMONTH(F741,0)=F741)),IF(DAY(F741)=28,3,2),1)*IF(G741&gt;='депозитный калькулятор'!$G$11,IF(AND('депозитный калькулятор'!$G$7="факт/факт",MOD(YEAR(F741),4)=0),G741*'депозитный калькулятор'!$D$11/366,G741*'депозитный калькулятор'!$G$8),0))</f>
        <v xml:space="preserve"> </v>
      </c>
      <c r="R741" s="158"/>
      <c r="S741" s="62" t="str">
        <f t="shared" ca="1" si="57"/>
        <v xml:space="preserve"> </v>
      </c>
      <c r="T741" s="149" t="str">
        <f ca="1">IF(S741=" "," ",IF('депозитный калькулятор'!$G$7="30/360",DAYS360(U740,IF(DAY(U741)=31,U741-1,U741))+IF(AND(MONTH(U741)=2,U741=EOMONTH(U741,0)),30-DAY(EOMONTH(U741,0)))+T740,VLOOKUP(S741,$C$22:$F$1023,2,0)))</f>
        <v xml:space="preserve"> </v>
      </c>
      <c r="U741" s="64" t="str">
        <f t="shared" ca="1" si="55"/>
        <v xml:space="preserve"> </v>
      </c>
      <c r="V741" s="150" t="str">
        <f t="shared" ca="1" si="58"/>
        <v xml:space="preserve"> </v>
      </c>
      <c r="W741" s="62" t="str">
        <f t="shared" ca="1" si="59"/>
        <v xml:space="preserve"> </v>
      </c>
      <c r="X741" s="141" t="str">
        <f ca="1">IF(S741=" "," ",IFERROR(VLOOKUP(U741,$F$23:$N$1023,7)+VLOOKUP(U741,$F$23:$N$1023,9)+IF(AND('депозитный калькулятор'!$G$13="нет",U741&lt;&gt;'депозитный калькулятор'!$D$8),VLOOKUP(U741,$F$23:$N$1023,4),0),0)+IF(U741='депозитный калькулятор'!$D$8,VLOOKUP(U741,$F$23:$N$1023,2)+VLOOKUP(U741,$F$23:$N$1023,4),0))</f>
        <v xml:space="preserve"> </v>
      </c>
      <c r="Y741" s="142" t="str">
        <f ca="1">IF(S741=" "," ",W741/(1+'депозитный калькулятор'!$K$8)^(T741/IF('депозитный калькулятор'!$G$7="30/360",360,365)))</f>
        <v xml:space="preserve"> </v>
      </c>
      <c r="Z741" s="142" t="str">
        <f ca="1">IF(S741=" "," ",X741/(1+'депозитный калькулятор'!$K$8)^(T741/IF('депозитный калькулятор'!$G$7="30/360",360,365)))</f>
        <v xml:space="preserve"> </v>
      </c>
      <c r="AA741" s="151"/>
      <c r="AB741" s="151"/>
      <c r="AC741" s="155"/>
      <c r="AD741" s="155"/>
    </row>
    <row r="742" spans="1:30" s="2" customFormat="1" ht="15.5" x14ac:dyDescent="0.35">
      <c r="A742" s="41" t="str">
        <f>IF(F742=" "," ",IF(OR('депозитный калькулятор'!$G$7="30/365",'депозитный калькулятор'!$G$7="30/360"),IF(AND(MONTH(F742)=2,DAY(F742)=DAY(EOMONTH(F742,0))),30-DAY(EOMONTH(F742,0)),IF(DAY(F742)=31,1," "))," "))</f>
        <v xml:space="preserve"> </v>
      </c>
      <c r="B742" s="130" t="str">
        <f t="shared" si="56"/>
        <v xml:space="preserve"> </v>
      </c>
      <c r="C742" s="130" t="str">
        <f>IF(OR(B742=0,B742=" ")," ",SUM($B$23:B742))</f>
        <v xml:space="preserve"> </v>
      </c>
      <c r="D742" s="62" t="str">
        <f>IF(D741=" "," ",IF(OR(F741='депозитный калькулятор'!$D$8,F741=" ")," ",D741+1))</f>
        <v xml:space="preserve"> </v>
      </c>
      <c r="E742" s="130" t="str">
        <f>IF(OR(F741='депозитный калькулятор'!$D$8,F741=" ")," ",IF(EOMONTH(F741,0)=F741,1,E741+1))</f>
        <v xml:space="preserve"> </v>
      </c>
      <c r="F742" s="64" t="str">
        <f>IF(F741=" "," ",IF(F741='депозитный калькулятор'!$D$8," ",F741+1))</f>
        <v xml:space="preserve"> </v>
      </c>
      <c r="G742" s="145" t="str">
        <f xml:space="preserve"> IF(F742&gt;'депозитный калькулятор'!$D$8," ",IF('депозитный калькулятор'!$G$13="есть",IF('депозитный калькулятор'!$G$14="есть",G741+IF(I741=" ",0,I741)-J742-K742+L742+M742-N742,G741+IF(I741=" ",0,I741)-J742-K742+M742-N742),IF('депозитный калькулятор'!$G$14="есть",G741-J742-K742+L742+M742-N742,G741-J742-K742+M742-N742)))</f>
        <v xml:space="preserve"> </v>
      </c>
      <c r="H742" s="133" t="str">
        <f>IF(F742&gt;'депозитный калькулятор'!$D$8," ",IF(AND(OR('депозитный калькулятор'!$G$7="30/365",'депозитный калькулятор'!$G$7="30/360"),AND(MONTH(F742)=2,EOMONTH(F742,0)=F742)),IF(DAY(F742)=28,3*G742*'депозитный калькулятор'!$G$8,2*G742*'депозитный калькулятор'!$G$8),IF(AND(OR('депозитный калькулятор'!$G$7="30/365",'депозитный калькулятор'!$G$7="30/360"),DAY(F742)=31)," ",IF(AND('депозитный калькулятор'!$G$7="факт/факт",MOD(YEAR(F742),4)=0),G742*'депозитный калькулятор'!$D$11/366,G742*'депозитный калькулятор'!$G$8))))</f>
        <v xml:space="preserve"> </v>
      </c>
      <c r="I742" s="134" t="str">
        <f ca="1">IF(F742=" "," ",IF('депозитный калькулятор'!$G$10="ежедневное",H742,IF(AND('депозитный калькулятор'!$G$10="еженедельное",WEEKDAY(F742,2)=7),SUM(OFFSET(H742,-6,0):H742),IF(AND('депозитный калькулятор'!$G$10="еженедельное",F742='депозитный калькулятор'!$D$8),SUM($H$23:H742)-SUM($I$23:I741),IF(AND('депозитный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недели",WEEKDAY(F742,2)=7),MIN(OFFSET(H742,-6,0):H742)*(COUNTIF(OFFSET(H742,-6,0):H742,"&gt;0")+SUMIF(OFFSET(A742,-WEEKDAY(F742,2),0):A742,"=2",OFFSET(A742,-WEEKDAY(F742,2),0):A742)),IF(AND('депозитный калькулятор'!$G$10="еженедельное, на минимальную сумму зафиксированную в течение недели",F742='депозитный калькулятор'!$D$8,WEEKDAY(F742,2)&lt;&gt;7),MIN(OFFSET(H742,-WEEKDAY(F742,2),0):H742)*(COUNTIF(OFFSET(H742,-WEEKDAY(F742,2)+1,0):H742,"&gt;0")+SUM(OFFSET(A742,-WEEKDAY(F742,2),0):A742)),IF(AND('депозитный калькулятор'!$G$10="ежемесячное (в конце месяца)",F742='депозитный калькулятор'!$D$8,EOMONTH(F742,0)&lt;&gt;F742),IF('депозитный калькулятор'!$F$1=1,$H$24,SUM($H$23:H742)-SUM($I$23:I741)),IF(AND('депозитный калькулятор'!$G$10="ежемесячное (в конце месяца)",EOMONTH(F742,0)=F742),SUM($H$23:H742)-SUM($I$23:I741),IF(AND('депозитный калькулятор'!$G$10="ежемесячное (по дням открытия вклада)",F742='депозитный калькулятор'!$D$8,DAY('депозитный калькулятор'!$D$7)&lt;&gt;DAY(F742)),IF('депозитный калькулятор'!$F$1=1,$H$24,SUM($H$23:H742)-SUM($I$23:I741)),IF(AND('депозитный калькулятор'!$G$10="ежемесячное (по дням открытия вклада)",DAY('депозитный калькулятор'!$D$7)=DAY(F742)),SUM($H$23:H742)-SUM($I$23:I741),IF(AND('депозитный калькулятор'!$G$10="ежемесячное, на минимальную сумму зафиксированную в течение месяца",F742='депозитный калькулятор'!$D$8,EOMONTH(F742,0)&lt;&gt;F742),IF('депозитный калькулятор'!$F$1=1,$H$24,IF(AND(OR('депозитный калькулятор'!$G$7="30/365",'депозитный калькулятор'!$G$7="30/360"),DAY(F742)=31),0,MIN(OFFSET(H742,-E742+1,0):H742)*(E742+SUMIF(OFFSET(A742,-E742+1,0):A742,"=2",OFFSET(A742,-E742+1,0):A742)))),IF(AND('депозитный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калькулятор'!$G$7="30/360"),DAY(EOMONTH(F742,0))=31),EOMONTH(F742,0)-1=F742,EOMONTH(F742,0)=F742)),IF(IF(AND(OR('депозитный калькулятор'!$G$7="30/365",'депозитный калькулятор'!$G$7="30/360"),DAY(EOMONTH($F$23,0))=31),F742=EOMONTH($F$23,0)-1,F742=EOMONTH($F$23,0)),MIN(OFFSET(H742,-(DAY(F742)-DAY($F$23)),0):H742)*E742,MIN(OFFSET(H742,-(DAY(F742)-1),0):H742)*IF(AND(OR('депозитный калькулятор'!$G$7="30/365",'депозитный калькулятор'!$G$7="30/360"),DAY(F742)&lt;30),30,DAY(F742))),IF(AND('депозитный калькулятор'!$G$10="ежемесячное, на средний остаток в течение месяца, при условии что остаток больше чем ограничение",F742='депозитный калькулятор'!$D$8,EOMONTH(F742,0)&lt;&gt;F742),IF('депозитный калькулятор'!$F$1=1,$H$24,SUM(OFFSET(Q742,-E742+1,0):Q742)),IF(AND('депозитный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калькулятор'!$G$7="30/360"),DAY(EOMONTH(F742,0))=31),EOMONTH(F742,0)-1=F742,EOMONTH(F742,0)=F742)),IF(IF(AND(OR('депозитный калькулятор'!$G$7="30/365",'депозитный калькулятор'!$G$7="30/360"),DAY(EOMONTH($F$24,0))=31),F742=EOMONTH($F$24,0)-1,F742=EOMONTH($F$24,0)),SUM(OFFSET(Q742,-E742+1,0):Q742),SUM(OFFSET(Q742,-E742+1,0):Q742)),IF('депозитный калькулятор'!$G$10="ежеквартальное",IF(F742&gt;'депозитный калькулятор'!$D$8," ",IF(AND(EOMONTH(F742,0)=F742,OR(MONTH(F742)=3,MONTH(F742)=6,MONTH(F742)=9,MONTH(F742)=12)),IF(EDATE(F742,-3)&lt;'депозитный калькулятор'!$D$7,SUM($H$23:H742),IF(MOD(YEAR(F742),4)=0,IF(AND(EOMONTH(F742,0)=F742,OR(MONTH(F742)=3,MONTH(F742)=6)),SUM(OFFSET(H742,-90,0):H742),IF(AND(EOMONTH(F742,0)=F742,OR(MONTH(F742)=9,MONTH(F742)=12)),SUM(OFFSET(H742,-91,0):H742))),IF(AND(EOMONTH(F742,0)=F742,MONTH(F742)=3),SUM(OFFSET(H742,-89,0):H742),IF(AND(EOMONTH(F742,0)=F742,MONTH(F742)=6),SUM(OFFSET(H742,-90,0):H742),IF(AND(EOMONTH(F742,0)=F742,OR(MONTH(F742)=9,MONTH(F742)=12)),SUM(OFFSET(H742,-91,0):H742)))))),IF(F742='депозитный калькулятор'!$D$8,SUM($H$23:H742)-SUM($I$23:I741),0))),IF('депозитный калькулятор'!$G$10="ежегодное",IF(F742&gt;'депозитный калькулятор'!$D$8," ",IF(F742='депозитный калькулятор'!$D$8,SUM($H$23:H742)-SUM($I$23:I741),IF(AND(EOMONTH(F742,0)=F742,MONTH(F742)=12),IF(MOD(YEAR(F741),4)=0,IF(F742-'депозитный калькулятор'!$D$7&lt;366,SUM($H$23:H742),SUM(OFFSET(H742,-365,0):H742)),IF(F742-'депозитный калькулятор'!$D$7&lt;365,SUM($H$23:H742),SUM(OFFSET(H742,-364,0):H742))),0))),IF(AND('депозитный калькулятор'!$G$10="в конце срока",'депозитный калькулятор'!$D$8=F742),SUM($H$23:H742),0))))))))))))))))))</f>
        <v xml:space="preserve"> </v>
      </c>
      <c r="J742" s="59" t="str">
        <f>IF(F742&gt;'депозитный калькулятор'!$D$8," ",IF('депозитный калькулятор'!$G$16="нет",0,IF(AND('депозитный калькулятор'!$G$17="разовая (в конце срока)",F742='депозитный калькулятор'!$D$8),'депозитный калькулятор'!$G$18,IF(AND('депозитный калькулятор'!$G$17="ежемесячная",EOMONTH(F741,0)=F741),'депозитный калькулятор'!$G$18,IF(AND('депозитный калькулятор'!$G$17="ежегодная",DAY(F741)=31,MONTH(F741)=12),'депозитный калькулятор'!$G$18,IF(AND('депозитный калькулятор'!$G$17="ежемесячная в зависимости от остатка",EOMONTH(F741,0)=F741,P741&gt;0),'депозитный калькулятор'!$G$18,IF(AND('депозитный калькулятор'!$G$17="ежегодная в зависимости от остатка",DAY(F741)=31,MONTH(F741)=12,P741&gt;0),'депозитный калькулятор'!$G$18,0)))))))</f>
        <v xml:space="preserve"> </v>
      </c>
      <c r="K742" s="135" t="str">
        <f>IF($F742=" "," ",IFERROR(VLOOKUP($F742,'депозитный калькулятор'!$B$26:$F$70,2,0),0))</f>
        <v xml:space="preserve"> </v>
      </c>
      <c r="L742" s="135" t="str">
        <f>IF($F742=" "," ",IFERROR(VLOOKUP($F742,'депозитный калькулятор'!$B$26:$F$70,3,0),0))</f>
        <v xml:space="preserve"> </v>
      </c>
      <c r="M742" s="135" t="str">
        <f>IF($F742=" "," ",IFERROR(VLOOKUP($F742,'депозитный калькулятор'!$B$26:$F$70,4,0),0))</f>
        <v xml:space="preserve"> </v>
      </c>
      <c r="N742" s="135" t="str">
        <f>IF($F742=" "," ",IFERROR(VLOOKUP($F742,'депозитный калькулятор'!$B$26:$F$70,5,0),0))</f>
        <v xml:space="preserve"> </v>
      </c>
      <c r="O742" s="146" t="str">
        <f>IF(F742&gt;'депозитный калькулятор'!$D$8," ",IF(F742='депозитный калькулятор'!$D$8,IF(AND($F$24='депозитный калькулятор'!$D$8,'депозитный калькулятор'!$G$13="нет"),-G742-IF(I742=" ",0,I742)-IF(AND(OR('депозитный калькулятор'!$G$7="30/365",'депозитный калькулятор'!$G$7="30/360"),'депозитный калькулятор'!$G$10="в начале срока"),I741,0)-L742+M742-N742,-G742-IF(I742=" ",0,I742)-L742+M742-N742),IF('депозитный калькулятор'!$G$13="есть",M742-N742+IF('депозитный калькулятор'!$G$14="есть",0,-L742),-IF(I742=" ",0,I742)-IF(AND(OR('депозитный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срока"),I741,0)+M742-N742+IF('депозитный калькулятор'!$G$14="есть",0,-L742))))</f>
        <v xml:space="preserve"> </v>
      </c>
      <c r="P742" s="147" t="str">
        <f>IF(F742&gt;'депозитный калькулятор'!$D$8," ",IF(EOMONTH(F741,0)=F741,0,IF(G742&gt;='депозитный калькулятор'!$G$19,P741,P741+1)))</f>
        <v xml:space="preserve"> </v>
      </c>
      <c r="Q742" s="138" t="str">
        <f>IF(F742=" "," ",IF(AND(OR('депозитный калькулятор'!$G$7="30/365",'депозитный калькулятор'!$G$7="30/360"),AND(MONTH(F742)=2,EOMONTH(F742,0)=F742)),IF(DAY(F742)=28,3,2),1)*IF(G742&gt;='депозитный калькулятор'!$G$11,IF(AND('депозитный калькулятор'!$G$7="факт/факт",MOD(YEAR(F742),4)=0),G742*'депозитный калькулятор'!$D$11/366,G742*'депозитный калькулятор'!$G$8),0))</f>
        <v xml:space="preserve"> </v>
      </c>
      <c r="R742" s="158"/>
      <c r="S742" s="62" t="str">
        <f t="shared" ca="1" si="57"/>
        <v xml:space="preserve"> </v>
      </c>
      <c r="T742" s="149" t="str">
        <f ca="1">IF(S742=" "," ",IF('депозитный калькулятор'!$G$7="30/360",DAYS360(U741,IF(DAY(U742)=31,U742-1,U742))+IF(AND(MONTH(U742)=2,U742=EOMONTH(U742,0)),30-DAY(EOMONTH(U742,0)))+T741,VLOOKUP(S742,$C$22:$F$1023,2,0)))</f>
        <v xml:space="preserve"> </v>
      </c>
      <c r="U742" s="64" t="str">
        <f t="shared" ca="1" si="55"/>
        <v xml:space="preserve"> </v>
      </c>
      <c r="V742" s="150" t="str">
        <f t="shared" ca="1" si="58"/>
        <v xml:space="preserve"> </v>
      </c>
      <c r="W742" s="62" t="str">
        <f t="shared" ca="1" si="59"/>
        <v xml:space="preserve"> </v>
      </c>
      <c r="X742" s="141" t="str">
        <f ca="1">IF(S742=" "," ",IFERROR(VLOOKUP(U742,$F$23:$N$1023,7)+VLOOKUP(U742,$F$23:$N$1023,9)+IF(AND('депозитный калькулятор'!$G$13="нет",U742&lt;&gt;'депозитный калькулятор'!$D$8),VLOOKUP(U742,$F$23:$N$1023,4),0),0)+IF(U742='депозитный калькулятор'!$D$8,VLOOKUP(U742,$F$23:$N$1023,2)+VLOOKUP(U742,$F$23:$N$1023,4),0))</f>
        <v xml:space="preserve"> </v>
      </c>
      <c r="Y742" s="142" t="str">
        <f ca="1">IF(S742=" "," ",W742/(1+'депозитный калькулятор'!$K$8)^(T742/IF('депозитный калькулятор'!$G$7="30/360",360,365)))</f>
        <v xml:space="preserve"> </v>
      </c>
      <c r="Z742" s="142" t="str">
        <f ca="1">IF(S742=" "," ",X742/(1+'депозитный калькулятор'!$K$8)^(T742/IF('депозитный калькулятор'!$G$7="30/360",360,365)))</f>
        <v xml:space="preserve"> </v>
      </c>
      <c r="AA742" s="151"/>
      <c r="AB742" s="151"/>
      <c r="AC742" s="155"/>
      <c r="AD742" s="155"/>
    </row>
    <row r="743" spans="1:30" s="2" customFormat="1" ht="15.5" x14ac:dyDescent="0.35">
      <c r="A743" s="41" t="str">
        <f>IF(F743=" "," ",IF(OR('депозитный калькулятор'!$G$7="30/365",'депозитный калькулятор'!$G$7="30/360"),IF(AND(MONTH(F743)=2,DAY(F743)=DAY(EOMONTH(F743,0))),30-DAY(EOMONTH(F743,0)),IF(DAY(F743)=31,1," "))," "))</f>
        <v xml:space="preserve"> </v>
      </c>
      <c r="B743" s="130" t="str">
        <f t="shared" si="56"/>
        <v xml:space="preserve"> </v>
      </c>
      <c r="C743" s="130" t="str">
        <f>IF(OR(B743=0,B743=" ")," ",SUM($B$23:B743))</f>
        <v xml:space="preserve"> </v>
      </c>
      <c r="D743" s="62" t="str">
        <f>IF(D742=" "," ",IF(OR(F742='депозитный калькулятор'!$D$8,F742=" ")," ",D742+1))</f>
        <v xml:space="preserve"> </v>
      </c>
      <c r="E743" s="130" t="str">
        <f>IF(OR(F742='депозитный калькулятор'!$D$8,F742=" ")," ",IF(EOMONTH(F742,0)=F742,1,E742+1))</f>
        <v xml:space="preserve"> </v>
      </c>
      <c r="F743" s="64" t="str">
        <f>IF(F742=" "," ",IF(F742='депозитный калькулятор'!$D$8," ",F742+1))</f>
        <v xml:space="preserve"> </v>
      </c>
      <c r="G743" s="145" t="str">
        <f xml:space="preserve"> IF(F743&gt;'депозитный калькулятор'!$D$8," ",IF('депозитный калькулятор'!$G$13="есть",IF('депозитный калькулятор'!$G$14="есть",G742+IF(I742=" ",0,I742)-J743-K743+L743+M743-N743,G742+IF(I742=" ",0,I742)-J743-K743+M743-N743),IF('депозитный калькулятор'!$G$14="есть",G742-J743-K743+L743+M743-N743,G742-J743-K743+M743-N743)))</f>
        <v xml:space="preserve"> </v>
      </c>
      <c r="H743" s="133" t="str">
        <f>IF(F743&gt;'депозитный калькулятор'!$D$8," ",IF(AND(OR('депозитный калькулятор'!$G$7="30/365",'депозитный калькулятор'!$G$7="30/360"),AND(MONTH(F743)=2,EOMONTH(F743,0)=F743)),IF(DAY(F743)=28,3*G743*'депозитный калькулятор'!$G$8,2*G743*'депозитный калькулятор'!$G$8),IF(AND(OR('депозитный калькулятор'!$G$7="30/365",'депозитный калькулятор'!$G$7="30/360"),DAY(F743)=31)," ",IF(AND('депозитный калькулятор'!$G$7="факт/факт",MOD(YEAR(F743),4)=0),G743*'депозитный калькулятор'!$D$11/366,G743*'депозитный калькулятор'!$G$8))))</f>
        <v xml:space="preserve"> </v>
      </c>
      <c r="I743" s="134" t="str">
        <f ca="1">IF(F743=" "," ",IF('депозитный калькулятор'!$G$10="ежедневное",H743,IF(AND('депозитный калькулятор'!$G$10="еженедельное",WEEKDAY(F743,2)=7),SUM(OFFSET(H743,-6,0):H743),IF(AND('депозитный калькулятор'!$G$10="еженедельное",F743='депозитный калькулятор'!$D$8),SUM($H$23:H743)-SUM($I$23:I742),IF(AND('депозитный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недели",WEEKDAY(F743,2)=7),MIN(OFFSET(H743,-6,0):H743)*(COUNTIF(OFFSET(H743,-6,0):H743,"&gt;0")+SUMIF(OFFSET(A743,-WEEKDAY(F743,2),0):A743,"=2",OFFSET(A743,-WEEKDAY(F743,2),0):A743)),IF(AND('депозитный калькулятор'!$G$10="еженедельное, на минимальную сумму зафиксированную в течение недели",F743='депозитный калькулятор'!$D$8,WEEKDAY(F743,2)&lt;&gt;7),MIN(OFFSET(H743,-WEEKDAY(F743,2),0):H743)*(COUNTIF(OFFSET(H743,-WEEKDAY(F743,2)+1,0):H743,"&gt;0")+SUM(OFFSET(A743,-WEEKDAY(F743,2),0):A743)),IF(AND('депозитный калькулятор'!$G$10="ежемесячное (в конце месяца)",F743='депозитный калькулятор'!$D$8,EOMONTH(F743,0)&lt;&gt;F743),IF('депозитный калькулятор'!$F$1=1,$H$24,SUM($H$23:H743)-SUM($I$23:I742)),IF(AND('депозитный калькулятор'!$G$10="ежемесячное (в конце месяца)",EOMONTH(F743,0)=F743),SUM($H$23:H743)-SUM($I$23:I742),IF(AND('депозитный калькулятор'!$G$10="ежемесячное (по дням открытия вклада)",F743='депозитный калькулятор'!$D$8,DAY('депозитный калькулятор'!$D$7)&lt;&gt;DAY(F743)),IF('депозитный калькулятор'!$F$1=1,$H$24,SUM($H$23:H743)-SUM($I$23:I742)),IF(AND('депозитный калькулятор'!$G$10="ежемесячное (по дням открытия вклада)",DAY('депозитный калькулятор'!$D$7)=DAY(F743)),SUM($H$23:H743)-SUM($I$23:I742),IF(AND('депозитный калькулятор'!$G$10="ежемесячное, на минимальную сумму зафиксированную в течение месяца",F743='депозитный калькулятор'!$D$8,EOMONTH(F743,0)&lt;&gt;F743),IF('депозитный калькулятор'!$F$1=1,$H$24,IF(AND(OR('депозитный калькулятор'!$G$7="30/365",'депозитный калькулятор'!$G$7="30/360"),DAY(F743)=31),0,MIN(OFFSET(H743,-E743+1,0):H743)*(E743+SUMIF(OFFSET(A743,-E743+1,0):A743,"=2",OFFSET(A743,-E743+1,0):A743)))),IF(AND('депозитный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калькулятор'!$G$7="30/360"),DAY(EOMONTH(F743,0))=31),EOMONTH(F743,0)-1=F743,EOMONTH(F743,0)=F743)),IF(IF(AND(OR('депозитный калькулятор'!$G$7="30/365",'депозитный калькулятор'!$G$7="30/360"),DAY(EOMONTH($F$23,0))=31),F743=EOMONTH($F$23,0)-1,F743=EOMONTH($F$23,0)),MIN(OFFSET(H743,-(DAY(F743)-DAY($F$23)),0):H743)*E743,MIN(OFFSET(H743,-(DAY(F743)-1),0):H743)*IF(AND(OR('депозитный калькулятор'!$G$7="30/365",'депозитный калькулятор'!$G$7="30/360"),DAY(F743)&lt;30),30,DAY(F743))),IF(AND('депозитный калькулятор'!$G$10="ежемесячное, на средний остаток в течение месяца, при условии что остаток больше чем ограничение",F743='депозитный калькулятор'!$D$8,EOMONTH(F743,0)&lt;&gt;F743),IF('депозитный калькулятор'!$F$1=1,$H$24,SUM(OFFSET(Q743,-E743+1,0):Q743)),IF(AND('депозитный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калькулятор'!$G$7="30/360"),DAY(EOMONTH(F743,0))=31),EOMONTH(F743,0)-1=F743,EOMONTH(F743,0)=F743)),IF(IF(AND(OR('депозитный калькулятор'!$G$7="30/365",'депозитный калькулятор'!$G$7="30/360"),DAY(EOMONTH($F$24,0))=31),F743=EOMONTH($F$24,0)-1,F743=EOMONTH($F$24,0)),SUM(OFFSET(Q743,-E743+1,0):Q743),SUM(OFFSET(Q743,-E743+1,0):Q743)),IF('депозитный калькулятор'!$G$10="ежеквартальное",IF(F743&gt;'депозитный калькулятор'!$D$8," ",IF(AND(EOMONTH(F743,0)=F743,OR(MONTH(F743)=3,MONTH(F743)=6,MONTH(F743)=9,MONTH(F743)=12)),IF(EDATE(F743,-3)&lt;'депозитный калькулятор'!$D$7,SUM($H$23:H743),IF(MOD(YEAR(F743),4)=0,IF(AND(EOMONTH(F743,0)=F743,OR(MONTH(F743)=3,MONTH(F743)=6)),SUM(OFFSET(H743,-90,0):H743),IF(AND(EOMONTH(F743,0)=F743,OR(MONTH(F743)=9,MONTH(F743)=12)),SUM(OFFSET(H743,-91,0):H743))),IF(AND(EOMONTH(F743,0)=F743,MONTH(F743)=3),SUM(OFFSET(H743,-89,0):H743),IF(AND(EOMONTH(F743,0)=F743,MONTH(F743)=6),SUM(OFFSET(H743,-90,0):H743),IF(AND(EOMONTH(F743,0)=F743,OR(MONTH(F743)=9,MONTH(F743)=12)),SUM(OFFSET(H743,-91,0):H743)))))),IF(F743='депозитный калькулятор'!$D$8,SUM($H$23:H743)-SUM($I$23:I742),0))),IF('депозитный калькулятор'!$G$10="ежегодное",IF(F743&gt;'депозитный калькулятор'!$D$8," ",IF(F743='депозитный калькулятор'!$D$8,SUM($H$23:H743)-SUM($I$23:I742),IF(AND(EOMONTH(F743,0)=F743,MONTH(F743)=12),IF(MOD(YEAR(F742),4)=0,IF(F743-'депозитный калькулятор'!$D$7&lt;366,SUM($H$23:H743),SUM(OFFSET(H743,-365,0):H743)),IF(F743-'депозитный калькулятор'!$D$7&lt;365,SUM($H$23:H743),SUM(OFFSET(H743,-364,0):H743))),0))),IF(AND('депозитный калькулятор'!$G$10="в конце срока",'депозитный калькулятор'!$D$8=F743),SUM($H$23:H743),0))))))))))))))))))</f>
        <v xml:space="preserve"> </v>
      </c>
      <c r="J743" s="59" t="str">
        <f>IF(F743&gt;'депозитный калькулятор'!$D$8," ",IF('депозитный калькулятор'!$G$16="нет",0,IF(AND('депозитный калькулятор'!$G$17="разовая (в конце срока)",F743='депозитный калькулятор'!$D$8),'депозитный калькулятор'!$G$18,IF(AND('депозитный калькулятор'!$G$17="ежемесячная",EOMONTH(F742,0)=F742),'депозитный калькулятор'!$G$18,IF(AND('депозитный калькулятор'!$G$17="ежегодная",DAY(F742)=31,MONTH(F742)=12),'депозитный калькулятор'!$G$18,IF(AND('депозитный калькулятор'!$G$17="ежемесячная в зависимости от остатка",EOMONTH(F742,0)=F742,P742&gt;0),'депозитный калькулятор'!$G$18,IF(AND('депозитный калькулятор'!$G$17="ежегодная в зависимости от остатка",DAY(F742)=31,MONTH(F742)=12,P742&gt;0),'депозитный калькулятор'!$G$18,0)))))))</f>
        <v xml:space="preserve"> </v>
      </c>
      <c r="K743" s="135" t="str">
        <f>IF($F743=" "," ",IFERROR(VLOOKUP($F743,'депозитный калькулятор'!$B$26:$F$70,2,0),0))</f>
        <v xml:space="preserve"> </v>
      </c>
      <c r="L743" s="135" t="str">
        <f>IF($F743=" "," ",IFERROR(VLOOKUP($F743,'депозитный калькулятор'!$B$26:$F$70,3,0),0))</f>
        <v xml:space="preserve"> </v>
      </c>
      <c r="M743" s="135" t="str">
        <f>IF($F743=" "," ",IFERROR(VLOOKUP($F743,'депозитный калькулятор'!$B$26:$F$70,4,0),0))</f>
        <v xml:space="preserve"> </v>
      </c>
      <c r="N743" s="135" t="str">
        <f>IF($F743=" "," ",IFERROR(VLOOKUP($F743,'депозитный калькулятор'!$B$26:$F$70,5,0),0))</f>
        <v xml:space="preserve"> </v>
      </c>
      <c r="O743" s="146" t="str">
        <f>IF(F743&gt;'депозитный калькулятор'!$D$8," ",IF(F743='депозитный калькулятор'!$D$8,IF(AND($F$24='депозитный калькулятор'!$D$8,'депозитный калькулятор'!$G$13="нет"),-G743-IF(I743=" ",0,I743)-IF(AND(OR('депозитный калькулятор'!$G$7="30/365",'депозитный калькулятор'!$G$7="30/360"),'депозитный калькулятор'!$G$10="в начале срока"),I742,0)-L743+M743-N743,-G743-IF(I743=" ",0,I743)-L743+M743-N743),IF('депозитный калькулятор'!$G$13="есть",M743-N743+IF('депозитный калькулятор'!$G$14="есть",0,-L743),-IF(I743=" ",0,I743)-IF(AND(OR('депозитный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срока"),I742,0)+M743-N743+IF('депозитный калькулятор'!$G$14="есть",0,-L743))))</f>
        <v xml:space="preserve"> </v>
      </c>
      <c r="P743" s="147" t="str">
        <f>IF(F743&gt;'депозитный калькулятор'!$D$8," ",IF(EOMONTH(F742,0)=F742,0,IF(G743&gt;='депозитный калькулятор'!$G$19,P742,P742+1)))</f>
        <v xml:space="preserve"> </v>
      </c>
      <c r="Q743" s="138" t="str">
        <f>IF(F743=" "," ",IF(AND(OR('депозитный калькулятор'!$G$7="30/365",'депозитный калькулятор'!$G$7="30/360"),AND(MONTH(F743)=2,EOMONTH(F743,0)=F743)),IF(DAY(F743)=28,3,2),1)*IF(G743&gt;='депозитный калькулятор'!$G$11,IF(AND('депозитный калькулятор'!$G$7="факт/факт",MOD(YEAR(F743),4)=0),G743*'депозитный калькулятор'!$D$11/366,G743*'депозитный калькулятор'!$G$8),0))</f>
        <v xml:space="preserve"> </v>
      </c>
      <c r="R743" s="158"/>
      <c r="S743" s="62" t="str">
        <f t="shared" ca="1" si="57"/>
        <v xml:space="preserve"> </v>
      </c>
      <c r="T743" s="149" t="str">
        <f ca="1">IF(S743=" "," ",IF('депозитный калькулятор'!$G$7="30/360",DAYS360(U742,IF(DAY(U743)=31,U743-1,U743))+IF(AND(MONTH(U743)=2,U743=EOMONTH(U743,0)),30-DAY(EOMONTH(U743,0)))+T742,VLOOKUP(S743,$C$22:$F$1023,2,0)))</f>
        <v xml:space="preserve"> </v>
      </c>
      <c r="U743" s="64" t="str">
        <f t="shared" ca="1" si="55"/>
        <v xml:space="preserve"> </v>
      </c>
      <c r="V743" s="150" t="str">
        <f t="shared" ca="1" si="58"/>
        <v xml:space="preserve"> </v>
      </c>
      <c r="W743" s="62" t="str">
        <f t="shared" ca="1" si="59"/>
        <v xml:space="preserve"> </v>
      </c>
      <c r="X743" s="141" t="str">
        <f ca="1">IF(S743=" "," ",IFERROR(VLOOKUP(U743,$F$23:$N$1023,7)+VLOOKUP(U743,$F$23:$N$1023,9)+IF(AND('депозитный калькулятор'!$G$13="нет",U743&lt;&gt;'депозитный калькулятор'!$D$8),VLOOKUP(U743,$F$23:$N$1023,4),0),0)+IF(U743='депозитный калькулятор'!$D$8,VLOOKUP(U743,$F$23:$N$1023,2)+VLOOKUP(U743,$F$23:$N$1023,4),0))</f>
        <v xml:space="preserve"> </v>
      </c>
      <c r="Y743" s="142" t="str">
        <f ca="1">IF(S743=" "," ",W743/(1+'депозитный калькулятор'!$K$8)^(T743/IF('депозитный калькулятор'!$G$7="30/360",360,365)))</f>
        <v xml:space="preserve"> </v>
      </c>
      <c r="Z743" s="142" t="str">
        <f ca="1">IF(S743=" "," ",X743/(1+'депозитный калькулятор'!$K$8)^(T743/IF('депозитный калькулятор'!$G$7="30/360",360,365)))</f>
        <v xml:space="preserve"> </v>
      </c>
      <c r="AA743" s="151"/>
      <c r="AB743" s="151"/>
      <c r="AC743" s="155"/>
      <c r="AD743" s="155"/>
    </row>
    <row r="744" spans="1:30" s="2" customFormat="1" ht="15.5" x14ac:dyDescent="0.35">
      <c r="A744" s="41" t="str">
        <f>IF(F744=" "," ",IF(OR('депозитный калькулятор'!$G$7="30/365",'депозитный калькулятор'!$G$7="30/360"),IF(AND(MONTH(F744)=2,DAY(F744)=DAY(EOMONTH(F744,0))),30-DAY(EOMONTH(F744,0)),IF(DAY(F744)=31,1," "))," "))</f>
        <v xml:space="preserve"> </v>
      </c>
      <c r="B744" s="130" t="str">
        <f t="shared" si="56"/>
        <v xml:space="preserve"> </v>
      </c>
      <c r="C744" s="130" t="str">
        <f>IF(OR(B744=0,B744=" ")," ",SUM($B$23:B744))</f>
        <v xml:space="preserve"> </v>
      </c>
      <c r="D744" s="62" t="str">
        <f>IF(D743=" "," ",IF(OR(F743='депозитный калькулятор'!$D$8,F743=" ")," ",D743+1))</f>
        <v xml:space="preserve"> </v>
      </c>
      <c r="E744" s="130" t="str">
        <f>IF(OR(F743='депозитный калькулятор'!$D$8,F743=" ")," ",IF(EOMONTH(F743,0)=F743,1,E743+1))</f>
        <v xml:space="preserve"> </v>
      </c>
      <c r="F744" s="64" t="str">
        <f>IF(F743=" "," ",IF(F743='депозитный калькулятор'!$D$8," ",F743+1))</f>
        <v xml:space="preserve"> </v>
      </c>
      <c r="G744" s="145" t="str">
        <f xml:space="preserve"> IF(F744&gt;'депозитный калькулятор'!$D$8," ",IF('депозитный калькулятор'!$G$13="есть",IF('депозитный калькулятор'!$G$14="есть",G743+IF(I743=" ",0,I743)-J744-K744+L744+M744-N744,G743+IF(I743=" ",0,I743)-J744-K744+M744-N744),IF('депозитный калькулятор'!$G$14="есть",G743-J744-K744+L744+M744-N744,G743-J744-K744+M744-N744)))</f>
        <v xml:space="preserve"> </v>
      </c>
      <c r="H744" s="133" t="str">
        <f>IF(F744&gt;'депозитный калькулятор'!$D$8," ",IF(AND(OR('депозитный калькулятор'!$G$7="30/365",'депозитный калькулятор'!$G$7="30/360"),AND(MONTH(F744)=2,EOMONTH(F744,0)=F744)),IF(DAY(F744)=28,3*G744*'депозитный калькулятор'!$G$8,2*G744*'депозитный калькулятор'!$G$8),IF(AND(OR('депозитный калькулятор'!$G$7="30/365",'депозитный калькулятор'!$G$7="30/360"),DAY(F744)=31)," ",IF(AND('депозитный калькулятор'!$G$7="факт/факт",MOD(YEAR(F744),4)=0),G744*'депозитный калькулятор'!$D$11/366,G744*'депозитный калькулятор'!$G$8))))</f>
        <v xml:space="preserve"> </v>
      </c>
      <c r="I744" s="134" t="str">
        <f ca="1">IF(F744=" "," ",IF('депозитный калькулятор'!$G$10="ежедневное",H744,IF(AND('депозитный калькулятор'!$G$10="еженедельное",WEEKDAY(F744,2)=7),SUM(OFFSET(H744,-6,0):H744),IF(AND('депозитный калькулятор'!$G$10="еженедельное",F744='депозитный калькулятор'!$D$8),SUM($H$23:H744)-SUM($I$23:I743),IF(AND('депозитный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недели",WEEKDAY(F744,2)=7),MIN(OFFSET(H744,-6,0):H744)*(COUNTIF(OFFSET(H744,-6,0):H744,"&gt;0")+SUMIF(OFFSET(A744,-WEEKDAY(F744,2),0):A744,"=2",OFFSET(A744,-WEEKDAY(F744,2),0):A744)),IF(AND('депозитный калькулятор'!$G$10="еженедельное, на минимальную сумму зафиксированную в течение недели",F744='депозитный калькулятор'!$D$8,WEEKDAY(F744,2)&lt;&gt;7),MIN(OFFSET(H744,-WEEKDAY(F744,2),0):H744)*(COUNTIF(OFFSET(H744,-WEEKDAY(F744,2)+1,0):H744,"&gt;0")+SUM(OFFSET(A744,-WEEKDAY(F744,2),0):A744)),IF(AND('депозитный калькулятор'!$G$10="ежемесячное (в конце месяца)",F744='депозитный калькулятор'!$D$8,EOMONTH(F744,0)&lt;&gt;F744),IF('депозитный калькулятор'!$F$1=1,$H$24,SUM($H$23:H744)-SUM($I$23:I743)),IF(AND('депозитный калькулятор'!$G$10="ежемесячное (в конце месяца)",EOMONTH(F744,0)=F744),SUM($H$23:H744)-SUM($I$23:I743),IF(AND('депозитный калькулятор'!$G$10="ежемесячное (по дням открытия вклада)",F744='депозитный калькулятор'!$D$8,DAY('депозитный калькулятор'!$D$7)&lt;&gt;DAY(F744)),IF('депозитный калькулятор'!$F$1=1,$H$24,SUM($H$23:H744)-SUM($I$23:I743)),IF(AND('депозитный калькулятор'!$G$10="ежемесячное (по дням открытия вклада)",DAY('депозитный калькулятор'!$D$7)=DAY(F744)),SUM($H$23:H744)-SUM($I$23:I743),IF(AND('депозитный калькулятор'!$G$10="ежемесячное, на минимальную сумму зафиксированную в течение месяца",F744='депозитный калькулятор'!$D$8,EOMONTH(F744,0)&lt;&gt;F744),IF('депозитный калькулятор'!$F$1=1,$H$24,IF(AND(OR('депозитный калькулятор'!$G$7="30/365",'депозитный калькулятор'!$G$7="30/360"),DAY(F744)=31),0,MIN(OFFSET(H744,-E744+1,0):H744)*(E744+SUMIF(OFFSET(A744,-E744+1,0):A744,"=2",OFFSET(A744,-E744+1,0):A744)))),IF(AND('депозитный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калькулятор'!$G$7="30/360"),DAY(EOMONTH(F744,0))=31),EOMONTH(F744,0)-1=F744,EOMONTH(F744,0)=F744)),IF(IF(AND(OR('депозитный калькулятор'!$G$7="30/365",'депозитный калькулятор'!$G$7="30/360"),DAY(EOMONTH($F$23,0))=31),F744=EOMONTH($F$23,0)-1,F744=EOMONTH($F$23,0)),MIN(OFFSET(H744,-(DAY(F744)-DAY($F$23)),0):H744)*E744,MIN(OFFSET(H744,-(DAY(F744)-1),0):H744)*IF(AND(OR('депозитный калькулятор'!$G$7="30/365",'депозитный калькулятор'!$G$7="30/360"),DAY(F744)&lt;30),30,DAY(F744))),IF(AND('депозитный калькулятор'!$G$10="ежемесячное, на средний остаток в течение месяца, при условии что остаток больше чем ограничение",F744='депозитный калькулятор'!$D$8,EOMONTH(F744,0)&lt;&gt;F744),IF('депозитный калькулятор'!$F$1=1,$H$24,SUM(OFFSET(Q744,-E744+1,0):Q744)),IF(AND('депозитный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калькулятор'!$G$7="30/360"),DAY(EOMONTH(F744,0))=31),EOMONTH(F744,0)-1=F744,EOMONTH(F744,0)=F744)),IF(IF(AND(OR('депозитный калькулятор'!$G$7="30/365",'депозитный калькулятор'!$G$7="30/360"),DAY(EOMONTH($F$24,0))=31),F744=EOMONTH($F$24,0)-1,F744=EOMONTH($F$24,0)),SUM(OFFSET(Q744,-E744+1,0):Q744),SUM(OFFSET(Q744,-E744+1,0):Q744)),IF('депозитный калькулятор'!$G$10="ежеквартальное",IF(F744&gt;'депозитный калькулятор'!$D$8," ",IF(AND(EOMONTH(F744,0)=F744,OR(MONTH(F744)=3,MONTH(F744)=6,MONTH(F744)=9,MONTH(F744)=12)),IF(EDATE(F744,-3)&lt;'депозитный калькулятор'!$D$7,SUM($H$23:H744),IF(MOD(YEAR(F744),4)=0,IF(AND(EOMONTH(F744,0)=F744,OR(MONTH(F744)=3,MONTH(F744)=6)),SUM(OFFSET(H744,-90,0):H744),IF(AND(EOMONTH(F744,0)=F744,OR(MONTH(F744)=9,MONTH(F744)=12)),SUM(OFFSET(H744,-91,0):H744))),IF(AND(EOMONTH(F744,0)=F744,MONTH(F744)=3),SUM(OFFSET(H744,-89,0):H744),IF(AND(EOMONTH(F744,0)=F744,MONTH(F744)=6),SUM(OFFSET(H744,-90,0):H744),IF(AND(EOMONTH(F744,0)=F744,OR(MONTH(F744)=9,MONTH(F744)=12)),SUM(OFFSET(H744,-91,0):H744)))))),IF(F744='депозитный калькулятор'!$D$8,SUM($H$23:H744)-SUM($I$23:I743),0))),IF('депозитный калькулятор'!$G$10="ежегодное",IF(F744&gt;'депозитный калькулятор'!$D$8," ",IF(F744='депозитный калькулятор'!$D$8,SUM($H$23:H744)-SUM($I$23:I743),IF(AND(EOMONTH(F744,0)=F744,MONTH(F744)=12),IF(MOD(YEAR(F743),4)=0,IF(F744-'депозитный калькулятор'!$D$7&lt;366,SUM($H$23:H744),SUM(OFFSET(H744,-365,0):H744)),IF(F744-'депозитный калькулятор'!$D$7&lt;365,SUM($H$23:H744),SUM(OFFSET(H744,-364,0):H744))),0))),IF(AND('депозитный калькулятор'!$G$10="в конце срока",'депозитный калькулятор'!$D$8=F744),SUM($H$23:H744),0))))))))))))))))))</f>
        <v xml:space="preserve"> </v>
      </c>
      <c r="J744" s="59" t="str">
        <f>IF(F744&gt;'депозитный калькулятор'!$D$8," ",IF('депозитный калькулятор'!$G$16="нет",0,IF(AND('депозитный калькулятор'!$G$17="разовая (в конце срока)",F744='депозитный калькулятор'!$D$8),'депозитный калькулятор'!$G$18,IF(AND('депозитный калькулятор'!$G$17="ежемесячная",EOMONTH(F743,0)=F743),'депозитный калькулятор'!$G$18,IF(AND('депозитный калькулятор'!$G$17="ежегодная",DAY(F743)=31,MONTH(F743)=12),'депозитный калькулятор'!$G$18,IF(AND('депозитный калькулятор'!$G$17="ежемесячная в зависимости от остатка",EOMONTH(F743,0)=F743,P743&gt;0),'депозитный калькулятор'!$G$18,IF(AND('депозитный калькулятор'!$G$17="ежегодная в зависимости от остатка",DAY(F743)=31,MONTH(F743)=12,P743&gt;0),'депозитный калькулятор'!$G$18,0)))))))</f>
        <v xml:space="preserve"> </v>
      </c>
      <c r="K744" s="135" t="str">
        <f>IF($F744=" "," ",IFERROR(VLOOKUP($F744,'депозитный калькулятор'!$B$26:$F$70,2,0),0))</f>
        <v xml:space="preserve"> </v>
      </c>
      <c r="L744" s="135" t="str">
        <f>IF($F744=" "," ",IFERROR(VLOOKUP($F744,'депозитный калькулятор'!$B$26:$F$70,3,0),0))</f>
        <v xml:space="preserve"> </v>
      </c>
      <c r="M744" s="135" t="str">
        <f>IF($F744=" "," ",IFERROR(VLOOKUP($F744,'депозитный калькулятор'!$B$26:$F$70,4,0),0))</f>
        <v xml:space="preserve"> </v>
      </c>
      <c r="N744" s="135" t="str">
        <f>IF($F744=" "," ",IFERROR(VLOOKUP($F744,'депозитный калькулятор'!$B$26:$F$70,5,0),0))</f>
        <v xml:space="preserve"> </v>
      </c>
      <c r="O744" s="146" t="str">
        <f>IF(F744&gt;'депозитный калькулятор'!$D$8," ",IF(F744='депозитный калькулятор'!$D$8,IF(AND($F$24='депозитный калькулятор'!$D$8,'депозитный калькулятор'!$G$13="нет"),-G744-IF(I744=" ",0,I744)-IF(AND(OR('депозитный калькулятор'!$G$7="30/365",'депозитный калькулятор'!$G$7="30/360"),'депозитный калькулятор'!$G$10="в начале срока"),I743,0)-L744+M744-N744,-G744-IF(I744=" ",0,I744)-L744+M744-N744),IF('депозитный калькулятор'!$G$13="есть",M744-N744+IF('депозитный калькулятор'!$G$14="есть",0,-L744),-IF(I744=" ",0,I744)-IF(AND(OR('депозитный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срока"),I743,0)+M744-N744+IF('депозитный калькулятор'!$G$14="есть",0,-L744))))</f>
        <v xml:space="preserve"> </v>
      </c>
      <c r="P744" s="147" t="str">
        <f>IF(F744&gt;'депозитный калькулятор'!$D$8," ",IF(EOMONTH(F743,0)=F743,0,IF(G744&gt;='депозитный калькулятор'!$G$19,P743,P743+1)))</f>
        <v xml:space="preserve"> </v>
      </c>
      <c r="Q744" s="138" t="str">
        <f>IF(F744=" "," ",IF(AND(OR('депозитный калькулятор'!$G$7="30/365",'депозитный калькулятор'!$G$7="30/360"),AND(MONTH(F744)=2,EOMONTH(F744,0)=F744)),IF(DAY(F744)=28,3,2),1)*IF(G744&gt;='депозитный калькулятор'!$G$11,IF(AND('депозитный калькулятор'!$G$7="факт/факт",MOD(YEAR(F744),4)=0),G744*'депозитный калькулятор'!$D$11/366,G744*'депозитный калькулятор'!$G$8),0))</f>
        <v xml:space="preserve"> </v>
      </c>
      <c r="R744" s="158"/>
      <c r="S744" s="62" t="str">
        <f t="shared" ca="1" si="57"/>
        <v xml:space="preserve"> </v>
      </c>
      <c r="T744" s="149" t="str">
        <f ca="1">IF(S744=" "," ",IF('депозитный калькулятор'!$G$7="30/360",DAYS360(U743,IF(DAY(U744)=31,U744-1,U744))+IF(AND(MONTH(U744)=2,U744=EOMONTH(U744,0)),30-DAY(EOMONTH(U744,0)))+T743,VLOOKUP(S744,$C$22:$F$1023,2,0)))</f>
        <v xml:space="preserve"> </v>
      </c>
      <c r="U744" s="64" t="str">
        <f t="shared" ca="1" si="55"/>
        <v xml:space="preserve"> </v>
      </c>
      <c r="V744" s="150" t="str">
        <f t="shared" ca="1" si="58"/>
        <v xml:space="preserve"> </v>
      </c>
      <c r="W744" s="62" t="str">
        <f t="shared" ca="1" si="59"/>
        <v xml:space="preserve"> </v>
      </c>
      <c r="X744" s="141" t="str">
        <f ca="1">IF(S744=" "," ",IFERROR(VLOOKUP(U744,$F$23:$N$1023,7)+VLOOKUP(U744,$F$23:$N$1023,9)+IF(AND('депозитный калькулятор'!$G$13="нет",U744&lt;&gt;'депозитный калькулятор'!$D$8),VLOOKUP(U744,$F$23:$N$1023,4),0),0)+IF(U744='депозитный калькулятор'!$D$8,VLOOKUP(U744,$F$23:$N$1023,2)+VLOOKUP(U744,$F$23:$N$1023,4),0))</f>
        <v xml:space="preserve"> </v>
      </c>
      <c r="Y744" s="142" t="str">
        <f ca="1">IF(S744=" "," ",W744/(1+'депозитный калькулятор'!$K$8)^(T744/IF('депозитный калькулятор'!$G$7="30/360",360,365)))</f>
        <v xml:space="preserve"> </v>
      </c>
      <c r="Z744" s="142" t="str">
        <f ca="1">IF(S744=" "," ",X744/(1+'депозитный калькулятор'!$K$8)^(T744/IF('депозитный калькулятор'!$G$7="30/360",360,365)))</f>
        <v xml:space="preserve"> </v>
      </c>
      <c r="AA744" s="151"/>
      <c r="AB744" s="151"/>
      <c r="AC744" s="155"/>
      <c r="AD744" s="155"/>
    </row>
    <row r="745" spans="1:30" s="2" customFormat="1" ht="15.5" x14ac:dyDescent="0.35">
      <c r="A745" s="41" t="str">
        <f>IF(F745=" "," ",IF(OR('депозитный калькулятор'!$G$7="30/365",'депозитный калькулятор'!$G$7="30/360"),IF(AND(MONTH(F745)=2,DAY(F745)=DAY(EOMONTH(F745,0))),30-DAY(EOMONTH(F745,0)),IF(DAY(F745)=31,1," "))," "))</f>
        <v xml:space="preserve"> </v>
      </c>
      <c r="B745" s="130" t="str">
        <f t="shared" si="56"/>
        <v xml:space="preserve"> </v>
      </c>
      <c r="C745" s="130" t="str">
        <f>IF(OR(B745=0,B745=" ")," ",SUM($B$23:B745))</f>
        <v xml:space="preserve"> </v>
      </c>
      <c r="D745" s="62" t="str">
        <f>IF(D744=" "," ",IF(OR(F744='депозитный калькулятор'!$D$8,F744=" ")," ",D744+1))</f>
        <v xml:space="preserve"> </v>
      </c>
      <c r="E745" s="130" t="str">
        <f>IF(OR(F744='депозитный калькулятор'!$D$8,F744=" ")," ",IF(EOMONTH(F744,0)=F744,1,E744+1))</f>
        <v xml:space="preserve"> </v>
      </c>
      <c r="F745" s="64" t="str">
        <f>IF(F744=" "," ",IF(F744='депозитный калькулятор'!$D$8," ",F744+1))</f>
        <v xml:space="preserve"> </v>
      </c>
      <c r="G745" s="145" t="str">
        <f xml:space="preserve"> IF(F745&gt;'депозитный калькулятор'!$D$8," ",IF('депозитный калькулятор'!$G$13="есть",IF('депозитный калькулятор'!$G$14="есть",G744+IF(I744=" ",0,I744)-J745-K745+L745+M745-N745,G744+IF(I744=" ",0,I744)-J745-K745+M745-N745),IF('депозитный калькулятор'!$G$14="есть",G744-J745-K745+L745+M745-N745,G744-J745-K745+M745-N745)))</f>
        <v xml:space="preserve"> </v>
      </c>
      <c r="H745" s="133" t="str">
        <f>IF(F745&gt;'депозитный калькулятор'!$D$8," ",IF(AND(OR('депозитный калькулятор'!$G$7="30/365",'депозитный калькулятор'!$G$7="30/360"),AND(MONTH(F745)=2,EOMONTH(F745,0)=F745)),IF(DAY(F745)=28,3*G745*'депозитный калькулятор'!$G$8,2*G745*'депозитный калькулятор'!$G$8),IF(AND(OR('депозитный калькулятор'!$G$7="30/365",'депозитный калькулятор'!$G$7="30/360"),DAY(F745)=31)," ",IF(AND('депозитный калькулятор'!$G$7="факт/факт",MOD(YEAR(F745),4)=0),G745*'депозитный калькулятор'!$D$11/366,G745*'депозитный калькулятор'!$G$8))))</f>
        <v xml:space="preserve"> </v>
      </c>
      <c r="I745" s="134" t="str">
        <f ca="1">IF(F745=" "," ",IF('депозитный калькулятор'!$G$10="ежедневное",H745,IF(AND('депозитный калькулятор'!$G$10="еженедельное",WEEKDAY(F745,2)=7),SUM(OFFSET(H745,-6,0):H745),IF(AND('депозитный калькулятор'!$G$10="еженедельное",F745='депозитный калькулятор'!$D$8),SUM($H$23:H745)-SUM($I$23:I744),IF(AND('депозитный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недели",WEEKDAY(F745,2)=7),MIN(OFFSET(H745,-6,0):H745)*(COUNTIF(OFFSET(H745,-6,0):H745,"&gt;0")+SUMIF(OFFSET(A745,-WEEKDAY(F745,2),0):A745,"=2",OFFSET(A745,-WEEKDAY(F745,2),0):A745)),IF(AND('депозитный калькулятор'!$G$10="еженедельное, на минимальную сумму зафиксированную в течение недели",F745='депозитный калькулятор'!$D$8,WEEKDAY(F745,2)&lt;&gt;7),MIN(OFFSET(H745,-WEEKDAY(F745,2),0):H745)*(COUNTIF(OFFSET(H745,-WEEKDAY(F745,2)+1,0):H745,"&gt;0")+SUM(OFFSET(A745,-WEEKDAY(F745,2),0):A745)),IF(AND('депозитный калькулятор'!$G$10="ежемесячное (в конце месяца)",F745='депозитный калькулятор'!$D$8,EOMONTH(F745,0)&lt;&gt;F745),IF('депозитный калькулятор'!$F$1=1,$H$24,SUM($H$23:H745)-SUM($I$23:I744)),IF(AND('депозитный калькулятор'!$G$10="ежемесячное (в конце месяца)",EOMONTH(F745,0)=F745),SUM($H$23:H745)-SUM($I$23:I744),IF(AND('депозитный калькулятор'!$G$10="ежемесячное (по дням открытия вклада)",F745='депозитный калькулятор'!$D$8,DAY('депозитный калькулятор'!$D$7)&lt;&gt;DAY(F745)),IF('депозитный калькулятор'!$F$1=1,$H$24,SUM($H$23:H745)-SUM($I$23:I744)),IF(AND('депозитный калькулятор'!$G$10="ежемесячное (по дням открытия вклада)",DAY('депозитный калькулятор'!$D$7)=DAY(F745)),SUM($H$23:H745)-SUM($I$23:I744),IF(AND('депозитный калькулятор'!$G$10="ежемесячное, на минимальную сумму зафиксированную в течение месяца",F745='депозитный калькулятор'!$D$8,EOMONTH(F745,0)&lt;&gt;F745),IF('депозитный калькулятор'!$F$1=1,$H$24,IF(AND(OR('депозитный калькулятор'!$G$7="30/365",'депозитный калькулятор'!$G$7="30/360"),DAY(F745)=31),0,MIN(OFFSET(H745,-E745+1,0):H745)*(E745+SUMIF(OFFSET(A745,-E745+1,0):A745,"=2",OFFSET(A745,-E745+1,0):A745)))),IF(AND('депозитный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калькулятор'!$G$7="30/360"),DAY(EOMONTH(F745,0))=31),EOMONTH(F745,0)-1=F745,EOMONTH(F745,0)=F745)),IF(IF(AND(OR('депозитный калькулятор'!$G$7="30/365",'депозитный калькулятор'!$G$7="30/360"),DAY(EOMONTH($F$23,0))=31),F745=EOMONTH($F$23,0)-1,F745=EOMONTH($F$23,0)),MIN(OFFSET(H745,-(DAY(F745)-DAY($F$23)),0):H745)*E745,MIN(OFFSET(H745,-(DAY(F745)-1),0):H745)*IF(AND(OR('депозитный калькулятор'!$G$7="30/365",'депозитный калькулятор'!$G$7="30/360"),DAY(F745)&lt;30),30,DAY(F745))),IF(AND('депозитный калькулятор'!$G$10="ежемесячное, на средний остаток в течение месяца, при условии что остаток больше чем ограничение",F745='депозитный калькулятор'!$D$8,EOMONTH(F745,0)&lt;&gt;F745),IF('депозитный калькулятор'!$F$1=1,$H$24,SUM(OFFSET(Q745,-E745+1,0):Q745)),IF(AND('депозитный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калькулятор'!$G$7="30/360"),DAY(EOMONTH(F745,0))=31),EOMONTH(F745,0)-1=F745,EOMONTH(F745,0)=F745)),IF(IF(AND(OR('депозитный калькулятор'!$G$7="30/365",'депозитный калькулятор'!$G$7="30/360"),DAY(EOMONTH($F$24,0))=31),F745=EOMONTH($F$24,0)-1,F745=EOMONTH($F$24,0)),SUM(OFFSET(Q745,-E745+1,0):Q745),SUM(OFFSET(Q745,-E745+1,0):Q745)),IF('депозитный калькулятор'!$G$10="ежеквартальное",IF(F745&gt;'депозитный калькулятор'!$D$8," ",IF(AND(EOMONTH(F745,0)=F745,OR(MONTH(F745)=3,MONTH(F745)=6,MONTH(F745)=9,MONTH(F745)=12)),IF(EDATE(F745,-3)&lt;'депозитный калькулятор'!$D$7,SUM($H$23:H745),IF(MOD(YEAR(F745),4)=0,IF(AND(EOMONTH(F745,0)=F745,OR(MONTH(F745)=3,MONTH(F745)=6)),SUM(OFFSET(H745,-90,0):H745),IF(AND(EOMONTH(F745,0)=F745,OR(MONTH(F745)=9,MONTH(F745)=12)),SUM(OFFSET(H745,-91,0):H745))),IF(AND(EOMONTH(F745,0)=F745,MONTH(F745)=3),SUM(OFFSET(H745,-89,0):H745),IF(AND(EOMONTH(F745,0)=F745,MONTH(F745)=6),SUM(OFFSET(H745,-90,0):H745),IF(AND(EOMONTH(F745,0)=F745,OR(MONTH(F745)=9,MONTH(F745)=12)),SUM(OFFSET(H745,-91,0):H745)))))),IF(F745='депозитный калькулятор'!$D$8,SUM($H$23:H745)-SUM($I$23:I744),0))),IF('депозитный калькулятор'!$G$10="ежегодное",IF(F745&gt;'депозитный калькулятор'!$D$8," ",IF(F745='депозитный калькулятор'!$D$8,SUM($H$23:H745)-SUM($I$23:I744),IF(AND(EOMONTH(F745,0)=F745,MONTH(F745)=12),IF(MOD(YEAR(F744),4)=0,IF(F745-'депозитный калькулятор'!$D$7&lt;366,SUM($H$23:H745),SUM(OFFSET(H745,-365,0):H745)),IF(F745-'депозитный калькулятор'!$D$7&lt;365,SUM($H$23:H745),SUM(OFFSET(H745,-364,0):H745))),0))),IF(AND('депозитный калькулятор'!$G$10="в конце срока",'депозитный калькулятор'!$D$8=F745),SUM($H$23:H745),0))))))))))))))))))</f>
        <v xml:space="preserve"> </v>
      </c>
      <c r="J745" s="59" t="str">
        <f>IF(F745&gt;'депозитный калькулятор'!$D$8," ",IF('депозитный калькулятор'!$G$16="нет",0,IF(AND('депозитный калькулятор'!$G$17="разовая (в конце срока)",F745='депозитный калькулятор'!$D$8),'депозитный калькулятор'!$G$18,IF(AND('депозитный калькулятор'!$G$17="ежемесячная",EOMONTH(F744,0)=F744),'депозитный калькулятор'!$G$18,IF(AND('депозитный калькулятор'!$G$17="ежегодная",DAY(F744)=31,MONTH(F744)=12),'депозитный калькулятор'!$G$18,IF(AND('депозитный калькулятор'!$G$17="ежемесячная в зависимости от остатка",EOMONTH(F744,0)=F744,P744&gt;0),'депозитный калькулятор'!$G$18,IF(AND('депозитный калькулятор'!$G$17="ежегодная в зависимости от остатка",DAY(F744)=31,MONTH(F744)=12,P744&gt;0),'депозитный калькулятор'!$G$18,0)))))))</f>
        <v xml:space="preserve"> </v>
      </c>
      <c r="K745" s="135" t="str">
        <f>IF($F745=" "," ",IFERROR(VLOOKUP($F745,'депозитный калькулятор'!$B$26:$F$70,2,0),0))</f>
        <v xml:space="preserve"> </v>
      </c>
      <c r="L745" s="135" t="str">
        <f>IF($F745=" "," ",IFERROR(VLOOKUP($F745,'депозитный калькулятор'!$B$26:$F$70,3,0),0))</f>
        <v xml:space="preserve"> </v>
      </c>
      <c r="M745" s="135" t="str">
        <f>IF($F745=" "," ",IFERROR(VLOOKUP($F745,'депозитный калькулятор'!$B$26:$F$70,4,0),0))</f>
        <v xml:space="preserve"> </v>
      </c>
      <c r="N745" s="135" t="str">
        <f>IF($F745=" "," ",IFERROR(VLOOKUP($F745,'депозитный калькулятор'!$B$26:$F$70,5,0),0))</f>
        <v xml:space="preserve"> </v>
      </c>
      <c r="O745" s="146" t="str">
        <f>IF(F745&gt;'депозитный калькулятор'!$D$8," ",IF(F745='депозитный калькулятор'!$D$8,IF(AND($F$24='депозитный калькулятор'!$D$8,'депозитный калькулятор'!$G$13="нет"),-G745-IF(I745=" ",0,I745)-IF(AND(OR('депозитный калькулятор'!$G$7="30/365",'депозитный калькулятор'!$G$7="30/360"),'депозитный калькулятор'!$G$10="в начале срока"),I744,0)-L745+M745-N745,-G745-IF(I745=" ",0,I745)-L745+M745-N745),IF('депозитный калькулятор'!$G$13="есть",M745-N745+IF('депозитный калькулятор'!$G$14="есть",0,-L745),-IF(I745=" ",0,I745)-IF(AND(OR('депозитный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срока"),I744,0)+M745-N745+IF('депозитный калькулятор'!$G$14="есть",0,-L745))))</f>
        <v xml:space="preserve"> </v>
      </c>
      <c r="P745" s="147" t="str">
        <f>IF(F745&gt;'депозитный калькулятор'!$D$8," ",IF(EOMONTH(F744,0)=F744,0,IF(G745&gt;='депозитный калькулятор'!$G$19,P744,P744+1)))</f>
        <v xml:space="preserve"> </v>
      </c>
      <c r="Q745" s="138" t="str">
        <f>IF(F745=" "," ",IF(AND(OR('депозитный калькулятор'!$G$7="30/365",'депозитный калькулятор'!$G$7="30/360"),AND(MONTH(F745)=2,EOMONTH(F745,0)=F745)),IF(DAY(F745)=28,3,2),1)*IF(G745&gt;='депозитный калькулятор'!$G$11,IF(AND('депозитный калькулятор'!$G$7="факт/факт",MOD(YEAR(F745),4)=0),G745*'депозитный калькулятор'!$D$11/366,G745*'депозитный калькулятор'!$G$8),0))</f>
        <v xml:space="preserve"> </v>
      </c>
      <c r="R745" s="158"/>
      <c r="S745" s="62" t="str">
        <f t="shared" ca="1" si="57"/>
        <v xml:space="preserve"> </v>
      </c>
      <c r="T745" s="149" t="str">
        <f ca="1">IF(S745=" "," ",IF('депозитный калькулятор'!$G$7="30/360",DAYS360(U744,IF(DAY(U745)=31,U745-1,U745))+IF(AND(MONTH(U745)=2,U745=EOMONTH(U745,0)),30-DAY(EOMONTH(U745,0)))+T744,VLOOKUP(S745,$C$22:$F$1023,2,0)))</f>
        <v xml:space="preserve"> </v>
      </c>
      <c r="U745" s="64" t="str">
        <f t="shared" ca="1" si="55"/>
        <v xml:space="preserve"> </v>
      </c>
      <c r="V745" s="150" t="str">
        <f t="shared" ca="1" si="58"/>
        <v xml:space="preserve"> </v>
      </c>
      <c r="W745" s="62" t="str">
        <f t="shared" ca="1" si="59"/>
        <v xml:space="preserve"> </v>
      </c>
      <c r="X745" s="141" t="str">
        <f ca="1">IF(S745=" "," ",IFERROR(VLOOKUP(U745,$F$23:$N$1023,7)+VLOOKUP(U745,$F$23:$N$1023,9)+IF(AND('депозитный калькулятор'!$G$13="нет",U745&lt;&gt;'депозитный калькулятор'!$D$8),VLOOKUP(U745,$F$23:$N$1023,4),0),0)+IF(U745='депозитный калькулятор'!$D$8,VLOOKUP(U745,$F$23:$N$1023,2)+VLOOKUP(U745,$F$23:$N$1023,4),0))</f>
        <v xml:space="preserve"> </v>
      </c>
      <c r="Y745" s="142" t="str">
        <f ca="1">IF(S745=" "," ",W745/(1+'депозитный калькулятор'!$K$8)^(T745/IF('депозитный калькулятор'!$G$7="30/360",360,365)))</f>
        <v xml:space="preserve"> </v>
      </c>
      <c r="Z745" s="142" t="str">
        <f ca="1">IF(S745=" "," ",X745/(1+'депозитный калькулятор'!$K$8)^(T745/IF('депозитный калькулятор'!$G$7="30/360",360,365)))</f>
        <v xml:space="preserve"> </v>
      </c>
      <c r="AA745" s="151"/>
      <c r="AB745" s="151"/>
      <c r="AC745" s="155"/>
      <c r="AD745" s="155"/>
    </row>
    <row r="746" spans="1:30" s="2" customFormat="1" ht="15.5" x14ac:dyDescent="0.35">
      <c r="A746" s="41" t="str">
        <f>IF(F746=" "," ",IF(OR('депозитный калькулятор'!$G$7="30/365",'депозитный калькулятор'!$G$7="30/360"),IF(AND(MONTH(F746)=2,DAY(F746)=DAY(EOMONTH(F746,0))),30-DAY(EOMONTH(F746,0)),IF(DAY(F746)=31,1," "))," "))</f>
        <v xml:space="preserve"> </v>
      </c>
      <c r="B746" s="130" t="str">
        <f t="shared" si="56"/>
        <v xml:space="preserve"> </v>
      </c>
      <c r="C746" s="130" t="str">
        <f>IF(OR(B746=0,B746=" ")," ",SUM($B$23:B746))</f>
        <v xml:space="preserve"> </v>
      </c>
      <c r="D746" s="62" t="str">
        <f>IF(D745=" "," ",IF(OR(F745='депозитный калькулятор'!$D$8,F745=" ")," ",D745+1))</f>
        <v xml:space="preserve"> </v>
      </c>
      <c r="E746" s="130" t="str">
        <f>IF(OR(F745='депозитный калькулятор'!$D$8,F745=" ")," ",IF(EOMONTH(F745,0)=F745,1,E745+1))</f>
        <v xml:space="preserve"> </v>
      </c>
      <c r="F746" s="64" t="str">
        <f>IF(F745=" "," ",IF(F745='депозитный калькулятор'!$D$8," ",F745+1))</f>
        <v xml:space="preserve"> </v>
      </c>
      <c r="G746" s="145" t="str">
        <f xml:space="preserve"> IF(F746&gt;'депозитный калькулятор'!$D$8," ",IF('депозитный калькулятор'!$G$13="есть",IF('депозитный калькулятор'!$G$14="есть",G745+IF(I745=" ",0,I745)-J746-K746+L746+M746-N746,G745+IF(I745=" ",0,I745)-J746-K746+M746-N746),IF('депозитный калькулятор'!$G$14="есть",G745-J746-K746+L746+M746-N746,G745-J746-K746+M746-N746)))</f>
        <v xml:space="preserve"> </v>
      </c>
      <c r="H746" s="133" t="str">
        <f>IF(F746&gt;'депозитный калькулятор'!$D$8," ",IF(AND(OR('депозитный калькулятор'!$G$7="30/365",'депозитный калькулятор'!$G$7="30/360"),AND(MONTH(F746)=2,EOMONTH(F746,0)=F746)),IF(DAY(F746)=28,3*G746*'депозитный калькулятор'!$G$8,2*G746*'депозитный калькулятор'!$G$8),IF(AND(OR('депозитный калькулятор'!$G$7="30/365",'депозитный калькулятор'!$G$7="30/360"),DAY(F746)=31)," ",IF(AND('депозитный калькулятор'!$G$7="факт/факт",MOD(YEAR(F746),4)=0),G746*'депозитный калькулятор'!$D$11/366,G746*'депозитный калькулятор'!$G$8))))</f>
        <v xml:space="preserve"> </v>
      </c>
      <c r="I746" s="134" t="str">
        <f ca="1">IF(F746=" "," ",IF('депозитный калькулятор'!$G$10="ежедневное",H746,IF(AND('депозитный калькулятор'!$G$10="еженедельное",WEEKDAY(F746,2)=7),SUM(OFFSET(H746,-6,0):H746),IF(AND('депозитный калькулятор'!$G$10="еженедельное",F746='депозитный калькулятор'!$D$8),SUM($H$23:H746)-SUM($I$23:I745),IF(AND('депозитный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недели",WEEKDAY(F746,2)=7),MIN(OFFSET(H746,-6,0):H746)*(COUNTIF(OFFSET(H746,-6,0):H746,"&gt;0")+SUMIF(OFFSET(A746,-WEEKDAY(F746,2),0):A746,"=2",OFFSET(A746,-WEEKDAY(F746,2),0):A746)),IF(AND('депозитный калькулятор'!$G$10="еженедельное, на минимальную сумму зафиксированную в течение недели",F746='депозитный калькулятор'!$D$8,WEEKDAY(F746,2)&lt;&gt;7),MIN(OFFSET(H746,-WEEKDAY(F746,2),0):H746)*(COUNTIF(OFFSET(H746,-WEEKDAY(F746,2)+1,0):H746,"&gt;0")+SUM(OFFSET(A746,-WEEKDAY(F746,2),0):A746)),IF(AND('депозитный калькулятор'!$G$10="ежемесячное (в конце месяца)",F746='депозитный калькулятор'!$D$8,EOMONTH(F746,0)&lt;&gt;F746),IF('депозитный калькулятор'!$F$1=1,$H$24,SUM($H$23:H746)-SUM($I$23:I745)),IF(AND('депозитный калькулятор'!$G$10="ежемесячное (в конце месяца)",EOMONTH(F746,0)=F746),SUM($H$23:H746)-SUM($I$23:I745),IF(AND('депозитный калькулятор'!$G$10="ежемесячное (по дням открытия вклада)",F746='депозитный калькулятор'!$D$8,DAY('депозитный калькулятор'!$D$7)&lt;&gt;DAY(F746)),IF('депозитный калькулятор'!$F$1=1,$H$24,SUM($H$23:H746)-SUM($I$23:I745)),IF(AND('депозитный калькулятор'!$G$10="ежемесячное (по дням открытия вклада)",DAY('депозитный калькулятор'!$D$7)=DAY(F746)),SUM($H$23:H746)-SUM($I$23:I745),IF(AND('депозитный калькулятор'!$G$10="ежемесячное, на минимальную сумму зафиксированную в течение месяца",F746='депозитный калькулятор'!$D$8,EOMONTH(F746,0)&lt;&gt;F746),IF('депозитный калькулятор'!$F$1=1,$H$24,IF(AND(OR('депозитный калькулятор'!$G$7="30/365",'депозитный калькулятор'!$G$7="30/360"),DAY(F746)=31),0,MIN(OFFSET(H746,-E746+1,0):H746)*(E746+SUMIF(OFFSET(A746,-E746+1,0):A746,"=2",OFFSET(A746,-E746+1,0):A746)))),IF(AND('депозитный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калькулятор'!$G$7="30/360"),DAY(EOMONTH(F746,0))=31),EOMONTH(F746,0)-1=F746,EOMONTH(F746,0)=F746)),IF(IF(AND(OR('депозитный калькулятор'!$G$7="30/365",'депозитный калькулятор'!$G$7="30/360"),DAY(EOMONTH($F$23,0))=31),F746=EOMONTH($F$23,0)-1,F746=EOMONTH($F$23,0)),MIN(OFFSET(H746,-(DAY(F746)-DAY($F$23)),0):H746)*E746,MIN(OFFSET(H746,-(DAY(F746)-1),0):H746)*IF(AND(OR('депозитный калькулятор'!$G$7="30/365",'депозитный калькулятор'!$G$7="30/360"),DAY(F746)&lt;30),30,DAY(F746))),IF(AND('депозитный калькулятор'!$G$10="ежемесячное, на средний остаток в течение месяца, при условии что остаток больше чем ограничение",F746='депозитный калькулятор'!$D$8,EOMONTH(F746,0)&lt;&gt;F746),IF('депозитный калькулятор'!$F$1=1,$H$24,SUM(OFFSET(Q746,-E746+1,0):Q746)),IF(AND('депозитный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калькулятор'!$G$7="30/360"),DAY(EOMONTH(F746,0))=31),EOMONTH(F746,0)-1=F746,EOMONTH(F746,0)=F746)),IF(IF(AND(OR('депозитный калькулятор'!$G$7="30/365",'депозитный калькулятор'!$G$7="30/360"),DAY(EOMONTH($F$24,0))=31),F746=EOMONTH($F$24,0)-1,F746=EOMONTH($F$24,0)),SUM(OFFSET(Q746,-E746+1,0):Q746),SUM(OFFSET(Q746,-E746+1,0):Q746)),IF('депозитный калькулятор'!$G$10="ежеквартальное",IF(F746&gt;'депозитный калькулятор'!$D$8," ",IF(AND(EOMONTH(F746,0)=F746,OR(MONTH(F746)=3,MONTH(F746)=6,MONTH(F746)=9,MONTH(F746)=12)),IF(EDATE(F746,-3)&lt;'депозитный калькулятор'!$D$7,SUM($H$23:H746),IF(MOD(YEAR(F746),4)=0,IF(AND(EOMONTH(F746,0)=F746,OR(MONTH(F746)=3,MONTH(F746)=6)),SUM(OFFSET(H746,-90,0):H746),IF(AND(EOMONTH(F746,0)=F746,OR(MONTH(F746)=9,MONTH(F746)=12)),SUM(OFFSET(H746,-91,0):H746))),IF(AND(EOMONTH(F746,0)=F746,MONTH(F746)=3),SUM(OFFSET(H746,-89,0):H746),IF(AND(EOMONTH(F746,0)=F746,MONTH(F746)=6),SUM(OFFSET(H746,-90,0):H746),IF(AND(EOMONTH(F746,0)=F746,OR(MONTH(F746)=9,MONTH(F746)=12)),SUM(OFFSET(H746,-91,0):H746)))))),IF(F746='депозитный калькулятор'!$D$8,SUM($H$23:H746)-SUM($I$23:I745),0))),IF('депозитный калькулятор'!$G$10="ежегодное",IF(F746&gt;'депозитный калькулятор'!$D$8," ",IF(F746='депозитный калькулятор'!$D$8,SUM($H$23:H746)-SUM($I$23:I745),IF(AND(EOMONTH(F746,0)=F746,MONTH(F746)=12),IF(MOD(YEAR(F745),4)=0,IF(F746-'депозитный калькулятор'!$D$7&lt;366,SUM($H$23:H746),SUM(OFFSET(H746,-365,0):H746)),IF(F746-'депозитный калькулятор'!$D$7&lt;365,SUM($H$23:H746),SUM(OFFSET(H746,-364,0):H746))),0))),IF(AND('депозитный калькулятор'!$G$10="в конце срока",'депозитный калькулятор'!$D$8=F746),SUM($H$23:H746),0))))))))))))))))))</f>
        <v xml:space="preserve"> </v>
      </c>
      <c r="J746" s="59" t="str">
        <f>IF(F746&gt;'депозитный калькулятор'!$D$8," ",IF('депозитный калькулятор'!$G$16="нет",0,IF(AND('депозитный калькулятор'!$G$17="разовая (в конце срока)",F746='депозитный калькулятор'!$D$8),'депозитный калькулятор'!$G$18,IF(AND('депозитный калькулятор'!$G$17="ежемесячная",EOMONTH(F745,0)=F745),'депозитный калькулятор'!$G$18,IF(AND('депозитный калькулятор'!$G$17="ежегодная",DAY(F745)=31,MONTH(F745)=12),'депозитный калькулятор'!$G$18,IF(AND('депозитный калькулятор'!$G$17="ежемесячная в зависимости от остатка",EOMONTH(F745,0)=F745,P745&gt;0),'депозитный калькулятор'!$G$18,IF(AND('депозитный калькулятор'!$G$17="ежегодная в зависимости от остатка",DAY(F745)=31,MONTH(F745)=12,P745&gt;0),'депозитный калькулятор'!$G$18,0)))))))</f>
        <v xml:space="preserve"> </v>
      </c>
      <c r="K746" s="135" t="str">
        <f>IF($F746=" "," ",IFERROR(VLOOKUP($F746,'депозитный калькулятор'!$B$26:$F$70,2,0),0))</f>
        <v xml:space="preserve"> </v>
      </c>
      <c r="L746" s="135" t="str">
        <f>IF($F746=" "," ",IFERROR(VLOOKUP($F746,'депозитный калькулятор'!$B$26:$F$70,3,0),0))</f>
        <v xml:space="preserve"> </v>
      </c>
      <c r="M746" s="135" t="str">
        <f>IF($F746=" "," ",IFERROR(VLOOKUP($F746,'депозитный калькулятор'!$B$26:$F$70,4,0),0))</f>
        <v xml:space="preserve"> </v>
      </c>
      <c r="N746" s="135" t="str">
        <f>IF($F746=" "," ",IFERROR(VLOOKUP($F746,'депозитный калькулятор'!$B$26:$F$70,5,0),0))</f>
        <v xml:space="preserve"> </v>
      </c>
      <c r="O746" s="146" t="str">
        <f>IF(F746&gt;'депозитный калькулятор'!$D$8," ",IF(F746='депозитный калькулятор'!$D$8,IF(AND($F$24='депозитный калькулятор'!$D$8,'депозитный калькулятор'!$G$13="нет"),-G746-IF(I746=" ",0,I746)-IF(AND(OR('депозитный калькулятор'!$G$7="30/365",'депозитный калькулятор'!$G$7="30/360"),'депозитный калькулятор'!$G$10="в начале срока"),I745,0)-L746+M746-N746,-G746-IF(I746=" ",0,I746)-L746+M746-N746),IF('депозитный калькулятор'!$G$13="есть",M746-N746+IF('депозитный калькулятор'!$G$14="есть",0,-L746),-IF(I746=" ",0,I746)-IF(AND(OR('депозитный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срока"),I745,0)+M746-N746+IF('депозитный калькулятор'!$G$14="есть",0,-L746))))</f>
        <v xml:space="preserve"> </v>
      </c>
      <c r="P746" s="147" t="str">
        <f>IF(F746&gt;'депозитный калькулятор'!$D$8," ",IF(EOMONTH(F745,0)=F745,0,IF(G746&gt;='депозитный калькулятор'!$G$19,P745,P745+1)))</f>
        <v xml:space="preserve"> </v>
      </c>
      <c r="Q746" s="138" t="str">
        <f>IF(F746=" "," ",IF(AND(OR('депозитный калькулятор'!$G$7="30/365",'депозитный калькулятор'!$G$7="30/360"),AND(MONTH(F746)=2,EOMONTH(F746,0)=F746)),IF(DAY(F746)=28,3,2),1)*IF(G746&gt;='депозитный калькулятор'!$G$11,IF(AND('депозитный калькулятор'!$G$7="факт/факт",MOD(YEAR(F746),4)=0),G746*'депозитный калькулятор'!$D$11/366,G746*'депозитный калькулятор'!$G$8),0))</f>
        <v xml:space="preserve"> </v>
      </c>
      <c r="R746" s="158"/>
      <c r="S746" s="62" t="str">
        <f t="shared" ca="1" si="57"/>
        <v xml:space="preserve"> </v>
      </c>
      <c r="T746" s="149" t="str">
        <f ca="1">IF(S746=" "," ",IF('депозитный калькулятор'!$G$7="30/360",DAYS360(U745,IF(DAY(U746)=31,U746-1,U746))+IF(AND(MONTH(U746)=2,U746=EOMONTH(U746,0)),30-DAY(EOMONTH(U746,0)))+T745,VLOOKUP(S746,$C$22:$F$1023,2,0)))</f>
        <v xml:space="preserve"> </v>
      </c>
      <c r="U746" s="64" t="str">
        <f t="shared" ca="1" si="55"/>
        <v xml:space="preserve"> </v>
      </c>
      <c r="V746" s="150" t="str">
        <f t="shared" ca="1" si="58"/>
        <v xml:space="preserve"> </v>
      </c>
      <c r="W746" s="62" t="str">
        <f t="shared" ca="1" si="59"/>
        <v xml:space="preserve"> </v>
      </c>
      <c r="X746" s="141" t="str">
        <f ca="1">IF(S746=" "," ",IFERROR(VLOOKUP(U746,$F$23:$N$1023,7)+VLOOKUP(U746,$F$23:$N$1023,9)+IF(AND('депозитный калькулятор'!$G$13="нет",U746&lt;&gt;'депозитный калькулятор'!$D$8),VLOOKUP(U746,$F$23:$N$1023,4),0),0)+IF(U746='депозитный калькулятор'!$D$8,VLOOKUP(U746,$F$23:$N$1023,2)+VLOOKUP(U746,$F$23:$N$1023,4),0))</f>
        <v xml:space="preserve"> </v>
      </c>
      <c r="Y746" s="142" t="str">
        <f ca="1">IF(S746=" "," ",W746/(1+'депозитный калькулятор'!$K$8)^(T746/IF('депозитный калькулятор'!$G$7="30/360",360,365)))</f>
        <v xml:space="preserve"> </v>
      </c>
      <c r="Z746" s="142" t="str">
        <f ca="1">IF(S746=" "," ",X746/(1+'депозитный калькулятор'!$K$8)^(T746/IF('депозитный калькулятор'!$G$7="30/360",360,365)))</f>
        <v xml:space="preserve"> </v>
      </c>
      <c r="AA746" s="151"/>
      <c r="AB746" s="151"/>
      <c r="AC746" s="155"/>
      <c r="AD746" s="155"/>
    </row>
    <row r="747" spans="1:30" s="2" customFormat="1" ht="15.5" x14ac:dyDescent="0.35">
      <c r="A747" s="41" t="str">
        <f>IF(F747=" "," ",IF(OR('депозитный калькулятор'!$G$7="30/365",'депозитный калькулятор'!$G$7="30/360"),IF(AND(MONTH(F747)=2,DAY(F747)=DAY(EOMONTH(F747,0))),30-DAY(EOMONTH(F747,0)),IF(DAY(F747)=31,1," "))," "))</f>
        <v xml:space="preserve"> </v>
      </c>
      <c r="B747" s="130" t="str">
        <f t="shared" si="56"/>
        <v xml:space="preserve"> </v>
      </c>
      <c r="C747" s="130" t="str">
        <f>IF(OR(B747=0,B747=" ")," ",SUM($B$23:B747))</f>
        <v xml:space="preserve"> </v>
      </c>
      <c r="D747" s="62" t="str">
        <f>IF(D746=" "," ",IF(OR(F746='депозитный калькулятор'!$D$8,F746=" ")," ",D746+1))</f>
        <v xml:space="preserve"> </v>
      </c>
      <c r="E747" s="130" t="str">
        <f>IF(OR(F746='депозитный калькулятор'!$D$8,F746=" ")," ",IF(EOMONTH(F746,0)=F746,1,E746+1))</f>
        <v xml:space="preserve"> </v>
      </c>
      <c r="F747" s="64" t="str">
        <f>IF(F746=" "," ",IF(F746='депозитный калькулятор'!$D$8," ",F746+1))</f>
        <v xml:space="preserve"> </v>
      </c>
      <c r="G747" s="145" t="str">
        <f xml:space="preserve"> IF(F747&gt;'депозитный калькулятор'!$D$8," ",IF('депозитный калькулятор'!$G$13="есть",IF('депозитный калькулятор'!$G$14="есть",G746+IF(I746=" ",0,I746)-J747-K747+L747+M747-N747,G746+IF(I746=" ",0,I746)-J747-K747+M747-N747),IF('депозитный калькулятор'!$G$14="есть",G746-J747-K747+L747+M747-N747,G746-J747-K747+M747-N747)))</f>
        <v xml:space="preserve"> </v>
      </c>
      <c r="H747" s="133" t="str">
        <f>IF(F747&gt;'депозитный калькулятор'!$D$8," ",IF(AND(OR('депозитный калькулятор'!$G$7="30/365",'депозитный калькулятор'!$G$7="30/360"),AND(MONTH(F747)=2,EOMONTH(F747,0)=F747)),IF(DAY(F747)=28,3*G747*'депозитный калькулятор'!$G$8,2*G747*'депозитный калькулятор'!$G$8),IF(AND(OR('депозитный калькулятор'!$G$7="30/365",'депозитный калькулятор'!$G$7="30/360"),DAY(F747)=31)," ",IF(AND('депозитный калькулятор'!$G$7="факт/факт",MOD(YEAR(F747),4)=0),G747*'депозитный калькулятор'!$D$11/366,G747*'депозитный калькулятор'!$G$8))))</f>
        <v xml:space="preserve"> </v>
      </c>
      <c r="I747" s="134" t="str">
        <f ca="1">IF(F747=" "," ",IF('депозитный калькулятор'!$G$10="ежедневное",H747,IF(AND('депозитный калькулятор'!$G$10="еженедельное",WEEKDAY(F747,2)=7),SUM(OFFSET(H747,-6,0):H747),IF(AND('депозитный калькулятор'!$G$10="еженедельное",F747='депозитный калькулятор'!$D$8),SUM($H$23:H747)-SUM($I$23:I746),IF(AND('депозитный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недели",WEEKDAY(F747,2)=7),MIN(OFFSET(H747,-6,0):H747)*(COUNTIF(OFFSET(H747,-6,0):H747,"&gt;0")+SUMIF(OFFSET(A747,-WEEKDAY(F747,2),0):A747,"=2",OFFSET(A747,-WEEKDAY(F747,2),0):A747)),IF(AND('депозитный калькулятор'!$G$10="еженедельное, на минимальную сумму зафиксированную в течение недели",F747='депозитный калькулятор'!$D$8,WEEKDAY(F747,2)&lt;&gt;7),MIN(OFFSET(H747,-WEEKDAY(F747,2),0):H747)*(COUNTIF(OFFSET(H747,-WEEKDAY(F747,2)+1,0):H747,"&gt;0")+SUM(OFFSET(A747,-WEEKDAY(F747,2),0):A747)),IF(AND('депозитный калькулятор'!$G$10="ежемесячное (в конце месяца)",F747='депозитный калькулятор'!$D$8,EOMONTH(F747,0)&lt;&gt;F747),IF('депозитный калькулятор'!$F$1=1,$H$24,SUM($H$23:H747)-SUM($I$23:I746)),IF(AND('депозитный калькулятор'!$G$10="ежемесячное (в конце месяца)",EOMONTH(F747,0)=F747),SUM($H$23:H747)-SUM($I$23:I746),IF(AND('депозитный калькулятор'!$G$10="ежемесячное (по дням открытия вклада)",F747='депозитный калькулятор'!$D$8,DAY('депозитный калькулятор'!$D$7)&lt;&gt;DAY(F747)),IF('депозитный калькулятор'!$F$1=1,$H$24,SUM($H$23:H747)-SUM($I$23:I746)),IF(AND('депозитный калькулятор'!$G$10="ежемесячное (по дням открытия вклада)",DAY('депозитный калькулятор'!$D$7)=DAY(F747)),SUM($H$23:H747)-SUM($I$23:I746),IF(AND('депозитный калькулятор'!$G$10="ежемесячное, на минимальную сумму зафиксированную в течение месяца",F747='депозитный калькулятор'!$D$8,EOMONTH(F747,0)&lt;&gt;F747),IF('депозитный калькулятор'!$F$1=1,$H$24,IF(AND(OR('депозитный калькулятор'!$G$7="30/365",'депозитный калькулятор'!$G$7="30/360"),DAY(F747)=31),0,MIN(OFFSET(H747,-E747+1,0):H747)*(E747+SUMIF(OFFSET(A747,-E747+1,0):A747,"=2",OFFSET(A747,-E747+1,0):A747)))),IF(AND('депозитный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калькулятор'!$G$7="30/360"),DAY(EOMONTH(F747,0))=31),EOMONTH(F747,0)-1=F747,EOMONTH(F747,0)=F747)),IF(IF(AND(OR('депозитный калькулятор'!$G$7="30/365",'депозитный калькулятор'!$G$7="30/360"),DAY(EOMONTH($F$23,0))=31),F747=EOMONTH($F$23,0)-1,F747=EOMONTH($F$23,0)),MIN(OFFSET(H747,-(DAY(F747)-DAY($F$23)),0):H747)*E747,MIN(OFFSET(H747,-(DAY(F747)-1),0):H747)*IF(AND(OR('депозитный калькулятор'!$G$7="30/365",'депозитный калькулятор'!$G$7="30/360"),DAY(F747)&lt;30),30,DAY(F747))),IF(AND('депозитный калькулятор'!$G$10="ежемесячное, на средний остаток в течение месяца, при условии что остаток больше чем ограничение",F747='депозитный калькулятор'!$D$8,EOMONTH(F747,0)&lt;&gt;F747),IF('депозитный калькулятор'!$F$1=1,$H$24,SUM(OFFSET(Q747,-E747+1,0):Q747)),IF(AND('депозитный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калькулятор'!$G$7="30/360"),DAY(EOMONTH(F747,0))=31),EOMONTH(F747,0)-1=F747,EOMONTH(F747,0)=F747)),IF(IF(AND(OR('депозитный калькулятор'!$G$7="30/365",'депозитный калькулятор'!$G$7="30/360"),DAY(EOMONTH($F$24,0))=31),F747=EOMONTH($F$24,0)-1,F747=EOMONTH($F$24,0)),SUM(OFFSET(Q747,-E747+1,0):Q747),SUM(OFFSET(Q747,-E747+1,0):Q747)),IF('депозитный калькулятор'!$G$10="ежеквартальное",IF(F747&gt;'депозитный калькулятор'!$D$8," ",IF(AND(EOMONTH(F747,0)=F747,OR(MONTH(F747)=3,MONTH(F747)=6,MONTH(F747)=9,MONTH(F747)=12)),IF(EDATE(F747,-3)&lt;'депозитный калькулятор'!$D$7,SUM($H$23:H747),IF(MOD(YEAR(F747),4)=0,IF(AND(EOMONTH(F747,0)=F747,OR(MONTH(F747)=3,MONTH(F747)=6)),SUM(OFFSET(H747,-90,0):H747),IF(AND(EOMONTH(F747,0)=F747,OR(MONTH(F747)=9,MONTH(F747)=12)),SUM(OFFSET(H747,-91,0):H747))),IF(AND(EOMONTH(F747,0)=F747,MONTH(F747)=3),SUM(OFFSET(H747,-89,0):H747),IF(AND(EOMONTH(F747,0)=F747,MONTH(F747)=6),SUM(OFFSET(H747,-90,0):H747),IF(AND(EOMONTH(F747,0)=F747,OR(MONTH(F747)=9,MONTH(F747)=12)),SUM(OFFSET(H747,-91,0):H747)))))),IF(F747='депозитный калькулятор'!$D$8,SUM($H$23:H747)-SUM($I$23:I746),0))),IF('депозитный калькулятор'!$G$10="ежегодное",IF(F747&gt;'депозитный калькулятор'!$D$8," ",IF(F747='депозитный калькулятор'!$D$8,SUM($H$23:H747)-SUM($I$23:I746),IF(AND(EOMONTH(F747,0)=F747,MONTH(F747)=12),IF(MOD(YEAR(F746),4)=0,IF(F747-'депозитный калькулятор'!$D$7&lt;366,SUM($H$23:H747),SUM(OFFSET(H747,-365,0):H747)),IF(F747-'депозитный калькулятор'!$D$7&lt;365,SUM($H$23:H747),SUM(OFFSET(H747,-364,0):H747))),0))),IF(AND('депозитный калькулятор'!$G$10="в конце срока",'депозитный калькулятор'!$D$8=F747),SUM($H$23:H747),0))))))))))))))))))</f>
        <v xml:space="preserve"> </v>
      </c>
      <c r="J747" s="59" t="str">
        <f>IF(F747&gt;'депозитный калькулятор'!$D$8," ",IF('депозитный калькулятор'!$G$16="нет",0,IF(AND('депозитный калькулятор'!$G$17="разовая (в конце срока)",F747='депозитный калькулятор'!$D$8),'депозитный калькулятор'!$G$18,IF(AND('депозитный калькулятор'!$G$17="ежемесячная",EOMONTH(F746,0)=F746),'депозитный калькулятор'!$G$18,IF(AND('депозитный калькулятор'!$G$17="ежегодная",DAY(F746)=31,MONTH(F746)=12),'депозитный калькулятор'!$G$18,IF(AND('депозитный калькулятор'!$G$17="ежемесячная в зависимости от остатка",EOMONTH(F746,0)=F746,P746&gt;0),'депозитный калькулятор'!$G$18,IF(AND('депозитный калькулятор'!$G$17="ежегодная в зависимости от остатка",DAY(F746)=31,MONTH(F746)=12,P746&gt;0),'депозитный калькулятор'!$G$18,0)))))))</f>
        <v xml:space="preserve"> </v>
      </c>
      <c r="K747" s="135" t="str">
        <f>IF($F747=" "," ",IFERROR(VLOOKUP($F747,'депозитный калькулятор'!$B$26:$F$70,2,0),0))</f>
        <v xml:space="preserve"> </v>
      </c>
      <c r="L747" s="135" t="str">
        <f>IF($F747=" "," ",IFERROR(VLOOKUP($F747,'депозитный калькулятор'!$B$26:$F$70,3,0),0))</f>
        <v xml:space="preserve"> </v>
      </c>
      <c r="M747" s="135" t="str">
        <f>IF($F747=" "," ",IFERROR(VLOOKUP($F747,'депозитный калькулятор'!$B$26:$F$70,4,0),0))</f>
        <v xml:space="preserve"> </v>
      </c>
      <c r="N747" s="135" t="str">
        <f>IF($F747=" "," ",IFERROR(VLOOKUP($F747,'депозитный калькулятор'!$B$26:$F$70,5,0),0))</f>
        <v xml:space="preserve"> </v>
      </c>
      <c r="O747" s="146" t="str">
        <f>IF(F747&gt;'депозитный калькулятор'!$D$8," ",IF(F747='депозитный калькулятор'!$D$8,IF(AND($F$24='депозитный калькулятор'!$D$8,'депозитный калькулятор'!$G$13="нет"),-G747-IF(I747=" ",0,I747)-IF(AND(OR('депозитный калькулятор'!$G$7="30/365",'депозитный калькулятор'!$G$7="30/360"),'депозитный калькулятор'!$G$10="в начале срока"),I746,0)-L747+M747-N747,-G747-IF(I747=" ",0,I747)-L747+M747-N747),IF('депозитный калькулятор'!$G$13="есть",M747-N747+IF('депозитный калькулятор'!$G$14="есть",0,-L747),-IF(I747=" ",0,I747)-IF(AND(OR('депозитный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срока"),I746,0)+M747-N747+IF('депозитный калькулятор'!$G$14="есть",0,-L747))))</f>
        <v xml:space="preserve"> </v>
      </c>
      <c r="P747" s="147" t="str">
        <f>IF(F747&gt;'депозитный калькулятор'!$D$8," ",IF(EOMONTH(F746,0)=F746,0,IF(G747&gt;='депозитный калькулятор'!$G$19,P746,P746+1)))</f>
        <v xml:space="preserve"> </v>
      </c>
      <c r="Q747" s="138" t="str">
        <f>IF(F747=" "," ",IF(AND(OR('депозитный калькулятор'!$G$7="30/365",'депозитный калькулятор'!$G$7="30/360"),AND(MONTH(F747)=2,EOMONTH(F747,0)=F747)),IF(DAY(F747)=28,3,2),1)*IF(G747&gt;='депозитный калькулятор'!$G$11,IF(AND('депозитный калькулятор'!$G$7="факт/факт",MOD(YEAR(F747),4)=0),G747*'депозитный калькулятор'!$D$11/366,G747*'депозитный калькулятор'!$G$8),0))</f>
        <v xml:space="preserve"> </v>
      </c>
      <c r="R747" s="158"/>
      <c r="S747" s="62" t="str">
        <f t="shared" ca="1" si="57"/>
        <v xml:space="preserve"> </v>
      </c>
      <c r="T747" s="149" t="str">
        <f ca="1">IF(S747=" "," ",IF('депозитный калькулятор'!$G$7="30/360",DAYS360(U746,IF(DAY(U747)=31,U747-1,U747))+IF(AND(MONTH(U747)=2,U747=EOMONTH(U747,0)),30-DAY(EOMONTH(U747,0)))+T746,VLOOKUP(S747,$C$22:$F$1023,2,0)))</f>
        <v xml:space="preserve"> </v>
      </c>
      <c r="U747" s="64" t="str">
        <f t="shared" ca="1" si="55"/>
        <v xml:space="preserve"> </v>
      </c>
      <c r="V747" s="150" t="str">
        <f t="shared" ca="1" si="58"/>
        <v xml:space="preserve"> </v>
      </c>
      <c r="W747" s="62" t="str">
        <f t="shared" ca="1" si="59"/>
        <v xml:space="preserve"> </v>
      </c>
      <c r="X747" s="141" t="str">
        <f ca="1">IF(S747=" "," ",IFERROR(VLOOKUP(U747,$F$23:$N$1023,7)+VLOOKUP(U747,$F$23:$N$1023,9)+IF(AND('депозитный калькулятор'!$G$13="нет",U747&lt;&gt;'депозитный калькулятор'!$D$8),VLOOKUP(U747,$F$23:$N$1023,4),0),0)+IF(U747='депозитный калькулятор'!$D$8,VLOOKUP(U747,$F$23:$N$1023,2)+VLOOKUP(U747,$F$23:$N$1023,4),0))</f>
        <v xml:space="preserve"> </v>
      </c>
      <c r="Y747" s="142" t="str">
        <f ca="1">IF(S747=" "," ",W747/(1+'депозитный калькулятор'!$K$8)^(T747/IF('депозитный калькулятор'!$G$7="30/360",360,365)))</f>
        <v xml:space="preserve"> </v>
      </c>
      <c r="Z747" s="142" t="str">
        <f ca="1">IF(S747=" "," ",X747/(1+'депозитный калькулятор'!$K$8)^(T747/IF('депозитный калькулятор'!$G$7="30/360",360,365)))</f>
        <v xml:space="preserve"> </v>
      </c>
      <c r="AA747" s="151"/>
      <c r="AB747" s="151"/>
      <c r="AC747" s="155"/>
      <c r="AD747" s="155"/>
    </row>
    <row r="748" spans="1:30" s="2" customFormat="1" ht="15.5" x14ac:dyDescent="0.35">
      <c r="A748" s="41" t="str">
        <f>IF(F748=" "," ",IF(OR('депозитный калькулятор'!$G$7="30/365",'депозитный калькулятор'!$G$7="30/360"),IF(AND(MONTH(F748)=2,DAY(F748)=DAY(EOMONTH(F748,0))),30-DAY(EOMONTH(F748,0)),IF(DAY(F748)=31,1," "))," "))</f>
        <v xml:space="preserve"> </v>
      </c>
      <c r="B748" s="130" t="str">
        <f t="shared" si="56"/>
        <v xml:space="preserve"> </v>
      </c>
      <c r="C748" s="130" t="str">
        <f>IF(OR(B748=0,B748=" ")," ",SUM($B$23:B748))</f>
        <v xml:space="preserve"> </v>
      </c>
      <c r="D748" s="62" t="str">
        <f>IF(D747=" "," ",IF(OR(F747='депозитный калькулятор'!$D$8,F747=" ")," ",D747+1))</f>
        <v xml:space="preserve"> </v>
      </c>
      <c r="E748" s="130" t="str">
        <f>IF(OR(F747='депозитный калькулятор'!$D$8,F747=" ")," ",IF(EOMONTH(F747,0)=F747,1,E747+1))</f>
        <v xml:space="preserve"> </v>
      </c>
      <c r="F748" s="64" t="str">
        <f>IF(F747=" "," ",IF(F747='депозитный калькулятор'!$D$8," ",F747+1))</f>
        <v xml:space="preserve"> </v>
      </c>
      <c r="G748" s="145" t="str">
        <f xml:space="preserve"> IF(F748&gt;'депозитный калькулятор'!$D$8," ",IF('депозитный калькулятор'!$G$13="есть",IF('депозитный калькулятор'!$G$14="есть",G747+IF(I747=" ",0,I747)-J748-K748+L748+M748-N748,G747+IF(I747=" ",0,I747)-J748-K748+M748-N748),IF('депозитный калькулятор'!$G$14="есть",G747-J748-K748+L748+M748-N748,G747-J748-K748+M748-N748)))</f>
        <v xml:space="preserve"> </v>
      </c>
      <c r="H748" s="133" t="str">
        <f>IF(F748&gt;'депозитный калькулятор'!$D$8," ",IF(AND(OR('депозитный калькулятор'!$G$7="30/365",'депозитный калькулятор'!$G$7="30/360"),AND(MONTH(F748)=2,EOMONTH(F748,0)=F748)),IF(DAY(F748)=28,3*G748*'депозитный калькулятор'!$G$8,2*G748*'депозитный калькулятор'!$G$8),IF(AND(OR('депозитный калькулятор'!$G$7="30/365",'депозитный калькулятор'!$G$7="30/360"),DAY(F748)=31)," ",IF(AND('депозитный калькулятор'!$G$7="факт/факт",MOD(YEAR(F748),4)=0),G748*'депозитный калькулятор'!$D$11/366,G748*'депозитный калькулятор'!$G$8))))</f>
        <v xml:space="preserve"> </v>
      </c>
      <c r="I748" s="134" t="str">
        <f ca="1">IF(F748=" "," ",IF('депозитный калькулятор'!$G$10="ежедневное",H748,IF(AND('депозитный калькулятор'!$G$10="еженедельное",WEEKDAY(F748,2)=7),SUM(OFFSET(H748,-6,0):H748),IF(AND('депозитный калькулятор'!$G$10="еженедельное",F748='депозитный калькулятор'!$D$8),SUM($H$23:H748)-SUM($I$23:I747),IF(AND('депозитный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недели",WEEKDAY(F748,2)=7),MIN(OFFSET(H748,-6,0):H748)*(COUNTIF(OFFSET(H748,-6,0):H748,"&gt;0")+SUMIF(OFFSET(A748,-WEEKDAY(F748,2),0):A748,"=2",OFFSET(A748,-WEEKDAY(F748,2),0):A748)),IF(AND('депозитный калькулятор'!$G$10="еженедельное, на минимальную сумму зафиксированную в течение недели",F748='депозитный калькулятор'!$D$8,WEEKDAY(F748,2)&lt;&gt;7),MIN(OFFSET(H748,-WEEKDAY(F748,2),0):H748)*(COUNTIF(OFFSET(H748,-WEEKDAY(F748,2)+1,0):H748,"&gt;0")+SUM(OFFSET(A748,-WEEKDAY(F748,2),0):A748)),IF(AND('депозитный калькулятор'!$G$10="ежемесячное (в конце месяца)",F748='депозитный калькулятор'!$D$8,EOMONTH(F748,0)&lt;&gt;F748),IF('депозитный калькулятор'!$F$1=1,$H$24,SUM($H$23:H748)-SUM($I$23:I747)),IF(AND('депозитный калькулятор'!$G$10="ежемесячное (в конце месяца)",EOMONTH(F748,0)=F748),SUM($H$23:H748)-SUM($I$23:I747),IF(AND('депозитный калькулятор'!$G$10="ежемесячное (по дням открытия вклада)",F748='депозитный калькулятор'!$D$8,DAY('депозитный калькулятор'!$D$7)&lt;&gt;DAY(F748)),IF('депозитный калькулятор'!$F$1=1,$H$24,SUM($H$23:H748)-SUM($I$23:I747)),IF(AND('депозитный калькулятор'!$G$10="ежемесячное (по дням открытия вклада)",DAY('депозитный калькулятор'!$D$7)=DAY(F748)),SUM($H$23:H748)-SUM($I$23:I747),IF(AND('депозитный калькулятор'!$G$10="ежемесячное, на минимальную сумму зафиксированную в течение месяца",F748='депозитный калькулятор'!$D$8,EOMONTH(F748,0)&lt;&gt;F748),IF('депозитный калькулятор'!$F$1=1,$H$24,IF(AND(OR('депозитный калькулятор'!$G$7="30/365",'депозитный калькулятор'!$G$7="30/360"),DAY(F748)=31),0,MIN(OFFSET(H748,-E748+1,0):H748)*(E748+SUMIF(OFFSET(A748,-E748+1,0):A748,"=2",OFFSET(A748,-E748+1,0):A748)))),IF(AND('депозитный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калькулятор'!$G$7="30/360"),DAY(EOMONTH(F748,0))=31),EOMONTH(F748,0)-1=F748,EOMONTH(F748,0)=F748)),IF(IF(AND(OR('депозитный калькулятор'!$G$7="30/365",'депозитный калькулятор'!$G$7="30/360"),DAY(EOMONTH($F$23,0))=31),F748=EOMONTH($F$23,0)-1,F748=EOMONTH($F$23,0)),MIN(OFFSET(H748,-(DAY(F748)-DAY($F$23)),0):H748)*E748,MIN(OFFSET(H748,-(DAY(F748)-1),0):H748)*IF(AND(OR('депозитный калькулятор'!$G$7="30/365",'депозитный калькулятор'!$G$7="30/360"),DAY(F748)&lt;30),30,DAY(F748))),IF(AND('депозитный калькулятор'!$G$10="ежемесячное, на средний остаток в течение месяца, при условии что остаток больше чем ограничение",F748='депозитный калькулятор'!$D$8,EOMONTH(F748,0)&lt;&gt;F748),IF('депозитный калькулятор'!$F$1=1,$H$24,SUM(OFFSET(Q748,-E748+1,0):Q748)),IF(AND('депозитный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калькулятор'!$G$7="30/360"),DAY(EOMONTH(F748,0))=31),EOMONTH(F748,0)-1=F748,EOMONTH(F748,0)=F748)),IF(IF(AND(OR('депозитный калькулятор'!$G$7="30/365",'депозитный калькулятор'!$G$7="30/360"),DAY(EOMONTH($F$24,0))=31),F748=EOMONTH($F$24,0)-1,F748=EOMONTH($F$24,0)),SUM(OFFSET(Q748,-E748+1,0):Q748),SUM(OFFSET(Q748,-E748+1,0):Q748)),IF('депозитный калькулятор'!$G$10="ежеквартальное",IF(F748&gt;'депозитный калькулятор'!$D$8," ",IF(AND(EOMONTH(F748,0)=F748,OR(MONTH(F748)=3,MONTH(F748)=6,MONTH(F748)=9,MONTH(F748)=12)),IF(EDATE(F748,-3)&lt;'депозитный калькулятор'!$D$7,SUM($H$23:H748),IF(MOD(YEAR(F748),4)=0,IF(AND(EOMONTH(F748,0)=F748,OR(MONTH(F748)=3,MONTH(F748)=6)),SUM(OFFSET(H748,-90,0):H748),IF(AND(EOMONTH(F748,0)=F748,OR(MONTH(F748)=9,MONTH(F748)=12)),SUM(OFFSET(H748,-91,0):H748))),IF(AND(EOMONTH(F748,0)=F748,MONTH(F748)=3),SUM(OFFSET(H748,-89,0):H748),IF(AND(EOMONTH(F748,0)=F748,MONTH(F748)=6),SUM(OFFSET(H748,-90,0):H748),IF(AND(EOMONTH(F748,0)=F748,OR(MONTH(F748)=9,MONTH(F748)=12)),SUM(OFFSET(H748,-91,0):H748)))))),IF(F748='депозитный калькулятор'!$D$8,SUM($H$23:H748)-SUM($I$23:I747),0))),IF('депозитный калькулятор'!$G$10="ежегодное",IF(F748&gt;'депозитный калькулятор'!$D$8," ",IF(F748='депозитный калькулятор'!$D$8,SUM($H$23:H748)-SUM($I$23:I747),IF(AND(EOMONTH(F748,0)=F748,MONTH(F748)=12),IF(MOD(YEAR(F747),4)=0,IF(F748-'депозитный калькулятор'!$D$7&lt;366,SUM($H$23:H748),SUM(OFFSET(H748,-365,0):H748)),IF(F748-'депозитный калькулятор'!$D$7&lt;365,SUM($H$23:H748),SUM(OFFSET(H748,-364,0):H748))),0))),IF(AND('депозитный калькулятор'!$G$10="в конце срока",'депозитный калькулятор'!$D$8=F748),SUM($H$23:H748),0))))))))))))))))))</f>
        <v xml:space="preserve"> </v>
      </c>
      <c r="J748" s="59" t="str">
        <f>IF(F748&gt;'депозитный калькулятор'!$D$8," ",IF('депозитный калькулятор'!$G$16="нет",0,IF(AND('депозитный калькулятор'!$G$17="разовая (в конце срока)",F748='депозитный калькулятор'!$D$8),'депозитный калькулятор'!$G$18,IF(AND('депозитный калькулятор'!$G$17="ежемесячная",EOMONTH(F747,0)=F747),'депозитный калькулятор'!$G$18,IF(AND('депозитный калькулятор'!$G$17="ежегодная",DAY(F747)=31,MONTH(F747)=12),'депозитный калькулятор'!$G$18,IF(AND('депозитный калькулятор'!$G$17="ежемесячная в зависимости от остатка",EOMONTH(F747,0)=F747,P747&gt;0),'депозитный калькулятор'!$G$18,IF(AND('депозитный калькулятор'!$G$17="ежегодная в зависимости от остатка",DAY(F747)=31,MONTH(F747)=12,P747&gt;0),'депозитный калькулятор'!$G$18,0)))))))</f>
        <v xml:space="preserve"> </v>
      </c>
      <c r="K748" s="135" t="str">
        <f>IF($F748=" "," ",IFERROR(VLOOKUP($F748,'депозитный калькулятор'!$B$26:$F$70,2,0),0))</f>
        <v xml:space="preserve"> </v>
      </c>
      <c r="L748" s="135" t="str">
        <f>IF($F748=" "," ",IFERROR(VLOOKUP($F748,'депозитный калькулятор'!$B$26:$F$70,3,0),0))</f>
        <v xml:space="preserve"> </v>
      </c>
      <c r="M748" s="135" t="str">
        <f>IF($F748=" "," ",IFERROR(VLOOKUP($F748,'депозитный калькулятор'!$B$26:$F$70,4,0),0))</f>
        <v xml:space="preserve"> </v>
      </c>
      <c r="N748" s="135" t="str">
        <f>IF($F748=" "," ",IFERROR(VLOOKUP($F748,'депозитный калькулятор'!$B$26:$F$70,5,0),0))</f>
        <v xml:space="preserve"> </v>
      </c>
      <c r="O748" s="146" t="str">
        <f>IF(F748&gt;'депозитный калькулятор'!$D$8," ",IF(F748='депозитный калькулятор'!$D$8,IF(AND($F$24='депозитный калькулятор'!$D$8,'депозитный калькулятор'!$G$13="нет"),-G748-IF(I748=" ",0,I748)-IF(AND(OR('депозитный калькулятор'!$G$7="30/365",'депозитный калькулятор'!$G$7="30/360"),'депозитный калькулятор'!$G$10="в начале срока"),I747,0)-L748+M748-N748,-G748-IF(I748=" ",0,I748)-L748+M748-N748),IF('депозитный калькулятор'!$G$13="есть",M748-N748+IF('депозитный калькулятор'!$G$14="есть",0,-L748),-IF(I748=" ",0,I748)-IF(AND(OR('депозитный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срока"),I747,0)+M748-N748+IF('депозитный калькулятор'!$G$14="есть",0,-L748))))</f>
        <v xml:space="preserve"> </v>
      </c>
      <c r="P748" s="147" t="str">
        <f>IF(F748&gt;'депозитный калькулятор'!$D$8," ",IF(EOMONTH(F747,0)=F747,0,IF(G748&gt;='депозитный калькулятор'!$G$19,P747,P747+1)))</f>
        <v xml:space="preserve"> </v>
      </c>
      <c r="Q748" s="138" t="str">
        <f>IF(F748=" "," ",IF(AND(OR('депозитный калькулятор'!$G$7="30/365",'депозитный калькулятор'!$G$7="30/360"),AND(MONTH(F748)=2,EOMONTH(F748,0)=F748)),IF(DAY(F748)=28,3,2),1)*IF(G748&gt;='депозитный калькулятор'!$G$11,IF(AND('депозитный калькулятор'!$G$7="факт/факт",MOD(YEAR(F748),4)=0),G748*'депозитный калькулятор'!$D$11/366,G748*'депозитный калькулятор'!$G$8),0))</f>
        <v xml:space="preserve"> </v>
      </c>
      <c r="R748" s="158"/>
      <c r="S748" s="62" t="str">
        <f t="shared" ca="1" si="57"/>
        <v xml:space="preserve"> </v>
      </c>
      <c r="T748" s="149" t="str">
        <f ca="1">IF(S748=" "," ",IF('депозитный калькулятор'!$G$7="30/360",DAYS360(U747,IF(DAY(U748)=31,U748-1,U748))+IF(AND(MONTH(U748)=2,U748=EOMONTH(U748,0)),30-DAY(EOMONTH(U748,0)))+T747,VLOOKUP(S748,$C$22:$F$1023,2,0)))</f>
        <v xml:space="preserve"> </v>
      </c>
      <c r="U748" s="64" t="str">
        <f t="shared" ca="1" si="55"/>
        <v xml:space="preserve"> </v>
      </c>
      <c r="V748" s="150" t="str">
        <f t="shared" ca="1" si="58"/>
        <v xml:space="preserve"> </v>
      </c>
      <c r="W748" s="62" t="str">
        <f t="shared" ca="1" si="59"/>
        <v xml:space="preserve"> </v>
      </c>
      <c r="X748" s="141" t="str">
        <f ca="1">IF(S748=" "," ",IFERROR(VLOOKUP(U748,$F$23:$N$1023,7)+VLOOKUP(U748,$F$23:$N$1023,9)+IF(AND('депозитный калькулятор'!$G$13="нет",U748&lt;&gt;'депозитный калькулятор'!$D$8),VLOOKUP(U748,$F$23:$N$1023,4),0),0)+IF(U748='депозитный калькулятор'!$D$8,VLOOKUP(U748,$F$23:$N$1023,2)+VLOOKUP(U748,$F$23:$N$1023,4),0))</f>
        <v xml:space="preserve"> </v>
      </c>
      <c r="Y748" s="142" t="str">
        <f ca="1">IF(S748=" "," ",W748/(1+'депозитный калькулятор'!$K$8)^(T748/IF('депозитный калькулятор'!$G$7="30/360",360,365)))</f>
        <v xml:space="preserve"> </v>
      </c>
      <c r="Z748" s="142" t="str">
        <f ca="1">IF(S748=" "," ",X748/(1+'депозитный калькулятор'!$K$8)^(T748/IF('депозитный калькулятор'!$G$7="30/360",360,365)))</f>
        <v xml:space="preserve"> </v>
      </c>
      <c r="AA748" s="151"/>
      <c r="AB748" s="151"/>
      <c r="AC748" s="155"/>
      <c r="AD748" s="155"/>
    </row>
    <row r="749" spans="1:30" s="2" customFormat="1" ht="15.5" x14ac:dyDescent="0.35">
      <c r="A749" s="41" t="str">
        <f>IF(F749=" "," ",IF(OR('депозитный калькулятор'!$G$7="30/365",'депозитный калькулятор'!$G$7="30/360"),IF(AND(MONTH(F749)=2,DAY(F749)=DAY(EOMONTH(F749,0))),30-DAY(EOMONTH(F749,0)),IF(DAY(F749)=31,1," "))," "))</f>
        <v xml:space="preserve"> </v>
      </c>
      <c r="B749" s="130" t="str">
        <f t="shared" si="56"/>
        <v xml:space="preserve"> </v>
      </c>
      <c r="C749" s="130" t="str">
        <f>IF(OR(B749=0,B749=" ")," ",SUM($B$23:B749))</f>
        <v xml:space="preserve"> </v>
      </c>
      <c r="D749" s="62" t="str">
        <f>IF(D748=" "," ",IF(OR(F748='депозитный калькулятор'!$D$8,F748=" ")," ",D748+1))</f>
        <v xml:space="preserve"> </v>
      </c>
      <c r="E749" s="130" t="str">
        <f>IF(OR(F748='депозитный калькулятор'!$D$8,F748=" ")," ",IF(EOMONTH(F748,0)=F748,1,E748+1))</f>
        <v xml:space="preserve"> </v>
      </c>
      <c r="F749" s="64" t="str">
        <f>IF(F748=" "," ",IF(F748='депозитный калькулятор'!$D$8," ",F748+1))</f>
        <v xml:space="preserve"> </v>
      </c>
      <c r="G749" s="145" t="str">
        <f xml:space="preserve"> IF(F749&gt;'депозитный калькулятор'!$D$8," ",IF('депозитный калькулятор'!$G$13="есть",IF('депозитный калькулятор'!$G$14="есть",G748+IF(I748=" ",0,I748)-J749-K749+L749+M749-N749,G748+IF(I748=" ",0,I748)-J749-K749+M749-N749),IF('депозитный калькулятор'!$G$14="есть",G748-J749-K749+L749+M749-N749,G748-J749-K749+M749-N749)))</f>
        <v xml:space="preserve"> </v>
      </c>
      <c r="H749" s="133" t="str">
        <f>IF(F749&gt;'депозитный калькулятор'!$D$8," ",IF(AND(OR('депозитный калькулятор'!$G$7="30/365",'депозитный калькулятор'!$G$7="30/360"),AND(MONTH(F749)=2,EOMONTH(F749,0)=F749)),IF(DAY(F749)=28,3*G749*'депозитный калькулятор'!$G$8,2*G749*'депозитный калькулятор'!$G$8),IF(AND(OR('депозитный калькулятор'!$G$7="30/365",'депозитный калькулятор'!$G$7="30/360"),DAY(F749)=31)," ",IF(AND('депозитный калькулятор'!$G$7="факт/факт",MOD(YEAR(F749),4)=0),G749*'депозитный калькулятор'!$D$11/366,G749*'депозитный калькулятор'!$G$8))))</f>
        <v xml:space="preserve"> </v>
      </c>
      <c r="I749" s="134" t="str">
        <f ca="1">IF(F749=" "," ",IF('депозитный калькулятор'!$G$10="ежедневное",H749,IF(AND('депозитный калькулятор'!$G$10="еженедельное",WEEKDAY(F749,2)=7),SUM(OFFSET(H749,-6,0):H749),IF(AND('депозитный калькулятор'!$G$10="еженедельное",F749='депозитный калькулятор'!$D$8),SUM($H$23:H749)-SUM($I$23:I748),IF(AND('депозитный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недели",WEEKDAY(F749,2)=7),MIN(OFFSET(H749,-6,0):H749)*(COUNTIF(OFFSET(H749,-6,0):H749,"&gt;0")+SUMIF(OFFSET(A749,-WEEKDAY(F749,2),0):A749,"=2",OFFSET(A749,-WEEKDAY(F749,2),0):A749)),IF(AND('депозитный калькулятор'!$G$10="еженедельное, на минимальную сумму зафиксированную в течение недели",F749='депозитный калькулятор'!$D$8,WEEKDAY(F749,2)&lt;&gt;7),MIN(OFFSET(H749,-WEEKDAY(F749,2),0):H749)*(COUNTIF(OFFSET(H749,-WEEKDAY(F749,2)+1,0):H749,"&gt;0")+SUM(OFFSET(A749,-WEEKDAY(F749,2),0):A749)),IF(AND('депозитный калькулятор'!$G$10="ежемесячное (в конце месяца)",F749='депозитный калькулятор'!$D$8,EOMONTH(F749,0)&lt;&gt;F749),IF('депозитный калькулятор'!$F$1=1,$H$24,SUM($H$23:H749)-SUM($I$23:I748)),IF(AND('депозитный калькулятор'!$G$10="ежемесячное (в конце месяца)",EOMONTH(F749,0)=F749),SUM($H$23:H749)-SUM($I$23:I748),IF(AND('депозитный калькулятор'!$G$10="ежемесячное (по дням открытия вклада)",F749='депозитный калькулятор'!$D$8,DAY('депозитный калькулятор'!$D$7)&lt;&gt;DAY(F749)),IF('депозитный калькулятор'!$F$1=1,$H$24,SUM($H$23:H749)-SUM($I$23:I748)),IF(AND('депозитный калькулятор'!$G$10="ежемесячное (по дням открытия вклада)",DAY('депозитный калькулятор'!$D$7)=DAY(F749)),SUM($H$23:H749)-SUM($I$23:I748),IF(AND('депозитный калькулятор'!$G$10="ежемесячное, на минимальную сумму зафиксированную в течение месяца",F749='депозитный калькулятор'!$D$8,EOMONTH(F749,0)&lt;&gt;F749),IF('депозитный калькулятор'!$F$1=1,$H$24,IF(AND(OR('депозитный калькулятор'!$G$7="30/365",'депозитный калькулятор'!$G$7="30/360"),DAY(F749)=31),0,MIN(OFFSET(H749,-E749+1,0):H749)*(E749+SUMIF(OFFSET(A749,-E749+1,0):A749,"=2",OFFSET(A749,-E749+1,0):A749)))),IF(AND('депозитный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калькулятор'!$G$7="30/360"),DAY(EOMONTH(F749,0))=31),EOMONTH(F749,0)-1=F749,EOMONTH(F749,0)=F749)),IF(IF(AND(OR('депозитный калькулятор'!$G$7="30/365",'депозитный калькулятор'!$G$7="30/360"),DAY(EOMONTH($F$23,0))=31),F749=EOMONTH($F$23,0)-1,F749=EOMONTH($F$23,0)),MIN(OFFSET(H749,-(DAY(F749)-DAY($F$23)),0):H749)*E749,MIN(OFFSET(H749,-(DAY(F749)-1),0):H749)*IF(AND(OR('депозитный калькулятор'!$G$7="30/365",'депозитный калькулятор'!$G$7="30/360"),DAY(F749)&lt;30),30,DAY(F749))),IF(AND('депозитный калькулятор'!$G$10="ежемесячное, на средний остаток в течение месяца, при условии что остаток больше чем ограничение",F749='депозитный калькулятор'!$D$8,EOMONTH(F749,0)&lt;&gt;F749),IF('депозитный калькулятор'!$F$1=1,$H$24,SUM(OFFSET(Q749,-E749+1,0):Q749)),IF(AND('депозитный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калькулятор'!$G$7="30/360"),DAY(EOMONTH(F749,0))=31),EOMONTH(F749,0)-1=F749,EOMONTH(F749,0)=F749)),IF(IF(AND(OR('депозитный калькулятор'!$G$7="30/365",'депозитный калькулятор'!$G$7="30/360"),DAY(EOMONTH($F$24,0))=31),F749=EOMONTH($F$24,0)-1,F749=EOMONTH($F$24,0)),SUM(OFFSET(Q749,-E749+1,0):Q749),SUM(OFFSET(Q749,-E749+1,0):Q749)),IF('депозитный калькулятор'!$G$10="ежеквартальное",IF(F749&gt;'депозитный калькулятор'!$D$8," ",IF(AND(EOMONTH(F749,0)=F749,OR(MONTH(F749)=3,MONTH(F749)=6,MONTH(F749)=9,MONTH(F749)=12)),IF(EDATE(F749,-3)&lt;'депозитный калькулятор'!$D$7,SUM($H$23:H749),IF(MOD(YEAR(F749),4)=0,IF(AND(EOMONTH(F749,0)=F749,OR(MONTH(F749)=3,MONTH(F749)=6)),SUM(OFFSET(H749,-90,0):H749),IF(AND(EOMONTH(F749,0)=F749,OR(MONTH(F749)=9,MONTH(F749)=12)),SUM(OFFSET(H749,-91,0):H749))),IF(AND(EOMONTH(F749,0)=F749,MONTH(F749)=3),SUM(OFFSET(H749,-89,0):H749),IF(AND(EOMONTH(F749,0)=F749,MONTH(F749)=6),SUM(OFFSET(H749,-90,0):H749),IF(AND(EOMONTH(F749,0)=F749,OR(MONTH(F749)=9,MONTH(F749)=12)),SUM(OFFSET(H749,-91,0):H749)))))),IF(F749='депозитный калькулятор'!$D$8,SUM($H$23:H749)-SUM($I$23:I748),0))),IF('депозитный калькулятор'!$G$10="ежегодное",IF(F749&gt;'депозитный калькулятор'!$D$8," ",IF(F749='депозитный калькулятор'!$D$8,SUM($H$23:H749)-SUM($I$23:I748),IF(AND(EOMONTH(F749,0)=F749,MONTH(F749)=12),IF(MOD(YEAR(F748),4)=0,IF(F749-'депозитный калькулятор'!$D$7&lt;366,SUM($H$23:H749),SUM(OFFSET(H749,-365,0):H749)),IF(F749-'депозитный калькулятор'!$D$7&lt;365,SUM($H$23:H749),SUM(OFFSET(H749,-364,0):H749))),0))),IF(AND('депозитный калькулятор'!$G$10="в конце срока",'депозитный калькулятор'!$D$8=F749),SUM($H$23:H749),0))))))))))))))))))</f>
        <v xml:space="preserve"> </v>
      </c>
      <c r="J749" s="59" t="str">
        <f>IF(F749&gt;'депозитный калькулятор'!$D$8," ",IF('депозитный калькулятор'!$G$16="нет",0,IF(AND('депозитный калькулятор'!$G$17="разовая (в конце срока)",F749='депозитный калькулятор'!$D$8),'депозитный калькулятор'!$G$18,IF(AND('депозитный калькулятор'!$G$17="ежемесячная",EOMONTH(F748,0)=F748),'депозитный калькулятор'!$G$18,IF(AND('депозитный калькулятор'!$G$17="ежегодная",DAY(F748)=31,MONTH(F748)=12),'депозитный калькулятор'!$G$18,IF(AND('депозитный калькулятор'!$G$17="ежемесячная в зависимости от остатка",EOMONTH(F748,0)=F748,P748&gt;0),'депозитный калькулятор'!$G$18,IF(AND('депозитный калькулятор'!$G$17="ежегодная в зависимости от остатка",DAY(F748)=31,MONTH(F748)=12,P748&gt;0),'депозитный калькулятор'!$G$18,0)))))))</f>
        <v xml:space="preserve"> </v>
      </c>
      <c r="K749" s="135" t="str">
        <f>IF($F749=" "," ",IFERROR(VLOOKUP($F749,'депозитный калькулятор'!$B$26:$F$70,2,0),0))</f>
        <v xml:space="preserve"> </v>
      </c>
      <c r="L749" s="135" t="str">
        <f>IF($F749=" "," ",IFERROR(VLOOKUP($F749,'депозитный калькулятор'!$B$26:$F$70,3,0),0))</f>
        <v xml:space="preserve"> </v>
      </c>
      <c r="M749" s="135" t="str">
        <f>IF($F749=" "," ",IFERROR(VLOOKUP($F749,'депозитный калькулятор'!$B$26:$F$70,4,0),0))</f>
        <v xml:space="preserve"> </v>
      </c>
      <c r="N749" s="135" t="str">
        <f>IF($F749=" "," ",IFERROR(VLOOKUP($F749,'депозитный калькулятор'!$B$26:$F$70,5,0),0))</f>
        <v xml:space="preserve"> </v>
      </c>
      <c r="O749" s="146" t="str">
        <f>IF(F749&gt;'депозитный калькулятор'!$D$8," ",IF(F749='депозитный калькулятор'!$D$8,IF(AND($F$24='депозитный калькулятор'!$D$8,'депозитный калькулятор'!$G$13="нет"),-G749-IF(I749=" ",0,I749)-IF(AND(OR('депозитный калькулятор'!$G$7="30/365",'депозитный калькулятор'!$G$7="30/360"),'депозитный калькулятор'!$G$10="в начале срока"),I748,0)-L749+M749-N749,-G749-IF(I749=" ",0,I749)-L749+M749-N749),IF('депозитный калькулятор'!$G$13="есть",M749-N749+IF('депозитный калькулятор'!$G$14="есть",0,-L749),-IF(I749=" ",0,I749)-IF(AND(OR('депозитный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срока"),I748,0)+M749-N749+IF('депозитный калькулятор'!$G$14="есть",0,-L749))))</f>
        <v xml:space="preserve"> </v>
      </c>
      <c r="P749" s="147" t="str">
        <f>IF(F749&gt;'депозитный калькулятор'!$D$8," ",IF(EOMONTH(F748,0)=F748,0,IF(G749&gt;='депозитный калькулятор'!$G$19,P748,P748+1)))</f>
        <v xml:space="preserve"> </v>
      </c>
      <c r="Q749" s="138" t="str">
        <f>IF(F749=" "," ",IF(AND(OR('депозитный калькулятор'!$G$7="30/365",'депозитный калькулятор'!$G$7="30/360"),AND(MONTH(F749)=2,EOMONTH(F749,0)=F749)),IF(DAY(F749)=28,3,2),1)*IF(G749&gt;='депозитный калькулятор'!$G$11,IF(AND('депозитный калькулятор'!$G$7="факт/факт",MOD(YEAR(F749),4)=0),G749*'депозитный калькулятор'!$D$11/366,G749*'депозитный калькулятор'!$G$8),0))</f>
        <v xml:space="preserve"> </v>
      </c>
      <c r="R749" s="158"/>
      <c r="S749" s="62" t="str">
        <f t="shared" ca="1" si="57"/>
        <v xml:space="preserve"> </v>
      </c>
      <c r="T749" s="149" t="str">
        <f ca="1">IF(S749=" "," ",IF('депозитный калькулятор'!$G$7="30/360",DAYS360(U748,IF(DAY(U749)=31,U749-1,U749))+IF(AND(MONTH(U749)=2,U749=EOMONTH(U749,0)),30-DAY(EOMONTH(U749,0)))+T748,VLOOKUP(S749,$C$22:$F$1023,2,0)))</f>
        <v xml:space="preserve"> </v>
      </c>
      <c r="U749" s="64" t="str">
        <f t="shared" ca="1" si="55"/>
        <v xml:space="preserve"> </v>
      </c>
      <c r="V749" s="150" t="str">
        <f t="shared" ca="1" si="58"/>
        <v xml:space="preserve"> </v>
      </c>
      <c r="W749" s="62" t="str">
        <f t="shared" ca="1" si="59"/>
        <v xml:space="preserve"> </v>
      </c>
      <c r="X749" s="141" t="str">
        <f ca="1">IF(S749=" "," ",IFERROR(VLOOKUP(U749,$F$23:$N$1023,7)+VLOOKUP(U749,$F$23:$N$1023,9)+IF(AND('депозитный калькулятор'!$G$13="нет",U749&lt;&gt;'депозитный калькулятор'!$D$8),VLOOKUP(U749,$F$23:$N$1023,4),0),0)+IF(U749='депозитный калькулятор'!$D$8,VLOOKUP(U749,$F$23:$N$1023,2)+VLOOKUP(U749,$F$23:$N$1023,4),0))</f>
        <v xml:space="preserve"> </v>
      </c>
      <c r="Y749" s="142" t="str">
        <f ca="1">IF(S749=" "," ",W749/(1+'депозитный калькулятор'!$K$8)^(T749/IF('депозитный калькулятор'!$G$7="30/360",360,365)))</f>
        <v xml:space="preserve"> </v>
      </c>
      <c r="Z749" s="142" t="str">
        <f ca="1">IF(S749=" "," ",X749/(1+'депозитный калькулятор'!$K$8)^(T749/IF('депозитный калькулятор'!$G$7="30/360",360,365)))</f>
        <v xml:space="preserve"> </v>
      </c>
      <c r="AA749" s="151"/>
      <c r="AB749" s="151"/>
      <c r="AC749" s="155"/>
      <c r="AD749" s="155"/>
    </row>
    <row r="750" spans="1:30" s="2" customFormat="1" ht="15.5" x14ac:dyDescent="0.35">
      <c r="A750" s="41" t="str">
        <f>IF(F750=" "," ",IF(OR('депозитный калькулятор'!$G$7="30/365",'депозитный калькулятор'!$G$7="30/360"),IF(AND(MONTH(F750)=2,DAY(F750)=DAY(EOMONTH(F750,0))),30-DAY(EOMONTH(F750,0)),IF(DAY(F750)=31,1," "))," "))</f>
        <v xml:space="preserve"> </v>
      </c>
      <c r="B750" s="130" t="str">
        <f t="shared" si="56"/>
        <v xml:space="preserve"> </v>
      </c>
      <c r="C750" s="130" t="str">
        <f>IF(OR(B750=0,B750=" ")," ",SUM($B$23:B750))</f>
        <v xml:space="preserve"> </v>
      </c>
      <c r="D750" s="62" t="str">
        <f>IF(D749=" "," ",IF(OR(F749='депозитный калькулятор'!$D$8,F749=" ")," ",D749+1))</f>
        <v xml:space="preserve"> </v>
      </c>
      <c r="E750" s="130" t="str">
        <f>IF(OR(F749='депозитный калькулятор'!$D$8,F749=" ")," ",IF(EOMONTH(F749,0)=F749,1,E749+1))</f>
        <v xml:space="preserve"> </v>
      </c>
      <c r="F750" s="64" t="str">
        <f>IF(F749=" "," ",IF(F749='депозитный калькулятор'!$D$8," ",F749+1))</f>
        <v xml:space="preserve"> </v>
      </c>
      <c r="G750" s="145" t="str">
        <f xml:space="preserve"> IF(F750&gt;'депозитный калькулятор'!$D$8," ",IF('депозитный калькулятор'!$G$13="есть",IF('депозитный калькулятор'!$G$14="есть",G749+IF(I749=" ",0,I749)-J750-K750+L750+M750-N750,G749+IF(I749=" ",0,I749)-J750-K750+M750-N750),IF('депозитный калькулятор'!$G$14="есть",G749-J750-K750+L750+M750-N750,G749-J750-K750+M750-N750)))</f>
        <v xml:space="preserve"> </v>
      </c>
      <c r="H750" s="133" t="str">
        <f>IF(F750&gt;'депозитный калькулятор'!$D$8," ",IF(AND(OR('депозитный калькулятор'!$G$7="30/365",'депозитный калькулятор'!$G$7="30/360"),AND(MONTH(F750)=2,EOMONTH(F750,0)=F750)),IF(DAY(F750)=28,3*G750*'депозитный калькулятор'!$G$8,2*G750*'депозитный калькулятор'!$G$8),IF(AND(OR('депозитный калькулятор'!$G$7="30/365",'депозитный калькулятор'!$G$7="30/360"),DAY(F750)=31)," ",IF(AND('депозитный калькулятор'!$G$7="факт/факт",MOD(YEAR(F750),4)=0),G750*'депозитный калькулятор'!$D$11/366,G750*'депозитный калькулятор'!$G$8))))</f>
        <v xml:space="preserve"> </v>
      </c>
      <c r="I750" s="134" t="str">
        <f ca="1">IF(F750=" "," ",IF('депозитный калькулятор'!$G$10="ежедневное",H750,IF(AND('депозитный калькулятор'!$G$10="еженедельное",WEEKDAY(F750,2)=7),SUM(OFFSET(H750,-6,0):H750),IF(AND('депозитный калькулятор'!$G$10="еженедельное",F750='депозитный калькулятор'!$D$8),SUM($H$23:H750)-SUM($I$23:I749),IF(AND('депозитный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недели",WEEKDAY(F750,2)=7),MIN(OFFSET(H750,-6,0):H750)*(COUNTIF(OFFSET(H750,-6,0):H750,"&gt;0")+SUMIF(OFFSET(A750,-WEEKDAY(F750,2),0):A750,"=2",OFFSET(A750,-WEEKDAY(F750,2),0):A750)),IF(AND('депозитный калькулятор'!$G$10="еженедельное, на минимальную сумму зафиксированную в течение недели",F750='депозитный калькулятор'!$D$8,WEEKDAY(F750,2)&lt;&gt;7),MIN(OFFSET(H750,-WEEKDAY(F750,2),0):H750)*(COUNTIF(OFFSET(H750,-WEEKDAY(F750,2)+1,0):H750,"&gt;0")+SUM(OFFSET(A750,-WEEKDAY(F750,2),0):A750)),IF(AND('депозитный калькулятор'!$G$10="ежемесячное (в конце месяца)",F750='депозитный калькулятор'!$D$8,EOMONTH(F750,0)&lt;&gt;F750),IF('депозитный калькулятор'!$F$1=1,$H$24,SUM($H$23:H750)-SUM($I$23:I749)),IF(AND('депозитный калькулятор'!$G$10="ежемесячное (в конце месяца)",EOMONTH(F750,0)=F750),SUM($H$23:H750)-SUM($I$23:I749),IF(AND('депозитный калькулятор'!$G$10="ежемесячное (по дням открытия вклада)",F750='депозитный калькулятор'!$D$8,DAY('депозитный калькулятор'!$D$7)&lt;&gt;DAY(F750)),IF('депозитный калькулятор'!$F$1=1,$H$24,SUM($H$23:H750)-SUM($I$23:I749)),IF(AND('депозитный калькулятор'!$G$10="ежемесячное (по дням открытия вклада)",DAY('депозитный калькулятор'!$D$7)=DAY(F750)),SUM($H$23:H750)-SUM($I$23:I749),IF(AND('депозитный калькулятор'!$G$10="ежемесячное, на минимальную сумму зафиксированную в течение месяца",F750='депозитный калькулятор'!$D$8,EOMONTH(F750,0)&lt;&gt;F750),IF('депозитный калькулятор'!$F$1=1,$H$24,IF(AND(OR('депозитный калькулятор'!$G$7="30/365",'депозитный калькулятор'!$G$7="30/360"),DAY(F750)=31),0,MIN(OFFSET(H750,-E750+1,0):H750)*(E750+SUMIF(OFFSET(A750,-E750+1,0):A750,"=2",OFFSET(A750,-E750+1,0):A750)))),IF(AND('депозитный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калькулятор'!$G$7="30/360"),DAY(EOMONTH(F750,0))=31),EOMONTH(F750,0)-1=F750,EOMONTH(F750,0)=F750)),IF(IF(AND(OR('депозитный калькулятор'!$G$7="30/365",'депозитный калькулятор'!$G$7="30/360"),DAY(EOMONTH($F$23,0))=31),F750=EOMONTH($F$23,0)-1,F750=EOMONTH($F$23,0)),MIN(OFFSET(H750,-(DAY(F750)-DAY($F$23)),0):H750)*E750,MIN(OFFSET(H750,-(DAY(F750)-1),0):H750)*IF(AND(OR('депозитный калькулятор'!$G$7="30/365",'депозитный калькулятор'!$G$7="30/360"),DAY(F750)&lt;30),30,DAY(F750))),IF(AND('депозитный калькулятор'!$G$10="ежемесячное, на средний остаток в течение месяца, при условии что остаток больше чем ограничение",F750='депозитный калькулятор'!$D$8,EOMONTH(F750,0)&lt;&gt;F750),IF('депозитный калькулятор'!$F$1=1,$H$24,SUM(OFFSET(Q750,-E750+1,0):Q750)),IF(AND('депозитный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калькулятор'!$G$7="30/360"),DAY(EOMONTH(F750,0))=31),EOMONTH(F750,0)-1=F750,EOMONTH(F750,0)=F750)),IF(IF(AND(OR('депозитный калькулятор'!$G$7="30/365",'депозитный калькулятор'!$G$7="30/360"),DAY(EOMONTH($F$24,0))=31),F750=EOMONTH($F$24,0)-1,F750=EOMONTH($F$24,0)),SUM(OFFSET(Q750,-E750+1,0):Q750),SUM(OFFSET(Q750,-E750+1,0):Q750)),IF('депозитный калькулятор'!$G$10="ежеквартальное",IF(F750&gt;'депозитный калькулятор'!$D$8," ",IF(AND(EOMONTH(F750,0)=F750,OR(MONTH(F750)=3,MONTH(F750)=6,MONTH(F750)=9,MONTH(F750)=12)),IF(EDATE(F750,-3)&lt;'депозитный калькулятор'!$D$7,SUM($H$23:H750),IF(MOD(YEAR(F750),4)=0,IF(AND(EOMONTH(F750,0)=F750,OR(MONTH(F750)=3,MONTH(F750)=6)),SUM(OFFSET(H750,-90,0):H750),IF(AND(EOMONTH(F750,0)=F750,OR(MONTH(F750)=9,MONTH(F750)=12)),SUM(OFFSET(H750,-91,0):H750))),IF(AND(EOMONTH(F750,0)=F750,MONTH(F750)=3),SUM(OFFSET(H750,-89,0):H750),IF(AND(EOMONTH(F750,0)=F750,MONTH(F750)=6),SUM(OFFSET(H750,-90,0):H750),IF(AND(EOMONTH(F750,0)=F750,OR(MONTH(F750)=9,MONTH(F750)=12)),SUM(OFFSET(H750,-91,0):H750)))))),IF(F750='депозитный калькулятор'!$D$8,SUM($H$23:H750)-SUM($I$23:I749),0))),IF('депозитный калькулятор'!$G$10="ежегодное",IF(F750&gt;'депозитный калькулятор'!$D$8," ",IF(F750='депозитный калькулятор'!$D$8,SUM($H$23:H750)-SUM($I$23:I749),IF(AND(EOMONTH(F750,0)=F750,MONTH(F750)=12),IF(MOD(YEAR(F749),4)=0,IF(F750-'депозитный калькулятор'!$D$7&lt;366,SUM($H$23:H750),SUM(OFFSET(H750,-365,0):H750)),IF(F750-'депозитный калькулятор'!$D$7&lt;365,SUM($H$23:H750),SUM(OFFSET(H750,-364,0):H750))),0))),IF(AND('депозитный калькулятор'!$G$10="в конце срока",'депозитный калькулятор'!$D$8=F750),SUM($H$23:H750),0))))))))))))))))))</f>
        <v xml:space="preserve"> </v>
      </c>
      <c r="J750" s="59" t="str">
        <f>IF(F750&gt;'депозитный калькулятор'!$D$8," ",IF('депозитный калькулятор'!$G$16="нет",0,IF(AND('депозитный калькулятор'!$G$17="разовая (в конце срока)",F750='депозитный калькулятор'!$D$8),'депозитный калькулятор'!$G$18,IF(AND('депозитный калькулятор'!$G$17="ежемесячная",EOMONTH(F749,0)=F749),'депозитный калькулятор'!$G$18,IF(AND('депозитный калькулятор'!$G$17="ежегодная",DAY(F749)=31,MONTH(F749)=12),'депозитный калькулятор'!$G$18,IF(AND('депозитный калькулятор'!$G$17="ежемесячная в зависимости от остатка",EOMONTH(F749,0)=F749,P749&gt;0),'депозитный калькулятор'!$G$18,IF(AND('депозитный калькулятор'!$G$17="ежегодная в зависимости от остатка",DAY(F749)=31,MONTH(F749)=12,P749&gt;0),'депозитный калькулятор'!$G$18,0)))))))</f>
        <v xml:space="preserve"> </v>
      </c>
      <c r="K750" s="135" t="str">
        <f>IF($F750=" "," ",IFERROR(VLOOKUP($F750,'депозитный калькулятор'!$B$26:$F$70,2,0),0))</f>
        <v xml:space="preserve"> </v>
      </c>
      <c r="L750" s="135" t="str">
        <f>IF($F750=" "," ",IFERROR(VLOOKUP($F750,'депозитный калькулятор'!$B$26:$F$70,3,0),0))</f>
        <v xml:space="preserve"> </v>
      </c>
      <c r="M750" s="135" t="str">
        <f>IF($F750=" "," ",IFERROR(VLOOKUP($F750,'депозитный калькулятор'!$B$26:$F$70,4,0),0))</f>
        <v xml:space="preserve"> </v>
      </c>
      <c r="N750" s="135" t="str">
        <f>IF($F750=" "," ",IFERROR(VLOOKUP($F750,'депозитный калькулятор'!$B$26:$F$70,5,0),0))</f>
        <v xml:space="preserve"> </v>
      </c>
      <c r="O750" s="146" t="str">
        <f>IF(F750&gt;'депозитный калькулятор'!$D$8," ",IF(F750='депозитный калькулятор'!$D$8,IF(AND($F$24='депозитный калькулятор'!$D$8,'депозитный калькулятор'!$G$13="нет"),-G750-IF(I750=" ",0,I750)-IF(AND(OR('депозитный калькулятор'!$G$7="30/365",'депозитный калькулятор'!$G$7="30/360"),'депозитный калькулятор'!$G$10="в начале срока"),I749,0)-L750+M750-N750,-G750-IF(I750=" ",0,I750)-L750+M750-N750),IF('депозитный калькулятор'!$G$13="есть",M750-N750+IF('депозитный калькулятор'!$G$14="есть",0,-L750),-IF(I750=" ",0,I750)-IF(AND(OR('депозитный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срока"),I749,0)+M750-N750+IF('депозитный калькулятор'!$G$14="есть",0,-L750))))</f>
        <v xml:space="preserve"> </v>
      </c>
      <c r="P750" s="147" t="str">
        <f>IF(F750&gt;'депозитный калькулятор'!$D$8," ",IF(EOMONTH(F749,0)=F749,0,IF(G750&gt;='депозитный калькулятор'!$G$19,P749,P749+1)))</f>
        <v xml:space="preserve"> </v>
      </c>
      <c r="Q750" s="138" t="str">
        <f>IF(F750=" "," ",IF(AND(OR('депозитный калькулятор'!$G$7="30/365",'депозитный калькулятор'!$G$7="30/360"),AND(MONTH(F750)=2,EOMONTH(F750,0)=F750)),IF(DAY(F750)=28,3,2),1)*IF(G750&gt;='депозитный калькулятор'!$G$11,IF(AND('депозитный калькулятор'!$G$7="факт/факт",MOD(YEAR(F750),4)=0),G750*'депозитный калькулятор'!$D$11/366,G750*'депозитный калькулятор'!$G$8),0))</f>
        <v xml:space="preserve"> </v>
      </c>
      <c r="R750" s="158"/>
      <c r="S750" s="62" t="str">
        <f t="shared" ca="1" si="57"/>
        <v xml:space="preserve"> </v>
      </c>
      <c r="T750" s="149" t="str">
        <f ca="1">IF(S750=" "," ",IF('депозитный калькулятор'!$G$7="30/360",DAYS360(U749,IF(DAY(U750)=31,U750-1,U750))+IF(AND(MONTH(U750)=2,U750=EOMONTH(U750,0)),30-DAY(EOMONTH(U750,0)))+T749,VLOOKUP(S750,$C$22:$F$1023,2,0)))</f>
        <v xml:space="preserve"> </v>
      </c>
      <c r="U750" s="64" t="str">
        <f t="shared" ca="1" si="55"/>
        <v xml:space="preserve"> </v>
      </c>
      <c r="V750" s="150" t="str">
        <f t="shared" ca="1" si="58"/>
        <v xml:space="preserve"> </v>
      </c>
      <c r="W750" s="62" t="str">
        <f t="shared" ca="1" si="59"/>
        <v xml:space="preserve"> </v>
      </c>
      <c r="X750" s="141" t="str">
        <f ca="1">IF(S750=" "," ",IFERROR(VLOOKUP(U750,$F$23:$N$1023,7)+VLOOKUP(U750,$F$23:$N$1023,9)+IF(AND('депозитный калькулятор'!$G$13="нет",U750&lt;&gt;'депозитный калькулятор'!$D$8),VLOOKUP(U750,$F$23:$N$1023,4),0),0)+IF(U750='депозитный калькулятор'!$D$8,VLOOKUP(U750,$F$23:$N$1023,2)+VLOOKUP(U750,$F$23:$N$1023,4),0))</f>
        <v xml:space="preserve"> </v>
      </c>
      <c r="Y750" s="142" t="str">
        <f ca="1">IF(S750=" "," ",W750/(1+'депозитный калькулятор'!$K$8)^(T750/IF('депозитный калькулятор'!$G$7="30/360",360,365)))</f>
        <v xml:space="preserve"> </v>
      </c>
      <c r="Z750" s="142" t="str">
        <f ca="1">IF(S750=" "," ",X750/(1+'депозитный калькулятор'!$K$8)^(T750/IF('депозитный калькулятор'!$G$7="30/360",360,365)))</f>
        <v xml:space="preserve"> </v>
      </c>
      <c r="AA750" s="151"/>
      <c r="AB750" s="151"/>
      <c r="AC750" s="155"/>
      <c r="AD750" s="155"/>
    </row>
    <row r="751" spans="1:30" s="2" customFormat="1" ht="15.5" x14ac:dyDescent="0.35">
      <c r="A751" s="41" t="str">
        <f>IF(F751=" "," ",IF(OR('депозитный калькулятор'!$G$7="30/365",'депозитный калькулятор'!$G$7="30/360"),IF(AND(MONTH(F751)=2,DAY(F751)=DAY(EOMONTH(F751,0))),30-DAY(EOMONTH(F751,0)),IF(DAY(F751)=31,1," "))," "))</f>
        <v xml:space="preserve"> </v>
      </c>
      <c r="B751" s="130" t="str">
        <f t="shared" si="56"/>
        <v xml:space="preserve"> </v>
      </c>
      <c r="C751" s="130" t="str">
        <f>IF(OR(B751=0,B751=" ")," ",SUM($B$23:B751))</f>
        <v xml:space="preserve"> </v>
      </c>
      <c r="D751" s="62" t="str">
        <f>IF(D750=" "," ",IF(OR(F750='депозитный калькулятор'!$D$8,F750=" ")," ",D750+1))</f>
        <v xml:space="preserve"> </v>
      </c>
      <c r="E751" s="130" t="str">
        <f>IF(OR(F750='депозитный калькулятор'!$D$8,F750=" ")," ",IF(EOMONTH(F750,0)=F750,1,E750+1))</f>
        <v xml:space="preserve"> </v>
      </c>
      <c r="F751" s="64" t="str">
        <f>IF(F750=" "," ",IF(F750='депозитный калькулятор'!$D$8," ",F750+1))</f>
        <v xml:space="preserve"> </v>
      </c>
      <c r="G751" s="145" t="str">
        <f xml:space="preserve"> IF(F751&gt;'депозитный калькулятор'!$D$8," ",IF('депозитный калькулятор'!$G$13="есть",IF('депозитный калькулятор'!$G$14="есть",G750+IF(I750=" ",0,I750)-J751-K751+L751+M751-N751,G750+IF(I750=" ",0,I750)-J751-K751+M751-N751),IF('депозитный калькулятор'!$G$14="есть",G750-J751-K751+L751+M751-N751,G750-J751-K751+M751-N751)))</f>
        <v xml:space="preserve"> </v>
      </c>
      <c r="H751" s="133" t="str">
        <f>IF(F751&gt;'депозитный калькулятор'!$D$8," ",IF(AND(OR('депозитный калькулятор'!$G$7="30/365",'депозитный калькулятор'!$G$7="30/360"),AND(MONTH(F751)=2,EOMONTH(F751,0)=F751)),IF(DAY(F751)=28,3*G751*'депозитный калькулятор'!$G$8,2*G751*'депозитный калькулятор'!$G$8),IF(AND(OR('депозитный калькулятор'!$G$7="30/365",'депозитный калькулятор'!$G$7="30/360"),DAY(F751)=31)," ",IF(AND('депозитный калькулятор'!$G$7="факт/факт",MOD(YEAR(F751),4)=0),G751*'депозитный калькулятор'!$D$11/366,G751*'депозитный калькулятор'!$G$8))))</f>
        <v xml:space="preserve"> </v>
      </c>
      <c r="I751" s="134" t="str">
        <f ca="1">IF(F751=" "," ",IF('депозитный калькулятор'!$G$10="ежедневное",H751,IF(AND('депозитный калькулятор'!$G$10="еженедельное",WEEKDAY(F751,2)=7),SUM(OFFSET(H751,-6,0):H751),IF(AND('депозитный калькулятор'!$G$10="еженедельное",F751='депозитный калькулятор'!$D$8),SUM($H$23:H751)-SUM($I$23:I750),IF(AND('депозитный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недели",WEEKDAY(F751,2)=7),MIN(OFFSET(H751,-6,0):H751)*(COUNTIF(OFFSET(H751,-6,0):H751,"&gt;0")+SUMIF(OFFSET(A751,-WEEKDAY(F751,2),0):A751,"=2",OFFSET(A751,-WEEKDAY(F751,2),0):A751)),IF(AND('депозитный калькулятор'!$G$10="еженедельное, на минимальную сумму зафиксированную в течение недели",F751='депозитный калькулятор'!$D$8,WEEKDAY(F751,2)&lt;&gt;7),MIN(OFFSET(H751,-WEEKDAY(F751,2),0):H751)*(COUNTIF(OFFSET(H751,-WEEKDAY(F751,2)+1,0):H751,"&gt;0")+SUM(OFFSET(A751,-WEEKDAY(F751,2),0):A751)),IF(AND('депозитный калькулятор'!$G$10="ежемесячное (в конце месяца)",F751='депозитный калькулятор'!$D$8,EOMONTH(F751,0)&lt;&gt;F751),IF('депозитный калькулятор'!$F$1=1,$H$24,SUM($H$23:H751)-SUM($I$23:I750)),IF(AND('депозитный калькулятор'!$G$10="ежемесячное (в конце месяца)",EOMONTH(F751,0)=F751),SUM($H$23:H751)-SUM($I$23:I750),IF(AND('депозитный калькулятор'!$G$10="ежемесячное (по дням открытия вклада)",F751='депозитный калькулятор'!$D$8,DAY('депозитный калькулятор'!$D$7)&lt;&gt;DAY(F751)),IF('депозитный калькулятор'!$F$1=1,$H$24,SUM($H$23:H751)-SUM($I$23:I750)),IF(AND('депозитный калькулятор'!$G$10="ежемесячное (по дням открытия вклада)",DAY('депозитный калькулятор'!$D$7)=DAY(F751)),SUM($H$23:H751)-SUM($I$23:I750),IF(AND('депозитный калькулятор'!$G$10="ежемесячное, на минимальную сумму зафиксированную в течение месяца",F751='депозитный калькулятор'!$D$8,EOMONTH(F751,0)&lt;&gt;F751),IF('депозитный калькулятор'!$F$1=1,$H$24,IF(AND(OR('депозитный калькулятор'!$G$7="30/365",'депозитный калькулятор'!$G$7="30/360"),DAY(F751)=31),0,MIN(OFFSET(H751,-E751+1,0):H751)*(E751+SUMIF(OFFSET(A751,-E751+1,0):A751,"=2",OFFSET(A751,-E751+1,0):A751)))),IF(AND('депозитный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калькулятор'!$G$7="30/360"),DAY(EOMONTH(F751,0))=31),EOMONTH(F751,0)-1=F751,EOMONTH(F751,0)=F751)),IF(IF(AND(OR('депозитный калькулятор'!$G$7="30/365",'депозитный калькулятор'!$G$7="30/360"),DAY(EOMONTH($F$23,0))=31),F751=EOMONTH($F$23,0)-1,F751=EOMONTH($F$23,0)),MIN(OFFSET(H751,-(DAY(F751)-DAY($F$23)),0):H751)*E751,MIN(OFFSET(H751,-(DAY(F751)-1),0):H751)*IF(AND(OR('депозитный калькулятор'!$G$7="30/365",'депозитный калькулятор'!$G$7="30/360"),DAY(F751)&lt;30),30,DAY(F751))),IF(AND('депозитный калькулятор'!$G$10="ежемесячное, на средний остаток в течение месяца, при условии что остаток больше чем ограничение",F751='депозитный калькулятор'!$D$8,EOMONTH(F751,0)&lt;&gt;F751),IF('депозитный калькулятор'!$F$1=1,$H$24,SUM(OFFSET(Q751,-E751+1,0):Q751)),IF(AND('депозитный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калькулятор'!$G$7="30/360"),DAY(EOMONTH(F751,0))=31),EOMONTH(F751,0)-1=F751,EOMONTH(F751,0)=F751)),IF(IF(AND(OR('депозитный калькулятор'!$G$7="30/365",'депозитный калькулятор'!$G$7="30/360"),DAY(EOMONTH($F$24,0))=31),F751=EOMONTH($F$24,0)-1,F751=EOMONTH($F$24,0)),SUM(OFFSET(Q751,-E751+1,0):Q751),SUM(OFFSET(Q751,-E751+1,0):Q751)),IF('депозитный калькулятор'!$G$10="ежеквартальное",IF(F751&gt;'депозитный калькулятор'!$D$8," ",IF(AND(EOMONTH(F751,0)=F751,OR(MONTH(F751)=3,MONTH(F751)=6,MONTH(F751)=9,MONTH(F751)=12)),IF(EDATE(F751,-3)&lt;'депозитный калькулятор'!$D$7,SUM($H$23:H751),IF(MOD(YEAR(F751),4)=0,IF(AND(EOMONTH(F751,0)=F751,OR(MONTH(F751)=3,MONTH(F751)=6)),SUM(OFFSET(H751,-90,0):H751),IF(AND(EOMONTH(F751,0)=F751,OR(MONTH(F751)=9,MONTH(F751)=12)),SUM(OFFSET(H751,-91,0):H751))),IF(AND(EOMONTH(F751,0)=F751,MONTH(F751)=3),SUM(OFFSET(H751,-89,0):H751),IF(AND(EOMONTH(F751,0)=F751,MONTH(F751)=6),SUM(OFFSET(H751,-90,0):H751),IF(AND(EOMONTH(F751,0)=F751,OR(MONTH(F751)=9,MONTH(F751)=12)),SUM(OFFSET(H751,-91,0):H751)))))),IF(F751='депозитный калькулятор'!$D$8,SUM($H$23:H751)-SUM($I$23:I750),0))),IF('депозитный калькулятор'!$G$10="ежегодное",IF(F751&gt;'депозитный калькулятор'!$D$8," ",IF(F751='депозитный калькулятор'!$D$8,SUM($H$23:H751)-SUM($I$23:I750),IF(AND(EOMONTH(F751,0)=F751,MONTH(F751)=12),IF(MOD(YEAR(F750),4)=0,IF(F751-'депозитный калькулятор'!$D$7&lt;366,SUM($H$23:H751),SUM(OFFSET(H751,-365,0):H751)),IF(F751-'депозитный калькулятор'!$D$7&lt;365,SUM($H$23:H751),SUM(OFFSET(H751,-364,0):H751))),0))),IF(AND('депозитный калькулятор'!$G$10="в конце срока",'депозитный калькулятор'!$D$8=F751),SUM($H$23:H751),0))))))))))))))))))</f>
        <v xml:space="preserve"> </v>
      </c>
      <c r="J751" s="59" t="str">
        <f>IF(F751&gt;'депозитный калькулятор'!$D$8," ",IF('депозитный калькулятор'!$G$16="нет",0,IF(AND('депозитный калькулятор'!$G$17="разовая (в конце срока)",F751='депозитный калькулятор'!$D$8),'депозитный калькулятор'!$G$18,IF(AND('депозитный калькулятор'!$G$17="ежемесячная",EOMONTH(F750,0)=F750),'депозитный калькулятор'!$G$18,IF(AND('депозитный калькулятор'!$G$17="ежегодная",DAY(F750)=31,MONTH(F750)=12),'депозитный калькулятор'!$G$18,IF(AND('депозитный калькулятор'!$G$17="ежемесячная в зависимости от остатка",EOMONTH(F750,0)=F750,P750&gt;0),'депозитный калькулятор'!$G$18,IF(AND('депозитный калькулятор'!$G$17="ежегодная в зависимости от остатка",DAY(F750)=31,MONTH(F750)=12,P750&gt;0),'депозитный калькулятор'!$G$18,0)))))))</f>
        <v xml:space="preserve"> </v>
      </c>
      <c r="K751" s="135" t="str">
        <f>IF($F751=" "," ",IFERROR(VLOOKUP($F751,'депозитный калькулятор'!$B$26:$F$70,2,0),0))</f>
        <v xml:space="preserve"> </v>
      </c>
      <c r="L751" s="135" t="str">
        <f>IF($F751=" "," ",IFERROR(VLOOKUP($F751,'депозитный калькулятор'!$B$26:$F$70,3,0),0))</f>
        <v xml:space="preserve"> </v>
      </c>
      <c r="M751" s="135" t="str">
        <f>IF($F751=" "," ",IFERROR(VLOOKUP($F751,'депозитный калькулятор'!$B$26:$F$70,4,0),0))</f>
        <v xml:space="preserve"> </v>
      </c>
      <c r="N751" s="135" t="str">
        <f>IF($F751=" "," ",IFERROR(VLOOKUP($F751,'депозитный калькулятор'!$B$26:$F$70,5,0),0))</f>
        <v xml:space="preserve"> </v>
      </c>
      <c r="O751" s="146" t="str">
        <f>IF(F751&gt;'депозитный калькулятор'!$D$8," ",IF(F751='депозитный калькулятор'!$D$8,IF(AND($F$24='депозитный калькулятор'!$D$8,'депозитный калькулятор'!$G$13="нет"),-G751-IF(I751=" ",0,I751)-IF(AND(OR('депозитный калькулятор'!$G$7="30/365",'депозитный калькулятор'!$G$7="30/360"),'депозитный калькулятор'!$G$10="в начале срока"),I750,0)-L751+M751-N751,-G751-IF(I751=" ",0,I751)-L751+M751-N751),IF('депозитный калькулятор'!$G$13="есть",M751-N751+IF('депозитный калькулятор'!$G$14="есть",0,-L751),-IF(I751=" ",0,I751)-IF(AND(OR('депозитный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срока"),I750,0)+M751-N751+IF('депозитный калькулятор'!$G$14="есть",0,-L751))))</f>
        <v xml:space="preserve"> </v>
      </c>
      <c r="P751" s="147" t="str">
        <f>IF(F751&gt;'депозитный калькулятор'!$D$8," ",IF(EOMONTH(F750,0)=F750,0,IF(G751&gt;='депозитный калькулятор'!$G$19,P750,P750+1)))</f>
        <v xml:space="preserve"> </v>
      </c>
      <c r="Q751" s="138" t="str">
        <f>IF(F751=" "," ",IF(AND(OR('депозитный калькулятор'!$G$7="30/365",'депозитный калькулятор'!$G$7="30/360"),AND(MONTH(F751)=2,EOMONTH(F751,0)=F751)),IF(DAY(F751)=28,3,2),1)*IF(G751&gt;='депозитный калькулятор'!$G$11,IF(AND('депозитный калькулятор'!$G$7="факт/факт",MOD(YEAR(F751),4)=0),G751*'депозитный калькулятор'!$D$11/366,G751*'депозитный калькулятор'!$G$8),0))</f>
        <v xml:space="preserve"> </v>
      </c>
      <c r="R751" s="158"/>
      <c r="S751" s="62" t="str">
        <f t="shared" ca="1" si="57"/>
        <v xml:space="preserve"> </v>
      </c>
      <c r="T751" s="149" t="str">
        <f ca="1">IF(S751=" "," ",IF('депозитный калькулятор'!$G$7="30/360",DAYS360(U750,IF(DAY(U751)=31,U751-1,U751))+IF(AND(MONTH(U751)=2,U751=EOMONTH(U751,0)),30-DAY(EOMONTH(U751,0)))+T750,VLOOKUP(S751,$C$22:$F$1023,2,0)))</f>
        <v xml:space="preserve"> </v>
      </c>
      <c r="U751" s="64" t="str">
        <f t="shared" ca="1" si="55"/>
        <v xml:space="preserve"> </v>
      </c>
      <c r="V751" s="150" t="str">
        <f t="shared" ca="1" si="58"/>
        <v xml:space="preserve"> </v>
      </c>
      <c r="W751" s="62" t="str">
        <f t="shared" ca="1" si="59"/>
        <v xml:space="preserve"> </v>
      </c>
      <c r="X751" s="141" t="str">
        <f ca="1">IF(S751=" "," ",IFERROR(VLOOKUP(U751,$F$23:$N$1023,7)+VLOOKUP(U751,$F$23:$N$1023,9)+IF(AND('депозитный калькулятор'!$G$13="нет",U751&lt;&gt;'депозитный калькулятор'!$D$8),VLOOKUP(U751,$F$23:$N$1023,4),0),0)+IF(U751='депозитный калькулятор'!$D$8,VLOOKUP(U751,$F$23:$N$1023,2)+VLOOKUP(U751,$F$23:$N$1023,4),0))</f>
        <v xml:space="preserve"> </v>
      </c>
      <c r="Y751" s="142" t="str">
        <f ca="1">IF(S751=" "," ",W751/(1+'депозитный калькулятор'!$K$8)^(T751/IF('депозитный калькулятор'!$G$7="30/360",360,365)))</f>
        <v xml:space="preserve"> </v>
      </c>
      <c r="Z751" s="142" t="str">
        <f ca="1">IF(S751=" "," ",X751/(1+'депозитный калькулятор'!$K$8)^(T751/IF('депозитный калькулятор'!$G$7="30/360",360,365)))</f>
        <v xml:space="preserve"> </v>
      </c>
      <c r="AA751" s="151"/>
      <c r="AB751" s="151"/>
      <c r="AC751" s="155"/>
      <c r="AD751" s="155"/>
    </row>
    <row r="752" spans="1:30" s="2" customFormat="1" ht="15.5" x14ac:dyDescent="0.35">
      <c r="A752" s="41" t="str">
        <f>IF(F752=" "," ",IF(OR('депозитный калькулятор'!$G$7="30/365",'депозитный калькулятор'!$G$7="30/360"),IF(AND(MONTH(F752)=2,DAY(F752)=DAY(EOMONTH(F752,0))),30-DAY(EOMONTH(F752,0)),IF(DAY(F752)=31,1," "))," "))</f>
        <v xml:space="preserve"> </v>
      </c>
      <c r="B752" s="130" t="str">
        <f t="shared" si="56"/>
        <v xml:space="preserve"> </v>
      </c>
      <c r="C752" s="130" t="str">
        <f>IF(OR(B752=0,B752=" ")," ",SUM($B$23:B752))</f>
        <v xml:space="preserve"> </v>
      </c>
      <c r="D752" s="62" t="str">
        <f>IF(D751=" "," ",IF(OR(F751='депозитный калькулятор'!$D$8,F751=" ")," ",D751+1))</f>
        <v xml:space="preserve"> </v>
      </c>
      <c r="E752" s="130" t="str">
        <f>IF(OR(F751='депозитный калькулятор'!$D$8,F751=" ")," ",IF(EOMONTH(F751,0)=F751,1,E751+1))</f>
        <v xml:space="preserve"> </v>
      </c>
      <c r="F752" s="64" t="str">
        <f>IF(F751=" "," ",IF(F751='депозитный калькулятор'!$D$8," ",F751+1))</f>
        <v xml:space="preserve"> </v>
      </c>
      <c r="G752" s="145" t="str">
        <f xml:space="preserve"> IF(F752&gt;'депозитный калькулятор'!$D$8," ",IF('депозитный калькулятор'!$G$13="есть",IF('депозитный калькулятор'!$G$14="есть",G751+IF(I751=" ",0,I751)-J752-K752+L752+M752-N752,G751+IF(I751=" ",0,I751)-J752-K752+M752-N752),IF('депозитный калькулятор'!$G$14="есть",G751-J752-K752+L752+M752-N752,G751-J752-K752+M752-N752)))</f>
        <v xml:space="preserve"> </v>
      </c>
      <c r="H752" s="133" t="str">
        <f>IF(F752&gt;'депозитный калькулятор'!$D$8," ",IF(AND(OR('депозитный калькулятор'!$G$7="30/365",'депозитный калькулятор'!$G$7="30/360"),AND(MONTH(F752)=2,EOMONTH(F752,0)=F752)),IF(DAY(F752)=28,3*G752*'депозитный калькулятор'!$G$8,2*G752*'депозитный калькулятор'!$G$8),IF(AND(OR('депозитный калькулятор'!$G$7="30/365",'депозитный калькулятор'!$G$7="30/360"),DAY(F752)=31)," ",IF(AND('депозитный калькулятор'!$G$7="факт/факт",MOD(YEAR(F752),4)=0),G752*'депозитный калькулятор'!$D$11/366,G752*'депозитный калькулятор'!$G$8))))</f>
        <v xml:space="preserve"> </v>
      </c>
      <c r="I752" s="134" t="str">
        <f ca="1">IF(F752=" "," ",IF('депозитный калькулятор'!$G$10="ежедневное",H752,IF(AND('депозитный калькулятор'!$G$10="еженедельное",WEEKDAY(F752,2)=7),SUM(OFFSET(H752,-6,0):H752),IF(AND('депозитный калькулятор'!$G$10="еженедельное",F752='депозитный калькулятор'!$D$8),SUM($H$23:H752)-SUM($I$23:I751),IF(AND('депозитный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недели",WEEKDAY(F752,2)=7),MIN(OFFSET(H752,-6,0):H752)*(COUNTIF(OFFSET(H752,-6,0):H752,"&gt;0")+SUMIF(OFFSET(A752,-WEEKDAY(F752,2),0):A752,"=2",OFFSET(A752,-WEEKDAY(F752,2),0):A752)),IF(AND('депозитный калькулятор'!$G$10="еженедельное, на минимальную сумму зафиксированную в течение недели",F752='депозитный калькулятор'!$D$8,WEEKDAY(F752,2)&lt;&gt;7),MIN(OFFSET(H752,-WEEKDAY(F752,2),0):H752)*(COUNTIF(OFFSET(H752,-WEEKDAY(F752,2)+1,0):H752,"&gt;0")+SUM(OFFSET(A752,-WEEKDAY(F752,2),0):A752)),IF(AND('депозитный калькулятор'!$G$10="ежемесячное (в конце месяца)",F752='депозитный калькулятор'!$D$8,EOMONTH(F752,0)&lt;&gt;F752),IF('депозитный калькулятор'!$F$1=1,$H$24,SUM($H$23:H752)-SUM($I$23:I751)),IF(AND('депозитный калькулятор'!$G$10="ежемесячное (в конце месяца)",EOMONTH(F752,0)=F752),SUM($H$23:H752)-SUM($I$23:I751),IF(AND('депозитный калькулятор'!$G$10="ежемесячное (по дням открытия вклада)",F752='депозитный калькулятор'!$D$8,DAY('депозитный калькулятор'!$D$7)&lt;&gt;DAY(F752)),IF('депозитный калькулятор'!$F$1=1,$H$24,SUM($H$23:H752)-SUM($I$23:I751)),IF(AND('депозитный калькулятор'!$G$10="ежемесячное (по дням открытия вклада)",DAY('депозитный калькулятор'!$D$7)=DAY(F752)),SUM($H$23:H752)-SUM($I$23:I751),IF(AND('депозитный калькулятор'!$G$10="ежемесячное, на минимальную сумму зафиксированную в течение месяца",F752='депозитный калькулятор'!$D$8,EOMONTH(F752,0)&lt;&gt;F752),IF('депозитный калькулятор'!$F$1=1,$H$24,IF(AND(OR('депозитный калькулятор'!$G$7="30/365",'депозитный калькулятор'!$G$7="30/360"),DAY(F752)=31),0,MIN(OFFSET(H752,-E752+1,0):H752)*(E752+SUMIF(OFFSET(A752,-E752+1,0):A752,"=2",OFFSET(A752,-E752+1,0):A752)))),IF(AND('депозитный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калькулятор'!$G$7="30/360"),DAY(EOMONTH(F752,0))=31),EOMONTH(F752,0)-1=F752,EOMONTH(F752,0)=F752)),IF(IF(AND(OR('депозитный калькулятор'!$G$7="30/365",'депозитный калькулятор'!$G$7="30/360"),DAY(EOMONTH($F$23,0))=31),F752=EOMONTH($F$23,0)-1,F752=EOMONTH($F$23,0)),MIN(OFFSET(H752,-(DAY(F752)-DAY($F$23)),0):H752)*E752,MIN(OFFSET(H752,-(DAY(F752)-1),0):H752)*IF(AND(OR('депозитный калькулятор'!$G$7="30/365",'депозитный калькулятор'!$G$7="30/360"),DAY(F752)&lt;30),30,DAY(F752))),IF(AND('депозитный калькулятор'!$G$10="ежемесячное, на средний остаток в течение месяца, при условии что остаток больше чем ограничение",F752='депозитный калькулятор'!$D$8,EOMONTH(F752,0)&lt;&gt;F752),IF('депозитный калькулятор'!$F$1=1,$H$24,SUM(OFFSET(Q752,-E752+1,0):Q752)),IF(AND('депозитный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калькулятор'!$G$7="30/360"),DAY(EOMONTH(F752,0))=31),EOMONTH(F752,0)-1=F752,EOMONTH(F752,0)=F752)),IF(IF(AND(OR('депозитный калькулятор'!$G$7="30/365",'депозитный калькулятор'!$G$7="30/360"),DAY(EOMONTH($F$24,0))=31),F752=EOMONTH($F$24,0)-1,F752=EOMONTH($F$24,0)),SUM(OFFSET(Q752,-E752+1,0):Q752),SUM(OFFSET(Q752,-E752+1,0):Q752)),IF('депозитный калькулятор'!$G$10="ежеквартальное",IF(F752&gt;'депозитный калькулятор'!$D$8," ",IF(AND(EOMONTH(F752,0)=F752,OR(MONTH(F752)=3,MONTH(F752)=6,MONTH(F752)=9,MONTH(F752)=12)),IF(EDATE(F752,-3)&lt;'депозитный калькулятор'!$D$7,SUM($H$23:H752),IF(MOD(YEAR(F752),4)=0,IF(AND(EOMONTH(F752,0)=F752,OR(MONTH(F752)=3,MONTH(F752)=6)),SUM(OFFSET(H752,-90,0):H752),IF(AND(EOMONTH(F752,0)=F752,OR(MONTH(F752)=9,MONTH(F752)=12)),SUM(OFFSET(H752,-91,0):H752))),IF(AND(EOMONTH(F752,0)=F752,MONTH(F752)=3),SUM(OFFSET(H752,-89,0):H752),IF(AND(EOMONTH(F752,0)=F752,MONTH(F752)=6),SUM(OFFSET(H752,-90,0):H752),IF(AND(EOMONTH(F752,0)=F752,OR(MONTH(F752)=9,MONTH(F752)=12)),SUM(OFFSET(H752,-91,0):H752)))))),IF(F752='депозитный калькулятор'!$D$8,SUM($H$23:H752)-SUM($I$23:I751),0))),IF('депозитный калькулятор'!$G$10="ежегодное",IF(F752&gt;'депозитный калькулятор'!$D$8," ",IF(F752='депозитный калькулятор'!$D$8,SUM($H$23:H752)-SUM($I$23:I751),IF(AND(EOMONTH(F752,0)=F752,MONTH(F752)=12),IF(MOD(YEAR(F751),4)=0,IF(F752-'депозитный калькулятор'!$D$7&lt;366,SUM($H$23:H752),SUM(OFFSET(H752,-365,0):H752)),IF(F752-'депозитный калькулятор'!$D$7&lt;365,SUM($H$23:H752),SUM(OFFSET(H752,-364,0):H752))),0))),IF(AND('депозитный калькулятор'!$G$10="в конце срока",'депозитный калькулятор'!$D$8=F752),SUM($H$23:H752),0))))))))))))))))))</f>
        <v xml:space="preserve"> </v>
      </c>
      <c r="J752" s="59" t="str">
        <f>IF(F752&gt;'депозитный калькулятор'!$D$8," ",IF('депозитный калькулятор'!$G$16="нет",0,IF(AND('депозитный калькулятор'!$G$17="разовая (в конце срока)",F752='депозитный калькулятор'!$D$8),'депозитный калькулятор'!$G$18,IF(AND('депозитный калькулятор'!$G$17="ежемесячная",EOMONTH(F751,0)=F751),'депозитный калькулятор'!$G$18,IF(AND('депозитный калькулятор'!$G$17="ежегодная",DAY(F751)=31,MONTH(F751)=12),'депозитный калькулятор'!$G$18,IF(AND('депозитный калькулятор'!$G$17="ежемесячная в зависимости от остатка",EOMONTH(F751,0)=F751,P751&gt;0),'депозитный калькулятор'!$G$18,IF(AND('депозитный калькулятор'!$G$17="ежегодная в зависимости от остатка",DAY(F751)=31,MONTH(F751)=12,P751&gt;0),'депозитный калькулятор'!$G$18,0)))))))</f>
        <v xml:space="preserve"> </v>
      </c>
      <c r="K752" s="135" t="str">
        <f>IF($F752=" "," ",IFERROR(VLOOKUP($F752,'депозитный калькулятор'!$B$26:$F$70,2,0),0))</f>
        <v xml:space="preserve"> </v>
      </c>
      <c r="L752" s="135" t="str">
        <f>IF($F752=" "," ",IFERROR(VLOOKUP($F752,'депозитный калькулятор'!$B$26:$F$70,3,0),0))</f>
        <v xml:space="preserve"> </v>
      </c>
      <c r="M752" s="135" t="str">
        <f>IF($F752=" "," ",IFERROR(VLOOKUP($F752,'депозитный калькулятор'!$B$26:$F$70,4,0),0))</f>
        <v xml:space="preserve"> </v>
      </c>
      <c r="N752" s="135" t="str">
        <f>IF($F752=" "," ",IFERROR(VLOOKUP($F752,'депозитный калькулятор'!$B$26:$F$70,5,0),0))</f>
        <v xml:space="preserve"> </v>
      </c>
      <c r="O752" s="146" t="str">
        <f>IF(F752&gt;'депозитный калькулятор'!$D$8," ",IF(F752='депозитный калькулятор'!$D$8,IF(AND($F$24='депозитный калькулятор'!$D$8,'депозитный калькулятор'!$G$13="нет"),-G752-IF(I752=" ",0,I752)-IF(AND(OR('депозитный калькулятор'!$G$7="30/365",'депозитный калькулятор'!$G$7="30/360"),'депозитный калькулятор'!$G$10="в начале срока"),I751,0)-L752+M752-N752,-G752-IF(I752=" ",0,I752)-L752+M752-N752),IF('депозитный калькулятор'!$G$13="есть",M752-N752+IF('депозитный калькулятор'!$G$14="есть",0,-L752),-IF(I752=" ",0,I752)-IF(AND(OR('депозитный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срока"),I751,0)+M752-N752+IF('депозитный калькулятор'!$G$14="есть",0,-L752))))</f>
        <v xml:space="preserve"> </v>
      </c>
      <c r="P752" s="147" t="str">
        <f>IF(F752&gt;'депозитный калькулятор'!$D$8," ",IF(EOMONTH(F751,0)=F751,0,IF(G752&gt;='депозитный калькулятор'!$G$19,P751,P751+1)))</f>
        <v xml:space="preserve"> </v>
      </c>
      <c r="Q752" s="138" t="str">
        <f>IF(F752=" "," ",IF(AND(OR('депозитный калькулятор'!$G$7="30/365",'депозитный калькулятор'!$G$7="30/360"),AND(MONTH(F752)=2,EOMONTH(F752,0)=F752)),IF(DAY(F752)=28,3,2),1)*IF(G752&gt;='депозитный калькулятор'!$G$11,IF(AND('депозитный калькулятор'!$G$7="факт/факт",MOD(YEAR(F752),4)=0),G752*'депозитный калькулятор'!$D$11/366,G752*'депозитный калькулятор'!$G$8),0))</f>
        <v xml:space="preserve"> </v>
      </c>
      <c r="R752" s="158"/>
      <c r="S752" s="62" t="str">
        <f t="shared" ca="1" si="57"/>
        <v xml:space="preserve"> </v>
      </c>
      <c r="T752" s="149" t="str">
        <f ca="1">IF(S752=" "," ",IF('депозитный калькулятор'!$G$7="30/360",DAYS360(U751,IF(DAY(U752)=31,U752-1,U752))+IF(AND(MONTH(U752)=2,U752=EOMONTH(U752,0)),30-DAY(EOMONTH(U752,0)))+T751,VLOOKUP(S752,$C$22:$F$1023,2,0)))</f>
        <v xml:space="preserve"> </v>
      </c>
      <c r="U752" s="64" t="str">
        <f t="shared" ca="1" si="55"/>
        <v xml:space="preserve"> </v>
      </c>
      <c r="V752" s="150" t="str">
        <f t="shared" ca="1" si="58"/>
        <v xml:space="preserve"> </v>
      </c>
      <c r="W752" s="62" t="str">
        <f t="shared" ca="1" si="59"/>
        <v xml:space="preserve"> </v>
      </c>
      <c r="X752" s="141" t="str">
        <f ca="1">IF(S752=" "," ",IFERROR(VLOOKUP(U752,$F$23:$N$1023,7)+VLOOKUP(U752,$F$23:$N$1023,9)+IF(AND('депозитный калькулятор'!$G$13="нет",U752&lt;&gt;'депозитный калькулятор'!$D$8),VLOOKUP(U752,$F$23:$N$1023,4),0),0)+IF(U752='депозитный калькулятор'!$D$8,VLOOKUP(U752,$F$23:$N$1023,2)+VLOOKUP(U752,$F$23:$N$1023,4),0))</f>
        <v xml:space="preserve"> </v>
      </c>
      <c r="Y752" s="142" t="str">
        <f ca="1">IF(S752=" "," ",W752/(1+'депозитный калькулятор'!$K$8)^(T752/IF('депозитный калькулятор'!$G$7="30/360",360,365)))</f>
        <v xml:space="preserve"> </v>
      </c>
      <c r="Z752" s="142" t="str">
        <f ca="1">IF(S752=" "," ",X752/(1+'депозитный калькулятор'!$K$8)^(T752/IF('депозитный калькулятор'!$G$7="30/360",360,365)))</f>
        <v xml:space="preserve"> </v>
      </c>
      <c r="AA752" s="151"/>
      <c r="AB752" s="151"/>
      <c r="AC752" s="155"/>
      <c r="AD752" s="155"/>
    </row>
    <row r="753" spans="1:30" s="2" customFormat="1" ht="15.5" x14ac:dyDescent="0.35">
      <c r="A753" s="41" t="str">
        <f>IF(F753=" "," ",IF(OR('депозитный калькулятор'!$G$7="30/365",'депозитный калькулятор'!$G$7="30/360"),IF(AND(MONTH(F753)=2,DAY(F753)=DAY(EOMONTH(F753,0))),30-DAY(EOMONTH(F753,0)),IF(DAY(F753)=31,1," "))," "))</f>
        <v xml:space="preserve"> </v>
      </c>
      <c r="B753" s="130" t="str">
        <f t="shared" si="56"/>
        <v xml:space="preserve"> </v>
      </c>
      <c r="C753" s="130" t="str">
        <f>IF(OR(B753=0,B753=" ")," ",SUM($B$23:B753))</f>
        <v xml:space="preserve"> </v>
      </c>
      <c r="D753" s="62" t="str">
        <f>IF(D752=" "," ",IF(OR(F752='депозитный калькулятор'!$D$8,F752=" ")," ",D752+1))</f>
        <v xml:space="preserve"> </v>
      </c>
      <c r="E753" s="130" t="str">
        <f>IF(OR(F752='депозитный калькулятор'!$D$8,F752=" ")," ",IF(EOMONTH(F752,0)=F752,1,E752+1))</f>
        <v xml:space="preserve"> </v>
      </c>
      <c r="F753" s="64" t="str">
        <f>IF(F752=" "," ",IF(F752='депозитный калькулятор'!$D$8," ",F752+1))</f>
        <v xml:space="preserve"> </v>
      </c>
      <c r="G753" s="145" t="str">
        <f xml:space="preserve"> IF(F753&gt;'депозитный калькулятор'!$D$8," ",IF('депозитный калькулятор'!$G$13="есть",IF('депозитный калькулятор'!$G$14="есть",G752+IF(I752=" ",0,I752)-J753-K753+L753+M753-N753,G752+IF(I752=" ",0,I752)-J753-K753+M753-N753),IF('депозитный калькулятор'!$G$14="есть",G752-J753-K753+L753+M753-N753,G752-J753-K753+M753-N753)))</f>
        <v xml:space="preserve"> </v>
      </c>
      <c r="H753" s="133" t="str">
        <f>IF(F753&gt;'депозитный калькулятор'!$D$8," ",IF(AND(OR('депозитный калькулятор'!$G$7="30/365",'депозитный калькулятор'!$G$7="30/360"),AND(MONTH(F753)=2,EOMONTH(F753,0)=F753)),IF(DAY(F753)=28,3*G753*'депозитный калькулятор'!$G$8,2*G753*'депозитный калькулятор'!$G$8),IF(AND(OR('депозитный калькулятор'!$G$7="30/365",'депозитный калькулятор'!$G$7="30/360"),DAY(F753)=31)," ",IF(AND('депозитный калькулятор'!$G$7="факт/факт",MOD(YEAR(F753),4)=0),G753*'депозитный калькулятор'!$D$11/366,G753*'депозитный калькулятор'!$G$8))))</f>
        <v xml:space="preserve"> </v>
      </c>
      <c r="I753" s="134" t="str">
        <f ca="1">IF(F753=" "," ",IF('депозитный калькулятор'!$G$10="ежедневное",H753,IF(AND('депозитный калькулятор'!$G$10="еженедельное",WEEKDAY(F753,2)=7),SUM(OFFSET(H753,-6,0):H753),IF(AND('депозитный калькулятор'!$G$10="еженедельное",F753='депозитный калькулятор'!$D$8),SUM($H$23:H753)-SUM($I$23:I752),IF(AND('депозитный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недели",WEEKDAY(F753,2)=7),MIN(OFFSET(H753,-6,0):H753)*(COUNTIF(OFFSET(H753,-6,0):H753,"&gt;0")+SUMIF(OFFSET(A753,-WEEKDAY(F753,2),0):A753,"=2",OFFSET(A753,-WEEKDAY(F753,2),0):A753)),IF(AND('депозитный калькулятор'!$G$10="еженедельное, на минимальную сумму зафиксированную в течение недели",F753='депозитный калькулятор'!$D$8,WEEKDAY(F753,2)&lt;&gt;7),MIN(OFFSET(H753,-WEEKDAY(F753,2),0):H753)*(COUNTIF(OFFSET(H753,-WEEKDAY(F753,2)+1,0):H753,"&gt;0")+SUM(OFFSET(A753,-WEEKDAY(F753,2),0):A753)),IF(AND('депозитный калькулятор'!$G$10="ежемесячное (в конце месяца)",F753='депозитный калькулятор'!$D$8,EOMONTH(F753,0)&lt;&gt;F753),IF('депозитный калькулятор'!$F$1=1,$H$24,SUM($H$23:H753)-SUM($I$23:I752)),IF(AND('депозитный калькулятор'!$G$10="ежемесячное (в конце месяца)",EOMONTH(F753,0)=F753),SUM($H$23:H753)-SUM($I$23:I752),IF(AND('депозитный калькулятор'!$G$10="ежемесячное (по дням открытия вклада)",F753='депозитный калькулятор'!$D$8,DAY('депозитный калькулятор'!$D$7)&lt;&gt;DAY(F753)),IF('депозитный калькулятор'!$F$1=1,$H$24,SUM($H$23:H753)-SUM($I$23:I752)),IF(AND('депозитный калькулятор'!$G$10="ежемесячное (по дням открытия вклада)",DAY('депозитный калькулятор'!$D$7)=DAY(F753)),SUM($H$23:H753)-SUM($I$23:I752),IF(AND('депозитный калькулятор'!$G$10="ежемесячное, на минимальную сумму зафиксированную в течение месяца",F753='депозитный калькулятор'!$D$8,EOMONTH(F753,0)&lt;&gt;F753),IF('депозитный калькулятор'!$F$1=1,$H$24,IF(AND(OR('депозитный калькулятор'!$G$7="30/365",'депозитный калькулятор'!$G$7="30/360"),DAY(F753)=31),0,MIN(OFFSET(H753,-E753+1,0):H753)*(E753+SUMIF(OFFSET(A753,-E753+1,0):A753,"=2",OFFSET(A753,-E753+1,0):A753)))),IF(AND('депозитный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калькулятор'!$G$7="30/360"),DAY(EOMONTH(F753,0))=31),EOMONTH(F753,0)-1=F753,EOMONTH(F753,0)=F753)),IF(IF(AND(OR('депозитный калькулятор'!$G$7="30/365",'депозитный калькулятор'!$G$7="30/360"),DAY(EOMONTH($F$23,0))=31),F753=EOMONTH($F$23,0)-1,F753=EOMONTH($F$23,0)),MIN(OFFSET(H753,-(DAY(F753)-DAY($F$23)),0):H753)*E753,MIN(OFFSET(H753,-(DAY(F753)-1),0):H753)*IF(AND(OR('депозитный калькулятор'!$G$7="30/365",'депозитный калькулятор'!$G$7="30/360"),DAY(F753)&lt;30),30,DAY(F753))),IF(AND('депозитный калькулятор'!$G$10="ежемесячное, на средний остаток в течение месяца, при условии что остаток больше чем ограничение",F753='депозитный калькулятор'!$D$8,EOMONTH(F753,0)&lt;&gt;F753),IF('депозитный калькулятор'!$F$1=1,$H$24,SUM(OFFSET(Q753,-E753+1,0):Q753)),IF(AND('депозитный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калькулятор'!$G$7="30/360"),DAY(EOMONTH(F753,0))=31),EOMONTH(F753,0)-1=F753,EOMONTH(F753,0)=F753)),IF(IF(AND(OR('депозитный калькулятор'!$G$7="30/365",'депозитный калькулятор'!$G$7="30/360"),DAY(EOMONTH($F$24,0))=31),F753=EOMONTH($F$24,0)-1,F753=EOMONTH($F$24,0)),SUM(OFFSET(Q753,-E753+1,0):Q753),SUM(OFFSET(Q753,-E753+1,0):Q753)),IF('депозитный калькулятор'!$G$10="ежеквартальное",IF(F753&gt;'депозитный калькулятор'!$D$8," ",IF(AND(EOMONTH(F753,0)=F753,OR(MONTH(F753)=3,MONTH(F753)=6,MONTH(F753)=9,MONTH(F753)=12)),IF(EDATE(F753,-3)&lt;'депозитный калькулятор'!$D$7,SUM($H$23:H753),IF(MOD(YEAR(F753),4)=0,IF(AND(EOMONTH(F753,0)=F753,OR(MONTH(F753)=3,MONTH(F753)=6)),SUM(OFFSET(H753,-90,0):H753),IF(AND(EOMONTH(F753,0)=F753,OR(MONTH(F753)=9,MONTH(F753)=12)),SUM(OFFSET(H753,-91,0):H753))),IF(AND(EOMONTH(F753,0)=F753,MONTH(F753)=3),SUM(OFFSET(H753,-89,0):H753),IF(AND(EOMONTH(F753,0)=F753,MONTH(F753)=6),SUM(OFFSET(H753,-90,0):H753),IF(AND(EOMONTH(F753,0)=F753,OR(MONTH(F753)=9,MONTH(F753)=12)),SUM(OFFSET(H753,-91,0):H753)))))),IF(F753='депозитный калькулятор'!$D$8,SUM($H$23:H753)-SUM($I$23:I752),0))),IF('депозитный калькулятор'!$G$10="ежегодное",IF(F753&gt;'депозитный калькулятор'!$D$8," ",IF(F753='депозитный калькулятор'!$D$8,SUM($H$23:H753)-SUM($I$23:I752),IF(AND(EOMONTH(F753,0)=F753,MONTH(F753)=12),IF(MOD(YEAR(F752),4)=0,IF(F753-'депозитный калькулятор'!$D$7&lt;366,SUM($H$23:H753),SUM(OFFSET(H753,-365,0):H753)),IF(F753-'депозитный калькулятор'!$D$7&lt;365,SUM($H$23:H753),SUM(OFFSET(H753,-364,0):H753))),0))),IF(AND('депозитный калькулятор'!$G$10="в конце срока",'депозитный калькулятор'!$D$8=F753),SUM($H$23:H753),0))))))))))))))))))</f>
        <v xml:space="preserve"> </v>
      </c>
      <c r="J753" s="59" t="str">
        <f>IF(F753&gt;'депозитный калькулятор'!$D$8," ",IF('депозитный калькулятор'!$G$16="нет",0,IF(AND('депозитный калькулятор'!$G$17="разовая (в конце срока)",F753='депозитный калькулятор'!$D$8),'депозитный калькулятор'!$G$18,IF(AND('депозитный калькулятор'!$G$17="ежемесячная",EOMONTH(F752,0)=F752),'депозитный калькулятор'!$G$18,IF(AND('депозитный калькулятор'!$G$17="ежегодная",DAY(F752)=31,MONTH(F752)=12),'депозитный калькулятор'!$G$18,IF(AND('депозитный калькулятор'!$G$17="ежемесячная в зависимости от остатка",EOMONTH(F752,0)=F752,P752&gt;0),'депозитный калькулятор'!$G$18,IF(AND('депозитный калькулятор'!$G$17="ежегодная в зависимости от остатка",DAY(F752)=31,MONTH(F752)=12,P752&gt;0),'депозитный калькулятор'!$G$18,0)))))))</f>
        <v xml:space="preserve"> </v>
      </c>
      <c r="K753" s="135" t="str">
        <f>IF($F753=" "," ",IFERROR(VLOOKUP($F753,'депозитный калькулятор'!$B$26:$F$70,2,0),0))</f>
        <v xml:space="preserve"> </v>
      </c>
      <c r="L753" s="135" t="str">
        <f>IF($F753=" "," ",IFERROR(VLOOKUP($F753,'депозитный калькулятор'!$B$26:$F$70,3,0),0))</f>
        <v xml:space="preserve"> </v>
      </c>
      <c r="M753" s="135" t="str">
        <f>IF($F753=" "," ",IFERROR(VLOOKUP($F753,'депозитный калькулятор'!$B$26:$F$70,4,0),0))</f>
        <v xml:space="preserve"> </v>
      </c>
      <c r="N753" s="135" t="str">
        <f>IF($F753=" "," ",IFERROR(VLOOKUP($F753,'депозитный калькулятор'!$B$26:$F$70,5,0),0))</f>
        <v xml:space="preserve"> </v>
      </c>
      <c r="O753" s="146" t="str">
        <f>IF(F753&gt;'депозитный калькулятор'!$D$8," ",IF(F753='депозитный калькулятор'!$D$8,IF(AND($F$24='депозитный калькулятор'!$D$8,'депозитный калькулятор'!$G$13="нет"),-G753-IF(I753=" ",0,I753)-IF(AND(OR('депозитный калькулятор'!$G$7="30/365",'депозитный калькулятор'!$G$7="30/360"),'депозитный калькулятор'!$G$10="в начале срока"),I752,0)-L753+M753-N753,-G753-IF(I753=" ",0,I753)-L753+M753-N753),IF('депозитный калькулятор'!$G$13="есть",M753-N753+IF('депозитный калькулятор'!$G$14="есть",0,-L753),-IF(I753=" ",0,I753)-IF(AND(OR('депозитный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срока"),I752,0)+M753-N753+IF('депозитный калькулятор'!$G$14="есть",0,-L753))))</f>
        <v xml:space="preserve"> </v>
      </c>
      <c r="P753" s="147" t="str">
        <f>IF(F753&gt;'депозитный калькулятор'!$D$8," ",IF(EOMONTH(F752,0)=F752,0,IF(G753&gt;='депозитный калькулятор'!$G$19,P752,P752+1)))</f>
        <v xml:space="preserve"> </v>
      </c>
      <c r="Q753" s="138" t="str">
        <f>IF(F753=" "," ",IF(AND(OR('депозитный калькулятор'!$G$7="30/365",'депозитный калькулятор'!$G$7="30/360"),AND(MONTH(F753)=2,EOMONTH(F753,0)=F753)),IF(DAY(F753)=28,3,2),1)*IF(G753&gt;='депозитный калькулятор'!$G$11,IF(AND('депозитный калькулятор'!$G$7="факт/факт",MOD(YEAR(F753),4)=0),G753*'депозитный калькулятор'!$D$11/366,G753*'депозитный калькулятор'!$G$8),0))</f>
        <v xml:space="preserve"> </v>
      </c>
      <c r="R753" s="158"/>
      <c r="S753" s="62" t="str">
        <f t="shared" ca="1" si="57"/>
        <v xml:space="preserve"> </v>
      </c>
      <c r="T753" s="149" t="str">
        <f ca="1">IF(S753=" "," ",IF('депозитный калькулятор'!$G$7="30/360",DAYS360(U752,IF(DAY(U753)=31,U753-1,U753))+IF(AND(MONTH(U753)=2,U753=EOMONTH(U753,0)),30-DAY(EOMONTH(U753,0)))+T752,VLOOKUP(S753,$C$22:$F$1023,2,0)))</f>
        <v xml:space="preserve"> </v>
      </c>
      <c r="U753" s="64" t="str">
        <f t="shared" ca="1" si="55"/>
        <v xml:space="preserve"> </v>
      </c>
      <c r="V753" s="150" t="str">
        <f t="shared" ca="1" si="58"/>
        <v xml:space="preserve"> </v>
      </c>
      <c r="W753" s="62" t="str">
        <f t="shared" ca="1" si="59"/>
        <v xml:space="preserve"> </v>
      </c>
      <c r="X753" s="141" t="str">
        <f ca="1">IF(S753=" "," ",IFERROR(VLOOKUP(U753,$F$23:$N$1023,7)+VLOOKUP(U753,$F$23:$N$1023,9)+IF(AND('депозитный калькулятор'!$G$13="нет",U753&lt;&gt;'депозитный калькулятор'!$D$8),VLOOKUP(U753,$F$23:$N$1023,4),0),0)+IF(U753='депозитный калькулятор'!$D$8,VLOOKUP(U753,$F$23:$N$1023,2)+VLOOKUP(U753,$F$23:$N$1023,4),0))</f>
        <v xml:space="preserve"> </v>
      </c>
      <c r="Y753" s="142" t="str">
        <f ca="1">IF(S753=" "," ",W753/(1+'депозитный калькулятор'!$K$8)^(T753/IF('депозитный калькулятор'!$G$7="30/360",360,365)))</f>
        <v xml:space="preserve"> </v>
      </c>
      <c r="Z753" s="142" t="str">
        <f ca="1">IF(S753=" "," ",X753/(1+'депозитный калькулятор'!$K$8)^(T753/IF('депозитный калькулятор'!$G$7="30/360",360,365)))</f>
        <v xml:space="preserve"> </v>
      </c>
      <c r="AA753" s="151"/>
      <c r="AB753" s="151"/>
      <c r="AC753" s="155"/>
      <c r="AD753" s="155"/>
    </row>
    <row r="754" spans="1:30" s="2" customFormat="1" ht="15.5" x14ac:dyDescent="0.35">
      <c r="A754" s="41" t="str">
        <f>IF(F754=" "," ",IF(OR('депозитный калькулятор'!$G$7="30/365",'депозитный калькулятор'!$G$7="30/360"),IF(AND(MONTH(F754)=2,DAY(F754)=DAY(EOMONTH(F754,0))),30-DAY(EOMONTH(F754,0)),IF(DAY(F754)=31,1," "))," "))</f>
        <v xml:space="preserve"> </v>
      </c>
      <c r="B754" s="130" t="str">
        <f t="shared" si="56"/>
        <v xml:space="preserve"> </v>
      </c>
      <c r="C754" s="130" t="str">
        <f>IF(OR(B754=0,B754=" ")," ",SUM($B$23:B754))</f>
        <v xml:space="preserve"> </v>
      </c>
      <c r="D754" s="62" t="str">
        <f>IF(D753=" "," ",IF(OR(F753='депозитный калькулятор'!$D$8,F753=" ")," ",D753+1))</f>
        <v xml:space="preserve"> </v>
      </c>
      <c r="E754" s="130" t="str">
        <f>IF(OR(F753='депозитный калькулятор'!$D$8,F753=" ")," ",IF(EOMONTH(F753,0)=F753,1,E753+1))</f>
        <v xml:space="preserve"> </v>
      </c>
      <c r="F754" s="64" t="str">
        <f>IF(F753=" "," ",IF(F753='депозитный калькулятор'!$D$8," ",F753+1))</f>
        <v xml:space="preserve"> </v>
      </c>
      <c r="G754" s="145" t="str">
        <f xml:space="preserve"> IF(F754&gt;'депозитный калькулятор'!$D$8," ",IF('депозитный калькулятор'!$G$13="есть",IF('депозитный калькулятор'!$G$14="есть",G753+IF(I753=" ",0,I753)-J754-K754+L754+M754-N754,G753+IF(I753=" ",0,I753)-J754-K754+M754-N754),IF('депозитный калькулятор'!$G$14="есть",G753-J754-K754+L754+M754-N754,G753-J754-K754+M754-N754)))</f>
        <v xml:space="preserve"> </v>
      </c>
      <c r="H754" s="133" t="str">
        <f>IF(F754&gt;'депозитный калькулятор'!$D$8," ",IF(AND(OR('депозитный калькулятор'!$G$7="30/365",'депозитный калькулятор'!$G$7="30/360"),AND(MONTH(F754)=2,EOMONTH(F754,0)=F754)),IF(DAY(F754)=28,3*G754*'депозитный калькулятор'!$G$8,2*G754*'депозитный калькулятор'!$G$8),IF(AND(OR('депозитный калькулятор'!$G$7="30/365",'депозитный калькулятор'!$G$7="30/360"),DAY(F754)=31)," ",IF(AND('депозитный калькулятор'!$G$7="факт/факт",MOD(YEAR(F754),4)=0),G754*'депозитный калькулятор'!$D$11/366,G754*'депозитный калькулятор'!$G$8))))</f>
        <v xml:space="preserve"> </v>
      </c>
      <c r="I754" s="134" t="str">
        <f ca="1">IF(F754=" "," ",IF('депозитный калькулятор'!$G$10="ежедневное",H754,IF(AND('депозитный калькулятор'!$G$10="еженедельное",WEEKDAY(F754,2)=7),SUM(OFFSET(H754,-6,0):H754),IF(AND('депозитный калькулятор'!$G$10="еженедельное",F754='депозитный калькулятор'!$D$8),SUM($H$23:H754)-SUM($I$23:I753),IF(AND('депозитный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недели",WEEKDAY(F754,2)=7),MIN(OFFSET(H754,-6,0):H754)*(COUNTIF(OFFSET(H754,-6,0):H754,"&gt;0")+SUMIF(OFFSET(A754,-WEEKDAY(F754,2),0):A754,"=2",OFFSET(A754,-WEEKDAY(F754,2),0):A754)),IF(AND('депозитный калькулятор'!$G$10="еженедельное, на минимальную сумму зафиксированную в течение недели",F754='депозитный калькулятор'!$D$8,WEEKDAY(F754,2)&lt;&gt;7),MIN(OFFSET(H754,-WEEKDAY(F754,2),0):H754)*(COUNTIF(OFFSET(H754,-WEEKDAY(F754,2)+1,0):H754,"&gt;0")+SUM(OFFSET(A754,-WEEKDAY(F754,2),0):A754)),IF(AND('депозитный калькулятор'!$G$10="ежемесячное (в конце месяца)",F754='депозитный калькулятор'!$D$8,EOMONTH(F754,0)&lt;&gt;F754),IF('депозитный калькулятор'!$F$1=1,$H$24,SUM($H$23:H754)-SUM($I$23:I753)),IF(AND('депозитный калькулятор'!$G$10="ежемесячное (в конце месяца)",EOMONTH(F754,0)=F754),SUM($H$23:H754)-SUM($I$23:I753),IF(AND('депозитный калькулятор'!$G$10="ежемесячное (по дням открытия вклада)",F754='депозитный калькулятор'!$D$8,DAY('депозитный калькулятор'!$D$7)&lt;&gt;DAY(F754)),IF('депозитный калькулятор'!$F$1=1,$H$24,SUM($H$23:H754)-SUM($I$23:I753)),IF(AND('депозитный калькулятор'!$G$10="ежемесячное (по дням открытия вклада)",DAY('депозитный калькулятор'!$D$7)=DAY(F754)),SUM($H$23:H754)-SUM($I$23:I753),IF(AND('депозитный калькулятор'!$G$10="ежемесячное, на минимальную сумму зафиксированную в течение месяца",F754='депозитный калькулятор'!$D$8,EOMONTH(F754,0)&lt;&gt;F754),IF('депозитный калькулятор'!$F$1=1,$H$24,IF(AND(OR('депозитный калькулятор'!$G$7="30/365",'депозитный калькулятор'!$G$7="30/360"),DAY(F754)=31),0,MIN(OFFSET(H754,-E754+1,0):H754)*(E754+SUMIF(OFFSET(A754,-E754+1,0):A754,"=2",OFFSET(A754,-E754+1,0):A754)))),IF(AND('депозитный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калькулятор'!$G$7="30/360"),DAY(EOMONTH(F754,0))=31),EOMONTH(F754,0)-1=F754,EOMONTH(F754,0)=F754)),IF(IF(AND(OR('депозитный калькулятор'!$G$7="30/365",'депозитный калькулятор'!$G$7="30/360"),DAY(EOMONTH($F$23,0))=31),F754=EOMONTH($F$23,0)-1,F754=EOMONTH($F$23,0)),MIN(OFFSET(H754,-(DAY(F754)-DAY($F$23)),0):H754)*E754,MIN(OFFSET(H754,-(DAY(F754)-1),0):H754)*IF(AND(OR('депозитный калькулятор'!$G$7="30/365",'депозитный калькулятор'!$G$7="30/360"),DAY(F754)&lt;30),30,DAY(F754))),IF(AND('депозитный калькулятор'!$G$10="ежемесячное, на средний остаток в течение месяца, при условии что остаток больше чем ограничение",F754='депозитный калькулятор'!$D$8,EOMONTH(F754,0)&lt;&gt;F754),IF('депозитный калькулятор'!$F$1=1,$H$24,SUM(OFFSET(Q754,-E754+1,0):Q754)),IF(AND('депозитный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калькулятор'!$G$7="30/360"),DAY(EOMONTH(F754,0))=31),EOMONTH(F754,0)-1=F754,EOMONTH(F754,0)=F754)),IF(IF(AND(OR('депозитный калькулятор'!$G$7="30/365",'депозитный калькулятор'!$G$7="30/360"),DAY(EOMONTH($F$24,0))=31),F754=EOMONTH($F$24,0)-1,F754=EOMONTH($F$24,0)),SUM(OFFSET(Q754,-E754+1,0):Q754),SUM(OFFSET(Q754,-E754+1,0):Q754)),IF('депозитный калькулятор'!$G$10="ежеквартальное",IF(F754&gt;'депозитный калькулятор'!$D$8," ",IF(AND(EOMONTH(F754,0)=F754,OR(MONTH(F754)=3,MONTH(F754)=6,MONTH(F754)=9,MONTH(F754)=12)),IF(EDATE(F754,-3)&lt;'депозитный калькулятор'!$D$7,SUM($H$23:H754),IF(MOD(YEAR(F754),4)=0,IF(AND(EOMONTH(F754,0)=F754,OR(MONTH(F754)=3,MONTH(F754)=6)),SUM(OFFSET(H754,-90,0):H754),IF(AND(EOMONTH(F754,0)=F754,OR(MONTH(F754)=9,MONTH(F754)=12)),SUM(OFFSET(H754,-91,0):H754))),IF(AND(EOMONTH(F754,0)=F754,MONTH(F754)=3),SUM(OFFSET(H754,-89,0):H754),IF(AND(EOMONTH(F754,0)=F754,MONTH(F754)=6),SUM(OFFSET(H754,-90,0):H754),IF(AND(EOMONTH(F754,0)=F754,OR(MONTH(F754)=9,MONTH(F754)=12)),SUM(OFFSET(H754,-91,0):H754)))))),IF(F754='депозитный калькулятор'!$D$8,SUM($H$23:H754)-SUM($I$23:I753),0))),IF('депозитный калькулятор'!$G$10="ежегодное",IF(F754&gt;'депозитный калькулятор'!$D$8," ",IF(F754='депозитный калькулятор'!$D$8,SUM($H$23:H754)-SUM($I$23:I753),IF(AND(EOMONTH(F754,0)=F754,MONTH(F754)=12),IF(MOD(YEAR(F753),4)=0,IF(F754-'депозитный калькулятор'!$D$7&lt;366,SUM($H$23:H754),SUM(OFFSET(H754,-365,0):H754)),IF(F754-'депозитный калькулятор'!$D$7&lt;365,SUM($H$23:H754),SUM(OFFSET(H754,-364,0):H754))),0))),IF(AND('депозитный калькулятор'!$G$10="в конце срока",'депозитный калькулятор'!$D$8=F754),SUM($H$23:H754),0))))))))))))))))))</f>
        <v xml:space="preserve"> </v>
      </c>
      <c r="J754" s="59" t="str">
        <f>IF(F754&gt;'депозитный калькулятор'!$D$8," ",IF('депозитный калькулятор'!$G$16="нет",0,IF(AND('депозитный калькулятор'!$G$17="разовая (в конце срока)",F754='депозитный калькулятор'!$D$8),'депозитный калькулятор'!$G$18,IF(AND('депозитный калькулятор'!$G$17="ежемесячная",EOMONTH(F753,0)=F753),'депозитный калькулятор'!$G$18,IF(AND('депозитный калькулятор'!$G$17="ежегодная",DAY(F753)=31,MONTH(F753)=12),'депозитный калькулятор'!$G$18,IF(AND('депозитный калькулятор'!$G$17="ежемесячная в зависимости от остатка",EOMONTH(F753,0)=F753,P753&gt;0),'депозитный калькулятор'!$G$18,IF(AND('депозитный калькулятор'!$G$17="ежегодная в зависимости от остатка",DAY(F753)=31,MONTH(F753)=12,P753&gt;0),'депозитный калькулятор'!$G$18,0)))))))</f>
        <v xml:space="preserve"> </v>
      </c>
      <c r="K754" s="135" t="str">
        <f>IF($F754=" "," ",IFERROR(VLOOKUP($F754,'депозитный калькулятор'!$B$26:$F$70,2,0),0))</f>
        <v xml:space="preserve"> </v>
      </c>
      <c r="L754" s="135" t="str">
        <f>IF($F754=" "," ",IFERROR(VLOOKUP($F754,'депозитный калькулятор'!$B$26:$F$70,3,0),0))</f>
        <v xml:space="preserve"> </v>
      </c>
      <c r="M754" s="135" t="str">
        <f>IF($F754=" "," ",IFERROR(VLOOKUP($F754,'депозитный калькулятор'!$B$26:$F$70,4,0),0))</f>
        <v xml:space="preserve"> </v>
      </c>
      <c r="N754" s="135" t="str">
        <f>IF($F754=" "," ",IFERROR(VLOOKUP($F754,'депозитный калькулятор'!$B$26:$F$70,5,0),0))</f>
        <v xml:space="preserve"> </v>
      </c>
      <c r="O754" s="146" t="str">
        <f>IF(F754&gt;'депозитный калькулятор'!$D$8," ",IF(F754='депозитный калькулятор'!$D$8,IF(AND($F$24='депозитный калькулятор'!$D$8,'депозитный калькулятор'!$G$13="нет"),-G754-IF(I754=" ",0,I754)-IF(AND(OR('депозитный калькулятор'!$G$7="30/365",'депозитный калькулятор'!$G$7="30/360"),'депозитный калькулятор'!$G$10="в начале срока"),I753,0)-L754+M754-N754,-G754-IF(I754=" ",0,I754)-L754+M754-N754),IF('депозитный калькулятор'!$G$13="есть",M754-N754+IF('депозитный калькулятор'!$G$14="есть",0,-L754),-IF(I754=" ",0,I754)-IF(AND(OR('депозитный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срока"),I753,0)+M754-N754+IF('депозитный калькулятор'!$G$14="есть",0,-L754))))</f>
        <v xml:space="preserve"> </v>
      </c>
      <c r="P754" s="147" t="str">
        <f>IF(F754&gt;'депозитный калькулятор'!$D$8," ",IF(EOMONTH(F753,0)=F753,0,IF(G754&gt;='депозитный калькулятор'!$G$19,P753,P753+1)))</f>
        <v xml:space="preserve"> </v>
      </c>
      <c r="Q754" s="138" t="str">
        <f>IF(F754=" "," ",IF(AND(OR('депозитный калькулятор'!$G$7="30/365",'депозитный калькулятор'!$G$7="30/360"),AND(MONTH(F754)=2,EOMONTH(F754,0)=F754)),IF(DAY(F754)=28,3,2),1)*IF(G754&gt;='депозитный калькулятор'!$G$11,IF(AND('депозитный калькулятор'!$G$7="факт/факт",MOD(YEAR(F754),4)=0),G754*'депозитный калькулятор'!$D$11/366,G754*'депозитный калькулятор'!$G$8),0))</f>
        <v xml:space="preserve"> </v>
      </c>
      <c r="R754" s="158"/>
      <c r="S754" s="62" t="str">
        <f t="shared" ca="1" si="57"/>
        <v xml:space="preserve"> </v>
      </c>
      <c r="T754" s="149" t="str">
        <f ca="1">IF(S754=" "," ",IF('депозитный калькулятор'!$G$7="30/360",DAYS360(U753,IF(DAY(U754)=31,U754-1,U754))+IF(AND(MONTH(U754)=2,U754=EOMONTH(U754,0)),30-DAY(EOMONTH(U754,0)))+T753,VLOOKUP(S754,$C$22:$F$1023,2,0)))</f>
        <v xml:space="preserve"> </v>
      </c>
      <c r="U754" s="64" t="str">
        <f t="shared" ca="1" si="55"/>
        <v xml:space="preserve"> </v>
      </c>
      <c r="V754" s="150" t="str">
        <f t="shared" ca="1" si="58"/>
        <v xml:space="preserve"> </v>
      </c>
      <c r="W754" s="62" t="str">
        <f t="shared" ca="1" si="59"/>
        <v xml:space="preserve"> </v>
      </c>
      <c r="X754" s="141" t="str">
        <f ca="1">IF(S754=" "," ",IFERROR(VLOOKUP(U754,$F$23:$N$1023,7)+VLOOKUP(U754,$F$23:$N$1023,9)+IF(AND('депозитный калькулятор'!$G$13="нет",U754&lt;&gt;'депозитный калькулятор'!$D$8),VLOOKUP(U754,$F$23:$N$1023,4),0),0)+IF(U754='депозитный калькулятор'!$D$8,VLOOKUP(U754,$F$23:$N$1023,2)+VLOOKUP(U754,$F$23:$N$1023,4),0))</f>
        <v xml:space="preserve"> </v>
      </c>
      <c r="Y754" s="142" t="str">
        <f ca="1">IF(S754=" "," ",W754/(1+'депозитный калькулятор'!$K$8)^(T754/IF('депозитный калькулятор'!$G$7="30/360",360,365)))</f>
        <v xml:space="preserve"> </v>
      </c>
      <c r="Z754" s="142" t="str">
        <f ca="1">IF(S754=" "," ",X754/(1+'депозитный калькулятор'!$K$8)^(T754/IF('депозитный калькулятор'!$G$7="30/360",360,365)))</f>
        <v xml:space="preserve"> </v>
      </c>
      <c r="AA754" s="151"/>
      <c r="AB754" s="151"/>
      <c r="AC754" s="155"/>
      <c r="AD754" s="155"/>
    </row>
    <row r="755" spans="1:30" s="2" customFormat="1" ht="15.5" x14ac:dyDescent="0.35">
      <c r="A755" s="41" t="str">
        <f>IF(F755=" "," ",IF(OR('депозитный калькулятор'!$G$7="30/365",'депозитный калькулятор'!$G$7="30/360"),IF(AND(MONTH(F755)=2,DAY(F755)=DAY(EOMONTH(F755,0))),30-DAY(EOMONTH(F755,0)),IF(DAY(F755)=31,1," "))," "))</f>
        <v xml:space="preserve"> </v>
      </c>
      <c r="B755" s="130" t="str">
        <f t="shared" si="56"/>
        <v xml:space="preserve"> </v>
      </c>
      <c r="C755" s="130" t="str">
        <f>IF(OR(B755=0,B755=" ")," ",SUM($B$23:B755))</f>
        <v xml:space="preserve"> </v>
      </c>
      <c r="D755" s="62" t="str">
        <f>IF(D754=" "," ",IF(OR(F754='депозитный калькулятор'!$D$8,F754=" ")," ",D754+1))</f>
        <v xml:space="preserve"> </v>
      </c>
      <c r="E755" s="130" t="str">
        <f>IF(OR(F754='депозитный калькулятор'!$D$8,F754=" ")," ",IF(EOMONTH(F754,0)=F754,1,E754+1))</f>
        <v xml:space="preserve"> </v>
      </c>
      <c r="F755" s="64" t="str">
        <f>IF(F754=" "," ",IF(F754='депозитный калькулятор'!$D$8," ",F754+1))</f>
        <v xml:space="preserve"> </v>
      </c>
      <c r="G755" s="145" t="str">
        <f xml:space="preserve"> IF(F755&gt;'депозитный калькулятор'!$D$8," ",IF('депозитный калькулятор'!$G$13="есть",IF('депозитный калькулятор'!$G$14="есть",G754+IF(I754=" ",0,I754)-J755-K755+L755+M755-N755,G754+IF(I754=" ",0,I754)-J755-K755+M755-N755),IF('депозитный калькулятор'!$G$14="есть",G754-J755-K755+L755+M755-N755,G754-J755-K755+M755-N755)))</f>
        <v xml:space="preserve"> </v>
      </c>
      <c r="H755" s="133" t="str">
        <f>IF(F755&gt;'депозитный калькулятор'!$D$8," ",IF(AND(OR('депозитный калькулятор'!$G$7="30/365",'депозитный калькулятор'!$G$7="30/360"),AND(MONTH(F755)=2,EOMONTH(F755,0)=F755)),IF(DAY(F755)=28,3*G755*'депозитный калькулятор'!$G$8,2*G755*'депозитный калькулятор'!$G$8),IF(AND(OR('депозитный калькулятор'!$G$7="30/365",'депозитный калькулятор'!$G$7="30/360"),DAY(F755)=31)," ",IF(AND('депозитный калькулятор'!$G$7="факт/факт",MOD(YEAR(F755),4)=0),G755*'депозитный калькулятор'!$D$11/366,G755*'депозитный калькулятор'!$G$8))))</f>
        <v xml:space="preserve"> </v>
      </c>
      <c r="I755" s="134" t="str">
        <f ca="1">IF(F755=" "," ",IF('депозитный калькулятор'!$G$10="ежедневное",H755,IF(AND('депозитный калькулятор'!$G$10="еженедельное",WEEKDAY(F755,2)=7),SUM(OFFSET(H755,-6,0):H755),IF(AND('депозитный калькулятор'!$G$10="еженедельное",F755='депозитный калькулятор'!$D$8),SUM($H$23:H755)-SUM($I$23:I754),IF(AND('депозитный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недели",WEEKDAY(F755,2)=7),MIN(OFFSET(H755,-6,0):H755)*(COUNTIF(OFFSET(H755,-6,0):H755,"&gt;0")+SUMIF(OFFSET(A755,-WEEKDAY(F755,2),0):A755,"=2",OFFSET(A755,-WEEKDAY(F755,2),0):A755)),IF(AND('депозитный калькулятор'!$G$10="еженедельное, на минимальную сумму зафиксированную в течение недели",F755='депозитный калькулятор'!$D$8,WEEKDAY(F755,2)&lt;&gt;7),MIN(OFFSET(H755,-WEEKDAY(F755,2),0):H755)*(COUNTIF(OFFSET(H755,-WEEKDAY(F755,2)+1,0):H755,"&gt;0")+SUM(OFFSET(A755,-WEEKDAY(F755,2),0):A755)),IF(AND('депозитный калькулятор'!$G$10="ежемесячное (в конце месяца)",F755='депозитный калькулятор'!$D$8,EOMONTH(F755,0)&lt;&gt;F755),IF('депозитный калькулятор'!$F$1=1,$H$24,SUM($H$23:H755)-SUM($I$23:I754)),IF(AND('депозитный калькулятор'!$G$10="ежемесячное (в конце месяца)",EOMONTH(F755,0)=F755),SUM($H$23:H755)-SUM($I$23:I754),IF(AND('депозитный калькулятор'!$G$10="ежемесячное (по дням открытия вклада)",F755='депозитный калькулятор'!$D$8,DAY('депозитный калькулятор'!$D$7)&lt;&gt;DAY(F755)),IF('депозитный калькулятор'!$F$1=1,$H$24,SUM($H$23:H755)-SUM($I$23:I754)),IF(AND('депозитный калькулятор'!$G$10="ежемесячное (по дням открытия вклада)",DAY('депозитный калькулятор'!$D$7)=DAY(F755)),SUM($H$23:H755)-SUM($I$23:I754),IF(AND('депозитный калькулятор'!$G$10="ежемесячное, на минимальную сумму зафиксированную в течение месяца",F755='депозитный калькулятор'!$D$8,EOMONTH(F755,0)&lt;&gt;F755),IF('депозитный калькулятор'!$F$1=1,$H$24,IF(AND(OR('депозитный калькулятор'!$G$7="30/365",'депозитный калькулятор'!$G$7="30/360"),DAY(F755)=31),0,MIN(OFFSET(H755,-E755+1,0):H755)*(E755+SUMIF(OFFSET(A755,-E755+1,0):A755,"=2",OFFSET(A755,-E755+1,0):A755)))),IF(AND('депозитный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калькулятор'!$G$7="30/360"),DAY(EOMONTH(F755,0))=31),EOMONTH(F755,0)-1=F755,EOMONTH(F755,0)=F755)),IF(IF(AND(OR('депозитный калькулятор'!$G$7="30/365",'депозитный калькулятор'!$G$7="30/360"),DAY(EOMONTH($F$23,0))=31),F755=EOMONTH($F$23,0)-1,F755=EOMONTH($F$23,0)),MIN(OFFSET(H755,-(DAY(F755)-DAY($F$23)),0):H755)*E755,MIN(OFFSET(H755,-(DAY(F755)-1),0):H755)*IF(AND(OR('депозитный калькулятор'!$G$7="30/365",'депозитный калькулятор'!$G$7="30/360"),DAY(F755)&lt;30),30,DAY(F755))),IF(AND('депозитный калькулятор'!$G$10="ежемесячное, на средний остаток в течение месяца, при условии что остаток больше чем ограничение",F755='депозитный калькулятор'!$D$8,EOMONTH(F755,0)&lt;&gt;F755),IF('депозитный калькулятор'!$F$1=1,$H$24,SUM(OFFSET(Q755,-E755+1,0):Q755)),IF(AND('депозитный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калькулятор'!$G$7="30/360"),DAY(EOMONTH(F755,0))=31),EOMONTH(F755,0)-1=F755,EOMONTH(F755,0)=F755)),IF(IF(AND(OR('депозитный калькулятор'!$G$7="30/365",'депозитный калькулятор'!$G$7="30/360"),DAY(EOMONTH($F$24,0))=31),F755=EOMONTH($F$24,0)-1,F755=EOMONTH($F$24,0)),SUM(OFFSET(Q755,-E755+1,0):Q755),SUM(OFFSET(Q755,-E755+1,0):Q755)),IF('депозитный калькулятор'!$G$10="ежеквартальное",IF(F755&gt;'депозитный калькулятор'!$D$8," ",IF(AND(EOMONTH(F755,0)=F755,OR(MONTH(F755)=3,MONTH(F755)=6,MONTH(F755)=9,MONTH(F755)=12)),IF(EDATE(F755,-3)&lt;'депозитный калькулятор'!$D$7,SUM($H$23:H755),IF(MOD(YEAR(F755),4)=0,IF(AND(EOMONTH(F755,0)=F755,OR(MONTH(F755)=3,MONTH(F755)=6)),SUM(OFFSET(H755,-90,0):H755),IF(AND(EOMONTH(F755,0)=F755,OR(MONTH(F755)=9,MONTH(F755)=12)),SUM(OFFSET(H755,-91,0):H755))),IF(AND(EOMONTH(F755,0)=F755,MONTH(F755)=3),SUM(OFFSET(H755,-89,0):H755),IF(AND(EOMONTH(F755,0)=F755,MONTH(F755)=6),SUM(OFFSET(H755,-90,0):H755),IF(AND(EOMONTH(F755,0)=F755,OR(MONTH(F755)=9,MONTH(F755)=12)),SUM(OFFSET(H755,-91,0):H755)))))),IF(F755='депозитный калькулятор'!$D$8,SUM($H$23:H755)-SUM($I$23:I754),0))),IF('депозитный калькулятор'!$G$10="ежегодное",IF(F755&gt;'депозитный калькулятор'!$D$8," ",IF(F755='депозитный калькулятор'!$D$8,SUM($H$23:H755)-SUM($I$23:I754),IF(AND(EOMONTH(F755,0)=F755,MONTH(F755)=12),IF(MOD(YEAR(F754),4)=0,IF(F755-'депозитный калькулятор'!$D$7&lt;366,SUM($H$23:H755),SUM(OFFSET(H755,-365,0):H755)),IF(F755-'депозитный калькулятор'!$D$7&lt;365,SUM($H$23:H755),SUM(OFFSET(H755,-364,0):H755))),0))),IF(AND('депозитный калькулятор'!$G$10="в конце срока",'депозитный калькулятор'!$D$8=F755),SUM($H$23:H755),0))))))))))))))))))</f>
        <v xml:space="preserve"> </v>
      </c>
      <c r="J755" s="59" t="str">
        <f>IF(F755&gt;'депозитный калькулятор'!$D$8," ",IF('депозитный калькулятор'!$G$16="нет",0,IF(AND('депозитный калькулятор'!$G$17="разовая (в конце срока)",F755='депозитный калькулятор'!$D$8),'депозитный калькулятор'!$G$18,IF(AND('депозитный калькулятор'!$G$17="ежемесячная",EOMONTH(F754,0)=F754),'депозитный калькулятор'!$G$18,IF(AND('депозитный калькулятор'!$G$17="ежегодная",DAY(F754)=31,MONTH(F754)=12),'депозитный калькулятор'!$G$18,IF(AND('депозитный калькулятор'!$G$17="ежемесячная в зависимости от остатка",EOMONTH(F754,0)=F754,P754&gt;0),'депозитный калькулятор'!$G$18,IF(AND('депозитный калькулятор'!$G$17="ежегодная в зависимости от остатка",DAY(F754)=31,MONTH(F754)=12,P754&gt;0),'депозитный калькулятор'!$G$18,0)))))))</f>
        <v xml:space="preserve"> </v>
      </c>
      <c r="K755" s="135" t="str">
        <f>IF($F755=" "," ",IFERROR(VLOOKUP($F755,'депозитный калькулятор'!$B$26:$F$70,2,0),0))</f>
        <v xml:space="preserve"> </v>
      </c>
      <c r="L755" s="135" t="str">
        <f>IF($F755=" "," ",IFERROR(VLOOKUP($F755,'депозитный калькулятор'!$B$26:$F$70,3,0),0))</f>
        <v xml:space="preserve"> </v>
      </c>
      <c r="M755" s="135" t="str">
        <f>IF($F755=" "," ",IFERROR(VLOOKUP($F755,'депозитный калькулятор'!$B$26:$F$70,4,0),0))</f>
        <v xml:space="preserve"> </v>
      </c>
      <c r="N755" s="135" t="str">
        <f>IF($F755=" "," ",IFERROR(VLOOKUP($F755,'депозитный калькулятор'!$B$26:$F$70,5,0),0))</f>
        <v xml:space="preserve"> </v>
      </c>
      <c r="O755" s="146" t="str">
        <f>IF(F755&gt;'депозитный калькулятор'!$D$8," ",IF(F755='депозитный калькулятор'!$D$8,IF(AND($F$24='депозитный калькулятор'!$D$8,'депозитный калькулятор'!$G$13="нет"),-G755-IF(I755=" ",0,I755)-IF(AND(OR('депозитный калькулятор'!$G$7="30/365",'депозитный калькулятор'!$G$7="30/360"),'депозитный калькулятор'!$G$10="в начале срока"),I754,0)-L755+M755-N755,-G755-IF(I755=" ",0,I755)-L755+M755-N755),IF('депозитный калькулятор'!$G$13="есть",M755-N755+IF('депозитный калькулятор'!$G$14="есть",0,-L755),-IF(I755=" ",0,I755)-IF(AND(OR('депозитный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срока"),I754,0)+M755-N755+IF('депозитный калькулятор'!$G$14="есть",0,-L755))))</f>
        <v xml:space="preserve"> </v>
      </c>
      <c r="P755" s="147" t="str">
        <f>IF(F755&gt;'депозитный калькулятор'!$D$8," ",IF(EOMONTH(F754,0)=F754,0,IF(G755&gt;='депозитный калькулятор'!$G$19,P754,P754+1)))</f>
        <v xml:space="preserve"> </v>
      </c>
      <c r="Q755" s="138" t="str">
        <f>IF(F755=" "," ",IF(AND(OR('депозитный калькулятор'!$G$7="30/365",'депозитный калькулятор'!$G$7="30/360"),AND(MONTH(F755)=2,EOMONTH(F755,0)=F755)),IF(DAY(F755)=28,3,2),1)*IF(G755&gt;='депозитный калькулятор'!$G$11,IF(AND('депозитный калькулятор'!$G$7="факт/факт",MOD(YEAR(F755),4)=0),G755*'депозитный калькулятор'!$D$11/366,G755*'депозитный калькулятор'!$G$8),0))</f>
        <v xml:space="preserve"> </v>
      </c>
      <c r="R755" s="158"/>
      <c r="S755" s="62" t="str">
        <f t="shared" ca="1" si="57"/>
        <v xml:space="preserve"> </v>
      </c>
      <c r="T755" s="149" t="str">
        <f ca="1">IF(S755=" "," ",IF('депозитный калькулятор'!$G$7="30/360",DAYS360(U754,IF(DAY(U755)=31,U755-1,U755))+IF(AND(MONTH(U755)=2,U755=EOMONTH(U755,0)),30-DAY(EOMONTH(U755,0)))+T754,VLOOKUP(S755,$C$22:$F$1023,2,0)))</f>
        <v xml:space="preserve"> </v>
      </c>
      <c r="U755" s="64" t="str">
        <f t="shared" ca="1" si="55"/>
        <v xml:space="preserve"> </v>
      </c>
      <c r="V755" s="150" t="str">
        <f t="shared" ca="1" si="58"/>
        <v xml:space="preserve"> </v>
      </c>
      <c r="W755" s="62" t="str">
        <f t="shared" ca="1" si="59"/>
        <v xml:space="preserve"> </v>
      </c>
      <c r="X755" s="141" t="str">
        <f ca="1">IF(S755=" "," ",IFERROR(VLOOKUP(U755,$F$23:$N$1023,7)+VLOOKUP(U755,$F$23:$N$1023,9)+IF(AND('депозитный калькулятор'!$G$13="нет",U755&lt;&gt;'депозитный калькулятор'!$D$8),VLOOKUP(U755,$F$23:$N$1023,4),0),0)+IF(U755='депозитный калькулятор'!$D$8,VLOOKUP(U755,$F$23:$N$1023,2)+VLOOKUP(U755,$F$23:$N$1023,4),0))</f>
        <v xml:space="preserve"> </v>
      </c>
      <c r="Y755" s="142" t="str">
        <f ca="1">IF(S755=" "," ",W755/(1+'депозитный калькулятор'!$K$8)^(T755/IF('депозитный калькулятор'!$G$7="30/360",360,365)))</f>
        <v xml:space="preserve"> </v>
      </c>
      <c r="Z755" s="142" t="str">
        <f ca="1">IF(S755=" "," ",X755/(1+'депозитный калькулятор'!$K$8)^(T755/IF('депозитный калькулятор'!$G$7="30/360",360,365)))</f>
        <v xml:space="preserve"> </v>
      </c>
      <c r="AA755" s="151"/>
      <c r="AB755" s="151"/>
      <c r="AC755" s="155"/>
      <c r="AD755" s="155"/>
    </row>
    <row r="756" spans="1:30" s="2" customFormat="1" ht="15.5" x14ac:dyDescent="0.35">
      <c r="A756" s="41" t="str">
        <f>IF(F756=" "," ",IF(OR('депозитный калькулятор'!$G$7="30/365",'депозитный калькулятор'!$G$7="30/360"),IF(AND(MONTH(F756)=2,DAY(F756)=DAY(EOMONTH(F756,0))),30-DAY(EOMONTH(F756,0)),IF(DAY(F756)=31,1," "))," "))</f>
        <v xml:space="preserve"> </v>
      </c>
      <c r="B756" s="130" t="str">
        <f t="shared" si="56"/>
        <v xml:space="preserve"> </v>
      </c>
      <c r="C756" s="130" t="str">
        <f>IF(OR(B756=0,B756=" ")," ",SUM($B$23:B756))</f>
        <v xml:space="preserve"> </v>
      </c>
      <c r="D756" s="62" t="str">
        <f>IF(D755=" "," ",IF(OR(F755='депозитный калькулятор'!$D$8,F755=" ")," ",D755+1))</f>
        <v xml:space="preserve"> </v>
      </c>
      <c r="E756" s="130" t="str">
        <f>IF(OR(F755='депозитный калькулятор'!$D$8,F755=" ")," ",IF(EOMONTH(F755,0)=F755,1,E755+1))</f>
        <v xml:space="preserve"> </v>
      </c>
      <c r="F756" s="64" t="str">
        <f>IF(F755=" "," ",IF(F755='депозитный калькулятор'!$D$8," ",F755+1))</f>
        <v xml:space="preserve"> </v>
      </c>
      <c r="G756" s="145" t="str">
        <f xml:space="preserve"> IF(F756&gt;'депозитный калькулятор'!$D$8," ",IF('депозитный калькулятор'!$G$13="есть",IF('депозитный калькулятор'!$G$14="есть",G755+IF(I755=" ",0,I755)-J756-K756+L756+M756-N756,G755+IF(I755=" ",0,I755)-J756-K756+M756-N756),IF('депозитный калькулятор'!$G$14="есть",G755-J756-K756+L756+M756-N756,G755-J756-K756+M756-N756)))</f>
        <v xml:space="preserve"> </v>
      </c>
      <c r="H756" s="133" t="str">
        <f>IF(F756&gt;'депозитный калькулятор'!$D$8," ",IF(AND(OR('депозитный калькулятор'!$G$7="30/365",'депозитный калькулятор'!$G$7="30/360"),AND(MONTH(F756)=2,EOMONTH(F756,0)=F756)),IF(DAY(F756)=28,3*G756*'депозитный калькулятор'!$G$8,2*G756*'депозитный калькулятор'!$G$8),IF(AND(OR('депозитный калькулятор'!$G$7="30/365",'депозитный калькулятор'!$G$7="30/360"),DAY(F756)=31)," ",IF(AND('депозитный калькулятор'!$G$7="факт/факт",MOD(YEAR(F756),4)=0),G756*'депозитный калькулятор'!$D$11/366,G756*'депозитный калькулятор'!$G$8))))</f>
        <v xml:space="preserve"> </v>
      </c>
      <c r="I756" s="134" t="str">
        <f ca="1">IF(F756=" "," ",IF('депозитный калькулятор'!$G$10="ежедневное",H756,IF(AND('депозитный калькулятор'!$G$10="еженедельное",WEEKDAY(F756,2)=7),SUM(OFFSET(H756,-6,0):H756),IF(AND('депозитный калькулятор'!$G$10="еженедельное",F756='депозитный калькулятор'!$D$8),SUM($H$23:H756)-SUM($I$23:I755),IF(AND('депозитный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недели",WEEKDAY(F756,2)=7),MIN(OFFSET(H756,-6,0):H756)*(COUNTIF(OFFSET(H756,-6,0):H756,"&gt;0")+SUMIF(OFFSET(A756,-WEEKDAY(F756,2),0):A756,"=2",OFFSET(A756,-WEEKDAY(F756,2),0):A756)),IF(AND('депозитный калькулятор'!$G$10="еженедельное, на минимальную сумму зафиксированную в течение недели",F756='депозитный калькулятор'!$D$8,WEEKDAY(F756,2)&lt;&gt;7),MIN(OFFSET(H756,-WEEKDAY(F756,2),0):H756)*(COUNTIF(OFFSET(H756,-WEEKDAY(F756,2)+1,0):H756,"&gt;0")+SUM(OFFSET(A756,-WEEKDAY(F756,2),0):A756)),IF(AND('депозитный калькулятор'!$G$10="ежемесячное (в конце месяца)",F756='депозитный калькулятор'!$D$8,EOMONTH(F756,0)&lt;&gt;F756),IF('депозитный калькулятор'!$F$1=1,$H$24,SUM($H$23:H756)-SUM($I$23:I755)),IF(AND('депозитный калькулятор'!$G$10="ежемесячное (в конце месяца)",EOMONTH(F756,0)=F756),SUM($H$23:H756)-SUM($I$23:I755),IF(AND('депозитный калькулятор'!$G$10="ежемесячное (по дням открытия вклада)",F756='депозитный калькулятор'!$D$8,DAY('депозитный калькулятор'!$D$7)&lt;&gt;DAY(F756)),IF('депозитный калькулятор'!$F$1=1,$H$24,SUM($H$23:H756)-SUM($I$23:I755)),IF(AND('депозитный калькулятор'!$G$10="ежемесячное (по дням открытия вклада)",DAY('депозитный калькулятор'!$D$7)=DAY(F756)),SUM($H$23:H756)-SUM($I$23:I755),IF(AND('депозитный калькулятор'!$G$10="ежемесячное, на минимальную сумму зафиксированную в течение месяца",F756='депозитный калькулятор'!$D$8,EOMONTH(F756,0)&lt;&gt;F756),IF('депозитный калькулятор'!$F$1=1,$H$24,IF(AND(OR('депозитный калькулятор'!$G$7="30/365",'депозитный калькулятор'!$G$7="30/360"),DAY(F756)=31),0,MIN(OFFSET(H756,-E756+1,0):H756)*(E756+SUMIF(OFFSET(A756,-E756+1,0):A756,"=2",OFFSET(A756,-E756+1,0):A756)))),IF(AND('депозитный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калькулятор'!$G$7="30/360"),DAY(EOMONTH(F756,0))=31),EOMONTH(F756,0)-1=F756,EOMONTH(F756,0)=F756)),IF(IF(AND(OR('депозитный калькулятор'!$G$7="30/365",'депозитный калькулятор'!$G$7="30/360"),DAY(EOMONTH($F$23,0))=31),F756=EOMONTH($F$23,0)-1,F756=EOMONTH($F$23,0)),MIN(OFFSET(H756,-(DAY(F756)-DAY($F$23)),0):H756)*E756,MIN(OFFSET(H756,-(DAY(F756)-1),0):H756)*IF(AND(OR('депозитный калькулятор'!$G$7="30/365",'депозитный калькулятор'!$G$7="30/360"),DAY(F756)&lt;30),30,DAY(F756))),IF(AND('депозитный калькулятор'!$G$10="ежемесячное, на средний остаток в течение месяца, при условии что остаток больше чем ограничение",F756='депозитный калькулятор'!$D$8,EOMONTH(F756,0)&lt;&gt;F756),IF('депозитный калькулятор'!$F$1=1,$H$24,SUM(OFFSET(Q756,-E756+1,0):Q756)),IF(AND('депозитный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калькулятор'!$G$7="30/360"),DAY(EOMONTH(F756,0))=31),EOMONTH(F756,0)-1=F756,EOMONTH(F756,0)=F756)),IF(IF(AND(OR('депозитный калькулятор'!$G$7="30/365",'депозитный калькулятор'!$G$7="30/360"),DAY(EOMONTH($F$24,0))=31),F756=EOMONTH($F$24,0)-1,F756=EOMONTH($F$24,0)),SUM(OFFSET(Q756,-E756+1,0):Q756),SUM(OFFSET(Q756,-E756+1,0):Q756)),IF('депозитный калькулятор'!$G$10="ежеквартальное",IF(F756&gt;'депозитный калькулятор'!$D$8," ",IF(AND(EOMONTH(F756,0)=F756,OR(MONTH(F756)=3,MONTH(F756)=6,MONTH(F756)=9,MONTH(F756)=12)),IF(EDATE(F756,-3)&lt;'депозитный калькулятор'!$D$7,SUM($H$23:H756),IF(MOD(YEAR(F756),4)=0,IF(AND(EOMONTH(F756,0)=F756,OR(MONTH(F756)=3,MONTH(F756)=6)),SUM(OFFSET(H756,-90,0):H756),IF(AND(EOMONTH(F756,0)=F756,OR(MONTH(F756)=9,MONTH(F756)=12)),SUM(OFFSET(H756,-91,0):H756))),IF(AND(EOMONTH(F756,0)=F756,MONTH(F756)=3),SUM(OFFSET(H756,-89,0):H756),IF(AND(EOMONTH(F756,0)=F756,MONTH(F756)=6),SUM(OFFSET(H756,-90,0):H756),IF(AND(EOMONTH(F756,0)=F756,OR(MONTH(F756)=9,MONTH(F756)=12)),SUM(OFFSET(H756,-91,0):H756)))))),IF(F756='депозитный калькулятор'!$D$8,SUM($H$23:H756)-SUM($I$23:I755),0))),IF('депозитный калькулятор'!$G$10="ежегодное",IF(F756&gt;'депозитный калькулятор'!$D$8," ",IF(F756='депозитный калькулятор'!$D$8,SUM($H$23:H756)-SUM($I$23:I755),IF(AND(EOMONTH(F756,0)=F756,MONTH(F756)=12),IF(MOD(YEAR(F755),4)=0,IF(F756-'депозитный калькулятор'!$D$7&lt;366,SUM($H$23:H756),SUM(OFFSET(H756,-365,0):H756)),IF(F756-'депозитный калькулятор'!$D$7&lt;365,SUM($H$23:H756),SUM(OFFSET(H756,-364,0):H756))),0))),IF(AND('депозитный калькулятор'!$G$10="в конце срока",'депозитный калькулятор'!$D$8=F756),SUM($H$23:H756),0))))))))))))))))))</f>
        <v xml:space="preserve"> </v>
      </c>
      <c r="J756" s="59" t="str">
        <f>IF(F756&gt;'депозитный калькулятор'!$D$8," ",IF('депозитный калькулятор'!$G$16="нет",0,IF(AND('депозитный калькулятор'!$G$17="разовая (в конце срока)",F756='депозитный калькулятор'!$D$8),'депозитный калькулятор'!$G$18,IF(AND('депозитный калькулятор'!$G$17="ежемесячная",EOMONTH(F755,0)=F755),'депозитный калькулятор'!$G$18,IF(AND('депозитный калькулятор'!$G$17="ежегодная",DAY(F755)=31,MONTH(F755)=12),'депозитный калькулятор'!$G$18,IF(AND('депозитный калькулятор'!$G$17="ежемесячная в зависимости от остатка",EOMONTH(F755,0)=F755,P755&gt;0),'депозитный калькулятор'!$G$18,IF(AND('депозитный калькулятор'!$G$17="ежегодная в зависимости от остатка",DAY(F755)=31,MONTH(F755)=12,P755&gt;0),'депозитный калькулятор'!$G$18,0)))))))</f>
        <v xml:space="preserve"> </v>
      </c>
      <c r="K756" s="135" t="str">
        <f>IF($F756=" "," ",IFERROR(VLOOKUP($F756,'депозитный калькулятор'!$B$26:$F$70,2,0),0))</f>
        <v xml:space="preserve"> </v>
      </c>
      <c r="L756" s="135" t="str">
        <f>IF($F756=" "," ",IFERROR(VLOOKUP($F756,'депозитный калькулятор'!$B$26:$F$70,3,0),0))</f>
        <v xml:space="preserve"> </v>
      </c>
      <c r="M756" s="135" t="str">
        <f>IF($F756=" "," ",IFERROR(VLOOKUP($F756,'депозитный калькулятор'!$B$26:$F$70,4,0),0))</f>
        <v xml:space="preserve"> </v>
      </c>
      <c r="N756" s="135" t="str">
        <f>IF($F756=" "," ",IFERROR(VLOOKUP($F756,'депозитный калькулятор'!$B$26:$F$70,5,0),0))</f>
        <v xml:space="preserve"> </v>
      </c>
      <c r="O756" s="146" t="str">
        <f>IF(F756&gt;'депозитный калькулятор'!$D$8," ",IF(F756='депозитный калькулятор'!$D$8,IF(AND($F$24='депозитный калькулятор'!$D$8,'депозитный калькулятор'!$G$13="нет"),-G756-IF(I756=" ",0,I756)-IF(AND(OR('депозитный калькулятор'!$G$7="30/365",'депозитный калькулятор'!$G$7="30/360"),'депозитный калькулятор'!$G$10="в начале срока"),I755,0)-L756+M756-N756,-G756-IF(I756=" ",0,I756)-L756+M756-N756),IF('депозитный калькулятор'!$G$13="есть",M756-N756+IF('депозитный калькулятор'!$G$14="есть",0,-L756),-IF(I756=" ",0,I756)-IF(AND(OR('депозитный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срока"),I755,0)+M756-N756+IF('депозитный калькулятор'!$G$14="есть",0,-L756))))</f>
        <v xml:space="preserve"> </v>
      </c>
      <c r="P756" s="147" t="str">
        <f>IF(F756&gt;'депозитный калькулятор'!$D$8," ",IF(EOMONTH(F755,0)=F755,0,IF(G756&gt;='депозитный калькулятор'!$G$19,P755,P755+1)))</f>
        <v xml:space="preserve"> </v>
      </c>
      <c r="Q756" s="138" t="str">
        <f>IF(F756=" "," ",IF(AND(OR('депозитный калькулятор'!$G$7="30/365",'депозитный калькулятор'!$G$7="30/360"),AND(MONTH(F756)=2,EOMONTH(F756,0)=F756)),IF(DAY(F756)=28,3,2),1)*IF(G756&gt;='депозитный калькулятор'!$G$11,IF(AND('депозитный калькулятор'!$G$7="факт/факт",MOD(YEAR(F756),4)=0),G756*'депозитный калькулятор'!$D$11/366,G756*'депозитный калькулятор'!$G$8),0))</f>
        <v xml:space="preserve"> </v>
      </c>
      <c r="R756" s="158"/>
      <c r="S756" s="62" t="str">
        <f t="shared" ca="1" si="57"/>
        <v xml:space="preserve"> </v>
      </c>
      <c r="T756" s="149" t="str">
        <f ca="1">IF(S756=" "," ",IF('депозитный калькулятор'!$G$7="30/360",DAYS360(U755,IF(DAY(U756)=31,U756-1,U756))+IF(AND(MONTH(U756)=2,U756=EOMONTH(U756,0)),30-DAY(EOMONTH(U756,0)))+T755,VLOOKUP(S756,$C$22:$F$1023,2,0)))</f>
        <v xml:space="preserve"> </v>
      </c>
      <c r="U756" s="64" t="str">
        <f t="shared" ca="1" si="55"/>
        <v xml:space="preserve"> </v>
      </c>
      <c r="V756" s="150" t="str">
        <f t="shared" ca="1" si="58"/>
        <v xml:space="preserve"> </v>
      </c>
      <c r="W756" s="62" t="str">
        <f t="shared" ca="1" si="59"/>
        <v xml:space="preserve"> </v>
      </c>
      <c r="X756" s="141" t="str">
        <f ca="1">IF(S756=" "," ",IFERROR(VLOOKUP(U756,$F$23:$N$1023,7)+VLOOKUP(U756,$F$23:$N$1023,9)+IF(AND('депозитный калькулятор'!$G$13="нет",U756&lt;&gt;'депозитный калькулятор'!$D$8),VLOOKUP(U756,$F$23:$N$1023,4),0),0)+IF(U756='депозитный калькулятор'!$D$8,VLOOKUP(U756,$F$23:$N$1023,2)+VLOOKUP(U756,$F$23:$N$1023,4),0))</f>
        <v xml:space="preserve"> </v>
      </c>
      <c r="Y756" s="142" t="str">
        <f ca="1">IF(S756=" "," ",W756/(1+'депозитный калькулятор'!$K$8)^(T756/IF('депозитный калькулятор'!$G$7="30/360",360,365)))</f>
        <v xml:space="preserve"> </v>
      </c>
      <c r="Z756" s="142" t="str">
        <f ca="1">IF(S756=" "," ",X756/(1+'депозитный калькулятор'!$K$8)^(T756/IF('депозитный калькулятор'!$G$7="30/360",360,365)))</f>
        <v xml:space="preserve"> </v>
      </c>
      <c r="AA756" s="151"/>
      <c r="AB756" s="151"/>
      <c r="AC756" s="155"/>
      <c r="AD756" s="155"/>
    </row>
    <row r="757" spans="1:30" s="2" customFormat="1" ht="15.5" x14ac:dyDescent="0.35">
      <c r="A757" s="41" t="str">
        <f>IF(F757=" "," ",IF(OR('депозитный калькулятор'!$G$7="30/365",'депозитный калькулятор'!$G$7="30/360"),IF(AND(MONTH(F757)=2,DAY(F757)=DAY(EOMONTH(F757,0))),30-DAY(EOMONTH(F757,0)),IF(DAY(F757)=31,1," "))," "))</f>
        <v xml:space="preserve"> </v>
      </c>
      <c r="B757" s="130" t="str">
        <f t="shared" si="56"/>
        <v xml:space="preserve"> </v>
      </c>
      <c r="C757" s="130" t="str">
        <f>IF(OR(B757=0,B757=" ")," ",SUM($B$23:B757))</f>
        <v xml:space="preserve"> </v>
      </c>
      <c r="D757" s="62" t="str">
        <f>IF(D756=" "," ",IF(OR(F756='депозитный калькулятор'!$D$8,F756=" ")," ",D756+1))</f>
        <v xml:space="preserve"> </v>
      </c>
      <c r="E757" s="130" t="str">
        <f>IF(OR(F756='депозитный калькулятор'!$D$8,F756=" ")," ",IF(EOMONTH(F756,0)=F756,1,E756+1))</f>
        <v xml:space="preserve"> </v>
      </c>
      <c r="F757" s="64" t="str">
        <f>IF(F756=" "," ",IF(F756='депозитный калькулятор'!$D$8," ",F756+1))</f>
        <v xml:space="preserve"> </v>
      </c>
      <c r="G757" s="145" t="str">
        <f xml:space="preserve"> IF(F757&gt;'депозитный калькулятор'!$D$8," ",IF('депозитный калькулятор'!$G$13="есть",IF('депозитный калькулятор'!$G$14="есть",G756+IF(I756=" ",0,I756)-J757-K757+L757+M757-N757,G756+IF(I756=" ",0,I756)-J757-K757+M757-N757),IF('депозитный калькулятор'!$G$14="есть",G756-J757-K757+L757+M757-N757,G756-J757-K757+M757-N757)))</f>
        <v xml:space="preserve"> </v>
      </c>
      <c r="H757" s="133" t="str">
        <f>IF(F757&gt;'депозитный калькулятор'!$D$8," ",IF(AND(OR('депозитный калькулятор'!$G$7="30/365",'депозитный калькулятор'!$G$7="30/360"),AND(MONTH(F757)=2,EOMONTH(F757,0)=F757)),IF(DAY(F757)=28,3*G757*'депозитный калькулятор'!$G$8,2*G757*'депозитный калькулятор'!$G$8),IF(AND(OR('депозитный калькулятор'!$G$7="30/365",'депозитный калькулятор'!$G$7="30/360"),DAY(F757)=31)," ",IF(AND('депозитный калькулятор'!$G$7="факт/факт",MOD(YEAR(F757),4)=0),G757*'депозитный калькулятор'!$D$11/366,G757*'депозитный калькулятор'!$G$8))))</f>
        <v xml:space="preserve"> </v>
      </c>
      <c r="I757" s="134" t="str">
        <f ca="1">IF(F757=" "," ",IF('депозитный калькулятор'!$G$10="ежедневное",H757,IF(AND('депозитный калькулятор'!$G$10="еженедельное",WEEKDAY(F757,2)=7),SUM(OFFSET(H757,-6,0):H757),IF(AND('депозитный калькулятор'!$G$10="еженедельное",F757='депозитный калькулятор'!$D$8),SUM($H$23:H757)-SUM($I$23:I756),IF(AND('депозитный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недели",WEEKDAY(F757,2)=7),MIN(OFFSET(H757,-6,0):H757)*(COUNTIF(OFFSET(H757,-6,0):H757,"&gt;0")+SUMIF(OFFSET(A757,-WEEKDAY(F757,2),0):A757,"=2",OFFSET(A757,-WEEKDAY(F757,2),0):A757)),IF(AND('депозитный калькулятор'!$G$10="еженедельное, на минимальную сумму зафиксированную в течение недели",F757='депозитный калькулятор'!$D$8,WEEKDAY(F757,2)&lt;&gt;7),MIN(OFFSET(H757,-WEEKDAY(F757,2),0):H757)*(COUNTIF(OFFSET(H757,-WEEKDAY(F757,2)+1,0):H757,"&gt;0")+SUM(OFFSET(A757,-WEEKDAY(F757,2),0):A757)),IF(AND('депозитный калькулятор'!$G$10="ежемесячное (в конце месяца)",F757='депозитный калькулятор'!$D$8,EOMONTH(F757,0)&lt;&gt;F757),IF('депозитный калькулятор'!$F$1=1,$H$24,SUM($H$23:H757)-SUM($I$23:I756)),IF(AND('депозитный калькулятор'!$G$10="ежемесячное (в конце месяца)",EOMONTH(F757,0)=F757),SUM($H$23:H757)-SUM($I$23:I756),IF(AND('депозитный калькулятор'!$G$10="ежемесячное (по дням открытия вклада)",F757='депозитный калькулятор'!$D$8,DAY('депозитный калькулятор'!$D$7)&lt;&gt;DAY(F757)),IF('депозитный калькулятор'!$F$1=1,$H$24,SUM($H$23:H757)-SUM($I$23:I756)),IF(AND('депозитный калькулятор'!$G$10="ежемесячное (по дням открытия вклада)",DAY('депозитный калькулятор'!$D$7)=DAY(F757)),SUM($H$23:H757)-SUM($I$23:I756),IF(AND('депозитный калькулятор'!$G$10="ежемесячное, на минимальную сумму зафиксированную в течение месяца",F757='депозитный калькулятор'!$D$8,EOMONTH(F757,0)&lt;&gt;F757),IF('депозитный калькулятор'!$F$1=1,$H$24,IF(AND(OR('депозитный калькулятор'!$G$7="30/365",'депозитный калькулятор'!$G$7="30/360"),DAY(F757)=31),0,MIN(OFFSET(H757,-E757+1,0):H757)*(E757+SUMIF(OFFSET(A757,-E757+1,0):A757,"=2",OFFSET(A757,-E757+1,0):A757)))),IF(AND('депозитный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калькулятор'!$G$7="30/360"),DAY(EOMONTH(F757,0))=31),EOMONTH(F757,0)-1=F757,EOMONTH(F757,0)=F757)),IF(IF(AND(OR('депозитный калькулятор'!$G$7="30/365",'депозитный калькулятор'!$G$7="30/360"),DAY(EOMONTH($F$23,0))=31),F757=EOMONTH($F$23,0)-1,F757=EOMONTH($F$23,0)),MIN(OFFSET(H757,-(DAY(F757)-DAY($F$23)),0):H757)*E757,MIN(OFFSET(H757,-(DAY(F757)-1),0):H757)*IF(AND(OR('депозитный калькулятор'!$G$7="30/365",'депозитный калькулятор'!$G$7="30/360"),DAY(F757)&lt;30),30,DAY(F757))),IF(AND('депозитный калькулятор'!$G$10="ежемесячное, на средний остаток в течение месяца, при условии что остаток больше чем ограничение",F757='депозитный калькулятор'!$D$8,EOMONTH(F757,0)&lt;&gt;F757),IF('депозитный калькулятор'!$F$1=1,$H$24,SUM(OFFSET(Q757,-E757+1,0):Q757)),IF(AND('депозитный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калькулятор'!$G$7="30/360"),DAY(EOMONTH(F757,0))=31),EOMONTH(F757,0)-1=F757,EOMONTH(F757,0)=F757)),IF(IF(AND(OR('депозитный калькулятор'!$G$7="30/365",'депозитный калькулятор'!$G$7="30/360"),DAY(EOMONTH($F$24,0))=31),F757=EOMONTH($F$24,0)-1,F757=EOMONTH($F$24,0)),SUM(OFFSET(Q757,-E757+1,0):Q757),SUM(OFFSET(Q757,-E757+1,0):Q757)),IF('депозитный калькулятор'!$G$10="ежеквартальное",IF(F757&gt;'депозитный калькулятор'!$D$8," ",IF(AND(EOMONTH(F757,0)=F757,OR(MONTH(F757)=3,MONTH(F757)=6,MONTH(F757)=9,MONTH(F757)=12)),IF(EDATE(F757,-3)&lt;'депозитный калькулятор'!$D$7,SUM($H$23:H757),IF(MOD(YEAR(F757),4)=0,IF(AND(EOMONTH(F757,0)=F757,OR(MONTH(F757)=3,MONTH(F757)=6)),SUM(OFFSET(H757,-90,0):H757),IF(AND(EOMONTH(F757,0)=F757,OR(MONTH(F757)=9,MONTH(F757)=12)),SUM(OFFSET(H757,-91,0):H757))),IF(AND(EOMONTH(F757,0)=F757,MONTH(F757)=3),SUM(OFFSET(H757,-89,0):H757),IF(AND(EOMONTH(F757,0)=F757,MONTH(F757)=6),SUM(OFFSET(H757,-90,0):H757),IF(AND(EOMONTH(F757,0)=F757,OR(MONTH(F757)=9,MONTH(F757)=12)),SUM(OFFSET(H757,-91,0):H757)))))),IF(F757='депозитный калькулятор'!$D$8,SUM($H$23:H757)-SUM($I$23:I756),0))),IF('депозитный калькулятор'!$G$10="ежегодное",IF(F757&gt;'депозитный калькулятор'!$D$8," ",IF(F757='депозитный калькулятор'!$D$8,SUM($H$23:H757)-SUM($I$23:I756),IF(AND(EOMONTH(F757,0)=F757,MONTH(F757)=12),IF(MOD(YEAR(F756),4)=0,IF(F757-'депозитный калькулятор'!$D$7&lt;366,SUM($H$23:H757),SUM(OFFSET(H757,-365,0):H757)),IF(F757-'депозитный калькулятор'!$D$7&lt;365,SUM($H$23:H757),SUM(OFFSET(H757,-364,0):H757))),0))),IF(AND('депозитный калькулятор'!$G$10="в конце срока",'депозитный калькулятор'!$D$8=F757),SUM($H$23:H757),0))))))))))))))))))</f>
        <v xml:space="preserve"> </v>
      </c>
      <c r="J757" s="59" t="str">
        <f>IF(F757&gt;'депозитный калькулятор'!$D$8," ",IF('депозитный калькулятор'!$G$16="нет",0,IF(AND('депозитный калькулятор'!$G$17="разовая (в конце срока)",F757='депозитный калькулятор'!$D$8),'депозитный калькулятор'!$G$18,IF(AND('депозитный калькулятор'!$G$17="ежемесячная",EOMONTH(F756,0)=F756),'депозитный калькулятор'!$G$18,IF(AND('депозитный калькулятор'!$G$17="ежегодная",DAY(F756)=31,MONTH(F756)=12),'депозитный калькулятор'!$G$18,IF(AND('депозитный калькулятор'!$G$17="ежемесячная в зависимости от остатка",EOMONTH(F756,0)=F756,P756&gt;0),'депозитный калькулятор'!$G$18,IF(AND('депозитный калькулятор'!$G$17="ежегодная в зависимости от остатка",DAY(F756)=31,MONTH(F756)=12,P756&gt;0),'депозитный калькулятор'!$G$18,0)))))))</f>
        <v xml:space="preserve"> </v>
      </c>
      <c r="K757" s="135" t="str">
        <f>IF($F757=" "," ",IFERROR(VLOOKUP($F757,'депозитный калькулятор'!$B$26:$F$70,2,0),0))</f>
        <v xml:space="preserve"> </v>
      </c>
      <c r="L757" s="135" t="str">
        <f>IF($F757=" "," ",IFERROR(VLOOKUP($F757,'депозитный калькулятор'!$B$26:$F$70,3,0),0))</f>
        <v xml:space="preserve"> </v>
      </c>
      <c r="M757" s="135" t="str">
        <f>IF($F757=" "," ",IFERROR(VLOOKUP($F757,'депозитный калькулятор'!$B$26:$F$70,4,0),0))</f>
        <v xml:space="preserve"> </v>
      </c>
      <c r="N757" s="135" t="str">
        <f>IF($F757=" "," ",IFERROR(VLOOKUP($F757,'депозитный калькулятор'!$B$26:$F$70,5,0),0))</f>
        <v xml:space="preserve"> </v>
      </c>
      <c r="O757" s="146" t="str">
        <f>IF(F757&gt;'депозитный калькулятор'!$D$8," ",IF(F757='депозитный калькулятор'!$D$8,IF(AND($F$24='депозитный калькулятор'!$D$8,'депозитный калькулятор'!$G$13="нет"),-G757-IF(I757=" ",0,I757)-IF(AND(OR('депозитный калькулятор'!$G$7="30/365",'депозитный калькулятор'!$G$7="30/360"),'депозитный калькулятор'!$G$10="в начале срока"),I756,0)-L757+M757-N757,-G757-IF(I757=" ",0,I757)-L757+M757-N757),IF('депозитный калькулятор'!$G$13="есть",M757-N757+IF('депозитный калькулятор'!$G$14="есть",0,-L757),-IF(I757=" ",0,I757)-IF(AND(OR('депозитный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срока"),I756,0)+M757-N757+IF('депозитный калькулятор'!$G$14="есть",0,-L757))))</f>
        <v xml:space="preserve"> </v>
      </c>
      <c r="P757" s="147" t="str">
        <f>IF(F757&gt;'депозитный калькулятор'!$D$8," ",IF(EOMONTH(F756,0)=F756,0,IF(G757&gt;='депозитный калькулятор'!$G$19,P756,P756+1)))</f>
        <v xml:space="preserve"> </v>
      </c>
      <c r="Q757" s="138" t="str">
        <f>IF(F757=" "," ",IF(AND(OR('депозитный калькулятор'!$G$7="30/365",'депозитный калькулятор'!$G$7="30/360"),AND(MONTH(F757)=2,EOMONTH(F757,0)=F757)),IF(DAY(F757)=28,3,2),1)*IF(G757&gt;='депозитный калькулятор'!$G$11,IF(AND('депозитный калькулятор'!$G$7="факт/факт",MOD(YEAR(F757),4)=0),G757*'депозитный калькулятор'!$D$11/366,G757*'депозитный калькулятор'!$G$8),0))</f>
        <v xml:space="preserve"> </v>
      </c>
      <c r="R757" s="158"/>
      <c r="S757" s="62" t="str">
        <f t="shared" ca="1" si="57"/>
        <v xml:space="preserve"> </v>
      </c>
      <c r="T757" s="149" t="str">
        <f ca="1">IF(S757=" "," ",IF('депозитный калькулятор'!$G$7="30/360",DAYS360(U756,IF(DAY(U757)=31,U757-1,U757))+IF(AND(MONTH(U757)=2,U757=EOMONTH(U757,0)),30-DAY(EOMONTH(U757,0)))+T756,VLOOKUP(S757,$C$22:$F$1023,2,0)))</f>
        <v xml:space="preserve"> </v>
      </c>
      <c r="U757" s="64" t="str">
        <f t="shared" ca="1" si="55"/>
        <v xml:space="preserve"> </v>
      </c>
      <c r="V757" s="150" t="str">
        <f t="shared" ca="1" si="58"/>
        <v xml:space="preserve"> </v>
      </c>
      <c r="W757" s="62" t="str">
        <f t="shared" ca="1" si="59"/>
        <v xml:space="preserve"> </v>
      </c>
      <c r="X757" s="141" t="str">
        <f ca="1">IF(S757=" "," ",IFERROR(VLOOKUP(U757,$F$23:$N$1023,7)+VLOOKUP(U757,$F$23:$N$1023,9)+IF(AND('депозитный калькулятор'!$G$13="нет",U757&lt;&gt;'депозитный калькулятор'!$D$8),VLOOKUP(U757,$F$23:$N$1023,4),0),0)+IF(U757='депозитный калькулятор'!$D$8,VLOOKUP(U757,$F$23:$N$1023,2)+VLOOKUP(U757,$F$23:$N$1023,4),0))</f>
        <v xml:space="preserve"> </v>
      </c>
      <c r="Y757" s="142" t="str">
        <f ca="1">IF(S757=" "," ",W757/(1+'депозитный калькулятор'!$K$8)^(T757/IF('депозитный калькулятор'!$G$7="30/360",360,365)))</f>
        <v xml:space="preserve"> </v>
      </c>
      <c r="Z757" s="142" t="str">
        <f ca="1">IF(S757=" "," ",X757/(1+'депозитный калькулятор'!$K$8)^(T757/IF('депозитный калькулятор'!$G$7="30/360",360,365)))</f>
        <v xml:space="preserve"> </v>
      </c>
      <c r="AA757" s="151"/>
      <c r="AB757" s="151"/>
      <c r="AC757" s="155"/>
      <c r="AD757" s="155"/>
    </row>
    <row r="758" spans="1:30" s="2" customFormat="1" ht="15.5" x14ac:dyDescent="0.35">
      <c r="A758" s="41" t="str">
        <f>IF(F758=" "," ",IF(OR('депозитный калькулятор'!$G$7="30/365",'депозитный калькулятор'!$G$7="30/360"),IF(AND(MONTH(F758)=2,DAY(F758)=DAY(EOMONTH(F758,0))),30-DAY(EOMONTH(F758,0)),IF(DAY(F758)=31,1," "))," "))</f>
        <v xml:space="preserve"> </v>
      </c>
      <c r="B758" s="130" t="str">
        <f t="shared" si="56"/>
        <v xml:space="preserve"> </v>
      </c>
      <c r="C758" s="130" t="str">
        <f>IF(OR(B758=0,B758=" ")," ",SUM($B$23:B758))</f>
        <v xml:space="preserve"> </v>
      </c>
      <c r="D758" s="62" t="str">
        <f>IF(D757=" "," ",IF(OR(F757='депозитный калькулятор'!$D$8,F757=" ")," ",D757+1))</f>
        <v xml:space="preserve"> </v>
      </c>
      <c r="E758" s="130" t="str">
        <f>IF(OR(F757='депозитный калькулятор'!$D$8,F757=" ")," ",IF(EOMONTH(F757,0)=F757,1,E757+1))</f>
        <v xml:space="preserve"> </v>
      </c>
      <c r="F758" s="64" t="str">
        <f>IF(F757=" "," ",IF(F757='депозитный калькулятор'!$D$8," ",F757+1))</f>
        <v xml:space="preserve"> </v>
      </c>
      <c r="G758" s="145" t="str">
        <f xml:space="preserve"> IF(F758&gt;'депозитный калькулятор'!$D$8," ",IF('депозитный калькулятор'!$G$13="есть",IF('депозитный калькулятор'!$G$14="есть",G757+IF(I757=" ",0,I757)-J758-K758+L758+M758-N758,G757+IF(I757=" ",0,I757)-J758-K758+M758-N758),IF('депозитный калькулятор'!$G$14="есть",G757-J758-K758+L758+M758-N758,G757-J758-K758+M758-N758)))</f>
        <v xml:space="preserve"> </v>
      </c>
      <c r="H758" s="133" t="str">
        <f>IF(F758&gt;'депозитный калькулятор'!$D$8," ",IF(AND(OR('депозитный калькулятор'!$G$7="30/365",'депозитный калькулятор'!$G$7="30/360"),AND(MONTH(F758)=2,EOMONTH(F758,0)=F758)),IF(DAY(F758)=28,3*G758*'депозитный калькулятор'!$G$8,2*G758*'депозитный калькулятор'!$G$8),IF(AND(OR('депозитный калькулятор'!$G$7="30/365",'депозитный калькулятор'!$G$7="30/360"),DAY(F758)=31)," ",IF(AND('депозитный калькулятор'!$G$7="факт/факт",MOD(YEAR(F758),4)=0),G758*'депозитный калькулятор'!$D$11/366,G758*'депозитный калькулятор'!$G$8))))</f>
        <v xml:space="preserve"> </v>
      </c>
      <c r="I758" s="134" t="str">
        <f ca="1">IF(F758=" "," ",IF('депозитный калькулятор'!$G$10="ежедневное",H758,IF(AND('депозитный калькулятор'!$G$10="еженедельное",WEEKDAY(F758,2)=7),SUM(OFFSET(H758,-6,0):H758),IF(AND('депозитный калькулятор'!$G$10="еженедельное",F758='депозитный калькулятор'!$D$8),SUM($H$23:H758)-SUM($I$23:I757),IF(AND('депозитный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недели",WEEKDAY(F758,2)=7),MIN(OFFSET(H758,-6,0):H758)*(COUNTIF(OFFSET(H758,-6,0):H758,"&gt;0")+SUMIF(OFFSET(A758,-WEEKDAY(F758,2),0):A758,"=2",OFFSET(A758,-WEEKDAY(F758,2),0):A758)),IF(AND('депозитный калькулятор'!$G$10="еженедельное, на минимальную сумму зафиксированную в течение недели",F758='депозитный калькулятор'!$D$8,WEEKDAY(F758,2)&lt;&gt;7),MIN(OFFSET(H758,-WEEKDAY(F758,2),0):H758)*(COUNTIF(OFFSET(H758,-WEEKDAY(F758,2)+1,0):H758,"&gt;0")+SUM(OFFSET(A758,-WEEKDAY(F758,2),0):A758)),IF(AND('депозитный калькулятор'!$G$10="ежемесячное (в конце месяца)",F758='депозитный калькулятор'!$D$8,EOMONTH(F758,0)&lt;&gt;F758),IF('депозитный калькулятор'!$F$1=1,$H$24,SUM($H$23:H758)-SUM($I$23:I757)),IF(AND('депозитный калькулятор'!$G$10="ежемесячное (в конце месяца)",EOMONTH(F758,0)=F758),SUM($H$23:H758)-SUM($I$23:I757),IF(AND('депозитный калькулятор'!$G$10="ежемесячное (по дням открытия вклада)",F758='депозитный калькулятор'!$D$8,DAY('депозитный калькулятор'!$D$7)&lt;&gt;DAY(F758)),IF('депозитный калькулятор'!$F$1=1,$H$24,SUM($H$23:H758)-SUM($I$23:I757)),IF(AND('депозитный калькулятор'!$G$10="ежемесячное (по дням открытия вклада)",DAY('депозитный калькулятор'!$D$7)=DAY(F758)),SUM($H$23:H758)-SUM($I$23:I757),IF(AND('депозитный калькулятор'!$G$10="ежемесячное, на минимальную сумму зафиксированную в течение месяца",F758='депозитный калькулятор'!$D$8,EOMONTH(F758,0)&lt;&gt;F758),IF('депозитный калькулятор'!$F$1=1,$H$24,IF(AND(OR('депозитный калькулятор'!$G$7="30/365",'депозитный калькулятор'!$G$7="30/360"),DAY(F758)=31),0,MIN(OFFSET(H758,-E758+1,0):H758)*(E758+SUMIF(OFFSET(A758,-E758+1,0):A758,"=2",OFFSET(A758,-E758+1,0):A758)))),IF(AND('депозитный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калькулятор'!$G$7="30/360"),DAY(EOMONTH(F758,0))=31),EOMONTH(F758,0)-1=F758,EOMONTH(F758,0)=F758)),IF(IF(AND(OR('депозитный калькулятор'!$G$7="30/365",'депозитный калькулятор'!$G$7="30/360"),DAY(EOMONTH($F$23,0))=31),F758=EOMONTH($F$23,0)-1,F758=EOMONTH($F$23,0)),MIN(OFFSET(H758,-(DAY(F758)-DAY($F$23)),0):H758)*E758,MIN(OFFSET(H758,-(DAY(F758)-1),0):H758)*IF(AND(OR('депозитный калькулятор'!$G$7="30/365",'депозитный калькулятор'!$G$7="30/360"),DAY(F758)&lt;30),30,DAY(F758))),IF(AND('депозитный калькулятор'!$G$10="ежемесячное, на средний остаток в течение месяца, при условии что остаток больше чем ограничение",F758='депозитный калькулятор'!$D$8,EOMONTH(F758,0)&lt;&gt;F758),IF('депозитный калькулятор'!$F$1=1,$H$24,SUM(OFFSET(Q758,-E758+1,0):Q758)),IF(AND('депозитный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калькулятор'!$G$7="30/360"),DAY(EOMONTH(F758,0))=31),EOMONTH(F758,0)-1=F758,EOMONTH(F758,0)=F758)),IF(IF(AND(OR('депозитный калькулятор'!$G$7="30/365",'депозитный калькулятор'!$G$7="30/360"),DAY(EOMONTH($F$24,0))=31),F758=EOMONTH($F$24,0)-1,F758=EOMONTH($F$24,0)),SUM(OFFSET(Q758,-E758+1,0):Q758),SUM(OFFSET(Q758,-E758+1,0):Q758)),IF('депозитный калькулятор'!$G$10="ежеквартальное",IF(F758&gt;'депозитный калькулятор'!$D$8," ",IF(AND(EOMONTH(F758,0)=F758,OR(MONTH(F758)=3,MONTH(F758)=6,MONTH(F758)=9,MONTH(F758)=12)),IF(EDATE(F758,-3)&lt;'депозитный калькулятор'!$D$7,SUM($H$23:H758),IF(MOD(YEAR(F758),4)=0,IF(AND(EOMONTH(F758,0)=F758,OR(MONTH(F758)=3,MONTH(F758)=6)),SUM(OFFSET(H758,-90,0):H758),IF(AND(EOMONTH(F758,0)=F758,OR(MONTH(F758)=9,MONTH(F758)=12)),SUM(OFFSET(H758,-91,0):H758))),IF(AND(EOMONTH(F758,0)=F758,MONTH(F758)=3),SUM(OFFSET(H758,-89,0):H758),IF(AND(EOMONTH(F758,0)=F758,MONTH(F758)=6),SUM(OFFSET(H758,-90,0):H758),IF(AND(EOMONTH(F758,0)=F758,OR(MONTH(F758)=9,MONTH(F758)=12)),SUM(OFFSET(H758,-91,0):H758)))))),IF(F758='депозитный калькулятор'!$D$8,SUM($H$23:H758)-SUM($I$23:I757),0))),IF('депозитный калькулятор'!$G$10="ежегодное",IF(F758&gt;'депозитный калькулятор'!$D$8," ",IF(F758='депозитный калькулятор'!$D$8,SUM($H$23:H758)-SUM($I$23:I757),IF(AND(EOMONTH(F758,0)=F758,MONTH(F758)=12),IF(MOD(YEAR(F757),4)=0,IF(F758-'депозитный калькулятор'!$D$7&lt;366,SUM($H$23:H758),SUM(OFFSET(H758,-365,0):H758)),IF(F758-'депозитный калькулятор'!$D$7&lt;365,SUM($H$23:H758),SUM(OFFSET(H758,-364,0):H758))),0))),IF(AND('депозитный калькулятор'!$G$10="в конце срока",'депозитный калькулятор'!$D$8=F758),SUM($H$23:H758),0))))))))))))))))))</f>
        <v xml:space="preserve"> </v>
      </c>
      <c r="J758" s="59" t="str">
        <f>IF(F758&gt;'депозитный калькулятор'!$D$8," ",IF('депозитный калькулятор'!$G$16="нет",0,IF(AND('депозитный калькулятор'!$G$17="разовая (в конце срока)",F758='депозитный калькулятор'!$D$8),'депозитный калькулятор'!$G$18,IF(AND('депозитный калькулятор'!$G$17="ежемесячная",EOMONTH(F757,0)=F757),'депозитный калькулятор'!$G$18,IF(AND('депозитный калькулятор'!$G$17="ежегодная",DAY(F757)=31,MONTH(F757)=12),'депозитный калькулятор'!$G$18,IF(AND('депозитный калькулятор'!$G$17="ежемесячная в зависимости от остатка",EOMONTH(F757,0)=F757,P757&gt;0),'депозитный калькулятор'!$G$18,IF(AND('депозитный калькулятор'!$G$17="ежегодная в зависимости от остатка",DAY(F757)=31,MONTH(F757)=12,P757&gt;0),'депозитный калькулятор'!$G$18,0)))))))</f>
        <v xml:space="preserve"> </v>
      </c>
      <c r="K758" s="135" t="str">
        <f>IF($F758=" "," ",IFERROR(VLOOKUP($F758,'депозитный калькулятор'!$B$26:$F$70,2,0),0))</f>
        <v xml:space="preserve"> </v>
      </c>
      <c r="L758" s="135" t="str">
        <f>IF($F758=" "," ",IFERROR(VLOOKUP($F758,'депозитный калькулятор'!$B$26:$F$70,3,0),0))</f>
        <v xml:space="preserve"> </v>
      </c>
      <c r="M758" s="135" t="str">
        <f>IF($F758=" "," ",IFERROR(VLOOKUP($F758,'депозитный калькулятор'!$B$26:$F$70,4,0),0))</f>
        <v xml:space="preserve"> </v>
      </c>
      <c r="N758" s="135" t="str">
        <f>IF($F758=" "," ",IFERROR(VLOOKUP($F758,'депозитный калькулятор'!$B$26:$F$70,5,0),0))</f>
        <v xml:space="preserve"> </v>
      </c>
      <c r="O758" s="146" t="str">
        <f>IF(F758&gt;'депозитный калькулятор'!$D$8," ",IF(F758='депозитный калькулятор'!$D$8,IF(AND($F$24='депозитный калькулятор'!$D$8,'депозитный калькулятор'!$G$13="нет"),-G758-IF(I758=" ",0,I758)-IF(AND(OR('депозитный калькулятор'!$G$7="30/365",'депозитный калькулятор'!$G$7="30/360"),'депозитный калькулятор'!$G$10="в начале срока"),I757,0)-L758+M758-N758,-G758-IF(I758=" ",0,I758)-L758+M758-N758),IF('депозитный калькулятор'!$G$13="есть",M758-N758+IF('депозитный калькулятор'!$G$14="есть",0,-L758),-IF(I758=" ",0,I758)-IF(AND(OR('депозитный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срока"),I757,0)+M758-N758+IF('депозитный калькулятор'!$G$14="есть",0,-L758))))</f>
        <v xml:space="preserve"> </v>
      </c>
      <c r="P758" s="147" t="str">
        <f>IF(F758&gt;'депозитный калькулятор'!$D$8," ",IF(EOMONTH(F757,0)=F757,0,IF(G758&gt;='депозитный калькулятор'!$G$19,P757,P757+1)))</f>
        <v xml:space="preserve"> </v>
      </c>
      <c r="Q758" s="138" t="str">
        <f>IF(F758=" "," ",IF(AND(OR('депозитный калькулятор'!$G$7="30/365",'депозитный калькулятор'!$G$7="30/360"),AND(MONTH(F758)=2,EOMONTH(F758,0)=F758)),IF(DAY(F758)=28,3,2),1)*IF(G758&gt;='депозитный калькулятор'!$G$11,IF(AND('депозитный калькулятор'!$G$7="факт/факт",MOD(YEAR(F758),4)=0),G758*'депозитный калькулятор'!$D$11/366,G758*'депозитный калькулятор'!$G$8),0))</f>
        <v xml:space="preserve"> </v>
      </c>
      <c r="R758" s="158"/>
      <c r="S758" s="62" t="str">
        <f t="shared" ca="1" si="57"/>
        <v xml:space="preserve"> </v>
      </c>
      <c r="T758" s="149" t="str">
        <f ca="1">IF(S758=" "," ",IF('депозитный калькулятор'!$G$7="30/360",DAYS360(U757,IF(DAY(U758)=31,U758-1,U758))+IF(AND(MONTH(U758)=2,U758=EOMONTH(U758,0)),30-DAY(EOMONTH(U758,0)))+T757,VLOOKUP(S758,$C$22:$F$1023,2,0)))</f>
        <v xml:space="preserve"> </v>
      </c>
      <c r="U758" s="64" t="str">
        <f t="shared" ca="1" si="55"/>
        <v xml:space="preserve"> </v>
      </c>
      <c r="V758" s="150" t="str">
        <f t="shared" ca="1" si="58"/>
        <v xml:space="preserve"> </v>
      </c>
      <c r="W758" s="62" t="str">
        <f t="shared" ca="1" si="59"/>
        <v xml:space="preserve"> </v>
      </c>
      <c r="X758" s="141" t="str">
        <f ca="1">IF(S758=" "," ",IFERROR(VLOOKUP(U758,$F$23:$N$1023,7)+VLOOKUP(U758,$F$23:$N$1023,9)+IF(AND('депозитный калькулятор'!$G$13="нет",U758&lt;&gt;'депозитный калькулятор'!$D$8),VLOOKUP(U758,$F$23:$N$1023,4),0),0)+IF(U758='депозитный калькулятор'!$D$8,VLOOKUP(U758,$F$23:$N$1023,2)+VLOOKUP(U758,$F$23:$N$1023,4),0))</f>
        <v xml:space="preserve"> </v>
      </c>
      <c r="Y758" s="142" t="str">
        <f ca="1">IF(S758=" "," ",W758/(1+'депозитный калькулятор'!$K$8)^(T758/IF('депозитный калькулятор'!$G$7="30/360",360,365)))</f>
        <v xml:space="preserve"> </v>
      </c>
      <c r="Z758" s="142" t="str">
        <f ca="1">IF(S758=" "," ",X758/(1+'депозитный калькулятор'!$K$8)^(T758/IF('депозитный калькулятор'!$G$7="30/360",360,365)))</f>
        <v xml:space="preserve"> </v>
      </c>
      <c r="AA758" s="151"/>
      <c r="AB758" s="151"/>
      <c r="AC758" s="155"/>
      <c r="AD758" s="155"/>
    </row>
    <row r="759" spans="1:30" s="2" customFormat="1" ht="15.5" x14ac:dyDescent="0.35">
      <c r="A759" s="41" t="str">
        <f>IF(F759=" "," ",IF(OR('депозитный калькулятор'!$G$7="30/365",'депозитный калькулятор'!$G$7="30/360"),IF(AND(MONTH(F759)=2,DAY(F759)=DAY(EOMONTH(F759,0))),30-DAY(EOMONTH(F759,0)),IF(DAY(F759)=31,1," "))," "))</f>
        <v xml:space="preserve"> </v>
      </c>
      <c r="B759" s="130" t="str">
        <f t="shared" si="56"/>
        <v xml:space="preserve"> </v>
      </c>
      <c r="C759" s="130" t="str">
        <f>IF(OR(B759=0,B759=" ")," ",SUM($B$23:B759))</f>
        <v xml:space="preserve"> </v>
      </c>
      <c r="D759" s="62" t="str">
        <f>IF(D758=" "," ",IF(OR(F758='депозитный калькулятор'!$D$8,F758=" ")," ",D758+1))</f>
        <v xml:space="preserve"> </v>
      </c>
      <c r="E759" s="130" t="str">
        <f>IF(OR(F758='депозитный калькулятор'!$D$8,F758=" ")," ",IF(EOMONTH(F758,0)=F758,1,E758+1))</f>
        <v xml:space="preserve"> </v>
      </c>
      <c r="F759" s="64" t="str">
        <f>IF(F758=" "," ",IF(F758='депозитный калькулятор'!$D$8," ",F758+1))</f>
        <v xml:space="preserve"> </v>
      </c>
      <c r="G759" s="145" t="str">
        <f xml:space="preserve"> IF(F759&gt;'депозитный калькулятор'!$D$8," ",IF('депозитный калькулятор'!$G$13="есть",IF('депозитный калькулятор'!$G$14="есть",G758+IF(I758=" ",0,I758)-J759-K759+L759+M759-N759,G758+IF(I758=" ",0,I758)-J759-K759+M759-N759),IF('депозитный калькулятор'!$G$14="есть",G758-J759-K759+L759+M759-N759,G758-J759-K759+M759-N759)))</f>
        <v xml:space="preserve"> </v>
      </c>
      <c r="H759" s="133" t="str">
        <f>IF(F759&gt;'депозитный калькулятор'!$D$8," ",IF(AND(OR('депозитный калькулятор'!$G$7="30/365",'депозитный калькулятор'!$G$7="30/360"),AND(MONTH(F759)=2,EOMONTH(F759,0)=F759)),IF(DAY(F759)=28,3*G759*'депозитный калькулятор'!$G$8,2*G759*'депозитный калькулятор'!$G$8),IF(AND(OR('депозитный калькулятор'!$G$7="30/365",'депозитный калькулятор'!$G$7="30/360"),DAY(F759)=31)," ",IF(AND('депозитный калькулятор'!$G$7="факт/факт",MOD(YEAR(F759),4)=0),G759*'депозитный калькулятор'!$D$11/366,G759*'депозитный калькулятор'!$G$8))))</f>
        <v xml:space="preserve"> </v>
      </c>
      <c r="I759" s="134" t="str">
        <f ca="1">IF(F759=" "," ",IF('депозитный калькулятор'!$G$10="ежедневное",H759,IF(AND('депозитный калькулятор'!$G$10="еженедельное",WEEKDAY(F759,2)=7),SUM(OFFSET(H759,-6,0):H759),IF(AND('депозитный калькулятор'!$G$10="еженедельное",F759='депозитный калькулятор'!$D$8),SUM($H$23:H759)-SUM($I$23:I758),IF(AND('депозитный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недели",WEEKDAY(F759,2)=7),MIN(OFFSET(H759,-6,0):H759)*(COUNTIF(OFFSET(H759,-6,0):H759,"&gt;0")+SUMIF(OFFSET(A759,-WEEKDAY(F759,2),0):A759,"=2",OFFSET(A759,-WEEKDAY(F759,2),0):A759)),IF(AND('депозитный калькулятор'!$G$10="еженедельное, на минимальную сумму зафиксированную в течение недели",F759='депозитный калькулятор'!$D$8,WEEKDAY(F759,2)&lt;&gt;7),MIN(OFFSET(H759,-WEEKDAY(F759,2),0):H759)*(COUNTIF(OFFSET(H759,-WEEKDAY(F759,2)+1,0):H759,"&gt;0")+SUM(OFFSET(A759,-WEEKDAY(F759,2),0):A759)),IF(AND('депозитный калькулятор'!$G$10="ежемесячное (в конце месяца)",F759='депозитный калькулятор'!$D$8,EOMONTH(F759,0)&lt;&gt;F759),IF('депозитный калькулятор'!$F$1=1,$H$24,SUM($H$23:H759)-SUM($I$23:I758)),IF(AND('депозитный калькулятор'!$G$10="ежемесячное (в конце месяца)",EOMONTH(F759,0)=F759),SUM($H$23:H759)-SUM($I$23:I758),IF(AND('депозитный калькулятор'!$G$10="ежемесячное (по дням открытия вклада)",F759='депозитный калькулятор'!$D$8,DAY('депозитный калькулятор'!$D$7)&lt;&gt;DAY(F759)),IF('депозитный калькулятор'!$F$1=1,$H$24,SUM($H$23:H759)-SUM($I$23:I758)),IF(AND('депозитный калькулятор'!$G$10="ежемесячное (по дням открытия вклада)",DAY('депозитный калькулятор'!$D$7)=DAY(F759)),SUM($H$23:H759)-SUM($I$23:I758),IF(AND('депозитный калькулятор'!$G$10="ежемесячное, на минимальную сумму зафиксированную в течение месяца",F759='депозитный калькулятор'!$D$8,EOMONTH(F759,0)&lt;&gt;F759),IF('депозитный калькулятор'!$F$1=1,$H$24,IF(AND(OR('депозитный калькулятор'!$G$7="30/365",'депозитный калькулятор'!$G$7="30/360"),DAY(F759)=31),0,MIN(OFFSET(H759,-E759+1,0):H759)*(E759+SUMIF(OFFSET(A759,-E759+1,0):A759,"=2",OFFSET(A759,-E759+1,0):A759)))),IF(AND('депозитный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калькулятор'!$G$7="30/360"),DAY(EOMONTH(F759,0))=31),EOMONTH(F759,0)-1=F759,EOMONTH(F759,0)=F759)),IF(IF(AND(OR('депозитный калькулятор'!$G$7="30/365",'депозитный калькулятор'!$G$7="30/360"),DAY(EOMONTH($F$23,0))=31),F759=EOMONTH($F$23,0)-1,F759=EOMONTH($F$23,0)),MIN(OFFSET(H759,-(DAY(F759)-DAY($F$23)),0):H759)*E759,MIN(OFFSET(H759,-(DAY(F759)-1),0):H759)*IF(AND(OR('депозитный калькулятор'!$G$7="30/365",'депозитный калькулятор'!$G$7="30/360"),DAY(F759)&lt;30),30,DAY(F759))),IF(AND('депозитный калькулятор'!$G$10="ежемесячное, на средний остаток в течение месяца, при условии что остаток больше чем ограничение",F759='депозитный калькулятор'!$D$8,EOMONTH(F759,0)&lt;&gt;F759),IF('депозитный калькулятор'!$F$1=1,$H$24,SUM(OFFSET(Q759,-E759+1,0):Q759)),IF(AND('депозитный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калькулятор'!$G$7="30/360"),DAY(EOMONTH(F759,0))=31),EOMONTH(F759,0)-1=F759,EOMONTH(F759,0)=F759)),IF(IF(AND(OR('депозитный калькулятор'!$G$7="30/365",'депозитный калькулятор'!$G$7="30/360"),DAY(EOMONTH($F$24,0))=31),F759=EOMONTH($F$24,0)-1,F759=EOMONTH($F$24,0)),SUM(OFFSET(Q759,-E759+1,0):Q759),SUM(OFFSET(Q759,-E759+1,0):Q759)),IF('депозитный калькулятор'!$G$10="ежеквартальное",IF(F759&gt;'депозитный калькулятор'!$D$8," ",IF(AND(EOMONTH(F759,0)=F759,OR(MONTH(F759)=3,MONTH(F759)=6,MONTH(F759)=9,MONTH(F759)=12)),IF(EDATE(F759,-3)&lt;'депозитный калькулятор'!$D$7,SUM($H$23:H759),IF(MOD(YEAR(F759),4)=0,IF(AND(EOMONTH(F759,0)=F759,OR(MONTH(F759)=3,MONTH(F759)=6)),SUM(OFFSET(H759,-90,0):H759),IF(AND(EOMONTH(F759,0)=F759,OR(MONTH(F759)=9,MONTH(F759)=12)),SUM(OFFSET(H759,-91,0):H759))),IF(AND(EOMONTH(F759,0)=F759,MONTH(F759)=3),SUM(OFFSET(H759,-89,0):H759),IF(AND(EOMONTH(F759,0)=F759,MONTH(F759)=6),SUM(OFFSET(H759,-90,0):H759),IF(AND(EOMONTH(F759,0)=F759,OR(MONTH(F759)=9,MONTH(F759)=12)),SUM(OFFSET(H759,-91,0):H759)))))),IF(F759='депозитный калькулятор'!$D$8,SUM($H$23:H759)-SUM($I$23:I758),0))),IF('депозитный калькулятор'!$G$10="ежегодное",IF(F759&gt;'депозитный калькулятор'!$D$8," ",IF(F759='депозитный калькулятор'!$D$8,SUM($H$23:H759)-SUM($I$23:I758),IF(AND(EOMONTH(F759,0)=F759,MONTH(F759)=12),IF(MOD(YEAR(F758),4)=0,IF(F759-'депозитный калькулятор'!$D$7&lt;366,SUM($H$23:H759),SUM(OFFSET(H759,-365,0):H759)),IF(F759-'депозитный калькулятор'!$D$7&lt;365,SUM($H$23:H759),SUM(OFFSET(H759,-364,0):H759))),0))),IF(AND('депозитный калькулятор'!$G$10="в конце срока",'депозитный калькулятор'!$D$8=F759),SUM($H$23:H759),0))))))))))))))))))</f>
        <v xml:space="preserve"> </v>
      </c>
      <c r="J759" s="59" t="str">
        <f>IF(F759&gt;'депозитный калькулятор'!$D$8," ",IF('депозитный калькулятор'!$G$16="нет",0,IF(AND('депозитный калькулятор'!$G$17="разовая (в конце срока)",F759='депозитный калькулятор'!$D$8),'депозитный калькулятор'!$G$18,IF(AND('депозитный калькулятор'!$G$17="ежемесячная",EOMONTH(F758,0)=F758),'депозитный калькулятор'!$G$18,IF(AND('депозитный калькулятор'!$G$17="ежегодная",DAY(F758)=31,MONTH(F758)=12),'депозитный калькулятор'!$G$18,IF(AND('депозитный калькулятор'!$G$17="ежемесячная в зависимости от остатка",EOMONTH(F758,0)=F758,P758&gt;0),'депозитный калькулятор'!$G$18,IF(AND('депозитный калькулятор'!$G$17="ежегодная в зависимости от остатка",DAY(F758)=31,MONTH(F758)=12,P758&gt;0),'депозитный калькулятор'!$G$18,0)))))))</f>
        <v xml:space="preserve"> </v>
      </c>
      <c r="K759" s="135" t="str">
        <f>IF($F759=" "," ",IFERROR(VLOOKUP($F759,'депозитный калькулятор'!$B$26:$F$70,2,0),0))</f>
        <v xml:space="preserve"> </v>
      </c>
      <c r="L759" s="135" t="str">
        <f>IF($F759=" "," ",IFERROR(VLOOKUP($F759,'депозитный калькулятор'!$B$26:$F$70,3,0),0))</f>
        <v xml:space="preserve"> </v>
      </c>
      <c r="M759" s="135" t="str">
        <f>IF($F759=" "," ",IFERROR(VLOOKUP($F759,'депозитный калькулятор'!$B$26:$F$70,4,0),0))</f>
        <v xml:space="preserve"> </v>
      </c>
      <c r="N759" s="135" t="str">
        <f>IF($F759=" "," ",IFERROR(VLOOKUP($F759,'депозитный калькулятор'!$B$26:$F$70,5,0),0))</f>
        <v xml:space="preserve"> </v>
      </c>
      <c r="O759" s="146" t="str">
        <f>IF(F759&gt;'депозитный калькулятор'!$D$8," ",IF(F759='депозитный калькулятор'!$D$8,IF(AND($F$24='депозитный калькулятор'!$D$8,'депозитный калькулятор'!$G$13="нет"),-G759-IF(I759=" ",0,I759)-IF(AND(OR('депозитный калькулятор'!$G$7="30/365",'депозитный калькулятор'!$G$7="30/360"),'депозитный калькулятор'!$G$10="в начале срока"),I758,0)-L759+M759-N759,-G759-IF(I759=" ",0,I759)-L759+M759-N759),IF('депозитный калькулятор'!$G$13="есть",M759-N759+IF('депозитный калькулятор'!$G$14="есть",0,-L759),-IF(I759=" ",0,I759)-IF(AND(OR('депозитный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срока"),I758,0)+M759-N759+IF('депозитный калькулятор'!$G$14="есть",0,-L759))))</f>
        <v xml:space="preserve"> </v>
      </c>
      <c r="P759" s="147" t="str">
        <f>IF(F759&gt;'депозитный калькулятор'!$D$8," ",IF(EOMONTH(F758,0)=F758,0,IF(G759&gt;='депозитный калькулятор'!$G$19,P758,P758+1)))</f>
        <v xml:space="preserve"> </v>
      </c>
      <c r="Q759" s="138" t="str">
        <f>IF(F759=" "," ",IF(AND(OR('депозитный калькулятор'!$G$7="30/365",'депозитный калькулятор'!$G$7="30/360"),AND(MONTH(F759)=2,EOMONTH(F759,0)=F759)),IF(DAY(F759)=28,3,2),1)*IF(G759&gt;='депозитный калькулятор'!$G$11,IF(AND('депозитный калькулятор'!$G$7="факт/факт",MOD(YEAR(F759),4)=0),G759*'депозитный калькулятор'!$D$11/366,G759*'депозитный калькулятор'!$G$8),0))</f>
        <v xml:space="preserve"> </v>
      </c>
      <c r="R759" s="158"/>
      <c r="S759" s="62" t="str">
        <f t="shared" ca="1" si="57"/>
        <v xml:space="preserve"> </v>
      </c>
      <c r="T759" s="149" t="str">
        <f ca="1">IF(S759=" "," ",IF('депозитный калькулятор'!$G$7="30/360",DAYS360(U758,IF(DAY(U759)=31,U759-1,U759))+IF(AND(MONTH(U759)=2,U759=EOMONTH(U759,0)),30-DAY(EOMONTH(U759,0)))+T758,VLOOKUP(S759,$C$22:$F$1023,2,0)))</f>
        <v xml:space="preserve"> </v>
      </c>
      <c r="U759" s="64" t="str">
        <f t="shared" ca="1" si="55"/>
        <v xml:space="preserve"> </v>
      </c>
      <c r="V759" s="150" t="str">
        <f t="shared" ca="1" si="58"/>
        <v xml:space="preserve"> </v>
      </c>
      <c r="W759" s="62" t="str">
        <f t="shared" ca="1" si="59"/>
        <v xml:space="preserve"> </v>
      </c>
      <c r="X759" s="141" t="str">
        <f ca="1">IF(S759=" "," ",IFERROR(VLOOKUP(U759,$F$23:$N$1023,7)+VLOOKUP(U759,$F$23:$N$1023,9)+IF(AND('депозитный калькулятор'!$G$13="нет",U759&lt;&gt;'депозитный калькулятор'!$D$8),VLOOKUP(U759,$F$23:$N$1023,4),0),0)+IF(U759='депозитный калькулятор'!$D$8,VLOOKUP(U759,$F$23:$N$1023,2)+VLOOKUP(U759,$F$23:$N$1023,4),0))</f>
        <v xml:space="preserve"> </v>
      </c>
      <c r="Y759" s="142" t="str">
        <f ca="1">IF(S759=" "," ",W759/(1+'депозитный калькулятор'!$K$8)^(T759/IF('депозитный калькулятор'!$G$7="30/360",360,365)))</f>
        <v xml:space="preserve"> </v>
      </c>
      <c r="Z759" s="142" t="str">
        <f ca="1">IF(S759=" "," ",X759/(1+'депозитный калькулятор'!$K$8)^(T759/IF('депозитный калькулятор'!$G$7="30/360",360,365)))</f>
        <v xml:space="preserve"> </v>
      </c>
      <c r="AA759" s="151"/>
      <c r="AB759" s="151"/>
      <c r="AC759" s="155"/>
      <c r="AD759" s="155"/>
    </row>
    <row r="760" spans="1:30" s="2" customFormat="1" ht="15.5" x14ac:dyDescent="0.35">
      <c r="A760" s="41" t="str">
        <f>IF(F760=" "," ",IF(OR('депозитный калькулятор'!$G$7="30/365",'депозитный калькулятор'!$G$7="30/360"),IF(AND(MONTH(F760)=2,DAY(F760)=DAY(EOMONTH(F760,0))),30-DAY(EOMONTH(F760,0)),IF(DAY(F760)=31,1," "))," "))</f>
        <v xml:space="preserve"> </v>
      </c>
      <c r="B760" s="130" t="str">
        <f t="shared" si="56"/>
        <v xml:space="preserve"> </v>
      </c>
      <c r="C760" s="130" t="str">
        <f>IF(OR(B760=0,B760=" ")," ",SUM($B$23:B760))</f>
        <v xml:space="preserve"> </v>
      </c>
      <c r="D760" s="62" t="str">
        <f>IF(D759=" "," ",IF(OR(F759='депозитный калькулятор'!$D$8,F759=" ")," ",D759+1))</f>
        <v xml:space="preserve"> </v>
      </c>
      <c r="E760" s="130" t="str">
        <f>IF(OR(F759='депозитный калькулятор'!$D$8,F759=" ")," ",IF(EOMONTH(F759,0)=F759,1,E759+1))</f>
        <v xml:space="preserve"> </v>
      </c>
      <c r="F760" s="64" t="str">
        <f>IF(F759=" "," ",IF(F759='депозитный калькулятор'!$D$8," ",F759+1))</f>
        <v xml:space="preserve"> </v>
      </c>
      <c r="G760" s="145" t="str">
        <f xml:space="preserve"> IF(F760&gt;'депозитный калькулятор'!$D$8," ",IF('депозитный калькулятор'!$G$13="есть",IF('депозитный калькулятор'!$G$14="есть",G759+IF(I759=" ",0,I759)-J760-K760+L760+M760-N760,G759+IF(I759=" ",0,I759)-J760-K760+M760-N760),IF('депозитный калькулятор'!$G$14="есть",G759-J760-K760+L760+M760-N760,G759-J760-K760+M760-N760)))</f>
        <v xml:space="preserve"> </v>
      </c>
      <c r="H760" s="133" t="str">
        <f>IF(F760&gt;'депозитный калькулятор'!$D$8," ",IF(AND(OR('депозитный калькулятор'!$G$7="30/365",'депозитный калькулятор'!$G$7="30/360"),AND(MONTH(F760)=2,EOMONTH(F760,0)=F760)),IF(DAY(F760)=28,3*G760*'депозитный калькулятор'!$G$8,2*G760*'депозитный калькулятор'!$G$8),IF(AND(OR('депозитный калькулятор'!$G$7="30/365",'депозитный калькулятор'!$G$7="30/360"),DAY(F760)=31)," ",IF(AND('депозитный калькулятор'!$G$7="факт/факт",MOD(YEAR(F760),4)=0),G760*'депозитный калькулятор'!$D$11/366,G760*'депозитный калькулятор'!$G$8))))</f>
        <v xml:space="preserve"> </v>
      </c>
      <c r="I760" s="134" t="str">
        <f ca="1">IF(F760=" "," ",IF('депозитный калькулятор'!$G$10="ежедневное",H760,IF(AND('депозитный калькулятор'!$G$10="еженедельное",WEEKDAY(F760,2)=7),SUM(OFFSET(H760,-6,0):H760),IF(AND('депозитный калькулятор'!$G$10="еженедельное",F760='депозитный калькулятор'!$D$8),SUM($H$23:H760)-SUM($I$23:I759),IF(AND('депозитный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недели",WEEKDAY(F760,2)=7),MIN(OFFSET(H760,-6,0):H760)*(COUNTIF(OFFSET(H760,-6,0):H760,"&gt;0")+SUMIF(OFFSET(A760,-WEEKDAY(F760,2),0):A760,"=2",OFFSET(A760,-WEEKDAY(F760,2),0):A760)),IF(AND('депозитный калькулятор'!$G$10="еженедельное, на минимальную сумму зафиксированную в течение недели",F760='депозитный калькулятор'!$D$8,WEEKDAY(F760,2)&lt;&gt;7),MIN(OFFSET(H760,-WEEKDAY(F760,2),0):H760)*(COUNTIF(OFFSET(H760,-WEEKDAY(F760,2)+1,0):H760,"&gt;0")+SUM(OFFSET(A760,-WEEKDAY(F760,2),0):A760)),IF(AND('депозитный калькулятор'!$G$10="ежемесячное (в конце месяца)",F760='депозитный калькулятор'!$D$8,EOMONTH(F760,0)&lt;&gt;F760),IF('депозитный калькулятор'!$F$1=1,$H$24,SUM($H$23:H760)-SUM($I$23:I759)),IF(AND('депозитный калькулятор'!$G$10="ежемесячное (в конце месяца)",EOMONTH(F760,0)=F760),SUM($H$23:H760)-SUM($I$23:I759),IF(AND('депозитный калькулятор'!$G$10="ежемесячное (по дням открытия вклада)",F760='депозитный калькулятор'!$D$8,DAY('депозитный калькулятор'!$D$7)&lt;&gt;DAY(F760)),IF('депозитный калькулятор'!$F$1=1,$H$24,SUM($H$23:H760)-SUM($I$23:I759)),IF(AND('депозитный калькулятор'!$G$10="ежемесячное (по дням открытия вклада)",DAY('депозитный калькулятор'!$D$7)=DAY(F760)),SUM($H$23:H760)-SUM($I$23:I759),IF(AND('депозитный калькулятор'!$G$10="ежемесячное, на минимальную сумму зафиксированную в течение месяца",F760='депозитный калькулятор'!$D$8,EOMONTH(F760,0)&lt;&gt;F760),IF('депозитный калькулятор'!$F$1=1,$H$24,IF(AND(OR('депозитный калькулятор'!$G$7="30/365",'депозитный калькулятор'!$G$7="30/360"),DAY(F760)=31),0,MIN(OFFSET(H760,-E760+1,0):H760)*(E760+SUMIF(OFFSET(A760,-E760+1,0):A760,"=2",OFFSET(A760,-E760+1,0):A760)))),IF(AND('депозитный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калькулятор'!$G$7="30/360"),DAY(EOMONTH(F760,0))=31),EOMONTH(F760,0)-1=F760,EOMONTH(F760,0)=F760)),IF(IF(AND(OR('депозитный калькулятор'!$G$7="30/365",'депозитный калькулятор'!$G$7="30/360"),DAY(EOMONTH($F$23,0))=31),F760=EOMONTH($F$23,0)-1,F760=EOMONTH($F$23,0)),MIN(OFFSET(H760,-(DAY(F760)-DAY($F$23)),0):H760)*E760,MIN(OFFSET(H760,-(DAY(F760)-1),0):H760)*IF(AND(OR('депозитный калькулятор'!$G$7="30/365",'депозитный калькулятор'!$G$7="30/360"),DAY(F760)&lt;30),30,DAY(F760))),IF(AND('депозитный калькулятор'!$G$10="ежемесячное, на средний остаток в течение месяца, при условии что остаток больше чем ограничение",F760='депозитный калькулятор'!$D$8,EOMONTH(F760,0)&lt;&gt;F760),IF('депозитный калькулятор'!$F$1=1,$H$24,SUM(OFFSET(Q760,-E760+1,0):Q760)),IF(AND('депозитный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калькулятор'!$G$7="30/360"),DAY(EOMONTH(F760,0))=31),EOMONTH(F760,0)-1=F760,EOMONTH(F760,0)=F760)),IF(IF(AND(OR('депозитный калькулятор'!$G$7="30/365",'депозитный калькулятор'!$G$7="30/360"),DAY(EOMONTH($F$24,0))=31),F760=EOMONTH($F$24,0)-1,F760=EOMONTH($F$24,0)),SUM(OFFSET(Q760,-E760+1,0):Q760),SUM(OFFSET(Q760,-E760+1,0):Q760)),IF('депозитный калькулятор'!$G$10="ежеквартальное",IF(F760&gt;'депозитный калькулятор'!$D$8," ",IF(AND(EOMONTH(F760,0)=F760,OR(MONTH(F760)=3,MONTH(F760)=6,MONTH(F760)=9,MONTH(F760)=12)),IF(EDATE(F760,-3)&lt;'депозитный калькулятор'!$D$7,SUM($H$23:H760),IF(MOD(YEAR(F760),4)=0,IF(AND(EOMONTH(F760,0)=F760,OR(MONTH(F760)=3,MONTH(F760)=6)),SUM(OFFSET(H760,-90,0):H760),IF(AND(EOMONTH(F760,0)=F760,OR(MONTH(F760)=9,MONTH(F760)=12)),SUM(OFFSET(H760,-91,0):H760))),IF(AND(EOMONTH(F760,0)=F760,MONTH(F760)=3),SUM(OFFSET(H760,-89,0):H760),IF(AND(EOMONTH(F760,0)=F760,MONTH(F760)=6),SUM(OFFSET(H760,-90,0):H760),IF(AND(EOMONTH(F760,0)=F760,OR(MONTH(F760)=9,MONTH(F760)=12)),SUM(OFFSET(H760,-91,0):H760)))))),IF(F760='депозитный калькулятор'!$D$8,SUM($H$23:H760)-SUM($I$23:I759),0))),IF('депозитный калькулятор'!$G$10="ежегодное",IF(F760&gt;'депозитный калькулятор'!$D$8," ",IF(F760='депозитный калькулятор'!$D$8,SUM($H$23:H760)-SUM($I$23:I759),IF(AND(EOMONTH(F760,0)=F760,MONTH(F760)=12),IF(MOD(YEAR(F759),4)=0,IF(F760-'депозитный калькулятор'!$D$7&lt;366,SUM($H$23:H760),SUM(OFFSET(H760,-365,0):H760)),IF(F760-'депозитный калькулятор'!$D$7&lt;365,SUM($H$23:H760),SUM(OFFSET(H760,-364,0):H760))),0))),IF(AND('депозитный калькулятор'!$G$10="в конце срока",'депозитный калькулятор'!$D$8=F760),SUM($H$23:H760),0))))))))))))))))))</f>
        <v xml:space="preserve"> </v>
      </c>
      <c r="J760" s="59" t="str">
        <f>IF(F760&gt;'депозитный калькулятор'!$D$8," ",IF('депозитный калькулятор'!$G$16="нет",0,IF(AND('депозитный калькулятор'!$G$17="разовая (в конце срока)",F760='депозитный калькулятор'!$D$8),'депозитный калькулятор'!$G$18,IF(AND('депозитный калькулятор'!$G$17="ежемесячная",EOMONTH(F759,0)=F759),'депозитный калькулятор'!$G$18,IF(AND('депозитный калькулятор'!$G$17="ежегодная",DAY(F759)=31,MONTH(F759)=12),'депозитный калькулятор'!$G$18,IF(AND('депозитный калькулятор'!$G$17="ежемесячная в зависимости от остатка",EOMONTH(F759,0)=F759,P759&gt;0),'депозитный калькулятор'!$G$18,IF(AND('депозитный калькулятор'!$G$17="ежегодная в зависимости от остатка",DAY(F759)=31,MONTH(F759)=12,P759&gt;0),'депозитный калькулятор'!$G$18,0)))))))</f>
        <v xml:space="preserve"> </v>
      </c>
      <c r="K760" s="135" t="str">
        <f>IF($F760=" "," ",IFERROR(VLOOKUP($F760,'депозитный калькулятор'!$B$26:$F$70,2,0),0))</f>
        <v xml:space="preserve"> </v>
      </c>
      <c r="L760" s="135" t="str">
        <f>IF($F760=" "," ",IFERROR(VLOOKUP($F760,'депозитный калькулятор'!$B$26:$F$70,3,0),0))</f>
        <v xml:space="preserve"> </v>
      </c>
      <c r="M760" s="135" t="str">
        <f>IF($F760=" "," ",IFERROR(VLOOKUP($F760,'депозитный калькулятор'!$B$26:$F$70,4,0),0))</f>
        <v xml:space="preserve"> </v>
      </c>
      <c r="N760" s="135" t="str">
        <f>IF($F760=" "," ",IFERROR(VLOOKUP($F760,'депозитный калькулятор'!$B$26:$F$70,5,0),0))</f>
        <v xml:space="preserve"> </v>
      </c>
      <c r="O760" s="146" t="str">
        <f>IF(F760&gt;'депозитный калькулятор'!$D$8," ",IF(F760='депозитный калькулятор'!$D$8,IF(AND($F$24='депозитный калькулятор'!$D$8,'депозитный калькулятор'!$G$13="нет"),-G760-IF(I760=" ",0,I760)-IF(AND(OR('депозитный калькулятор'!$G$7="30/365",'депозитный калькулятор'!$G$7="30/360"),'депозитный калькулятор'!$G$10="в начале срока"),I759,0)-L760+M760-N760,-G760-IF(I760=" ",0,I760)-L760+M760-N760),IF('депозитный калькулятор'!$G$13="есть",M760-N760+IF('депозитный калькулятор'!$G$14="есть",0,-L760),-IF(I760=" ",0,I760)-IF(AND(OR('депозитный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срока"),I759,0)+M760-N760+IF('депозитный калькулятор'!$G$14="есть",0,-L760))))</f>
        <v xml:space="preserve"> </v>
      </c>
      <c r="P760" s="147" t="str">
        <f>IF(F760&gt;'депозитный калькулятор'!$D$8," ",IF(EOMONTH(F759,0)=F759,0,IF(G760&gt;='депозитный калькулятор'!$G$19,P759,P759+1)))</f>
        <v xml:space="preserve"> </v>
      </c>
      <c r="Q760" s="138" t="str">
        <f>IF(F760=" "," ",IF(AND(OR('депозитный калькулятор'!$G$7="30/365",'депозитный калькулятор'!$G$7="30/360"),AND(MONTH(F760)=2,EOMONTH(F760,0)=F760)),IF(DAY(F760)=28,3,2),1)*IF(G760&gt;='депозитный калькулятор'!$G$11,IF(AND('депозитный калькулятор'!$G$7="факт/факт",MOD(YEAR(F760),4)=0),G760*'депозитный калькулятор'!$D$11/366,G760*'депозитный калькулятор'!$G$8),0))</f>
        <v xml:space="preserve"> </v>
      </c>
      <c r="R760" s="158"/>
      <c r="S760" s="62" t="str">
        <f t="shared" ca="1" si="57"/>
        <v xml:space="preserve"> </v>
      </c>
      <c r="T760" s="149" t="str">
        <f ca="1">IF(S760=" "," ",IF('депозитный калькулятор'!$G$7="30/360",DAYS360(U759,IF(DAY(U760)=31,U760-1,U760))+IF(AND(MONTH(U760)=2,U760=EOMONTH(U760,0)),30-DAY(EOMONTH(U760,0)))+T759,VLOOKUP(S760,$C$22:$F$1023,2,0)))</f>
        <v xml:space="preserve"> </v>
      </c>
      <c r="U760" s="64" t="str">
        <f t="shared" ca="1" si="55"/>
        <v xml:space="preserve"> </v>
      </c>
      <c r="V760" s="150" t="str">
        <f t="shared" ca="1" si="58"/>
        <v xml:space="preserve"> </v>
      </c>
      <c r="W760" s="62" t="str">
        <f t="shared" ca="1" si="59"/>
        <v xml:space="preserve"> </v>
      </c>
      <c r="X760" s="141" t="str">
        <f ca="1">IF(S760=" "," ",IFERROR(VLOOKUP(U760,$F$23:$N$1023,7)+VLOOKUP(U760,$F$23:$N$1023,9)+IF(AND('депозитный калькулятор'!$G$13="нет",U760&lt;&gt;'депозитный калькулятор'!$D$8),VLOOKUP(U760,$F$23:$N$1023,4),0),0)+IF(U760='депозитный калькулятор'!$D$8,VLOOKUP(U760,$F$23:$N$1023,2)+VLOOKUP(U760,$F$23:$N$1023,4),0))</f>
        <v xml:space="preserve"> </v>
      </c>
      <c r="Y760" s="142" t="str">
        <f ca="1">IF(S760=" "," ",W760/(1+'депозитный калькулятор'!$K$8)^(T760/IF('депозитный калькулятор'!$G$7="30/360",360,365)))</f>
        <v xml:space="preserve"> </v>
      </c>
      <c r="Z760" s="142" t="str">
        <f ca="1">IF(S760=" "," ",X760/(1+'депозитный калькулятор'!$K$8)^(T760/IF('депозитный калькулятор'!$G$7="30/360",360,365)))</f>
        <v xml:space="preserve"> </v>
      </c>
      <c r="AA760" s="151"/>
      <c r="AB760" s="151"/>
      <c r="AC760" s="155"/>
      <c r="AD760" s="155"/>
    </row>
    <row r="761" spans="1:30" s="2" customFormat="1" ht="15.5" x14ac:dyDescent="0.35">
      <c r="A761" s="41" t="str">
        <f>IF(F761=" "," ",IF(OR('депозитный калькулятор'!$G$7="30/365",'депозитный калькулятор'!$G$7="30/360"),IF(AND(MONTH(F761)=2,DAY(F761)=DAY(EOMONTH(F761,0))),30-DAY(EOMONTH(F761,0)),IF(DAY(F761)=31,1," "))," "))</f>
        <v xml:space="preserve"> </v>
      </c>
      <c r="B761" s="130" t="str">
        <f t="shared" si="56"/>
        <v xml:space="preserve"> </v>
      </c>
      <c r="C761" s="130" t="str">
        <f>IF(OR(B761=0,B761=" ")," ",SUM($B$23:B761))</f>
        <v xml:space="preserve"> </v>
      </c>
      <c r="D761" s="62" t="str">
        <f>IF(D760=" "," ",IF(OR(F760='депозитный калькулятор'!$D$8,F760=" ")," ",D760+1))</f>
        <v xml:space="preserve"> </v>
      </c>
      <c r="E761" s="130" t="str">
        <f>IF(OR(F760='депозитный калькулятор'!$D$8,F760=" ")," ",IF(EOMONTH(F760,0)=F760,1,E760+1))</f>
        <v xml:space="preserve"> </v>
      </c>
      <c r="F761" s="64" t="str">
        <f>IF(F760=" "," ",IF(F760='депозитный калькулятор'!$D$8," ",F760+1))</f>
        <v xml:space="preserve"> </v>
      </c>
      <c r="G761" s="145" t="str">
        <f xml:space="preserve"> IF(F761&gt;'депозитный калькулятор'!$D$8," ",IF('депозитный калькулятор'!$G$13="есть",IF('депозитный калькулятор'!$G$14="есть",G760+IF(I760=" ",0,I760)-J761-K761+L761+M761-N761,G760+IF(I760=" ",0,I760)-J761-K761+M761-N761),IF('депозитный калькулятор'!$G$14="есть",G760-J761-K761+L761+M761-N761,G760-J761-K761+M761-N761)))</f>
        <v xml:space="preserve"> </v>
      </c>
      <c r="H761" s="133" t="str">
        <f>IF(F761&gt;'депозитный калькулятор'!$D$8," ",IF(AND(OR('депозитный калькулятор'!$G$7="30/365",'депозитный калькулятор'!$G$7="30/360"),AND(MONTH(F761)=2,EOMONTH(F761,0)=F761)),IF(DAY(F761)=28,3*G761*'депозитный калькулятор'!$G$8,2*G761*'депозитный калькулятор'!$G$8),IF(AND(OR('депозитный калькулятор'!$G$7="30/365",'депозитный калькулятор'!$G$7="30/360"),DAY(F761)=31)," ",IF(AND('депозитный калькулятор'!$G$7="факт/факт",MOD(YEAR(F761),4)=0),G761*'депозитный калькулятор'!$D$11/366,G761*'депозитный калькулятор'!$G$8))))</f>
        <v xml:space="preserve"> </v>
      </c>
      <c r="I761" s="134" t="str">
        <f ca="1">IF(F761=" "," ",IF('депозитный калькулятор'!$G$10="ежедневное",H761,IF(AND('депозитный калькулятор'!$G$10="еженедельное",WEEKDAY(F761,2)=7),SUM(OFFSET(H761,-6,0):H761),IF(AND('депозитный калькулятор'!$G$10="еженедельное",F761='депозитный калькулятор'!$D$8),SUM($H$23:H761)-SUM($I$23:I760),IF(AND('депозитный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недели",WEEKDAY(F761,2)=7),MIN(OFFSET(H761,-6,0):H761)*(COUNTIF(OFFSET(H761,-6,0):H761,"&gt;0")+SUMIF(OFFSET(A761,-WEEKDAY(F761,2),0):A761,"=2",OFFSET(A761,-WEEKDAY(F761,2),0):A761)),IF(AND('депозитный калькулятор'!$G$10="еженедельное, на минимальную сумму зафиксированную в течение недели",F761='депозитный калькулятор'!$D$8,WEEKDAY(F761,2)&lt;&gt;7),MIN(OFFSET(H761,-WEEKDAY(F761,2),0):H761)*(COUNTIF(OFFSET(H761,-WEEKDAY(F761,2)+1,0):H761,"&gt;0")+SUM(OFFSET(A761,-WEEKDAY(F761,2),0):A761)),IF(AND('депозитный калькулятор'!$G$10="ежемесячное (в конце месяца)",F761='депозитный калькулятор'!$D$8,EOMONTH(F761,0)&lt;&gt;F761),IF('депозитный калькулятор'!$F$1=1,$H$24,SUM($H$23:H761)-SUM($I$23:I760)),IF(AND('депозитный калькулятор'!$G$10="ежемесячное (в конце месяца)",EOMONTH(F761,0)=F761),SUM($H$23:H761)-SUM($I$23:I760),IF(AND('депозитный калькулятор'!$G$10="ежемесячное (по дням открытия вклада)",F761='депозитный калькулятор'!$D$8,DAY('депозитный калькулятор'!$D$7)&lt;&gt;DAY(F761)),IF('депозитный калькулятор'!$F$1=1,$H$24,SUM($H$23:H761)-SUM($I$23:I760)),IF(AND('депозитный калькулятор'!$G$10="ежемесячное (по дням открытия вклада)",DAY('депозитный калькулятор'!$D$7)=DAY(F761)),SUM($H$23:H761)-SUM($I$23:I760),IF(AND('депозитный калькулятор'!$G$10="ежемесячное, на минимальную сумму зафиксированную в течение месяца",F761='депозитный калькулятор'!$D$8,EOMONTH(F761,0)&lt;&gt;F761),IF('депозитный калькулятор'!$F$1=1,$H$24,IF(AND(OR('депозитный калькулятор'!$G$7="30/365",'депозитный калькулятор'!$G$7="30/360"),DAY(F761)=31),0,MIN(OFFSET(H761,-E761+1,0):H761)*(E761+SUMIF(OFFSET(A761,-E761+1,0):A761,"=2",OFFSET(A761,-E761+1,0):A761)))),IF(AND('депозитный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калькулятор'!$G$7="30/360"),DAY(EOMONTH(F761,0))=31),EOMONTH(F761,0)-1=F761,EOMONTH(F761,0)=F761)),IF(IF(AND(OR('депозитный калькулятор'!$G$7="30/365",'депозитный калькулятор'!$G$7="30/360"),DAY(EOMONTH($F$23,0))=31),F761=EOMONTH($F$23,0)-1,F761=EOMONTH($F$23,0)),MIN(OFFSET(H761,-(DAY(F761)-DAY($F$23)),0):H761)*E761,MIN(OFFSET(H761,-(DAY(F761)-1),0):H761)*IF(AND(OR('депозитный калькулятор'!$G$7="30/365",'депозитный калькулятор'!$G$7="30/360"),DAY(F761)&lt;30),30,DAY(F761))),IF(AND('депозитный калькулятор'!$G$10="ежемесячное, на средний остаток в течение месяца, при условии что остаток больше чем ограничение",F761='депозитный калькулятор'!$D$8,EOMONTH(F761,0)&lt;&gt;F761),IF('депозитный калькулятор'!$F$1=1,$H$24,SUM(OFFSET(Q761,-E761+1,0):Q761)),IF(AND('депозитный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калькулятор'!$G$7="30/360"),DAY(EOMONTH(F761,0))=31),EOMONTH(F761,0)-1=F761,EOMONTH(F761,0)=F761)),IF(IF(AND(OR('депозитный калькулятор'!$G$7="30/365",'депозитный калькулятор'!$G$7="30/360"),DAY(EOMONTH($F$24,0))=31),F761=EOMONTH($F$24,0)-1,F761=EOMONTH($F$24,0)),SUM(OFFSET(Q761,-E761+1,0):Q761),SUM(OFFSET(Q761,-E761+1,0):Q761)),IF('депозитный калькулятор'!$G$10="ежеквартальное",IF(F761&gt;'депозитный калькулятор'!$D$8," ",IF(AND(EOMONTH(F761,0)=F761,OR(MONTH(F761)=3,MONTH(F761)=6,MONTH(F761)=9,MONTH(F761)=12)),IF(EDATE(F761,-3)&lt;'депозитный калькулятор'!$D$7,SUM($H$23:H761),IF(MOD(YEAR(F761),4)=0,IF(AND(EOMONTH(F761,0)=F761,OR(MONTH(F761)=3,MONTH(F761)=6)),SUM(OFFSET(H761,-90,0):H761),IF(AND(EOMONTH(F761,0)=F761,OR(MONTH(F761)=9,MONTH(F761)=12)),SUM(OFFSET(H761,-91,0):H761))),IF(AND(EOMONTH(F761,0)=F761,MONTH(F761)=3),SUM(OFFSET(H761,-89,0):H761),IF(AND(EOMONTH(F761,0)=F761,MONTH(F761)=6),SUM(OFFSET(H761,-90,0):H761),IF(AND(EOMONTH(F761,0)=F761,OR(MONTH(F761)=9,MONTH(F761)=12)),SUM(OFFSET(H761,-91,0):H761)))))),IF(F761='депозитный калькулятор'!$D$8,SUM($H$23:H761)-SUM($I$23:I760),0))),IF('депозитный калькулятор'!$G$10="ежегодное",IF(F761&gt;'депозитный калькулятор'!$D$8," ",IF(F761='депозитный калькулятор'!$D$8,SUM($H$23:H761)-SUM($I$23:I760),IF(AND(EOMONTH(F761,0)=F761,MONTH(F761)=12),IF(MOD(YEAR(F760),4)=0,IF(F761-'депозитный калькулятор'!$D$7&lt;366,SUM($H$23:H761),SUM(OFFSET(H761,-365,0):H761)),IF(F761-'депозитный калькулятор'!$D$7&lt;365,SUM($H$23:H761),SUM(OFFSET(H761,-364,0):H761))),0))),IF(AND('депозитный калькулятор'!$G$10="в конце срока",'депозитный калькулятор'!$D$8=F761),SUM($H$23:H761),0))))))))))))))))))</f>
        <v xml:space="preserve"> </v>
      </c>
      <c r="J761" s="59" t="str">
        <f>IF(F761&gt;'депозитный калькулятор'!$D$8," ",IF('депозитный калькулятор'!$G$16="нет",0,IF(AND('депозитный калькулятор'!$G$17="разовая (в конце срока)",F761='депозитный калькулятор'!$D$8),'депозитный калькулятор'!$G$18,IF(AND('депозитный калькулятор'!$G$17="ежемесячная",EOMONTH(F760,0)=F760),'депозитный калькулятор'!$G$18,IF(AND('депозитный калькулятор'!$G$17="ежегодная",DAY(F760)=31,MONTH(F760)=12),'депозитный калькулятор'!$G$18,IF(AND('депозитный калькулятор'!$G$17="ежемесячная в зависимости от остатка",EOMONTH(F760,0)=F760,P760&gt;0),'депозитный калькулятор'!$G$18,IF(AND('депозитный калькулятор'!$G$17="ежегодная в зависимости от остатка",DAY(F760)=31,MONTH(F760)=12,P760&gt;0),'депозитный калькулятор'!$G$18,0)))))))</f>
        <v xml:space="preserve"> </v>
      </c>
      <c r="K761" s="135" t="str">
        <f>IF($F761=" "," ",IFERROR(VLOOKUP($F761,'депозитный калькулятор'!$B$26:$F$70,2,0),0))</f>
        <v xml:space="preserve"> </v>
      </c>
      <c r="L761" s="135" t="str">
        <f>IF($F761=" "," ",IFERROR(VLOOKUP($F761,'депозитный калькулятор'!$B$26:$F$70,3,0),0))</f>
        <v xml:space="preserve"> </v>
      </c>
      <c r="M761" s="135" t="str">
        <f>IF($F761=" "," ",IFERROR(VLOOKUP($F761,'депозитный калькулятор'!$B$26:$F$70,4,0),0))</f>
        <v xml:space="preserve"> </v>
      </c>
      <c r="N761" s="135" t="str">
        <f>IF($F761=" "," ",IFERROR(VLOOKUP($F761,'депозитный калькулятор'!$B$26:$F$70,5,0),0))</f>
        <v xml:space="preserve"> </v>
      </c>
      <c r="O761" s="146" t="str">
        <f>IF(F761&gt;'депозитный калькулятор'!$D$8," ",IF(F761='депозитный калькулятор'!$D$8,IF(AND($F$24='депозитный калькулятор'!$D$8,'депозитный калькулятор'!$G$13="нет"),-G761-IF(I761=" ",0,I761)-IF(AND(OR('депозитный калькулятор'!$G$7="30/365",'депозитный калькулятор'!$G$7="30/360"),'депозитный калькулятор'!$G$10="в начале срока"),I760,0)-L761+M761-N761,-G761-IF(I761=" ",0,I761)-L761+M761-N761),IF('депозитный калькулятор'!$G$13="есть",M761-N761+IF('депозитный калькулятор'!$G$14="есть",0,-L761),-IF(I761=" ",0,I761)-IF(AND(OR('депозитный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срока"),I760,0)+M761-N761+IF('депозитный калькулятор'!$G$14="есть",0,-L761))))</f>
        <v xml:space="preserve"> </v>
      </c>
      <c r="P761" s="147" t="str">
        <f>IF(F761&gt;'депозитный калькулятор'!$D$8," ",IF(EOMONTH(F760,0)=F760,0,IF(G761&gt;='депозитный калькулятор'!$G$19,P760,P760+1)))</f>
        <v xml:space="preserve"> </v>
      </c>
      <c r="Q761" s="138" t="str">
        <f>IF(F761=" "," ",IF(AND(OR('депозитный калькулятор'!$G$7="30/365",'депозитный калькулятор'!$G$7="30/360"),AND(MONTH(F761)=2,EOMONTH(F761,0)=F761)),IF(DAY(F761)=28,3,2),1)*IF(G761&gt;='депозитный калькулятор'!$G$11,IF(AND('депозитный калькулятор'!$G$7="факт/факт",MOD(YEAR(F761),4)=0),G761*'депозитный калькулятор'!$D$11/366,G761*'депозитный калькулятор'!$G$8),0))</f>
        <v xml:space="preserve"> </v>
      </c>
      <c r="R761" s="158"/>
      <c r="S761" s="62" t="str">
        <f t="shared" ca="1" si="57"/>
        <v xml:space="preserve"> </v>
      </c>
      <c r="T761" s="149" t="str">
        <f ca="1">IF(S761=" "," ",IF('депозитный калькулятор'!$G$7="30/360",DAYS360(U760,IF(DAY(U761)=31,U761-1,U761))+IF(AND(MONTH(U761)=2,U761=EOMONTH(U761,0)),30-DAY(EOMONTH(U761,0)))+T760,VLOOKUP(S761,$C$22:$F$1023,2,0)))</f>
        <v xml:space="preserve"> </v>
      </c>
      <c r="U761" s="64" t="str">
        <f t="shared" ca="1" si="55"/>
        <v xml:space="preserve"> </v>
      </c>
      <c r="V761" s="150" t="str">
        <f t="shared" ca="1" si="58"/>
        <v xml:space="preserve"> </v>
      </c>
      <c r="W761" s="62" t="str">
        <f t="shared" ca="1" si="59"/>
        <v xml:space="preserve"> </v>
      </c>
      <c r="X761" s="141" t="str">
        <f ca="1">IF(S761=" "," ",IFERROR(VLOOKUP(U761,$F$23:$N$1023,7)+VLOOKUP(U761,$F$23:$N$1023,9)+IF(AND('депозитный калькулятор'!$G$13="нет",U761&lt;&gt;'депозитный калькулятор'!$D$8),VLOOKUP(U761,$F$23:$N$1023,4),0),0)+IF(U761='депозитный калькулятор'!$D$8,VLOOKUP(U761,$F$23:$N$1023,2)+VLOOKUP(U761,$F$23:$N$1023,4),0))</f>
        <v xml:space="preserve"> </v>
      </c>
      <c r="Y761" s="142" t="str">
        <f ca="1">IF(S761=" "," ",W761/(1+'депозитный калькулятор'!$K$8)^(T761/IF('депозитный калькулятор'!$G$7="30/360",360,365)))</f>
        <v xml:space="preserve"> </v>
      </c>
      <c r="Z761" s="142" t="str">
        <f ca="1">IF(S761=" "," ",X761/(1+'депозитный калькулятор'!$K$8)^(T761/IF('депозитный калькулятор'!$G$7="30/360",360,365)))</f>
        <v xml:space="preserve"> </v>
      </c>
      <c r="AA761" s="151"/>
      <c r="AB761" s="151"/>
      <c r="AC761" s="155"/>
      <c r="AD761" s="155"/>
    </row>
    <row r="762" spans="1:30" s="2" customFormat="1" ht="15.5" x14ac:dyDescent="0.35">
      <c r="A762" s="41" t="str">
        <f>IF(F762=" "," ",IF(OR('депозитный калькулятор'!$G$7="30/365",'депозитный калькулятор'!$G$7="30/360"),IF(AND(MONTH(F762)=2,DAY(F762)=DAY(EOMONTH(F762,0))),30-DAY(EOMONTH(F762,0)),IF(DAY(F762)=31,1," "))," "))</f>
        <v xml:space="preserve"> </v>
      </c>
      <c r="B762" s="130" t="str">
        <f t="shared" si="56"/>
        <v xml:space="preserve"> </v>
      </c>
      <c r="C762" s="130" t="str">
        <f>IF(OR(B762=0,B762=" ")," ",SUM($B$23:B762))</f>
        <v xml:space="preserve"> </v>
      </c>
      <c r="D762" s="62" t="str">
        <f>IF(D761=" "," ",IF(OR(F761='депозитный калькулятор'!$D$8,F761=" ")," ",D761+1))</f>
        <v xml:space="preserve"> </v>
      </c>
      <c r="E762" s="130" t="str">
        <f>IF(OR(F761='депозитный калькулятор'!$D$8,F761=" ")," ",IF(EOMONTH(F761,0)=F761,1,E761+1))</f>
        <v xml:space="preserve"> </v>
      </c>
      <c r="F762" s="64" t="str">
        <f>IF(F761=" "," ",IF(F761='депозитный калькулятор'!$D$8," ",F761+1))</f>
        <v xml:space="preserve"> </v>
      </c>
      <c r="G762" s="145" t="str">
        <f xml:space="preserve"> IF(F762&gt;'депозитный калькулятор'!$D$8," ",IF('депозитный калькулятор'!$G$13="есть",IF('депозитный калькулятор'!$G$14="есть",G761+IF(I761=" ",0,I761)-J762-K762+L762+M762-N762,G761+IF(I761=" ",0,I761)-J762-K762+M762-N762),IF('депозитный калькулятор'!$G$14="есть",G761-J762-K762+L762+M762-N762,G761-J762-K762+M762-N762)))</f>
        <v xml:space="preserve"> </v>
      </c>
      <c r="H762" s="133" t="str">
        <f>IF(F762&gt;'депозитный калькулятор'!$D$8," ",IF(AND(OR('депозитный калькулятор'!$G$7="30/365",'депозитный калькулятор'!$G$7="30/360"),AND(MONTH(F762)=2,EOMONTH(F762,0)=F762)),IF(DAY(F762)=28,3*G762*'депозитный калькулятор'!$G$8,2*G762*'депозитный калькулятор'!$G$8),IF(AND(OR('депозитный калькулятор'!$G$7="30/365",'депозитный калькулятор'!$G$7="30/360"),DAY(F762)=31)," ",IF(AND('депозитный калькулятор'!$G$7="факт/факт",MOD(YEAR(F762),4)=0),G762*'депозитный калькулятор'!$D$11/366,G762*'депозитный калькулятор'!$G$8))))</f>
        <v xml:space="preserve"> </v>
      </c>
      <c r="I762" s="134" t="str">
        <f ca="1">IF(F762=" "," ",IF('депозитный калькулятор'!$G$10="ежедневное",H762,IF(AND('депозитный калькулятор'!$G$10="еженедельное",WEEKDAY(F762,2)=7),SUM(OFFSET(H762,-6,0):H762),IF(AND('депозитный калькулятор'!$G$10="еженедельное",F762='депозитный калькулятор'!$D$8),SUM($H$23:H762)-SUM($I$23:I761),IF(AND('депозитный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недели",WEEKDAY(F762,2)=7),MIN(OFFSET(H762,-6,0):H762)*(COUNTIF(OFFSET(H762,-6,0):H762,"&gt;0")+SUMIF(OFFSET(A762,-WEEKDAY(F762,2),0):A762,"=2",OFFSET(A762,-WEEKDAY(F762,2),0):A762)),IF(AND('депозитный калькулятор'!$G$10="еженедельное, на минимальную сумму зафиксированную в течение недели",F762='депозитный калькулятор'!$D$8,WEEKDAY(F762,2)&lt;&gt;7),MIN(OFFSET(H762,-WEEKDAY(F762,2),0):H762)*(COUNTIF(OFFSET(H762,-WEEKDAY(F762,2)+1,0):H762,"&gt;0")+SUM(OFFSET(A762,-WEEKDAY(F762,2),0):A762)),IF(AND('депозитный калькулятор'!$G$10="ежемесячное (в конце месяца)",F762='депозитный калькулятор'!$D$8,EOMONTH(F762,0)&lt;&gt;F762),IF('депозитный калькулятор'!$F$1=1,$H$24,SUM($H$23:H762)-SUM($I$23:I761)),IF(AND('депозитный калькулятор'!$G$10="ежемесячное (в конце месяца)",EOMONTH(F762,0)=F762),SUM($H$23:H762)-SUM($I$23:I761),IF(AND('депозитный калькулятор'!$G$10="ежемесячное (по дням открытия вклада)",F762='депозитный калькулятор'!$D$8,DAY('депозитный калькулятор'!$D$7)&lt;&gt;DAY(F762)),IF('депозитный калькулятор'!$F$1=1,$H$24,SUM($H$23:H762)-SUM($I$23:I761)),IF(AND('депозитный калькулятор'!$G$10="ежемесячное (по дням открытия вклада)",DAY('депозитный калькулятор'!$D$7)=DAY(F762)),SUM($H$23:H762)-SUM($I$23:I761),IF(AND('депозитный калькулятор'!$G$10="ежемесячное, на минимальную сумму зафиксированную в течение месяца",F762='депозитный калькулятор'!$D$8,EOMONTH(F762,0)&lt;&gt;F762),IF('депозитный калькулятор'!$F$1=1,$H$24,IF(AND(OR('депозитный калькулятор'!$G$7="30/365",'депозитный калькулятор'!$G$7="30/360"),DAY(F762)=31),0,MIN(OFFSET(H762,-E762+1,0):H762)*(E762+SUMIF(OFFSET(A762,-E762+1,0):A762,"=2",OFFSET(A762,-E762+1,0):A762)))),IF(AND('депозитный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калькулятор'!$G$7="30/360"),DAY(EOMONTH(F762,0))=31),EOMONTH(F762,0)-1=F762,EOMONTH(F762,0)=F762)),IF(IF(AND(OR('депозитный калькулятор'!$G$7="30/365",'депозитный калькулятор'!$G$7="30/360"),DAY(EOMONTH($F$23,0))=31),F762=EOMONTH($F$23,0)-1,F762=EOMONTH($F$23,0)),MIN(OFFSET(H762,-(DAY(F762)-DAY($F$23)),0):H762)*E762,MIN(OFFSET(H762,-(DAY(F762)-1),0):H762)*IF(AND(OR('депозитный калькулятор'!$G$7="30/365",'депозитный калькулятор'!$G$7="30/360"),DAY(F762)&lt;30),30,DAY(F762))),IF(AND('депозитный калькулятор'!$G$10="ежемесячное, на средний остаток в течение месяца, при условии что остаток больше чем ограничение",F762='депозитный калькулятор'!$D$8,EOMONTH(F762,0)&lt;&gt;F762),IF('депозитный калькулятор'!$F$1=1,$H$24,SUM(OFFSET(Q762,-E762+1,0):Q762)),IF(AND('депозитный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калькулятор'!$G$7="30/360"),DAY(EOMONTH(F762,0))=31),EOMONTH(F762,0)-1=F762,EOMONTH(F762,0)=F762)),IF(IF(AND(OR('депозитный калькулятор'!$G$7="30/365",'депозитный калькулятор'!$G$7="30/360"),DAY(EOMONTH($F$24,0))=31),F762=EOMONTH($F$24,0)-1,F762=EOMONTH($F$24,0)),SUM(OFFSET(Q762,-E762+1,0):Q762),SUM(OFFSET(Q762,-E762+1,0):Q762)),IF('депозитный калькулятор'!$G$10="ежеквартальное",IF(F762&gt;'депозитный калькулятор'!$D$8," ",IF(AND(EOMONTH(F762,0)=F762,OR(MONTH(F762)=3,MONTH(F762)=6,MONTH(F762)=9,MONTH(F762)=12)),IF(EDATE(F762,-3)&lt;'депозитный калькулятор'!$D$7,SUM($H$23:H762),IF(MOD(YEAR(F762),4)=0,IF(AND(EOMONTH(F762,0)=F762,OR(MONTH(F762)=3,MONTH(F762)=6)),SUM(OFFSET(H762,-90,0):H762),IF(AND(EOMONTH(F762,0)=F762,OR(MONTH(F762)=9,MONTH(F762)=12)),SUM(OFFSET(H762,-91,0):H762))),IF(AND(EOMONTH(F762,0)=F762,MONTH(F762)=3),SUM(OFFSET(H762,-89,0):H762),IF(AND(EOMONTH(F762,0)=F762,MONTH(F762)=6),SUM(OFFSET(H762,-90,0):H762),IF(AND(EOMONTH(F762,0)=F762,OR(MONTH(F762)=9,MONTH(F762)=12)),SUM(OFFSET(H762,-91,0):H762)))))),IF(F762='депозитный калькулятор'!$D$8,SUM($H$23:H762)-SUM($I$23:I761),0))),IF('депозитный калькулятор'!$G$10="ежегодное",IF(F762&gt;'депозитный калькулятор'!$D$8," ",IF(F762='депозитный калькулятор'!$D$8,SUM($H$23:H762)-SUM($I$23:I761),IF(AND(EOMONTH(F762,0)=F762,MONTH(F762)=12),IF(MOD(YEAR(F761),4)=0,IF(F762-'депозитный калькулятор'!$D$7&lt;366,SUM($H$23:H762),SUM(OFFSET(H762,-365,0):H762)),IF(F762-'депозитный калькулятор'!$D$7&lt;365,SUM($H$23:H762),SUM(OFFSET(H762,-364,0):H762))),0))),IF(AND('депозитный калькулятор'!$G$10="в конце срока",'депозитный калькулятор'!$D$8=F762),SUM($H$23:H762),0))))))))))))))))))</f>
        <v xml:space="preserve"> </v>
      </c>
      <c r="J762" s="59" t="str">
        <f>IF(F762&gt;'депозитный калькулятор'!$D$8," ",IF('депозитный калькулятор'!$G$16="нет",0,IF(AND('депозитный калькулятор'!$G$17="разовая (в конце срока)",F762='депозитный калькулятор'!$D$8),'депозитный калькулятор'!$G$18,IF(AND('депозитный калькулятор'!$G$17="ежемесячная",EOMONTH(F761,0)=F761),'депозитный калькулятор'!$G$18,IF(AND('депозитный калькулятор'!$G$17="ежегодная",DAY(F761)=31,MONTH(F761)=12),'депозитный калькулятор'!$G$18,IF(AND('депозитный калькулятор'!$G$17="ежемесячная в зависимости от остатка",EOMONTH(F761,0)=F761,P761&gt;0),'депозитный калькулятор'!$G$18,IF(AND('депозитный калькулятор'!$G$17="ежегодная в зависимости от остатка",DAY(F761)=31,MONTH(F761)=12,P761&gt;0),'депозитный калькулятор'!$G$18,0)))))))</f>
        <v xml:space="preserve"> </v>
      </c>
      <c r="K762" s="135" t="str">
        <f>IF($F762=" "," ",IFERROR(VLOOKUP($F762,'депозитный калькулятор'!$B$26:$F$70,2,0),0))</f>
        <v xml:space="preserve"> </v>
      </c>
      <c r="L762" s="135" t="str">
        <f>IF($F762=" "," ",IFERROR(VLOOKUP($F762,'депозитный калькулятор'!$B$26:$F$70,3,0),0))</f>
        <v xml:space="preserve"> </v>
      </c>
      <c r="M762" s="135" t="str">
        <f>IF($F762=" "," ",IFERROR(VLOOKUP($F762,'депозитный калькулятор'!$B$26:$F$70,4,0),0))</f>
        <v xml:space="preserve"> </v>
      </c>
      <c r="N762" s="135" t="str">
        <f>IF($F762=" "," ",IFERROR(VLOOKUP($F762,'депозитный калькулятор'!$B$26:$F$70,5,0),0))</f>
        <v xml:space="preserve"> </v>
      </c>
      <c r="O762" s="146" t="str">
        <f>IF(F762&gt;'депозитный калькулятор'!$D$8," ",IF(F762='депозитный калькулятор'!$D$8,IF(AND($F$24='депозитный калькулятор'!$D$8,'депозитный калькулятор'!$G$13="нет"),-G762-IF(I762=" ",0,I762)-IF(AND(OR('депозитный калькулятор'!$G$7="30/365",'депозитный калькулятор'!$G$7="30/360"),'депозитный калькулятор'!$G$10="в начале срока"),I761,0)-L762+M762-N762,-G762-IF(I762=" ",0,I762)-L762+M762-N762),IF('депозитный калькулятор'!$G$13="есть",M762-N762+IF('депозитный калькулятор'!$G$14="есть",0,-L762),-IF(I762=" ",0,I762)-IF(AND(OR('депозитный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срока"),I761,0)+M762-N762+IF('депозитный калькулятор'!$G$14="есть",0,-L762))))</f>
        <v xml:space="preserve"> </v>
      </c>
      <c r="P762" s="147" t="str">
        <f>IF(F762&gt;'депозитный калькулятор'!$D$8," ",IF(EOMONTH(F761,0)=F761,0,IF(G762&gt;='депозитный калькулятор'!$G$19,P761,P761+1)))</f>
        <v xml:space="preserve"> </v>
      </c>
      <c r="Q762" s="138" t="str">
        <f>IF(F762=" "," ",IF(AND(OR('депозитный калькулятор'!$G$7="30/365",'депозитный калькулятор'!$G$7="30/360"),AND(MONTH(F762)=2,EOMONTH(F762,0)=F762)),IF(DAY(F762)=28,3,2),1)*IF(G762&gt;='депозитный калькулятор'!$G$11,IF(AND('депозитный калькулятор'!$G$7="факт/факт",MOD(YEAR(F762),4)=0),G762*'депозитный калькулятор'!$D$11/366,G762*'депозитный калькулятор'!$G$8),0))</f>
        <v xml:space="preserve"> </v>
      </c>
      <c r="R762" s="158"/>
      <c r="S762" s="62" t="str">
        <f t="shared" ca="1" si="57"/>
        <v xml:space="preserve"> </v>
      </c>
      <c r="T762" s="149" t="str">
        <f ca="1">IF(S762=" "," ",IF('депозитный калькулятор'!$G$7="30/360",DAYS360(U761,IF(DAY(U762)=31,U762-1,U762))+IF(AND(MONTH(U762)=2,U762=EOMONTH(U762,0)),30-DAY(EOMONTH(U762,0)))+T761,VLOOKUP(S762,$C$22:$F$1023,2,0)))</f>
        <v xml:space="preserve"> </v>
      </c>
      <c r="U762" s="64" t="str">
        <f t="shared" ca="1" si="55"/>
        <v xml:space="preserve"> </v>
      </c>
      <c r="V762" s="150" t="str">
        <f t="shared" ca="1" si="58"/>
        <v xml:space="preserve"> </v>
      </c>
      <c r="W762" s="62" t="str">
        <f t="shared" ca="1" si="59"/>
        <v xml:space="preserve"> </v>
      </c>
      <c r="X762" s="141" t="str">
        <f ca="1">IF(S762=" "," ",IFERROR(VLOOKUP(U762,$F$23:$N$1023,7)+VLOOKUP(U762,$F$23:$N$1023,9)+IF(AND('депозитный калькулятор'!$G$13="нет",U762&lt;&gt;'депозитный калькулятор'!$D$8),VLOOKUP(U762,$F$23:$N$1023,4),0),0)+IF(U762='депозитный калькулятор'!$D$8,VLOOKUP(U762,$F$23:$N$1023,2)+VLOOKUP(U762,$F$23:$N$1023,4),0))</f>
        <v xml:space="preserve"> </v>
      </c>
      <c r="Y762" s="142" t="str">
        <f ca="1">IF(S762=" "," ",W762/(1+'депозитный калькулятор'!$K$8)^(T762/IF('депозитный калькулятор'!$G$7="30/360",360,365)))</f>
        <v xml:space="preserve"> </v>
      </c>
      <c r="Z762" s="142" t="str">
        <f ca="1">IF(S762=" "," ",X762/(1+'депозитный калькулятор'!$K$8)^(T762/IF('депозитный калькулятор'!$G$7="30/360",360,365)))</f>
        <v xml:space="preserve"> </v>
      </c>
      <c r="AA762" s="151"/>
      <c r="AB762" s="151"/>
      <c r="AC762" s="155"/>
      <c r="AD762" s="155"/>
    </row>
    <row r="763" spans="1:30" s="2" customFormat="1" ht="15.5" x14ac:dyDescent="0.35">
      <c r="A763" s="41" t="str">
        <f>IF(F763=" "," ",IF(OR('депозитный калькулятор'!$G$7="30/365",'депозитный калькулятор'!$G$7="30/360"),IF(AND(MONTH(F763)=2,DAY(F763)=DAY(EOMONTH(F763,0))),30-DAY(EOMONTH(F763,0)),IF(DAY(F763)=31,1," "))," "))</f>
        <v xml:space="preserve"> </v>
      </c>
      <c r="B763" s="130" t="str">
        <f t="shared" si="56"/>
        <v xml:space="preserve"> </v>
      </c>
      <c r="C763" s="130" t="str">
        <f>IF(OR(B763=0,B763=" ")," ",SUM($B$23:B763))</f>
        <v xml:space="preserve"> </v>
      </c>
      <c r="D763" s="62" t="str">
        <f>IF(D762=" "," ",IF(OR(F762='депозитный калькулятор'!$D$8,F762=" ")," ",D762+1))</f>
        <v xml:space="preserve"> </v>
      </c>
      <c r="E763" s="130" t="str">
        <f>IF(OR(F762='депозитный калькулятор'!$D$8,F762=" ")," ",IF(EOMONTH(F762,0)=F762,1,E762+1))</f>
        <v xml:space="preserve"> </v>
      </c>
      <c r="F763" s="64" t="str">
        <f>IF(F762=" "," ",IF(F762='депозитный калькулятор'!$D$8," ",F762+1))</f>
        <v xml:space="preserve"> </v>
      </c>
      <c r="G763" s="145" t="str">
        <f xml:space="preserve"> IF(F763&gt;'депозитный калькулятор'!$D$8," ",IF('депозитный калькулятор'!$G$13="есть",IF('депозитный калькулятор'!$G$14="есть",G762+IF(I762=" ",0,I762)-J763-K763+L763+M763-N763,G762+IF(I762=" ",0,I762)-J763-K763+M763-N763),IF('депозитный калькулятор'!$G$14="есть",G762-J763-K763+L763+M763-N763,G762-J763-K763+M763-N763)))</f>
        <v xml:space="preserve"> </v>
      </c>
      <c r="H763" s="133" t="str">
        <f>IF(F763&gt;'депозитный калькулятор'!$D$8," ",IF(AND(OR('депозитный калькулятор'!$G$7="30/365",'депозитный калькулятор'!$G$7="30/360"),AND(MONTH(F763)=2,EOMONTH(F763,0)=F763)),IF(DAY(F763)=28,3*G763*'депозитный калькулятор'!$G$8,2*G763*'депозитный калькулятор'!$G$8),IF(AND(OR('депозитный калькулятор'!$G$7="30/365",'депозитный калькулятор'!$G$7="30/360"),DAY(F763)=31)," ",IF(AND('депозитный калькулятор'!$G$7="факт/факт",MOD(YEAR(F763),4)=0),G763*'депозитный калькулятор'!$D$11/366,G763*'депозитный калькулятор'!$G$8))))</f>
        <v xml:space="preserve"> </v>
      </c>
      <c r="I763" s="134" t="str">
        <f ca="1">IF(F763=" "," ",IF('депозитный калькулятор'!$G$10="ежедневное",H763,IF(AND('депозитный калькулятор'!$G$10="еженедельное",WEEKDAY(F763,2)=7),SUM(OFFSET(H763,-6,0):H763),IF(AND('депозитный калькулятор'!$G$10="еженедельное",F763='депозитный калькулятор'!$D$8),SUM($H$23:H763)-SUM($I$23:I762),IF(AND('депозитный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недели",WEEKDAY(F763,2)=7),MIN(OFFSET(H763,-6,0):H763)*(COUNTIF(OFFSET(H763,-6,0):H763,"&gt;0")+SUMIF(OFFSET(A763,-WEEKDAY(F763,2),0):A763,"=2",OFFSET(A763,-WEEKDAY(F763,2),0):A763)),IF(AND('депозитный калькулятор'!$G$10="еженедельное, на минимальную сумму зафиксированную в течение недели",F763='депозитный калькулятор'!$D$8,WEEKDAY(F763,2)&lt;&gt;7),MIN(OFFSET(H763,-WEEKDAY(F763,2),0):H763)*(COUNTIF(OFFSET(H763,-WEEKDAY(F763,2)+1,0):H763,"&gt;0")+SUM(OFFSET(A763,-WEEKDAY(F763,2),0):A763)),IF(AND('депозитный калькулятор'!$G$10="ежемесячное (в конце месяца)",F763='депозитный калькулятор'!$D$8,EOMONTH(F763,0)&lt;&gt;F763),IF('депозитный калькулятор'!$F$1=1,$H$24,SUM($H$23:H763)-SUM($I$23:I762)),IF(AND('депозитный калькулятор'!$G$10="ежемесячное (в конце месяца)",EOMONTH(F763,0)=F763),SUM($H$23:H763)-SUM($I$23:I762),IF(AND('депозитный калькулятор'!$G$10="ежемесячное (по дням открытия вклада)",F763='депозитный калькулятор'!$D$8,DAY('депозитный калькулятор'!$D$7)&lt;&gt;DAY(F763)),IF('депозитный калькулятор'!$F$1=1,$H$24,SUM($H$23:H763)-SUM($I$23:I762)),IF(AND('депозитный калькулятор'!$G$10="ежемесячное (по дням открытия вклада)",DAY('депозитный калькулятор'!$D$7)=DAY(F763)),SUM($H$23:H763)-SUM($I$23:I762),IF(AND('депозитный калькулятор'!$G$10="ежемесячное, на минимальную сумму зафиксированную в течение месяца",F763='депозитный калькулятор'!$D$8,EOMONTH(F763,0)&lt;&gt;F763),IF('депозитный калькулятор'!$F$1=1,$H$24,IF(AND(OR('депозитный калькулятор'!$G$7="30/365",'депозитный калькулятор'!$G$7="30/360"),DAY(F763)=31),0,MIN(OFFSET(H763,-E763+1,0):H763)*(E763+SUMIF(OFFSET(A763,-E763+1,0):A763,"=2",OFFSET(A763,-E763+1,0):A763)))),IF(AND('депозитный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калькулятор'!$G$7="30/360"),DAY(EOMONTH(F763,0))=31),EOMONTH(F763,0)-1=F763,EOMONTH(F763,0)=F763)),IF(IF(AND(OR('депозитный калькулятор'!$G$7="30/365",'депозитный калькулятор'!$G$7="30/360"),DAY(EOMONTH($F$23,0))=31),F763=EOMONTH($F$23,0)-1,F763=EOMONTH($F$23,0)),MIN(OFFSET(H763,-(DAY(F763)-DAY($F$23)),0):H763)*E763,MIN(OFFSET(H763,-(DAY(F763)-1),0):H763)*IF(AND(OR('депозитный калькулятор'!$G$7="30/365",'депозитный калькулятор'!$G$7="30/360"),DAY(F763)&lt;30),30,DAY(F763))),IF(AND('депозитный калькулятор'!$G$10="ежемесячное, на средний остаток в течение месяца, при условии что остаток больше чем ограничение",F763='депозитный калькулятор'!$D$8,EOMONTH(F763,0)&lt;&gt;F763),IF('депозитный калькулятор'!$F$1=1,$H$24,SUM(OFFSET(Q763,-E763+1,0):Q763)),IF(AND('депозитный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калькулятор'!$G$7="30/360"),DAY(EOMONTH(F763,0))=31),EOMONTH(F763,0)-1=F763,EOMONTH(F763,0)=F763)),IF(IF(AND(OR('депозитный калькулятор'!$G$7="30/365",'депозитный калькулятор'!$G$7="30/360"),DAY(EOMONTH($F$24,0))=31),F763=EOMONTH($F$24,0)-1,F763=EOMONTH($F$24,0)),SUM(OFFSET(Q763,-E763+1,0):Q763),SUM(OFFSET(Q763,-E763+1,0):Q763)),IF('депозитный калькулятор'!$G$10="ежеквартальное",IF(F763&gt;'депозитный калькулятор'!$D$8," ",IF(AND(EOMONTH(F763,0)=F763,OR(MONTH(F763)=3,MONTH(F763)=6,MONTH(F763)=9,MONTH(F763)=12)),IF(EDATE(F763,-3)&lt;'депозитный калькулятор'!$D$7,SUM($H$23:H763),IF(MOD(YEAR(F763),4)=0,IF(AND(EOMONTH(F763,0)=F763,OR(MONTH(F763)=3,MONTH(F763)=6)),SUM(OFFSET(H763,-90,0):H763),IF(AND(EOMONTH(F763,0)=F763,OR(MONTH(F763)=9,MONTH(F763)=12)),SUM(OFFSET(H763,-91,0):H763))),IF(AND(EOMONTH(F763,0)=F763,MONTH(F763)=3),SUM(OFFSET(H763,-89,0):H763),IF(AND(EOMONTH(F763,0)=F763,MONTH(F763)=6),SUM(OFFSET(H763,-90,0):H763),IF(AND(EOMONTH(F763,0)=F763,OR(MONTH(F763)=9,MONTH(F763)=12)),SUM(OFFSET(H763,-91,0):H763)))))),IF(F763='депозитный калькулятор'!$D$8,SUM($H$23:H763)-SUM($I$23:I762),0))),IF('депозитный калькулятор'!$G$10="ежегодное",IF(F763&gt;'депозитный калькулятор'!$D$8," ",IF(F763='депозитный калькулятор'!$D$8,SUM($H$23:H763)-SUM($I$23:I762),IF(AND(EOMONTH(F763,0)=F763,MONTH(F763)=12),IF(MOD(YEAR(F762),4)=0,IF(F763-'депозитный калькулятор'!$D$7&lt;366,SUM($H$23:H763),SUM(OFFSET(H763,-365,0):H763)),IF(F763-'депозитный калькулятор'!$D$7&lt;365,SUM($H$23:H763),SUM(OFFSET(H763,-364,0):H763))),0))),IF(AND('депозитный калькулятор'!$G$10="в конце срока",'депозитный калькулятор'!$D$8=F763),SUM($H$23:H763),0))))))))))))))))))</f>
        <v xml:space="preserve"> </v>
      </c>
      <c r="J763" s="59" t="str">
        <f>IF(F763&gt;'депозитный калькулятор'!$D$8," ",IF('депозитный калькулятор'!$G$16="нет",0,IF(AND('депозитный калькулятор'!$G$17="разовая (в конце срока)",F763='депозитный калькулятор'!$D$8),'депозитный калькулятор'!$G$18,IF(AND('депозитный калькулятор'!$G$17="ежемесячная",EOMONTH(F762,0)=F762),'депозитный калькулятор'!$G$18,IF(AND('депозитный калькулятор'!$G$17="ежегодная",DAY(F762)=31,MONTH(F762)=12),'депозитный калькулятор'!$G$18,IF(AND('депозитный калькулятор'!$G$17="ежемесячная в зависимости от остатка",EOMONTH(F762,0)=F762,P762&gt;0),'депозитный калькулятор'!$G$18,IF(AND('депозитный калькулятор'!$G$17="ежегодная в зависимости от остатка",DAY(F762)=31,MONTH(F762)=12,P762&gt;0),'депозитный калькулятор'!$G$18,0)))))))</f>
        <v xml:space="preserve"> </v>
      </c>
      <c r="K763" s="135" t="str">
        <f>IF($F763=" "," ",IFERROR(VLOOKUP($F763,'депозитный калькулятор'!$B$26:$F$70,2,0),0))</f>
        <v xml:space="preserve"> </v>
      </c>
      <c r="L763" s="135" t="str">
        <f>IF($F763=" "," ",IFERROR(VLOOKUP($F763,'депозитный калькулятор'!$B$26:$F$70,3,0),0))</f>
        <v xml:space="preserve"> </v>
      </c>
      <c r="M763" s="135" t="str">
        <f>IF($F763=" "," ",IFERROR(VLOOKUP($F763,'депозитный калькулятор'!$B$26:$F$70,4,0),0))</f>
        <v xml:space="preserve"> </v>
      </c>
      <c r="N763" s="135" t="str">
        <f>IF($F763=" "," ",IFERROR(VLOOKUP($F763,'депозитный калькулятор'!$B$26:$F$70,5,0),0))</f>
        <v xml:space="preserve"> </v>
      </c>
      <c r="O763" s="146" t="str">
        <f>IF(F763&gt;'депозитный калькулятор'!$D$8," ",IF(F763='депозитный калькулятор'!$D$8,IF(AND($F$24='депозитный калькулятор'!$D$8,'депозитный калькулятор'!$G$13="нет"),-G763-IF(I763=" ",0,I763)-IF(AND(OR('депозитный калькулятор'!$G$7="30/365",'депозитный калькулятор'!$G$7="30/360"),'депозитный калькулятор'!$G$10="в начале срока"),I762,0)-L763+M763-N763,-G763-IF(I763=" ",0,I763)-L763+M763-N763),IF('депозитный калькулятор'!$G$13="есть",M763-N763+IF('депозитный калькулятор'!$G$14="есть",0,-L763),-IF(I763=" ",0,I763)-IF(AND(OR('депозитный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срока"),I762,0)+M763-N763+IF('депозитный калькулятор'!$G$14="есть",0,-L763))))</f>
        <v xml:space="preserve"> </v>
      </c>
      <c r="P763" s="147" t="str">
        <f>IF(F763&gt;'депозитный калькулятор'!$D$8," ",IF(EOMONTH(F762,0)=F762,0,IF(G763&gt;='депозитный калькулятор'!$G$19,P762,P762+1)))</f>
        <v xml:space="preserve"> </v>
      </c>
      <c r="Q763" s="138" t="str">
        <f>IF(F763=" "," ",IF(AND(OR('депозитный калькулятор'!$G$7="30/365",'депозитный калькулятор'!$G$7="30/360"),AND(MONTH(F763)=2,EOMONTH(F763,0)=F763)),IF(DAY(F763)=28,3,2),1)*IF(G763&gt;='депозитный калькулятор'!$G$11,IF(AND('депозитный калькулятор'!$G$7="факт/факт",MOD(YEAR(F763),4)=0),G763*'депозитный калькулятор'!$D$11/366,G763*'депозитный калькулятор'!$G$8),0))</f>
        <v xml:space="preserve"> </v>
      </c>
      <c r="R763" s="158"/>
      <c r="S763" s="62" t="str">
        <f t="shared" ca="1" si="57"/>
        <v xml:space="preserve"> </v>
      </c>
      <c r="T763" s="149" t="str">
        <f ca="1">IF(S763=" "," ",IF('депозитный калькулятор'!$G$7="30/360",DAYS360(U762,IF(DAY(U763)=31,U763-1,U763))+IF(AND(MONTH(U763)=2,U763=EOMONTH(U763,0)),30-DAY(EOMONTH(U763,0)))+T762,VLOOKUP(S763,$C$22:$F$1023,2,0)))</f>
        <v xml:space="preserve"> </v>
      </c>
      <c r="U763" s="64" t="str">
        <f t="shared" ca="1" si="55"/>
        <v xml:space="preserve"> </v>
      </c>
      <c r="V763" s="150" t="str">
        <f t="shared" ca="1" si="58"/>
        <v xml:space="preserve"> </v>
      </c>
      <c r="W763" s="62" t="str">
        <f t="shared" ca="1" si="59"/>
        <v xml:space="preserve"> </v>
      </c>
      <c r="X763" s="141" t="str">
        <f ca="1">IF(S763=" "," ",IFERROR(VLOOKUP(U763,$F$23:$N$1023,7)+VLOOKUP(U763,$F$23:$N$1023,9)+IF(AND('депозитный калькулятор'!$G$13="нет",U763&lt;&gt;'депозитный калькулятор'!$D$8),VLOOKUP(U763,$F$23:$N$1023,4),0),0)+IF(U763='депозитный калькулятор'!$D$8,VLOOKUP(U763,$F$23:$N$1023,2)+VLOOKUP(U763,$F$23:$N$1023,4),0))</f>
        <v xml:space="preserve"> </v>
      </c>
      <c r="Y763" s="142" t="str">
        <f ca="1">IF(S763=" "," ",W763/(1+'депозитный калькулятор'!$K$8)^(T763/IF('депозитный калькулятор'!$G$7="30/360",360,365)))</f>
        <v xml:space="preserve"> </v>
      </c>
      <c r="Z763" s="142" t="str">
        <f ca="1">IF(S763=" "," ",X763/(1+'депозитный калькулятор'!$K$8)^(T763/IF('депозитный калькулятор'!$G$7="30/360",360,365)))</f>
        <v xml:space="preserve"> </v>
      </c>
      <c r="AA763" s="151"/>
      <c r="AB763" s="151"/>
      <c r="AC763" s="155"/>
      <c r="AD763" s="155"/>
    </row>
    <row r="764" spans="1:30" s="2" customFormat="1" ht="15.5" x14ac:dyDescent="0.35">
      <c r="A764" s="41" t="str">
        <f>IF(F764=" "," ",IF(OR('депозитный калькулятор'!$G$7="30/365",'депозитный калькулятор'!$G$7="30/360"),IF(AND(MONTH(F764)=2,DAY(F764)=DAY(EOMONTH(F764,0))),30-DAY(EOMONTH(F764,0)),IF(DAY(F764)=31,1," "))," "))</f>
        <v xml:space="preserve"> </v>
      </c>
      <c r="B764" s="130" t="str">
        <f t="shared" si="56"/>
        <v xml:space="preserve"> </v>
      </c>
      <c r="C764" s="130" t="str">
        <f>IF(OR(B764=0,B764=" ")," ",SUM($B$23:B764))</f>
        <v xml:space="preserve"> </v>
      </c>
      <c r="D764" s="62" t="str">
        <f>IF(D763=" "," ",IF(OR(F763='депозитный калькулятор'!$D$8,F763=" ")," ",D763+1))</f>
        <v xml:space="preserve"> </v>
      </c>
      <c r="E764" s="130" t="str">
        <f>IF(OR(F763='депозитный калькулятор'!$D$8,F763=" ")," ",IF(EOMONTH(F763,0)=F763,1,E763+1))</f>
        <v xml:space="preserve"> </v>
      </c>
      <c r="F764" s="64" t="str">
        <f>IF(F763=" "," ",IF(F763='депозитный калькулятор'!$D$8," ",F763+1))</f>
        <v xml:space="preserve"> </v>
      </c>
      <c r="G764" s="145" t="str">
        <f xml:space="preserve"> IF(F764&gt;'депозитный калькулятор'!$D$8," ",IF('депозитный калькулятор'!$G$13="есть",IF('депозитный калькулятор'!$G$14="есть",G763+IF(I763=" ",0,I763)-J764-K764+L764+M764-N764,G763+IF(I763=" ",0,I763)-J764-K764+M764-N764),IF('депозитный калькулятор'!$G$14="есть",G763-J764-K764+L764+M764-N764,G763-J764-K764+M764-N764)))</f>
        <v xml:space="preserve"> </v>
      </c>
      <c r="H764" s="133" t="str">
        <f>IF(F764&gt;'депозитный калькулятор'!$D$8," ",IF(AND(OR('депозитный калькулятор'!$G$7="30/365",'депозитный калькулятор'!$G$7="30/360"),AND(MONTH(F764)=2,EOMONTH(F764,0)=F764)),IF(DAY(F764)=28,3*G764*'депозитный калькулятор'!$G$8,2*G764*'депозитный калькулятор'!$G$8),IF(AND(OR('депозитный калькулятор'!$G$7="30/365",'депозитный калькулятор'!$G$7="30/360"),DAY(F764)=31)," ",IF(AND('депозитный калькулятор'!$G$7="факт/факт",MOD(YEAR(F764),4)=0),G764*'депозитный калькулятор'!$D$11/366,G764*'депозитный калькулятор'!$G$8))))</f>
        <v xml:space="preserve"> </v>
      </c>
      <c r="I764" s="134" t="str">
        <f ca="1">IF(F764=" "," ",IF('депозитный калькулятор'!$G$10="ежедневное",H764,IF(AND('депозитный калькулятор'!$G$10="еженедельное",WEEKDAY(F764,2)=7),SUM(OFFSET(H764,-6,0):H764),IF(AND('депозитный калькулятор'!$G$10="еженедельное",F764='депозитный калькулятор'!$D$8),SUM($H$23:H764)-SUM($I$23:I763),IF(AND('депозитный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недели",WEEKDAY(F764,2)=7),MIN(OFFSET(H764,-6,0):H764)*(COUNTIF(OFFSET(H764,-6,0):H764,"&gt;0")+SUMIF(OFFSET(A764,-WEEKDAY(F764,2),0):A764,"=2",OFFSET(A764,-WEEKDAY(F764,2),0):A764)),IF(AND('депозитный калькулятор'!$G$10="еженедельное, на минимальную сумму зафиксированную в течение недели",F764='депозитный калькулятор'!$D$8,WEEKDAY(F764,2)&lt;&gt;7),MIN(OFFSET(H764,-WEEKDAY(F764,2),0):H764)*(COUNTIF(OFFSET(H764,-WEEKDAY(F764,2)+1,0):H764,"&gt;0")+SUM(OFFSET(A764,-WEEKDAY(F764,2),0):A764)),IF(AND('депозитный калькулятор'!$G$10="ежемесячное (в конце месяца)",F764='депозитный калькулятор'!$D$8,EOMONTH(F764,0)&lt;&gt;F764),IF('депозитный калькулятор'!$F$1=1,$H$24,SUM($H$23:H764)-SUM($I$23:I763)),IF(AND('депозитный калькулятор'!$G$10="ежемесячное (в конце месяца)",EOMONTH(F764,0)=F764),SUM($H$23:H764)-SUM($I$23:I763),IF(AND('депозитный калькулятор'!$G$10="ежемесячное (по дням открытия вклада)",F764='депозитный калькулятор'!$D$8,DAY('депозитный калькулятор'!$D$7)&lt;&gt;DAY(F764)),IF('депозитный калькулятор'!$F$1=1,$H$24,SUM($H$23:H764)-SUM($I$23:I763)),IF(AND('депозитный калькулятор'!$G$10="ежемесячное (по дням открытия вклада)",DAY('депозитный калькулятор'!$D$7)=DAY(F764)),SUM($H$23:H764)-SUM($I$23:I763),IF(AND('депозитный калькулятор'!$G$10="ежемесячное, на минимальную сумму зафиксированную в течение месяца",F764='депозитный калькулятор'!$D$8,EOMONTH(F764,0)&lt;&gt;F764),IF('депозитный калькулятор'!$F$1=1,$H$24,IF(AND(OR('депозитный калькулятор'!$G$7="30/365",'депозитный калькулятор'!$G$7="30/360"),DAY(F764)=31),0,MIN(OFFSET(H764,-E764+1,0):H764)*(E764+SUMIF(OFFSET(A764,-E764+1,0):A764,"=2",OFFSET(A764,-E764+1,0):A764)))),IF(AND('депозитный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калькулятор'!$G$7="30/360"),DAY(EOMONTH(F764,0))=31),EOMONTH(F764,0)-1=F764,EOMONTH(F764,0)=F764)),IF(IF(AND(OR('депозитный калькулятор'!$G$7="30/365",'депозитный калькулятор'!$G$7="30/360"),DAY(EOMONTH($F$23,0))=31),F764=EOMONTH($F$23,0)-1,F764=EOMONTH($F$23,0)),MIN(OFFSET(H764,-(DAY(F764)-DAY($F$23)),0):H764)*E764,MIN(OFFSET(H764,-(DAY(F764)-1),0):H764)*IF(AND(OR('депозитный калькулятор'!$G$7="30/365",'депозитный калькулятор'!$G$7="30/360"),DAY(F764)&lt;30),30,DAY(F764))),IF(AND('депозитный калькулятор'!$G$10="ежемесячное, на средний остаток в течение месяца, при условии что остаток больше чем ограничение",F764='депозитный калькулятор'!$D$8,EOMONTH(F764,0)&lt;&gt;F764),IF('депозитный калькулятор'!$F$1=1,$H$24,SUM(OFFSET(Q764,-E764+1,0):Q764)),IF(AND('депозитный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калькулятор'!$G$7="30/360"),DAY(EOMONTH(F764,0))=31),EOMONTH(F764,0)-1=F764,EOMONTH(F764,0)=F764)),IF(IF(AND(OR('депозитный калькулятор'!$G$7="30/365",'депозитный калькулятор'!$G$7="30/360"),DAY(EOMONTH($F$24,0))=31),F764=EOMONTH($F$24,0)-1,F764=EOMONTH($F$24,0)),SUM(OFFSET(Q764,-E764+1,0):Q764),SUM(OFFSET(Q764,-E764+1,0):Q764)),IF('депозитный калькулятор'!$G$10="ежеквартальное",IF(F764&gt;'депозитный калькулятор'!$D$8," ",IF(AND(EOMONTH(F764,0)=F764,OR(MONTH(F764)=3,MONTH(F764)=6,MONTH(F764)=9,MONTH(F764)=12)),IF(EDATE(F764,-3)&lt;'депозитный калькулятор'!$D$7,SUM($H$23:H764),IF(MOD(YEAR(F764),4)=0,IF(AND(EOMONTH(F764,0)=F764,OR(MONTH(F764)=3,MONTH(F764)=6)),SUM(OFFSET(H764,-90,0):H764),IF(AND(EOMONTH(F764,0)=F764,OR(MONTH(F764)=9,MONTH(F764)=12)),SUM(OFFSET(H764,-91,0):H764))),IF(AND(EOMONTH(F764,0)=F764,MONTH(F764)=3),SUM(OFFSET(H764,-89,0):H764),IF(AND(EOMONTH(F764,0)=F764,MONTH(F764)=6),SUM(OFFSET(H764,-90,0):H764),IF(AND(EOMONTH(F764,0)=F764,OR(MONTH(F764)=9,MONTH(F764)=12)),SUM(OFFSET(H764,-91,0):H764)))))),IF(F764='депозитный калькулятор'!$D$8,SUM($H$23:H764)-SUM($I$23:I763),0))),IF('депозитный калькулятор'!$G$10="ежегодное",IF(F764&gt;'депозитный калькулятор'!$D$8," ",IF(F764='депозитный калькулятор'!$D$8,SUM($H$23:H764)-SUM($I$23:I763),IF(AND(EOMONTH(F764,0)=F764,MONTH(F764)=12),IF(MOD(YEAR(F763),4)=0,IF(F764-'депозитный калькулятор'!$D$7&lt;366,SUM($H$23:H764),SUM(OFFSET(H764,-365,0):H764)),IF(F764-'депозитный калькулятор'!$D$7&lt;365,SUM($H$23:H764),SUM(OFFSET(H764,-364,0):H764))),0))),IF(AND('депозитный калькулятор'!$G$10="в конце срока",'депозитный калькулятор'!$D$8=F764),SUM($H$23:H764),0))))))))))))))))))</f>
        <v xml:space="preserve"> </v>
      </c>
      <c r="J764" s="59" t="str">
        <f>IF(F764&gt;'депозитный калькулятор'!$D$8," ",IF('депозитный калькулятор'!$G$16="нет",0,IF(AND('депозитный калькулятор'!$G$17="разовая (в конце срока)",F764='депозитный калькулятор'!$D$8),'депозитный калькулятор'!$G$18,IF(AND('депозитный калькулятор'!$G$17="ежемесячная",EOMONTH(F763,0)=F763),'депозитный калькулятор'!$G$18,IF(AND('депозитный калькулятор'!$G$17="ежегодная",DAY(F763)=31,MONTH(F763)=12),'депозитный калькулятор'!$G$18,IF(AND('депозитный калькулятор'!$G$17="ежемесячная в зависимости от остатка",EOMONTH(F763,0)=F763,P763&gt;0),'депозитный калькулятор'!$G$18,IF(AND('депозитный калькулятор'!$G$17="ежегодная в зависимости от остатка",DAY(F763)=31,MONTH(F763)=12,P763&gt;0),'депозитный калькулятор'!$G$18,0)))))))</f>
        <v xml:space="preserve"> </v>
      </c>
      <c r="K764" s="135" t="str">
        <f>IF($F764=" "," ",IFERROR(VLOOKUP($F764,'депозитный калькулятор'!$B$26:$F$70,2,0),0))</f>
        <v xml:space="preserve"> </v>
      </c>
      <c r="L764" s="135" t="str">
        <f>IF($F764=" "," ",IFERROR(VLOOKUP($F764,'депозитный калькулятор'!$B$26:$F$70,3,0),0))</f>
        <v xml:space="preserve"> </v>
      </c>
      <c r="M764" s="135" t="str">
        <f>IF($F764=" "," ",IFERROR(VLOOKUP($F764,'депозитный калькулятор'!$B$26:$F$70,4,0),0))</f>
        <v xml:space="preserve"> </v>
      </c>
      <c r="N764" s="135" t="str">
        <f>IF($F764=" "," ",IFERROR(VLOOKUP($F764,'депозитный калькулятор'!$B$26:$F$70,5,0),0))</f>
        <v xml:space="preserve"> </v>
      </c>
      <c r="O764" s="146" t="str">
        <f>IF(F764&gt;'депозитный калькулятор'!$D$8," ",IF(F764='депозитный калькулятор'!$D$8,IF(AND($F$24='депозитный калькулятор'!$D$8,'депозитный калькулятор'!$G$13="нет"),-G764-IF(I764=" ",0,I764)-IF(AND(OR('депозитный калькулятор'!$G$7="30/365",'депозитный калькулятор'!$G$7="30/360"),'депозитный калькулятор'!$G$10="в начале срока"),I763,0)-L764+M764-N764,-G764-IF(I764=" ",0,I764)-L764+M764-N764),IF('депозитный калькулятор'!$G$13="есть",M764-N764+IF('депозитный калькулятор'!$G$14="есть",0,-L764),-IF(I764=" ",0,I764)-IF(AND(OR('депозитный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срока"),I763,0)+M764-N764+IF('депозитный калькулятор'!$G$14="есть",0,-L764))))</f>
        <v xml:space="preserve"> </v>
      </c>
      <c r="P764" s="147" t="str">
        <f>IF(F764&gt;'депозитный калькулятор'!$D$8," ",IF(EOMONTH(F763,0)=F763,0,IF(G764&gt;='депозитный калькулятор'!$G$19,P763,P763+1)))</f>
        <v xml:space="preserve"> </v>
      </c>
      <c r="Q764" s="138" t="str">
        <f>IF(F764=" "," ",IF(AND(OR('депозитный калькулятор'!$G$7="30/365",'депозитный калькулятор'!$G$7="30/360"),AND(MONTH(F764)=2,EOMONTH(F764,0)=F764)),IF(DAY(F764)=28,3,2),1)*IF(G764&gt;='депозитный калькулятор'!$G$11,IF(AND('депозитный калькулятор'!$G$7="факт/факт",MOD(YEAR(F764),4)=0),G764*'депозитный калькулятор'!$D$11/366,G764*'депозитный калькулятор'!$G$8),0))</f>
        <v xml:space="preserve"> </v>
      </c>
      <c r="R764" s="158"/>
      <c r="S764" s="62" t="str">
        <f t="shared" ca="1" si="57"/>
        <v xml:space="preserve"> </v>
      </c>
      <c r="T764" s="149" t="str">
        <f ca="1">IF(S764=" "," ",IF('депозитный калькулятор'!$G$7="30/360",DAYS360(U763,IF(DAY(U764)=31,U764-1,U764))+IF(AND(MONTH(U764)=2,U764=EOMONTH(U764,0)),30-DAY(EOMONTH(U764,0)))+T763,VLOOKUP(S764,$C$22:$F$1023,2,0)))</f>
        <v xml:space="preserve"> </v>
      </c>
      <c r="U764" s="64" t="str">
        <f t="shared" ca="1" si="55"/>
        <v xml:space="preserve"> </v>
      </c>
      <c r="V764" s="150" t="str">
        <f t="shared" ca="1" si="58"/>
        <v xml:space="preserve"> </v>
      </c>
      <c r="W764" s="62" t="str">
        <f t="shared" ca="1" si="59"/>
        <v xml:space="preserve"> </v>
      </c>
      <c r="X764" s="141" t="str">
        <f ca="1">IF(S764=" "," ",IFERROR(VLOOKUP(U764,$F$23:$N$1023,7)+VLOOKUP(U764,$F$23:$N$1023,9)+IF(AND('депозитный калькулятор'!$G$13="нет",U764&lt;&gt;'депозитный калькулятор'!$D$8),VLOOKUP(U764,$F$23:$N$1023,4),0),0)+IF(U764='депозитный калькулятор'!$D$8,VLOOKUP(U764,$F$23:$N$1023,2)+VLOOKUP(U764,$F$23:$N$1023,4),0))</f>
        <v xml:space="preserve"> </v>
      </c>
      <c r="Y764" s="142" t="str">
        <f ca="1">IF(S764=" "," ",W764/(1+'депозитный калькулятор'!$K$8)^(T764/IF('депозитный калькулятор'!$G$7="30/360",360,365)))</f>
        <v xml:space="preserve"> </v>
      </c>
      <c r="Z764" s="142" t="str">
        <f ca="1">IF(S764=" "," ",X764/(1+'депозитный калькулятор'!$K$8)^(T764/IF('депозитный калькулятор'!$G$7="30/360",360,365)))</f>
        <v xml:space="preserve"> </v>
      </c>
      <c r="AA764" s="151"/>
      <c r="AB764" s="151"/>
      <c r="AC764" s="155"/>
      <c r="AD764" s="155"/>
    </row>
    <row r="765" spans="1:30" s="2" customFormat="1" ht="15.5" x14ac:dyDescent="0.35">
      <c r="A765" s="41" t="str">
        <f>IF(F765=" "," ",IF(OR('депозитный калькулятор'!$G$7="30/365",'депозитный калькулятор'!$G$7="30/360"),IF(AND(MONTH(F765)=2,DAY(F765)=DAY(EOMONTH(F765,0))),30-DAY(EOMONTH(F765,0)),IF(DAY(F765)=31,1," "))," "))</f>
        <v xml:space="preserve"> </v>
      </c>
      <c r="B765" s="130" t="str">
        <f t="shared" si="56"/>
        <v xml:space="preserve"> </v>
      </c>
      <c r="C765" s="130" t="str">
        <f>IF(OR(B765=0,B765=" ")," ",SUM($B$23:B765))</f>
        <v xml:space="preserve"> </v>
      </c>
      <c r="D765" s="62" t="str">
        <f>IF(D764=" "," ",IF(OR(F764='депозитный калькулятор'!$D$8,F764=" ")," ",D764+1))</f>
        <v xml:space="preserve"> </v>
      </c>
      <c r="E765" s="130" t="str">
        <f>IF(OR(F764='депозитный калькулятор'!$D$8,F764=" ")," ",IF(EOMONTH(F764,0)=F764,1,E764+1))</f>
        <v xml:space="preserve"> </v>
      </c>
      <c r="F765" s="64" t="str">
        <f>IF(F764=" "," ",IF(F764='депозитный калькулятор'!$D$8," ",F764+1))</f>
        <v xml:space="preserve"> </v>
      </c>
      <c r="G765" s="145" t="str">
        <f xml:space="preserve"> IF(F765&gt;'депозитный калькулятор'!$D$8," ",IF('депозитный калькулятор'!$G$13="есть",IF('депозитный калькулятор'!$G$14="есть",G764+IF(I764=" ",0,I764)-J765-K765+L765+M765-N765,G764+IF(I764=" ",0,I764)-J765-K765+M765-N765),IF('депозитный калькулятор'!$G$14="есть",G764-J765-K765+L765+M765-N765,G764-J765-K765+M765-N765)))</f>
        <v xml:space="preserve"> </v>
      </c>
      <c r="H765" s="133" t="str">
        <f>IF(F765&gt;'депозитный калькулятор'!$D$8," ",IF(AND(OR('депозитный калькулятор'!$G$7="30/365",'депозитный калькулятор'!$G$7="30/360"),AND(MONTH(F765)=2,EOMONTH(F765,0)=F765)),IF(DAY(F765)=28,3*G765*'депозитный калькулятор'!$G$8,2*G765*'депозитный калькулятор'!$G$8),IF(AND(OR('депозитный калькулятор'!$G$7="30/365",'депозитный калькулятор'!$G$7="30/360"),DAY(F765)=31)," ",IF(AND('депозитный калькулятор'!$G$7="факт/факт",MOD(YEAR(F765),4)=0),G765*'депозитный калькулятор'!$D$11/366,G765*'депозитный калькулятор'!$G$8))))</f>
        <v xml:space="preserve"> </v>
      </c>
      <c r="I765" s="134" t="str">
        <f ca="1">IF(F765=" "," ",IF('депозитный калькулятор'!$G$10="ежедневное",H765,IF(AND('депозитный калькулятор'!$G$10="еженедельное",WEEKDAY(F765,2)=7),SUM(OFFSET(H765,-6,0):H765),IF(AND('депозитный калькулятор'!$G$10="еженедельное",F765='депозитный калькулятор'!$D$8),SUM($H$23:H765)-SUM($I$23:I764),IF(AND('депозитный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недели",WEEKDAY(F765,2)=7),MIN(OFFSET(H765,-6,0):H765)*(COUNTIF(OFFSET(H765,-6,0):H765,"&gt;0")+SUMIF(OFFSET(A765,-WEEKDAY(F765,2),0):A765,"=2",OFFSET(A765,-WEEKDAY(F765,2),0):A765)),IF(AND('депозитный калькулятор'!$G$10="еженедельное, на минимальную сумму зафиксированную в течение недели",F765='депозитный калькулятор'!$D$8,WEEKDAY(F765,2)&lt;&gt;7),MIN(OFFSET(H765,-WEEKDAY(F765,2),0):H765)*(COUNTIF(OFFSET(H765,-WEEKDAY(F765,2)+1,0):H765,"&gt;0")+SUM(OFFSET(A765,-WEEKDAY(F765,2),0):A765)),IF(AND('депозитный калькулятор'!$G$10="ежемесячное (в конце месяца)",F765='депозитный калькулятор'!$D$8,EOMONTH(F765,0)&lt;&gt;F765),IF('депозитный калькулятор'!$F$1=1,$H$24,SUM($H$23:H765)-SUM($I$23:I764)),IF(AND('депозитный калькулятор'!$G$10="ежемесячное (в конце месяца)",EOMONTH(F765,0)=F765),SUM($H$23:H765)-SUM($I$23:I764),IF(AND('депозитный калькулятор'!$G$10="ежемесячное (по дням открытия вклада)",F765='депозитный калькулятор'!$D$8,DAY('депозитный калькулятор'!$D$7)&lt;&gt;DAY(F765)),IF('депозитный калькулятор'!$F$1=1,$H$24,SUM($H$23:H765)-SUM($I$23:I764)),IF(AND('депозитный калькулятор'!$G$10="ежемесячное (по дням открытия вклада)",DAY('депозитный калькулятор'!$D$7)=DAY(F765)),SUM($H$23:H765)-SUM($I$23:I764),IF(AND('депозитный калькулятор'!$G$10="ежемесячное, на минимальную сумму зафиксированную в течение месяца",F765='депозитный калькулятор'!$D$8,EOMONTH(F765,0)&lt;&gt;F765),IF('депозитный калькулятор'!$F$1=1,$H$24,IF(AND(OR('депозитный калькулятор'!$G$7="30/365",'депозитный калькулятор'!$G$7="30/360"),DAY(F765)=31),0,MIN(OFFSET(H765,-E765+1,0):H765)*(E765+SUMIF(OFFSET(A765,-E765+1,0):A765,"=2",OFFSET(A765,-E765+1,0):A765)))),IF(AND('депозитный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калькулятор'!$G$7="30/360"),DAY(EOMONTH(F765,0))=31),EOMONTH(F765,0)-1=F765,EOMONTH(F765,0)=F765)),IF(IF(AND(OR('депозитный калькулятор'!$G$7="30/365",'депозитный калькулятор'!$G$7="30/360"),DAY(EOMONTH($F$23,0))=31),F765=EOMONTH($F$23,0)-1,F765=EOMONTH($F$23,0)),MIN(OFFSET(H765,-(DAY(F765)-DAY($F$23)),0):H765)*E765,MIN(OFFSET(H765,-(DAY(F765)-1),0):H765)*IF(AND(OR('депозитный калькулятор'!$G$7="30/365",'депозитный калькулятор'!$G$7="30/360"),DAY(F765)&lt;30),30,DAY(F765))),IF(AND('депозитный калькулятор'!$G$10="ежемесячное, на средний остаток в течение месяца, при условии что остаток больше чем ограничение",F765='депозитный калькулятор'!$D$8,EOMONTH(F765,0)&lt;&gt;F765),IF('депозитный калькулятор'!$F$1=1,$H$24,SUM(OFFSET(Q765,-E765+1,0):Q765)),IF(AND('депозитный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калькулятор'!$G$7="30/360"),DAY(EOMONTH(F765,0))=31),EOMONTH(F765,0)-1=F765,EOMONTH(F765,0)=F765)),IF(IF(AND(OR('депозитный калькулятор'!$G$7="30/365",'депозитный калькулятор'!$G$7="30/360"),DAY(EOMONTH($F$24,0))=31),F765=EOMONTH($F$24,0)-1,F765=EOMONTH($F$24,0)),SUM(OFFSET(Q765,-E765+1,0):Q765),SUM(OFFSET(Q765,-E765+1,0):Q765)),IF('депозитный калькулятор'!$G$10="ежеквартальное",IF(F765&gt;'депозитный калькулятор'!$D$8," ",IF(AND(EOMONTH(F765,0)=F765,OR(MONTH(F765)=3,MONTH(F765)=6,MONTH(F765)=9,MONTH(F765)=12)),IF(EDATE(F765,-3)&lt;'депозитный калькулятор'!$D$7,SUM($H$23:H765),IF(MOD(YEAR(F765),4)=0,IF(AND(EOMONTH(F765,0)=F765,OR(MONTH(F765)=3,MONTH(F765)=6)),SUM(OFFSET(H765,-90,0):H765),IF(AND(EOMONTH(F765,0)=F765,OR(MONTH(F765)=9,MONTH(F765)=12)),SUM(OFFSET(H765,-91,0):H765))),IF(AND(EOMONTH(F765,0)=F765,MONTH(F765)=3),SUM(OFFSET(H765,-89,0):H765),IF(AND(EOMONTH(F765,0)=F765,MONTH(F765)=6),SUM(OFFSET(H765,-90,0):H765),IF(AND(EOMONTH(F765,0)=F765,OR(MONTH(F765)=9,MONTH(F765)=12)),SUM(OFFSET(H765,-91,0):H765)))))),IF(F765='депозитный калькулятор'!$D$8,SUM($H$23:H765)-SUM($I$23:I764),0))),IF('депозитный калькулятор'!$G$10="ежегодное",IF(F765&gt;'депозитный калькулятор'!$D$8," ",IF(F765='депозитный калькулятор'!$D$8,SUM($H$23:H765)-SUM($I$23:I764),IF(AND(EOMONTH(F765,0)=F765,MONTH(F765)=12),IF(MOD(YEAR(F764),4)=0,IF(F765-'депозитный калькулятор'!$D$7&lt;366,SUM($H$23:H765),SUM(OFFSET(H765,-365,0):H765)),IF(F765-'депозитный калькулятор'!$D$7&lt;365,SUM($H$23:H765),SUM(OFFSET(H765,-364,0):H765))),0))),IF(AND('депозитный калькулятор'!$G$10="в конце срока",'депозитный калькулятор'!$D$8=F765),SUM($H$23:H765),0))))))))))))))))))</f>
        <v xml:space="preserve"> </v>
      </c>
      <c r="J765" s="59" t="str">
        <f>IF(F765&gt;'депозитный калькулятор'!$D$8," ",IF('депозитный калькулятор'!$G$16="нет",0,IF(AND('депозитный калькулятор'!$G$17="разовая (в конце срока)",F765='депозитный калькулятор'!$D$8),'депозитный калькулятор'!$G$18,IF(AND('депозитный калькулятор'!$G$17="ежемесячная",EOMONTH(F764,0)=F764),'депозитный калькулятор'!$G$18,IF(AND('депозитный калькулятор'!$G$17="ежегодная",DAY(F764)=31,MONTH(F764)=12),'депозитный калькулятор'!$G$18,IF(AND('депозитный калькулятор'!$G$17="ежемесячная в зависимости от остатка",EOMONTH(F764,0)=F764,P764&gt;0),'депозитный калькулятор'!$G$18,IF(AND('депозитный калькулятор'!$G$17="ежегодная в зависимости от остатка",DAY(F764)=31,MONTH(F764)=12,P764&gt;0),'депозитный калькулятор'!$G$18,0)))))))</f>
        <v xml:space="preserve"> </v>
      </c>
      <c r="K765" s="135" t="str">
        <f>IF($F765=" "," ",IFERROR(VLOOKUP($F765,'депозитный калькулятор'!$B$26:$F$70,2,0),0))</f>
        <v xml:space="preserve"> </v>
      </c>
      <c r="L765" s="135" t="str">
        <f>IF($F765=" "," ",IFERROR(VLOOKUP($F765,'депозитный калькулятор'!$B$26:$F$70,3,0),0))</f>
        <v xml:space="preserve"> </v>
      </c>
      <c r="M765" s="135" t="str">
        <f>IF($F765=" "," ",IFERROR(VLOOKUP($F765,'депозитный калькулятор'!$B$26:$F$70,4,0),0))</f>
        <v xml:space="preserve"> </v>
      </c>
      <c r="N765" s="135" t="str">
        <f>IF($F765=" "," ",IFERROR(VLOOKUP($F765,'депозитный калькулятор'!$B$26:$F$70,5,0),0))</f>
        <v xml:space="preserve"> </v>
      </c>
      <c r="O765" s="146" t="str">
        <f>IF(F765&gt;'депозитный калькулятор'!$D$8," ",IF(F765='депозитный калькулятор'!$D$8,IF(AND($F$24='депозитный калькулятор'!$D$8,'депозитный калькулятор'!$G$13="нет"),-G765-IF(I765=" ",0,I765)-IF(AND(OR('депозитный калькулятор'!$G$7="30/365",'депозитный калькулятор'!$G$7="30/360"),'депозитный калькулятор'!$G$10="в начале срока"),I764,0)-L765+M765-N765,-G765-IF(I765=" ",0,I765)-L765+M765-N765),IF('депозитный калькулятор'!$G$13="есть",M765-N765+IF('депозитный калькулятор'!$G$14="есть",0,-L765),-IF(I765=" ",0,I765)-IF(AND(OR('депозитный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срока"),I764,0)+M765-N765+IF('депозитный калькулятор'!$G$14="есть",0,-L765))))</f>
        <v xml:space="preserve"> </v>
      </c>
      <c r="P765" s="147" t="str">
        <f>IF(F765&gt;'депозитный калькулятор'!$D$8," ",IF(EOMONTH(F764,0)=F764,0,IF(G765&gt;='депозитный калькулятор'!$G$19,P764,P764+1)))</f>
        <v xml:space="preserve"> </v>
      </c>
      <c r="Q765" s="138" t="str">
        <f>IF(F765=" "," ",IF(AND(OR('депозитный калькулятор'!$G$7="30/365",'депозитный калькулятор'!$G$7="30/360"),AND(MONTH(F765)=2,EOMONTH(F765,0)=F765)),IF(DAY(F765)=28,3,2),1)*IF(G765&gt;='депозитный калькулятор'!$G$11,IF(AND('депозитный калькулятор'!$G$7="факт/факт",MOD(YEAR(F765),4)=0),G765*'депозитный калькулятор'!$D$11/366,G765*'депозитный калькулятор'!$G$8),0))</f>
        <v xml:space="preserve"> </v>
      </c>
      <c r="R765" s="158"/>
      <c r="S765" s="62" t="str">
        <f t="shared" ca="1" si="57"/>
        <v xml:space="preserve"> </v>
      </c>
      <c r="T765" s="149" t="str">
        <f ca="1">IF(S765=" "," ",IF('депозитный калькулятор'!$G$7="30/360",DAYS360(U764,IF(DAY(U765)=31,U765-1,U765))+IF(AND(MONTH(U765)=2,U765=EOMONTH(U765,0)),30-DAY(EOMONTH(U765,0)))+T764,VLOOKUP(S765,$C$22:$F$1023,2,0)))</f>
        <v xml:space="preserve"> </v>
      </c>
      <c r="U765" s="64" t="str">
        <f t="shared" ca="1" si="55"/>
        <v xml:space="preserve"> </v>
      </c>
      <c r="V765" s="150" t="str">
        <f t="shared" ca="1" si="58"/>
        <v xml:space="preserve"> </v>
      </c>
      <c r="W765" s="62" t="str">
        <f t="shared" ca="1" si="59"/>
        <v xml:space="preserve"> </v>
      </c>
      <c r="X765" s="141" t="str">
        <f ca="1">IF(S765=" "," ",IFERROR(VLOOKUP(U765,$F$23:$N$1023,7)+VLOOKUP(U765,$F$23:$N$1023,9)+IF(AND('депозитный калькулятор'!$G$13="нет",U765&lt;&gt;'депозитный калькулятор'!$D$8),VLOOKUP(U765,$F$23:$N$1023,4),0),0)+IF(U765='депозитный калькулятор'!$D$8,VLOOKUP(U765,$F$23:$N$1023,2)+VLOOKUP(U765,$F$23:$N$1023,4),0))</f>
        <v xml:space="preserve"> </v>
      </c>
      <c r="Y765" s="142" t="str">
        <f ca="1">IF(S765=" "," ",W765/(1+'депозитный калькулятор'!$K$8)^(T765/IF('депозитный калькулятор'!$G$7="30/360",360,365)))</f>
        <v xml:space="preserve"> </v>
      </c>
      <c r="Z765" s="142" t="str">
        <f ca="1">IF(S765=" "," ",X765/(1+'депозитный калькулятор'!$K$8)^(T765/IF('депозитный калькулятор'!$G$7="30/360",360,365)))</f>
        <v xml:space="preserve"> </v>
      </c>
      <c r="AA765" s="151"/>
      <c r="AB765" s="151"/>
      <c r="AC765" s="155"/>
      <c r="AD765" s="155"/>
    </row>
    <row r="766" spans="1:30" s="2" customFormat="1" ht="15.5" x14ac:dyDescent="0.35">
      <c r="A766" s="41" t="str">
        <f>IF(F766=" "," ",IF(OR('депозитный калькулятор'!$G$7="30/365",'депозитный калькулятор'!$G$7="30/360"),IF(AND(MONTH(F766)=2,DAY(F766)=DAY(EOMONTH(F766,0))),30-DAY(EOMONTH(F766,0)),IF(DAY(F766)=31,1," "))," "))</f>
        <v xml:space="preserve"> </v>
      </c>
      <c r="B766" s="130" t="str">
        <f t="shared" si="56"/>
        <v xml:space="preserve"> </v>
      </c>
      <c r="C766" s="130" t="str">
        <f>IF(OR(B766=0,B766=" ")," ",SUM($B$23:B766))</f>
        <v xml:space="preserve"> </v>
      </c>
      <c r="D766" s="62" t="str">
        <f>IF(D765=" "," ",IF(OR(F765='депозитный калькулятор'!$D$8,F765=" ")," ",D765+1))</f>
        <v xml:space="preserve"> </v>
      </c>
      <c r="E766" s="130" t="str">
        <f>IF(OR(F765='депозитный калькулятор'!$D$8,F765=" ")," ",IF(EOMONTH(F765,0)=F765,1,E765+1))</f>
        <v xml:space="preserve"> </v>
      </c>
      <c r="F766" s="64" t="str">
        <f>IF(F765=" "," ",IF(F765='депозитный калькулятор'!$D$8," ",F765+1))</f>
        <v xml:space="preserve"> </v>
      </c>
      <c r="G766" s="145" t="str">
        <f xml:space="preserve"> IF(F766&gt;'депозитный калькулятор'!$D$8," ",IF('депозитный калькулятор'!$G$13="есть",IF('депозитный калькулятор'!$G$14="есть",G765+IF(I765=" ",0,I765)-J766-K766+L766+M766-N766,G765+IF(I765=" ",0,I765)-J766-K766+M766-N766),IF('депозитный калькулятор'!$G$14="есть",G765-J766-K766+L766+M766-N766,G765-J766-K766+M766-N766)))</f>
        <v xml:space="preserve"> </v>
      </c>
      <c r="H766" s="133" t="str">
        <f>IF(F766&gt;'депозитный калькулятор'!$D$8," ",IF(AND(OR('депозитный калькулятор'!$G$7="30/365",'депозитный калькулятор'!$G$7="30/360"),AND(MONTH(F766)=2,EOMONTH(F766,0)=F766)),IF(DAY(F766)=28,3*G766*'депозитный калькулятор'!$G$8,2*G766*'депозитный калькулятор'!$G$8),IF(AND(OR('депозитный калькулятор'!$G$7="30/365",'депозитный калькулятор'!$G$7="30/360"),DAY(F766)=31)," ",IF(AND('депозитный калькулятор'!$G$7="факт/факт",MOD(YEAR(F766),4)=0),G766*'депозитный калькулятор'!$D$11/366,G766*'депозитный калькулятор'!$G$8))))</f>
        <v xml:space="preserve"> </v>
      </c>
      <c r="I766" s="134" t="str">
        <f ca="1">IF(F766=" "," ",IF('депозитный калькулятор'!$G$10="ежедневное",H766,IF(AND('депозитный калькулятор'!$G$10="еженедельное",WEEKDAY(F766,2)=7),SUM(OFFSET(H766,-6,0):H766),IF(AND('депозитный калькулятор'!$G$10="еженедельное",F766='депозитный калькулятор'!$D$8),SUM($H$23:H766)-SUM($I$23:I765),IF(AND('депозитный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недели",WEEKDAY(F766,2)=7),MIN(OFFSET(H766,-6,0):H766)*(COUNTIF(OFFSET(H766,-6,0):H766,"&gt;0")+SUMIF(OFFSET(A766,-WEEKDAY(F766,2),0):A766,"=2",OFFSET(A766,-WEEKDAY(F766,2),0):A766)),IF(AND('депозитный калькулятор'!$G$10="еженедельное, на минимальную сумму зафиксированную в течение недели",F766='депозитный калькулятор'!$D$8,WEEKDAY(F766,2)&lt;&gt;7),MIN(OFFSET(H766,-WEEKDAY(F766,2),0):H766)*(COUNTIF(OFFSET(H766,-WEEKDAY(F766,2)+1,0):H766,"&gt;0")+SUM(OFFSET(A766,-WEEKDAY(F766,2),0):A766)),IF(AND('депозитный калькулятор'!$G$10="ежемесячное (в конце месяца)",F766='депозитный калькулятор'!$D$8,EOMONTH(F766,0)&lt;&gt;F766),IF('депозитный калькулятор'!$F$1=1,$H$24,SUM($H$23:H766)-SUM($I$23:I765)),IF(AND('депозитный калькулятор'!$G$10="ежемесячное (в конце месяца)",EOMONTH(F766,0)=F766),SUM($H$23:H766)-SUM($I$23:I765),IF(AND('депозитный калькулятор'!$G$10="ежемесячное (по дням открытия вклада)",F766='депозитный калькулятор'!$D$8,DAY('депозитный калькулятор'!$D$7)&lt;&gt;DAY(F766)),IF('депозитный калькулятор'!$F$1=1,$H$24,SUM($H$23:H766)-SUM($I$23:I765)),IF(AND('депозитный калькулятор'!$G$10="ежемесячное (по дням открытия вклада)",DAY('депозитный калькулятор'!$D$7)=DAY(F766)),SUM($H$23:H766)-SUM($I$23:I765),IF(AND('депозитный калькулятор'!$G$10="ежемесячное, на минимальную сумму зафиксированную в течение месяца",F766='депозитный калькулятор'!$D$8,EOMONTH(F766,0)&lt;&gt;F766),IF('депозитный калькулятор'!$F$1=1,$H$24,IF(AND(OR('депозитный калькулятор'!$G$7="30/365",'депозитный калькулятор'!$G$7="30/360"),DAY(F766)=31),0,MIN(OFFSET(H766,-E766+1,0):H766)*(E766+SUMIF(OFFSET(A766,-E766+1,0):A766,"=2",OFFSET(A766,-E766+1,0):A766)))),IF(AND('депозитный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калькулятор'!$G$7="30/360"),DAY(EOMONTH(F766,0))=31),EOMONTH(F766,0)-1=F766,EOMONTH(F766,0)=F766)),IF(IF(AND(OR('депозитный калькулятор'!$G$7="30/365",'депозитный калькулятор'!$G$7="30/360"),DAY(EOMONTH($F$23,0))=31),F766=EOMONTH($F$23,0)-1,F766=EOMONTH($F$23,0)),MIN(OFFSET(H766,-(DAY(F766)-DAY($F$23)),0):H766)*E766,MIN(OFFSET(H766,-(DAY(F766)-1),0):H766)*IF(AND(OR('депозитный калькулятор'!$G$7="30/365",'депозитный калькулятор'!$G$7="30/360"),DAY(F766)&lt;30),30,DAY(F766))),IF(AND('депозитный калькулятор'!$G$10="ежемесячное, на средний остаток в течение месяца, при условии что остаток больше чем ограничение",F766='депозитный калькулятор'!$D$8,EOMONTH(F766,0)&lt;&gt;F766),IF('депозитный калькулятор'!$F$1=1,$H$24,SUM(OFFSET(Q766,-E766+1,0):Q766)),IF(AND('депозитный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калькулятор'!$G$7="30/360"),DAY(EOMONTH(F766,0))=31),EOMONTH(F766,0)-1=F766,EOMONTH(F766,0)=F766)),IF(IF(AND(OR('депозитный калькулятор'!$G$7="30/365",'депозитный калькулятор'!$G$7="30/360"),DAY(EOMONTH($F$24,0))=31),F766=EOMONTH($F$24,0)-1,F766=EOMONTH($F$24,0)),SUM(OFFSET(Q766,-E766+1,0):Q766),SUM(OFFSET(Q766,-E766+1,0):Q766)),IF('депозитный калькулятор'!$G$10="ежеквартальное",IF(F766&gt;'депозитный калькулятор'!$D$8," ",IF(AND(EOMONTH(F766,0)=F766,OR(MONTH(F766)=3,MONTH(F766)=6,MONTH(F766)=9,MONTH(F766)=12)),IF(EDATE(F766,-3)&lt;'депозитный калькулятор'!$D$7,SUM($H$23:H766),IF(MOD(YEAR(F766),4)=0,IF(AND(EOMONTH(F766,0)=F766,OR(MONTH(F766)=3,MONTH(F766)=6)),SUM(OFFSET(H766,-90,0):H766),IF(AND(EOMONTH(F766,0)=F766,OR(MONTH(F766)=9,MONTH(F766)=12)),SUM(OFFSET(H766,-91,0):H766))),IF(AND(EOMONTH(F766,0)=F766,MONTH(F766)=3),SUM(OFFSET(H766,-89,0):H766),IF(AND(EOMONTH(F766,0)=F766,MONTH(F766)=6),SUM(OFFSET(H766,-90,0):H766),IF(AND(EOMONTH(F766,0)=F766,OR(MONTH(F766)=9,MONTH(F766)=12)),SUM(OFFSET(H766,-91,0):H766)))))),IF(F766='депозитный калькулятор'!$D$8,SUM($H$23:H766)-SUM($I$23:I765),0))),IF('депозитный калькулятор'!$G$10="ежегодное",IF(F766&gt;'депозитный калькулятор'!$D$8," ",IF(F766='депозитный калькулятор'!$D$8,SUM($H$23:H766)-SUM($I$23:I765),IF(AND(EOMONTH(F766,0)=F766,MONTH(F766)=12),IF(MOD(YEAR(F765),4)=0,IF(F766-'депозитный калькулятор'!$D$7&lt;366,SUM($H$23:H766),SUM(OFFSET(H766,-365,0):H766)),IF(F766-'депозитный калькулятор'!$D$7&lt;365,SUM($H$23:H766),SUM(OFFSET(H766,-364,0):H766))),0))),IF(AND('депозитный калькулятор'!$G$10="в конце срока",'депозитный калькулятор'!$D$8=F766),SUM($H$23:H766),0))))))))))))))))))</f>
        <v xml:space="preserve"> </v>
      </c>
      <c r="J766" s="59" t="str">
        <f>IF(F766&gt;'депозитный калькулятор'!$D$8," ",IF('депозитный калькулятор'!$G$16="нет",0,IF(AND('депозитный калькулятор'!$G$17="разовая (в конце срока)",F766='депозитный калькулятор'!$D$8),'депозитный калькулятор'!$G$18,IF(AND('депозитный калькулятор'!$G$17="ежемесячная",EOMONTH(F765,0)=F765),'депозитный калькулятор'!$G$18,IF(AND('депозитный калькулятор'!$G$17="ежегодная",DAY(F765)=31,MONTH(F765)=12),'депозитный калькулятор'!$G$18,IF(AND('депозитный калькулятор'!$G$17="ежемесячная в зависимости от остатка",EOMONTH(F765,0)=F765,P765&gt;0),'депозитный калькулятор'!$G$18,IF(AND('депозитный калькулятор'!$G$17="ежегодная в зависимости от остатка",DAY(F765)=31,MONTH(F765)=12,P765&gt;0),'депозитный калькулятор'!$G$18,0)))))))</f>
        <v xml:space="preserve"> </v>
      </c>
      <c r="K766" s="135" t="str">
        <f>IF($F766=" "," ",IFERROR(VLOOKUP($F766,'депозитный калькулятор'!$B$26:$F$70,2,0),0))</f>
        <v xml:space="preserve"> </v>
      </c>
      <c r="L766" s="135" t="str">
        <f>IF($F766=" "," ",IFERROR(VLOOKUP($F766,'депозитный калькулятор'!$B$26:$F$70,3,0),0))</f>
        <v xml:space="preserve"> </v>
      </c>
      <c r="M766" s="135" t="str">
        <f>IF($F766=" "," ",IFERROR(VLOOKUP($F766,'депозитный калькулятор'!$B$26:$F$70,4,0),0))</f>
        <v xml:space="preserve"> </v>
      </c>
      <c r="N766" s="135" t="str">
        <f>IF($F766=" "," ",IFERROR(VLOOKUP($F766,'депозитный калькулятор'!$B$26:$F$70,5,0),0))</f>
        <v xml:space="preserve"> </v>
      </c>
      <c r="O766" s="146" t="str">
        <f>IF(F766&gt;'депозитный калькулятор'!$D$8," ",IF(F766='депозитный калькулятор'!$D$8,IF(AND($F$24='депозитный калькулятор'!$D$8,'депозитный калькулятор'!$G$13="нет"),-G766-IF(I766=" ",0,I766)-IF(AND(OR('депозитный калькулятор'!$G$7="30/365",'депозитный калькулятор'!$G$7="30/360"),'депозитный калькулятор'!$G$10="в начале срока"),I765,0)-L766+M766-N766,-G766-IF(I766=" ",0,I766)-L766+M766-N766),IF('депозитный калькулятор'!$G$13="есть",M766-N766+IF('депозитный калькулятор'!$G$14="есть",0,-L766),-IF(I766=" ",0,I766)-IF(AND(OR('депозитный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срока"),I765,0)+M766-N766+IF('депозитный калькулятор'!$G$14="есть",0,-L766))))</f>
        <v xml:space="preserve"> </v>
      </c>
      <c r="P766" s="147" t="str">
        <f>IF(F766&gt;'депозитный калькулятор'!$D$8," ",IF(EOMONTH(F765,0)=F765,0,IF(G766&gt;='депозитный калькулятор'!$G$19,P765,P765+1)))</f>
        <v xml:space="preserve"> </v>
      </c>
      <c r="Q766" s="138" t="str">
        <f>IF(F766=" "," ",IF(AND(OR('депозитный калькулятор'!$G$7="30/365",'депозитный калькулятор'!$G$7="30/360"),AND(MONTH(F766)=2,EOMONTH(F766,0)=F766)),IF(DAY(F766)=28,3,2),1)*IF(G766&gt;='депозитный калькулятор'!$G$11,IF(AND('депозитный калькулятор'!$G$7="факт/факт",MOD(YEAR(F766),4)=0),G766*'депозитный калькулятор'!$D$11/366,G766*'депозитный калькулятор'!$G$8),0))</f>
        <v xml:space="preserve"> </v>
      </c>
      <c r="R766" s="158"/>
      <c r="S766" s="62" t="str">
        <f t="shared" ca="1" si="57"/>
        <v xml:space="preserve"> </v>
      </c>
      <c r="T766" s="149" t="str">
        <f ca="1">IF(S766=" "," ",IF('депозитный калькулятор'!$G$7="30/360",DAYS360(U765,IF(DAY(U766)=31,U766-1,U766))+IF(AND(MONTH(U766)=2,U766=EOMONTH(U766,0)),30-DAY(EOMONTH(U766,0)))+T765,VLOOKUP(S766,$C$22:$F$1023,2,0)))</f>
        <v xml:space="preserve"> </v>
      </c>
      <c r="U766" s="64" t="str">
        <f t="shared" ca="1" si="55"/>
        <v xml:space="preserve"> </v>
      </c>
      <c r="V766" s="150" t="str">
        <f t="shared" ca="1" si="58"/>
        <v xml:space="preserve"> </v>
      </c>
      <c r="W766" s="62" t="str">
        <f t="shared" ca="1" si="59"/>
        <v xml:space="preserve"> </v>
      </c>
      <c r="X766" s="141" t="str">
        <f ca="1">IF(S766=" "," ",IFERROR(VLOOKUP(U766,$F$23:$N$1023,7)+VLOOKUP(U766,$F$23:$N$1023,9)+IF(AND('депозитный калькулятор'!$G$13="нет",U766&lt;&gt;'депозитный калькулятор'!$D$8),VLOOKUP(U766,$F$23:$N$1023,4),0),0)+IF(U766='депозитный калькулятор'!$D$8,VLOOKUP(U766,$F$23:$N$1023,2)+VLOOKUP(U766,$F$23:$N$1023,4),0))</f>
        <v xml:space="preserve"> </v>
      </c>
      <c r="Y766" s="142" t="str">
        <f ca="1">IF(S766=" "," ",W766/(1+'депозитный калькулятор'!$K$8)^(T766/IF('депозитный калькулятор'!$G$7="30/360",360,365)))</f>
        <v xml:space="preserve"> </v>
      </c>
      <c r="Z766" s="142" t="str">
        <f ca="1">IF(S766=" "," ",X766/(1+'депозитный калькулятор'!$K$8)^(T766/IF('депозитный калькулятор'!$G$7="30/360",360,365)))</f>
        <v xml:space="preserve"> </v>
      </c>
      <c r="AA766" s="151"/>
      <c r="AB766" s="151"/>
      <c r="AC766" s="155"/>
      <c r="AD766" s="155"/>
    </row>
    <row r="767" spans="1:30" s="2" customFormat="1" ht="15.5" x14ac:dyDescent="0.35">
      <c r="A767" s="41" t="str">
        <f>IF(F767=" "," ",IF(OR('депозитный калькулятор'!$G$7="30/365",'депозитный калькулятор'!$G$7="30/360"),IF(AND(MONTH(F767)=2,DAY(F767)=DAY(EOMONTH(F767,0))),30-DAY(EOMONTH(F767,0)),IF(DAY(F767)=31,1," "))," "))</f>
        <v xml:space="preserve"> </v>
      </c>
      <c r="B767" s="130" t="str">
        <f t="shared" si="56"/>
        <v xml:space="preserve"> </v>
      </c>
      <c r="C767" s="130" t="str">
        <f>IF(OR(B767=0,B767=" ")," ",SUM($B$23:B767))</f>
        <v xml:space="preserve"> </v>
      </c>
      <c r="D767" s="62" t="str">
        <f>IF(D766=" "," ",IF(OR(F766='депозитный калькулятор'!$D$8,F766=" ")," ",D766+1))</f>
        <v xml:space="preserve"> </v>
      </c>
      <c r="E767" s="130" t="str">
        <f>IF(OR(F766='депозитный калькулятор'!$D$8,F766=" ")," ",IF(EOMONTH(F766,0)=F766,1,E766+1))</f>
        <v xml:space="preserve"> </v>
      </c>
      <c r="F767" s="64" t="str">
        <f>IF(F766=" "," ",IF(F766='депозитный калькулятор'!$D$8," ",F766+1))</f>
        <v xml:space="preserve"> </v>
      </c>
      <c r="G767" s="145" t="str">
        <f xml:space="preserve"> IF(F767&gt;'депозитный калькулятор'!$D$8," ",IF('депозитный калькулятор'!$G$13="есть",IF('депозитный калькулятор'!$G$14="есть",G766+IF(I766=" ",0,I766)-J767-K767+L767+M767-N767,G766+IF(I766=" ",0,I766)-J767-K767+M767-N767),IF('депозитный калькулятор'!$G$14="есть",G766-J767-K767+L767+M767-N767,G766-J767-K767+M767-N767)))</f>
        <v xml:space="preserve"> </v>
      </c>
      <c r="H767" s="133" t="str">
        <f>IF(F767&gt;'депозитный калькулятор'!$D$8," ",IF(AND(OR('депозитный калькулятор'!$G$7="30/365",'депозитный калькулятор'!$G$7="30/360"),AND(MONTH(F767)=2,EOMONTH(F767,0)=F767)),IF(DAY(F767)=28,3*G767*'депозитный калькулятор'!$G$8,2*G767*'депозитный калькулятор'!$G$8),IF(AND(OR('депозитный калькулятор'!$G$7="30/365",'депозитный калькулятор'!$G$7="30/360"),DAY(F767)=31)," ",IF(AND('депозитный калькулятор'!$G$7="факт/факт",MOD(YEAR(F767),4)=0),G767*'депозитный калькулятор'!$D$11/366,G767*'депозитный калькулятор'!$G$8))))</f>
        <v xml:space="preserve"> </v>
      </c>
      <c r="I767" s="134" t="str">
        <f ca="1">IF(F767=" "," ",IF('депозитный калькулятор'!$G$10="ежедневное",H767,IF(AND('депозитный калькулятор'!$G$10="еженедельное",WEEKDAY(F767,2)=7),SUM(OFFSET(H767,-6,0):H767),IF(AND('депозитный калькулятор'!$G$10="еженедельное",F767='депозитный калькулятор'!$D$8),SUM($H$23:H767)-SUM($I$23:I766),IF(AND('депозитный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недели",WEEKDAY(F767,2)=7),MIN(OFFSET(H767,-6,0):H767)*(COUNTIF(OFFSET(H767,-6,0):H767,"&gt;0")+SUMIF(OFFSET(A767,-WEEKDAY(F767,2),0):A767,"=2",OFFSET(A767,-WEEKDAY(F767,2),0):A767)),IF(AND('депозитный калькулятор'!$G$10="еженедельное, на минимальную сумму зафиксированную в течение недели",F767='депозитный калькулятор'!$D$8,WEEKDAY(F767,2)&lt;&gt;7),MIN(OFFSET(H767,-WEEKDAY(F767,2),0):H767)*(COUNTIF(OFFSET(H767,-WEEKDAY(F767,2)+1,0):H767,"&gt;0")+SUM(OFFSET(A767,-WEEKDAY(F767,2),0):A767)),IF(AND('депозитный калькулятор'!$G$10="ежемесячное (в конце месяца)",F767='депозитный калькулятор'!$D$8,EOMONTH(F767,0)&lt;&gt;F767),IF('депозитный калькулятор'!$F$1=1,$H$24,SUM($H$23:H767)-SUM($I$23:I766)),IF(AND('депозитный калькулятор'!$G$10="ежемесячное (в конце месяца)",EOMONTH(F767,0)=F767),SUM($H$23:H767)-SUM($I$23:I766),IF(AND('депозитный калькулятор'!$G$10="ежемесячное (по дням открытия вклада)",F767='депозитный калькулятор'!$D$8,DAY('депозитный калькулятор'!$D$7)&lt;&gt;DAY(F767)),IF('депозитный калькулятор'!$F$1=1,$H$24,SUM($H$23:H767)-SUM($I$23:I766)),IF(AND('депозитный калькулятор'!$G$10="ежемесячное (по дням открытия вклада)",DAY('депозитный калькулятор'!$D$7)=DAY(F767)),SUM($H$23:H767)-SUM($I$23:I766),IF(AND('депозитный калькулятор'!$G$10="ежемесячное, на минимальную сумму зафиксированную в течение месяца",F767='депозитный калькулятор'!$D$8,EOMONTH(F767,0)&lt;&gt;F767),IF('депозитный калькулятор'!$F$1=1,$H$24,IF(AND(OR('депозитный калькулятор'!$G$7="30/365",'депозитный калькулятор'!$G$7="30/360"),DAY(F767)=31),0,MIN(OFFSET(H767,-E767+1,0):H767)*(E767+SUMIF(OFFSET(A767,-E767+1,0):A767,"=2",OFFSET(A767,-E767+1,0):A767)))),IF(AND('депозитный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калькулятор'!$G$7="30/360"),DAY(EOMONTH(F767,0))=31),EOMONTH(F767,0)-1=F767,EOMONTH(F767,0)=F767)),IF(IF(AND(OR('депозитный калькулятор'!$G$7="30/365",'депозитный калькулятор'!$G$7="30/360"),DAY(EOMONTH($F$23,0))=31),F767=EOMONTH($F$23,0)-1,F767=EOMONTH($F$23,0)),MIN(OFFSET(H767,-(DAY(F767)-DAY($F$23)),0):H767)*E767,MIN(OFFSET(H767,-(DAY(F767)-1),0):H767)*IF(AND(OR('депозитный калькулятор'!$G$7="30/365",'депозитный калькулятор'!$G$7="30/360"),DAY(F767)&lt;30),30,DAY(F767))),IF(AND('депозитный калькулятор'!$G$10="ежемесячное, на средний остаток в течение месяца, при условии что остаток больше чем ограничение",F767='депозитный калькулятор'!$D$8,EOMONTH(F767,0)&lt;&gt;F767),IF('депозитный калькулятор'!$F$1=1,$H$24,SUM(OFFSET(Q767,-E767+1,0):Q767)),IF(AND('депозитный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калькулятор'!$G$7="30/360"),DAY(EOMONTH(F767,0))=31),EOMONTH(F767,0)-1=F767,EOMONTH(F767,0)=F767)),IF(IF(AND(OR('депозитный калькулятор'!$G$7="30/365",'депозитный калькулятор'!$G$7="30/360"),DAY(EOMONTH($F$24,0))=31),F767=EOMONTH($F$24,0)-1,F767=EOMONTH($F$24,0)),SUM(OFFSET(Q767,-E767+1,0):Q767),SUM(OFFSET(Q767,-E767+1,0):Q767)),IF('депозитный калькулятор'!$G$10="ежеквартальное",IF(F767&gt;'депозитный калькулятор'!$D$8," ",IF(AND(EOMONTH(F767,0)=F767,OR(MONTH(F767)=3,MONTH(F767)=6,MONTH(F767)=9,MONTH(F767)=12)),IF(EDATE(F767,-3)&lt;'депозитный калькулятор'!$D$7,SUM($H$23:H767),IF(MOD(YEAR(F767),4)=0,IF(AND(EOMONTH(F767,0)=F767,OR(MONTH(F767)=3,MONTH(F767)=6)),SUM(OFFSET(H767,-90,0):H767),IF(AND(EOMONTH(F767,0)=F767,OR(MONTH(F767)=9,MONTH(F767)=12)),SUM(OFFSET(H767,-91,0):H767))),IF(AND(EOMONTH(F767,0)=F767,MONTH(F767)=3),SUM(OFFSET(H767,-89,0):H767),IF(AND(EOMONTH(F767,0)=F767,MONTH(F767)=6),SUM(OFFSET(H767,-90,0):H767),IF(AND(EOMONTH(F767,0)=F767,OR(MONTH(F767)=9,MONTH(F767)=12)),SUM(OFFSET(H767,-91,0):H767)))))),IF(F767='депозитный калькулятор'!$D$8,SUM($H$23:H767)-SUM($I$23:I766),0))),IF('депозитный калькулятор'!$G$10="ежегодное",IF(F767&gt;'депозитный калькулятор'!$D$8," ",IF(F767='депозитный калькулятор'!$D$8,SUM($H$23:H767)-SUM($I$23:I766),IF(AND(EOMONTH(F767,0)=F767,MONTH(F767)=12),IF(MOD(YEAR(F766),4)=0,IF(F767-'депозитный калькулятор'!$D$7&lt;366,SUM($H$23:H767),SUM(OFFSET(H767,-365,0):H767)),IF(F767-'депозитный калькулятор'!$D$7&lt;365,SUM($H$23:H767),SUM(OFFSET(H767,-364,0):H767))),0))),IF(AND('депозитный калькулятор'!$G$10="в конце срока",'депозитный калькулятор'!$D$8=F767),SUM($H$23:H767),0))))))))))))))))))</f>
        <v xml:space="preserve"> </v>
      </c>
      <c r="J767" s="59" t="str">
        <f>IF(F767&gt;'депозитный калькулятор'!$D$8," ",IF('депозитный калькулятор'!$G$16="нет",0,IF(AND('депозитный калькулятор'!$G$17="разовая (в конце срока)",F767='депозитный калькулятор'!$D$8),'депозитный калькулятор'!$G$18,IF(AND('депозитный калькулятор'!$G$17="ежемесячная",EOMONTH(F766,0)=F766),'депозитный калькулятор'!$G$18,IF(AND('депозитный калькулятор'!$G$17="ежегодная",DAY(F766)=31,MONTH(F766)=12),'депозитный калькулятор'!$G$18,IF(AND('депозитный калькулятор'!$G$17="ежемесячная в зависимости от остатка",EOMONTH(F766,0)=F766,P766&gt;0),'депозитный калькулятор'!$G$18,IF(AND('депозитный калькулятор'!$G$17="ежегодная в зависимости от остатка",DAY(F766)=31,MONTH(F766)=12,P766&gt;0),'депозитный калькулятор'!$G$18,0)))))))</f>
        <v xml:space="preserve"> </v>
      </c>
      <c r="K767" s="135" t="str">
        <f>IF($F767=" "," ",IFERROR(VLOOKUP($F767,'депозитный калькулятор'!$B$26:$F$70,2,0),0))</f>
        <v xml:space="preserve"> </v>
      </c>
      <c r="L767" s="135" t="str">
        <f>IF($F767=" "," ",IFERROR(VLOOKUP($F767,'депозитный калькулятор'!$B$26:$F$70,3,0),0))</f>
        <v xml:space="preserve"> </v>
      </c>
      <c r="M767" s="135" t="str">
        <f>IF($F767=" "," ",IFERROR(VLOOKUP($F767,'депозитный калькулятор'!$B$26:$F$70,4,0),0))</f>
        <v xml:space="preserve"> </v>
      </c>
      <c r="N767" s="135" t="str">
        <f>IF($F767=" "," ",IFERROR(VLOOKUP($F767,'депозитный калькулятор'!$B$26:$F$70,5,0),0))</f>
        <v xml:space="preserve"> </v>
      </c>
      <c r="O767" s="146" t="str">
        <f>IF(F767&gt;'депозитный калькулятор'!$D$8," ",IF(F767='депозитный калькулятор'!$D$8,IF(AND($F$24='депозитный калькулятор'!$D$8,'депозитный калькулятор'!$G$13="нет"),-G767-IF(I767=" ",0,I767)-IF(AND(OR('депозитный калькулятор'!$G$7="30/365",'депозитный калькулятор'!$G$7="30/360"),'депозитный калькулятор'!$G$10="в начале срока"),I766,0)-L767+M767-N767,-G767-IF(I767=" ",0,I767)-L767+M767-N767),IF('депозитный калькулятор'!$G$13="есть",M767-N767+IF('депозитный калькулятор'!$G$14="есть",0,-L767),-IF(I767=" ",0,I767)-IF(AND(OR('депозитный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срока"),I766,0)+M767-N767+IF('депозитный калькулятор'!$G$14="есть",0,-L767))))</f>
        <v xml:space="preserve"> </v>
      </c>
      <c r="P767" s="147" t="str">
        <f>IF(F767&gt;'депозитный калькулятор'!$D$8," ",IF(EOMONTH(F766,0)=F766,0,IF(G767&gt;='депозитный калькулятор'!$G$19,P766,P766+1)))</f>
        <v xml:space="preserve"> </v>
      </c>
      <c r="Q767" s="138" t="str">
        <f>IF(F767=" "," ",IF(AND(OR('депозитный калькулятор'!$G$7="30/365",'депозитный калькулятор'!$G$7="30/360"),AND(MONTH(F767)=2,EOMONTH(F767,0)=F767)),IF(DAY(F767)=28,3,2),1)*IF(G767&gt;='депозитный калькулятор'!$G$11,IF(AND('депозитный калькулятор'!$G$7="факт/факт",MOD(YEAR(F767),4)=0),G767*'депозитный калькулятор'!$D$11/366,G767*'депозитный калькулятор'!$G$8),0))</f>
        <v xml:space="preserve"> </v>
      </c>
      <c r="R767" s="158"/>
      <c r="S767" s="62" t="str">
        <f t="shared" ca="1" si="57"/>
        <v xml:space="preserve"> </v>
      </c>
      <c r="T767" s="149" t="str">
        <f ca="1">IF(S767=" "," ",IF('депозитный калькулятор'!$G$7="30/360",DAYS360(U766,IF(DAY(U767)=31,U767-1,U767))+IF(AND(MONTH(U767)=2,U767=EOMONTH(U767,0)),30-DAY(EOMONTH(U767,0)))+T766,VLOOKUP(S767,$C$22:$F$1023,2,0)))</f>
        <v xml:space="preserve"> </v>
      </c>
      <c r="U767" s="64" t="str">
        <f t="shared" ca="1" si="55"/>
        <v xml:space="preserve"> </v>
      </c>
      <c r="V767" s="150" t="str">
        <f t="shared" ca="1" si="58"/>
        <v xml:space="preserve"> </v>
      </c>
      <c r="W767" s="62" t="str">
        <f t="shared" ca="1" si="59"/>
        <v xml:space="preserve"> </v>
      </c>
      <c r="X767" s="141" t="str">
        <f ca="1">IF(S767=" "," ",IFERROR(VLOOKUP(U767,$F$23:$N$1023,7)+VLOOKUP(U767,$F$23:$N$1023,9)+IF(AND('депозитный калькулятор'!$G$13="нет",U767&lt;&gt;'депозитный калькулятор'!$D$8),VLOOKUP(U767,$F$23:$N$1023,4),0),0)+IF(U767='депозитный калькулятор'!$D$8,VLOOKUP(U767,$F$23:$N$1023,2)+VLOOKUP(U767,$F$23:$N$1023,4),0))</f>
        <v xml:space="preserve"> </v>
      </c>
      <c r="Y767" s="142" t="str">
        <f ca="1">IF(S767=" "," ",W767/(1+'депозитный калькулятор'!$K$8)^(T767/IF('депозитный калькулятор'!$G$7="30/360",360,365)))</f>
        <v xml:space="preserve"> </v>
      </c>
      <c r="Z767" s="142" t="str">
        <f ca="1">IF(S767=" "," ",X767/(1+'депозитный калькулятор'!$K$8)^(T767/IF('депозитный калькулятор'!$G$7="30/360",360,365)))</f>
        <v xml:space="preserve"> </v>
      </c>
      <c r="AA767" s="151"/>
      <c r="AB767" s="151"/>
      <c r="AC767" s="155"/>
      <c r="AD767" s="155"/>
    </row>
    <row r="768" spans="1:30" s="2" customFormat="1" ht="15.5" x14ac:dyDescent="0.35">
      <c r="A768" s="41" t="str">
        <f>IF(F768=" "," ",IF(OR('депозитный калькулятор'!$G$7="30/365",'депозитный калькулятор'!$G$7="30/360"),IF(AND(MONTH(F768)=2,DAY(F768)=DAY(EOMONTH(F768,0))),30-DAY(EOMONTH(F768,0)),IF(DAY(F768)=31,1," "))," "))</f>
        <v xml:space="preserve"> </v>
      </c>
      <c r="B768" s="130" t="str">
        <f t="shared" si="56"/>
        <v xml:space="preserve"> </v>
      </c>
      <c r="C768" s="130" t="str">
        <f>IF(OR(B768=0,B768=" ")," ",SUM($B$23:B768))</f>
        <v xml:space="preserve"> </v>
      </c>
      <c r="D768" s="62" t="str">
        <f>IF(D767=" "," ",IF(OR(F767='депозитный калькулятор'!$D$8,F767=" ")," ",D767+1))</f>
        <v xml:space="preserve"> </v>
      </c>
      <c r="E768" s="130" t="str">
        <f>IF(OR(F767='депозитный калькулятор'!$D$8,F767=" ")," ",IF(EOMONTH(F767,0)=F767,1,E767+1))</f>
        <v xml:space="preserve"> </v>
      </c>
      <c r="F768" s="64" t="str">
        <f>IF(F767=" "," ",IF(F767='депозитный калькулятор'!$D$8," ",F767+1))</f>
        <v xml:space="preserve"> </v>
      </c>
      <c r="G768" s="145" t="str">
        <f xml:space="preserve"> IF(F768&gt;'депозитный калькулятор'!$D$8," ",IF('депозитный калькулятор'!$G$13="есть",IF('депозитный калькулятор'!$G$14="есть",G767+IF(I767=" ",0,I767)-J768-K768+L768+M768-N768,G767+IF(I767=" ",0,I767)-J768-K768+M768-N768),IF('депозитный калькулятор'!$G$14="есть",G767-J768-K768+L768+M768-N768,G767-J768-K768+M768-N768)))</f>
        <v xml:space="preserve"> </v>
      </c>
      <c r="H768" s="133" t="str">
        <f>IF(F768&gt;'депозитный калькулятор'!$D$8," ",IF(AND(OR('депозитный калькулятор'!$G$7="30/365",'депозитный калькулятор'!$G$7="30/360"),AND(MONTH(F768)=2,EOMONTH(F768,0)=F768)),IF(DAY(F768)=28,3*G768*'депозитный калькулятор'!$G$8,2*G768*'депозитный калькулятор'!$G$8),IF(AND(OR('депозитный калькулятор'!$G$7="30/365",'депозитный калькулятор'!$G$7="30/360"),DAY(F768)=31)," ",IF(AND('депозитный калькулятор'!$G$7="факт/факт",MOD(YEAR(F768),4)=0),G768*'депозитный калькулятор'!$D$11/366,G768*'депозитный калькулятор'!$G$8))))</f>
        <v xml:space="preserve"> </v>
      </c>
      <c r="I768" s="134" t="str">
        <f ca="1">IF(F768=" "," ",IF('депозитный калькулятор'!$G$10="ежедневное",H768,IF(AND('депозитный калькулятор'!$G$10="еженедельное",WEEKDAY(F768,2)=7),SUM(OFFSET(H768,-6,0):H768),IF(AND('депозитный калькулятор'!$G$10="еженедельное",F768='депозитный калькулятор'!$D$8),SUM($H$23:H768)-SUM($I$23:I767),IF(AND('депозитный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недели",WEEKDAY(F768,2)=7),MIN(OFFSET(H768,-6,0):H768)*(COUNTIF(OFFSET(H768,-6,0):H768,"&gt;0")+SUMIF(OFFSET(A768,-WEEKDAY(F768,2),0):A768,"=2",OFFSET(A768,-WEEKDAY(F768,2),0):A768)),IF(AND('депозитный калькулятор'!$G$10="еженедельное, на минимальную сумму зафиксированную в течение недели",F768='депозитный калькулятор'!$D$8,WEEKDAY(F768,2)&lt;&gt;7),MIN(OFFSET(H768,-WEEKDAY(F768,2),0):H768)*(COUNTIF(OFFSET(H768,-WEEKDAY(F768,2)+1,0):H768,"&gt;0")+SUM(OFFSET(A768,-WEEKDAY(F768,2),0):A768)),IF(AND('депозитный калькулятор'!$G$10="ежемесячное (в конце месяца)",F768='депозитный калькулятор'!$D$8,EOMONTH(F768,0)&lt;&gt;F768),IF('депозитный калькулятор'!$F$1=1,$H$24,SUM($H$23:H768)-SUM($I$23:I767)),IF(AND('депозитный калькулятор'!$G$10="ежемесячное (в конце месяца)",EOMONTH(F768,0)=F768),SUM($H$23:H768)-SUM($I$23:I767),IF(AND('депозитный калькулятор'!$G$10="ежемесячное (по дням открытия вклада)",F768='депозитный калькулятор'!$D$8,DAY('депозитный калькулятор'!$D$7)&lt;&gt;DAY(F768)),IF('депозитный калькулятор'!$F$1=1,$H$24,SUM($H$23:H768)-SUM($I$23:I767)),IF(AND('депозитный калькулятор'!$G$10="ежемесячное (по дням открытия вклада)",DAY('депозитный калькулятор'!$D$7)=DAY(F768)),SUM($H$23:H768)-SUM($I$23:I767),IF(AND('депозитный калькулятор'!$G$10="ежемесячное, на минимальную сумму зафиксированную в течение месяца",F768='депозитный калькулятор'!$D$8,EOMONTH(F768,0)&lt;&gt;F768),IF('депозитный калькулятор'!$F$1=1,$H$24,IF(AND(OR('депозитный калькулятор'!$G$7="30/365",'депозитный калькулятор'!$G$7="30/360"),DAY(F768)=31),0,MIN(OFFSET(H768,-E768+1,0):H768)*(E768+SUMIF(OFFSET(A768,-E768+1,0):A768,"=2",OFFSET(A768,-E768+1,0):A768)))),IF(AND('депозитный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калькулятор'!$G$7="30/360"),DAY(EOMONTH(F768,0))=31),EOMONTH(F768,0)-1=F768,EOMONTH(F768,0)=F768)),IF(IF(AND(OR('депозитный калькулятор'!$G$7="30/365",'депозитный калькулятор'!$G$7="30/360"),DAY(EOMONTH($F$23,0))=31),F768=EOMONTH($F$23,0)-1,F768=EOMONTH($F$23,0)),MIN(OFFSET(H768,-(DAY(F768)-DAY($F$23)),0):H768)*E768,MIN(OFFSET(H768,-(DAY(F768)-1),0):H768)*IF(AND(OR('депозитный калькулятор'!$G$7="30/365",'депозитный калькулятор'!$G$7="30/360"),DAY(F768)&lt;30),30,DAY(F768))),IF(AND('депозитный калькулятор'!$G$10="ежемесячное, на средний остаток в течение месяца, при условии что остаток больше чем ограничение",F768='депозитный калькулятор'!$D$8,EOMONTH(F768,0)&lt;&gt;F768),IF('депозитный калькулятор'!$F$1=1,$H$24,SUM(OFFSET(Q768,-E768+1,0):Q768)),IF(AND('депозитный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калькулятор'!$G$7="30/360"),DAY(EOMONTH(F768,0))=31),EOMONTH(F768,0)-1=F768,EOMONTH(F768,0)=F768)),IF(IF(AND(OR('депозитный калькулятор'!$G$7="30/365",'депозитный калькулятор'!$G$7="30/360"),DAY(EOMONTH($F$24,0))=31),F768=EOMONTH($F$24,0)-1,F768=EOMONTH($F$24,0)),SUM(OFFSET(Q768,-E768+1,0):Q768),SUM(OFFSET(Q768,-E768+1,0):Q768)),IF('депозитный калькулятор'!$G$10="ежеквартальное",IF(F768&gt;'депозитный калькулятор'!$D$8," ",IF(AND(EOMONTH(F768,0)=F768,OR(MONTH(F768)=3,MONTH(F768)=6,MONTH(F768)=9,MONTH(F768)=12)),IF(EDATE(F768,-3)&lt;'депозитный калькулятор'!$D$7,SUM($H$23:H768),IF(MOD(YEAR(F768),4)=0,IF(AND(EOMONTH(F768,0)=F768,OR(MONTH(F768)=3,MONTH(F768)=6)),SUM(OFFSET(H768,-90,0):H768),IF(AND(EOMONTH(F768,0)=F768,OR(MONTH(F768)=9,MONTH(F768)=12)),SUM(OFFSET(H768,-91,0):H768))),IF(AND(EOMONTH(F768,0)=F768,MONTH(F768)=3),SUM(OFFSET(H768,-89,0):H768),IF(AND(EOMONTH(F768,0)=F768,MONTH(F768)=6),SUM(OFFSET(H768,-90,0):H768),IF(AND(EOMONTH(F768,0)=F768,OR(MONTH(F768)=9,MONTH(F768)=12)),SUM(OFFSET(H768,-91,0):H768)))))),IF(F768='депозитный калькулятор'!$D$8,SUM($H$23:H768)-SUM($I$23:I767),0))),IF('депозитный калькулятор'!$G$10="ежегодное",IF(F768&gt;'депозитный калькулятор'!$D$8," ",IF(F768='депозитный калькулятор'!$D$8,SUM($H$23:H768)-SUM($I$23:I767),IF(AND(EOMONTH(F768,0)=F768,MONTH(F768)=12),IF(MOD(YEAR(F767),4)=0,IF(F768-'депозитный калькулятор'!$D$7&lt;366,SUM($H$23:H768),SUM(OFFSET(H768,-365,0):H768)),IF(F768-'депозитный калькулятор'!$D$7&lt;365,SUM($H$23:H768),SUM(OFFSET(H768,-364,0):H768))),0))),IF(AND('депозитный калькулятор'!$G$10="в конце срока",'депозитный калькулятор'!$D$8=F768),SUM($H$23:H768),0))))))))))))))))))</f>
        <v xml:space="preserve"> </v>
      </c>
      <c r="J768" s="59" t="str">
        <f>IF(F768&gt;'депозитный калькулятор'!$D$8," ",IF('депозитный калькулятор'!$G$16="нет",0,IF(AND('депозитный калькулятор'!$G$17="разовая (в конце срока)",F768='депозитный калькулятор'!$D$8),'депозитный калькулятор'!$G$18,IF(AND('депозитный калькулятор'!$G$17="ежемесячная",EOMONTH(F767,0)=F767),'депозитный калькулятор'!$G$18,IF(AND('депозитный калькулятор'!$G$17="ежегодная",DAY(F767)=31,MONTH(F767)=12),'депозитный калькулятор'!$G$18,IF(AND('депозитный калькулятор'!$G$17="ежемесячная в зависимости от остатка",EOMONTH(F767,0)=F767,P767&gt;0),'депозитный калькулятор'!$G$18,IF(AND('депозитный калькулятор'!$G$17="ежегодная в зависимости от остатка",DAY(F767)=31,MONTH(F767)=12,P767&gt;0),'депозитный калькулятор'!$G$18,0)))))))</f>
        <v xml:space="preserve"> </v>
      </c>
      <c r="K768" s="135" t="str">
        <f>IF($F768=" "," ",IFERROR(VLOOKUP($F768,'депозитный калькулятор'!$B$26:$F$70,2,0),0))</f>
        <v xml:space="preserve"> </v>
      </c>
      <c r="L768" s="135" t="str">
        <f>IF($F768=" "," ",IFERROR(VLOOKUP($F768,'депозитный калькулятор'!$B$26:$F$70,3,0),0))</f>
        <v xml:space="preserve"> </v>
      </c>
      <c r="M768" s="135" t="str">
        <f>IF($F768=" "," ",IFERROR(VLOOKUP($F768,'депозитный калькулятор'!$B$26:$F$70,4,0),0))</f>
        <v xml:space="preserve"> </v>
      </c>
      <c r="N768" s="135" t="str">
        <f>IF($F768=" "," ",IFERROR(VLOOKUP($F768,'депозитный калькулятор'!$B$26:$F$70,5,0),0))</f>
        <v xml:space="preserve"> </v>
      </c>
      <c r="O768" s="146" t="str">
        <f>IF(F768&gt;'депозитный калькулятор'!$D$8," ",IF(F768='депозитный калькулятор'!$D$8,IF(AND($F$24='депозитный калькулятор'!$D$8,'депозитный калькулятор'!$G$13="нет"),-G768-IF(I768=" ",0,I768)-IF(AND(OR('депозитный калькулятор'!$G$7="30/365",'депозитный калькулятор'!$G$7="30/360"),'депозитный калькулятор'!$G$10="в начале срока"),I767,0)-L768+M768-N768,-G768-IF(I768=" ",0,I768)-L768+M768-N768),IF('депозитный калькулятор'!$G$13="есть",M768-N768+IF('депозитный калькулятор'!$G$14="есть",0,-L768),-IF(I768=" ",0,I768)-IF(AND(OR('депозитный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срока"),I767,0)+M768-N768+IF('депозитный калькулятор'!$G$14="есть",0,-L768))))</f>
        <v xml:space="preserve"> </v>
      </c>
      <c r="P768" s="147" t="str">
        <f>IF(F768&gt;'депозитный калькулятор'!$D$8," ",IF(EOMONTH(F767,0)=F767,0,IF(G768&gt;='депозитный калькулятор'!$G$19,P767,P767+1)))</f>
        <v xml:space="preserve"> </v>
      </c>
      <c r="Q768" s="138" t="str">
        <f>IF(F768=" "," ",IF(AND(OR('депозитный калькулятор'!$G$7="30/365",'депозитный калькулятор'!$G$7="30/360"),AND(MONTH(F768)=2,EOMONTH(F768,0)=F768)),IF(DAY(F768)=28,3,2),1)*IF(G768&gt;='депозитный калькулятор'!$G$11,IF(AND('депозитный калькулятор'!$G$7="факт/факт",MOD(YEAR(F768),4)=0),G768*'депозитный калькулятор'!$D$11/366,G768*'депозитный калькулятор'!$G$8),0))</f>
        <v xml:space="preserve"> </v>
      </c>
      <c r="R768" s="158"/>
      <c r="S768" s="62" t="str">
        <f t="shared" ca="1" si="57"/>
        <v xml:space="preserve"> </v>
      </c>
      <c r="T768" s="149" t="str">
        <f ca="1">IF(S768=" "," ",IF('депозитный калькулятор'!$G$7="30/360",DAYS360(U767,IF(DAY(U768)=31,U768-1,U768))+IF(AND(MONTH(U768)=2,U768=EOMONTH(U768,0)),30-DAY(EOMONTH(U768,0)))+T767,VLOOKUP(S768,$C$22:$F$1023,2,0)))</f>
        <v xml:space="preserve"> </v>
      </c>
      <c r="U768" s="64" t="str">
        <f t="shared" ca="1" si="55"/>
        <v xml:space="preserve"> </v>
      </c>
      <c r="V768" s="150" t="str">
        <f t="shared" ca="1" si="58"/>
        <v xml:space="preserve"> </v>
      </c>
      <c r="W768" s="62" t="str">
        <f t="shared" ca="1" si="59"/>
        <v xml:space="preserve"> </v>
      </c>
      <c r="X768" s="141" t="str">
        <f ca="1">IF(S768=" "," ",IFERROR(VLOOKUP(U768,$F$23:$N$1023,7)+VLOOKUP(U768,$F$23:$N$1023,9)+IF(AND('депозитный калькулятор'!$G$13="нет",U768&lt;&gt;'депозитный калькулятор'!$D$8),VLOOKUP(U768,$F$23:$N$1023,4),0),0)+IF(U768='депозитный калькулятор'!$D$8,VLOOKUP(U768,$F$23:$N$1023,2)+VLOOKUP(U768,$F$23:$N$1023,4),0))</f>
        <v xml:space="preserve"> </v>
      </c>
      <c r="Y768" s="142" t="str">
        <f ca="1">IF(S768=" "," ",W768/(1+'депозитный калькулятор'!$K$8)^(T768/IF('депозитный калькулятор'!$G$7="30/360",360,365)))</f>
        <v xml:space="preserve"> </v>
      </c>
      <c r="Z768" s="142" t="str">
        <f ca="1">IF(S768=" "," ",X768/(1+'депозитный калькулятор'!$K$8)^(T768/IF('депозитный калькулятор'!$G$7="30/360",360,365)))</f>
        <v xml:space="preserve"> </v>
      </c>
      <c r="AA768" s="151"/>
      <c r="AB768" s="151"/>
      <c r="AC768" s="155"/>
      <c r="AD768" s="155"/>
    </row>
    <row r="769" spans="1:30" s="2" customFormat="1" ht="15.5" x14ac:dyDescent="0.35">
      <c r="A769" s="41" t="str">
        <f>IF(F769=" "," ",IF(OR('депозитный калькулятор'!$G$7="30/365",'депозитный калькулятор'!$G$7="30/360"),IF(AND(MONTH(F769)=2,DAY(F769)=DAY(EOMONTH(F769,0))),30-DAY(EOMONTH(F769,0)),IF(DAY(F769)=31,1," "))," "))</f>
        <v xml:space="preserve"> </v>
      </c>
      <c r="B769" s="130" t="str">
        <f t="shared" si="56"/>
        <v xml:space="preserve"> </v>
      </c>
      <c r="C769" s="130" t="str">
        <f>IF(OR(B769=0,B769=" ")," ",SUM($B$23:B769))</f>
        <v xml:space="preserve"> </v>
      </c>
      <c r="D769" s="62" t="str">
        <f>IF(D768=" "," ",IF(OR(F768='депозитный калькулятор'!$D$8,F768=" ")," ",D768+1))</f>
        <v xml:space="preserve"> </v>
      </c>
      <c r="E769" s="130" t="str">
        <f>IF(OR(F768='депозитный калькулятор'!$D$8,F768=" ")," ",IF(EOMONTH(F768,0)=F768,1,E768+1))</f>
        <v xml:space="preserve"> </v>
      </c>
      <c r="F769" s="64" t="str">
        <f>IF(F768=" "," ",IF(F768='депозитный калькулятор'!$D$8," ",F768+1))</f>
        <v xml:space="preserve"> </v>
      </c>
      <c r="G769" s="145" t="str">
        <f xml:space="preserve"> IF(F769&gt;'депозитный калькулятор'!$D$8," ",IF('депозитный калькулятор'!$G$13="есть",IF('депозитный калькулятор'!$G$14="есть",G768+IF(I768=" ",0,I768)-J769-K769+L769+M769-N769,G768+IF(I768=" ",0,I768)-J769-K769+M769-N769),IF('депозитный калькулятор'!$G$14="есть",G768-J769-K769+L769+M769-N769,G768-J769-K769+M769-N769)))</f>
        <v xml:space="preserve"> </v>
      </c>
      <c r="H769" s="133" t="str">
        <f>IF(F769&gt;'депозитный калькулятор'!$D$8," ",IF(AND(OR('депозитный калькулятор'!$G$7="30/365",'депозитный калькулятор'!$G$7="30/360"),AND(MONTH(F769)=2,EOMONTH(F769,0)=F769)),IF(DAY(F769)=28,3*G769*'депозитный калькулятор'!$G$8,2*G769*'депозитный калькулятор'!$G$8),IF(AND(OR('депозитный калькулятор'!$G$7="30/365",'депозитный калькулятор'!$G$7="30/360"),DAY(F769)=31)," ",IF(AND('депозитный калькулятор'!$G$7="факт/факт",MOD(YEAR(F769),4)=0),G769*'депозитный калькулятор'!$D$11/366,G769*'депозитный калькулятор'!$G$8))))</f>
        <v xml:space="preserve"> </v>
      </c>
      <c r="I769" s="134" t="str">
        <f ca="1">IF(F769=" "," ",IF('депозитный калькулятор'!$G$10="ежедневное",H769,IF(AND('депозитный калькулятор'!$G$10="еженедельное",WEEKDAY(F769,2)=7),SUM(OFFSET(H769,-6,0):H769),IF(AND('депозитный калькулятор'!$G$10="еженедельное",F769='депозитный калькулятор'!$D$8),SUM($H$23:H769)-SUM($I$23:I768),IF(AND('депозитный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недели",WEEKDAY(F769,2)=7),MIN(OFFSET(H769,-6,0):H769)*(COUNTIF(OFFSET(H769,-6,0):H769,"&gt;0")+SUMIF(OFFSET(A769,-WEEKDAY(F769,2),0):A769,"=2",OFFSET(A769,-WEEKDAY(F769,2),0):A769)),IF(AND('депозитный калькулятор'!$G$10="еженедельное, на минимальную сумму зафиксированную в течение недели",F769='депозитный калькулятор'!$D$8,WEEKDAY(F769,2)&lt;&gt;7),MIN(OFFSET(H769,-WEEKDAY(F769,2),0):H769)*(COUNTIF(OFFSET(H769,-WEEKDAY(F769,2)+1,0):H769,"&gt;0")+SUM(OFFSET(A769,-WEEKDAY(F769,2),0):A769)),IF(AND('депозитный калькулятор'!$G$10="ежемесячное (в конце месяца)",F769='депозитный калькулятор'!$D$8,EOMONTH(F769,0)&lt;&gt;F769),IF('депозитный калькулятор'!$F$1=1,$H$24,SUM($H$23:H769)-SUM($I$23:I768)),IF(AND('депозитный калькулятор'!$G$10="ежемесячное (в конце месяца)",EOMONTH(F769,0)=F769),SUM($H$23:H769)-SUM($I$23:I768),IF(AND('депозитный калькулятор'!$G$10="ежемесячное (по дням открытия вклада)",F769='депозитный калькулятор'!$D$8,DAY('депозитный калькулятор'!$D$7)&lt;&gt;DAY(F769)),IF('депозитный калькулятор'!$F$1=1,$H$24,SUM($H$23:H769)-SUM($I$23:I768)),IF(AND('депозитный калькулятор'!$G$10="ежемесячное (по дням открытия вклада)",DAY('депозитный калькулятор'!$D$7)=DAY(F769)),SUM($H$23:H769)-SUM($I$23:I768),IF(AND('депозитный калькулятор'!$G$10="ежемесячное, на минимальную сумму зафиксированную в течение месяца",F769='депозитный калькулятор'!$D$8,EOMONTH(F769,0)&lt;&gt;F769),IF('депозитный калькулятор'!$F$1=1,$H$24,IF(AND(OR('депозитный калькулятор'!$G$7="30/365",'депозитный калькулятор'!$G$7="30/360"),DAY(F769)=31),0,MIN(OFFSET(H769,-E769+1,0):H769)*(E769+SUMIF(OFFSET(A769,-E769+1,0):A769,"=2",OFFSET(A769,-E769+1,0):A769)))),IF(AND('депозитный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калькулятор'!$G$7="30/360"),DAY(EOMONTH(F769,0))=31),EOMONTH(F769,0)-1=F769,EOMONTH(F769,0)=F769)),IF(IF(AND(OR('депозитный калькулятор'!$G$7="30/365",'депозитный калькулятор'!$G$7="30/360"),DAY(EOMONTH($F$23,0))=31),F769=EOMONTH($F$23,0)-1,F769=EOMONTH($F$23,0)),MIN(OFFSET(H769,-(DAY(F769)-DAY($F$23)),0):H769)*E769,MIN(OFFSET(H769,-(DAY(F769)-1),0):H769)*IF(AND(OR('депозитный калькулятор'!$G$7="30/365",'депозитный калькулятор'!$G$7="30/360"),DAY(F769)&lt;30),30,DAY(F769))),IF(AND('депозитный калькулятор'!$G$10="ежемесячное, на средний остаток в течение месяца, при условии что остаток больше чем ограничение",F769='депозитный калькулятор'!$D$8,EOMONTH(F769,0)&lt;&gt;F769),IF('депозитный калькулятор'!$F$1=1,$H$24,SUM(OFFSET(Q769,-E769+1,0):Q769)),IF(AND('депозитный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калькулятор'!$G$7="30/360"),DAY(EOMONTH(F769,0))=31),EOMONTH(F769,0)-1=F769,EOMONTH(F769,0)=F769)),IF(IF(AND(OR('депозитный калькулятор'!$G$7="30/365",'депозитный калькулятор'!$G$7="30/360"),DAY(EOMONTH($F$24,0))=31),F769=EOMONTH($F$24,0)-1,F769=EOMONTH($F$24,0)),SUM(OFFSET(Q769,-E769+1,0):Q769),SUM(OFFSET(Q769,-E769+1,0):Q769)),IF('депозитный калькулятор'!$G$10="ежеквартальное",IF(F769&gt;'депозитный калькулятор'!$D$8," ",IF(AND(EOMONTH(F769,0)=F769,OR(MONTH(F769)=3,MONTH(F769)=6,MONTH(F769)=9,MONTH(F769)=12)),IF(EDATE(F769,-3)&lt;'депозитный калькулятор'!$D$7,SUM($H$23:H769),IF(MOD(YEAR(F769),4)=0,IF(AND(EOMONTH(F769,0)=F769,OR(MONTH(F769)=3,MONTH(F769)=6)),SUM(OFFSET(H769,-90,0):H769),IF(AND(EOMONTH(F769,0)=F769,OR(MONTH(F769)=9,MONTH(F769)=12)),SUM(OFFSET(H769,-91,0):H769))),IF(AND(EOMONTH(F769,0)=F769,MONTH(F769)=3),SUM(OFFSET(H769,-89,0):H769),IF(AND(EOMONTH(F769,0)=F769,MONTH(F769)=6),SUM(OFFSET(H769,-90,0):H769),IF(AND(EOMONTH(F769,0)=F769,OR(MONTH(F769)=9,MONTH(F769)=12)),SUM(OFFSET(H769,-91,0):H769)))))),IF(F769='депозитный калькулятор'!$D$8,SUM($H$23:H769)-SUM($I$23:I768),0))),IF('депозитный калькулятор'!$G$10="ежегодное",IF(F769&gt;'депозитный калькулятор'!$D$8," ",IF(F769='депозитный калькулятор'!$D$8,SUM($H$23:H769)-SUM($I$23:I768),IF(AND(EOMONTH(F769,0)=F769,MONTH(F769)=12),IF(MOD(YEAR(F768),4)=0,IF(F769-'депозитный калькулятор'!$D$7&lt;366,SUM($H$23:H769),SUM(OFFSET(H769,-365,0):H769)),IF(F769-'депозитный калькулятор'!$D$7&lt;365,SUM($H$23:H769),SUM(OFFSET(H769,-364,0):H769))),0))),IF(AND('депозитный калькулятор'!$G$10="в конце срока",'депозитный калькулятор'!$D$8=F769),SUM($H$23:H769),0))))))))))))))))))</f>
        <v xml:space="preserve"> </v>
      </c>
      <c r="J769" s="59" t="str">
        <f>IF(F769&gt;'депозитный калькулятор'!$D$8," ",IF('депозитный калькулятор'!$G$16="нет",0,IF(AND('депозитный калькулятор'!$G$17="разовая (в конце срока)",F769='депозитный калькулятор'!$D$8),'депозитный калькулятор'!$G$18,IF(AND('депозитный калькулятор'!$G$17="ежемесячная",EOMONTH(F768,0)=F768),'депозитный калькулятор'!$G$18,IF(AND('депозитный калькулятор'!$G$17="ежегодная",DAY(F768)=31,MONTH(F768)=12),'депозитный калькулятор'!$G$18,IF(AND('депозитный калькулятор'!$G$17="ежемесячная в зависимости от остатка",EOMONTH(F768,0)=F768,P768&gt;0),'депозитный калькулятор'!$G$18,IF(AND('депозитный калькулятор'!$G$17="ежегодная в зависимости от остатка",DAY(F768)=31,MONTH(F768)=12,P768&gt;0),'депозитный калькулятор'!$G$18,0)))))))</f>
        <v xml:space="preserve"> </v>
      </c>
      <c r="K769" s="135" t="str">
        <f>IF($F769=" "," ",IFERROR(VLOOKUP($F769,'депозитный калькулятор'!$B$26:$F$70,2,0),0))</f>
        <v xml:space="preserve"> </v>
      </c>
      <c r="L769" s="135" t="str">
        <f>IF($F769=" "," ",IFERROR(VLOOKUP($F769,'депозитный калькулятор'!$B$26:$F$70,3,0),0))</f>
        <v xml:space="preserve"> </v>
      </c>
      <c r="M769" s="135" t="str">
        <f>IF($F769=" "," ",IFERROR(VLOOKUP($F769,'депозитный калькулятор'!$B$26:$F$70,4,0),0))</f>
        <v xml:space="preserve"> </v>
      </c>
      <c r="N769" s="135" t="str">
        <f>IF($F769=" "," ",IFERROR(VLOOKUP($F769,'депозитный калькулятор'!$B$26:$F$70,5,0),0))</f>
        <v xml:space="preserve"> </v>
      </c>
      <c r="O769" s="146" t="str">
        <f>IF(F769&gt;'депозитный калькулятор'!$D$8," ",IF(F769='депозитный калькулятор'!$D$8,IF(AND($F$24='депозитный калькулятор'!$D$8,'депозитный калькулятор'!$G$13="нет"),-G769-IF(I769=" ",0,I769)-IF(AND(OR('депозитный калькулятор'!$G$7="30/365",'депозитный калькулятор'!$G$7="30/360"),'депозитный калькулятор'!$G$10="в начале срока"),I768,0)-L769+M769-N769,-G769-IF(I769=" ",0,I769)-L769+M769-N769),IF('депозитный калькулятор'!$G$13="есть",M769-N769+IF('депозитный калькулятор'!$G$14="есть",0,-L769),-IF(I769=" ",0,I769)-IF(AND(OR('депозитный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срока"),I768,0)+M769-N769+IF('депозитный калькулятор'!$G$14="есть",0,-L769))))</f>
        <v xml:space="preserve"> </v>
      </c>
      <c r="P769" s="147" t="str">
        <f>IF(F769&gt;'депозитный калькулятор'!$D$8," ",IF(EOMONTH(F768,0)=F768,0,IF(G769&gt;='депозитный калькулятор'!$G$19,P768,P768+1)))</f>
        <v xml:space="preserve"> </v>
      </c>
      <c r="Q769" s="138" t="str">
        <f>IF(F769=" "," ",IF(AND(OR('депозитный калькулятор'!$G$7="30/365",'депозитный калькулятор'!$G$7="30/360"),AND(MONTH(F769)=2,EOMONTH(F769,0)=F769)),IF(DAY(F769)=28,3,2),1)*IF(G769&gt;='депозитный калькулятор'!$G$11,IF(AND('депозитный калькулятор'!$G$7="факт/факт",MOD(YEAR(F769),4)=0),G769*'депозитный калькулятор'!$D$11/366,G769*'депозитный калькулятор'!$G$8),0))</f>
        <v xml:space="preserve"> </v>
      </c>
      <c r="R769" s="158"/>
      <c r="S769" s="62" t="str">
        <f t="shared" ca="1" si="57"/>
        <v xml:space="preserve"> </v>
      </c>
      <c r="T769" s="149" t="str">
        <f ca="1">IF(S769=" "," ",IF('депозитный калькулятор'!$G$7="30/360",DAYS360(U768,IF(DAY(U769)=31,U769-1,U769))+IF(AND(MONTH(U769)=2,U769=EOMONTH(U769,0)),30-DAY(EOMONTH(U769,0)))+T768,VLOOKUP(S769,$C$22:$F$1023,2,0)))</f>
        <v xml:space="preserve"> </v>
      </c>
      <c r="U769" s="64" t="str">
        <f t="shared" ca="1" si="55"/>
        <v xml:space="preserve"> </v>
      </c>
      <c r="V769" s="150" t="str">
        <f t="shared" ca="1" si="58"/>
        <v xml:space="preserve"> </v>
      </c>
      <c r="W769" s="62" t="str">
        <f t="shared" ca="1" si="59"/>
        <v xml:space="preserve"> </v>
      </c>
      <c r="X769" s="141" t="str">
        <f ca="1">IF(S769=" "," ",IFERROR(VLOOKUP(U769,$F$23:$N$1023,7)+VLOOKUP(U769,$F$23:$N$1023,9)+IF(AND('депозитный калькулятор'!$G$13="нет",U769&lt;&gt;'депозитный калькулятор'!$D$8),VLOOKUP(U769,$F$23:$N$1023,4),0),0)+IF(U769='депозитный калькулятор'!$D$8,VLOOKUP(U769,$F$23:$N$1023,2)+VLOOKUP(U769,$F$23:$N$1023,4),0))</f>
        <v xml:space="preserve"> </v>
      </c>
      <c r="Y769" s="142" t="str">
        <f ca="1">IF(S769=" "," ",W769/(1+'депозитный калькулятор'!$K$8)^(T769/IF('депозитный калькулятор'!$G$7="30/360",360,365)))</f>
        <v xml:space="preserve"> </v>
      </c>
      <c r="Z769" s="142" t="str">
        <f ca="1">IF(S769=" "," ",X769/(1+'депозитный калькулятор'!$K$8)^(T769/IF('депозитный калькулятор'!$G$7="30/360",360,365)))</f>
        <v xml:space="preserve"> </v>
      </c>
      <c r="AA769" s="151"/>
      <c r="AB769" s="151"/>
      <c r="AC769" s="155"/>
      <c r="AD769" s="155"/>
    </row>
    <row r="770" spans="1:30" s="2" customFormat="1" ht="15.5" x14ac:dyDescent="0.35">
      <c r="A770" s="41" t="str">
        <f>IF(F770=" "," ",IF(OR('депозитный калькулятор'!$G$7="30/365",'депозитный калькулятор'!$G$7="30/360"),IF(AND(MONTH(F770)=2,DAY(F770)=DAY(EOMONTH(F770,0))),30-DAY(EOMONTH(F770,0)),IF(DAY(F770)=31,1," "))," "))</f>
        <v xml:space="preserve"> </v>
      </c>
      <c r="B770" s="130" t="str">
        <f t="shared" si="56"/>
        <v xml:space="preserve"> </v>
      </c>
      <c r="C770" s="130" t="str">
        <f>IF(OR(B770=0,B770=" ")," ",SUM($B$23:B770))</f>
        <v xml:space="preserve"> </v>
      </c>
      <c r="D770" s="62" t="str">
        <f>IF(D769=" "," ",IF(OR(F769='депозитный калькулятор'!$D$8,F769=" ")," ",D769+1))</f>
        <v xml:space="preserve"> </v>
      </c>
      <c r="E770" s="130" t="str">
        <f>IF(OR(F769='депозитный калькулятор'!$D$8,F769=" ")," ",IF(EOMONTH(F769,0)=F769,1,E769+1))</f>
        <v xml:space="preserve"> </v>
      </c>
      <c r="F770" s="64" t="str">
        <f>IF(F769=" "," ",IF(F769='депозитный калькулятор'!$D$8," ",F769+1))</f>
        <v xml:space="preserve"> </v>
      </c>
      <c r="G770" s="145" t="str">
        <f xml:space="preserve"> IF(F770&gt;'депозитный калькулятор'!$D$8," ",IF('депозитный калькулятор'!$G$13="есть",IF('депозитный калькулятор'!$G$14="есть",G769+IF(I769=" ",0,I769)-J770-K770+L770+M770-N770,G769+IF(I769=" ",0,I769)-J770-K770+M770-N770),IF('депозитный калькулятор'!$G$14="есть",G769-J770-K770+L770+M770-N770,G769-J770-K770+M770-N770)))</f>
        <v xml:space="preserve"> </v>
      </c>
      <c r="H770" s="133" t="str">
        <f>IF(F770&gt;'депозитный калькулятор'!$D$8," ",IF(AND(OR('депозитный калькулятор'!$G$7="30/365",'депозитный калькулятор'!$G$7="30/360"),AND(MONTH(F770)=2,EOMONTH(F770,0)=F770)),IF(DAY(F770)=28,3*G770*'депозитный калькулятор'!$G$8,2*G770*'депозитный калькулятор'!$G$8),IF(AND(OR('депозитный калькулятор'!$G$7="30/365",'депозитный калькулятор'!$G$7="30/360"),DAY(F770)=31)," ",IF(AND('депозитный калькулятор'!$G$7="факт/факт",MOD(YEAR(F770),4)=0),G770*'депозитный калькулятор'!$D$11/366,G770*'депозитный калькулятор'!$G$8))))</f>
        <v xml:space="preserve"> </v>
      </c>
      <c r="I770" s="134" t="str">
        <f ca="1">IF(F770=" "," ",IF('депозитный калькулятор'!$G$10="ежедневное",H770,IF(AND('депозитный калькулятор'!$G$10="еженедельное",WEEKDAY(F770,2)=7),SUM(OFFSET(H770,-6,0):H770),IF(AND('депозитный калькулятор'!$G$10="еженедельное",F770='депозитный калькулятор'!$D$8),SUM($H$23:H770)-SUM($I$23:I769),IF(AND('депозитный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недели",WEEKDAY(F770,2)=7),MIN(OFFSET(H770,-6,0):H770)*(COUNTIF(OFFSET(H770,-6,0):H770,"&gt;0")+SUMIF(OFFSET(A770,-WEEKDAY(F770,2),0):A770,"=2",OFFSET(A770,-WEEKDAY(F770,2),0):A770)),IF(AND('депозитный калькулятор'!$G$10="еженедельное, на минимальную сумму зафиксированную в течение недели",F770='депозитный калькулятор'!$D$8,WEEKDAY(F770,2)&lt;&gt;7),MIN(OFFSET(H770,-WEEKDAY(F770,2),0):H770)*(COUNTIF(OFFSET(H770,-WEEKDAY(F770,2)+1,0):H770,"&gt;0")+SUM(OFFSET(A770,-WEEKDAY(F770,2),0):A770)),IF(AND('депозитный калькулятор'!$G$10="ежемесячное (в конце месяца)",F770='депозитный калькулятор'!$D$8,EOMONTH(F770,0)&lt;&gt;F770),IF('депозитный калькулятор'!$F$1=1,$H$24,SUM($H$23:H770)-SUM($I$23:I769)),IF(AND('депозитный калькулятор'!$G$10="ежемесячное (в конце месяца)",EOMONTH(F770,0)=F770),SUM($H$23:H770)-SUM($I$23:I769),IF(AND('депозитный калькулятор'!$G$10="ежемесячное (по дням открытия вклада)",F770='депозитный калькулятор'!$D$8,DAY('депозитный калькулятор'!$D$7)&lt;&gt;DAY(F770)),IF('депозитный калькулятор'!$F$1=1,$H$24,SUM($H$23:H770)-SUM($I$23:I769)),IF(AND('депозитный калькулятор'!$G$10="ежемесячное (по дням открытия вклада)",DAY('депозитный калькулятор'!$D$7)=DAY(F770)),SUM($H$23:H770)-SUM($I$23:I769),IF(AND('депозитный калькулятор'!$G$10="ежемесячное, на минимальную сумму зафиксированную в течение месяца",F770='депозитный калькулятор'!$D$8,EOMONTH(F770,0)&lt;&gt;F770),IF('депозитный калькулятор'!$F$1=1,$H$24,IF(AND(OR('депозитный калькулятор'!$G$7="30/365",'депозитный калькулятор'!$G$7="30/360"),DAY(F770)=31),0,MIN(OFFSET(H770,-E770+1,0):H770)*(E770+SUMIF(OFFSET(A770,-E770+1,0):A770,"=2",OFFSET(A770,-E770+1,0):A770)))),IF(AND('депозитный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калькулятор'!$G$7="30/360"),DAY(EOMONTH(F770,0))=31),EOMONTH(F770,0)-1=F770,EOMONTH(F770,0)=F770)),IF(IF(AND(OR('депозитный калькулятор'!$G$7="30/365",'депозитный калькулятор'!$G$7="30/360"),DAY(EOMONTH($F$23,0))=31),F770=EOMONTH($F$23,0)-1,F770=EOMONTH($F$23,0)),MIN(OFFSET(H770,-(DAY(F770)-DAY($F$23)),0):H770)*E770,MIN(OFFSET(H770,-(DAY(F770)-1),0):H770)*IF(AND(OR('депозитный калькулятор'!$G$7="30/365",'депозитный калькулятор'!$G$7="30/360"),DAY(F770)&lt;30),30,DAY(F770))),IF(AND('депозитный калькулятор'!$G$10="ежемесячное, на средний остаток в течение месяца, при условии что остаток больше чем ограничение",F770='депозитный калькулятор'!$D$8,EOMONTH(F770,0)&lt;&gt;F770),IF('депозитный калькулятор'!$F$1=1,$H$24,SUM(OFFSET(Q770,-E770+1,0):Q770)),IF(AND('депозитный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калькулятор'!$G$7="30/360"),DAY(EOMONTH(F770,0))=31),EOMONTH(F770,0)-1=F770,EOMONTH(F770,0)=F770)),IF(IF(AND(OR('депозитный калькулятор'!$G$7="30/365",'депозитный калькулятор'!$G$7="30/360"),DAY(EOMONTH($F$24,0))=31),F770=EOMONTH($F$24,0)-1,F770=EOMONTH($F$24,0)),SUM(OFFSET(Q770,-E770+1,0):Q770),SUM(OFFSET(Q770,-E770+1,0):Q770)),IF('депозитный калькулятор'!$G$10="ежеквартальное",IF(F770&gt;'депозитный калькулятор'!$D$8," ",IF(AND(EOMONTH(F770,0)=F770,OR(MONTH(F770)=3,MONTH(F770)=6,MONTH(F770)=9,MONTH(F770)=12)),IF(EDATE(F770,-3)&lt;'депозитный калькулятор'!$D$7,SUM($H$23:H770),IF(MOD(YEAR(F770),4)=0,IF(AND(EOMONTH(F770,0)=F770,OR(MONTH(F770)=3,MONTH(F770)=6)),SUM(OFFSET(H770,-90,0):H770),IF(AND(EOMONTH(F770,0)=F770,OR(MONTH(F770)=9,MONTH(F770)=12)),SUM(OFFSET(H770,-91,0):H770))),IF(AND(EOMONTH(F770,0)=F770,MONTH(F770)=3),SUM(OFFSET(H770,-89,0):H770),IF(AND(EOMONTH(F770,0)=F770,MONTH(F770)=6),SUM(OFFSET(H770,-90,0):H770),IF(AND(EOMONTH(F770,0)=F770,OR(MONTH(F770)=9,MONTH(F770)=12)),SUM(OFFSET(H770,-91,0):H770)))))),IF(F770='депозитный калькулятор'!$D$8,SUM($H$23:H770)-SUM($I$23:I769),0))),IF('депозитный калькулятор'!$G$10="ежегодное",IF(F770&gt;'депозитный калькулятор'!$D$8," ",IF(F770='депозитный калькулятор'!$D$8,SUM($H$23:H770)-SUM($I$23:I769),IF(AND(EOMONTH(F770,0)=F770,MONTH(F770)=12),IF(MOD(YEAR(F769),4)=0,IF(F770-'депозитный калькулятор'!$D$7&lt;366,SUM($H$23:H770),SUM(OFFSET(H770,-365,0):H770)),IF(F770-'депозитный калькулятор'!$D$7&lt;365,SUM($H$23:H770),SUM(OFFSET(H770,-364,0):H770))),0))),IF(AND('депозитный калькулятор'!$G$10="в конце срока",'депозитный калькулятор'!$D$8=F770),SUM($H$23:H770),0))))))))))))))))))</f>
        <v xml:space="preserve"> </v>
      </c>
      <c r="J770" s="59" t="str">
        <f>IF(F770&gt;'депозитный калькулятор'!$D$8," ",IF('депозитный калькулятор'!$G$16="нет",0,IF(AND('депозитный калькулятор'!$G$17="разовая (в конце срока)",F770='депозитный калькулятор'!$D$8),'депозитный калькулятор'!$G$18,IF(AND('депозитный калькулятор'!$G$17="ежемесячная",EOMONTH(F769,0)=F769),'депозитный калькулятор'!$G$18,IF(AND('депозитный калькулятор'!$G$17="ежегодная",DAY(F769)=31,MONTH(F769)=12),'депозитный калькулятор'!$G$18,IF(AND('депозитный калькулятор'!$G$17="ежемесячная в зависимости от остатка",EOMONTH(F769,0)=F769,P769&gt;0),'депозитный калькулятор'!$G$18,IF(AND('депозитный калькулятор'!$G$17="ежегодная в зависимости от остатка",DAY(F769)=31,MONTH(F769)=12,P769&gt;0),'депозитный калькулятор'!$G$18,0)))))))</f>
        <v xml:space="preserve"> </v>
      </c>
      <c r="K770" s="135" t="str">
        <f>IF($F770=" "," ",IFERROR(VLOOKUP($F770,'депозитный калькулятор'!$B$26:$F$70,2,0),0))</f>
        <v xml:space="preserve"> </v>
      </c>
      <c r="L770" s="135" t="str">
        <f>IF($F770=" "," ",IFERROR(VLOOKUP($F770,'депозитный калькулятор'!$B$26:$F$70,3,0),0))</f>
        <v xml:space="preserve"> </v>
      </c>
      <c r="M770" s="135" t="str">
        <f>IF($F770=" "," ",IFERROR(VLOOKUP($F770,'депозитный калькулятор'!$B$26:$F$70,4,0),0))</f>
        <v xml:space="preserve"> </v>
      </c>
      <c r="N770" s="135" t="str">
        <f>IF($F770=" "," ",IFERROR(VLOOKUP($F770,'депозитный калькулятор'!$B$26:$F$70,5,0),0))</f>
        <v xml:space="preserve"> </v>
      </c>
      <c r="O770" s="146" t="str">
        <f>IF(F770&gt;'депозитный калькулятор'!$D$8," ",IF(F770='депозитный калькулятор'!$D$8,IF(AND($F$24='депозитный калькулятор'!$D$8,'депозитный калькулятор'!$G$13="нет"),-G770-IF(I770=" ",0,I770)-IF(AND(OR('депозитный калькулятор'!$G$7="30/365",'депозитный калькулятор'!$G$7="30/360"),'депозитный калькулятор'!$G$10="в начале срока"),I769,0)-L770+M770-N770,-G770-IF(I770=" ",0,I770)-L770+M770-N770),IF('депозитный калькулятор'!$G$13="есть",M770-N770+IF('депозитный калькулятор'!$G$14="есть",0,-L770),-IF(I770=" ",0,I770)-IF(AND(OR('депозитный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срока"),I769,0)+M770-N770+IF('депозитный калькулятор'!$G$14="есть",0,-L770))))</f>
        <v xml:space="preserve"> </v>
      </c>
      <c r="P770" s="147" t="str">
        <f>IF(F770&gt;'депозитный калькулятор'!$D$8," ",IF(EOMONTH(F769,0)=F769,0,IF(G770&gt;='депозитный калькулятор'!$G$19,P769,P769+1)))</f>
        <v xml:space="preserve"> </v>
      </c>
      <c r="Q770" s="138" t="str">
        <f>IF(F770=" "," ",IF(AND(OR('депозитный калькулятор'!$G$7="30/365",'депозитный калькулятор'!$G$7="30/360"),AND(MONTH(F770)=2,EOMONTH(F770,0)=F770)),IF(DAY(F770)=28,3,2),1)*IF(G770&gt;='депозитный калькулятор'!$G$11,IF(AND('депозитный калькулятор'!$G$7="факт/факт",MOD(YEAR(F770),4)=0),G770*'депозитный калькулятор'!$D$11/366,G770*'депозитный калькулятор'!$G$8),0))</f>
        <v xml:space="preserve"> </v>
      </c>
      <c r="R770" s="158"/>
      <c r="S770" s="62" t="str">
        <f t="shared" ca="1" si="57"/>
        <v xml:space="preserve"> </v>
      </c>
      <c r="T770" s="149" t="str">
        <f ca="1">IF(S770=" "," ",IF('депозитный калькулятор'!$G$7="30/360",DAYS360(U769,IF(DAY(U770)=31,U770-1,U770))+IF(AND(MONTH(U770)=2,U770=EOMONTH(U770,0)),30-DAY(EOMONTH(U770,0)))+T769,VLOOKUP(S770,$C$22:$F$1023,2,0)))</f>
        <v xml:space="preserve"> </v>
      </c>
      <c r="U770" s="64" t="str">
        <f t="shared" ca="1" si="55"/>
        <v xml:space="preserve"> </v>
      </c>
      <c r="V770" s="150" t="str">
        <f t="shared" ca="1" si="58"/>
        <v xml:space="preserve"> </v>
      </c>
      <c r="W770" s="62" t="str">
        <f t="shared" ca="1" si="59"/>
        <v xml:space="preserve"> </v>
      </c>
      <c r="X770" s="141" t="str">
        <f ca="1">IF(S770=" "," ",IFERROR(VLOOKUP(U770,$F$23:$N$1023,7)+VLOOKUP(U770,$F$23:$N$1023,9)+IF(AND('депозитный калькулятор'!$G$13="нет",U770&lt;&gt;'депозитный калькулятор'!$D$8),VLOOKUP(U770,$F$23:$N$1023,4),0),0)+IF(U770='депозитный калькулятор'!$D$8,VLOOKUP(U770,$F$23:$N$1023,2)+VLOOKUP(U770,$F$23:$N$1023,4),0))</f>
        <v xml:space="preserve"> </v>
      </c>
      <c r="Y770" s="142" t="str">
        <f ca="1">IF(S770=" "," ",W770/(1+'депозитный калькулятор'!$K$8)^(T770/IF('депозитный калькулятор'!$G$7="30/360",360,365)))</f>
        <v xml:space="preserve"> </v>
      </c>
      <c r="Z770" s="142" t="str">
        <f ca="1">IF(S770=" "," ",X770/(1+'депозитный калькулятор'!$K$8)^(T770/IF('депозитный калькулятор'!$G$7="30/360",360,365)))</f>
        <v xml:space="preserve"> </v>
      </c>
      <c r="AA770" s="151"/>
      <c r="AB770" s="151"/>
      <c r="AC770" s="155"/>
      <c r="AD770" s="155"/>
    </row>
    <row r="771" spans="1:30" s="2" customFormat="1" ht="15.5" x14ac:dyDescent="0.35">
      <c r="A771" s="41" t="str">
        <f>IF(F771=" "," ",IF(OR('депозитный калькулятор'!$G$7="30/365",'депозитный калькулятор'!$G$7="30/360"),IF(AND(MONTH(F771)=2,DAY(F771)=DAY(EOMONTH(F771,0))),30-DAY(EOMONTH(F771,0)),IF(DAY(F771)=31,1," "))," "))</f>
        <v xml:space="preserve"> </v>
      </c>
      <c r="B771" s="130" t="str">
        <f t="shared" si="56"/>
        <v xml:space="preserve"> </v>
      </c>
      <c r="C771" s="130" t="str">
        <f>IF(OR(B771=0,B771=" ")," ",SUM($B$23:B771))</f>
        <v xml:space="preserve"> </v>
      </c>
      <c r="D771" s="62" t="str">
        <f>IF(D770=" "," ",IF(OR(F770='депозитный калькулятор'!$D$8,F770=" ")," ",D770+1))</f>
        <v xml:space="preserve"> </v>
      </c>
      <c r="E771" s="130" t="str">
        <f>IF(OR(F770='депозитный калькулятор'!$D$8,F770=" ")," ",IF(EOMONTH(F770,0)=F770,1,E770+1))</f>
        <v xml:space="preserve"> </v>
      </c>
      <c r="F771" s="64" t="str">
        <f>IF(F770=" "," ",IF(F770='депозитный калькулятор'!$D$8," ",F770+1))</f>
        <v xml:space="preserve"> </v>
      </c>
      <c r="G771" s="145" t="str">
        <f xml:space="preserve"> IF(F771&gt;'депозитный калькулятор'!$D$8," ",IF('депозитный калькулятор'!$G$13="есть",IF('депозитный калькулятор'!$G$14="есть",G770+IF(I770=" ",0,I770)-J771-K771+L771+M771-N771,G770+IF(I770=" ",0,I770)-J771-K771+M771-N771),IF('депозитный калькулятор'!$G$14="есть",G770-J771-K771+L771+M771-N771,G770-J771-K771+M771-N771)))</f>
        <v xml:space="preserve"> </v>
      </c>
      <c r="H771" s="133" t="str">
        <f>IF(F771&gt;'депозитный калькулятор'!$D$8," ",IF(AND(OR('депозитный калькулятор'!$G$7="30/365",'депозитный калькулятор'!$G$7="30/360"),AND(MONTH(F771)=2,EOMONTH(F771,0)=F771)),IF(DAY(F771)=28,3*G771*'депозитный калькулятор'!$G$8,2*G771*'депозитный калькулятор'!$G$8),IF(AND(OR('депозитный калькулятор'!$G$7="30/365",'депозитный калькулятор'!$G$7="30/360"),DAY(F771)=31)," ",IF(AND('депозитный калькулятор'!$G$7="факт/факт",MOD(YEAR(F771),4)=0),G771*'депозитный калькулятор'!$D$11/366,G771*'депозитный калькулятор'!$G$8))))</f>
        <v xml:space="preserve"> </v>
      </c>
      <c r="I771" s="134" t="str">
        <f ca="1">IF(F771=" "," ",IF('депозитный калькулятор'!$G$10="ежедневное",H771,IF(AND('депозитный калькулятор'!$G$10="еженедельное",WEEKDAY(F771,2)=7),SUM(OFFSET(H771,-6,0):H771),IF(AND('депозитный калькулятор'!$G$10="еженедельное",F771='депозитный калькулятор'!$D$8),SUM($H$23:H771)-SUM($I$23:I770),IF(AND('депозитный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недели",WEEKDAY(F771,2)=7),MIN(OFFSET(H771,-6,0):H771)*(COUNTIF(OFFSET(H771,-6,0):H771,"&gt;0")+SUMIF(OFFSET(A771,-WEEKDAY(F771,2),0):A771,"=2",OFFSET(A771,-WEEKDAY(F771,2),0):A771)),IF(AND('депозитный калькулятор'!$G$10="еженедельное, на минимальную сумму зафиксированную в течение недели",F771='депозитный калькулятор'!$D$8,WEEKDAY(F771,2)&lt;&gt;7),MIN(OFFSET(H771,-WEEKDAY(F771,2),0):H771)*(COUNTIF(OFFSET(H771,-WEEKDAY(F771,2)+1,0):H771,"&gt;0")+SUM(OFFSET(A771,-WEEKDAY(F771,2),0):A771)),IF(AND('депозитный калькулятор'!$G$10="ежемесячное (в конце месяца)",F771='депозитный калькулятор'!$D$8,EOMONTH(F771,0)&lt;&gt;F771),IF('депозитный калькулятор'!$F$1=1,$H$24,SUM($H$23:H771)-SUM($I$23:I770)),IF(AND('депозитный калькулятор'!$G$10="ежемесячное (в конце месяца)",EOMONTH(F771,0)=F771),SUM($H$23:H771)-SUM($I$23:I770),IF(AND('депозитный калькулятор'!$G$10="ежемесячное (по дням открытия вклада)",F771='депозитный калькулятор'!$D$8,DAY('депозитный калькулятор'!$D$7)&lt;&gt;DAY(F771)),IF('депозитный калькулятор'!$F$1=1,$H$24,SUM($H$23:H771)-SUM($I$23:I770)),IF(AND('депозитный калькулятор'!$G$10="ежемесячное (по дням открытия вклада)",DAY('депозитный калькулятор'!$D$7)=DAY(F771)),SUM($H$23:H771)-SUM($I$23:I770),IF(AND('депозитный калькулятор'!$G$10="ежемесячное, на минимальную сумму зафиксированную в течение месяца",F771='депозитный калькулятор'!$D$8,EOMONTH(F771,0)&lt;&gt;F771),IF('депозитный калькулятор'!$F$1=1,$H$24,IF(AND(OR('депозитный калькулятор'!$G$7="30/365",'депозитный калькулятор'!$G$7="30/360"),DAY(F771)=31),0,MIN(OFFSET(H771,-E771+1,0):H771)*(E771+SUMIF(OFFSET(A771,-E771+1,0):A771,"=2",OFFSET(A771,-E771+1,0):A771)))),IF(AND('депозитный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калькулятор'!$G$7="30/360"),DAY(EOMONTH(F771,0))=31),EOMONTH(F771,0)-1=F771,EOMONTH(F771,0)=F771)),IF(IF(AND(OR('депозитный калькулятор'!$G$7="30/365",'депозитный калькулятор'!$G$7="30/360"),DAY(EOMONTH($F$23,0))=31),F771=EOMONTH($F$23,0)-1,F771=EOMONTH($F$23,0)),MIN(OFFSET(H771,-(DAY(F771)-DAY($F$23)),0):H771)*E771,MIN(OFFSET(H771,-(DAY(F771)-1),0):H771)*IF(AND(OR('депозитный калькулятор'!$G$7="30/365",'депозитный калькулятор'!$G$7="30/360"),DAY(F771)&lt;30),30,DAY(F771))),IF(AND('депозитный калькулятор'!$G$10="ежемесячное, на средний остаток в течение месяца, при условии что остаток больше чем ограничение",F771='депозитный калькулятор'!$D$8,EOMONTH(F771,0)&lt;&gt;F771),IF('депозитный калькулятор'!$F$1=1,$H$24,SUM(OFFSET(Q771,-E771+1,0):Q771)),IF(AND('депозитный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калькулятор'!$G$7="30/360"),DAY(EOMONTH(F771,0))=31),EOMONTH(F771,0)-1=F771,EOMONTH(F771,0)=F771)),IF(IF(AND(OR('депозитный калькулятор'!$G$7="30/365",'депозитный калькулятор'!$G$7="30/360"),DAY(EOMONTH($F$24,0))=31),F771=EOMONTH($F$24,0)-1,F771=EOMONTH($F$24,0)),SUM(OFFSET(Q771,-E771+1,0):Q771),SUM(OFFSET(Q771,-E771+1,0):Q771)),IF('депозитный калькулятор'!$G$10="ежеквартальное",IF(F771&gt;'депозитный калькулятор'!$D$8," ",IF(AND(EOMONTH(F771,0)=F771,OR(MONTH(F771)=3,MONTH(F771)=6,MONTH(F771)=9,MONTH(F771)=12)),IF(EDATE(F771,-3)&lt;'депозитный калькулятор'!$D$7,SUM($H$23:H771),IF(MOD(YEAR(F771),4)=0,IF(AND(EOMONTH(F771,0)=F771,OR(MONTH(F771)=3,MONTH(F771)=6)),SUM(OFFSET(H771,-90,0):H771),IF(AND(EOMONTH(F771,0)=F771,OR(MONTH(F771)=9,MONTH(F771)=12)),SUM(OFFSET(H771,-91,0):H771))),IF(AND(EOMONTH(F771,0)=F771,MONTH(F771)=3),SUM(OFFSET(H771,-89,0):H771),IF(AND(EOMONTH(F771,0)=F771,MONTH(F771)=6),SUM(OFFSET(H771,-90,0):H771),IF(AND(EOMONTH(F771,0)=F771,OR(MONTH(F771)=9,MONTH(F771)=12)),SUM(OFFSET(H771,-91,0):H771)))))),IF(F771='депозитный калькулятор'!$D$8,SUM($H$23:H771)-SUM($I$23:I770),0))),IF('депозитный калькулятор'!$G$10="ежегодное",IF(F771&gt;'депозитный калькулятор'!$D$8," ",IF(F771='депозитный калькулятор'!$D$8,SUM($H$23:H771)-SUM($I$23:I770),IF(AND(EOMONTH(F771,0)=F771,MONTH(F771)=12),IF(MOD(YEAR(F770),4)=0,IF(F771-'депозитный калькулятор'!$D$7&lt;366,SUM($H$23:H771),SUM(OFFSET(H771,-365,0):H771)),IF(F771-'депозитный калькулятор'!$D$7&lt;365,SUM($H$23:H771),SUM(OFFSET(H771,-364,0):H771))),0))),IF(AND('депозитный калькулятор'!$G$10="в конце срока",'депозитный калькулятор'!$D$8=F771),SUM($H$23:H771),0))))))))))))))))))</f>
        <v xml:space="preserve"> </v>
      </c>
      <c r="J771" s="59" t="str">
        <f>IF(F771&gt;'депозитный калькулятор'!$D$8," ",IF('депозитный калькулятор'!$G$16="нет",0,IF(AND('депозитный калькулятор'!$G$17="разовая (в конце срока)",F771='депозитный калькулятор'!$D$8),'депозитный калькулятор'!$G$18,IF(AND('депозитный калькулятор'!$G$17="ежемесячная",EOMONTH(F770,0)=F770),'депозитный калькулятор'!$G$18,IF(AND('депозитный калькулятор'!$G$17="ежегодная",DAY(F770)=31,MONTH(F770)=12),'депозитный калькулятор'!$G$18,IF(AND('депозитный калькулятор'!$G$17="ежемесячная в зависимости от остатка",EOMONTH(F770,0)=F770,P770&gt;0),'депозитный калькулятор'!$G$18,IF(AND('депозитный калькулятор'!$G$17="ежегодная в зависимости от остатка",DAY(F770)=31,MONTH(F770)=12,P770&gt;0),'депозитный калькулятор'!$G$18,0)))))))</f>
        <v xml:space="preserve"> </v>
      </c>
      <c r="K771" s="135" t="str">
        <f>IF($F771=" "," ",IFERROR(VLOOKUP($F771,'депозитный калькулятор'!$B$26:$F$70,2,0),0))</f>
        <v xml:space="preserve"> </v>
      </c>
      <c r="L771" s="135" t="str">
        <f>IF($F771=" "," ",IFERROR(VLOOKUP($F771,'депозитный калькулятор'!$B$26:$F$70,3,0),0))</f>
        <v xml:space="preserve"> </v>
      </c>
      <c r="M771" s="135" t="str">
        <f>IF($F771=" "," ",IFERROR(VLOOKUP($F771,'депозитный калькулятор'!$B$26:$F$70,4,0),0))</f>
        <v xml:space="preserve"> </v>
      </c>
      <c r="N771" s="135" t="str">
        <f>IF($F771=" "," ",IFERROR(VLOOKUP($F771,'депозитный калькулятор'!$B$26:$F$70,5,0),0))</f>
        <v xml:space="preserve"> </v>
      </c>
      <c r="O771" s="146" t="str">
        <f>IF(F771&gt;'депозитный калькулятор'!$D$8," ",IF(F771='депозитный калькулятор'!$D$8,IF(AND($F$24='депозитный калькулятор'!$D$8,'депозитный калькулятор'!$G$13="нет"),-G771-IF(I771=" ",0,I771)-IF(AND(OR('депозитный калькулятор'!$G$7="30/365",'депозитный калькулятор'!$G$7="30/360"),'депозитный калькулятор'!$G$10="в начале срока"),I770,0)-L771+M771-N771,-G771-IF(I771=" ",0,I771)-L771+M771-N771),IF('депозитный калькулятор'!$G$13="есть",M771-N771+IF('депозитный калькулятор'!$G$14="есть",0,-L771),-IF(I771=" ",0,I771)-IF(AND(OR('депозитный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срока"),I770,0)+M771-N771+IF('депозитный калькулятор'!$G$14="есть",0,-L771))))</f>
        <v xml:space="preserve"> </v>
      </c>
      <c r="P771" s="147" t="str">
        <f>IF(F771&gt;'депозитный калькулятор'!$D$8," ",IF(EOMONTH(F770,0)=F770,0,IF(G771&gt;='депозитный калькулятор'!$G$19,P770,P770+1)))</f>
        <v xml:space="preserve"> </v>
      </c>
      <c r="Q771" s="138" t="str">
        <f>IF(F771=" "," ",IF(AND(OR('депозитный калькулятор'!$G$7="30/365",'депозитный калькулятор'!$G$7="30/360"),AND(MONTH(F771)=2,EOMONTH(F771,0)=F771)),IF(DAY(F771)=28,3,2),1)*IF(G771&gt;='депозитный калькулятор'!$G$11,IF(AND('депозитный калькулятор'!$G$7="факт/факт",MOD(YEAR(F771),4)=0),G771*'депозитный калькулятор'!$D$11/366,G771*'депозитный калькулятор'!$G$8),0))</f>
        <v xml:space="preserve"> </v>
      </c>
      <c r="R771" s="158"/>
      <c r="S771" s="62" t="str">
        <f t="shared" ca="1" si="57"/>
        <v xml:space="preserve"> </v>
      </c>
      <c r="T771" s="149" t="str">
        <f ca="1">IF(S771=" "," ",IF('депозитный калькулятор'!$G$7="30/360",DAYS360(U770,IF(DAY(U771)=31,U771-1,U771))+IF(AND(MONTH(U771)=2,U771=EOMONTH(U771,0)),30-DAY(EOMONTH(U771,0)))+T770,VLOOKUP(S771,$C$22:$F$1023,2,0)))</f>
        <v xml:space="preserve"> </v>
      </c>
      <c r="U771" s="64" t="str">
        <f t="shared" ca="1" si="55"/>
        <v xml:space="preserve"> </v>
      </c>
      <c r="V771" s="150" t="str">
        <f t="shared" ca="1" si="58"/>
        <v xml:space="preserve"> </v>
      </c>
      <c r="W771" s="62" t="str">
        <f t="shared" ca="1" si="59"/>
        <v xml:space="preserve"> </v>
      </c>
      <c r="X771" s="141" t="str">
        <f ca="1">IF(S771=" "," ",IFERROR(VLOOKUP(U771,$F$23:$N$1023,7)+VLOOKUP(U771,$F$23:$N$1023,9)+IF(AND('депозитный калькулятор'!$G$13="нет",U771&lt;&gt;'депозитный калькулятор'!$D$8),VLOOKUP(U771,$F$23:$N$1023,4),0),0)+IF(U771='депозитный калькулятор'!$D$8,VLOOKUP(U771,$F$23:$N$1023,2)+VLOOKUP(U771,$F$23:$N$1023,4),0))</f>
        <v xml:space="preserve"> </v>
      </c>
      <c r="Y771" s="142" t="str">
        <f ca="1">IF(S771=" "," ",W771/(1+'депозитный калькулятор'!$K$8)^(T771/IF('депозитный калькулятор'!$G$7="30/360",360,365)))</f>
        <v xml:space="preserve"> </v>
      </c>
      <c r="Z771" s="142" t="str">
        <f ca="1">IF(S771=" "," ",X771/(1+'депозитный калькулятор'!$K$8)^(T771/IF('депозитный калькулятор'!$G$7="30/360",360,365)))</f>
        <v xml:space="preserve"> </v>
      </c>
      <c r="AA771" s="151"/>
      <c r="AB771" s="151"/>
      <c r="AC771" s="155"/>
      <c r="AD771" s="155"/>
    </row>
    <row r="772" spans="1:30" s="2" customFormat="1" ht="15.5" x14ac:dyDescent="0.35">
      <c r="A772" s="41" t="str">
        <f>IF(F772=" "," ",IF(OR('депозитный калькулятор'!$G$7="30/365",'депозитный калькулятор'!$G$7="30/360"),IF(AND(MONTH(F772)=2,DAY(F772)=DAY(EOMONTH(F772,0))),30-DAY(EOMONTH(F772,0)),IF(DAY(F772)=31,1," "))," "))</f>
        <v xml:space="preserve"> </v>
      </c>
      <c r="B772" s="130" t="str">
        <f t="shared" si="56"/>
        <v xml:space="preserve"> </v>
      </c>
      <c r="C772" s="130" t="str">
        <f>IF(OR(B772=0,B772=" ")," ",SUM($B$23:B772))</f>
        <v xml:space="preserve"> </v>
      </c>
      <c r="D772" s="62" t="str">
        <f>IF(D771=" "," ",IF(OR(F771='депозитный калькулятор'!$D$8,F771=" ")," ",D771+1))</f>
        <v xml:space="preserve"> </v>
      </c>
      <c r="E772" s="130" t="str">
        <f>IF(OR(F771='депозитный калькулятор'!$D$8,F771=" ")," ",IF(EOMONTH(F771,0)=F771,1,E771+1))</f>
        <v xml:space="preserve"> </v>
      </c>
      <c r="F772" s="64" t="str">
        <f>IF(F771=" "," ",IF(F771='депозитный калькулятор'!$D$8," ",F771+1))</f>
        <v xml:space="preserve"> </v>
      </c>
      <c r="G772" s="145" t="str">
        <f xml:space="preserve"> IF(F772&gt;'депозитный калькулятор'!$D$8," ",IF('депозитный калькулятор'!$G$13="есть",IF('депозитный калькулятор'!$G$14="есть",G771+IF(I771=" ",0,I771)-J772-K772+L772+M772-N772,G771+IF(I771=" ",0,I771)-J772-K772+M772-N772),IF('депозитный калькулятор'!$G$14="есть",G771-J772-K772+L772+M772-N772,G771-J772-K772+M772-N772)))</f>
        <v xml:space="preserve"> </v>
      </c>
      <c r="H772" s="133" t="str">
        <f>IF(F772&gt;'депозитный калькулятор'!$D$8," ",IF(AND(OR('депозитный калькулятор'!$G$7="30/365",'депозитный калькулятор'!$G$7="30/360"),AND(MONTH(F772)=2,EOMONTH(F772,0)=F772)),IF(DAY(F772)=28,3*G772*'депозитный калькулятор'!$G$8,2*G772*'депозитный калькулятор'!$G$8),IF(AND(OR('депозитный калькулятор'!$G$7="30/365",'депозитный калькулятор'!$G$7="30/360"),DAY(F772)=31)," ",IF(AND('депозитный калькулятор'!$G$7="факт/факт",MOD(YEAR(F772),4)=0),G772*'депозитный калькулятор'!$D$11/366,G772*'депозитный калькулятор'!$G$8))))</f>
        <v xml:space="preserve"> </v>
      </c>
      <c r="I772" s="134" t="str">
        <f ca="1">IF(F772=" "," ",IF('депозитный калькулятор'!$G$10="ежедневное",H772,IF(AND('депозитный калькулятор'!$G$10="еженедельное",WEEKDAY(F772,2)=7),SUM(OFFSET(H772,-6,0):H772),IF(AND('депозитный калькулятор'!$G$10="еженедельное",F772='депозитный калькулятор'!$D$8),SUM($H$23:H772)-SUM($I$23:I771),IF(AND('депозитный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недели",WEEKDAY(F772,2)=7),MIN(OFFSET(H772,-6,0):H772)*(COUNTIF(OFFSET(H772,-6,0):H772,"&gt;0")+SUMIF(OFFSET(A772,-WEEKDAY(F772,2),0):A772,"=2",OFFSET(A772,-WEEKDAY(F772,2),0):A772)),IF(AND('депозитный калькулятор'!$G$10="еженедельное, на минимальную сумму зафиксированную в течение недели",F772='депозитный калькулятор'!$D$8,WEEKDAY(F772,2)&lt;&gt;7),MIN(OFFSET(H772,-WEEKDAY(F772,2),0):H772)*(COUNTIF(OFFSET(H772,-WEEKDAY(F772,2)+1,0):H772,"&gt;0")+SUM(OFFSET(A772,-WEEKDAY(F772,2),0):A772)),IF(AND('депозитный калькулятор'!$G$10="ежемесячное (в конце месяца)",F772='депозитный калькулятор'!$D$8,EOMONTH(F772,0)&lt;&gt;F772),IF('депозитный калькулятор'!$F$1=1,$H$24,SUM($H$23:H772)-SUM($I$23:I771)),IF(AND('депозитный калькулятор'!$G$10="ежемесячное (в конце месяца)",EOMONTH(F772,0)=F772),SUM($H$23:H772)-SUM($I$23:I771),IF(AND('депозитный калькулятор'!$G$10="ежемесячное (по дням открытия вклада)",F772='депозитный калькулятор'!$D$8,DAY('депозитный калькулятор'!$D$7)&lt;&gt;DAY(F772)),IF('депозитный калькулятор'!$F$1=1,$H$24,SUM($H$23:H772)-SUM($I$23:I771)),IF(AND('депозитный калькулятор'!$G$10="ежемесячное (по дням открытия вклада)",DAY('депозитный калькулятор'!$D$7)=DAY(F772)),SUM($H$23:H772)-SUM($I$23:I771),IF(AND('депозитный калькулятор'!$G$10="ежемесячное, на минимальную сумму зафиксированную в течение месяца",F772='депозитный калькулятор'!$D$8,EOMONTH(F772,0)&lt;&gt;F772),IF('депозитный калькулятор'!$F$1=1,$H$24,IF(AND(OR('депозитный калькулятор'!$G$7="30/365",'депозитный калькулятор'!$G$7="30/360"),DAY(F772)=31),0,MIN(OFFSET(H772,-E772+1,0):H772)*(E772+SUMIF(OFFSET(A772,-E772+1,0):A772,"=2",OFFSET(A772,-E772+1,0):A772)))),IF(AND('депозитный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калькулятор'!$G$7="30/360"),DAY(EOMONTH(F772,0))=31),EOMONTH(F772,0)-1=F772,EOMONTH(F772,0)=F772)),IF(IF(AND(OR('депозитный калькулятор'!$G$7="30/365",'депозитный калькулятор'!$G$7="30/360"),DAY(EOMONTH($F$23,0))=31),F772=EOMONTH($F$23,0)-1,F772=EOMONTH($F$23,0)),MIN(OFFSET(H772,-(DAY(F772)-DAY($F$23)),0):H772)*E772,MIN(OFFSET(H772,-(DAY(F772)-1),0):H772)*IF(AND(OR('депозитный калькулятор'!$G$7="30/365",'депозитный калькулятор'!$G$7="30/360"),DAY(F772)&lt;30),30,DAY(F772))),IF(AND('депозитный калькулятор'!$G$10="ежемесячное, на средний остаток в течение месяца, при условии что остаток больше чем ограничение",F772='депозитный калькулятор'!$D$8,EOMONTH(F772,0)&lt;&gt;F772),IF('депозитный калькулятор'!$F$1=1,$H$24,SUM(OFFSET(Q772,-E772+1,0):Q772)),IF(AND('депозитный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калькулятор'!$G$7="30/360"),DAY(EOMONTH(F772,0))=31),EOMONTH(F772,0)-1=F772,EOMONTH(F772,0)=F772)),IF(IF(AND(OR('депозитный калькулятор'!$G$7="30/365",'депозитный калькулятор'!$G$7="30/360"),DAY(EOMONTH($F$24,0))=31),F772=EOMONTH($F$24,0)-1,F772=EOMONTH($F$24,0)),SUM(OFFSET(Q772,-E772+1,0):Q772),SUM(OFFSET(Q772,-E772+1,0):Q772)),IF('депозитный калькулятор'!$G$10="ежеквартальное",IF(F772&gt;'депозитный калькулятор'!$D$8," ",IF(AND(EOMONTH(F772,0)=F772,OR(MONTH(F772)=3,MONTH(F772)=6,MONTH(F772)=9,MONTH(F772)=12)),IF(EDATE(F772,-3)&lt;'депозитный калькулятор'!$D$7,SUM($H$23:H772),IF(MOD(YEAR(F772),4)=0,IF(AND(EOMONTH(F772,0)=F772,OR(MONTH(F772)=3,MONTH(F772)=6)),SUM(OFFSET(H772,-90,0):H772),IF(AND(EOMONTH(F772,0)=F772,OR(MONTH(F772)=9,MONTH(F772)=12)),SUM(OFFSET(H772,-91,0):H772))),IF(AND(EOMONTH(F772,0)=F772,MONTH(F772)=3),SUM(OFFSET(H772,-89,0):H772),IF(AND(EOMONTH(F772,0)=F772,MONTH(F772)=6),SUM(OFFSET(H772,-90,0):H772),IF(AND(EOMONTH(F772,0)=F772,OR(MONTH(F772)=9,MONTH(F772)=12)),SUM(OFFSET(H772,-91,0):H772)))))),IF(F772='депозитный калькулятор'!$D$8,SUM($H$23:H772)-SUM($I$23:I771),0))),IF('депозитный калькулятор'!$G$10="ежегодное",IF(F772&gt;'депозитный калькулятор'!$D$8," ",IF(F772='депозитный калькулятор'!$D$8,SUM($H$23:H772)-SUM($I$23:I771),IF(AND(EOMONTH(F772,0)=F772,MONTH(F772)=12),IF(MOD(YEAR(F771),4)=0,IF(F772-'депозитный калькулятор'!$D$7&lt;366,SUM($H$23:H772),SUM(OFFSET(H772,-365,0):H772)),IF(F772-'депозитный калькулятор'!$D$7&lt;365,SUM($H$23:H772),SUM(OFFSET(H772,-364,0):H772))),0))),IF(AND('депозитный калькулятор'!$G$10="в конце срока",'депозитный калькулятор'!$D$8=F772),SUM($H$23:H772),0))))))))))))))))))</f>
        <v xml:space="preserve"> </v>
      </c>
      <c r="J772" s="59" t="str">
        <f>IF(F772&gt;'депозитный калькулятор'!$D$8," ",IF('депозитный калькулятор'!$G$16="нет",0,IF(AND('депозитный калькулятор'!$G$17="разовая (в конце срока)",F772='депозитный калькулятор'!$D$8),'депозитный калькулятор'!$G$18,IF(AND('депозитный калькулятор'!$G$17="ежемесячная",EOMONTH(F771,0)=F771),'депозитный калькулятор'!$G$18,IF(AND('депозитный калькулятор'!$G$17="ежегодная",DAY(F771)=31,MONTH(F771)=12),'депозитный калькулятор'!$G$18,IF(AND('депозитный калькулятор'!$G$17="ежемесячная в зависимости от остатка",EOMONTH(F771,0)=F771,P771&gt;0),'депозитный калькулятор'!$G$18,IF(AND('депозитный калькулятор'!$G$17="ежегодная в зависимости от остатка",DAY(F771)=31,MONTH(F771)=12,P771&gt;0),'депозитный калькулятор'!$G$18,0)))))))</f>
        <v xml:space="preserve"> </v>
      </c>
      <c r="K772" s="135" t="str">
        <f>IF($F772=" "," ",IFERROR(VLOOKUP($F772,'депозитный калькулятор'!$B$26:$F$70,2,0),0))</f>
        <v xml:space="preserve"> </v>
      </c>
      <c r="L772" s="135" t="str">
        <f>IF($F772=" "," ",IFERROR(VLOOKUP($F772,'депозитный калькулятор'!$B$26:$F$70,3,0),0))</f>
        <v xml:space="preserve"> </v>
      </c>
      <c r="M772" s="135" t="str">
        <f>IF($F772=" "," ",IFERROR(VLOOKUP($F772,'депозитный калькулятор'!$B$26:$F$70,4,0),0))</f>
        <v xml:space="preserve"> </v>
      </c>
      <c r="N772" s="135" t="str">
        <f>IF($F772=" "," ",IFERROR(VLOOKUP($F772,'депозитный калькулятор'!$B$26:$F$70,5,0),0))</f>
        <v xml:space="preserve"> </v>
      </c>
      <c r="O772" s="146" t="str">
        <f>IF(F772&gt;'депозитный калькулятор'!$D$8," ",IF(F772='депозитный калькулятор'!$D$8,IF(AND($F$24='депозитный калькулятор'!$D$8,'депозитный калькулятор'!$G$13="нет"),-G772-IF(I772=" ",0,I772)-IF(AND(OR('депозитный калькулятор'!$G$7="30/365",'депозитный калькулятор'!$G$7="30/360"),'депозитный калькулятор'!$G$10="в начале срока"),I771,0)-L772+M772-N772,-G772-IF(I772=" ",0,I772)-L772+M772-N772),IF('депозитный калькулятор'!$G$13="есть",M772-N772+IF('депозитный калькулятор'!$G$14="есть",0,-L772),-IF(I772=" ",0,I772)-IF(AND(OR('депозитный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срока"),I771,0)+M772-N772+IF('депозитный калькулятор'!$G$14="есть",0,-L772))))</f>
        <v xml:space="preserve"> </v>
      </c>
      <c r="P772" s="147" t="str">
        <f>IF(F772&gt;'депозитный калькулятор'!$D$8," ",IF(EOMONTH(F771,0)=F771,0,IF(G772&gt;='депозитный калькулятор'!$G$19,P771,P771+1)))</f>
        <v xml:space="preserve"> </v>
      </c>
      <c r="Q772" s="138" t="str">
        <f>IF(F772=" "," ",IF(AND(OR('депозитный калькулятор'!$G$7="30/365",'депозитный калькулятор'!$G$7="30/360"),AND(MONTH(F772)=2,EOMONTH(F772,0)=F772)),IF(DAY(F772)=28,3,2),1)*IF(G772&gt;='депозитный калькулятор'!$G$11,IF(AND('депозитный калькулятор'!$G$7="факт/факт",MOD(YEAR(F772),4)=0),G772*'депозитный калькулятор'!$D$11/366,G772*'депозитный калькулятор'!$G$8),0))</f>
        <v xml:space="preserve"> </v>
      </c>
      <c r="R772" s="158"/>
      <c r="S772" s="62" t="str">
        <f t="shared" ca="1" si="57"/>
        <v xml:space="preserve"> </v>
      </c>
      <c r="T772" s="149" t="str">
        <f ca="1">IF(S772=" "," ",IF('депозитный калькулятор'!$G$7="30/360",DAYS360(U771,IF(DAY(U772)=31,U772-1,U772))+IF(AND(MONTH(U772)=2,U772=EOMONTH(U772,0)),30-DAY(EOMONTH(U772,0)))+T771,VLOOKUP(S772,$C$22:$F$1023,2,0)))</f>
        <v xml:space="preserve"> </v>
      </c>
      <c r="U772" s="64" t="str">
        <f t="shared" ca="1" si="55"/>
        <v xml:space="preserve"> </v>
      </c>
      <c r="V772" s="150" t="str">
        <f t="shared" ca="1" si="58"/>
        <v xml:space="preserve"> </v>
      </c>
      <c r="W772" s="62" t="str">
        <f t="shared" ca="1" si="59"/>
        <v xml:space="preserve"> </v>
      </c>
      <c r="X772" s="141" t="str">
        <f ca="1">IF(S772=" "," ",IFERROR(VLOOKUP(U772,$F$23:$N$1023,7)+VLOOKUP(U772,$F$23:$N$1023,9)+IF(AND('депозитный калькулятор'!$G$13="нет",U772&lt;&gt;'депозитный калькулятор'!$D$8),VLOOKUP(U772,$F$23:$N$1023,4),0),0)+IF(U772='депозитный калькулятор'!$D$8,VLOOKUP(U772,$F$23:$N$1023,2)+VLOOKUP(U772,$F$23:$N$1023,4),0))</f>
        <v xml:space="preserve"> </v>
      </c>
      <c r="Y772" s="142" t="str">
        <f ca="1">IF(S772=" "," ",W772/(1+'депозитный калькулятор'!$K$8)^(T772/IF('депозитный калькулятор'!$G$7="30/360",360,365)))</f>
        <v xml:space="preserve"> </v>
      </c>
      <c r="Z772" s="142" t="str">
        <f ca="1">IF(S772=" "," ",X772/(1+'депозитный калькулятор'!$K$8)^(T772/IF('депозитный калькулятор'!$G$7="30/360",360,365)))</f>
        <v xml:space="preserve"> </v>
      </c>
      <c r="AA772" s="151"/>
      <c r="AB772" s="151"/>
      <c r="AC772" s="155"/>
      <c r="AD772" s="155"/>
    </row>
    <row r="773" spans="1:30" s="2" customFormat="1" ht="15.5" x14ac:dyDescent="0.35">
      <c r="A773" s="41" t="str">
        <f>IF(F773=" "," ",IF(OR('депозитный калькулятор'!$G$7="30/365",'депозитный калькулятор'!$G$7="30/360"),IF(AND(MONTH(F773)=2,DAY(F773)=DAY(EOMONTH(F773,0))),30-DAY(EOMONTH(F773,0)),IF(DAY(F773)=31,1," "))," "))</f>
        <v xml:space="preserve"> </v>
      </c>
      <c r="B773" s="130" t="str">
        <f t="shared" si="56"/>
        <v xml:space="preserve"> </v>
      </c>
      <c r="C773" s="130" t="str">
        <f>IF(OR(B773=0,B773=" ")," ",SUM($B$23:B773))</f>
        <v xml:space="preserve"> </v>
      </c>
      <c r="D773" s="62" t="str">
        <f>IF(D772=" "," ",IF(OR(F772='депозитный калькулятор'!$D$8,F772=" ")," ",D772+1))</f>
        <v xml:space="preserve"> </v>
      </c>
      <c r="E773" s="130" t="str">
        <f>IF(OR(F772='депозитный калькулятор'!$D$8,F772=" ")," ",IF(EOMONTH(F772,0)=F772,1,E772+1))</f>
        <v xml:space="preserve"> </v>
      </c>
      <c r="F773" s="64" t="str">
        <f>IF(F772=" "," ",IF(F772='депозитный калькулятор'!$D$8," ",F772+1))</f>
        <v xml:space="preserve"> </v>
      </c>
      <c r="G773" s="145" t="str">
        <f xml:space="preserve"> IF(F773&gt;'депозитный калькулятор'!$D$8," ",IF('депозитный калькулятор'!$G$13="есть",IF('депозитный калькулятор'!$G$14="есть",G772+IF(I772=" ",0,I772)-J773-K773+L773+M773-N773,G772+IF(I772=" ",0,I772)-J773-K773+M773-N773),IF('депозитный калькулятор'!$G$14="есть",G772-J773-K773+L773+M773-N773,G772-J773-K773+M773-N773)))</f>
        <v xml:space="preserve"> </v>
      </c>
      <c r="H773" s="133" t="str">
        <f>IF(F773&gt;'депозитный калькулятор'!$D$8," ",IF(AND(OR('депозитный калькулятор'!$G$7="30/365",'депозитный калькулятор'!$G$7="30/360"),AND(MONTH(F773)=2,EOMONTH(F773,0)=F773)),IF(DAY(F773)=28,3*G773*'депозитный калькулятор'!$G$8,2*G773*'депозитный калькулятор'!$G$8),IF(AND(OR('депозитный калькулятор'!$G$7="30/365",'депозитный калькулятор'!$G$7="30/360"),DAY(F773)=31)," ",IF(AND('депозитный калькулятор'!$G$7="факт/факт",MOD(YEAR(F773),4)=0),G773*'депозитный калькулятор'!$D$11/366,G773*'депозитный калькулятор'!$G$8))))</f>
        <v xml:space="preserve"> </v>
      </c>
      <c r="I773" s="134" t="str">
        <f ca="1">IF(F773=" "," ",IF('депозитный калькулятор'!$G$10="ежедневное",H773,IF(AND('депозитный калькулятор'!$G$10="еженедельное",WEEKDAY(F773,2)=7),SUM(OFFSET(H773,-6,0):H773),IF(AND('депозитный калькулятор'!$G$10="еженедельное",F773='депозитный калькулятор'!$D$8),SUM($H$23:H773)-SUM($I$23:I772),IF(AND('депозитный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недели",WEEKDAY(F773,2)=7),MIN(OFFSET(H773,-6,0):H773)*(COUNTIF(OFFSET(H773,-6,0):H773,"&gt;0")+SUMIF(OFFSET(A773,-WEEKDAY(F773,2),0):A773,"=2",OFFSET(A773,-WEEKDAY(F773,2),0):A773)),IF(AND('депозитный калькулятор'!$G$10="еженедельное, на минимальную сумму зафиксированную в течение недели",F773='депозитный калькулятор'!$D$8,WEEKDAY(F773,2)&lt;&gt;7),MIN(OFFSET(H773,-WEEKDAY(F773,2),0):H773)*(COUNTIF(OFFSET(H773,-WEEKDAY(F773,2)+1,0):H773,"&gt;0")+SUM(OFFSET(A773,-WEEKDAY(F773,2),0):A773)),IF(AND('депозитный калькулятор'!$G$10="ежемесячное (в конце месяца)",F773='депозитный калькулятор'!$D$8,EOMONTH(F773,0)&lt;&gt;F773),IF('депозитный калькулятор'!$F$1=1,$H$24,SUM($H$23:H773)-SUM($I$23:I772)),IF(AND('депозитный калькулятор'!$G$10="ежемесячное (в конце месяца)",EOMONTH(F773,0)=F773),SUM($H$23:H773)-SUM($I$23:I772),IF(AND('депозитный калькулятор'!$G$10="ежемесячное (по дням открытия вклада)",F773='депозитный калькулятор'!$D$8,DAY('депозитный калькулятор'!$D$7)&lt;&gt;DAY(F773)),IF('депозитный калькулятор'!$F$1=1,$H$24,SUM($H$23:H773)-SUM($I$23:I772)),IF(AND('депозитный калькулятор'!$G$10="ежемесячное (по дням открытия вклада)",DAY('депозитный калькулятор'!$D$7)=DAY(F773)),SUM($H$23:H773)-SUM($I$23:I772),IF(AND('депозитный калькулятор'!$G$10="ежемесячное, на минимальную сумму зафиксированную в течение месяца",F773='депозитный калькулятор'!$D$8,EOMONTH(F773,0)&lt;&gt;F773),IF('депозитный калькулятор'!$F$1=1,$H$24,IF(AND(OR('депозитный калькулятор'!$G$7="30/365",'депозитный калькулятор'!$G$7="30/360"),DAY(F773)=31),0,MIN(OFFSET(H773,-E773+1,0):H773)*(E773+SUMIF(OFFSET(A773,-E773+1,0):A773,"=2",OFFSET(A773,-E773+1,0):A773)))),IF(AND('депозитный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калькулятор'!$G$7="30/360"),DAY(EOMONTH(F773,0))=31),EOMONTH(F773,0)-1=F773,EOMONTH(F773,0)=F773)),IF(IF(AND(OR('депозитный калькулятор'!$G$7="30/365",'депозитный калькулятор'!$G$7="30/360"),DAY(EOMONTH($F$23,0))=31),F773=EOMONTH($F$23,0)-1,F773=EOMONTH($F$23,0)),MIN(OFFSET(H773,-(DAY(F773)-DAY($F$23)),0):H773)*E773,MIN(OFFSET(H773,-(DAY(F773)-1),0):H773)*IF(AND(OR('депозитный калькулятор'!$G$7="30/365",'депозитный калькулятор'!$G$7="30/360"),DAY(F773)&lt;30),30,DAY(F773))),IF(AND('депозитный калькулятор'!$G$10="ежемесячное, на средний остаток в течение месяца, при условии что остаток больше чем ограничение",F773='депозитный калькулятор'!$D$8,EOMONTH(F773,0)&lt;&gt;F773),IF('депозитный калькулятор'!$F$1=1,$H$24,SUM(OFFSET(Q773,-E773+1,0):Q773)),IF(AND('депозитный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калькулятор'!$G$7="30/360"),DAY(EOMONTH(F773,0))=31),EOMONTH(F773,0)-1=F773,EOMONTH(F773,0)=F773)),IF(IF(AND(OR('депозитный калькулятор'!$G$7="30/365",'депозитный калькулятор'!$G$7="30/360"),DAY(EOMONTH($F$24,0))=31),F773=EOMONTH($F$24,0)-1,F773=EOMONTH($F$24,0)),SUM(OFFSET(Q773,-E773+1,0):Q773),SUM(OFFSET(Q773,-E773+1,0):Q773)),IF('депозитный калькулятор'!$G$10="ежеквартальное",IF(F773&gt;'депозитный калькулятор'!$D$8," ",IF(AND(EOMONTH(F773,0)=F773,OR(MONTH(F773)=3,MONTH(F773)=6,MONTH(F773)=9,MONTH(F773)=12)),IF(EDATE(F773,-3)&lt;'депозитный калькулятор'!$D$7,SUM($H$23:H773),IF(MOD(YEAR(F773),4)=0,IF(AND(EOMONTH(F773,0)=F773,OR(MONTH(F773)=3,MONTH(F773)=6)),SUM(OFFSET(H773,-90,0):H773),IF(AND(EOMONTH(F773,0)=F773,OR(MONTH(F773)=9,MONTH(F773)=12)),SUM(OFFSET(H773,-91,0):H773))),IF(AND(EOMONTH(F773,0)=F773,MONTH(F773)=3),SUM(OFFSET(H773,-89,0):H773),IF(AND(EOMONTH(F773,0)=F773,MONTH(F773)=6),SUM(OFFSET(H773,-90,0):H773),IF(AND(EOMONTH(F773,0)=F773,OR(MONTH(F773)=9,MONTH(F773)=12)),SUM(OFFSET(H773,-91,0):H773)))))),IF(F773='депозитный калькулятор'!$D$8,SUM($H$23:H773)-SUM($I$23:I772),0))),IF('депозитный калькулятор'!$G$10="ежегодное",IF(F773&gt;'депозитный калькулятор'!$D$8," ",IF(F773='депозитный калькулятор'!$D$8,SUM($H$23:H773)-SUM($I$23:I772),IF(AND(EOMONTH(F773,0)=F773,MONTH(F773)=12),IF(MOD(YEAR(F772),4)=0,IF(F773-'депозитный калькулятор'!$D$7&lt;366,SUM($H$23:H773),SUM(OFFSET(H773,-365,0):H773)),IF(F773-'депозитный калькулятор'!$D$7&lt;365,SUM($H$23:H773),SUM(OFFSET(H773,-364,0):H773))),0))),IF(AND('депозитный калькулятор'!$G$10="в конце срока",'депозитный калькулятор'!$D$8=F773),SUM($H$23:H773),0))))))))))))))))))</f>
        <v xml:space="preserve"> </v>
      </c>
      <c r="J773" s="59" t="str">
        <f>IF(F773&gt;'депозитный калькулятор'!$D$8," ",IF('депозитный калькулятор'!$G$16="нет",0,IF(AND('депозитный калькулятор'!$G$17="разовая (в конце срока)",F773='депозитный калькулятор'!$D$8),'депозитный калькулятор'!$G$18,IF(AND('депозитный калькулятор'!$G$17="ежемесячная",EOMONTH(F772,0)=F772),'депозитный калькулятор'!$G$18,IF(AND('депозитный калькулятор'!$G$17="ежегодная",DAY(F772)=31,MONTH(F772)=12),'депозитный калькулятор'!$G$18,IF(AND('депозитный калькулятор'!$G$17="ежемесячная в зависимости от остатка",EOMONTH(F772,0)=F772,P772&gt;0),'депозитный калькулятор'!$G$18,IF(AND('депозитный калькулятор'!$G$17="ежегодная в зависимости от остатка",DAY(F772)=31,MONTH(F772)=12,P772&gt;0),'депозитный калькулятор'!$G$18,0)))))))</f>
        <v xml:space="preserve"> </v>
      </c>
      <c r="K773" s="135" t="str">
        <f>IF($F773=" "," ",IFERROR(VLOOKUP($F773,'депозитный калькулятор'!$B$26:$F$70,2,0),0))</f>
        <v xml:space="preserve"> </v>
      </c>
      <c r="L773" s="135" t="str">
        <f>IF($F773=" "," ",IFERROR(VLOOKUP($F773,'депозитный калькулятор'!$B$26:$F$70,3,0),0))</f>
        <v xml:space="preserve"> </v>
      </c>
      <c r="M773" s="135" t="str">
        <f>IF($F773=" "," ",IFERROR(VLOOKUP($F773,'депозитный калькулятор'!$B$26:$F$70,4,0),0))</f>
        <v xml:space="preserve"> </v>
      </c>
      <c r="N773" s="135" t="str">
        <f>IF($F773=" "," ",IFERROR(VLOOKUP($F773,'депозитный калькулятор'!$B$26:$F$70,5,0),0))</f>
        <v xml:space="preserve"> </v>
      </c>
      <c r="O773" s="146" t="str">
        <f>IF(F773&gt;'депозитный калькулятор'!$D$8," ",IF(F773='депозитный калькулятор'!$D$8,IF(AND($F$24='депозитный калькулятор'!$D$8,'депозитный калькулятор'!$G$13="нет"),-G773-IF(I773=" ",0,I773)-IF(AND(OR('депозитный калькулятор'!$G$7="30/365",'депозитный калькулятор'!$G$7="30/360"),'депозитный калькулятор'!$G$10="в начале срока"),I772,0)-L773+M773-N773,-G773-IF(I773=" ",0,I773)-L773+M773-N773),IF('депозитный калькулятор'!$G$13="есть",M773-N773+IF('депозитный калькулятор'!$G$14="есть",0,-L773),-IF(I773=" ",0,I773)-IF(AND(OR('депозитный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срока"),I772,0)+M773-N773+IF('депозитный калькулятор'!$G$14="есть",0,-L773))))</f>
        <v xml:space="preserve"> </v>
      </c>
      <c r="P773" s="147" t="str">
        <f>IF(F773&gt;'депозитный калькулятор'!$D$8," ",IF(EOMONTH(F772,0)=F772,0,IF(G773&gt;='депозитный калькулятор'!$G$19,P772,P772+1)))</f>
        <v xml:space="preserve"> </v>
      </c>
      <c r="Q773" s="138" t="str">
        <f>IF(F773=" "," ",IF(AND(OR('депозитный калькулятор'!$G$7="30/365",'депозитный калькулятор'!$G$7="30/360"),AND(MONTH(F773)=2,EOMONTH(F773,0)=F773)),IF(DAY(F773)=28,3,2),1)*IF(G773&gt;='депозитный калькулятор'!$G$11,IF(AND('депозитный калькулятор'!$G$7="факт/факт",MOD(YEAR(F773),4)=0),G773*'депозитный калькулятор'!$D$11/366,G773*'депозитный калькулятор'!$G$8),0))</f>
        <v xml:space="preserve"> </v>
      </c>
      <c r="R773" s="158"/>
      <c r="S773" s="62" t="str">
        <f t="shared" ca="1" si="57"/>
        <v xml:space="preserve"> </v>
      </c>
      <c r="T773" s="149" t="str">
        <f ca="1">IF(S773=" "," ",IF('депозитный калькулятор'!$G$7="30/360",DAYS360(U772,IF(DAY(U773)=31,U773-1,U773))+IF(AND(MONTH(U773)=2,U773=EOMONTH(U773,0)),30-DAY(EOMONTH(U773,0)))+T772,VLOOKUP(S773,$C$22:$F$1023,2,0)))</f>
        <v xml:space="preserve"> </v>
      </c>
      <c r="U773" s="64" t="str">
        <f t="shared" ca="1" si="55"/>
        <v xml:space="preserve"> </v>
      </c>
      <c r="V773" s="150" t="str">
        <f t="shared" ca="1" si="58"/>
        <v xml:space="preserve"> </v>
      </c>
      <c r="W773" s="62" t="str">
        <f t="shared" ca="1" si="59"/>
        <v xml:space="preserve"> </v>
      </c>
      <c r="X773" s="141" t="str">
        <f ca="1">IF(S773=" "," ",IFERROR(VLOOKUP(U773,$F$23:$N$1023,7)+VLOOKUP(U773,$F$23:$N$1023,9)+IF(AND('депозитный калькулятор'!$G$13="нет",U773&lt;&gt;'депозитный калькулятор'!$D$8),VLOOKUP(U773,$F$23:$N$1023,4),0),0)+IF(U773='депозитный калькулятор'!$D$8,VLOOKUP(U773,$F$23:$N$1023,2)+VLOOKUP(U773,$F$23:$N$1023,4),0))</f>
        <v xml:space="preserve"> </v>
      </c>
      <c r="Y773" s="142" t="str">
        <f ca="1">IF(S773=" "," ",W773/(1+'депозитный калькулятор'!$K$8)^(T773/IF('депозитный калькулятор'!$G$7="30/360",360,365)))</f>
        <v xml:space="preserve"> </v>
      </c>
      <c r="Z773" s="142" t="str">
        <f ca="1">IF(S773=" "," ",X773/(1+'депозитный калькулятор'!$K$8)^(T773/IF('депозитный калькулятор'!$G$7="30/360",360,365)))</f>
        <v xml:space="preserve"> </v>
      </c>
      <c r="AA773" s="151"/>
      <c r="AB773" s="151"/>
      <c r="AC773" s="155"/>
      <c r="AD773" s="155"/>
    </row>
    <row r="774" spans="1:30" s="2" customFormat="1" ht="15.5" x14ac:dyDescent="0.35">
      <c r="A774" s="41" t="str">
        <f>IF(F774=" "," ",IF(OR('депозитный калькулятор'!$G$7="30/365",'депозитный калькулятор'!$G$7="30/360"),IF(AND(MONTH(F774)=2,DAY(F774)=DAY(EOMONTH(F774,0))),30-DAY(EOMONTH(F774,0)),IF(DAY(F774)=31,1," "))," "))</f>
        <v xml:space="preserve"> </v>
      </c>
      <c r="B774" s="130" t="str">
        <f t="shared" si="56"/>
        <v xml:space="preserve"> </v>
      </c>
      <c r="C774" s="130" t="str">
        <f>IF(OR(B774=0,B774=" ")," ",SUM($B$23:B774))</f>
        <v xml:space="preserve"> </v>
      </c>
      <c r="D774" s="62" t="str">
        <f>IF(D773=" "," ",IF(OR(F773='депозитный калькулятор'!$D$8,F773=" ")," ",D773+1))</f>
        <v xml:space="preserve"> </v>
      </c>
      <c r="E774" s="130" t="str">
        <f>IF(OR(F773='депозитный калькулятор'!$D$8,F773=" ")," ",IF(EOMONTH(F773,0)=F773,1,E773+1))</f>
        <v xml:space="preserve"> </v>
      </c>
      <c r="F774" s="64" t="str">
        <f>IF(F773=" "," ",IF(F773='депозитный калькулятор'!$D$8," ",F773+1))</f>
        <v xml:space="preserve"> </v>
      </c>
      <c r="G774" s="145" t="str">
        <f xml:space="preserve"> IF(F774&gt;'депозитный калькулятор'!$D$8," ",IF('депозитный калькулятор'!$G$13="есть",IF('депозитный калькулятор'!$G$14="есть",G773+IF(I773=" ",0,I773)-J774-K774+L774+M774-N774,G773+IF(I773=" ",0,I773)-J774-K774+M774-N774),IF('депозитный калькулятор'!$G$14="есть",G773-J774-K774+L774+M774-N774,G773-J774-K774+M774-N774)))</f>
        <v xml:space="preserve"> </v>
      </c>
      <c r="H774" s="133" t="str">
        <f>IF(F774&gt;'депозитный калькулятор'!$D$8," ",IF(AND(OR('депозитный калькулятор'!$G$7="30/365",'депозитный калькулятор'!$G$7="30/360"),AND(MONTH(F774)=2,EOMONTH(F774,0)=F774)),IF(DAY(F774)=28,3*G774*'депозитный калькулятор'!$G$8,2*G774*'депозитный калькулятор'!$G$8),IF(AND(OR('депозитный калькулятор'!$G$7="30/365",'депозитный калькулятор'!$G$7="30/360"),DAY(F774)=31)," ",IF(AND('депозитный калькулятор'!$G$7="факт/факт",MOD(YEAR(F774),4)=0),G774*'депозитный калькулятор'!$D$11/366,G774*'депозитный калькулятор'!$G$8))))</f>
        <v xml:space="preserve"> </v>
      </c>
      <c r="I774" s="134" t="str">
        <f ca="1">IF(F774=" "," ",IF('депозитный калькулятор'!$G$10="ежедневное",H774,IF(AND('депозитный калькулятор'!$G$10="еженедельное",WEEKDAY(F774,2)=7),SUM(OFFSET(H774,-6,0):H774),IF(AND('депозитный калькулятор'!$G$10="еженедельное",F774='депозитный калькулятор'!$D$8),SUM($H$23:H774)-SUM($I$23:I773),IF(AND('депозитный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недели",WEEKDAY(F774,2)=7),MIN(OFFSET(H774,-6,0):H774)*(COUNTIF(OFFSET(H774,-6,0):H774,"&gt;0")+SUMIF(OFFSET(A774,-WEEKDAY(F774,2),0):A774,"=2",OFFSET(A774,-WEEKDAY(F774,2),0):A774)),IF(AND('депозитный калькулятор'!$G$10="еженедельное, на минимальную сумму зафиксированную в течение недели",F774='депозитный калькулятор'!$D$8,WEEKDAY(F774,2)&lt;&gt;7),MIN(OFFSET(H774,-WEEKDAY(F774,2),0):H774)*(COUNTIF(OFFSET(H774,-WEEKDAY(F774,2)+1,0):H774,"&gt;0")+SUM(OFFSET(A774,-WEEKDAY(F774,2),0):A774)),IF(AND('депозитный калькулятор'!$G$10="ежемесячное (в конце месяца)",F774='депозитный калькулятор'!$D$8,EOMONTH(F774,0)&lt;&gt;F774),IF('депозитный калькулятор'!$F$1=1,$H$24,SUM($H$23:H774)-SUM($I$23:I773)),IF(AND('депозитный калькулятор'!$G$10="ежемесячное (в конце месяца)",EOMONTH(F774,0)=F774),SUM($H$23:H774)-SUM($I$23:I773),IF(AND('депозитный калькулятор'!$G$10="ежемесячное (по дням открытия вклада)",F774='депозитный калькулятор'!$D$8,DAY('депозитный калькулятор'!$D$7)&lt;&gt;DAY(F774)),IF('депозитный калькулятор'!$F$1=1,$H$24,SUM($H$23:H774)-SUM($I$23:I773)),IF(AND('депозитный калькулятор'!$G$10="ежемесячное (по дням открытия вклада)",DAY('депозитный калькулятор'!$D$7)=DAY(F774)),SUM($H$23:H774)-SUM($I$23:I773),IF(AND('депозитный калькулятор'!$G$10="ежемесячное, на минимальную сумму зафиксированную в течение месяца",F774='депозитный калькулятор'!$D$8,EOMONTH(F774,0)&lt;&gt;F774),IF('депозитный калькулятор'!$F$1=1,$H$24,IF(AND(OR('депозитный калькулятор'!$G$7="30/365",'депозитный калькулятор'!$G$7="30/360"),DAY(F774)=31),0,MIN(OFFSET(H774,-E774+1,0):H774)*(E774+SUMIF(OFFSET(A774,-E774+1,0):A774,"=2",OFFSET(A774,-E774+1,0):A774)))),IF(AND('депозитный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калькулятор'!$G$7="30/360"),DAY(EOMONTH(F774,0))=31),EOMONTH(F774,0)-1=F774,EOMONTH(F774,0)=F774)),IF(IF(AND(OR('депозитный калькулятор'!$G$7="30/365",'депозитный калькулятор'!$G$7="30/360"),DAY(EOMONTH($F$23,0))=31),F774=EOMONTH($F$23,0)-1,F774=EOMONTH($F$23,0)),MIN(OFFSET(H774,-(DAY(F774)-DAY($F$23)),0):H774)*E774,MIN(OFFSET(H774,-(DAY(F774)-1),0):H774)*IF(AND(OR('депозитный калькулятор'!$G$7="30/365",'депозитный калькулятор'!$G$7="30/360"),DAY(F774)&lt;30),30,DAY(F774))),IF(AND('депозитный калькулятор'!$G$10="ежемесячное, на средний остаток в течение месяца, при условии что остаток больше чем ограничение",F774='депозитный калькулятор'!$D$8,EOMONTH(F774,0)&lt;&gt;F774),IF('депозитный калькулятор'!$F$1=1,$H$24,SUM(OFFSET(Q774,-E774+1,0):Q774)),IF(AND('депозитный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калькулятор'!$G$7="30/360"),DAY(EOMONTH(F774,0))=31),EOMONTH(F774,0)-1=F774,EOMONTH(F774,0)=F774)),IF(IF(AND(OR('депозитный калькулятор'!$G$7="30/365",'депозитный калькулятор'!$G$7="30/360"),DAY(EOMONTH($F$24,0))=31),F774=EOMONTH($F$24,0)-1,F774=EOMONTH($F$24,0)),SUM(OFFSET(Q774,-E774+1,0):Q774),SUM(OFFSET(Q774,-E774+1,0):Q774)),IF('депозитный калькулятор'!$G$10="ежеквартальное",IF(F774&gt;'депозитный калькулятор'!$D$8," ",IF(AND(EOMONTH(F774,0)=F774,OR(MONTH(F774)=3,MONTH(F774)=6,MONTH(F774)=9,MONTH(F774)=12)),IF(EDATE(F774,-3)&lt;'депозитный калькулятор'!$D$7,SUM($H$23:H774),IF(MOD(YEAR(F774),4)=0,IF(AND(EOMONTH(F774,0)=F774,OR(MONTH(F774)=3,MONTH(F774)=6)),SUM(OFFSET(H774,-90,0):H774),IF(AND(EOMONTH(F774,0)=F774,OR(MONTH(F774)=9,MONTH(F774)=12)),SUM(OFFSET(H774,-91,0):H774))),IF(AND(EOMONTH(F774,0)=F774,MONTH(F774)=3),SUM(OFFSET(H774,-89,0):H774),IF(AND(EOMONTH(F774,0)=F774,MONTH(F774)=6),SUM(OFFSET(H774,-90,0):H774),IF(AND(EOMONTH(F774,0)=F774,OR(MONTH(F774)=9,MONTH(F774)=12)),SUM(OFFSET(H774,-91,0):H774)))))),IF(F774='депозитный калькулятор'!$D$8,SUM($H$23:H774)-SUM($I$23:I773),0))),IF('депозитный калькулятор'!$G$10="ежегодное",IF(F774&gt;'депозитный калькулятор'!$D$8," ",IF(F774='депозитный калькулятор'!$D$8,SUM($H$23:H774)-SUM($I$23:I773),IF(AND(EOMONTH(F774,0)=F774,MONTH(F774)=12),IF(MOD(YEAR(F773),4)=0,IF(F774-'депозитный калькулятор'!$D$7&lt;366,SUM($H$23:H774),SUM(OFFSET(H774,-365,0):H774)),IF(F774-'депозитный калькулятор'!$D$7&lt;365,SUM($H$23:H774),SUM(OFFSET(H774,-364,0):H774))),0))),IF(AND('депозитный калькулятор'!$G$10="в конце срока",'депозитный калькулятор'!$D$8=F774),SUM($H$23:H774),0))))))))))))))))))</f>
        <v xml:space="preserve"> </v>
      </c>
      <c r="J774" s="59" t="str">
        <f>IF(F774&gt;'депозитный калькулятор'!$D$8," ",IF('депозитный калькулятор'!$G$16="нет",0,IF(AND('депозитный калькулятор'!$G$17="разовая (в конце срока)",F774='депозитный калькулятор'!$D$8),'депозитный калькулятор'!$G$18,IF(AND('депозитный калькулятор'!$G$17="ежемесячная",EOMONTH(F773,0)=F773),'депозитный калькулятор'!$G$18,IF(AND('депозитный калькулятор'!$G$17="ежегодная",DAY(F773)=31,MONTH(F773)=12),'депозитный калькулятор'!$G$18,IF(AND('депозитный калькулятор'!$G$17="ежемесячная в зависимости от остатка",EOMONTH(F773,0)=F773,P773&gt;0),'депозитный калькулятор'!$G$18,IF(AND('депозитный калькулятор'!$G$17="ежегодная в зависимости от остатка",DAY(F773)=31,MONTH(F773)=12,P773&gt;0),'депозитный калькулятор'!$G$18,0)))))))</f>
        <v xml:space="preserve"> </v>
      </c>
      <c r="K774" s="135" t="str">
        <f>IF($F774=" "," ",IFERROR(VLOOKUP($F774,'депозитный калькулятор'!$B$26:$F$70,2,0),0))</f>
        <v xml:space="preserve"> </v>
      </c>
      <c r="L774" s="135" t="str">
        <f>IF($F774=" "," ",IFERROR(VLOOKUP($F774,'депозитный калькулятор'!$B$26:$F$70,3,0),0))</f>
        <v xml:space="preserve"> </v>
      </c>
      <c r="M774" s="135" t="str">
        <f>IF($F774=" "," ",IFERROR(VLOOKUP($F774,'депозитный калькулятор'!$B$26:$F$70,4,0),0))</f>
        <v xml:space="preserve"> </v>
      </c>
      <c r="N774" s="135" t="str">
        <f>IF($F774=" "," ",IFERROR(VLOOKUP($F774,'депозитный калькулятор'!$B$26:$F$70,5,0),0))</f>
        <v xml:space="preserve"> </v>
      </c>
      <c r="O774" s="146" t="str">
        <f>IF(F774&gt;'депозитный калькулятор'!$D$8," ",IF(F774='депозитный калькулятор'!$D$8,IF(AND($F$24='депозитный калькулятор'!$D$8,'депозитный калькулятор'!$G$13="нет"),-G774-IF(I774=" ",0,I774)-IF(AND(OR('депозитный калькулятор'!$G$7="30/365",'депозитный калькулятор'!$G$7="30/360"),'депозитный калькулятор'!$G$10="в начале срока"),I773,0)-L774+M774-N774,-G774-IF(I774=" ",0,I774)-L774+M774-N774),IF('депозитный калькулятор'!$G$13="есть",M774-N774+IF('депозитный калькулятор'!$G$14="есть",0,-L774),-IF(I774=" ",0,I774)-IF(AND(OR('депозитный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срока"),I773,0)+M774-N774+IF('депозитный калькулятор'!$G$14="есть",0,-L774))))</f>
        <v xml:space="preserve"> </v>
      </c>
      <c r="P774" s="147" t="str">
        <f>IF(F774&gt;'депозитный калькулятор'!$D$8," ",IF(EOMONTH(F773,0)=F773,0,IF(G774&gt;='депозитный калькулятор'!$G$19,P773,P773+1)))</f>
        <v xml:space="preserve"> </v>
      </c>
      <c r="Q774" s="138" t="str">
        <f>IF(F774=" "," ",IF(AND(OR('депозитный калькулятор'!$G$7="30/365",'депозитный калькулятор'!$G$7="30/360"),AND(MONTH(F774)=2,EOMONTH(F774,0)=F774)),IF(DAY(F774)=28,3,2),1)*IF(G774&gt;='депозитный калькулятор'!$G$11,IF(AND('депозитный калькулятор'!$G$7="факт/факт",MOD(YEAR(F774),4)=0),G774*'депозитный калькулятор'!$D$11/366,G774*'депозитный калькулятор'!$G$8),0))</f>
        <v xml:space="preserve"> </v>
      </c>
      <c r="R774" s="158"/>
      <c r="S774" s="62" t="str">
        <f t="shared" ca="1" si="57"/>
        <v xml:space="preserve"> </v>
      </c>
      <c r="T774" s="149" t="str">
        <f ca="1">IF(S774=" "," ",IF('депозитный калькулятор'!$G$7="30/360",DAYS360(U773,IF(DAY(U774)=31,U774-1,U774))+IF(AND(MONTH(U774)=2,U774=EOMONTH(U774,0)),30-DAY(EOMONTH(U774,0)))+T773,VLOOKUP(S774,$C$22:$F$1023,2,0)))</f>
        <v xml:space="preserve"> </v>
      </c>
      <c r="U774" s="64" t="str">
        <f t="shared" ca="1" si="55"/>
        <v xml:space="preserve"> </v>
      </c>
      <c r="V774" s="150" t="str">
        <f t="shared" ca="1" si="58"/>
        <v xml:space="preserve"> </v>
      </c>
      <c r="W774" s="62" t="str">
        <f t="shared" ca="1" si="59"/>
        <v xml:space="preserve"> </v>
      </c>
      <c r="X774" s="141" t="str">
        <f ca="1">IF(S774=" "," ",IFERROR(VLOOKUP(U774,$F$23:$N$1023,7)+VLOOKUP(U774,$F$23:$N$1023,9)+IF(AND('депозитный калькулятор'!$G$13="нет",U774&lt;&gt;'депозитный калькулятор'!$D$8),VLOOKUP(U774,$F$23:$N$1023,4),0),0)+IF(U774='депозитный калькулятор'!$D$8,VLOOKUP(U774,$F$23:$N$1023,2)+VLOOKUP(U774,$F$23:$N$1023,4),0))</f>
        <v xml:space="preserve"> </v>
      </c>
      <c r="Y774" s="142" t="str">
        <f ca="1">IF(S774=" "," ",W774/(1+'депозитный калькулятор'!$K$8)^(T774/IF('депозитный калькулятор'!$G$7="30/360",360,365)))</f>
        <v xml:space="preserve"> </v>
      </c>
      <c r="Z774" s="142" t="str">
        <f ca="1">IF(S774=" "," ",X774/(1+'депозитный калькулятор'!$K$8)^(T774/IF('депозитный калькулятор'!$G$7="30/360",360,365)))</f>
        <v xml:space="preserve"> </v>
      </c>
      <c r="AA774" s="151"/>
      <c r="AB774" s="151"/>
      <c r="AC774" s="155"/>
      <c r="AD774" s="155"/>
    </row>
    <row r="775" spans="1:30" s="2" customFormat="1" ht="15.5" x14ac:dyDescent="0.35">
      <c r="A775" s="41" t="str">
        <f>IF(F775=" "," ",IF(OR('депозитный калькулятор'!$G$7="30/365",'депозитный калькулятор'!$G$7="30/360"),IF(AND(MONTH(F775)=2,DAY(F775)=DAY(EOMONTH(F775,0))),30-DAY(EOMONTH(F775,0)),IF(DAY(F775)=31,1," "))," "))</f>
        <v xml:space="preserve"> </v>
      </c>
      <c r="B775" s="130" t="str">
        <f t="shared" si="56"/>
        <v xml:space="preserve"> </v>
      </c>
      <c r="C775" s="130" t="str">
        <f>IF(OR(B775=0,B775=" ")," ",SUM($B$23:B775))</f>
        <v xml:space="preserve"> </v>
      </c>
      <c r="D775" s="62" t="str">
        <f>IF(D774=" "," ",IF(OR(F774='депозитный калькулятор'!$D$8,F774=" ")," ",D774+1))</f>
        <v xml:space="preserve"> </v>
      </c>
      <c r="E775" s="130" t="str">
        <f>IF(OR(F774='депозитный калькулятор'!$D$8,F774=" ")," ",IF(EOMONTH(F774,0)=F774,1,E774+1))</f>
        <v xml:space="preserve"> </v>
      </c>
      <c r="F775" s="64" t="str">
        <f>IF(F774=" "," ",IF(F774='депозитный калькулятор'!$D$8," ",F774+1))</f>
        <v xml:space="preserve"> </v>
      </c>
      <c r="G775" s="145" t="str">
        <f xml:space="preserve"> IF(F775&gt;'депозитный калькулятор'!$D$8," ",IF('депозитный калькулятор'!$G$13="есть",IF('депозитный калькулятор'!$G$14="есть",G774+IF(I774=" ",0,I774)-J775-K775+L775+M775-N775,G774+IF(I774=" ",0,I774)-J775-K775+M775-N775),IF('депозитный калькулятор'!$G$14="есть",G774-J775-K775+L775+M775-N775,G774-J775-K775+M775-N775)))</f>
        <v xml:space="preserve"> </v>
      </c>
      <c r="H775" s="133" t="str">
        <f>IF(F775&gt;'депозитный калькулятор'!$D$8," ",IF(AND(OR('депозитный калькулятор'!$G$7="30/365",'депозитный калькулятор'!$G$7="30/360"),AND(MONTH(F775)=2,EOMONTH(F775,0)=F775)),IF(DAY(F775)=28,3*G775*'депозитный калькулятор'!$G$8,2*G775*'депозитный калькулятор'!$G$8),IF(AND(OR('депозитный калькулятор'!$G$7="30/365",'депозитный калькулятор'!$G$7="30/360"),DAY(F775)=31)," ",IF(AND('депозитный калькулятор'!$G$7="факт/факт",MOD(YEAR(F775),4)=0),G775*'депозитный калькулятор'!$D$11/366,G775*'депозитный калькулятор'!$G$8))))</f>
        <v xml:space="preserve"> </v>
      </c>
      <c r="I775" s="134" t="str">
        <f ca="1">IF(F775=" "," ",IF('депозитный калькулятор'!$G$10="ежедневное",H775,IF(AND('депозитный калькулятор'!$G$10="еженедельное",WEEKDAY(F775,2)=7),SUM(OFFSET(H775,-6,0):H775),IF(AND('депозитный калькулятор'!$G$10="еженедельное",F775='депозитный калькулятор'!$D$8),SUM($H$23:H775)-SUM($I$23:I774),IF(AND('депозитный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недели",WEEKDAY(F775,2)=7),MIN(OFFSET(H775,-6,0):H775)*(COUNTIF(OFFSET(H775,-6,0):H775,"&gt;0")+SUMIF(OFFSET(A775,-WEEKDAY(F775,2),0):A775,"=2",OFFSET(A775,-WEEKDAY(F775,2),0):A775)),IF(AND('депозитный калькулятор'!$G$10="еженедельное, на минимальную сумму зафиксированную в течение недели",F775='депозитный калькулятор'!$D$8,WEEKDAY(F775,2)&lt;&gt;7),MIN(OFFSET(H775,-WEEKDAY(F775,2),0):H775)*(COUNTIF(OFFSET(H775,-WEEKDAY(F775,2)+1,0):H775,"&gt;0")+SUM(OFFSET(A775,-WEEKDAY(F775,2),0):A775)),IF(AND('депозитный калькулятор'!$G$10="ежемесячное (в конце месяца)",F775='депозитный калькулятор'!$D$8,EOMONTH(F775,0)&lt;&gt;F775),IF('депозитный калькулятор'!$F$1=1,$H$24,SUM($H$23:H775)-SUM($I$23:I774)),IF(AND('депозитный калькулятор'!$G$10="ежемесячное (в конце месяца)",EOMONTH(F775,0)=F775),SUM($H$23:H775)-SUM($I$23:I774),IF(AND('депозитный калькулятор'!$G$10="ежемесячное (по дням открытия вклада)",F775='депозитный калькулятор'!$D$8,DAY('депозитный калькулятор'!$D$7)&lt;&gt;DAY(F775)),IF('депозитный калькулятор'!$F$1=1,$H$24,SUM($H$23:H775)-SUM($I$23:I774)),IF(AND('депозитный калькулятор'!$G$10="ежемесячное (по дням открытия вклада)",DAY('депозитный калькулятор'!$D$7)=DAY(F775)),SUM($H$23:H775)-SUM($I$23:I774),IF(AND('депозитный калькулятор'!$G$10="ежемесячное, на минимальную сумму зафиксированную в течение месяца",F775='депозитный калькулятор'!$D$8,EOMONTH(F775,0)&lt;&gt;F775),IF('депозитный калькулятор'!$F$1=1,$H$24,IF(AND(OR('депозитный калькулятор'!$G$7="30/365",'депозитный калькулятор'!$G$7="30/360"),DAY(F775)=31),0,MIN(OFFSET(H775,-E775+1,0):H775)*(E775+SUMIF(OFFSET(A775,-E775+1,0):A775,"=2",OFFSET(A775,-E775+1,0):A775)))),IF(AND('депозитный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калькулятор'!$G$7="30/360"),DAY(EOMONTH(F775,0))=31),EOMONTH(F775,0)-1=F775,EOMONTH(F775,0)=F775)),IF(IF(AND(OR('депозитный калькулятор'!$G$7="30/365",'депозитный калькулятор'!$G$7="30/360"),DAY(EOMONTH($F$23,0))=31),F775=EOMONTH($F$23,0)-1,F775=EOMONTH($F$23,0)),MIN(OFFSET(H775,-(DAY(F775)-DAY($F$23)),0):H775)*E775,MIN(OFFSET(H775,-(DAY(F775)-1),0):H775)*IF(AND(OR('депозитный калькулятор'!$G$7="30/365",'депозитный калькулятор'!$G$7="30/360"),DAY(F775)&lt;30),30,DAY(F775))),IF(AND('депозитный калькулятор'!$G$10="ежемесячное, на средний остаток в течение месяца, при условии что остаток больше чем ограничение",F775='депозитный калькулятор'!$D$8,EOMONTH(F775,0)&lt;&gt;F775),IF('депозитный калькулятор'!$F$1=1,$H$24,SUM(OFFSET(Q775,-E775+1,0):Q775)),IF(AND('депозитный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калькулятор'!$G$7="30/360"),DAY(EOMONTH(F775,0))=31),EOMONTH(F775,0)-1=F775,EOMONTH(F775,0)=F775)),IF(IF(AND(OR('депозитный калькулятор'!$G$7="30/365",'депозитный калькулятор'!$G$7="30/360"),DAY(EOMONTH($F$24,0))=31),F775=EOMONTH($F$24,0)-1,F775=EOMONTH($F$24,0)),SUM(OFFSET(Q775,-E775+1,0):Q775),SUM(OFFSET(Q775,-E775+1,0):Q775)),IF('депозитный калькулятор'!$G$10="ежеквартальное",IF(F775&gt;'депозитный калькулятор'!$D$8," ",IF(AND(EOMONTH(F775,0)=F775,OR(MONTH(F775)=3,MONTH(F775)=6,MONTH(F775)=9,MONTH(F775)=12)),IF(EDATE(F775,-3)&lt;'депозитный калькулятор'!$D$7,SUM($H$23:H775),IF(MOD(YEAR(F775),4)=0,IF(AND(EOMONTH(F775,0)=F775,OR(MONTH(F775)=3,MONTH(F775)=6)),SUM(OFFSET(H775,-90,0):H775),IF(AND(EOMONTH(F775,0)=F775,OR(MONTH(F775)=9,MONTH(F775)=12)),SUM(OFFSET(H775,-91,0):H775))),IF(AND(EOMONTH(F775,0)=F775,MONTH(F775)=3),SUM(OFFSET(H775,-89,0):H775),IF(AND(EOMONTH(F775,0)=F775,MONTH(F775)=6),SUM(OFFSET(H775,-90,0):H775),IF(AND(EOMONTH(F775,0)=F775,OR(MONTH(F775)=9,MONTH(F775)=12)),SUM(OFFSET(H775,-91,0):H775)))))),IF(F775='депозитный калькулятор'!$D$8,SUM($H$23:H775)-SUM($I$23:I774),0))),IF('депозитный калькулятор'!$G$10="ежегодное",IF(F775&gt;'депозитный калькулятор'!$D$8," ",IF(F775='депозитный калькулятор'!$D$8,SUM($H$23:H775)-SUM($I$23:I774),IF(AND(EOMONTH(F775,0)=F775,MONTH(F775)=12),IF(MOD(YEAR(F774),4)=0,IF(F775-'депозитный калькулятор'!$D$7&lt;366,SUM($H$23:H775),SUM(OFFSET(H775,-365,0):H775)),IF(F775-'депозитный калькулятор'!$D$7&lt;365,SUM($H$23:H775),SUM(OFFSET(H775,-364,0):H775))),0))),IF(AND('депозитный калькулятор'!$G$10="в конце срока",'депозитный калькулятор'!$D$8=F775),SUM($H$23:H775),0))))))))))))))))))</f>
        <v xml:space="preserve"> </v>
      </c>
      <c r="J775" s="59" t="str">
        <f>IF(F775&gt;'депозитный калькулятор'!$D$8," ",IF('депозитный калькулятор'!$G$16="нет",0,IF(AND('депозитный калькулятор'!$G$17="разовая (в конце срока)",F775='депозитный калькулятор'!$D$8),'депозитный калькулятор'!$G$18,IF(AND('депозитный калькулятор'!$G$17="ежемесячная",EOMONTH(F774,0)=F774),'депозитный калькулятор'!$G$18,IF(AND('депозитный калькулятор'!$G$17="ежегодная",DAY(F774)=31,MONTH(F774)=12),'депозитный калькулятор'!$G$18,IF(AND('депозитный калькулятор'!$G$17="ежемесячная в зависимости от остатка",EOMONTH(F774,0)=F774,P774&gt;0),'депозитный калькулятор'!$G$18,IF(AND('депозитный калькулятор'!$G$17="ежегодная в зависимости от остатка",DAY(F774)=31,MONTH(F774)=12,P774&gt;0),'депозитный калькулятор'!$G$18,0)))))))</f>
        <v xml:space="preserve"> </v>
      </c>
      <c r="K775" s="135" t="str">
        <f>IF($F775=" "," ",IFERROR(VLOOKUP($F775,'депозитный калькулятор'!$B$26:$F$70,2,0),0))</f>
        <v xml:space="preserve"> </v>
      </c>
      <c r="L775" s="135" t="str">
        <f>IF($F775=" "," ",IFERROR(VLOOKUP($F775,'депозитный калькулятор'!$B$26:$F$70,3,0),0))</f>
        <v xml:space="preserve"> </v>
      </c>
      <c r="M775" s="135" t="str">
        <f>IF($F775=" "," ",IFERROR(VLOOKUP($F775,'депозитный калькулятор'!$B$26:$F$70,4,0),0))</f>
        <v xml:space="preserve"> </v>
      </c>
      <c r="N775" s="135" t="str">
        <f>IF($F775=" "," ",IFERROR(VLOOKUP($F775,'депозитный калькулятор'!$B$26:$F$70,5,0),0))</f>
        <v xml:space="preserve"> </v>
      </c>
      <c r="O775" s="146" t="str">
        <f>IF(F775&gt;'депозитный калькулятор'!$D$8," ",IF(F775='депозитный калькулятор'!$D$8,IF(AND($F$24='депозитный калькулятор'!$D$8,'депозитный калькулятор'!$G$13="нет"),-G775-IF(I775=" ",0,I775)-IF(AND(OR('депозитный калькулятор'!$G$7="30/365",'депозитный калькулятор'!$G$7="30/360"),'депозитный калькулятор'!$G$10="в начале срока"),I774,0)-L775+M775-N775,-G775-IF(I775=" ",0,I775)-L775+M775-N775),IF('депозитный калькулятор'!$G$13="есть",M775-N775+IF('депозитный калькулятор'!$G$14="есть",0,-L775),-IF(I775=" ",0,I775)-IF(AND(OR('депозитный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срока"),I774,0)+M775-N775+IF('депозитный калькулятор'!$G$14="есть",0,-L775))))</f>
        <v xml:space="preserve"> </v>
      </c>
      <c r="P775" s="147" t="str">
        <f>IF(F775&gt;'депозитный калькулятор'!$D$8," ",IF(EOMONTH(F774,0)=F774,0,IF(G775&gt;='депозитный калькулятор'!$G$19,P774,P774+1)))</f>
        <v xml:space="preserve"> </v>
      </c>
      <c r="Q775" s="138" t="str">
        <f>IF(F775=" "," ",IF(AND(OR('депозитный калькулятор'!$G$7="30/365",'депозитный калькулятор'!$G$7="30/360"),AND(MONTH(F775)=2,EOMONTH(F775,0)=F775)),IF(DAY(F775)=28,3,2),1)*IF(G775&gt;='депозитный калькулятор'!$G$11,IF(AND('депозитный калькулятор'!$G$7="факт/факт",MOD(YEAR(F775),4)=0),G775*'депозитный калькулятор'!$D$11/366,G775*'депозитный калькулятор'!$G$8),0))</f>
        <v xml:space="preserve"> </v>
      </c>
      <c r="R775" s="158"/>
      <c r="S775" s="62" t="str">
        <f t="shared" ca="1" si="57"/>
        <v xml:space="preserve"> </v>
      </c>
      <c r="T775" s="149" t="str">
        <f ca="1">IF(S775=" "," ",IF('депозитный калькулятор'!$G$7="30/360",DAYS360(U774,IF(DAY(U775)=31,U775-1,U775))+IF(AND(MONTH(U775)=2,U775=EOMONTH(U775,0)),30-DAY(EOMONTH(U775,0)))+T774,VLOOKUP(S775,$C$22:$F$1023,2,0)))</f>
        <v xml:space="preserve"> </v>
      </c>
      <c r="U775" s="64" t="str">
        <f t="shared" ca="1" si="55"/>
        <v xml:space="preserve"> </v>
      </c>
      <c r="V775" s="150" t="str">
        <f t="shared" ca="1" si="58"/>
        <v xml:space="preserve"> </v>
      </c>
      <c r="W775" s="62" t="str">
        <f t="shared" ca="1" si="59"/>
        <v xml:space="preserve"> </v>
      </c>
      <c r="X775" s="141" t="str">
        <f ca="1">IF(S775=" "," ",IFERROR(VLOOKUP(U775,$F$23:$N$1023,7)+VLOOKUP(U775,$F$23:$N$1023,9)+IF(AND('депозитный калькулятор'!$G$13="нет",U775&lt;&gt;'депозитный калькулятор'!$D$8),VLOOKUP(U775,$F$23:$N$1023,4),0),0)+IF(U775='депозитный калькулятор'!$D$8,VLOOKUP(U775,$F$23:$N$1023,2)+VLOOKUP(U775,$F$23:$N$1023,4),0))</f>
        <v xml:space="preserve"> </v>
      </c>
      <c r="Y775" s="142" t="str">
        <f ca="1">IF(S775=" "," ",W775/(1+'депозитный калькулятор'!$K$8)^(T775/IF('депозитный калькулятор'!$G$7="30/360",360,365)))</f>
        <v xml:space="preserve"> </v>
      </c>
      <c r="Z775" s="142" t="str">
        <f ca="1">IF(S775=" "," ",X775/(1+'депозитный калькулятор'!$K$8)^(T775/IF('депозитный калькулятор'!$G$7="30/360",360,365)))</f>
        <v xml:space="preserve"> </v>
      </c>
      <c r="AA775" s="151"/>
      <c r="AB775" s="151"/>
      <c r="AC775" s="155"/>
      <c r="AD775" s="155"/>
    </row>
    <row r="776" spans="1:30" s="2" customFormat="1" ht="15.5" x14ac:dyDescent="0.35">
      <c r="A776" s="41" t="str">
        <f>IF(F776=" "," ",IF(OR('депозитный калькулятор'!$G$7="30/365",'депозитный калькулятор'!$G$7="30/360"),IF(AND(MONTH(F776)=2,DAY(F776)=DAY(EOMONTH(F776,0))),30-DAY(EOMONTH(F776,0)),IF(DAY(F776)=31,1," "))," "))</f>
        <v xml:space="preserve"> </v>
      </c>
      <c r="B776" s="130" t="str">
        <f t="shared" si="56"/>
        <v xml:space="preserve"> </v>
      </c>
      <c r="C776" s="130" t="str">
        <f>IF(OR(B776=0,B776=" ")," ",SUM($B$23:B776))</f>
        <v xml:space="preserve"> </v>
      </c>
      <c r="D776" s="62" t="str">
        <f>IF(D775=" "," ",IF(OR(F775='депозитный калькулятор'!$D$8,F775=" ")," ",D775+1))</f>
        <v xml:space="preserve"> </v>
      </c>
      <c r="E776" s="130" t="str">
        <f>IF(OR(F775='депозитный калькулятор'!$D$8,F775=" ")," ",IF(EOMONTH(F775,0)=F775,1,E775+1))</f>
        <v xml:space="preserve"> </v>
      </c>
      <c r="F776" s="64" t="str">
        <f>IF(F775=" "," ",IF(F775='депозитный калькулятор'!$D$8," ",F775+1))</f>
        <v xml:space="preserve"> </v>
      </c>
      <c r="G776" s="145" t="str">
        <f xml:space="preserve"> IF(F776&gt;'депозитный калькулятор'!$D$8," ",IF('депозитный калькулятор'!$G$13="есть",IF('депозитный калькулятор'!$G$14="есть",G775+IF(I775=" ",0,I775)-J776-K776+L776+M776-N776,G775+IF(I775=" ",0,I775)-J776-K776+M776-N776),IF('депозитный калькулятор'!$G$14="есть",G775-J776-K776+L776+M776-N776,G775-J776-K776+M776-N776)))</f>
        <v xml:space="preserve"> </v>
      </c>
      <c r="H776" s="133" t="str">
        <f>IF(F776&gt;'депозитный калькулятор'!$D$8," ",IF(AND(OR('депозитный калькулятор'!$G$7="30/365",'депозитный калькулятор'!$G$7="30/360"),AND(MONTH(F776)=2,EOMONTH(F776,0)=F776)),IF(DAY(F776)=28,3*G776*'депозитный калькулятор'!$G$8,2*G776*'депозитный калькулятор'!$G$8),IF(AND(OR('депозитный калькулятор'!$G$7="30/365",'депозитный калькулятор'!$G$7="30/360"),DAY(F776)=31)," ",IF(AND('депозитный калькулятор'!$G$7="факт/факт",MOD(YEAR(F776),4)=0),G776*'депозитный калькулятор'!$D$11/366,G776*'депозитный калькулятор'!$G$8))))</f>
        <v xml:space="preserve"> </v>
      </c>
      <c r="I776" s="134" t="str">
        <f ca="1">IF(F776=" "," ",IF('депозитный калькулятор'!$G$10="ежедневное",H776,IF(AND('депозитный калькулятор'!$G$10="еженедельное",WEEKDAY(F776,2)=7),SUM(OFFSET(H776,-6,0):H776),IF(AND('депозитный калькулятор'!$G$10="еженедельное",F776='депозитный калькулятор'!$D$8),SUM($H$23:H776)-SUM($I$23:I775),IF(AND('депозитный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недели",WEEKDAY(F776,2)=7),MIN(OFFSET(H776,-6,0):H776)*(COUNTIF(OFFSET(H776,-6,0):H776,"&gt;0")+SUMIF(OFFSET(A776,-WEEKDAY(F776,2),0):A776,"=2",OFFSET(A776,-WEEKDAY(F776,2),0):A776)),IF(AND('депозитный калькулятор'!$G$10="еженедельное, на минимальную сумму зафиксированную в течение недели",F776='депозитный калькулятор'!$D$8,WEEKDAY(F776,2)&lt;&gt;7),MIN(OFFSET(H776,-WEEKDAY(F776,2),0):H776)*(COUNTIF(OFFSET(H776,-WEEKDAY(F776,2)+1,0):H776,"&gt;0")+SUM(OFFSET(A776,-WEEKDAY(F776,2),0):A776)),IF(AND('депозитный калькулятор'!$G$10="ежемесячное (в конце месяца)",F776='депозитный калькулятор'!$D$8,EOMONTH(F776,0)&lt;&gt;F776),IF('депозитный калькулятор'!$F$1=1,$H$24,SUM($H$23:H776)-SUM($I$23:I775)),IF(AND('депозитный калькулятор'!$G$10="ежемесячное (в конце месяца)",EOMONTH(F776,0)=F776),SUM($H$23:H776)-SUM($I$23:I775),IF(AND('депозитный калькулятор'!$G$10="ежемесячное (по дням открытия вклада)",F776='депозитный калькулятор'!$D$8,DAY('депозитный калькулятор'!$D$7)&lt;&gt;DAY(F776)),IF('депозитный калькулятор'!$F$1=1,$H$24,SUM($H$23:H776)-SUM($I$23:I775)),IF(AND('депозитный калькулятор'!$G$10="ежемесячное (по дням открытия вклада)",DAY('депозитный калькулятор'!$D$7)=DAY(F776)),SUM($H$23:H776)-SUM($I$23:I775),IF(AND('депозитный калькулятор'!$G$10="ежемесячное, на минимальную сумму зафиксированную в течение месяца",F776='депозитный калькулятор'!$D$8,EOMONTH(F776,0)&lt;&gt;F776),IF('депозитный калькулятор'!$F$1=1,$H$24,IF(AND(OR('депозитный калькулятор'!$G$7="30/365",'депозитный калькулятор'!$G$7="30/360"),DAY(F776)=31),0,MIN(OFFSET(H776,-E776+1,0):H776)*(E776+SUMIF(OFFSET(A776,-E776+1,0):A776,"=2",OFFSET(A776,-E776+1,0):A776)))),IF(AND('депозитный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калькулятор'!$G$7="30/360"),DAY(EOMONTH(F776,0))=31),EOMONTH(F776,0)-1=F776,EOMONTH(F776,0)=F776)),IF(IF(AND(OR('депозитный калькулятор'!$G$7="30/365",'депозитный калькулятор'!$G$7="30/360"),DAY(EOMONTH($F$23,0))=31),F776=EOMONTH($F$23,0)-1,F776=EOMONTH($F$23,0)),MIN(OFFSET(H776,-(DAY(F776)-DAY($F$23)),0):H776)*E776,MIN(OFFSET(H776,-(DAY(F776)-1),0):H776)*IF(AND(OR('депозитный калькулятор'!$G$7="30/365",'депозитный калькулятор'!$G$7="30/360"),DAY(F776)&lt;30),30,DAY(F776))),IF(AND('депозитный калькулятор'!$G$10="ежемесячное, на средний остаток в течение месяца, при условии что остаток больше чем ограничение",F776='депозитный калькулятор'!$D$8,EOMONTH(F776,0)&lt;&gt;F776),IF('депозитный калькулятор'!$F$1=1,$H$24,SUM(OFFSET(Q776,-E776+1,0):Q776)),IF(AND('депозитный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калькулятор'!$G$7="30/360"),DAY(EOMONTH(F776,0))=31),EOMONTH(F776,0)-1=F776,EOMONTH(F776,0)=F776)),IF(IF(AND(OR('депозитный калькулятор'!$G$7="30/365",'депозитный калькулятор'!$G$7="30/360"),DAY(EOMONTH($F$24,0))=31),F776=EOMONTH($F$24,0)-1,F776=EOMONTH($F$24,0)),SUM(OFFSET(Q776,-E776+1,0):Q776),SUM(OFFSET(Q776,-E776+1,0):Q776)),IF('депозитный калькулятор'!$G$10="ежеквартальное",IF(F776&gt;'депозитный калькулятор'!$D$8," ",IF(AND(EOMONTH(F776,0)=F776,OR(MONTH(F776)=3,MONTH(F776)=6,MONTH(F776)=9,MONTH(F776)=12)),IF(EDATE(F776,-3)&lt;'депозитный калькулятор'!$D$7,SUM($H$23:H776),IF(MOD(YEAR(F776),4)=0,IF(AND(EOMONTH(F776,0)=F776,OR(MONTH(F776)=3,MONTH(F776)=6)),SUM(OFFSET(H776,-90,0):H776),IF(AND(EOMONTH(F776,0)=F776,OR(MONTH(F776)=9,MONTH(F776)=12)),SUM(OFFSET(H776,-91,0):H776))),IF(AND(EOMONTH(F776,0)=F776,MONTH(F776)=3),SUM(OFFSET(H776,-89,0):H776),IF(AND(EOMONTH(F776,0)=F776,MONTH(F776)=6),SUM(OFFSET(H776,-90,0):H776),IF(AND(EOMONTH(F776,0)=F776,OR(MONTH(F776)=9,MONTH(F776)=12)),SUM(OFFSET(H776,-91,0):H776)))))),IF(F776='депозитный калькулятор'!$D$8,SUM($H$23:H776)-SUM($I$23:I775),0))),IF('депозитный калькулятор'!$G$10="ежегодное",IF(F776&gt;'депозитный калькулятор'!$D$8," ",IF(F776='депозитный калькулятор'!$D$8,SUM($H$23:H776)-SUM($I$23:I775),IF(AND(EOMONTH(F776,0)=F776,MONTH(F776)=12),IF(MOD(YEAR(F775),4)=0,IF(F776-'депозитный калькулятор'!$D$7&lt;366,SUM($H$23:H776),SUM(OFFSET(H776,-365,0):H776)),IF(F776-'депозитный калькулятор'!$D$7&lt;365,SUM($H$23:H776),SUM(OFFSET(H776,-364,0):H776))),0))),IF(AND('депозитный калькулятор'!$G$10="в конце срока",'депозитный калькулятор'!$D$8=F776),SUM($H$23:H776),0))))))))))))))))))</f>
        <v xml:space="preserve"> </v>
      </c>
      <c r="J776" s="59" t="str">
        <f>IF(F776&gt;'депозитный калькулятор'!$D$8," ",IF('депозитный калькулятор'!$G$16="нет",0,IF(AND('депозитный калькулятор'!$G$17="разовая (в конце срока)",F776='депозитный калькулятор'!$D$8),'депозитный калькулятор'!$G$18,IF(AND('депозитный калькулятор'!$G$17="ежемесячная",EOMONTH(F775,0)=F775),'депозитный калькулятор'!$G$18,IF(AND('депозитный калькулятор'!$G$17="ежегодная",DAY(F775)=31,MONTH(F775)=12),'депозитный калькулятор'!$G$18,IF(AND('депозитный калькулятор'!$G$17="ежемесячная в зависимости от остатка",EOMONTH(F775,0)=F775,P775&gt;0),'депозитный калькулятор'!$G$18,IF(AND('депозитный калькулятор'!$G$17="ежегодная в зависимости от остатка",DAY(F775)=31,MONTH(F775)=12,P775&gt;0),'депозитный калькулятор'!$G$18,0)))))))</f>
        <v xml:space="preserve"> </v>
      </c>
      <c r="K776" s="135" t="str">
        <f>IF($F776=" "," ",IFERROR(VLOOKUP($F776,'депозитный калькулятор'!$B$26:$F$70,2,0),0))</f>
        <v xml:space="preserve"> </v>
      </c>
      <c r="L776" s="135" t="str">
        <f>IF($F776=" "," ",IFERROR(VLOOKUP($F776,'депозитный калькулятор'!$B$26:$F$70,3,0),0))</f>
        <v xml:space="preserve"> </v>
      </c>
      <c r="M776" s="135" t="str">
        <f>IF($F776=" "," ",IFERROR(VLOOKUP($F776,'депозитный калькулятор'!$B$26:$F$70,4,0),0))</f>
        <v xml:space="preserve"> </v>
      </c>
      <c r="N776" s="135" t="str">
        <f>IF($F776=" "," ",IFERROR(VLOOKUP($F776,'депозитный калькулятор'!$B$26:$F$70,5,0),0))</f>
        <v xml:space="preserve"> </v>
      </c>
      <c r="O776" s="146" t="str">
        <f>IF(F776&gt;'депозитный калькулятор'!$D$8," ",IF(F776='депозитный калькулятор'!$D$8,IF(AND($F$24='депозитный калькулятор'!$D$8,'депозитный калькулятор'!$G$13="нет"),-G776-IF(I776=" ",0,I776)-IF(AND(OR('депозитный калькулятор'!$G$7="30/365",'депозитный калькулятор'!$G$7="30/360"),'депозитный калькулятор'!$G$10="в начале срока"),I775,0)-L776+M776-N776,-G776-IF(I776=" ",0,I776)-L776+M776-N776),IF('депозитный калькулятор'!$G$13="есть",M776-N776+IF('депозитный калькулятор'!$G$14="есть",0,-L776),-IF(I776=" ",0,I776)-IF(AND(OR('депозитный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срока"),I775,0)+M776-N776+IF('депозитный калькулятор'!$G$14="есть",0,-L776))))</f>
        <v xml:space="preserve"> </v>
      </c>
      <c r="P776" s="147" t="str">
        <f>IF(F776&gt;'депозитный калькулятор'!$D$8," ",IF(EOMONTH(F775,0)=F775,0,IF(G776&gt;='депозитный калькулятор'!$G$19,P775,P775+1)))</f>
        <v xml:space="preserve"> </v>
      </c>
      <c r="Q776" s="138" t="str">
        <f>IF(F776=" "," ",IF(AND(OR('депозитный калькулятор'!$G$7="30/365",'депозитный калькулятор'!$G$7="30/360"),AND(MONTH(F776)=2,EOMONTH(F776,0)=F776)),IF(DAY(F776)=28,3,2),1)*IF(G776&gt;='депозитный калькулятор'!$G$11,IF(AND('депозитный калькулятор'!$G$7="факт/факт",MOD(YEAR(F776),4)=0),G776*'депозитный калькулятор'!$D$11/366,G776*'депозитный калькулятор'!$G$8),0))</f>
        <v xml:space="preserve"> </v>
      </c>
      <c r="R776" s="158"/>
      <c r="S776" s="62" t="str">
        <f t="shared" ca="1" si="57"/>
        <v xml:space="preserve"> </v>
      </c>
      <c r="T776" s="149" t="str">
        <f ca="1">IF(S776=" "," ",IF('депозитный калькулятор'!$G$7="30/360",DAYS360(U775,IF(DAY(U776)=31,U776-1,U776))+IF(AND(MONTH(U776)=2,U776=EOMONTH(U776,0)),30-DAY(EOMONTH(U776,0)))+T775,VLOOKUP(S776,$C$22:$F$1023,2,0)))</f>
        <v xml:space="preserve"> </v>
      </c>
      <c r="U776" s="64" t="str">
        <f t="shared" ca="1" si="55"/>
        <v xml:space="preserve"> </v>
      </c>
      <c r="V776" s="150" t="str">
        <f t="shared" ca="1" si="58"/>
        <v xml:space="preserve"> </v>
      </c>
      <c r="W776" s="62" t="str">
        <f t="shared" ca="1" si="59"/>
        <v xml:space="preserve"> </v>
      </c>
      <c r="X776" s="141" t="str">
        <f ca="1">IF(S776=" "," ",IFERROR(VLOOKUP(U776,$F$23:$N$1023,7)+VLOOKUP(U776,$F$23:$N$1023,9)+IF(AND('депозитный калькулятор'!$G$13="нет",U776&lt;&gt;'депозитный калькулятор'!$D$8),VLOOKUP(U776,$F$23:$N$1023,4),0),0)+IF(U776='депозитный калькулятор'!$D$8,VLOOKUP(U776,$F$23:$N$1023,2)+VLOOKUP(U776,$F$23:$N$1023,4),0))</f>
        <v xml:space="preserve"> </v>
      </c>
      <c r="Y776" s="142" t="str">
        <f ca="1">IF(S776=" "," ",W776/(1+'депозитный калькулятор'!$K$8)^(T776/IF('депозитный калькулятор'!$G$7="30/360",360,365)))</f>
        <v xml:space="preserve"> </v>
      </c>
      <c r="Z776" s="142" t="str">
        <f ca="1">IF(S776=" "," ",X776/(1+'депозитный калькулятор'!$K$8)^(T776/IF('депозитный калькулятор'!$G$7="30/360",360,365)))</f>
        <v xml:space="preserve"> </v>
      </c>
      <c r="AA776" s="151"/>
      <c r="AB776" s="151"/>
      <c r="AC776" s="155"/>
      <c r="AD776" s="155"/>
    </row>
    <row r="777" spans="1:30" s="2" customFormat="1" ht="15.5" x14ac:dyDescent="0.35">
      <c r="A777" s="41" t="str">
        <f>IF(F777=" "," ",IF(OR('депозитный калькулятор'!$G$7="30/365",'депозитный калькулятор'!$G$7="30/360"),IF(AND(MONTH(F777)=2,DAY(F777)=DAY(EOMONTH(F777,0))),30-DAY(EOMONTH(F777,0)),IF(DAY(F777)=31,1," "))," "))</f>
        <v xml:space="preserve"> </v>
      </c>
      <c r="B777" s="130" t="str">
        <f t="shared" si="56"/>
        <v xml:space="preserve"> </v>
      </c>
      <c r="C777" s="130" t="str">
        <f>IF(OR(B777=0,B777=" ")," ",SUM($B$23:B777))</f>
        <v xml:space="preserve"> </v>
      </c>
      <c r="D777" s="62" t="str">
        <f>IF(D776=" "," ",IF(OR(F776='депозитный калькулятор'!$D$8,F776=" ")," ",D776+1))</f>
        <v xml:space="preserve"> </v>
      </c>
      <c r="E777" s="130" t="str">
        <f>IF(OR(F776='депозитный калькулятор'!$D$8,F776=" ")," ",IF(EOMONTH(F776,0)=F776,1,E776+1))</f>
        <v xml:space="preserve"> </v>
      </c>
      <c r="F777" s="64" t="str">
        <f>IF(F776=" "," ",IF(F776='депозитный калькулятор'!$D$8," ",F776+1))</f>
        <v xml:space="preserve"> </v>
      </c>
      <c r="G777" s="145" t="str">
        <f xml:space="preserve"> IF(F777&gt;'депозитный калькулятор'!$D$8," ",IF('депозитный калькулятор'!$G$13="есть",IF('депозитный калькулятор'!$G$14="есть",G776+IF(I776=" ",0,I776)-J777-K777+L777+M777-N777,G776+IF(I776=" ",0,I776)-J777-K777+M777-N777),IF('депозитный калькулятор'!$G$14="есть",G776-J777-K777+L777+M777-N777,G776-J777-K777+M777-N777)))</f>
        <v xml:space="preserve"> </v>
      </c>
      <c r="H777" s="133" t="str">
        <f>IF(F777&gt;'депозитный калькулятор'!$D$8," ",IF(AND(OR('депозитный калькулятор'!$G$7="30/365",'депозитный калькулятор'!$G$7="30/360"),AND(MONTH(F777)=2,EOMONTH(F777,0)=F777)),IF(DAY(F777)=28,3*G777*'депозитный калькулятор'!$G$8,2*G777*'депозитный калькулятор'!$G$8),IF(AND(OR('депозитный калькулятор'!$G$7="30/365",'депозитный калькулятор'!$G$7="30/360"),DAY(F777)=31)," ",IF(AND('депозитный калькулятор'!$G$7="факт/факт",MOD(YEAR(F777),4)=0),G777*'депозитный калькулятор'!$D$11/366,G777*'депозитный калькулятор'!$G$8))))</f>
        <v xml:space="preserve"> </v>
      </c>
      <c r="I777" s="134" t="str">
        <f ca="1">IF(F777=" "," ",IF('депозитный калькулятор'!$G$10="ежедневное",H777,IF(AND('депозитный калькулятор'!$G$10="еженедельное",WEEKDAY(F777,2)=7),SUM(OFFSET(H777,-6,0):H777),IF(AND('депозитный калькулятор'!$G$10="еженедельное",F777='депозитный калькулятор'!$D$8),SUM($H$23:H777)-SUM($I$23:I776),IF(AND('депозитный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недели",WEEKDAY(F777,2)=7),MIN(OFFSET(H777,-6,0):H777)*(COUNTIF(OFFSET(H777,-6,0):H777,"&gt;0")+SUMIF(OFFSET(A777,-WEEKDAY(F777,2),0):A777,"=2",OFFSET(A777,-WEEKDAY(F777,2),0):A777)),IF(AND('депозитный калькулятор'!$G$10="еженедельное, на минимальную сумму зафиксированную в течение недели",F777='депозитный калькулятор'!$D$8,WEEKDAY(F777,2)&lt;&gt;7),MIN(OFFSET(H777,-WEEKDAY(F777,2),0):H777)*(COUNTIF(OFFSET(H777,-WEEKDAY(F777,2)+1,0):H777,"&gt;0")+SUM(OFFSET(A777,-WEEKDAY(F777,2),0):A777)),IF(AND('депозитный калькулятор'!$G$10="ежемесячное (в конце месяца)",F777='депозитный калькулятор'!$D$8,EOMONTH(F777,0)&lt;&gt;F777),IF('депозитный калькулятор'!$F$1=1,$H$24,SUM($H$23:H777)-SUM($I$23:I776)),IF(AND('депозитный калькулятор'!$G$10="ежемесячное (в конце месяца)",EOMONTH(F777,0)=F777),SUM($H$23:H777)-SUM($I$23:I776),IF(AND('депозитный калькулятор'!$G$10="ежемесячное (по дням открытия вклада)",F777='депозитный калькулятор'!$D$8,DAY('депозитный калькулятор'!$D$7)&lt;&gt;DAY(F777)),IF('депозитный калькулятор'!$F$1=1,$H$24,SUM($H$23:H777)-SUM($I$23:I776)),IF(AND('депозитный калькулятор'!$G$10="ежемесячное (по дням открытия вклада)",DAY('депозитный калькулятор'!$D$7)=DAY(F777)),SUM($H$23:H777)-SUM($I$23:I776),IF(AND('депозитный калькулятор'!$G$10="ежемесячное, на минимальную сумму зафиксированную в течение месяца",F777='депозитный калькулятор'!$D$8,EOMONTH(F777,0)&lt;&gt;F777),IF('депозитный калькулятор'!$F$1=1,$H$24,IF(AND(OR('депозитный калькулятор'!$G$7="30/365",'депозитный калькулятор'!$G$7="30/360"),DAY(F777)=31),0,MIN(OFFSET(H777,-E777+1,0):H777)*(E777+SUMIF(OFFSET(A777,-E777+1,0):A777,"=2",OFFSET(A777,-E777+1,0):A777)))),IF(AND('депозитный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калькулятор'!$G$7="30/360"),DAY(EOMONTH(F777,0))=31),EOMONTH(F777,0)-1=F777,EOMONTH(F777,0)=F777)),IF(IF(AND(OR('депозитный калькулятор'!$G$7="30/365",'депозитный калькулятор'!$G$7="30/360"),DAY(EOMONTH($F$23,0))=31),F777=EOMONTH($F$23,0)-1,F777=EOMONTH($F$23,0)),MIN(OFFSET(H777,-(DAY(F777)-DAY($F$23)),0):H777)*E777,MIN(OFFSET(H777,-(DAY(F777)-1),0):H777)*IF(AND(OR('депозитный калькулятор'!$G$7="30/365",'депозитный калькулятор'!$G$7="30/360"),DAY(F777)&lt;30),30,DAY(F777))),IF(AND('депозитный калькулятор'!$G$10="ежемесячное, на средний остаток в течение месяца, при условии что остаток больше чем ограничение",F777='депозитный калькулятор'!$D$8,EOMONTH(F777,0)&lt;&gt;F777),IF('депозитный калькулятор'!$F$1=1,$H$24,SUM(OFFSET(Q777,-E777+1,0):Q777)),IF(AND('депозитный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калькулятор'!$G$7="30/360"),DAY(EOMONTH(F777,0))=31),EOMONTH(F777,0)-1=F777,EOMONTH(F777,0)=F777)),IF(IF(AND(OR('депозитный калькулятор'!$G$7="30/365",'депозитный калькулятор'!$G$7="30/360"),DAY(EOMONTH($F$24,0))=31),F777=EOMONTH($F$24,0)-1,F777=EOMONTH($F$24,0)),SUM(OFFSET(Q777,-E777+1,0):Q777),SUM(OFFSET(Q777,-E777+1,0):Q777)),IF('депозитный калькулятор'!$G$10="ежеквартальное",IF(F777&gt;'депозитный калькулятор'!$D$8," ",IF(AND(EOMONTH(F777,0)=F777,OR(MONTH(F777)=3,MONTH(F777)=6,MONTH(F777)=9,MONTH(F777)=12)),IF(EDATE(F777,-3)&lt;'депозитный калькулятор'!$D$7,SUM($H$23:H777),IF(MOD(YEAR(F777),4)=0,IF(AND(EOMONTH(F777,0)=F777,OR(MONTH(F777)=3,MONTH(F777)=6)),SUM(OFFSET(H777,-90,0):H777),IF(AND(EOMONTH(F777,0)=F777,OR(MONTH(F777)=9,MONTH(F777)=12)),SUM(OFFSET(H777,-91,0):H777))),IF(AND(EOMONTH(F777,0)=F777,MONTH(F777)=3),SUM(OFFSET(H777,-89,0):H777),IF(AND(EOMONTH(F777,0)=F777,MONTH(F777)=6),SUM(OFFSET(H777,-90,0):H777),IF(AND(EOMONTH(F777,0)=F777,OR(MONTH(F777)=9,MONTH(F777)=12)),SUM(OFFSET(H777,-91,0):H777)))))),IF(F777='депозитный калькулятор'!$D$8,SUM($H$23:H777)-SUM($I$23:I776),0))),IF('депозитный калькулятор'!$G$10="ежегодное",IF(F777&gt;'депозитный калькулятор'!$D$8," ",IF(F777='депозитный калькулятор'!$D$8,SUM($H$23:H777)-SUM($I$23:I776),IF(AND(EOMONTH(F777,0)=F777,MONTH(F777)=12),IF(MOD(YEAR(F776),4)=0,IF(F777-'депозитный калькулятор'!$D$7&lt;366,SUM($H$23:H777),SUM(OFFSET(H777,-365,0):H777)),IF(F777-'депозитный калькулятор'!$D$7&lt;365,SUM($H$23:H777),SUM(OFFSET(H777,-364,0):H777))),0))),IF(AND('депозитный калькулятор'!$G$10="в конце срока",'депозитный калькулятор'!$D$8=F777),SUM($H$23:H777),0))))))))))))))))))</f>
        <v xml:space="preserve"> </v>
      </c>
      <c r="J777" s="59" t="str">
        <f>IF(F777&gt;'депозитный калькулятор'!$D$8," ",IF('депозитный калькулятор'!$G$16="нет",0,IF(AND('депозитный калькулятор'!$G$17="разовая (в конце срока)",F777='депозитный калькулятор'!$D$8),'депозитный калькулятор'!$G$18,IF(AND('депозитный калькулятор'!$G$17="ежемесячная",EOMONTH(F776,0)=F776),'депозитный калькулятор'!$G$18,IF(AND('депозитный калькулятор'!$G$17="ежегодная",DAY(F776)=31,MONTH(F776)=12),'депозитный калькулятор'!$G$18,IF(AND('депозитный калькулятор'!$G$17="ежемесячная в зависимости от остатка",EOMONTH(F776,0)=F776,P776&gt;0),'депозитный калькулятор'!$G$18,IF(AND('депозитный калькулятор'!$G$17="ежегодная в зависимости от остатка",DAY(F776)=31,MONTH(F776)=12,P776&gt;0),'депозитный калькулятор'!$G$18,0)))))))</f>
        <v xml:space="preserve"> </v>
      </c>
      <c r="K777" s="135" t="str">
        <f>IF($F777=" "," ",IFERROR(VLOOKUP($F777,'депозитный калькулятор'!$B$26:$F$70,2,0),0))</f>
        <v xml:space="preserve"> </v>
      </c>
      <c r="L777" s="135" t="str">
        <f>IF($F777=" "," ",IFERROR(VLOOKUP($F777,'депозитный калькулятор'!$B$26:$F$70,3,0),0))</f>
        <v xml:space="preserve"> </v>
      </c>
      <c r="M777" s="135" t="str">
        <f>IF($F777=" "," ",IFERROR(VLOOKUP($F777,'депозитный калькулятор'!$B$26:$F$70,4,0),0))</f>
        <v xml:space="preserve"> </v>
      </c>
      <c r="N777" s="135" t="str">
        <f>IF($F777=" "," ",IFERROR(VLOOKUP($F777,'депозитный калькулятор'!$B$26:$F$70,5,0),0))</f>
        <v xml:space="preserve"> </v>
      </c>
      <c r="O777" s="146" t="str">
        <f>IF(F777&gt;'депозитный калькулятор'!$D$8," ",IF(F777='депозитный калькулятор'!$D$8,IF(AND($F$24='депозитный калькулятор'!$D$8,'депозитный калькулятор'!$G$13="нет"),-G777-IF(I777=" ",0,I777)-IF(AND(OR('депозитный калькулятор'!$G$7="30/365",'депозитный калькулятор'!$G$7="30/360"),'депозитный калькулятор'!$G$10="в начале срока"),I776,0)-L777+M777-N777,-G777-IF(I777=" ",0,I777)-L777+M777-N777),IF('депозитный калькулятор'!$G$13="есть",M777-N777+IF('депозитный калькулятор'!$G$14="есть",0,-L777),-IF(I777=" ",0,I777)-IF(AND(OR('депозитный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срока"),I776,0)+M777-N777+IF('депозитный калькулятор'!$G$14="есть",0,-L777))))</f>
        <v xml:space="preserve"> </v>
      </c>
      <c r="P777" s="147" t="str">
        <f>IF(F777&gt;'депозитный калькулятор'!$D$8," ",IF(EOMONTH(F776,0)=F776,0,IF(G777&gt;='депозитный калькулятор'!$G$19,P776,P776+1)))</f>
        <v xml:space="preserve"> </v>
      </c>
      <c r="Q777" s="138" t="str">
        <f>IF(F777=" "," ",IF(AND(OR('депозитный калькулятор'!$G$7="30/365",'депозитный калькулятор'!$G$7="30/360"),AND(MONTH(F777)=2,EOMONTH(F777,0)=F777)),IF(DAY(F777)=28,3,2),1)*IF(G777&gt;='депозитный калькулятор'!$G$11,IF(AND('депозитный калькулятор'!$G$7="факт/факт",MOD(YEAR(F777),4)=0),G777*'депозитный калькулятор'!$D$11/366,G777*'депозитный калькулятор'!$G$8),0))</f>
        <v xml:space="preserve"> </v>
      </c>
      <c r="R777" s="158"/>
      <c r="S777" s="62" t="str">
        <f t="shared" ca="1" si="57"/>
        <v xml:space="preserve"> </v>
      </c>
      <c r="T777" s="149" t="str">
        <f ca="1">IF(S777=" "," ",IF('депозитный калькулятор'!$G$7="30/360",DAYS360(U776,IF(DAY(U777)=31,U777-1,U777))+IF(AND(MONTH(U777)=2,U777=EOMONTH(U777,0)),30-DAY(EOMONTH(U777,0)))+T776,VLOOKUP(S777,$C$22:$F$1023,2,0)))</f>
        <v xml:space="preserve"> </v>
      </c>
      <c r="U777" s="64" t="str">
        <f t="shared" ca="1" si="55"/>
        <v xml:space="preserve"> </v>
      </c>
      <c r="V777" s="150" t="str">
        <f t="shared" ca="1" si="58"/>
        <v xml:space="preserve"> </v>
      </c>
      <c r="W777" s="62" t="str">
        <f t="shared" ca="1" si="59"/>
        <v xml:space="preserve"> </v>
      </c>
      <c r="X777" s="141" t="str">
        <f ca="1">IF(S777=" "," ",IFERROR(VLOOKUP(U777,$F$23:$N$1023,7)+VLOOKUP(U777,$F$23:$N$1023,9)+IF(AND('депозитный калькулятор'!$G$13="нет",U777&lt;&gt;'депозитный калькулятор'!$D$8),VLOOKUP(U777,$F$23:$N$1023,4),0),0)+IF(U777='депозитный калькулятор'!$D$8,VLOOKUP(U777,$F$23:$N$1023,2)+VLOOKUP(U777,$F$23:$N$1023,4),0))</f>
        <v xml:space="preserve"> </v>
      </c>
      <c r="Y777" s="142" t="str">
        <f ca="1">IF(S777=" "," ",W777/(1+'депозитный калькулятор'!$K$8)^(T777/IF('депозитный калькулятор'!$G$7="30/360",360,365)))</f>
        <v xml:space="preserve"> </v>
      </c>
      <c r="Z777" s="142" t="str">
        <f ca="1">IF(S777=" "," ",X777/(1+'депозитный калькулятор'!$K$8)^(T777/IF('депозитный калькулятор'!$G$7="30/360",360,365)))</f>
        <v xml:space="preserve"> </v>
      </c>
      <c r="AA777" s="151"/>
      <c r="AB777" s="151"/>
      <c r="AC777" s="155"/>
      <c r="AD777" s="155"/>
    </row>
    <row r="778" spans="1:30" s="2" customFormat="1" ht="15.5" x14ac:dyDescent="0.35">
      <c r="A778" s="41" t="str">
        <f>IF(F778=" "," ",IF(OR('депозитный калькулятор'!$G$7="30/365",'депозитный калькулятор'!$G$7="30/360"),IF(AND(MONTH(F778)=2,DAY(F778)=DAY(EOMONTH(F778,0))),30-DAY(EOMONTH(F778,0)),IF(DAY(F778)=31,1," "))," "))</f>
        <v xml:space="preserve"> </v>
      </c>
      <c r="B778" s="130" t="str">
        <f t="shared" si="56"/>
        <v xml:space="preserve"> </v>
      </c>
      <c r="C778" s="130" t="str">
        <f>IF(OR(B778=0,B778=" ")," ",SUM($B$23:B778))</f>
        <v xml:space="preserve"> </v>
      </c>
      <c r="D778" s="62" t="str">
        <f>IF(D777=" "," ",IF(OR(F777='депозитный калькулятор'!$D$8,F777=" ")," ",D777+1))</f>
        <v xml:space="preserve"> </v>
      </c>
      <c r="E778" s="130" t="str">
        <f>IF(OR(F777='депозитный калькулятор'!$D$8,F777=" ")," ",IF(EOMONTH(F777,0)=F777,1,E777+1))</f>
        <v xml:space="preserve"> </v>
      </c>
      <c r="F778" s="64" t="str">
        <f>IF(F777=" "," ",IF(F777='депозитный калькулятор'!$D$8," ",F777+1))</f>
        <v xml:space="preserve"> </v>
      </c>
      <c r="G778" s="145" t="str">
        <f xml:space="preserve"> IF(F778&gt;'депозитный калькулятор'!$D$8," ",IF('депозитный калькулятор'!$G$13="есть",IF('депозитный калькулятор'!$G$14="есть",G777+IF(I777=" ",0,I777)-J778-K778+L778+M778-N778,G777+IF(I777=" ",0,I777)-J778-K778+M778-N778),IF('депозитный калькулятор'!$G$14="есть",G777-J778-K778+L778+M778-N778,G777-J778-K778+M778-N778)))</f>
        <v xml:space="preserve"> </v>
      </c>
      <c r="H778" s="133" t="str">
        <f>IF(F778&gt;'депозитный калькулятор'!$D$8," ",IF(AND(OR('депозитный калькулятор'!$G$7="30/365",'депозитный калькулятор'!$G$7="30/360"),AND(MONTH(F778)=2,EOMONTH(F778,0)=F778)),IF(DAY(F778)=28,3*G778*'депозитный калькулятор'!$G$8,2*G778*'депозитный калькулятор'!$G$8),IF(AND(OR('депозитный калькулятор'!$G$7="30/365",'депозитный калькулятор'!$G$7="30/360"),DAY(F778)=31)," ",IF(AND('депозитный калькулятор'!$G$7="факт/факт",MOD(YEAR(F778),4)=0),G778*'депозитный калькулятор'!$D$11/366,G778*'депозитный калькулятор'!$G$8))))</f>
        <v xml:space="preserve"> </v>
      </c>
      <c r="I778" s="134" t="str">
        <f ca="1">IF(F778=" "," ",IF('депозитный калькулятор'!$G$10="ежедневное",H778,IF(AND('депозитный калькулятор'!$G$10="еженедельное",WEEKDAY(F778,2)=7),SUM(OFFSET(H778,-6,0):H778),IF(AND('депозитный калькулятор'!$G$10="еженедельное",F778='депозитный калькулятор'!$D$8),SUM($H$23:H778)-SUM($I$23:I777),IF(AND('депозитный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недели",WEEKDAY(F778,2)=7),MIN(OFFSET(H778,-6,0):H778)*(COUNTIF(OFFSET(H778,-6,0):H778,"&gt;0")+SUMIF(OFFSET(A778,-WEEKDAY(F778,2),0):A778,"=2",OFFSET(A778,-WEEKDAY(F778,2),0):A778)),IF(AND('депозитный калькулятор'!$G$10="еженедельное, на минимальную сумму зафиксированную в течение недели",F778='депозитный калькулятор'!$D$8,WEEKDAY(F778,2)&lt;&gt;7),MIN(OFFSET(H778,-WEEKDAY(F778,2),0):H778)*(COUNTIF(OFFSET(H778,-WEEKDAY(F778,2)+1,0):H778,"&gt;0")+SUM(OFFSET(A778,-WEEKDAY(F778,2),0):A778)),IF(AND('депозитный калькулятор'!$G$10="ежемесячное (в конце месяца)",F778='депозитный калькулятор'!$D$8,EOMONTH(F778,0)&lt;&gt;F778),IF('депозитный калькулятор'!$F$1=1,$H$24,SUM($H$23:H778)-SUM($I$23:I777)),IF(AND('депозитный калькулятор'!$G$10="ежемесячное (в конце месяца)",EOMONTH(F778,0)=F778),SUM($H$23:H778)-SUM($I$23:I777),IF(AND('депозитный калькулятор'!$G$10="ежемесячное (по дням открытия вклада)",F778='депозитный калькулятор'!$D$8,DAY('депозитный калькулятор'!$D$7)&lt;&gt;DAY(F778)),IF('депозитный калькулятор'!$F$1=1,$H$24,SUM($H$23:H778)-SUM($I$23:I777)),IF(AND('депозитный калькулятор'!$G$10="ежемесячное (по дням открытия вклада)",DAY('депозитный калькулятор'!$D$7)=DAY(F778)),SUM($H$23:H778)-SUM($I$23:I777),IF(AND('депозитный калькулятор'!$G$10="ежемесячное, на минимальную сумму зафиксированную в течение месяца",F778='депозитный калькулятор'!$D$8,EOMONTH(F778,0)&lt;&gt;F778),IF('депозитный калькулятор'!$F$1=1,$H$24,IF(AND(OR('депозитный калькулятор'!$G$7="30/365",'депозитный калькулятор'!$G$7="30/360"),DAY(F778)=31),0,MIN(OFFSET(H778,-E778+1,0):H778)*(E778+SUMIF(OFFSET(A778,-E778+1,0):A778,"=2",OFFSET(A778,-E778+1,0):A778)))),IF(AND('депозитный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калькулятор'!$G$7="30/360"),DAY(EOMONTH(F778,0))=31),EOMONTH(F778,0)-1=F778,EOMONTH(F778,0)=F778)),IF(IF(AND(OR('депозитный калькулятор'!$G$7="30/365",'депозитный калькулятор'!$G$7="30/360"),DAY(EOMONTH($F$23,0))=31),F778=EOMONTH($F$23,0)-1,F778=EOMONTH($F$23,0)),MIN(OFFSET(H778,-(DAY(F778)-DAY($F$23)),0):H778)*E778,MIN(OFFSET(H778,-(DAY(F778)-1),0):H778)*IF(AND(OR('депозитный калькулятор'!$G$7="30/365",'депозитный калькулятор'!$G$7="30/360"),DAY(F778)&lt;30),30,DAY(F778))),IF(AND('депозитный калькулятор'!$G$10="ежемесячное, на средний остаток в течение месяца, при условии что остаток больше чем ограничение",F778='депозитный калькулятор'!$D$8,EOMONTH(F778,0)&lt;&gt;F778),IF('депозитный калькулятор'!$F$1=1,$H$24,SUM(OFFSET(Q778,-E778+1,0):Q778)),IF(AND('депозитный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калькулятор'!$G$7="30/360"),DAY(EOMONTH(F778,0))=31),EOMONTH(F778,0)-1=F778,EOMONTH(F778,0)=F778)),IF(IF(AND(OR('депозитный калькулятор'!$G$7="30/365",'депозитный калькулятор'!$G$7="30/360"),DAY(EOMONTH($F$24,0))=31),F778=EOMONTH($F$24,0)-1,F778=EOMONTH($F$24,0)),SUM(OFFSET(Q778,-E778+1,0):Q778),SUM(OFFSET(Q778,-E778+1,0):Q778)),IF('депозитный калькулятор'!$G$10="ежеквартальное",IF(F778&gt;'депозитный калькулятор'!$D$8," ",IF(AND(EOMONTH(F778,0)=F778,OR(MONTH(F778)=3,MONTH(F778)=6,MONTH(F778)=9,MONTH(F778)=12)),IF(EDATE(F778,-3)&lt;'депозитный калькулятор'!$D$7,SUM($H$23:H778),IF(MOD(YEAR(F778),4)=0,IF(AND(EOMONTH(F778,0)=F778,OR(MONTH(F778)=3,MONTH(F778)=6)),SUM(OFFSET(H778,-90,0):H778),IF(AND(EOMONTH(F778,0)=F778,OR(MONTH(F778)=9,MONTH(F778)=12)),SUM(OFFSET(H778,-91,0):H778))),IF(AND(EOMONTH(F778,0)=F778,MONTH(F778)=3),SUM(OFFSET(H778,-89,0):H778),IF(AND(EOMONTH(F778,0)=F778,MONTH(F778)=6),SUM(OFFSET(H778,-90,0):H778),IF(AND(EOMONTH(F778,0)=F778,OR(MONTH(F778)=9,MONTH(F778)=12)),SUM(OFFSET(H778,-91,0):H778)))))),IF(F778='депозитный калькулятор'!$D$8,SUM($H$23:H778)-SUM($I$23:I777),0))),IF('депозитный калькулятор'!$G$10="ежегодное",IF(F778&gt;'депозитный калькулятор'!$D$8," ",IF(F778='депозитный калькулятор'!$D$8,SUM($H$23:H778)-SUM($I$23:I777),IF(AND(EOMONTH(F778,0)=F778,MONTH(F778)=12),IF(MOD(YEAR(F777),4)=0,IF(F778-'депозитный калькулятор'!$D$7&lt;366,SUM($H$23:H778),SUM(OFFSET(H778,-365,0):H778)),IF(F778-'депозитный калькулятор'!$D$7&lt;365,SUM($H$23:H778),SUM(OFFSET(H778,-364,0):H778))),0))),IF(AND('депозитный калькулятор'!$G$10="в конце срока",'депозитный калькулятор'!$D$8=F778),SUM($H$23:H778),0))))))))))))))))))</f>
        <v xml:space="preserve"> </v>
      </c>
      <c r="J778" s="59" t="str">
        <f>IF(F778&gt;'депозитный калькулятор'!$D$8," ",IF('депозитный калькулятор'!$G$16="нет",0,IF(AND('депозитный калькулятор'!$G$17="разовая (в конце срока)",F778='депозитный калькулятор'!$D$8),'депозитный калькулятор'!$G$18,IF(AND('депозитный калькулятор'!$G$17="ежемесячная",EOMONTH(F777,0)=F777),'депозитный калькулятор'!$G$18,IF(AND('депозитный калькулятор'!$G$17="ежегодная",DAY(F777)=31,MONTH(F777)=12),'депозитный калькулятор'!$G$18,IF(AND('депозитный калькулятор'!$G$17="ежемесячная в зависимости от остатка",EOMONTH(F777,0)=F777,P777&gt;0),'депозитный калькулятор'!$G$18,IF(AND('депозитный калькулятор'!$G$17="ежегодная в зависимости от остатка",DAY(F777)=31,MONTH(F777)=12,P777&gt;0),'депозитный калькулятор'!$G$18,0)))))))</f>
        <v xml:space="preserve"> </v>
      </c>
      <c r="K778" s="135" t="str">
        <f>IF($F778=" "," ",IFERROR(VLOOKUP($F778,'депозитный калькулятор'!$B$26:$F$70,2,0),0))</f>
        <v xml:space="preserve"> </v>
      </c>
      <c r="L778" s="135" t="str">
        <f>IF($F778=" "," ",IFERROR(VLOOKUP($F778,'депозитный калькулятор'!$B$26:$F$70,3,0),0))</f>
        <v xml:space="preserve"> </v>
      </c>
      <c r="M778" s="135" t="str">
        <f>IF($F778=" "," ",IFERROR(VLOOKUP($F778,'депозитный калькулятор'!$B$26:$F$70,4,0),0))</f>
        <v xml:space="preserve"> </v>
      </c>
      <c r="N778" s="135" t="str">
        <f>IF($F778=" "," ",IFERROR(VLOOKUP($F778,'депозитный калькулятор'!$B$26:$F$70,5,0),0))</f>
        <v xml:space="preserve"> </v>
      </c>
      <c r="O778" s="146" t="str">
        <f>IF(F778&gt;'депозитный калькулятор'!$D$8," ",IF(F778='депозитный калькулятор'!$D$8,IF(AND($F$24='депозитный калькулятор'!$D$8,'депозитный калькулятор'!$G$13="нет"),-G778-IF(I778=" ",0,I778)-IF(AND(OR('депозитный калькулятор'!$G$7="30/365",'депозитный калькулятор'!$G$7="30/360"),'депозитный калькулятор'!$G$10="в начале срока"),I777,0)-L778+M778-N778,-G778-IF(I778=" ",0,I778)-L778+M778-N778),IF('депозитный калькулятор'!$G$13="есть",M778-N778+IF('депозитный калькулятор'!$G$14="есть",0,-L778),-IF(I778=" ",0,I778)-IF(AND(OR('депозитный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срока"),I777,0)+M778-N778+IF('депозитный калькулятор'!$G$14="есть",0,-L778))))</f>
        <v xml:space="preserve"> </v>
      </c>
      <c r="P778" s="147" t="str">
        <f>IF(F778&gt;'депозитный калькулятор'!$D$8," ",IF(EOMONTH(F777,0)=F777,0,IF(G778&gt;='депозитный калькулятор'!$G$19,P777,P777+1)))</f>
        <v xml:space="preserve"> </v>
      </c>
      <c r="Q778" s="138" t="str">
        <f>IF(F778=" "," ",IF(AND(OR('депозитный калькулятор'!$G$7="30/365",'депозитный калькулятор'!$G$7="30/360"),AND(MONTH(F778)=2,EOMONTH(F778,0)=F778)),IF(DAY(F778)=28,3,2),1)*IF(G778&gt;='депозитный калькулятор'!$G$11,IF(AND('депозитный калькулятор'!$G$7="факт/факт",MOD(YEAR(F778),4)=0),G778*'депозитный калькулятор'!$D$11/366,G778*'депозитный калькулятор'!$G$8),0))</f>
        <v xml:space="preserve"> </v>
      </c>
      <c r="R778" s="158"/>
      <c r="S778" s="62" t="str">
        <f t="shared" ca="1" si="57"/>
        <v xml:space="preserve"> </v>
      </c>
      <c r="T778" s="149" t="str">
        <f ca="1">IF(S778=" "," ",IF('депозитный калькулятор'!$G$7="30/360",DAYS360(U777,IF(DAY(U778)=31,U778-1,U778))+IF(AND(MONTH(U778)=2,U778=EOMONTH(U778,0)),30-DAY(EOMONTH(U778,0)))+T777,VLOOKUP(S778,$C$22:$F$1023,2,0)))</f>
        <v xml:space="preserve"> </v>
      </c>
      <c r="U778" s="64" t="str">
        <f t="shared" ca="1" si="55"/>
        <v xml:space="preserve"> </v>
      </c>
      <c r="V778" s="150" t="str">
        <f t="shared" ca="1" si="58"/>
        <v xml:space="preserve"> </v>
      </c>
      <c r="W778" s="62" t="str">
        <f t="shared" ca="1" si="59"/>
        <v xml:space="preserve"> </v>
      </c>
      <c r="X778" s="141" t="str">
        <f ca="1">IF(S778=" "," ",IFERROR(VLOOKUP(U778,$F$23:$N$1023,7)+VLOOKUP(U778,$F$23:$N$1023,9)+IF(AND('депозитный калькулятор'!$G$13="нет",U778&lt;&gt;'депозитный калькулятор'!$D$8),VLOOKUP(U778,$F$23:$N$1023,4),0),0)+IF(U778='депозитный калькулятор'!$D$8,VLOOKUP(U778,$F$23:$N$1023,2)+VLOOKUP(U778,$F$23:$N$1023,4),0))</f>
        <v xml:space="preserve"> </v>
      </c>
      <c r="Y778" s="142" t="str">
        <f ca="1">IF(S778=" "," ",W778/(1+'депозитный калькулятор'!$K$8)^(T778/IF('депозитный калькулятор'!$G$7="30/360",360,365)))</f>
        <v xml:space="preserve"> </v>
      </c>
      <c r="Z778" s="142" t="str">
        <f ca="1">IF(S778=" "," ",X778/(1+'депозитный калькулятор'!$K$8)^(T778/IF('депозитный калькулятор'!$G$7="30/360",360,365)))</f>
        <v xml:space="preserve"> </v>
      </c>
      <c r="AA778" s="151"/>
      <c r="AB778" s="151"/>
      <c r="AC778" s="155"/>
      <c r="AD778" s="155"/>
    </row>
    <row r="779" spans="1:30" s="2" customFormat="1" ht="15.5" x14ac:dyDescent="0.35">
      <c r="A779" s="41" t="str">
        <f>IF(F779=" "," ",IF(OR('депозитный калькулятор'!$G$7="30/365",'депозитный калькулятор'!$G$7="30/360"),IF(AND(MONTH(F779)=2,DAY(F779)=DAY(EOMONTH(F779,0))),30-DAY(EOMONTH(F779,0)),IF(DAY(F779)=31,1," "))," "))</f>
        <v xml:space="preserve"> </v>
      </c>
      <c r="B779" s="130" t="str">
        <f t="shared" si="56"/>
        <v xml:space="preserve"> </v>
      </c>
      <c r="C779" s="130" t="str">
        <f>IF(OR(B779=0,B779=" ")," ",SUM($B$23:B779))</f>
        <v xml:space="preserve"> </v>
      </c>
      <c r="D779" s="62" t="str">
        <f>IF(D778=" "," ",IF(OR(F778='депозитный калькулятор'!$D$8,F778=" ")," ",D778+1))</f>
        <v xml:space="preserve"> </v>
      </c>
      <c r="E779" s="130" t="str">
        <f>IF(OR(F778='депозитный калькулятор'!$D$8,F778=" ")," ",IF(EOMONTH(F778,0)=F778,1,E778+1))</f>
        <v xml:space="preserve"> </v>
      </c>
      <c r="F779" s="64" t="str">
        <f>IF(F778=" "," ",IF(F778='депозитный калькулятор'!$D$8," ",F778+1))</f>
        <v xml:space="preserve"> </v>
      </c>
      <c r="G779" s="145" t="str">
        <f xml:space="preserve"> IF(F779&gt;'депозитный калькулятор'!$D$8," ",IF('депозитный калькулятор'!$G$13="есть",IF('депозитный калькулятор'!$G$14="есть",G778+IF(I778=" ",0,I778)-J779-K779+L779+M779-N779,G778+IF(I778=" ",0,I778)-J779-K779+M779-N779),IF('депозитный калькулятор'!$G$14="есть",G778-J779-K779+L779+M779-N779,G778-J779-K779+M779-N779)))</f>
        <v xml:space="preserve"> </v>
      </c>
      <c r="H779" s="133" t="str">
        <f>IF(F779&gt;'депозитный калькулятор'!$D$8," ",IF(AND(OR('депозитный калькулятор'!$G$7="30/365",'депозитный калькулятор'!$G$7="30/360"),AND(MONTH(F779)=2,EOMONTH(F779,0)=F779)),IF(DAY(F779)=28,3*G779*'депозитный калькулятор'!$G$8,2*G779*'депозитный калькулятор'!$G$8),IF(AND(OR('депозитный калькулятор'!$G$7="30/365",'депозитный калькулятор'!$G$7="30/360"),DAY(F779)=31)," ",IF(AND('депозитный калькулятор'!$G$7="факт/факт",MOD(YEAR(F779),4)=0),G779*'депозитный калькулятор'!$D$11/366,G779*'депозитный калькулятор'!$G$8))))</f>
        <v xml:space="preserve"> </v>
      </c>
      <c r="I779" s="134" t="str">
        <f ca="1">IF(F779=" "," ",IF('депозитный калькулятор'!$G$10="ежедневное",H779,IF(AND('депозитный калькулятор'!$G$10="еженедельное",WEEKDAY(F779,2)=7),SUM(OFFSET(H779,-6,0):H779),IF(AND('депозитный калькулятор'!$G$10="еженедельное",F779='депозитный калькулятор'!$D$8),SUM($H$23:H779)-SUM($I$23:I778),IF(AND('депозитный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недели",WEEKDAY(F779,2)=7),MIN(OFFSET(H779,-6,0):H779)*(COUNTIF(OFFSET(H779,-6,0):H779,"&gt;0")+SUMIF(OFFSET(A779,-WEEKDAY(F779,2),0):A779,"=2",OFFSET(A779,-WEEKDAY(F779,2),0):A779)),IF(AND('депозитный калькулятор'!$G$10="еженедельное, на минимальную сумму зафиксированную в течение недели",F779='депозитный калькулятор'!$D$8,WEEKDAY(F779,2)&lt;&gt;7),MIN(OFFSET(H779,-WEEKDAY(F779,2),0):H779)*(COUNTIF(OFFSET(H779,-WEEKDAY(F779,2)+1,0):H779,"&gt;0")+SUM(OFFSET(A779,-WEEKDAY(F779,2),0):A779)),IF(AND('депозитный калькулятор'!$G$10="ежемесячное (в конце месяца)",F779='депозитный калькулятор'!$D$8,EOMONTH(F779,0)&lt;&gt;F779),IF('депозитный калькулятор'!$F$1=1,$H$24,SUM($H$23:H779)-SUM($I$23:I778)),IF(AND('депозитный калькулятор'!$G$10="ежемесячное (в конце месяца)",EOMONTH(F779,0)=F779),SUM($H$23:H779)-SUM($I$23:I778),IF(AND('депозитный калькулятор'!$G$10="ежемесячное (по дням открытия вклада)",F779='депозитный калькулятор'!$D$8,DAY('депозитный калькулятор'!$D$7)&lt;&gt;DAY(F779)),IF('депозитный калькулятор'!$F$1=1,$H$24,SUM($H$23:H779)-SUM($I$23:I778)),IF(AND('депозитный калькулятор'!$G$10="ежемесячное (по дням открытия вклада)",DAY('депозитный калькулятор'!$D$7)=DAY(F779)),SUM($H$23:H779)-SUM($I$23:I778),IF(AND('депозитный калькулятор'!$G$10="ежемесячное, на минимальную сумму зафиксированную в течение месяца",F779='депозитный калькулятор'!$D$8,EOMONTH(F779,0)&lt;&gt;F779),IF('депозитный калькулятор'!$F$1=1,$H$24,IF(AND(OR('депозитный калькулятор'!$G$7="30/365",'депозитный калькулятор'!$G$7="30/360"),DAY(F779)=31),0,MIN(OFFSET(H779,-E779+1,0):H779)*(E779+SUMIF(OFFSET(A779,-E779+1,0):A779,"=2",OFFSET(A779,-E779+1,0):A779)))),IF(AND('депозитный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калькулятор'!$G$7="30/360"),DAY(EOMONTH(F779,0))=31),EOMONTH(F779,0)-1=F779,EOMONTH(F779,0)=F779)),IF(IF(AND(OR('депозитный калькулятор'!$G$7="30/365",'депозитный калькулятор'!$G$7="30/360"),DAY(EOMONTH($F$23,0))=31),F779=EOMONTH($F$23,0)-1,F779=EOMONTH($F$23,0)),MIN(OFFSET(H779,-(DAY(F779)-DAY($F$23)),0):H779)*E779,MIN(OFFSET(H779,-(DAY(F779)-1),0):H779)*IF(AND(OR('депозитный калькулятор'!$G$7="30/365",'депозитный калькулятор'!$G$7="30/360"),DAY(F779)&lt;30),30,DAY(F779))),IF(AND('депозитный калькулятор'!$G$10="ежемесячное, на средний остаток в течение месяца, при условии что остаток больше чем ограничение",F779='депозитный калькулятор'!$D$8,EOMONTH(F779,0)&lt;&gt;F779),IF('депозитный калькулятор'!$F$1=1,$H$24,SUM(OFFSET(Q779,-E779+1,0):Q779)),IF(AND('депозитный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калькулятор'!$G$7="30/360"),DAY(EOMONTH(F779,0))=31),EOMONTH(F779,0)-1=F779,EOMONTH(F779,0)=F779)),IF(IF(AND(OR('депозитный калькулятор'!$G$7="30/365",'депозитный калькулятор'!$G$7="30/360"),DAY(EOMONTH($F$24,0))=31),F779=EOMONTH($F$24,0)-1,F779=EOMONTH($F$24,0)),SUM(OFFSET(Q779,-E779+1,0):Q779),SUM(OFFSET(Q779,-E779+1,0):Q779)),IF('депозитный калькулятор'!$G$10="ежеквартальное",IF(F779&gt;'депозитный калькулятор'!$D$8," ",IF(AND(EOMONTH(F779,0)=F779,OR(MONTH(F779)=3,MONTH(F779)=6,MONTH(F779)=9,MONTH(F779)=12)),IF(EDATE(F779,-3)&lt;'депозитный калькулятор'!$D$7,SUM($H$23:H779),IF(MOD(YEAR(F779),4)=0,IF(AND(EOMONTH(F779,0)=F779,OR(MONTH(F779)=3,MONTH(F779)=6)),SUM(OFFSET(H779,-90,0):H779),IF(AND(EOMONTH(F779,0)=F779,OR(MONTH(F779)=9,MONTH(F779)=12)),SUM(OFFSET(H779,-91,0):H779))),IF(AND(EOMONTH(F779,0)=F779,MONTH(F779)=3),SUM(OFFSET(H779,-89,0):H779),IF(AND(EOMONTH(F779,0)=F779,MONTH(F779)=6),SUM(OFFSET(H779,-90,0):H779),IF(AND(EOMONTH(F779,0)=F779,OR(MONTH(F779)=9,MONTH(F779)=12)),SUM(OFFSET(H779,-91,0):H779)))))),IF(F779='депозитный калькулятор'!$D$8,SUM($H$23:H779)-SUM($I$23:I778),0))),IF('депозитный калькулятор'!$G$10="ежегодное",IF(F779&gt;'депозитный калькулятор'!$D$8," ",IF(F779='депозитный калькулятор'!$D$8,SUM($H$23:H779)-SUM($I$23:I778),IF(AND(EOMONTH(F779,0)=F779,MONTH(F779)=12),IF(MOD(YEAR(F778),4)=0,IF(F779-'депозитный калькулятор'!$D$7&lt;366,SUM($H$23:H779),SUM(OFFSET(H779,-365,0):H779)),IF(F779-'депозитный калькулятор'!$D$7&lt;365,SUM($H$23:H779),SUM(OFFSET(H779,-364,0):H779))),0))),IF(AND('депозитный калькулятор'!$G$10="в конце срока",'депозитный калькулятор'!$D$8=F779),SUM($H$23:H779),0))))))))))))))))))</f>
        <v xml:space="preserve"> </v>
      </c>
      <c r="J779" s="59" t="str">
        <f>IF(F779&gt;'депозитный калькулятор'!$D$8," ",IF('депозитный калькулятор'!$G$16="нет",0,IF(AND('депозитный калькулятор'!$G$17="разовая (в конце срока)",F779='депозитный калькулятор'!$D$8),'депозитный калькулятор'!$G$18,IF(AND('депозитный калькулятор'!$G$17="ежемесячная",EOMONTH(F778,0)=F778),'депозитный калькулятор'!$G$18,IF(AND('депозитный калькулятор'!$G$17="ежегодная",DAY(F778)=31,MONTH(F778)=12),'депозитный калькулятор'!$G$18,IF(AND('депозитный калькулятор'!$G$17="ежемесячная в зависимости от остатка",EOMONTH(F778,0)=F778,P778&gt;0),'депозитный калькулятор'!$G$18,IF(AND('депозитный калькулятор'!$G$17="ежегодная в зависимости от остатка",DAY(F778)=31,MONTH(F778)=12,P778&gt;0),'депозитный калькулятор'!$G$18,0)))))))</f>
        <v xml:space="preserve"> </v>
      </c>
      <c r="K779" s="135" t="str">
        <f>IF($F779=" "," ",IFERROR(VLOOKUP($F779,'депозитный калькулятор'!$B$26:$F$70,2,0),0))</f>
        <v xml:space="preserve"> </v>
      </c>
      <c r="L779" s="135" t="str">
        <f>IF($F779=" "," ",IFERROR(VLOOKUP($F779,'депозитный калькулятор'!$B$26:$F$70,3,0),0))</f>
        <v xml:space="preserve"> </v>
      </c>
      <c r="M779" s="135" t="str">
        <f>IF($F779=" "," ",IFERROR(VLOOKUP($F779,'депозитный калькулятор'!$B$26:$F$70,4,0),0))</f>
        <v xml:space="preserve"> </v>
      </c>
      <c r="N779" s="135" t="str">
        <f>IF($F779=" "," ",IFERROR(VLOOKUP($F779,'депозитный калькулятор'!$B$26:$F$70,5,0),0))</f>
        <v xml:space="preserve"> </v>
      </c>
      <c r="O779" s="146" t="str">
        <f>IF(F779&gt;'депозитный калькулятор'!$D$8," ",IF(F779='депозитный калькулятор'!$D$8,IF(AND($F$24='депозитный калькулятор'!$D$8,'депозитный калькулятор'!$G$13="нет"),-G779-IF(I779=" ",0,I779)-IF(AND(OR('депозитный калькулятор'!$G$7="30/365",'депозитный калькулятор'!$G$7="30/360"),'депозитный калькулятор'!$G$10="в начале срока"),I778,0)-L779+M779-N779,-G779-IF(I779=" ",0,I779)-L779+M779-N779),IF('депозитный калькулятор'!$G$13="есть",M779-N779+IF('депозитный калькулятор'!$G$14="есть",0,-L779),-IF(I779=" ",0,I779)-IF(AND(OR('депозитный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срока"),I778,0)+M779-N779+IF('депозитный калькулятор'!$G$14="есть",0,-L779))))</f>
        <v xml:space="preserve"> </v>
      </c>
      <c r="P779" s="147" t="str">
        <f>IF(F779&gt;'депозитный калькулятор'!$D$8," ",IF(EOMONTH(F778,0)=F778,0,IF(G779&gt;='депозитный калькулятор'!$G$19,P778,P778+1)))</f>
        <v xml:space="preserve"> </v>
      </c>
      <c r="Q779" s="138" t="str">
        <f>IF(F779=" "," ",IF(AND(OR('депозитный калькулятор'!$G$7="30/365",'депозитный калькулятор'!$G$7="30/360"),AND(MONTH(F779)=2,EOMONTH(F779,0)=F779)),IF(DAY(F779)=28,3,2),1)*IF(G779&gt;='депозитный калькулятор'!$G$11,IF(AND('депозитный калькулятор'!$G$7="факт/факт",MOD(YEAR(F779),4)=0),G779*'депозитный калькулятор'!$D$11/366,G779*'депозитный калькулятор'!$G$8),0))</f>
        <v xml:space="preserve"> </v>
      </c>
      <c r="R779" s="158"/>
      <c r="S779" s="62" t="str">
        <f t="shared" ca="1" si="57"/>
        <v xml:space="preserve"> </v>
      </c>
      <c r="T779" s="149" t="str">
        <f ca="1">IF(S779=" "," ",IF('депозитный калькулятор'!$G$7="30/360",DAYS360(U778,IF(DAY(U779)=31,U779-1,U779))+IF(AND(MONTH(U779)=2,U779=EOMONTH(U779,0)),30-DAY(EOMONTH(U779,0)))+T778,VLOOKUP(S779,$C$22:$F$1023,2,0)))</f>
        <v xml:space="preserve"> </v>
      </c>
      <c r="U779" s="64" t="str">
        <f t="shared" ca="1" si="55"/>
        <v xml:space="preserve"> </v>
      </c>
      <c r="V779" s="150" t="str">
        <f t="shared" ca="1" si="58"/>
        <v xml:space="preserve"> </v>
      </c>
      <c r="W779" s="62" t="str">
        <f t="shared" ca="1" si="59"/>
        <v xml:space="preserve"> </v>
      </c>
      <c r="X779" s="141" t="str">
        <f ca="1">IF(S779=" "," ",IFERROR(VLOOKUP(U779,$F$23:$N$1023,7)+VLOOKUP(U779,$F$23:$N$1023,9)+IF(AND('депозитный калькулятор'!$G$13="нет",U779&lt;&gt;'депозитный калькулятор'!$D$8),VLOOKUP(U779,$F$23:$N$1023,4),0),0)+IF(U779='депозитный калькулятор'!$D$8,VLOOKUP(U779,$F$23:$N$1023,2)+VLOOKUP(U779,$F$23:$N$1023,4),0))</f>
        <v xml:space="preserve"> </v>
      </c>
      <c r="Y779" s="142" t="str">
        <f ca="1">IF(S779=" "," ",W779/(1+'депозитный калькулятор'!$K$8)^(T779/IF('депозитный калькулятор'!$G$7="30/360",360,365)))</f>
        <v xml:space="preserve"> </v>
      </c>
      <c r="Z779" s="142" t="str">
        <f ca="1">IF(S779=" "," ",X779/(1+'депозитный калькулятор'!$K$8)^(T779/IF('депозитный калькулятор'!$G$7="30/360",360,365)))</f>
        <v xml:space="preserve"> </v>
      </c>
      <c r="AA779" s="151"/>
      <c r="AB779" s="151"/>
      <c r="AC779" s="155"/>
      <c r="AD779" s="155"/>
    </row>
    <row r="780" spans="1:30" s="2" customFormat="1" ht="15.5" x14ac:dyDescent="0.35">
      <c r="A780" s="41" t="str">
        <f>IF(F780=" "," ",IF(OR('депозитный калькулятор'!$G$7="30/365",'депозитный калькулятор'!$G$7="30/360"),IF(AND(MONTH(F780)=2,DAY(F780)=DAY(EOMONTH(F780,0))),30-DAY(EOMONTH(F780,0)),IF(DAY(F780)=31,1," "))," "))</f>
        <v xml:space="preserve"> </v>
      </c>
      <c r="B780" s="130" t="str">
        <f t="shared" si="56"/>
        <v xml:space="preserve"> </v>
      </c>
      <c r="C780" s="130" t="str">
        <f>IF(OR(B780=0,B780=" ")," ",SUM($B$23:B780))</f>
        <v xml:space="preserve"> </v>
      </c>
      <c r="D780" s="62" t="str">
        <f>IF(D779=" "," ",IF(OR(F779='депозитный калькулятор'!$D$8,F779=" ")," ",D779+1))</f>
        <v xml:space="preserve"> </v>
      </c>
      <c r="E780" s="130" t="str">
        <f>IF(OR(F779='депозитный калькулятор'!$D$8,F779=" ")," ",IF(EOMONTH(F779,0)=F779,1,E779+1))</f>
        <v xml:space="preserve"> </v>
      </c>
      <c r="F780" s="64" t="str">
        <f>IF(F779=" "," ",IF(F779='депозитный калькулятор'!$D$8," ",F779+1))</f>
        <v xml:space="preserve"> </v>
      </c>
      <c r="G780" s="145" t="str">
        <f xml:space="preserve"> IF(F780&gt;'депозитный калькулятор'!$D$8," ",IF('депозитный калькулятор'!$G$13="есть",IF('депозитный калькулятор'!$G$14="есть",G779+IF(I779=" ",0,I779)-J780-K780+L780+M780-N780,G779+IF(I779=" ",0,I779)-J780-K780+M780-N780),IF('депозитный калькулятор'!$G$14="есть",G779-J780-K780+L780+M780-N780,G779-J780-K780+M780-N780)))</f>
        <v xml:space="preserve"> </v>
      </c>
      <c r="H780" s="133" t="str">
        <f>IF(F780&gt;'депозитный калькулятор'!$D$8," ",IF(AND(OR('депозитный калькулятор'!$G$7="30/365",'депозитный калькулятор'!$G$7="30/360"),AND(MONTH(F780)=2,EOMONTH(F780,0)=F780)),IF(DAY(F780)=28,3*G780*'депозитный калькулятор'!$G$8,2*G780*'депозитный калькулятор'!$G$8),IF(AND(OR('депозитный калькулятор'!$G$7="30/365",'депозитный калькулятор'!$G$7="30/360"),DAY(F780)=31)," ",IF(AND('депозитный калькулятор'!$G$7="факт/факт",MOD(YEAR(F780),4)=0),G780*'депозитный калькулятор'!$D$11/366,G780*'депозитный калькулятор'!$G$8))))</f>
        <v xml:space="preserve"> </v>
      </c>
      <c r="I780" s="134" t="str">
        <f ca="1">IF(F780=" "," ",IF('депозитный калькулятор'!$G$10="ежедневное",H780,IF(AND('депозитный калькулятор'!$G$10="еженедельное",WEEKDAY(F780,2)=7),SUM(OFFSET(H780,-6,0):H780),IF(AND('депозитный калькулятор'!$G$10="еженедельное",F780='депозитный калькулятор'!$D$8),SUM($H$23:H780)-SUM($I$23:I779),IF(AND('депозитный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недели",WEEKDAY(F780,2)=7),MIN(OFFSET(H780,-6,0):H780)*(COUNTIF(OFFSET(H780,-6,0):H780,"&gt;0")+SUMIF(OFFSET(A780,-WEEKDAY(F780,2),0):A780,"=2",OFFSET(A780,-WEEKDAY(F780,2),0):A780)),IF(AND('депозитный калькулятор'!$G$10="еженедельное, на минимальную сумму зафиксированную в течение недели",F780='депозитный калькулятор'!$D$8,WEEKDAY(F780,2)&lt;&gt;7),MIN(OFFSET(H780,-WEEKDAY(F780,2),0):H780)*(COUNTIF(OFFSET(H780,-WEEKDAY(F780,2)+1,0):H780,"&gt;0")+SUM(OFFSET(A780,-WEEKDAY(F780,2),0):A780)),IF(AND('депозитный калькулятор'!$G$10="ежемесячное (в конце месяца)",F780='депозитный калькулятор'!$D$8,EOMONTH(F780,0)&lt;&gt;F780),IF('депозитный калькулятор'!$F$1=1,$H$24,SUM($H$23:H780)-SUM($I$23:I779)),IF(AND('депозитный калькулятор'!$G$10="ежемесячное (в конце месяца)",EOMONTH(F780,0)=F780),SUM($H$23:H780)-SUM($I$23:I779),IF(AND('депозитный калькулятор'!$G$10="ежемесячное (по дням открытия вклада)",F780='депозитный калькулятор'!$D$8,DAY('депозитный калькулятор'!$D$7)&lt;&gt;DAY(F780)),IF('депозитный калькулятор'!$F$1=1,$H$24,SUM($H$23:H780)-SUM($I$23:I779)),IF(AND('депозитный калькулятор'!$G$10="ежемесячное (по дням открытия вклада)",DAY('депозитный калькулятор'!$D$7)=DAY(F780)),SUM($H$23:H780)-SUM($I$23:I779),IF(AND('депозитный калькулятор'!$G$10="ежемесячное, на минимальную сумму зафиксированную в течение месяца",F780='депозитный калькулятор'!$D$8,EOMONTH(F780,0)&lt;&gt;F780),IF('депозитный калькулятор'!$F$1=1,$H$24,IF(AND(OR('депозитный калькулятор'!$G$7="30/365",'депозитный калькулятор'!$G$7="30/360"),DAY(F780)=31),0,MIN(OFFSET(H780,-E780+1,0):H780)*(E780+SUMIF(OFFSET(A780,-E780+1,0):A780,"=2",OFFSET(A780,-E780+1,0):A780)))),IF(AND('депозитный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калькулятор'!$G$7="30/360"),DAY(EOMONTH(F780,0))=31),EOMONTH(F780,0)-1=F780,EOMONTH(F780,0)=F780)),IF(IF(AND(OR('депозитный калькулятор'!$G$7="30/365",'депозитный калькулятор'!$G$7="30/360"),DAY(EOMONTH($F$23,0))=31),F780=EOMONTH($F$23,0)-1,F780=EOMONTH($F$23,0)),MIN(OFFSET(H780,-(DAY(F780)-DAY($F$23)),0):H780)*E780,MIN(OFFSET(H780,-(DAY(F780)-1),0):H780)*IF(AND(OR('депозитный калькулятор'!$G$7="30/365",'депозитный калькулятор'!$G$7="30/360"),DAY(F780)&lt;30),30,DAY(F780))),IF(AND('депозитный калькулятор'!$G$10="ежемесячное, на средний остаток в течение месяца, при условии что остаток больше чем ограничение",F780='депозитный калькулятор'!$D$8,EOMONTH(F780,0)&lt;&gt;F780),IF('депозитный калькулятор'!$F$1=1,$H$24,SUM(OFFSET(Q780,-E780+1,0):Q780)),IF(AND('депозитный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калькулятор'!$G$7="30/360"),DAY(EOMONTH(F780,0))=31),EOMONTH(F780,0)-1=F780,EOMONTH(F780,0)=F780)),IF(IF(AND(OR('депозитный калькулятор'!$G$7="30/365",'депозитный калькулятор'!$G$7="30/360"),DAY(EOMONTH($F$24,0))=31),F780=EOMONTH($F$24,0)-1,F780=EOMONTH($F$24,0)),SUM(OFFSET(Q780,-E780+1,0):Q780),SUM(OFFSET(Q780,-E780+1,0):Q780)),IF('депозитный калькулятор'!$G$10="ежеквартальное",IF(F780&gt;'депозитный калькулятор'!$D$8," ",IF(AND(EOMONTH(F780,0)=F780,OR(MONTH(F780)=3,MONTH(F780)=6,MONTH(F780)=9,MONTH(F780)=12)),IF(EDATE(F780,-3)&lt;'депозитный калькулятор'!$D$7,SUM($H$23:H780),IF(MOD(YEAR(F780),4)=0,IF(AND(EOMONTH(F780,0)=F780,OR(MONTH(F780)=3,MONTH(F780)=6)),SUM(OFFSET(H780,-90,0):H780),IF(AND(EOMONTH(F780,0)=F780,OR(MONTH(F780)=9,MONTH(F780)=12)),SUM(OFFSET(H780,-91,0):H780))),IF(AND(EOMONTH(F780,0)=F780,MONTH(F780)=3),SUM(OFFSET(H780,-89,0):H780),IF(AND(EOMONTH(F780,0)=F780,MONTH(F780)=6),SUM(OFFSET(H780,-90,0):H780),IF(AND(EOMONTH(F780,0)=F780,OR(MONTH(F780)=9,MONTH(F780)=12)),SUM(OFFSET(H780,-91,0):H780)))))),IF(F780='депозитный калькулятор'!$D$8,SUM($H$23:H780)-SUM($I$23:I779),0))),IF('депозитный калькулятор'!$G$10="ежегодное",IF(F780&gt;'депозитный калькулятор'!$D$8," ",IF(F780='депозитный калькулятор'!$D$8,SUM($H$23:H780)-SUM($I$23:I779),IF(AND(EOMONTH(F780,0)=F780,MONTH(F780)=12),IF(MOD(YEAR(F779),4)=0,IF(F780-'депозитный калькулятор'!$D$7&lt;366,SUM($H$23:H780),SUM(OFFSET(H780,-365,0):H780)),IF(F780-'депозитный калькулятор'!$D$7&lt;365,SUM($H$23:H780),SUM(OFFSET(H780,-364,0):H780))),0))),IF(AND('депозитный калькулятор'!$G$10="в конце срока",'депозитный калькулятор'!$D$8=F780),SUM($H$23:H780),0))))))))))))))))))</f>
        <v xml:space="preserve"> </v>
      </c>
      <c r="J780" s="59" t="str">
        <f>IF(F780&gt;'депозитный калькулятор'!$D$8," ",IF('депозитный калькулятор'!$G$16="нет",0,IF(AND('депозитный калькулятор'!$G$17="разовая (в конце срока)",F780='депозитный калькулятор'!$D$8),'депозитный калькулятор'!$G$18,IF(AND('депозитный калькулятор'!$G$17="ежемесячная",EOMONTH(F779,0)=F779),'депозитный калькулятор'!$G$18,IF(AND('депозитный калькулятор'!$G$17="ежегодная",DAY(F779)=31,MONTH(F779)=12),'депозитный калькулятор'!$G$18,IF(AND('депозитный калькулятор'!$G$17="ежемесячная в зависимости от остатка",EOMONTH(F779,0)=F779,P779&gt;0),'депозитный калькулятор'!$G$18,IF(AND('депозитный калькулятор'!$G$17="ежегодная в зависимости от остатка",DAY(F779)=31,MONTH(F779)=12,P779&gt;0),'депозитный калькулятор'!$G$18,0)))))))</f>
        <v xml:space="preserve"> </v>
      </c>
      <c r="K780" s="135" t="str">
        <f>IF($F780=" "," ",IFERROR(VLOOKUP($F780,'депозитный калькулятор'!$B$26:$F$70,2,0),0))</f>
        <v xml:space="preserve"> </v>
      </c>
      <c r="L780" s="135" t="str">
        <f>IF($F780=" "," ",IFERROR(VLOOKUP($F780,'депозитный калькулятор'!$B$26:$F$70,3,0),0))</f>
        <v xml:space="preserve"> </v>
      </c>
      <c r="M780" s="135" t="str">
        <f>IF($F780=" "," ",IFERROR(VLOOKUP($F780,'депозитный калькулятор'!$B$26:$F$70,4,0),0))</f>
        <v xml:space="preserve"> </v>
      </c>
      <c r="N780" s="135" t="str">
        <f>IF($F780=" "," ",IFERROR(VLOOKUP($F780,'депозитный калькулятор'!$B$26:$F$70,5,0),0))</f>
        <v xml:space="preserve"> </v>
      </c>
      <c r="O780" s="146" t="str">
        <f>IF(F780&gt;'депозитный калькулятор'!$D$8," ",IF(F780='депозитный калькулятор'!$D$8,IF(AND($F$24='депозитный калькулятор'!$D$8,'депозитный калькулятор'!$G$13="нет"),-G780-IF(I780=" ",0,I780)-IF(AND(OR('депозитный калькулятор'!$G$7="30/365",'депозитный калькулятор'!$G$7="30/360"),'депозитный калькулятор'!$G$10="в начале срока"),I779,0)-L780+M780-N780,-G780-IF(I780=" ",0,I780)-L780+M780-N780),IF('депозитный калькулятор'!$G$13="есть",M780-N780+IF('депозитный калькулятор'!$G$14="есть",0,-L780),-IF(I780=" ",0,I780)-IF(AND(OR('депозитный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срока"),I779,0)+M780-N780+IF('депозитный калькулятор'!$G$14="есть",0,-L780))))</f>
        <v xml:space="preserve"> </v>
      </c>
      <c r="P780" s="147" t="str">
        <f>IF(F780&gt;'депозитный калькулятор'!$D$8," ",IF(EOMONTH(F779,0)=F779,0,IF(G780&gt;='депозитный калькулятор'!$G$19,P779,P779+1)))</f>
        <v xml:space="preserve"> </v>
      </c>
      <c r="Q780" s="138" t="str">
        <f>IF(F780=" "," ",IF(AND(OR('депозитный калькулятор'!$G$7="30/365",'депозитный калькулятор'!$G$7="30/360"),AND(MONTH(F780)=2,EOMONTH(F780,0)=F780)),IF(DAY(F780)=28,3,2),1)*IF(G780&gt;='депозитный калькулятор'!$G$11,IF(AND('депозитный калькулятор'!$G$7="факт/факт",MOD(YEAR(F780),4)=0),G780*'депозитный калькулятор'!$D$11/366,G780*'депозитный калькулятор'!$G$8),0))</f>
        <v xml:space="preserve"> </v>
      </c>
      <c r="R780" s="158"/>
      <c r="S780" s="62" t="str">
        <f t="shared" ca="1" si="57"/>
        <v xml:space="preserve"> </v>
      </c>
      <c r="T780" s="149" t="str">
        <f ca="1">IF(S780=" "," ",IF('депозитный калькулятор'!$G$7="30/360",DAYS360(U779,IF(DAY(U780)=31,U780-1,U780))+IF(AND(MONTH(U780)=2,U780=EOMONTH(U780,0)),30-DAY(EOMONTH(U780,0)))+T779,VLOOKUP(S780,$C$22:$F$1023,2,0)))</f>
        <v xml:space="preserve"> </v>
      </c>
      <c r="U780" s="64" t="str">
        <f t="shared" ca="1" si="55"/>
        <v xml:space="preserve"> </v>
      </c>
      <c r="V780" s="150" t="str">
        <f t="shared" ca="1" si="58"/>
        <v xml:space="preserve"> </v>
      </c>
      <c r="W780" s="62" t="str">
        <f t="shared" ca="1" si="59"/>
        <v xml:space="preserve"> </v>
      </c>
      <c r="X780" s="141" t="str">
        <f ca="1">IF(S780=" "," ",IFERROR(VLOOKUP(U780,$F$23:$N$1023,7)+VLOOKUP(U780,$F$23:$N$1023,9)+IF(AND('депозитный калькулятор'!$G$13="нет",U780&lt;&gt;'депозитный калькулятор'!$D$8),VLOOKUP(U780,$F$23:$N$1023,4),0),0)+IF(U780='депозитный калькулятор'!$D$8,VLOOKUP(U780,$F$23:$N$1023,2)+VLOOKUP(U780,$F$23:$N$1023,4),0))</f>
        <v xml:space="preserve"> </v>
      </c>
      <c r="Y780" s="142" t="str">
        <f ca="1">IF(S780=" "," ",W780/(1+'депозитный калькулятор'!$K$8)^(T780/IF('депозитный калькулятор'!$G$7="30/360",360,365)))</f>
        <v xml:space="preserve"> </v>
      </c>
      <c r="Z780" s="142" t="str">
        <f ca="1">IF(S780=" "," ",X780/(1+'депозитный калькулятор'!$K$8)^(T780/IF('депозитный калькулятор'!$G$7="30/360",360,365)))</f>
        <v xml:space="preserve"> </v>
      </c>
      <c r="AA780" s="151"/>
      <c r="AB780" s="151"/>
      <c r="AC780" s="155"/>
      <c r="AD780" s="155"/>
    </row>
    <row r="781" spans="1:30" s="2" customFormat="1" ht="15.5" x14ac:dyDescent="0.35">
      <c r="A781" s="41" t="str">
        <f>IF(F781=" "," ",IF(OR('депозитный калькулятор'!$G$7="30/365",'депозитный калькулятор'!$G$7="30/360"),IF(AND(MONTH(F781)=2,DAY(F781)=DAY(EOMONTH(F781,0))),30-DAY(EOMONTH(F781,0)),IF(DAY(F781)=31,1," "))," "))</f>
        <v xml:space="preserve"> </v>
      </c>
      <c r="B781" s="130" t="str">
        <f t="shared" si="56"/>
        <v xml:space="preserve"> </v>
      </c>
      <c r="C781" s="130" t="str">
        <f>IF(OR(B781=0,B781=" ")," ",SUM($B$23:B781))</f>
        <v xml:space="preserve"> </v>
      </c>
      <c r="D781" s="62" t="str">
        <f>IF(D780=" "," ",IF(OR(F780='депозитный калькулятор'!$D$8,F780=" ")," ",D780+1))</f>
        <v xml:space="preserve"> </v>
      </c>
      <c r="E781" s="130" t="str">
        <f>IF(OR(F780='депозитный калькулятор'!$D$8,F780=" ")," ",IF(EOMONTH(F780,0)=F780,1,E780+1))</f>
        <v xml:space="preserve"> </v>
      </c>
      <c r="F781" s="64" t="str">
        <f>IF(F780=" "," ",IF(F780='депозитный калькулятор'!$D$8," ",F780+1))</f>
        <v xml:space="preserve"> </v>
      </c>
      <c r="G781" s="145" t="str">
        <f xml:space="preserve"> IF(F781&gt;'депозитный калькулятор'!$D$8," ",IF('депозитный калькулятор'!$G$13="есть",IF('депозитный калькулятор'!$G$14="есть",G780+IF(I780=" ",0,I780)-J781-K781+L781+M781-N781,G780+IF(I780=" ",0,I780)-J781-K781+M781-N781),IF('депозитный калькулятор'!$G$14="есть",G780-J781-K781+L781+M781-N781,G780-J781-K781+M781-N781)))</f>
        <v xml:space="preserve"> </v>
      </c>
      <c r="H781" s="133" t="str">
        <f>IF(F781&gt;'депозитный калькулятор'!$D$8," ",IF(AND(OR('депозитный калькулятор'!$G$7="30/365",'депозитный калькулятор'!$G$7="30/360"),AND(MONTH(F781)=2,EOMONTH(F781,0)=F781)),IF(DAY(F781)=28,3*G781*'депозитный калькулятор'!$G$8,2*G781*'депозитный калькулятор'!$G$8),IF(AND(OR('депозитный калькулятор'!$G$7="30/365",'депозитный калькулятор'!$G$7="30/360"),DAY(F781)=31)," ",IF(AND('депозитный калькулятор'!$G$7="факт/факт",MOD(YEAR(F781),4)=0),G781*'депозитный калькулятор'!$D$11/366,G781*'депозитный калькулятор'!$G$8))))</f>
        <v xml:space="preserve"> </v>
      </c>
      <c r="I781" s="134" t="str">
        <f ca="1">IF(F781=" "," ",IF('депозитный калькулятор'!$G$10="ежедневное",H781,IF(AND('депозитный калькулятор'!$G$10="еженедельное",WEEKDAY(F781,2)=7),SUM(OFFSET(H781,-6,0):H781),IF(AND('депозитный калькулятор'!$G$10="еженедельное",F781='депозитный калькулятор'!$D$8),SUM($H$23:H781)-SUM($I$23:I780),IF(AND('депозитный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недели",WEEKDAY(F781,2)=7),MIN(OFFSET(H781,-6,0):H781)*(COUNTIF(OFFSET(H781,-6,0):H781,"&gt;0")+SUMIF(OFFSET(A781,-WEEKDAY(F781,2),0):A781,"=2",OFFSET(A781,-WEEKDAY(F781,2),0):A781)),IF(AND('депозитный калькулятор'!$G$10="еженедельное, на минимальную сумму зафиксированную в течение недели",F781='депозитный калькулятор'!$D$8,WEEKDAY(F781,2)&lt;&gt;7),MIN(OFFSET(H781,-WEEKDAY(F781,2),0):H781)*(COUNTIF(OFFSET(H781,-WEEKDAY(F781,2)+1,0):H781,"&gt;0")+SUM(OFFSET(A781,-WEEKDAY(F781,2),0):A781)),IF(AND('депозитный калькулятор'!$G$10="ежемесячное (в конце месяца)",F781='депозитный калькулятор'!$D$8,EOMONTH(F781,0)&lt;&gt;F781),IF('депозитный калькулятор'!$F$1=1,$H$24,SUM($H$23:H781)-SUM($I$23:I780)),IF(AND('депозитный калькулятор'!$G$10="ежемесячное (в конце месяца)",EOMONTH(F781,0)=F781),SUM($H$23:H781)-SUM($I$23:I780),IF(AND('депозитный калькулятор'!$G$10="ежемесячное (по дням открытия вклада)",F781='депозитный калькулятор'!$D$8,DAY('депозитный калькулятор'!$D$7)&lt;&gt;DAY(F781)),IF('депозитный калькулятор'!$F$1=1,$H$24,SUM($H$23:H781)-SUM($I$23:I780)),IF(AND('депозитный калькулятор'!$G$10="ежемесячное (по дням открытия вклада)",DAY('депозитный калькулятор'!$D$7)=DAY(F781)),SUM($H$23:H781)-SUM($I$23:I780),IF(AND('депозитный калькулятор'!$G$10="ежемесячное, на минимальную сумму зафиксированную в течение месяца",F781='депозитный калькулятор'!$D$8,EOMONTH(F781,0)&lt;&gt;F781),IF('депозитный калькулятор'!$F$1=1,$H$24,IF(AND(OR('депозитный калькулятор'!$G$7="30/365",'депозитный калькулятор'!$G$7="30/360"),DAY(F781)=31),0,MIN(OFFSET(H781,-E781+1,0):H781)*(E781+SUMIF(OFFSET(A781,-E781+1,0):A781,"=2",OFFSET(A781,-E781+1,0):A781)))),IF(AND('депозитный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калькулятор'!$G$7="30/360"),DAY(EOMONTH(F781,0))=31),EOMONTH(F781,0)-1=F781,EOMONTH(F781,0)=F781)),IF(IF(AND(OR('депозитный калькулятор'!$G$7="30/365",'депозитный калькулятор'!$G$7="30/360"),DAY(EOMONTH($F$23,0))=31),F781=EOMONTH($F$23,0)-1,F781=EOMONTH($F$23,0)),MIN(OFFSET(H781,-(DAY(F781)-DAY($F$23)),0):H781)*E781,MIN(OFFSET(H781,-(DAY(F781)-1),0):H781)*IF(AND(OR('депозитный калькулятор'!$G$7="30/365",'депозитный калькулятор'!$G$7="30/360"),DAY(F781)&lt;30),30,DAY(F781))),IF(AND('депозитный калькулятор'!$G$10="ежемесячное, на средний остаток в течение месяца, при условии что остаток больше чем ограничение",F781='депозитный калькулятор'!$D$8,EOMONTH(F781,0)&lt;&gt;F781),IF('депозитный калькулятор'!$F$1=1,$H$24,SUM(OFFSET(Q781,-E781+1,0):Q781)),IF(AND('депозитный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калькулятор'!$G$7="30/360"),DAY(EOMONTH(F781,0))=31),EOMONTH(F781,0)-1=F781,EOMONTH(F781,0)=F781)),IF(IF(AND(OR('депозитный калькулятор'!$G$7="30/365",'депозитный калькулятор'!$G$7="30/360"),DAY(EOMONTH($F$24,0))=31),F781=EOMONTH($F$24,0)-1,F781=EOMONTH($F$24,0)),SUM(OFFSET(Q781,-E781+1,0):Q781),SUM(OFFSET(Q781,-E781+1,0):Q781)),IF('депозитный калькулятор'!$G$10="ежеквартальное",IF(F781&gt;'депозитный калькулятор'!$D$8," ",IF(AND(EOMONTH(F781,0)=F781,OR(MONTH(F781)=3,MONTH(F781)=6,MONTH(F781)=9,MONTH(F781)=12)),IF(EDATE(F781,-3)&lt;'депозитный калькулятор'!$D$7,SUM($H$23:H781),IF(MOD(YEAR(F781),4)=0,IF(AND(EOMONTH(F781,0)=F781,OR(MONTH(F781)=3,MONTH(F781)=6)),SUM(OFFSET(H781,-90,0):H781),IF(AND(EOMONTH(F781,0)=F781,OR(MONTH(F781)=9,MONTH(F781)=12)),SUM(OFFSET(H781,-91,0):H781))),IF(AND(EOMONTH(F781,0)=F781,MONTH(F781)=3),SUM(OFFSET(H781,-89,0):H781),IF(AND(EOMONTH(F781,0)=F781,MONTH(F781)=6),SUM(OFFSET(H781,-90,0):H781),IF(AND(EOMONTH(F781,0)=F781,OR(MONTH(F781)=9,MONTH(F781)=12)),SUM(OFFSET(H781,-91,0):H781)))))),IF(F781='депозитный калькулятор'!$D$8,SUM($H$23:H781)-SUM($I$23:I780),0))),IF('депозитный калькулятор'!$G$10="ежегодное",IF(F781&gt;'депозитный калькулятор'!$D$8," ",IF(F781='депозитный калькулятор'!$D$8,SUM($H$23:H781)-SUM($I$23:I780),IF(AND(EOMONTH(F781,0)=F781,MONTH(F781)=12),IF(MOD(YEAR(F780),4)=0,IF(F781-'депозитный калькулятор'!$D$7&lt;366,SUM($H$23:H781),SUM(OFFSET(H781,-365,0):H781)),IF(F781-'депозитный калькулятор'!$D$7&lt;365,SUM($H$23:H781),SUM(OFFSET(H781,-364,0):H781))),0))),IF(AND('депозитный калькулятор'!$G$10="в конце срока",'депозитный калькулятор'!$D$8=F781),SUM($H$23:H781),0))))))))))))))))))</f>
        <v xml:space="preserve"> </v>
      </c>
      <c r="J781" s="59" t="str">
        <f>IF(F781&gt;'депозитный калькулятор'!$D$8," ",IF('депозитный калькулятор'!$G$16="нет",0,IF(AND('депозитный калькулятор'!$G$17="разовая (в конце срока)",F781='депозитный калькулятор'!$D$8),'депозитный калькулятор'!$G$18,IF(AND('депозитный калькулятор'!$G$17="ежемесячная",EOMONTH(F780,0)=F780),'депозитный калькулятор'!$G$18,IF(AND('депозитный калькулятор'!$G$17="ежегодная",DAY(F780)=31,MONTH(F780)=12),'депозитный калькулятор'!$G$18,IF(AND('депозитный калькулятор'!$G$17="ежемесячная в зависимости от остатка",EOMONTH(F780,0)=F780,P780&gt;0),'депозитный калькулятор'!$G$18,IF(AND('депозитный калькулятор'!$G$17="ежегодная в зависимости от остатка",DAY(F780)=31,MONTH(F780)=12,P780&gt;0),'депозитный калькулятор'!$G$18,0)))))))</f>
        <v xml:space="preserve"> </v>
      </c>
      <c r="K781" s="135" t="str">
        <f>IF($F781=" "," ",IFERROR(VLOOKUP($F781,'депозитный калькулятор'!$B$26:$F$70,2,0),0))</f>
        <v xml:space="preserve"> </v>
      </c>
      <c r="L781" s="135" t="str">
        <f>IF($F781=" "," ",IFERROR(VLOOKUP($F781,'депозитный калькулятор'!$B$26:$F$70,3,0),0))</f>
        <v xml:space="preserve"> </v>
      </c>
      <c r="M781" s="135" t="str">
        <f>IF($F781=" "," ",IFERROR(VLOOKUP($F781,'депозитный калькулятор'!$B$26:$F$70,4,0),0))</f>
        <v xml:space="preserve"> </v>
      </c>
      <c r="N781" s="135" t="str">
        <f>IF($F781=" "," ",IFERROR(VLOOKUP($F781,'депозитный калькулятор'!$B$26:$F$70,5,0),0))</f>
        <v xml:space="preserve"> </v>
      </c>
      <c r="O781" s="146" t="str">
        <f>IF(F781&gt;'депозитный калькулятор'!$D$8," ",IF(F781='депозитный калькулятор'!$D$8,IF(AND($F$24='депозитный калькулятор'!$D$8,'депозитный калькулятор'!$G$13="нет"),-G781-IF(I781=" ",0,I781)-IF(AND(OR('депозитный калькулятор'!$G$7="30/365",'депозитный калькулятор'!$G$7="30/360"),'депозитный калькулятор'!$G$10="в начале срока"),I780,0)-L781+M781-N781,-G781-IF(I781=" ",0,I781)-L781+M781-N781),IF('депозитный калькулятор'!$G$13="есть",M781-N781+IF('депозитный калькулятор'!$G$14="есть",0,-L781),-IF(I781=" ",0,I781)-IF(AND(OR('депозитный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срока"),I780,0)+M781-N781+IF('депозитный калькулятор'!$G$14="есть",0,-L781))))</f>
        <v xml:space="preserve"> </v>
      </c>
      <c r="P781" s="147" t="str">
        <f>IF(F781&gt;'депозитный калькулятор'!$D$8," ",IF(EOMONTH(F780,0)=F780,0,IF(G781&gt;='депозитный калькулятор'!$G$19,P780,P780+1)))</f>
        <v xml:space="preserve"> </v>
      </c>
      <c r="Q781" s="138" t="str">
        <f>IF(F781=" "," ",IF(AND(OR('депозитный калькулятор'!$G$7="30/365",'депозитный калькулятор'!$G$7="30/360"),AND(MONTH(F781)=2,EOMONTH(F781,0)=F781)),IF(DAY(F781)=28,3,2),1)*IF(G781&gt;='депозитный калькулятор'!$G$11,IF(AND('депозитный калькулятор'!$G$7="факт/факт",MOD(YEAR(F781),4)=0),G781*'депозитный калькулятор'!$D$11/366,G781*'депозитный калькулятор'!$G$8),0))</f>
        <v xml:space="preserve"> </v>
      </c>
      <c r="R781" s="158"/>
      <c r="S781" s="62" t="str">
        <f t="shared" ca="1" si="57"/>
        <v xml:space="preserve"> </v>
      </c>
      <c r="T781" s="149" t="str">
        <f ca="1">IF(S781=" "," ",IF('депозитный калькулятор'!$G$7="30/360",DAYS360(U780,IF(DAY(U781)=31,U781-1,U781))+IF(AND(MONTH(U781)=2,U781=EOMONTH(U781,0)),30-DAY(EOMONTH(U781,0)))+T780,VLOOKUP(S781,$C$22:$F$1023,2,0)))</f>
        <v xml:space="preserve"> </v>
      </c>
      <c r="U781" s="64" t="str">
        <f t="shared" ca="1" si="55"/>
        <v xml:space="preserve"> </v>
      </c>
      <c r="V781" s="150" t="str">
        <f t="shared" ca="1" si="58"/>
        <v xml:space="preserve"> </v>
      </c>
      <c r="W781" s="62" t="str">
        <f t="shared" ca="1" si="59"/>
        <v xml:space="preserve"> </v>
      </c>
      <c r="X781" s="141" t="str">
        <f ca="1">IF(S781=" "," ",IFERROR(VLOOKUP(U781,$F$23:$N$1023,7)+VLOOKUP(U781,$F$23:$N$1023,9)+IF(AND('депозитный калькулятор'!$G$13="нет",U781&lt;&gt;'депозитный калькулятор'!$D$8),VLOOKUP(U781,$F$23:$N$1023,4),0),0)+IF(U781='депозитный калькулятор'!$D$8,VLOOKUP(U781,$F$23:$N$1023,2)+VLOOKUP(U781,$F$23:$N$1023,4),0))</f>
        <v xml:space="preserve"> </v>
      </c>
      <c r="Y781" s="142" t="str">
        <f ca="1">IF(S781=" "," ",W781/(1+'депозитный калькулятор'!$K$8)^(T781/IF('депозитный калькулятор'!$G$7="30/360",360,365)))</f>
        <v xml:space="preserve"> </v>
      </c>
      <c r="Z781" s="142" t="str">
        <f ca="1">IF(S781=" "," ",X781/(1+'депозитный калькулятор'!$K$8)^(T781/IF('депозитный калькулятор'!$G$7="30/360",360,365)))</f>
        <v xml:space="preserve"> </v>
      </c>
      <c r="AA781" s="151"/>
      <c r="AB781" s="151"/>
      <c r="AC781" s="155"/>
      <c r="AD781" s="155"/>
    </row>
    <row r="782" spans="1:30" s="2" customFormat="1" ht="15.5" x14ac:dyDescent="0.35">
      <c r="A782" s="41" t="str">
        <f>IF(F782=" "," ",IF(OR('депозитный калькулятор'!$G$7="30/365",'депозитный калькулятор'!$G$7="30/360"),IF(AND(MONTH(F782)=2,DAY(F782)=DAY(EOMONTH(F782,0))),30-DAY(EOMONTH(F782,0)),IF(DAY(F782)=31,1," "))," "))</f>
        <v xml:space="preserve"> </v>
      </c>
      <c r="B782" s="130" t="str">
        <f t="shared" si="56"/>
        <v xml:space="preserve"> </v>
      </c>
      <c r="C782" s="130" t="str">
        <f>IF(OR(B782=0,B782=" ")," ",SUM($B$23:B782))</f>
        <v xml:space="preserve"> </v>
      </c>
      <c r="D782" s="62" t="str">
        <f>IF(D781=" "," ",IF(OR(F781='депозитный калькулятор'!$D$8,F781=" ")," ",D781+1))</f>
        <v xml:space="preserve"> </v>
      </c>
      <c r="E782" s="130" t="str">
        <f>IF(OR(F781='депозитный калькулятор'!$D$8,F781=" ")," ",IF(EOMONTH(F781,0)=F781,1,E781+1))</f>
        <v xml:space="preserve"> </v>
      </c>
      <c r="F782" s="64" t="str">
        <f>IF(F781=" "," ",IF(F781='депозитный калькулятор'!$D$8," ",F781+1))</f>
        <v xml:space="preserve"> </v>
      </c>
      <c r="G782" s="145" t="str">
        <f xml:space="preserve"> IF(F782&gt;'депозитный калькулятор'!$D$8," ",IF('депозитный калькулятор'!$G$13="есть",IF('депозитный калькулятор'!$G$14="есть",G781+IF(I781=" ",0,I781)-J782-K782+L782+M782-N782,G781+IF(I781=" ",0,I781)-J782-K782+M782-N782),IF('депозитный калькулятор'!$G$14="есть",G781-J782-K782+L782+M782-N782,G781-J782-K782+M782-N782)))</f>
        <v xml:space="preserve"> </v>
      </c>
      <c r="H782" s="133" t="str">
        <f>IF(F782&gt;'депозитный калькулятор'!$D$8," ",IF(AND(OR('депозитный калькулятор'!$G$7="30/365",'депозитный калькулятор'!$G$7="30/360"),AND(MONTH(F782)=2,EOMONTH(F782,0)=F782)),IF(DAY(F782)=28,3*G782*'депозитный калькулятор'!$G$8,2*G782*'депозитный калькулятор'!$G$8),IF(AND(OR('депозитный калькулятор'!$G$7="30/365",'депозитный калькулятор'!$G$7="30/360"),DAY(F782)=31)," ",IF(AND('депозитный калькулятор'!$G$7="факт/факт",MOD(YEAR(F782),4)=0),G782*'депозитный калькулятор'!$D$11/366,G782*'депозитный калькулятор'!$G$8))))</f>
        <v xml:space="preserve"> </v>
      </c>
      <c r="I782" s="134" t="str">
        <f ca="1">IF(F782=" "," ",IF('депозитный калькулятор'!$G$10="ежедневное",H782,IF(AND('депозитный калькулятор'!$G$10="еженедельное",WEEKDAY(F782,2)=7),SUM(OFFSET(H782,-6,0):H782),IF(AND('депозитный калькулятор'!$G$10="еженедельное",F782='депозитный калькулятор'!$D$8),SUM($H$23:H782)-SUM($I$23:I781),IF(AND('депозитный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недели",WEEKDAY(F782,2)=7),MIN(OFFSET(H782,-6,0):H782)*(COUNTIF(OFFSET(H782,-6,0):H782,"&gt;0")+SUMIF(OFFSET(A782,-WEEKDAY(F782,2),0):A782,"=2",OFFSET(A782,-WEEKDAY(F782,2),0):A782)),IF(AND('депозитный калькулятор'!$G$10="еженедельное, на минимальную сумму зафиксированную в течение недели",F782='депозитный калькулятор'!$D$8,WEEKDAY(F782,2)&lt;&gt;7),MIN(OFFSET(H782,-WEEKDAY(F782,2),0):H782)*(COUNTIF(OFFSET(H782,-WEEKDAY(F782,2)+1,0):H782,"&gt;0")+SUM(OFFSET(A782,-WEEKDAY(F782,2),0):A782)),IF(AND('депозитный калькулятор'!$G$10="ежемесячное (в конце месяца)",F782='депозитный калькулятор'!$D$8,EOMONTH(F782,0)&lt;&gt;F782),IF('депозитный калькулятор'!$F$1=1,$H$24,SUM($H$23:H782)-SUM($I$23:I781)),IF(AND('депозитный калькулятор'!$G$10="ежемесячное (в конце месяца)",EOMONTH(F782,0)=F782),SUM($H$23:H782)-SUM($I$23:I781),IF(AND('депозитный калькулятор'!$G$10="ежемесячное (по дням открытия вклада)",F782='депозитный калькулятор'!$D$8,DAY('депозитный калькулятор'!$D$7)&lt;&gt;DAY(F782)),IF('депозитный калькулятор'!$F$1=1,$H$24,SUM($H$23:H782)-SUM($I$23:I781)),IF(AND('депозитный калькулятор'!$G$10="ежемесячное (по дням открытия вклада)",DAY('депозитный калькулятор'!$D$7)=DAY(F782)),SUM($H$23:H782)-SUM($I$23:I781),IF(AND('депозитный калькулятор'!$G$10="ежемесячное, на минимальную сумму зафиксированную в течение месяца",F782='депозитный калькулятор'!$D$8,EOMONTH(F782,0)&lt;&gt;F782),IF('депозитный калькулятор'!$F$1=1,$H$24,IF(AND(OR('депозитный калькулятор'!$G$7="30/365",'депозитный калькулятор'!$G$7="30/360"),DAY(F782)=31),0,MIN(OFFSET(H782,-E782+1,0):H782)*(E782+SUMIF(OFFSET(A782,-E782+1,0):A782,"=2",OFFSET(A782,-E782+1,0):A782)))),IF(AND('депозитный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калькулятор'!$G$7="30/360"),DAY(EOMONTH(F782,0))=31),EOMONTH(F782,0)-1=F782,EOMONTH(F782,0)=F782)),IF(IF(AND(OR('депозитный калькулятор'!$G$7="30/365",'депозитный калькулятор'!$G$7="30/360"),DAY(EOMONTH($F$23,0))=31),F782=EOMONTH($F$23,0)-1,F782=EOMONTH($F$23,0)),MIN(OFFSET(H782,-(DAY(F782)-DAY($F$23)),0):H782)*E782,MIN(OFFSET(H782,-(DAY(F782)-1),0):H782)*IF(AND(OR('депозитный калькулятор'!$G$7="30/365",'депозитный калькулятор'!$G$7="30/360"),DAY(F782)&lt;30),30,DAY(F782))),IF(AND('депозитный калькулятор'!$G$10="ежемесячное, на средний остаток в течение месяца, при условии что остаток больше чем ограничение",F782='депозитный калькулятор'!$D$8,EOMONTH(F782,0)&lt;&gt;F782),IF('депозитный калькулятор'!$F$1=1,$H$24,SUM(OFFSET(Q782,-E782+1,0):Q782)),IF(AND('депозитный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калькулятор'!$G$7="30/360"),DAY(EOMONTH(F782,0))=31),EOMONTH(F782,0)-1=F782,EOMONTH(F782,0)=F782)),IF(IF(AND(OR('депозитный калькулятор'!$G$7="30/365",'депозитный калькулятор'!$G$7="30/360"),DAY(EOMONTH($F$24,0))=31),F782=EOMONTH($F$24,0)-1,F782=EOMONTH($F$24,0)),SUM(OFFSET(Q782,-E782+1,0):Q782),SUM(OFFSET(Q782,-E782+1,0):Q782)),IF('депозитный калькулятор'!$G$10="ежеквартальное",IF(F782&gt;'депозитный калькулятор'!$D$8," ",IF(AND(EOMONTH(F782,0)=F782,OR(MONTH(F782)=3,MONTH(F782)=6,MONTH(F782)=9,MONTH(F782)=12)),IF(EDATE(F782,-3)&lt;'депозитный калькулятор'!$D$7,SUM($H$23:H782),IF(MOD(YEAR(F782),4)=0,IF(AND(EOMONTH(F782,0)=F782,OR(MONTH(F782)=3,MONTH(F782)=6)),SUM(OFFSET(H782,-90,0):H782),IF(AND(EOMONTH(F782,0)=F782,OR(MONTH(F782)=9,MONTH(F782)=12)),SUM(OFFSET(H782,-91,0):H782))),IF(AND(EOMONTH(F782,0)=F782,MONTH(F782)=3),SUM(OFFSET(H782,-89,0):H782),IF(AND(EOMONTH(F782,0)=F782,MONTH(F782)=6),SUM(OFFSET(H782,-90,0):H782),IF(AND(EOMONTH(F782,0)=F782,OR(MONTH(F782)=9,MONTH(F782)=12)),SUM(OFFSET(H782,-91,0):H782)))))),IF(F782='депозитный калькулятор'!$D$8,SUM($H$23:H782)-SUM($I$23:I781),0))),IF('депозитный калькулятор'!$G$10="ежегодное",IF(F782&gt;'депозитный калькулятор'!$D$8," ",IF(F782='депозитный калькулятор'!$D$8,SUM($H$23:H782)-SUM($I$23:I781),IF(AND(EOMONTH(F782,0)=F782,MONTH(F782)=12),IF(MOD(YEAR(F781),4)=0,IF(F782-'депозитный калькулятор'!$D$7&lt;366,SUM($H$23:H782),SUM(OFFSET(H782,-365,0):H782)),IF(F782-'депозитный калькулятор'!$D$7&lt;365,SUM($H$23:H782),SUM(OFFSET(H782,-364,0):H782))),0))),IF(AND('депозитный калькулятор'!$G$10="в конце срока",'депозитный калькулятор'!$D$8=F782),SUM($H$23:H782),0))))))))))))))))))</f>
        <v xml:space="preserve"> </v>
      </c>
      <c r="J782" s="59" t="str">
        <f>IF(F782&gt;'депозитный калькулятор'!$D$8," ",IF('депозитный калькулятор'!$G$16="нет",0,IF(AND('депозитный калькулятор'!$G$17="разовая (в конце срока)",F782='депозитный калькулятор'!$D$8),'депозитный калькулятор'!$G$18,IF(AND('депозитный калькулятор'!$G$17="ежемесячная",EOMONTH(F781,0)=F781),'депозитный калькулятор'!$G$18,IF(AND('депозитный калькулятор'!$G$17="ежегодная",DAY(F781)=31,MONTH(F781)=12),'депозитный калькулятор'!$G$18,IF(AND('депозитный калькулятор'!$G$17="ежемесячная в зависимости от остатка",EOMONTH(F781,0)=F781,P781&gt;0),'депозитный калькулятор'!$G$18,IF(AND('депозитный калькулятор'!$G$17="ежегодная в зависимости от остатка",DAY(F781)=31,MONTH(F781)=12,P781&gt;0),'депозитный калькулятор'!$G$18,0)))))))</f>
        <v xml:space="preserve"> </v>
      </c>
      <c r="K782" s="135" t="str">
        <f>IF($F782=" "," ",IFERROR(VLOOKUP($F782,'депозитный калькулятор'!$B$26:$F$70,2,0),0))</f>
        <v xml:space="preserve"> </v>
      </c>
      <c r="L782" s="135" t="str">
        <f>IF($F782=" "," ",IFERROR(VLOOKUP($F782,'депозитный калькулятор'!$B$26:$F$70,3,0),0))</f>
        <v xml:space="preserve"> </v>
      </c>
      <c r="M782" s="135" t="str">
        <f>IF($F782=" "," ",IFERROR(VLOOKUP($F782,'депозитный калькулятор'!$B$26:$F$70,4,0),0))</f>
        <v xml:space="preserve"> </v>
      </c>
      <c r="N782" s="135" t="str">
        <f>IF($F782=" "," ",IFERROR(VLOOKUP($F782,'депозитный калькулятор'!$B$26:$F$70,5,0),0))</f>
        <v xml:space="preserve"> </v>
      </c>
      <c r="O782" s="146" t="str">
        <f>IF(F782&gt;'депозитный калькулятор'!$D$8," ",IF(F782='депозитный калькулятор'!$D$8,IF(AND($F$24='депозитный калькулятор'!$D$8,'депозитный калькулятор'!$G$13="нет"),-G782-IF(I782=" ",0,I782)-IF(AND(OR('депозитный калькулятор'!$G$7="30/365",'депозитный калькулятор'!$G$7="30/360"),'депозитный калькулятор'!$G$10="в начале срока"),I781,0)-L782+M782-N782,-G782-IF(I782=" ",0,I782)-L782+M782-N782),IF('депозитный калькулятор'!$G$13="есть",M782-N782+IF('депозитный калькулятор'!$G$14="есть",0,-L782),-IF(I782=" ",0,I782)-IF(AND(OR('депозитный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срока"),I781,0)+M782-N782+IF('депозитный калькулятор'!$G$14="есть",0,-L782))))</f>
        <v xml:space="preserve"> </v>
      </c>
      <c r="P782" s="147" t="str">
        <f>IF(F782&gt;'депозитный калькулятор'!$D$8," ",IF(EOMONTH(F781,0)=F781,0,IF(G782&gt;='депозитный калькулятор'!$G$19,P781,P781+1)))</f>
        <v xml:space="preserve"> </v>
      </c>
      <c r="Q782" s="138" t="str">
        <f>IF(F782=" "," ",IF(AND(OR('депозитный калькулятор'!$G$7="30/365",'депозитный калькулятор'!$G$7="30/360"),AND(MONTH(F782)=2,EOMONTH(F782,0)=F782)),IF(DAY(F782)=28,3,2),1)*IF(G782&gt;='депозитный калькулятор'!$G$11,IF(AND('депозитный калькулятор'!$G$7="факт/факт",MOD(YEAR(F782),4)=0),G782*'депозитный калькулятор'!$D$11/366,G782*'депозитный калькулятор'!$G$8),0))</f>
        <v xml:space="preserve"> </v>
      </c>
      <c r="R782" s="158"/>
      <c r="S782" s="62" t="str">
        <f t="shared" ca="1" si="57"/>
        <v xml:space="preserve"> </v>
      </c>
      <c r="T782" s="149" t="str">
        <f ca="1">IF(S782=" "," ",IF('депозитный калькулятор'!$G$7="30/360",DAYS360(U781,IF(DAY(U782)=31,U782-1,U782))+IF(AND(MONTH(U782)=2,U782=EOMONTH(U782,0)),30-DAY(EOMONTH(U782,0)))+T781,VLOOKUP(S782,$C$22:$F$1023,2,0)))</f>
        <v xml:space="preserve"> </v>
      </c>
      <c r="U782" s="64" t="str">
        <f t="shared" ca="1" si="55"/>
        <v xml:space="preserve"> </v>
      </c>
      <c r="V782" s="150" t="str">
        <f t="shared" ca="1" si="58"/>
        <v xml:space="preserve"> </v>
      </c>
      <c r="W782" s="62" t="str">
        <f t="shared" ca="1" si="59"/>
        <v xml:space="preserve"> </v>
      </c>
      <c r="X782" s="141" t="str">
        <f ca="1">IF(S782=" "," ",IFERROR(VLOOKUP(U782,$F$23:$N$1023,7)+VLOOKUP(U782,$F$23:$N$1023,9)+IF(AND('депозитный калькулятор'!$G$13="нет",U782&lt;&gt;'депозитный калькулятор'!$D$8),VLOOKUP(U782,$F$23:$N$1023,4),0),0)+IF(U782='депозитный калькулятор'!$D$8,VLOOKUP(U782,$F$23:$N$1023,2)+VLOOKUP(U782,$F$23:$N$1023,4),0))</f>
        <v xml:space="preserve"> </v>
      </c>
      <c r="Y782" s="142" t="str">
        <f ca="1">IF(S782=" "," ",W782/(1+'депозитный калькулятор'!$K$8)^(T782/IF('депозитный калькулятор'!$G$7="30/360",360,365)))</f>
        <v xml:space="preserve"> </v>
      </c>
      <c r="Z782" s="142" t="str">
        <f ca="1">IF(S782=" "," ",X782/(1+'депозитный калькулятор'!$K$8)^(T782/IF('депозитный калькулятор'!$G$7="30/360",360,365)))</f>
        <v xml:space="preserve"> </v>
      </c>
      <c r="AA782" s="151"/>
      <c r="AB782" s="151"/>
      <c r="AC782" s="155"/>
      <c r="AD782" s="155"/>
    </row>
    <row r="783" spans="1:30" s="2" customFormat="1" ht="15.5" x14ac:dyDescent="0.35">
      <c r="A783" s="41" t="str">
        <f>IF(F783=" "," ",IF(OR('депозитный калькулятор'!$G$7="30/365",'депозитный калькулятор'!$G$7="30/360"),IF(AND(MONTH(F783)=2,DAY(F783)=DAY(EOMONTH(F783,0))),30-DAY(EOMONTH(F783,0)),IF(DAY(F783)=31,1," "))," "))</f>
        <v xml:space="preserve"> </v>
      </c>
      <c r="B783" s="130" t="str">
        <f t="shared" si="56"/>
        <v xml:space="preserve"> </v>
      </c>
      <c r="C783" s="130" t="str">
        <f>IF(OR(B783=0,B783=" ")," ",SUM($B$23:B783))</f>
        <v xml:space="preserve"> </v>
      </c>
      <c r="D783" s="62" t="str">
        <f>IF(D782=" "," ",IF(OR(F782='депозитный калькулятор'!$D$8,F782=" ")," ",D782+1))</f>
        <v xml:space="preserve"> </v>
      </c>
      <c r="E783" s="130" t="str">
        <f>IF(OR(F782='депозитный калькулятор'!$D$8,F782=" ")," ",IF(EOMONTH(F782,0)=F782,1,E782+1))</f>
        <v xml:space="preserve"> </v>
      </c>
      <c r="F783" s="64" t="str">
        <f>IF(F782=" "," ",IF(F782='депозитный калькулятор'!$D$8," ",F782+1))</f>
        <v xml:space="preserve"> </v>
      </c>
      <c r="G783" s="145" t="str">
        <f xml:space="preserve"> IF(F783&gt;'депозитный калькулятор'!$D$8," ",IF('депозитный калькулятор'!$G$13="есть",IF('депозитный калькулятор'!$G$14="есть",G782+IF(I782=" ",0,I782)-J783-K783+L783+M783-N783,G782+IF(I782=" ",0,I782)-J783-K783+M783-N783),IF('депозитный калькулятор'!$G$14="есть",G782-J783-K783+L783+M783-N783,G782-J783-K783+M783-N783)))</f>
        <v xml:space="preserve"> </v>
      </c>
      <c r="H783" s="133" t="str">
        <f>IF(F783&gt;'депозитный калькулятор'!$D$8," ",IF(AND(OR('депозитный калькулятор'!$G$7="30/365",'депозитный калькулятор'!$G$7="30/360"),AND(MONTH(F783)=2,EOMONTH(F783,0)=F783)),IF(DAY(F783)=28,3*G783*'депозитный калькулятор'!$G$8,2*G783*'депозитный калькулятор'!$G$8),IF(AND(OR('депозитный калькулятор'!$G$7="30/365",'депозитный калькулятор'!$G$7="30/360"),DAY(F783)=31)," ",IF(AND('депозитный калькулятор'!$G$7="факт/факт",MOD(YEAR(F783),4)=0),G783*'депозитный калькулятор'!$D$11/366,G783*'депозитный калькулятор'!$G$8))))</f>
        <v xml:space="preserve"> </v>
      </c>
      <c r="I783" s="134" t="str">
        <f ca="1">IF(F783=" "," ",IF('депозитный калькулятор'!$G$10="ежедневное",H783,IF(AND('депозитный калькулятор'!$G$10="еженедельное",WEEKDAY(F783,2)=7),SUM(OFFSET(H783,-6,0):H783),IF(AND('депозитный калькулятор'!$G$10="еженедельное",F783='депозитный калькулятор'!$D$8),SUM($H$23:H783)-SUM($I$23:I782),IF(AND('депозитный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недели",WEEKDAY(F783,2)=7),MIN(OFFSET(H783,-6,0):H783)*(COUNTIF(OFFSET(H783,-6,0):H783,"&gt;0")+SUMIF(OFFSET(A783,-WEEKDAY(F783,2),0):A783,"=2",OFFSET(A783,-WEEKDAY(F783,2),0):A783)),IF(AND('депозитный калькулятор'!$G$10="еженедельное, на минимальную сумму зафиксированную в течение недели",F783='депозитный калькулятор'!$D$8,WEEKDAY(F783,2)&lt;&gt;7),MIN(OFFSET(H783,-WEEKDAY(F783,2),0):H783)*(COUNTIF(OFFSET(H783,-WEEKDAY(F783,2)+1,0):H783,"&gt;0")+SUM(OFFSET(A783,-WEEKDAY(F783,2),0):A783)),IF(AND('депозитный калькулятор'!$G$10="ежемесячное (в конце месяца)",F783='депозитный калькулятор'!$D$8,EOMONTH(F783,0)&lt;&gt;F783),IF('депозитный калькулятор'!$F$1=1,$H$24,SUM($H$23:H783)-SUM($I$23:I782)),IF(AND('депозитный калькулятор'!$G$10="ежемесячное (в конце месяца)",EOMONTH(F783,0)=F783),SUM($H$23:H783)-SUM($I$23:I782),IF(AND('депозитный калькулятор'!$G$10="ежемесячное (по дням открытия вклада)",F783='депозитный калькулятор'!$D$8,DAY('депозитный калькулятор'!$D$7)&lt;&gt;DAY(F783)),IF('депозитный калькулятор'!$F$1=1,$H$24,SUM($H$23:H783)-SUM($I$23:I782)),IF(AND('депозитный калькулятор'!$G$10="ежемесячное (по дням открытия вклада)",DAY('депозитный калькулятор'!$D$7)=DAY(F783)),SUM($H$23:H783)-SUM($I$23:I782),IF(AND('депозитный калькулятор'!$G$10="ежемесячное, на минимальную сумму зафиксированную в течение месяца",F783='депозитный калькулятор'!$D$8,EOMONTH(F783,0)&lt;&gt;F783),IF('депозитный калькулятор'!$F$1=1,$H$24,IF(AND(OR('депозитный калькулятор'!$G$7="30/365",'депозитный калькулятор'!$G$7="30/360"),DAY(F783)=31),0,MIN(OFFSET(H783,-E783+1,0):H783)*(E783+SUMIF(OFFSET(A783,-E783+1,0):A783,"=2",OFFSET(A783,-E783+1,0):A783)))),IF(AND('депозитный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калькулятор'!$G$7="30/360"),DAY(EOMONTH(F783,0))=31),EOMONTH(F783,0)-1=F783,EOMONTH(F783,0)=F783)),IF(IF(AND(OR('депозитный калькулятор'!$G$7="30/365",'депозитный калькулятор'!$G$7="30/360"),DAY(EOMONTH($F$23,0))=31),F783=EOMONTH($F$23,0)-1,F783=EOMONTH($F$23,0)),MIN(OFFSET(H783,-(DAY(F783)-DAY($F$23)),0):H783)*E783,MIN(OFFSET(H783,-(DAY(F783)-1),0):H783)*IF(AND(OR('депозитный калькулятор'!$G$7="30/365",'депозитный калькулятор'!$G$7="30/360"),DAY(F783)&lt;30),30,DAY(F783))),IF(AND('депозитный калькулятор'!$G$10="ежемесячное, на средний остаток в течение месяца, при условии что остаток больше чем ограничение",F783='депозитный калькулятор'!$D$8,EOMONTH(F783,0)&lt;&gt;F783),IF('депозитный калькулятор'!$F$1=1,$H$24,SUM(OFFSET(Q783,-E783+1,0):Q783)),IF(AND('депозитный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калькулятор'!$G$7="30/360"),DAY(EOMONTH(F783,0))=31),EOMONTH(F783,0)-1=F783,EOMONTH(F783,0)=F783)),IF(IF(AND(OR('депозитный калькулятор'!$G$7="30/365",'депозитный калькулятор'!$G$7="30/360"),DAY(EOMONTH($F$24,0))=31),F783=EOMONTH($F$24,0)-1,F783=EOMONTH($F$24,0)),SUM(OFFSET(Q783,-E783+1,0):Q783),SUM(OFFSET(Q783,-E783+1,0):Q783)),IF('депозитный калькулятор'!$G$10="ежеквартальное",IF(F783&gt;'депозитный калькулятор'!$D$8," ",IF(AND(EOMONTH(F783,0)=F783,OR(MONTH(F783)=3,MONTH(F783)=6,MONTH(F783)=9,MONTH(F783)=12)),IF(EDATE(F783,-3)&lt;'депозитный калькулятор'!$D$7,SUM($H$23:H783),IF(MOD(YEAR(F783),4)=0,IF(AND(EOMONTH(F783,0)=F783,OR(MONTH(F783)=3,MONTH(F783)=6)),SUM(OFFSET(H783,-90,0):H783),IF(AND(EOMONTH(F783,0)=F783,OR(MONTH(F783)=9,MONTH(F783)=12)),SUM(OFFSET(H783,-91,0):H783))),IF(AND(EOMONTH(F783,0)=F783,MONTH(F783)=3),SUM(OFFSET(H783,-89,0):H783),IF(AND(EOMONTH(F783,0)=F783,MONTH(F783)=6),SUM(OFFSET(H783,-90,0):H783),IF(AND(EOMONTH(F783,0)=F783,OR(MONTH(F783)=9,MONTH(F783)=12)),SUM(OFFSET(H783,-91,0):H783)))))),IF(F783='депозитный калькулятор'!$D$8,SUM($H$23:H783)-SUM($I$23:I782),0))),IF('депозитный калькулятор'!$G$10="ежегодное",IF(F783&gt;'депозитный калькулятор'!$D$8," ",IF(F783='депозитный калькулятор'!$D$8,SUM($H$23:H783)-SUM($I$23:I782),IF(AND(EOMONTH(F783,0)=F783,MONTH(F783)=12),IF(MOD(YEAR(F782),4)=0,IF(F783-'депозитный калькулятор'!$D$7&lt;366,SUM($H$23:H783),SUM(OFFSET(H783,-365,0):H783)),IF(F783-'депозитный калькулятор'!$D$7&lt;365,SUM($H$23:H783),SUM(OFFSET(H783,-364,0):H783))),0))),IF(AND('депозитный калькулятор'!$G$10="в конце срока",'депозитный калькулятор'!$D$8=F783),SUM($H$23:H783),0))))))))))))))))))</f>
        <v xml:space="preserve"> </v>
      </c>
      <c r="J783" s="59" t="str">
        <f>IF(F783&gt;'депозитный калькулятор'!$D$8," ",IF('депозитный калькулятор'!$G$16="нет",0,IF(AND('депозитный калькулятор'!$G$17="разовая (в конце срока)",F783='депозитный калькулятор'!$D$8),'депозитный калькулятор'!$G$18,IF(AND('депозитный калькулятор'!$G$17="ежемесячная",EOMONTH(F782,0)=F782),'депозитный калькулятор'!$G$18,IF(AND('депозитный калькулятор'!$G$17="ежегодная",DAY(F782)=31,MONTH(F782)=12),'депозитный калькулятор'!$G$18,IF(AND('депозитный калькулятор'!$G$17="ежемесячная в зависимости от остатка",EOMONTH(F782,0)=F782,P782&gt;0),'депозитный калькулятор'!$G$18,IF(AND('депозитный калькулятор'!$G$17="ежегодная в зависимости от остатка",DAY(F782)=31,MONTH(F782)=12,P782&gt;0),'депозитный калькулятор'!$G$18,0)))))))</f>
        <v xml:space="preserve"> </v>
      </c>
      <c r="K783" s="135" t="str">
        <f>IF($F783=" "," ",IFERROR(VLOOKUP($F783,'депозитный калькулятор'!$B$26:$F$70,2,0),0))</f>
        <v xml:space="preserve"> </v>
      </c>
      <c r="L783" s="135" t="str">
        <f>IF($F783=" "," ",IFERROR(VLOOKUP($F783,'депозитный калькулятор'!$B$26:$F$70,3,0),0))</f>
        <v xml:space="preserve"> </v>
      </c>
      <c r="M783" s="135" t="str">
        <f>IF($F783=" "," ",IFERROR(VLOOKUP($F783,'депозитный калькулятор'!$B$26:$F$70,4,0),0))</f>
        <v xml:space="preserve"> </v>
      </c>
      <c r="N783" s="135" t="str">
        <f>IF($F783=" "," ",IFERROR(VLOOKUP($F783,'депозитный калькулятор'!$B$26:$F$70,5,0),0))</f>
        <v xml:space="preserve"> </v>
      </c>
      <c r="O783" s="146" t="str">
        <f>IF(F783&gt;'депозитный калькулятор'!$D$8," ",IF(F783='депозитный калькулятор'!$D$8,IF(AND($F$24='депозитный калькулятор'!$D$8,'депозитный калькулятор'!$G$13="нет"),-G783-IF(I783=" ",0,I783)-IF(AND(OR('депозитный калькулятор'!$G$7="30/365",'депозитный калькулятор'!$G$7="30/360"),'депозитный калькулятор'!$G$10="в начале срока"),I782,0)-L783+M783-N783,-G783-IF(I783=" ",0,I783)-L783+M783-N783),IF('депозитный калькулятор'!$G$13="есть",M783-N783+IF('депозитный калькулятор'!$G$14="есть",0,-L783),-IF(I783=" ",0,I783)-IF(AND(OR('депозитный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срока"),I782,0)+M783-N783+IF('депозитный калькулятор'!$G$14="есть",0,-L783))))</f>
        <v xml:space="preserve"> </v>
      </c>
      <c r="P783" s="147" t="str">
        <f>IF(F783&gt;'депозитный калькулятор'!$D$8," ",IF(EOMONTH(F782,0)=F782,0,IF(G783&gt;='депозитный калькулятор'!$G$19,P782,P782+1)))</f>
        <v xml:space="preserve"> </v>
      </c>
      <c r="Q783" s="138" t="str">
        <f>IF(F783=" "," ",IF(AND(OR('депозитный калькулятор'!$G$7="30/365",'депозитный калькулятор'!$G$7="30/360"),AND(MONTH(F783)=2,EOMONTH(F783,0)=F783)),IF(DAY(F783)=28,3,2),1)*IF(G783&gt;='депозитный калькулятор'!$G$11,IF(AND('депозитный калькулятор'!$G$7="факт/факт",MOD(YEAR(F783),4)=0),G783*'депозитный калькулятор'!$D$11/366,G783*'депозитный калькулятор'!$G$8),0))</f>
        <v xml:space="preserve"> </v>
      </c>
      <c r="R783" s="158"/>
      <c r="S783" s="62" t="str">
        <f t="shared" ca="1" si="57"/>
        <v xml:space="preserve"> </v>
      </c>
      <c r="T783" s="149" t="str">
        <f ca="1">IF(S783=" "," ",IF('депозитный калькулятор'!$G$7="30/360",DAYS360(U782,IF(DAY(U783)=31,U783-1,U783))+IF(AND(MONTH(U783)=2,U783=EOMONTH(U783,0)),30-DAY(EOMONTH(U783,0)))+T782,VLOOKUP(S783,$C$22:$F$1023,2,0)))</f>
        <v xml:space="preserve"> </v>
      </c>
      <c r="U783" s="64" t="str">
        <f t="shared" ca="1" si="55"/>
        <v xml:space="preserve"> </v>
      </c>
      <c r="V783" s="150" t="str">
        <f t="shared" ca="1" si="58"/>
        <v xml:space="preserve"> </v>
      </c>
      <c r="W783" s="62" t="str">
        <f t="shared" ca="1" si="59"/>
        <v xml:space="preserve"> </v>
      </c>
      <c r="X783" s="141" t="str">
        <f ca="1">IF(S783=" "," ",IFERROR(VLOOKUP(U783,$F$23:$N$1023,7)+VLOOKUP(U783,$F$23:$N$1023,9)+IF(AND('депозитный калькулятор'!$G$13="нет",U783&lt;&gt;'депозитный калькулятор'!$D$8),VLOOKUP(U783,$F$23:$N$1023,4),0),0)+IF(U783='депозитный калькулятор'!$D$8,VLOOKUP(U783,$F$23:$N$1023,2)+VLOOKUP(U783,$F$23:$N$1023,4),0))</f>
        <v xml:space="preserve"> </v>
      </c>
      <c r="Y783" s="142" t="str">
        <f ca="1">IF(S783=" "," ",W783/(1+'депозитный калькулятор'!$K$8)^(T783/IF('депозитный калькулятор'!$G$7="30/360",360,365)))</f>
        <v xml:space="preserve"> </v>
      </c>
      <c r="Z783" s="142" t="str">
        <f ca="1">IF(S783=" "," ",X783/(1+'депозитный калькулятор'!$K$8)^(T783/IF('депозитный калькулятор'!$G$7="30/360",360,365)))</f>
        <v xml:space="preserve"> </v>
      </c>
      <c r="AA783" s="151"/>
      <c r="AB783" s="151"/>
      <c r="AC783" s="155"/>
      <c r="AD783" s="155"/>
    </row>
    <row r="784" spans="1:30" s="2" customFormat="1" ht="15.5" x14ac:dyDescent="0.35">
      <c r="A784" s="41" t="str">
        <f>IF(F784=" "," ",IF(OR('депозитный калькулятор'!$G$7="30/365",'депозитный калькулятор'!$G$7="30/360"),IF(AND(MONTH(F784)=2,DAY(F784)=DAY(EOMONTH(F784,0))),30-DAY(EOMONTH(F784,0)),IF(DAY(F784)=31,1," "))," "))</f>
        <v xml:space="preserve"> </v>
      </c>
      <c r="B784" s="130" t="str">
        <f t="shared" si="56"/>
        <v xml:space="preserve"> </v>
      </c>
      <c r="C784" s="130" t="str">
        <f>IF(OR(B784=0,B784=" ")," ",SUM($B$23:B784))</f>
        <v xml:space="preserve"> </v>
      </c>
      <c r="D784" s="62" t="str">
        <f>IF(D783=" "," ",IF(OR(F783='депозитный калькулятор'!$D$8,F783=" ")," ",D783+1))</f>
        <v xml:space="preserve"> </v>
      </c>
      <c r="E784" s="130" t="str">
        <f>IF(OR(F783='депозитный калькулятор'!$D$8,F783=" ")," ",IF(EOMONTH(F783,0)=F783,1,E783+1))</f>
        <v xml:space="preserve"> </v>
      </c>
      <c r="F784" s="64" t="str">
        <f>IF(F783=" "," ",IF(F783='депозитный калькулятор'!$D$8," ",F783+1))</f>
        <v xml:space="preserve"> </v>
      </c>
      <c r="G784" s="145" t="str">
        <f xml:space="preserve"> IF(F784&gt;'депозитный калькулятор'!$D$8," ",IF('депозитный калькулятор'!$G$13="есть",IF('депозитный калькулятор'!$G$14="есть",G783+IF(I783=" ",0,I783)-J784-K784+L784+M784-N784,G783+IF(I783=" ",0,I783)-J784-K784+M784-N784),IF('депозитный калькулятор'!$G$14="есть",G783-J784-K784+L784+M784-N784,G783-J784-K784+M784-N784)))</f>
        <v xml:space="preserve"> </v>
      </c>
      <c r="H784" s="133" t="str">
        <f>IF(F784&gt;'депозитный калькулятор'!$D$8," ",IF(AND(OR('депозитный калькулятор'!$G$7="30/365",'депозитный калькулятор'!$G$7="30/360"),AND(MONTH(F784)=2,EOMONTH(F784,0)=F784)),IF(DAY(F784)=28,3*G784*'депозитный калькулятор'!$G$8,2*G784*'депозитный калькулятор'!$G$8),IF(AND(OR('депозитный калькулятор'!$G$7="30/365",'депозитный калькулятор'!$G$7="30/360"),DAY(F784)=31)," ",IF(AND('депозитный калькулятор'!$G$7="факт/факт",MOD(YEAR(F784),4)=0),G784*'депозитный калькулятор'!$D$11/366,G784*'депозитный калькулятор'!$G$8))))</f>
        <v xml:space="preserve"> </v>
      </c>
      <c r="I784" s="134" t="str">
        <f ca="1">IF(F784=" "," ",IF('депозитный калькулятор'!$G$10="ежедневное",H784,IF(AND('депозитный калькулятор'!$G$10="еженедельное",WEEKDAY(F784,2)=7),SUM(OFFSET(H784,-6,0):H784),IF(AND('депозитный калькулятор'!$G$10="еженедельное",F784='депозитный калькулятор'!$D$8),SUM($H$23:H784)-SUM($I$23:I783),IF(AND('депозитный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недели",WEEKDAY(F784,2)=7),MIN(OFFSET(H784,-6,0):H784)*(COUNTIF(OFFSET(H784,-6,0):H784,"&gt;0")+SUMIF(OFFSET(A784,-WEEKDAY(F784,2),0):A784,"=2",OFFSET(A784,-WEEKDAY(F784,2),0):A784)),IF(AND('депозитный калькулятор'!$G$10="еженедельное, на минимальную сумму зафиксированную в течение недели",F784='депозитный калькулятор'!$D$8,WEEKDAY(F784,2)&lt;&gt;7),MIN(OFFSET(H784,-WEEKDAY(F784,2),0):H784)*(COUNTIF(OFFSET(H784,-WEEKDAY(F784,2)+1,0):H784,"&gt;0")+SUM(OFFSET(A784,-WEEKDAY(F784,2),0):A784)),IF(AND('депозитный калькулятор'!$G$10="ежемесячное (в конце месяца)",F784='депозитный калькулятор'!$D$8,EOMONTH(F784,0)&lt;&gt;F784),IF('депозитный калькулятор'!$F$1=1,$H$24,SUM($H$23:H784)-SUM($I$23:I783)),IF(AND('депозитный калькулятор'!$G$10="ежемесячное (в конце месяца)",EOMONTH(F784,0)=F784),SUM($H$23:H784)-SUM($I$23:I783),IF(AND('депозитный калькулятор'!$G$10="ежемесячное (по дням открытия вклада)",F784='депозитный калькулятор'!$D$8,DAY('депозитный калькулятор'!$D$7)&lt;&gt;DAY(F784)),IF('депозитный калькулятор'!$F$1=1,$H$24,SUM($H$23:H784)-SUM($I$23:I783)),IF(AND('депозитный калькулятор'!$G$10="ежемесячное (по дням открытия вклада)",DAY('депозитный калькулятор'!$D$7)=DAY(F784)),SUM($H$23:H784)-SUM($I$23:I783),IF(AND('депозитный калькулятор'!$G$10="ежемесячное, на минимальную сумму зафиксированную в течение месяца",F784='депозитный калькулятор'!$D$8,EOMONTH(F784,0)&lt;&gt;F784),IF('депозитный калькулятор'!$F$1=1,$H$24,IF(AND(OR('депозитный калькулятор'!$G$7="30/365",'депозитный калькулятор'!$G$7="30/360"),DAY(F784)=31),0,MIN(OFFSET(H784,-E784+1,0):H784)*(E784+SUMIF(OFFSET(A784,-E784+1,0):A784,"=2",OFFSET(A784,-E784+1,0):A784)))),IF(AND('депозитный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калькулятор'!$G$7="30/360"),DAY(EOMONTH(F784,0))=31),EOMONTH(F784,0)-1=F784,EOMONTH(F784,0)=F784)),IF(IF(AND(OR('депозитный калькулятор'!$G$7="30/365",'депозитный калькулятор'!$G$7="30/360"),DAY(EOMONTH($F$23,0))=31),F784=EOMONTH($F$23,0)-1,F784=EOMONTH($F$23,0)),MIN(OFFSET(H784,-(DAY(F784)-DAY($F$23)),0):H784)*E784,MIN(OFFSET(H784,-(DAY(F784)-1),0):H784)*IF(AND(OR('депозитный калькулятор'!$G$7="30/365",'депозитный калькулятор'!$G$7="30/360"),DAY(F784)&lt;30),30,DAY(F784))),IF(AND('депозитный калькулятор'!$G$10="ежемесячное, на средний остаток в течение месяца, при условии что остаток больше чем ограничение",F784='депозитный калькулятор'!$D$8,EOMONTH(F784,0)&lt;&gt;F784),IF('депозитный калькулятор'!$F$1=1,$H$24,SUM(OFFSET(Q784,-E784+1,0):Q784)),IF(AND('депозитный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калькулятор'!$G$7="30/360"),DAY(EOMONTH(F784,0))=31),EOMONTH(F784,0)-1=F784,EOMONTH(F784,0)=F784)),IF(IF(AND(OR('депозитный калькулятор'!$G$7="30/365",'депозитный калькулятор'!$G$7="30/360"),DAY(EOMONTH($F$24,0))=31),F784=EOMONTH($F$24,0)-1,F784=EOMONTH($F$24,0)),SUM(OFFSET(Q784,-E784+1,0):Q784),SUM(OFFSET(Q784,-E784+1,0):Q784)),IF('депозитный калькулятор'!$G$10="ежеквартальное",IF(F784&gt;'депозитный калькулятор'!$D$8," ",IF(AND(EOMONTH(F784,0)=F784,OR(MONTH(F784)=3,MONTH(F784)=6,MONTH(F784)=9,MONTH(F784)=12)),IF(EDATE(F784,-3)&lt;'депозитный калькулятор'!$D$7,SUM($H$23:H784),IF(MOD(YEAR(F784),4)=0,IF(AND(EOMONTH(F784,0)=F784,OR(MONTH(F784)=3,MONTH(F784)=6)),SUM(OFFSET(H784,-90,0):H784),IF(AND(EOMONTH(F784,0)=F784,OR(MONTH(F784)=9,MONTH(F784)=12)),SUM(OFFSET(H784,-91,0):H784))),IF(AND(EOMONTH(F784,0)=F784,MONTH(F784)=3),SUM(OFFSET(H784,-89,0):H784),IF(AND(EOMONTH(F784,0)=F784,MONTH(F784)=6),SUM(OFFSET(H784,-90,0):H784),IF(AND(EOMONTH(F784,0)=F784,OR(MONTH(F784)=9,MONTH(F784)=12)),SUM(OFFSET(H784,-91,0):H784)))))),IF(F784='депозитный калькулятор'!$D$8,SUM($H$23:H784)-SUM($I$23:I783),0))),IF('депозитный калькулятор'!$G$10="ежегодное",IF(F784&gt;'депозитный калькулятор'!$D$8," ",IF(F784='депозитный калькулятор'!$D$8,SUM($H$23:H784)-SUM($I$23:I783),IF(AND(EOMONTH(F784,0)=F784,MONTH(F784)=12),IF(MOD(YEAR(F783),4)=0,IF(F784-'депозитный калькулятор'!$D$7&lt;366,SUM($H$23:H784),SUM(OFFSET(H784,-365,0):H784)),IF(F784-'депозитный калькулятор'!$D$7&lt;365,SUM($H$23:H784),SUM(OFFSET(H784,-364,0):H784))),0))),IF(AND('депозитный калькулятор'!$G$10="в конце срока",'депозитный калькулятор'!$D$8=F784),SUM($H$23:H784),0))))))))))))))))))</f>
        <v xml:space="preserve"> </v>
      </c>
      <c r="J784" s="59" t="str">
        <f>IF(F784&gt;'депозитный калькулятор'!$D$8," ",IF('депозитный калькулятор'!$G$16="нет",0,IF(AND('депозитный калькулятор'!$G$17="разовая (в конце срока)",F784='депозитный калькулятор'!$D$8),'депозитный калькулятор'!$G$18,IF(AND('депозитный калькулятор'!$G$17="ежемесячная",EOMONTH(F783,0)=F783),'депозитный калькулятор'!$G$18,IF(AND('депозитный калькулятор'!$G$17="ежегодная",DAY(F783)=31,MONTH(F783)=12),'депозитный калькулятор'!$G$18,IF(AND('депозитный калькулятор'!$G$17="ежемесячная в зависимости от остатка",EOMONTH(F783,0)=F783,P783&gt;0),'депозитный калькулятор'!$G$18,IF(AND('депозитный калькулятор'!$G$17="ежегодная в зависимости от остатка",DAY(F783)=31,MONTH(F783)=12,P783&gt;0),'депозитный калькулятор'!$G$18,0)))))))</f>
        <v xml:space="preserve"> </v>
      </c>
      <c r="K784" s="135" t="str">
        <f>IF($F784=" "," ",IFERROR(VLOOKUP($F784,'депозитный калькулятор'!$B$26:$F$70,2,0),0))</f>
        <v xml:space="preserve"> </v>
      </c>
      <c r="L784" s="135" t="str">
        <f>IF($F784=" "," ",IFERROR(VLOOKUP($F784,'депозитный калькулятор'!$B$26:$F$70,3,0),0))</f>
        <v xml:space="preserve"> </v>
      </c>
      <c r="M784" s="135" t="str">
        <f>IF($F784=" "," ",IFERROR(VLOOKUP($F784,'депозитный калькулятор'!$B$26:$F$70,4,0),0))</f>
        <v xml:space="preserve"> </v>
      </c>
      <c r="N784" s="135" t="str">
        <f>IF($F784=" "," ",IFERROR(VLOOKUP($F784,'депозитный калькулятор'!$B$26:$F$70,5,0),0))</f>
        <v xml:space="preserve"> </v>
      </c>
      <c r="O784" s="146" t="str">
        <f>IF(F784&gt;'депозитный калькулятор'!$D$8," ",IF(F784='депозитный калькулятор'!$D$8,IF(AND($F$24='депозитный калькулятор'!$D$8,'депозитный калькулятор'!$G$13="нет"),-G784-IF(I784=" ",0,I784)-IF(AND(OR('депозитный калькулятор'!$G$7="30/365",'депозитный калькулятор'!$G$7="30/360"),'депозитный калькулятор'!$G$10="в начале срока"),I783,0)-L784+M784-N784,-G784-IF(I784=" ",0,I784)-L784+M784-N784),IF('депозитный калькулятор'!$G$13="есть",M784-N784+IF('депозитный калькулятор'!$G$14="есть",0,-L784),-IF(I784=" ",0,I784)-IF(AND(OR('депозитный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срока"),I783,0)+M784-N784+IF('депозитный калькулятор'!$G$14="есть",0,-L784))))</f>
        <v xml:space="preserve"> </v>
      </c>
      <c r="P784" s="147" t="str">
        <f>IF(F784&gt;'депозитный калькулятор'!$D$8," ",IF(EOMONTH(F783,0)=F783,0,IF(G784&gt;='депозитный калькулятор'!$G$19,P783,P783+1)))</f>
        <v xml:space="preserve"> </v>
      </c>
      <c r="Q784" s="138" t="str">
        <f>IF(F784=" "," ",IF(AND(OR('депозитный калькулятор'!$G$7="30/365",'депозитный калькулятор'!$G$7="30/360"),AND(MONTH(F784)=2,EOMONTH(F784,0)=F784)),IF(DAY(F784)=28,3,2),1)*IF(G784&gt;='депозитный калькулятор'!$G$11,IF(AND('депозитный калькулятор'!$G$7="факт/факт",MOD(YEAR(F784),4)=0),G784*'депозитный калькулятор'!$D$11/366,G784*'депозитный калькулятор'!$G$8),0))</f>
        <v xml:space="preserve"> </v>
      </c>
      <c r="R784" s="158"/>
      <c r="S784" s="62" t="str">
        <f t="shared" ca="1" si="57"/>
        <v xml:space="preserve"> </v>
      </c>
      <c r="T784" s="149" t="str">
        <f ca="1">IF(S784=" "," ",IF('депозитный калькулятор'!$G$7="30/360",DAYS360(U783,IF(DAY(U784)=31,U784-1,U784))+IF(AND(MONTH(U784)=2,U784=EOMONTH(U784,0)),30-DAY(EOMONTH(U784,0)))+T783,VLOOKUP(S784,$C$22:$F$1023,2,0)))</f>
        <v xml:space="preserve"> </v>
      </c>
      <c r="U784" s="64" t="str">
        <f t="shared" ca="1" si="55"/>
        <v xml:space="preserve"> </v>
      </c>
      <c r="V784" s="150" t="str">
        <f t="shared" ca="1" si="58"/>
        <v xml:space="preserve"> </v>
      </c>
      <c r="W784" s="62" t="str">
        <f t="shared" ca="1" si="59"/>
        <v xml:space="preserve"> </v>
      </c>
      <c r="X784" s="141" t="str">
        <f ca="1">IF(S784=" "," ",IFERROR(VLOOKUP(U784,$F$23:$N$1023,7)+VLOOKUP(U784,$F$23:$N$1023,9)+IF(AND('депозитный калькулятор'!$G$13="нет",U784&lt;&gt;'депозитный калькулятор'!$D$8),VLOOKUP(U784,$F$23:$N$1023,4),0),0)+IF(U784='депозитный калькулятор'!$D$8,VLOOKUP(U784,$F$23:$N$1023,2)+VLOOKUP(U784,$F$23:$N$1023,4),0))</f>
        <v xml:space="preserve"> </v>
      </c>
      <c r="Y784" s="142" t="str">
        <f ca="1">IF(S784=" "," ",W784/(1+'депозитный калькулятор'!$K$8)^(T784/IF('депозитный калькулятор'!$G$7="30/360",360,365)))</f>
        <v xml:space="preserve"> </v>
      </c>
      <c r="Z784" s="142" t="str">
        <f ca="1">IF(S784=" "," ",X784/(1+'депозитный калькулятор'!$K$8)^(T784/IF('депозитный калькулятор'!$G$7="30/360",360,365)))</f>
        <v xml:space="preserve"> </v>
      </c>
      <c r="AA784" s="151"/>
      <c r="AB784" s="151"/>
      <c r="AC784" s="155"/>
      <c r="AD784" s="155"/>
    </row>
    <row r="785" spans="1:30" s="2" customFormat="1" ht="15.5" x14ac:dyDescent="0.35">
      <c r="A785" s="41" t="str">
        <f>IF(F785=" "," ",IF(OR('депозитный калькулятор'!$G$7="30/365",'депозитный калькулятор'!$G$7="30/360"),IF(AND(MONTH(F785)=2,DAY(F785)=DAY(EOMONTH(F785,0))),30-DAY(EOMONTH(F785,0)),IF(DAY(F785)=31,1," "))," "))</f>
        <v xml:space="preserve"> </v>
      </c>
      <c r="B785" s="130" t="str">
        <f t="shared" si="56"/>
        <v xml:space="preserve"> </v>
      </c>
      <c r="C785" s="130" t="str">
        <f>IF(OR(B785=0,B785=" ")," ",SUM($B$23:B785))</f>
        <v xml:space="preserve"> </v>
      </c>
      <c r="D785" s="62" t="str">
        <f>IF(D784=" "," ",IF(OR(F784='депозитный калькулятор'!$D$8,F784=" ")," ",D784+1))</f>
        <v xml:space="preserve"> </v>
      </c>
      <c r="E785" s="130" t="str">
        <f>IF(OR(F784='депозитный калькулятор'!$D$8,F784=" ")," ",IF(EOMONTH(F784,0)=F784,1,E784+1))</f>
        <v xml:space="preserve"> </v>
      </c>
      <c r="F785" s="64" t="str">
        <f>IF(F784=" "," ",IF(F784='депозитный калькулятор'!$D$8," ",F784+1))</f>
        <v xml:space="preserve"> </v>
      </c>
      <c r="G785" s="145" t="str">
        <f xml:space="preserve"> IF(F785&gt;'депозитный калькулятор'!$D$8," ",IF('депозитный калькулятор'!$G$13="есть",IF('депозитный калькулятор'!$G$14="есть",G784+IF(I784=" ",0,I784)-J785-K785+L785+M785-N785,G784+IF(I784=" ",0,I784)-J785-K785+M785-N785),IF('депозитный калькулятор'!$G$14="есть",G784-J785-K785+L785+M785-N785,G784-J785-K785+M785-N785)))</f>
        <v xml:space="preserve"> </v>
      </c>
      <c r="H785" s="133" t="str">
        <f>IF(F785&gt;'депозитный калькулятор'!$D$8," ",IF(AND(OR('депозитный калькулятор'!$G$7="30/365",'депозитный калькулятор'!$G$7="30/360"),AND(MONTH(F785)=2,EOMONTH(F785,0)=F785)),IF(DAY(F785)=28,3*G785*'депозитный калькулятор'!$G$8,2*G785*'депозитный калькулятор'!$G$8),IF(AND(OR('депозитный калькулятор'!$G$7="30/365",'депозитный калькулятор'!$G$7="30/360"),DAY(F785)=31)," ",IF(AND('депозитный калькулятор'!$G$7="факт/факт",MOD(YEAR(F785),4)=0),G785*'депозитный калькулятор'!$D$11/366,G785*'депозитный калькулятор'!$G$8))))</f>
        <v xml:space="preserve"> </v>
      </c>
      <c r="I785" s="134" t="str">
        <f ca="1">IF(F785=" "," ",IF('депозитный калькулятор'!$G$10="ежедневное",H785,IF(AND('депозитный калькулятор'!$G$10="еженедельное",WEEKDAY(F785,2)=7),SUM(OFFSET(H785,-6,0):H785),IF(AND('депозитный калькулятор'!$G$10="еженедельное",F785='депозитный калькулятор'!$D$8),SUM($H$23:H785)-SUM($I$23:I784),IF(AND('депозитный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недели",WEEKDAY(F785,2)=7),MIN(OFFSET(H785,-6,0):H785)*(COUNTIF(OFFSET(H785,-6,0):H785,"&gt;0")+SUMIF(OFFSET(A785,-WEEKDAY(F785,2),0):A785,"=2",OFFSET(A785,-WEEKDAY(F785,2),0):A785)),IF(AND('депозитный калькулятор'!$G$10="еженедельное, на минимальную сумму зафиксированную в течение недели",F785='депозитный калькулятор'!$D$8,WEEKDAY(F785,2)&lt;&gt;7),MIN(OFFSET(H785,-WEEKDAY(F785,2),0):H785)*(COUNTIF(OFFSET(H785,-WEEKDAY(F785,2)+1,0):H785,"&gt;0")+SUM(OFFSET(A785,-WEEKDAY(F785,2),0):A785)),IF(AND('депозитный калькулятор'!$G$10="ежемесячное (в конце месяца)",F785='депозитный калькулятор'!$D$8,EOMONTH(F785,0)&lt;&gt;F785),IF('депозитный калькулятор'!$F$1=1,$H$24,SUM($H$23:H785)-SUM($I$23:I784)),IF(AND('депозитный калькулятор'!$G$10="ежемесячное (в конце месяца)",EOMONTH(F785,0)=F785),SUM($H$23:H785)-SUM($I$23:I784),IF(AND('депозитный калькулятор'!$G$10="ежемесячное (по дням открытия вклада)",F785='депозитный калькулятор'!$D$8,DAY('депозитный калькулятор'!$D$7)&lt;&gt;DAY(F785)),IF('депозитный калькулятор'!$F$1=1,$H$24,SUM($H$23:H785)-SUM($I$23:I784)),IF(AND('депозитный калькулятор'!$G$10="ежемесячное (по дням открытия вклада)",DAY('депозитный калькулятор'!$D$7)=DAY(F785)),SUM($H$23:H785)-SUM($I$23:I784),IF(AND('депозитный калькулятор'!$G$10="ежемесячное, на минимальную сумму зафиксированную в течение месяца",F785='депозитный калькулятор'!$D$8,EOMONTH(F785,0)&lt;&gt;F785),IF('депозитный калькулятор'!$F$1=1,$H$24,IF(AND(OR('депозитный калькулятор'!$G$7="30/365",'депозитный калькулятор'!$G$7="30/360"),DAY(F785)=31),0,MIN(OFFSET(H785,-E785+1,0):H785)*(E785+SUMIF(OFFSET(A785,-E785+1,0):A785,"=2",OFFSET(A785,-E785+1,0):A785)))),IF(AND('депозитный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калькулятор'!$G$7="30/360"),DAY(EOMONTH(F785,0))=31),EOMONTH(F785,0)-1=F785,EOMONTH(F785,0)=F785)),IF(IF(AND(OR('депозитный калькулятор'!$G$7="30/365",'депозитный калькулятор'!$G$7="30/360"),DAY(EOMONTH($F$23,0))=31),F785=EOMONTH($F$23,0)-1,F785=EOMONTH($F$23,0)),MIN(OFFSET(H785,-(DAY(F785)-DAY($F$23)),0):H785)*E785,MIN(OFFSET(H785,-(DAY(F785)-1),0):H785)*IF(AND(OR('депозитный калькулятор'!$G$7="30/365",'депозитный калькулятор'!$G$7="30/360"),DAY(F785)&lt;30),30,DAY(F785))),IF(AND('депозитный калькулятор'!$G$10="ежемесячное, на средний остаток в течение месяца, при условии что остаток больше чем ограничение",F785='депозитный калькулятор'!$D$8,EOMONTH(F785,0)&lt;&gt;F785),IF('депозитный калькулятор'!$F$1=1,$H$24,SUM(OFFSET(Q785,-E785+1,0):Q785)),IF(AND('депозитный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калькулятор'!$G$7="30/360"),DAY(EOMONTH(F785,0))=31),EOMONTH(F785,0)-1=F785,EOMONTH(F785,0)=F785)),IF(IF(AND(OR('депозитный калькулятор'!$G$7="30/365",'депозитный калькулятор'!$G$7="30/360"),DAY(EOMONTH($F$24,0))=31),F785=EOMONTH($F$24,0)-1,F785=EOMONTH($F$24,0)),SUM(OFFSET(Q785,-E785+1,0):Q785),SUM(OFFSET(Q785,-E785+1,0):Q785)),IF('депозитный калькулятор'!$G$10="ежеквартальное",IF(F785&gt;'депозитный калькулятор'!$D$8," ",IF(AND(EOMONTH(F785,0)=F785,OR(MONTH(F785)=3,MONTH(F785)=6,MONTH(F785)=9,MONTH(F785)=12)),IF(EDATE(F785,-3)&lt;'депозитный калькулятор'!$D$7,SUM($H$23:H785),IF(MOD(YEAR(F785),4)=0,IF(AND(EOMONTH(F785,0)=F785,OR(MONTH(F785)=3,MONTH(F785)=6)),SUM(OFFSET(H785,-90,0):H785),IF(AND(EOMONTH(F785,0)=F785,OR(MONTH(F785)=9,MONTH(F785)=12)),SUM(OFFSET(H785,-91,0):H785))),IF(AND(EOMONTH(F785,0)=F785,MONTH(F785)=3),SUM(OFFSET(H785,-89,0):H785),IF(AND(EOMONTH(F785,0)=F785,MONTH(F785)=6),SUM(OFFSET(H785,-90,0):H785),IF(AND(EOMONTH(F785,0)=F785,OR(MONTH(F785)=9,MONTH(F785)=12)),SUM(OFFSET(H785,-91,0):H785)))))),IF(F785='депозитный калькулятор'!$D$8,SUM($H$23:H785)-SUM($I$23:I784),0))),IF('депозитный калькулятор'!$G$10="ежегодное",IF(F785&gt;'депозитный калькулятор'!$D$8," ",IF(F785='депозитный калькулятор'!$D$8,SUM($H$23:H785)-SUM($I$23:I784),IF(AND(EOMONTH(F785,0)=F785,MONTH(F785)=12),IF(MOD(YEAR(F784),4)=0,IF(F785-'депозитный калькулятор'!$D$7&lt;366,SUM($H$23:H785),SUM(OFFSET(H785,-365,0):H785)),IF(F785-'депозитный калькулятор'!$D$7&lt;365,SUM($H$23:H785),SUM(OFFSET(H785,-364,0):H785))),0))),IF(AND('депозитный калькулятор'!$G$10="в конце срока",'депозитный калькулятор'!$D$8=F785),SUM($H$23:H785),0))))))))))))))))))</f>
        <v xml:space="preserve"> </v>
      </c>
      <c r="J785" s="59" t="str">
        <f>IF(F785&gt;'депозитный калькулятор'!$D$8," ",IF('депозитный калькулятор'!$G$16="нет",0,IF(AND('депозитный калькулятор'!$G$17="разовая (в конце срока)",F785='депозитный калькулятор'!$D$8),'депозитный калькулятор'!$G$18,IF(AND('депозитный калькулятор'!$G$17="ежемесячная",EOMONTH(F784,0)=F784),'депозитный калькулятор'!$G$18,IF(AND('депозитный калькулятор'!$G$17="ежегодная",DAY(F784)=31,MONTH(F784)=12),'депозитный калькулятор'!$G$18,IF(AND('депозитный калькулятор'!$G$17="ежемесячная в зависимости от остатка",EOMONTH(F784,0)=F784,P784&gt;0),'депозитный калькулятор'!$G$18,IF(AND('депозитный калькулятор'!$G$17="ежегодная в зависимости от остатка",DAY(F784)=31,MONTH(F784)=12,P784&gt;0),'депозитный калькулятор'!$G$18,0)))))))</f>
        <v xml:space="preserve"> </v>
      </c>
      <c r="K785" s="135" t="str">
        <f>IF($F785=" "," ",IFERROR(VLOOKUP($F785,'депозитный калькулятор'!$B$26:$F$70,2,0),0))</f>
        <v xml:space="preserve"> </v>
      </c>
      <c r="L785" s="135" t="str">
        <f>IF($F785=" "," ",IFERROR(VLOOKUP($F785,'депозитный калькулятор'!$B$26:$F$70,3,0),0))</f>
        <v xml:space="preserve"> </v>
      </c>
      <c r="M785" s="135" t="str">
        <f>IF($F785=" "," ",IFERROR(VLOOKUP($F785,'депозитный калькулятор'!$B$26:$F$70,4,0),0))</f>
        <v xml:space="preserve"> </v>
      </c>
      <c r="N785" s="135" t="str">
        <f>IF($F785=" "," ",IFERROR(VLOOKUP($F785,'депозитный калькулятор'!$B$26:$F$70,5,0),0))</f>
        <v xml:space="preserve"> </v>
      </c>
      <c r="O785" s="146" t="str">
        <f>IF(F785&gt;'депозитный калькулятор'!$D$8," ",IF(F785='депозитный калькулятор'!$D$8,IF(AND($F$24='депозитный калькулятор'!$D$8,'депозитный калькулятор'!$G$13="нет"),-G785-IF(I785=" ",0,I785)-IF(AND(OR('депозитный калькулятор'!$G$7="30/365",'депозитный калькулятор'!$G$7="30/360"),'депозитный калькулятор'!$G$10="в начале срока"),I784,0)-L785+M785-N785,-G785-IF(I785=" ",0,I785)-L785+M785-N785),IF('депозитный калькулятор'!$G$13="есть",M785-N785+IF('депозитный калькулятор'!$G$14="есть",0,-L785),-IF(I785=" ",0,I785)-IF(AND(OR('депозитный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срока"),I784,0)+M785-N785+IF('депозитный калькулятор'!$G$14="есть",0,-L785))))</f>
        <v xml:space="preserve"> </v>
      </c>
      <c r="P785" s="147" t="str">
        <f>IF(F785&gt;'депозитный калькулятор'!$D$8," ",IF(EOMONTH(F784,0)=F784,0,IF(G785&gt;='депозитный калькулятор'!$G$19,P784,P784+1)))</f>
        <v xml:space="preserve"> </v>
      </c>
      <c r="Q785" s="138" t="str">
        <f>IF(F785=" "," ",IF(AND(OR('депозитный калькулятор'!$G$7="30/365",'депозитный калькулятор'!$G$7="30/360"),AND(MONTH(F785)=2,EOMONTH(F785,0)=F785)),IF(DAY(F785)=28,3,2),1)*IF(G785&gt;='депозитный калькулятор'!$G$11,IF(AND('депозитный калькулятор'!$G$7="факт/факт",MOD(YEAR(F785),4)=0),G785*'депозитный калькулятор'!$D$11/366,G785*'депозитный калькулятор'!$G$8),0))</f>
        <v xml:space="preserve"> </v>
      </c>
      <c r="R785" s="158"/>
      <c r="S785" s="62" t="str">
        <f t="shared" ca="1" si="57"/>
        <v xml:space="preserve"> </v>
      </c>
      <c r="T785" s="149" t="str">
        <f ca="1">IF(S785=" "," ",IF('депозитный калькулятор'!$G$7="30/360",DAYS360(U784,IF(DAY(U785)=31,U785-1,U785))+IF(AND(MONTH(U785)=2,U785=EOMONTH(U785,0)),30-DAY(EOMONTH(U785,0)))+T784,VLOOKUP(S785,$C$22:$F$1023,2,0)))</f>
        <v xml:space="preserve"> </v>
      </c>
      <c r="U785" s="64" t="str">
        <f t="shared" ca="1" si="55"/>
        <v xml:space="preserve"> </v>
      </c>
      <c r="V785" s="150" t="str">
        <f t="shared" ca="1" si="58"/>
        <v xml:space="preserve"> </v>
      </c>
      <c r="W785" s="62" t="str">
        <f t="shared" ca="1" si="59"/>
        <v xml:space="preserve"> </v>
      </c>
      <c r="X785" s="141" t="str">
        <f ca="1">IF(S785=" "," ",IFERROR(VLOOKUP(U785,$F$23:$N$1023,7)+VLOOKUP(U785,$F$23:$N$1023,9)+IF(AND('депозитный калькулятор'!$G$13="нет",U785&lt;&gt;'депозитный калькулятор'!$D$8),VLOOKUP(U785,$F$23:$N$1023,4),0),0)+IF(U785='депозитный калькулятор'!$D$8,VLOOKUP(U785,$F$23:$N$1023,2)+VLOOKUP(U785,$F$23:$N$1023,4),0))</f>
        <v xml:space="preserve"> </v>
      </c>
      <c r="Y785" s="142" t="str">
        <f ca="1">IF(S785=" "," ",W785/(1+'депозитный калькулятор'!$K$8)^(T785/IF('депозитный калькулятор'!$G$7="30/360",360,365)))</f>
        <v xml:space="preserve"> </v>
      </c>
      <c r="Z785" s="142" t="str">
        <f ca="1">IF(S785=" "," ",X785/(1+'депозитный калькулятор'!$K$8)^(T785/IF('депозитный калькулятор'!$G$7="30/360",360,365)))</f>
        <v xml:space="preserve"> </v>
      </c>
      <c r="AA785" s="151"/>
      <c r="AB785" s="151"/>
      <c r="AC785" s="155"/>
      <c r="AD785" s="155"/>
    </row>
    <row r="786" spans="1:30" s="2" customFormat="1" ht="15.5" x14ac:dyDescent="0.35">
      <c r="A786" s="41" t="str">
        <f>IF(F786=" "," ",IF(OR('депозитный калькулятор'!$G$7="30/365",'депозитный калькулятор'!$G$7="30/360"),IF(AND(MONTH(F786)=2,DAY(F786)=DAY(EOMONTH(F786,0))),30-DAY(EOMONTH(F786,0)),IF(DAY(F786)=31,1," "))," "))</f>
        <v xml:space="preserve"> </v>
      </c>
      <c r="B786" s="130" t="str">
        <f t="shared" si="56"/>
        <v xml:space="preserve"> </v>
      </c>
      <c r="C786" s="130" t="str">
        <f>IF(OR(B786=0,B786=" ")," ",SUM($B$23:B786))</f>
        <v xml:space="preserve"> </v>
      </c>
      <c r="D786" s="62" t="str">
        <f>IF(D785=" "," ",IF(OR(F785='депозитный калькулятор'!$D$8,F785=" ")," ",D785+1))</f>
        <v xml:space="preserve"> </v>
      </c>
      <c r="E786" s="130" t="str">
        <f>IF(OR(F785='депозитный калькулятор'!$D$8,F785=" ")," ",IF(EOMONTH(F785,0)=F785,1,E785+1))</f>
        <v xml:space="preserve"> </v>
      </c>
      <c r="F786" s="64" t="str">
        <f>IF(F785=" "," ",IF(F785='депозитный калькулятор'!$D$8," ",F785+1))</f>
        <v xml:space="preserve"> </v>
      </c>
      <c r="G786" s="145" t="str">
        <f xml:space="preserve"> IF(F786&gt;'депозитный калькулятор'!$D$8," ",IF('депозитный калькулятор'!$G$13="есть",IF('депозитный калькулятор'!$G$14="есть",G785+IF(I785=" ",0,I785)-J786-K786+L786+M786-N786,G785+IF(I785=" ",0,I785)-J786-K786+M786-N786),IF('депозитный калькулятор'!$G$14="есть",G785-J786-K786+L786+M786-N786,G785-J786-K786+M786-N786)))</f>
        <v xml:space="preserve"> </v>
      </c>
      <c r="H786" s="133" t="str">
        <f>IF(F786&gt;'депозитный калькулятор'!$D$8," ",IF(AND(OR('депозитный калькулятор'!$G$7="30/365",'депозитный калькулятор'!$G$7="30/360"),AND(MONTH(F786)=2,EOMONTH(F786,0)=F786)),IF(DAY(F786)=28,3*G786*'депозитный калькулятор'!$G$8,2*G786*'депозитный калькулятор'!$G$8),IF(AND(OR('депозитный калькулятор'!$G$7="30/365",'депозитный калькулятор'!$G$7="30/360"),DAY(F786)=31)," ",IF(AND('депозитный калькулятор'!$G$7="факт/факт",MOD(YEAR(F786),4)=0),G786*'депозитный калькулятор'!$D$11/366,G786*'депозитный калькулятор'!$G$8))))</f>
        <v xml:space="preserve"> </v>
      </c>
      <c r="I786" s="134" t="str">
        <f ca="1">IF(F786=" "," ",IF('депозитный калькулятор'!$G$10="ежедневное",H786,IF(AND('депозитный калькулятор'!$G$10="еженедельное",WEEKDAY(F786,2)=7),SUM(OFFSET(H786,-6,0):H786),IF(AND('депозитный калькулятор'!$G$10="еженедельное",F786='депозитный калькулятор'!$D$8),SUM($H$23:H786)-SUM($I$23:I785),IF(AND('депозитный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недели",WEEKDAY(F786,2)=7),MIN(OFFSET(H786,-6,0):H786)*(COUNTIF(OFFSET(H786,-6,0):H786,"&gt;0")+SUMIF(OFFSET(A786,-WEEKDAY(F786,2),0):A786,"=2",OFFSET(A786,-WEEKDAY(F786,2),0):A786)),IF(AND('депозитный калькулятор'!$G$10="еженедельное, на минимальную сумму зафиксированную в течение недели",F786='депозитный калькулятор'!$D$8,WEEKDAY(F786,2)&lt;&gt;7),MIN(OFFSET(H786,-WEEKDAY(F786,2),0):H786)*(COUNTIF(OFFSET(H786,-WEEKDAY(F786,2)+1,0):H786,"&gt;0")+SUM(OFFSET(A786,-WEEKDAY(F786,2),0):A786)),IF(AND('депозитный калькулятор'!$G$10="ежемесячное (в конце месяца)",F786='депозитный калькулятор'!$D$8,EOMONTH(F786,0)&lt;&gt;F786),IF('депозитный калькулятор'!$F$1=1,$H$24,SUM($H$23:H786)-SUM($I$23:I785)),IF(AND('депозитный калькулятор'!$G$10="ежемесячное (в конце месяца)",EOMONTH(F786,0)=F786),SUM($H$23:H786)-SUM($I$23:I785),IF(AND('депозитный калькулятор'!$G$10="ежемесячное (по дням открытия вклада)",F786='депозитный калькулятор'!$D$8,DAY('депозитный калькулятор'!$D$7)&lt;&gt;DAY(F786)),IF('депозитный калькулятор'!$F$1=1,$H$24,SUM($H$23:H786)-SUM($I$23:I785)),IF(AND('депозитный калькулятор'!$G$10="ежемесячное (по дням открытия вклада)",DAY('депозитный калькулятор'!$D$7)=DAY(F786)),SUM($H$23:H786)-SUM($I$23:I785),IF(AND('депозитный калькулятор'!$G$10="ежемесячное, на минимальную сумму зафиксированную в течение месяца",F786='депозитный калькулятор'!$D$8,EOMONTH(F786,0)&lt;&gt;F786),IF('депозитный калькулятор'!$F$1=1,$H$24,IF(AND(OR('депозитный калькулятор'!$G$7="30/365",'депозитный калькулятор'!$G$7="30/360"),DAY(F786)=31),0,MIN(OFFSET(H786,-E786+1,0):H786)*(E786+SUMIF(OFFSET(A786,-E786+1,0):A786,"=2",OFFSET(A786,-E786+1,0):A786)))),IF(AND('депозитный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калькулятор'!$G$7="30/360"),DAY(EOMONTH(F786,0))=31),EOMONTH(F786,0)-1=F786,EOMONTH(F786,0)=F786)),IF(IF(AND(OR('депозитный калькулятор'!$G$7="30/365",'депозитный калькулятор'!$G$7="30/360"),DAY(EOMONTH($F$23,0))=31),F786=EOMONTH($F$23,0)-1,F786=EOMONTH($F$23,0)),MIN(OFFSET(H786,-(DAY(F786)-DAY($F$23)),0):H786)*E786,MIN(OFFSET(H786,-(DAY(F786)-1),0):H786)*IF(AND(OR('депозитный калькулятор'!$G$7="30/365",'депозитный калькулятор'!$G$7="30/360"),DAY(F786)&lt;30),30,DAY(F786))),IF(AND('депозитный калькулятор'!$G$10="ежемесячное, на средний остаток в течение месяца, при условии что остаток больше чем ограничение",F786='депозитный калькулятор'!$D$8,EOMONTH(F786,0)&lt;&gt;F786),IF('депозитный калькулятор'!$F$1=1,$H$24,SUM(OFFSET(Q786,-E786+1,0):Q786)),IF(AND('депозитный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калькулятор'!$G$7="30/360"),DAY(EOMONTH(F786,0))=31),EOMONTH(F786,0)-1=F786,EOMONTH(F786,0)=F786)),IF(IF(AND(OR('депозитный калькулятор'!$G$7="30/365",'депозитный калькулятор'!$G$7="30/360"),DAY(EOMONTH($F$24,0))=31),F786=EOMONTH($F$24,0)-1,F786=EOMONTH($F$24,0)),SUM(OFFSET(Q786,-E786+1,0):Q786),SUM(OFFSET(Q786,-E786+1,0):Q786)),IF('депозитный калькулятор'!$G$10="ежеквартальное",IF(F786&gt;'депозитный калькулятор'!$D$8," ",IF(AND(EOMONTH(F786,0)=F786,OR(MONTH(F786)=3,MONTH(F786)=6,MONTH(F786)=9,MONTH(F786)=12)),IF(EDATE(F786,-3)&lt;'депозитный калькулятор'!$D$7,SUM($H$23:H786),IF(MOD(YEAR(F786),4)=0,IF(AND(EOMONTH(F786,0)=F786,OR(MONTH(F786)=3,MONTH(F786)=6)),SUM(OFFSET(H786,-90,0):H786),IF(AND(EOMONTH(F786,0)=F786,OR(MONTH(F786)=9,MONTH(F786)=12)),SUM(OFFSET(H786,-91,0):H786))),IF(AND(EOMONTH(F786,0)=F786,MONTH(F786)=3),SUM(OFFSET(H786,-89,0):H786),IF(AND(EOMONTH(F786,0)=F786,MONTH(F786)=6),SUM(OFFSET(H786,-90,0):H786),IF(AND(EOMONTH(F786,0)=F786,OR(MONTH(F786)=9,MONTH(F786)=12)),SUM(OFFSET(H786,-91,0):H786)))))),IF(F786='депозитный калькулятор'!$D$8,SUM($H$23:H786)-SUM($I$23:I785),0))),IF('депозитный калькулятор'!$G$10="ежегодное",IF(F786&gt;'депозитный калькулятор'!$D$8," ",IF(F786='депозитный калькулятор'!$D$8,SUM($H$23:H786)-SUM($I$23:I785),IF(AND(EOMONTH(F786,0)=F786,MONTH(F786)=12),IF(MOD(YEAR(F785),4)=0,IF(F786-'депозитный калькулятор'!$D$7&lt;366,SUM($H$23:H786),SUM(OFFSET(H786,-365,0):H786)),IF(F786-'депозитный калькулятор'!$D$7&lt;365,SUM($H$23:H786),SUM(OFFSET(H786,-364,0):H786))),0))),IF(AND('депозитный калькулятор'!$G$10="в конце срока",'депозитный калькулятор'!$D$8=F786),SUM($H$23:H786),0))))))))))))))))))</f>
        <v xml:space="preserve"> </v>
      </c>
      <c r="J786" s="59" t="str">
        <f>IF(F786&gt;'депозитный калькулятор'!$D$8," ",IF('депозитный калькулятор'!$G$16="нет",0,IF(AND('депозитный калькулятор'!$G$17="разовая (в конце срока)",F786='депозитный калькулятор'!$D$8),'депозитный калькулятор'!$G$18,IF(AND('депозитный калькулятор'!$G$17="ежемесячная",EOMONTH(F785,0)=F785),'депозитный калькулятор'!$G$18,IF(AND('депозитный калькулятор'!$G$17="ежегодная",DAY(F785)=31,MONTH(F785)=12),'депозитный калькулятор'!$G$18,IF(AND('депозитный калькулятор'!$G$17="ежемесячная в зависимости от остатка",EOMONTH(F785,0)=F785,P785&gt;0),'депозитный калькулятор'!$G$18,IF(AND('депозитный калькулятор'!$G$17="ежегодная в зависимости от остатка",DAY(F785)=31,MONTH(F785)=12,P785&gt;0),'депозитный калькулятор'!$G$18,0)))))))</f>
        <v xml:space="preserve"> </v>
      </c>
      <c r="K786" s="135" t="str">
        <f>IF($F786=" "," ",IFERROR(VLOOKUP($F786,'депозитный калькулятор'!$B$26:$F$70,2,0),0))</f>
        <v xml:space="preserve"> </v>
      </c>
      <c r="L786" s="135" t="str">
        <f>IF($F786=" "," ",IFERROR(VLOOKUP($F786,'депозитный калькулятор'!$B$26:$F$70,3,0),0))</f>
        <v xml:space="preserve"> </v>
      </c>
      <c r="M786" s="135" t="str">
        <f>IF($F786=" "," ",IFERROR(VLOOKUP($F786,'депозитный калькулятор'!$B$26:$F$70,4,0),0))</f>
        <v xml:space="preserve"> </v>
      </c>
      <c r="N786" s="135" t="str">
        <f>IF($F786=" "," ",IFERROR(VLOOKUP($F786,'депозитный калькулятор'!$B$26:$F$70,5,0),0))</f>
        <v xml:space="preserve"> </v>
      </c>
      <c r="O786" s="146" t="str">
        <f>IF(F786&gt;'депозитный калькулятор'!$D$8," ",IF(F786='депозитный калькулятор'!$D$8,IF(AND($F$24='депозитный калькулятор'!$D$8,'депозитный калькулятор'!$G$13="нет"),-G786-IF(I786=" ",0,I786)-IF(AND(OR('депозитный калькулятор'!$G$7="30/365",'депозитный калькулятор'!$G$7="30/360"),'депозитный калькулятор'!$G$10="в начале срока"),I785,0)-L786+M786-N786,-G786-IF(I786=" ",0,I786)-L786+M786-N786),IF('депозитный калькулятор'!$G$13="есть",M786-N786+IF('депозитный калькулятор'!$G$14="есть",0,-L786),-IF(I786=" ",0,I786)-IF(AND(OR('депозитный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срока"),I785,0)+M786-N786+IF('депозитный калькулятор'!$G$14="есть",0,-L786))))</f>
        <v xml:space="preserve"> </v>
      </c>
      <c r="P786" s="147" t="str">
        <f>IF(F786&gt;'депозитный калькулятор'!$D$8," ",IF(EOMONTH(F785,0)=F785,0,IF(G786&gt;='депозитный калькулятор'!$G$19,P785,P785+1)))</f>
        <v xml:space="preserve"> </v>
      </c>
      <c r="Q786" s="138" t="str">
        <f>IF(F786=" "," ",IF(AND(OR('депозитный калькулятор'!$G$7="30/365",'депозитный калькулятор'!$G$7="30/360"),AND(MONTH(F786)=2,EOMONTH(F786,0)=F786)),IF(DAY(F786)=28,3,2),1)*IF(G786&gt;='депозитный калькулятор'!$G$11,IF(AND('депозитный калькулятор'!$G$7="факт/факт",MOD(YEAR(F786),4)=0),G786*'депозитный калькулятор'!$D$11/366,G786*'депозитный калькулятор'!$G$8),0))</f>
        <v xml:space="preserve"> </v>
      </c>
      <c r="R786" s="158"/>
      <c r="S786" s="62" t="str">
        <f t="shared" ca="1" si="57"/>
        <v xml:space="preserve"> </v>
      </c>
      <c r="T786" s="149" t="str">
        <f ca="1">IF(S786=" "," ",IF('депозитный калькулятор'!$G$7="30/360",DAYS360(U785,IF(DAY(U786)=31,U786-1,U786))+IF(AND(MONTH(U786)=2,U786=EOMONTH(U786,0)),30-DAY(EOMONTH(U786,0)))+T785,VLOOKUP(S786,$C$22:$F$1023,2,0)))</f>
        <v xml:space="preserve"> </v>
      </c>
      <c r="U786" s="64" t="str">
        <f t="shared" ca="1" si="55"/>
        <v xml:space="preserve"> </v>
      </c>
      <c r="V786" s="150" t="str">
        <f t="shared" ca="1" si="58"/>
        <v xml:space="preserve"> </v>
      </c>
      <c r="W786" s="62" t="str">
        <f t="shared" ca="1" si="59"/>
        <v xml:space="preserve"> </v>
      </c>
      <c r="X786" s="141" t="str">
        <f ca="1">IF(S786=" "," ",IFERROR(VLOOKUP(U786,$F$23:$N$1023,7)+VLOOKUP(U786,$F$23:$N$1023,9)+IF(AND('депозитный калькулятор'!$G$13="нет",U786&lt;&gt;'депозитный калькулятор'!$D$8),VLOOKUP(U786,$F$23:$N$1023,4),0),0)+IF(U786='депозитный калькулятор'!$D$8,VLOOKUP(U786,$F$23:$N$1023,2)+VLOOKUP(U786,$F$23:$N$1023,4),0))</f>
        <v xml:space="preserve"> </v>
      </c>
      <c r="Y786" s="142" t="str">
        <f ca="1">IF(S786=" "," ",W786/(1+'депозитный калькулятор'!$K$8)^(T786/IF('депозитный калькулятор'!$G$7="30/360",360,365)))</f>
        <v xml:space="preserve"> </v>
      </c>
      <c r="Z786" s="142" t="str">
        <f ca="1">IF(S786=" "," ",X786/(1+'депозитный калькулятор'!$K$8)^(T786/IF('депозитный калькулятор'!$G$7="30/360",360,365)))</f>
        <v xml:space="preserve"> </v>
      </c>
      <c r="AA786" s="151"/>
      <c r="AB786" s="151"/>
      <c r="AC786" s="155"/>
      <c r="AD786" s="155"/>
    </row>
    <row r="787" spans="1:30" s="2" customFormat="1" ht="15.5" x14ac:dyDescent="0.35">
      <c r="A787" s="41" t="str">
        <f>IF(F787=" "," ",IF(OR('депозитный калькулятор'!$G$7="30/365",'депозитный калькулятор'!$G$7="30/360"),IF(AND(MONTH(F787)=2,DAY(F787)=DAY(EOMONTH(F787,0))),30-DAY(EOMONTH(F787,0)),IF(DAY(F787)=31,1," "))," "))</f>
        <v xml:space="preserve"> </v>
      </c>
      <c r="B787" s="130" t="str">
        <f t="shared" si="56"/>
        <v xml:space="preserve"> </v>
      </c>
      <c r="C787" s="130" t="str">
        <f>IF(OR(B787=0,B787=" ")," ",SUM($B$23:B787))</f>
        <v xml:space="preserve"> </v>
      </c>
      <c r="D787" s="62" t="str">
        <f>IF(D786=" "," ",IF(OR(F786='депозитный калькулятор'!$D$8,F786=" ")," ",D786+1))</f>
        <v xml:space="preserve"> </v>
      </c>
      <c r="E787" s="130" t="str">
        <f>IF(OR(F786='депозитный калькулятор'!$D$8,F786=" ")," ",IF(EOMONTH(F786,0)=F786,1,E786+1))</f>
        <v xml:space="preserve"> </v>
      </c>
      <c r="F787" s="64" t="str">
        <f>IF(F786=" "," ",IF(F786='депозитный калькулятор'!$D$8," ",F786+1))</f>
        <v xml:space="preserve"> </v>
      </c>
      <c r="G787" s="145" t="str">
        <f xml:space="preserve"> IF(F787&gt;'депозитный калькулятор'!$D$8," ",IF('депозитный калькулятор'!$G$13="есть",IF('депозитный калькулятор'!$G$14="есть",G786+IF(I786=" ",0,I786)-J787-K787+L787+M787-N787,G786+IF(I786=" ",0,I786)-J787-K787+M787-N787),IF('депозитный калькулятор'!$G$14="есть",G786-J787-K787+L787+M787-N787,G786-J787-K787+M787-N787)))</f>
        <v xml:space="preserve"> </v>
      </c>
      <c r="H787" s="133" t="str">
        <f>IF(F787&gt;'депозитный калькулятор'!$D$8," ",IF(AND(OR('депозитный калькулятор'!$G$7="30/365",'депозитный калькулятор'!$G$7="30/360"),AND(MONTH(F787)=2,EOMONTH(F787,0)=F787)),IF(DAY(F787)=28,3*G787*'депозитный калькулятор'!$G$8,2*G787*'депозитный калькулятор'!$G$8),IF(AND(OR('депозитный калькулятор'!$G$7="30/365",'депозитный калькулятор'!$G$7="30/360"),DAY(F787)=31)," ",IF(AND('депозитный калькулятор'!$G$7="факт/факт",MOD(YEAR(F787),4)=0),G787*'депозитный калькулятор'!$D$11/366,G787*'депозитный калькулятор'!$G$8))))</f>
        <v xml:space="preserve"> </v>
      </c>
      <c r="I787" s="134" t="str">
        <f ca="1">IF(F787=" "," ",IF('депозитный калькулятор'!$G$10="ежедневное",H787,IF(AND('депозитный калькулятор'!$G$10="еженедельное",WEEKDAY(F787,2)=7),SUM(OFFSET(H787,-6,0):H787),IF(AND('депозитный калькулятор'!$G$10="еженедельное",F787='депозитный калькулятор'!$D$8),SUM($H$23:H787)-SUM($I$23:I786),IF(AND('депозитный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недели",WEEKDAY(F787,2)=7),MIN(OFFSET(H787,-6,0):H787)*(COUNTIF(OFFSET(H787,-6,0):H787,"&gt;0")+SUMIF(OFFSET(A787,-WEEKDAY(F787,2),0):A787,"=2",OFFSET(A787,-WEEKDAY(F787,2),0):A787)),IF(AND('депозитный калькулятор'!$G$10="еженедельное, на минимальную сумму зафиксированную в течение недели",F787='депозитный калькулятор'!$D$8,WEEKDAY(F787,2)&lt;&gt;7),MIN(OFFSET(H787,-WEEKDAY(F787,2),0):H787)*(COUNTIF(OFFSET(H787,-WEEKDAY(F787,2)+1,0):H787,"&gt;0")+SUM(OFFSET(A787,-WEEKDAY(F787,2),0):A787)),IF(AND('депозитный калькулятор'!$G$10="ежемесячное (в конце месяца)",F787='депозитный калькулятор'!$D$8,EOMONTH(F787,0)&lt;&gt;F787),IF('депозитный калькулятор'!$F$1=1,$H$24,SUM($H$23:H787)-SUM($I$23:I786)),IF(AND('депозитный калькулятор'!$G$10="ежемесячное (в конце месяца)",EOMONTH(F787,0)=F787),SUM($H$23:H787)-SUM($I$23:I786),IF(AND('депозитный калькулятор'!$G$10="ежемесячное (по дням открытия вклада)",F787='депозитный калькулятор'!$D$8,DAY('депозитный калькулятор'!$D$7)&lt;&gt;DAY(F787)),IF('депозитный калькулятор'!$F$1=1,$H$24,SUM($H$23:H787)-SUM($I$23:I786)),IF(AND('депозитный калькулятор'!$G$10="ежемесячное (по дням открытия вклада)",DAY('депозитный калькулятор'!$D$7)=DAY(F787)),SUM($H$23:H787)-SUM($I$23:I786),IF(AND('депозитный калькулятор'!$G$10="ежемесячное, на минимальную сумму зафиксированную в течение месяца",F787='депозитный калькулятор'!$D$8,EOMONTH(F787,0)&lt;&gt;F787),IF('депозитный калькулятор'!$F$1=1,$H$24,IF(AND(OR('депозитный калькулятор'!$G$7="30/365",'депозитный калькулятор'!$G$7="30/360"),DAY(F787)=31),0,MIN(OFFSET(H787,-E787+1,0):H787)*(E787+SUMIF(OFFSET(A787,-E787+1,0):A787,"=2",OFFSET(A787,-E787+1,0):A787)))),IF(AND('депозитный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калькулятор'!$G$7="30/360"),DAY(EOMONTH(F787,0))=31),EOMONTH(F787,0)-1=F787,EOMONTH(F787,0)=F787)),IF(IF(AND(OR('депозитный калькулятор'!$G$7="30/365",'депозитный калькулятор'!$G$7="30/360"),DAY(EOMONTH($F$23,0))=31),F787=EOMONTH($F$23,0)-1,F787=EOMONTH($F$23,0)),MIN(OFFSET(H787,-(DAY(F787)-DAY($F$23)),0):H787)*E787,MIN(OFFSET(H787,-(DAY(F787)-1),0):H787)*IF(AND(OR('депозитный калькулятор'!$G$7="30/365",'депозитный калькулятор'!$G$7="30/360"),DAY(F787)&lt;30),30,DAY(F787))),IF(AND('депозитный калькулятор'!$G$10="ежемесячное, на средний остаток в течение месяца, при условии что остаток больше чем ограничение",F787='депозитный калькулятор'!$D$8,EOMONTH(F787,0)&lt;&gt;F787),IF('депозитный калькулятор'!$F$1=1,$H$24,SUM(OFFSET(Q787,-E787+1,0):Q787)),IF(AND('депозитный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калькулятор'!$G$7="30/360"),DAY(EOMONTH(F787,0))=31),EOMONTH(F787,0)-1=F787,EOMONTH(F787,0)=F787)),IF(IF(AND(OR('депозитный калькулятор'!$G$7="30/365",'депозитный калькулятор'!$G$7="30/360"),DAY(EOMONTH($F$24,0))=31),F787=EOMONTH($F$24,0)-1,F787=EOMONTH($F$24,0)),SUM(OFFSET(Q787,-E787+1,0):Q787),SUM(OFFSET(Q787,-E787+1,0):Q787)),IF('депозитный калькулятор'!$G$10="ежеквартальное",IF(F787&gt;'депозитный калькулятор'!$D$8," ",IF(AND(EOMONTH(F787,0)=F787,OR(MONTH(F787)=3,MONTH(F787)=6,MONTH(F787)=9,MONTH(F787)=12)),IF(EDATE(F787,-3)&lt;'депозитный калькулятор'!$D$7,SUM($H$23:H787),IF(MOD(YEAR(F787),4)=0,IF(AND(EOMONTH(F787,0)=F787,OR(MONTH(F787)=3,MONTH(F787)=6)),SUM(OFFSET(H787,-90,0):H787),IF(AND(EOMONTH(F787,0)=F787,OR(MONTH(F787)=9,MONTH(F787)=12)),SUM(OFFSET(H787,-91,0):H787))),IF(AND(EOMONTH(F787,0)=F787,MONTH(F787)=3),SUM(OFFSET(H787,-89,0):H787),IF(AND(EOMONTH(F787,0)=F787,MONTH(F787)=6),SUM(OFFSET(H787,-90,0):H787),IF(AND(EOMONTH(F787,0)=F787,OR(MONTH(F787)=9,MONTH(F787)=12)),SUM(OFFSET(H787,-91,0):H787)))))),IF(F787='депозитный калькулятор'!$D$8,SUM($H$23:H787)-SUM($I$23:I786),0))),IF('депозитный калькулятор'!$G$10="ежегодное",IF(F787&gt;'депозитный калькулятор'!$D$8," ",IF(F787='депозитный калькулятор'!$D$8,SUM($H$23:H787)-SUM($I$23:I786),IF(AND(EOMONTH(F787,0)=F787,MONTH(F787)=12),IF(MOD(YEAR(F786),4)=0,IF(F787-'депозитный калькулятор'!$D$7&lt;366,SUM($H$23:H787),SUM(OFFSET(H787,-365,0):H787)),IF(F787-'депозитный калькулятор'!$D$7&lt;365,SUM($H$23:H787),SUM(OFFSET(H787,-364,0):H787))),0))),IF(AND('депозитный калькулятор'!$G$10="в конце срока",'депозитный калькулятор'!$D$8=F787),SUM($H$23:H787),0))))))))))))))))))</f>
        <v xml:space="preserve"> </v>
      </c>
      <c r="J787" s="59" t="str">
        <f>IF(F787&gt;'депозитный калькулятор'!$D$8," ",IF('депозитный калькулятор'!$G$16="нет",0,IF(AND('депозитный калькулятор'!$G$17="разовая (в конце срока)",F787='депозитный калькулятор'!$D$8),'депозитный калькулятор'!$G$18,IF(AND('депозитный калькулятор'!$G$17="ежемесячная",EOMONTH(F786,0)=F786),'депозитный калькулятор'!$G$18,IF(AND('депозитный калькулятор'!$G$17="ежегодная",DAY(F786)=31,MONTH(F786)=12),'депозитный калькулятор'!$G$18,IF(AND('депозитный калькулятор'!$G$17="ежемесячная в зависимости от остатка",EOMONTH(F786,0)=F786,P786&gt;0),'депозитный калькулятор'!$G$18,IF(AND('депозитный калькулятор'!$G$17="ежегодная в зависимости от остатка",DAY(F786)=31,MONTH(F786)=12,P786&gt;0),'депозитный калькулятор'!$G$18,0)))))))</f>
        <v xml:space="preserve"> </v>
      </c>
      <c r="K787" s="135" t="str">
        <f>IF($F787=" "," ",IFERROR(VLOOKUP($F787,'депозитный калькулятор'!$B$26:$F$70,2,0),0))</f>
        <v xml:space="preserve"> </v>
      </c>
      <c r="L787" s="135" t="str">
        <f>IF($F787=" "," ",IFERROR(VLOOKUP($F787,'депозитный калькулятор'!$B$26:$F$70,3,0),0))</f>
        <v xml:space="preserve"> </v>
      </c>
      <c r="M787" s="135" t="str">
        <f>IF($F787=" "," ",IFERROR(VLOOKUP($F787,'депозитный калькулятор'!$B$26:$F$70,4,0),0))</f>
        <v xml:space="preserve"> </v>
      </c>
      <c r="N787" s="135" t="str">
        <f>IF($F787=" "," ",IFERROR(VLOOKUP($F787,'депозитный калькулятор'!$B$26:$F$70,5,0),0))</f>
        <v xml:space="preserve"> </v>
      </c>
      <c r="O787" s="146" t="str">
        <f>IF(F787&gt;'депозитный калькулятор'!$D$8," ",IF(F787='депозитный калькулятор'!$D$8,IF(AND($F$24='депозитный калькулятор'!$D$8,'депозитный калькулятор'!$G$13="нет"),-G787-IF(I787=" ",0,I787)-IF(AND(OR('депозитный калькулятор'!$G$7="30/365",'депозитный калькулятор'!$G$7="30/360"),'депозитный калькулятор'!$G$10="в начале срока"),I786,0)-L787+M787-N787,-G787-IF(I787=" ",0,I787)-L787+M787-N787),IF('депозитный калькулятор'!$G$13="есть",M787-N787+IF('депозитный калькулятор'!$G$14="есть",0,-L787),-IF(I787=" ",0,I787)-IF(AND(OR('депозитный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срока"),I786,0)+M787-N787+IF('депозитный калькулятор'!$G$14="есть",0,-L787))))</f>
        <v xml:space="preserve"> </v>
      </c>
      <c r="P787" s="147" t="str">
        <f>IF(F787&gt;'депозитный калькулятор'!$D$8," ",IF(EOMONTH(F786,0)=F786,0,IF(G787&gt;='депозитный калькулятор'!$G$19,P786,P786+1)))</f>
        <v xml:space="preserve"> </v>
      </c>
      <c r="Q787" s="138" t="str">
        <f>IF(F787=" "," ",IF(AND(OR('депозитный калькулятор'!$G$7="30/365",'депозитный калькулятор'!$G$7="30/360"),AND(MONTH(F787)=2,EOMONTH(F787,0)=F787)),IF(DAY(F787)=28,3,2),1)*IF(G787&gt;='депозитный калькулятор'!$G$11,IF(AND('депозитный калькулятор'!$G$7="факт/факт",MOD(YEAR(F787),4)=0),G787*'депозитный калькулятор'!$D$11/366,G787*'депозитный калькулятор'!$G$8),0))</f>
        <v xml:space="preserve"> </v>
      </c>
      <c r="R787" s="158"/>
      <c r="S787" s="62" t="str">
        <f t="shared" ca="1" si="57"/>
        <v xml:space="preserve"> </v>
      </c>
      <c r="T787" s="149" t="str">
        <f ca="1">IF(S787=" "," ",IF('депозитный калькулятор'!$G$7="30/360",DAYS360(U786,IF(DAY(U787)=31,U787-1,U787))+IF(AND(MONTH(U787)=2,U787=EOMONTH(U787,0)),30-DAY(EOMONTH(U787,0)))+T786,VLOOKUP(S787,$C$22:$F$1023,2,0)))</f>
        <v xml:space="preserve"> </v>
      </c>
      <c r="U787" s="64" t="str">
        <f t="shared" ca="1" si="55"/>
        <v xml:space="preserve"> </v>
      </c>
      <c r="V787" s="150" t="str">
        <f t="shared" ca="1" si="58"/>
        <v xml:space="preserve"> </v>
      </c>
      <c r="W787" s="62" t="str">
        <f t="shared" ca="1" si="59"/>
        <v xml:space="preserve"> </v>
      </c>
      <c r="X787" s="141" t="str">
        <f ca="1">IF(S787=" "," ",IFERROR(VLOOKUP(U787,$F$23:$N$1023,7)+VLOOKUP(U787,$F$23:$N$1023,9)+IF(AND('депозитный калькулятор'!$G$13="нет",U787&lt;&gt;'депозитный калькулятор'!$D$8),VLOOKUP(U787,$F$23:$N$1023,4),0),0)+IF(U787='депозитный калькулятор'!$D$8,VLOOKUP(U787,$F$23:$N$1023,2)+VLOOKUP(U787,$F$23:$N$1023,4),0))</f>
        <v xml:space="preserve"> </v>
      </c>
      <c r="Y787" s="142" t="str">
        <f ca="1">IF(S787=" "," ",W787/(1+'депозитный калькулятор'!$K$8)^(T787/IF('депозитный калькулятор'!$G$7="30/360",360,365)))</f>
        <v xml:space="preserve"> </v>
      </c>
      <c r="Z787" s="142" t="str">
        <f ca="1">IF(S787=" "," ",X787/(1+'депозитный калькулятор'!$K$8)^(T787/IF('депозитный калькулятор'!$G$7="30/360",360,365)))</f>
        <v xml:space="preserve"> </v>
      </c>
      <c r="AA787" s="151"/>
      <c r="AB787" s="151"/>
      <c r="AC787" s="155"/>
      <c r="AD787" s="155"/>
    </row>
    <row r="788" spans="1:30" s="2" customFormat="1" ht="15.5" x14ac:dyDescent="0.35">
      <c r="A788" s="41" t="str">
        <f>IF(F788=" "," ",IF(OR('депозитный калькулятор'!$G$7="30/365",'депозитный калькулятор'!$G$7="30/360"),IF(AND(MONTH(F788)=2,DAY(F788)=DAY(EOMONTH(F788,0))),30-DAY(EOMONTH(F788,0)),IF(DAY(F788)=31,1," "))," "))</f>
        <v xml:space="preserve"> </v>
      </c>
      <c r="B788" s="130" t="str">
        <f t="shared" si="56"/>
        <v xml:space="preserve"> </v>
      </c>
      <c r="C788" s="130" t="str">
        <f>IF(OR(B788=0,B788=" ")," ",SUM($B$23:B788))</f>
        <v xml:space="preserve"> </v>
      </c>
      <c r="D788" s="62" t="str">
        <f>IF(D787=" "," ",IF(OR(F787='депозитный калькулятор'!$D$8,F787=" ")," ",D787+1))</f>
        <v xml:space="preserve"> </v>
      </c>
      <c r="E788" s="130" t="str">
        <f>IF(OR(F787='депозитный калькулятор'!$D$8,F787=" ")," ",IF(EOMONTH(F787,0)=F787,1,E787+1))</f>
        <v xml:space="preserve"> </v>
      </c>
      <c r="F788" s="64" t="str">
        <f>IF(F787=" "," ",IF(F787='депозитный калькулятор'!$D$8," ",F787+1))</f>
        <v xml:space="preserve"> </v>
      </c>
      <c r="G788" s="145" t="str">
        <f xml:space="preserve"> IF(F788&gt;'депозитный калькулятор'!$D$8," ",IF('депозитный калькулятор'!$G$13="есть",IF('депозитный калькулятор'!$G$14="есть",G787+IF(I787=" ",0,I787)-J788-K788+L788+M788-N788,G787+IF(I787=" ",0,I787)-J788-K788+M788-N788),IF('депозитный калькулятор'!$G$14="есть",G787-J788-K788+L788+M788-N788,G787-J788-K788+M788-N788)))</f>
        <v xml:space="preserve"> </v>
      </c>
      <c r="H788" s="133" t="str">
        <f>IF(F788&gt;'депозитный калькулятор'!$D$8," ",IF(AND(OR('депозитный калькулятор'!$G$7="30/365",'депозитный калькулятор'!$G$7="30/360"),AND(MONTH(F788)=2,EOMONTH(F788,0)=F788)),IF(DAY(F788)=28,3*G788*'депозитный калькулятор'!$G$8,2*G788*'депозитный калькулятор'!$G$8),IF(AND(OR('депозитный калькулятор'!$G$7="30/365",'депозитный калькулятор'!$G$7="30/360"),DAY(F788)=31)," ",IF(AND('депозитный калькулятор'!$G$7="факт/факт",MOD(YEAR(F788),4)=0),G788*'депозитный калькулятор'!$D$11/366,G788*'депозитный калькулятор'!$G$8))))</f>
        <v xml:space="preserve"> </v>
      </c>
      <c r="I788" s="134" t="str">
        <f ca="1">IF(F788=" "," ",IF('депозитный калькулятор'!$G$10="ежедневное",H788,IF(AND('депозитный калькулятор'!$G$10="еженедельное",WEEKDAY(F788,2)=7),SUM(OFFSET(H788,-6,0):H788),IF(AND('депозитный калькулятор'!$G$10="еженедельное",F788='депозитный калькулятор'!$D$8),SUM($H$23:H788)-SUM($I$23:I787),IF(AND('депозитный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недели",WEEKDAY(F788,2)=7),MIN(OFFSET(H788,-6,0):H788)*(COUNTIF(OFFSET(H788,-6,0):H788,"&gt;0")+SUMIF(OFFSET(A788,-WEEKDAY(F788,2),0):A788,"=2",OFFSET(A788,-WEEKDAY(F788,2),0):A788)),IF(AND('депозитный калькулятор'!$G$10="еженедельное, на минимальную сумму зафиксированную в течение недели",F788='депозитный калькулятор'!$D$8,WEEKDAY(F788,2)&lt;&gt;7),MIN(OFFSET(H788,-WEEKDAY(F788,2),0):H788)*(COUNTIF(OFFSET(H788,-WEEKDAY(F788,2)+1,0):H788,"&gt;0")+SUM(OFFSET(A788,-WEEKDAY(F788,2),0):A788)),IF(AND('депозитный калькулятор'!$G$10="ежемесячное (в конце месяца)",F788='депозитный калькулятор'!$D$8,EOMONTH(F788,0)&lt;&gt;F788),IF('депозитный калькулятор'!$F$1=1,$H$24,SUM($H$23:H788)-SUM($I$23:I787)),IF(AND('депозитный калькулятор'!$G$10="ежемесячное (в конце месяца)",EOMONTH(F788,0)=F788),SUM($H$23:H788)-SUM($I$23:I787),IF(AND('депозитный калькулятор'!$G$10="ежемесячное (по дням открытия вклада)",F788='депозитный калькулятор'!$D$8,DAY('депозитный калькулятор'!$D$7)&lt;&gt;DAY(F788)),IF('депозитный калькулятор'!$F$1=1,$H$24,SUM($H$23:H788)-SUM($I$23:I787)),IF(AND('депозитный калькулятор'!$G$10="ежемесячное (по дням открытия вклада)",DAY('депозитный калькулятор'!$D$7)=DAY(F788)),SUM($H$23:H788)-SUM($I$23:I787),IF(AND('депозитный калькулятор'!$G$10="ежемесячное, на минимальную сумму зафиксированную в течение месяца",F788='депозитный калькулятор'!$D$8,EOMONTH(F788,0)&lt;&gt;F788),IF('депозитный калькулятор'!$F$1=1,$H$24,IF(AND(OR('депозитный калькулятор'!$G$7="30/365",'депозитный калькулятор'!$G$7="30/360"),DAY(F788)=31),0,MIN(OFFSET(H788,-E788+1,0):H788)*(E788+SUMIF(OFFSET(A788,-E788+1,0):A788,"=2",OFFSET(A788,-E788+1,0):A788)))),IF(AND('депозитный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калькулятор'!$G$7="30/360"),DAY(EOMONTH(F788,0))=31),EOMONTH(F788,0)-1=F788,EOMONTH(F788,0)=F788)),IF(IF(AND(OR('депозитный калькулятор'!$G$7="30/365",'депозитный калькулятор'!$G$7="30/360"),DAY(EOMONTH($F$23,0))=31),F788=EOMONTH($F$23,0)-1,F788=EOMONTH($F$23,0)),MIN(OFFSET(H788,-(DAY(F788)-DAY($F$23)),0):H788)*E788,MIN(OFFSET(H788,-(DAY(F788)-1),0):H788)*IF(AND(OR('депозитный калькулятор'!$G$7="30/365",'депозитный калькулятор'!$G$7="30/360"),DAY(F788)&lt;30),30,DAY(F788))),IF(AND('депозитный калькулятор'!$G$10="ежемесячное, на средний остаток в течение месяца, при условии что остаток больше чем ограничение",F788='депозитный калькулятор'!$D$8,EOMONTH(F788,0)&lt;&gt;F788),IF('депозитный калькулятор'!$F$1=1,$H$24,SUM(OFFSET(Q788,-E788+1,0):Q788)),IF(AND('депозитный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калькулятор'!$G$7="30/360"),DAY(EOMONTH(F788,0))=31),EOMONTH(F788,0)-1=F788,EOMONTH(F788,0)=F788)),IF(IF(AND(OR('депозитный калькулятор'!$G$7="30/365",'депозитный калькулятор'!$G$7="30/360"),DAY(EOMONTH($F$24,0))=31),F788=EOMONTH($F$24,0)-1,F788=EOMONTH($F$24,0)),SUM(OFFSET(Q788,-E788+1,0):Q788),SUM(OFFSET(Q788,-E788+1,0):Q788)),IF('депозитный калькулятор'!$G$10="ежеквартальное",IF(F788&gt;'депозитный калькулятор'!$D$8," ",IF(AND(EOMONTH(F788,0)=F788,OR(MONTH(F788)=3,MONTH(F788)=6,MONTH(F788)=9,MONTH(F788)=12)),IF(EDATE(F788,-3)&lt;'депозитный калькулятор'!$D$7,SUM($H$23:H788),IF(MOD(YEAR(F788),4)=0,IF(AND(EOMONTH(F788,0)=F788,OR(MONTH(F788)=3,MONTH(F788)=6)),SUM(OFFSET(H788,-90,0):H788),IF(AND(EOMONTH(F788,0)=F788,OR(MONTH(F788)=9,MONTH(F788)=12)),SUM(OFFSET(H788,-91,0):H788))),IF(AND(EOMONTH(F788,0)=F788,MONTH(F788)=3),SUM(OFFSET(H788,-89,0):H788),IF(AND(EOMONTH(F788,0)=F788,MONTH(F788)=6),SUM(OFFSET(H788,-90,0):H788),IF(AND(EOMONTH(F788,0)=F788,OR(MONTH(F788)=9,MONTH(F788)=12)),SUM(OFFSET(H788,-91,0):H788)))))),IF(F788='депозитный калькулятор'!$D$8,SUM($H$23:H788)-SUM($I$23:I787),0))),IF('депозитный калькулятор'!$G$10="ежегодное",IF(F788&gt;'депозитный калькулятор'!$D$8," ",IF(F788='депозитный калькулятор'!$D$8,SUM($H$23:H788)-SUM($I$23:I787),IF(AND(EOMONTH(F788,0)=F788,MONTH(F788)=12),IF(MOD(YEAR(F787),4)=0,IF(F788-'депозитный калькулятор'!$D$7&lt;366,SUM($H$23:H788),SUM(OFFSET(H788,-365,0):H788)),IF(F788-'депозитный калькулятор'!$D$7&lt;365,SUM($H$23:H788),SUM(OFFSET(H788,-364,0):H788))),0))),IF(AND('депозитный калькулятор'!$G$10="в конце срока",'депозитный калькулятор'!$D$8=F788),SUM($H$23:H788),0))))))))))))))))))</f>
        <v xml:space="preserve"> </v>
      </c>
      <c r="J788" s="59" t="str">
        <f>IF(F788&gt;'депозитный калькулятор'!$D$8," ",IF('депозитный калькулятор'!$G$16="нет",0,IF(AND('депозитный калькулятор'!$G$17="разовая (в конце срока)",F788='депозитный калькулятор'!$D$8),'депозитный калькулятор'!$G$18,IF(AND('депозитный калькулятор'!$G$17="ежемесячная",EOMONTH(F787,0)=F787),'депозитный калькулятор'!$G$18,IF(AND('депозитный калькулятор'!$G$17="ежегодная",DAY(F787)=31,MONTH(F787)=12),'депозитный калькулятор'!$G$18,IF(AND('депозитный калькулятор'!$G$17="ежемесячная в зависимости от остатка",EOMONTH(F787,0)=F787,P787&gt;0),'депозитный калькулятор'!$G$18,IF(AND('депозитный калькулятор'!$G$17="ежегодная в зависимости от остатка",DAY(F787)=31,MONTH(F787)=12,P787&gt;0),'депозитный калькулятор'!$G$18,0)))))))</f>
        <v xml:space="preserve"> </v>
      </c>
      <c r="K788" s="135" t="str">
        <f>IF($F788=" "," ",IFERROR(VLOOKUP($F788,'депозитный калькулятор'!$B$26:$F$70,2,0),0))</f>
        <v xml:space="preserve"> </v>
      </c>
      <c r="L788" s="135" t="str">
        <f>IF($F788=" "," ",IFERROR(VLOOKUP($F788,'депозитный калькулятор'!$B$26:$F$70,3,0),0))</f>
        <v xml:space="preserve"> </v>
      </c>
      <c r="M788" s="135" t="str">
        <f>IF($F788=" "," ",IFERROR(VLOOKUP($F788,'депозитный калькулятор'!$B$26:$F$70,4,0),0))</f>
        <v xml:space="preserve"> </v>
      </c>
      <c r="N788" s="135" t="str">
        <f>IF($F788=" "," ",IFERROR(VLOOKUP($F788,'депозитный калькулятор'!$B$26:$F$70,5,0),0))</f>
        <v xml:space="preserve"> </v>
      </c>
      <c r="O788" s="146" t="str">
        <f>IF(F788&gt;'депозитный калькулятор'!$D$8," ",IF(F788='депозитный калькулятор'!$D$8,IF(AND($F$24='депозитный калькулятор'!$D$8,'депозитный калькулятор'!$G$13="нет"),-G788-IF(I788=" ",0,I788)-IF(AND(OR('депозитный калькулятор'!$G$7="30/365",'депозитный калькулятор'!$G$7="30/360"),'депозитный калькулятор'!$G$10="в начале срока"),I787,0)-L788+M788-N788,-G788-IF(I788=" ",0,I788)-L788+M788-N788),IF('депозитный калькулятор'!$G$13="есть",M788-N788+IF('депозитный калькулятор'!$G$14="есть",0,-L788),-IF(I788=" ",0,I788)-IF(AND(OR('депозитный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срока"),I787,0)+M788-N788+IF('депозитный калькулятор'!$G$14="есть",0,-L788))))</f>
        <v xml:space="preserve"> </v>
      </c>
      <c r="P788" s="147" t="str">
        <f>IF(F788&gt;'депозитный калькулятор'!$D$8," ",IF(EOMONTH(F787,0)=F787,0,IF(G788&gt;='депозитный калькулятор'!$G$19,P787,P787+1)))</f>
        <v xml:space="preserve"> </v>
      </c>
      <c r="Q788" s="138" t="str">
        <f>IF(F788=" "," ",IF(AND(OR('депозитный калькулятор'!$G$7="30/365",'депозитный калькулятор'!$G$7="30/360"),AND(MONTH(F788)=2,EOMONTH(F788,0)=F788)),IF(DAY(F788)=28,3,2),1)*IF(G788&gt;='депозитный калькулятор'!$G$11,IF(AND('депозитный калькулятор'!$G$7="факт/факт",MOD(YEAR(F788),4)=0),G788*'депозитный калькулятор'!$D$11/366,G788*'депозитный калькулятор'!$G$8),0))</f>
        <v xml:space="preserve"> </v>
      </c>
      <c r="R788" s="158"/>
      <c r="S788" s="62" t="str">
        <f t="shared" ca="1" si="57"/>
        <v xml:space="preserve"> </v>
      </c>
      <c r="T788" s="149" t="str">
        <f ca="1">IF(S788=" "," ",IF('депозитный калькулятор'!$G$7="30/360",DAYS360(U787,IF(DAY(U788)=31,U788-1,U788))+IF(AND(MONTH(U788)=2,U788=EOMONTH(U788,0)),30-DAY(EOMONTH(U788,0)))+T787,VLOOKUP(S788,$C$22:$F$1023,2,0)))</f>
        <v xml:space="preserve"> </v>
      </c>
      <c r="U788" s="64" t="str">
        <f t="shared" ca="1" si="55"/>
        <v xml:space="preserve"> </v>
      </c>
      <c r="V788" s="150" t="str">
        <f t="shared" ca="1" si="58"/>
        <v xml:space="preserve"> </v>
      </c>
      <c r="W788" s="62" t="str">
        <f t="shared" ca="1" si="59"/>
        <v xml:space="preserve"> </v>
      </c>
      <c r="X788" s="141" t="str">
        <f ca="1">IF(S788=" "," ",IFERROR(VLOOKUP(U788,$F$23:$N$1023,7)+VLOOKUP(U788,$F$23:$N$1023,9)+IF(AND('депозитный калькулятор'!$G$13="нет",U788&lt;&gt;'депозитный калькулятор'!$D$8),VLOOKUP(U788,$F$23:$N$1023,4),0),0)+IF(U788='депозитный калькулятор'!$D$8,VLOOKUP(U788,$F$23:$N$1023,2)+VLOOKUP(U788,$F$23:$N$1023,4),0))</f>
        <v xml:space="preserve"> </v>
      </c>
      <c r="Y788" s="142" t="str">
        <f ca="1">IF(S788=" "," ",W788/(1+'депозитный калькулятор'!$K$8)^(T788/IF('депозитный калькулятор'!$G$7="30/360",360,365)))</f>
        <v xml:space="preserve"> </v>
      </c>
      <c r="Z788" s="142" t="str">
        <f ca="1">IF(S788=" "," ",X788/(1+'депозитный калькулятор'!$K$8)^(T788/IF('депозитный калькулятор'!$G$7="30/360",360,365)))</f>
        <v xml:space="preserve"> </v>
      </c>
      <c r="AA788" s="151"/>
      <c r="AB788" s="151"/>
      <c r="AC788" s="155"/>
      <c r="AD788" s="155"/>
    </row>
    <row r="789" spans="1:30" s="2" customFormat="1" ht="15.5" x14ac:dyDescent="0.35">
      <c r="A789" s="41" t="str">
        <f>IF(F789=" "," ",IF(OR('депозитный калькулятор'!$G$7="30/365",'депозитный калькулятор'!$G$7="30/360"),IF(AND(MONTH(F789)=2,DAY(F789)=DAY(EOMONTH(F789,0))),30-DAY(EOMONTH(F789,0)),IF(DAY(F789)=31,1," "))," "))</f>
        <v xml:space="preserve"> </v>
      </c>
      <c r="B789" s="130" t="str">
        <f t="shared" si="56"/>
        <v xml:space="preserve"> </v>
      </c>
      <c r="C789" s="130" t="str">
        <f>IF(OR(B789=0,B789=" ")," ",SUM($B$23:B789))</f>
        <v xml:space="preserve"> </v>
      </c>
      <c r="D789" s="62" t="str">
        <f>IF(D788=" "," ",IF(OR(F788='депозитный калькулятор'!$D$8,F788=" ")," ",D788+1))</f>
        <v xml:space="preserve"> </v>
      </c>
      <c r="E789" s="130" t="str">
        <f>IF(OR(F788='депозитный калькулятор'!$D$8,F788=" ")," ",IF(EOMONTH(F788,0)=F788,1,E788+1))</f>
        <v xml:space="preserve"> </v>
      </c>
      <c r="F789" s="64" t="str">
        <f>IF(F788=" "," ",IF(F788='депозитный калькулятор'!$D$8," ",F788+1))</f>
        <v xml:space="preserve"> </v>
      </c>
      <c r="G789" s="145" t="str">
        <f xml:space="preserve"> IF(F789&gt;'депозитный калькулятор'!$D$8," ",IF('депозитный калькулятор'!$G$13="есть",IF('депозитный калькулятор'!$G$14="есть",G788+IF(I788=" ",0,I788)-J789-K789+L789+M789-N789,G788+IF(I788=" ",0,I788)-J789-K789+M789-N789),IF('депозитный калькулятор'!$G$14="есть",G788-J789-K789+L789+M789-N789,G788-J789-K789+M789-N789)))</f>
        <v xml:space="preserve"> </v>
      </c>
      <c r="H789" s="133" t="str">
        <f>IF(F789&gt;'депозитный калькулятор'!$D$8," ",IF(AND(OR('депозитный калькулятор'!$G$7="30/365",'депозитный калькулятор'!$G$7="30/360"),AND(MONTH(F789)=2,EOMONTH(F789,0)=F789)),IF(DAY(F789)=28,3*G789*'депозитный калькулятор'!$G$8,2*G789*'депозитный калькулятор'!$G$8),IF(AND(OR('депозитный калькулятор'!$G$7="30/365",'депозитный калькулятор'!$G$7="30/360"),DAY(F789)=31)," ",IF(AND('депозитный калькулятор'!$G$7="факт/факт",MOD(YEAR(F789),4)=0),G789*'депозитный калькулятор'!$D$11/366,G789*'депозитный калькулятор'!$G$8))))</f>
        <v xml:space="preserve"> </v>
      </c>
      <c r="I789" s="134" t="str">
        <f ca="1">IF(F789=" "," ",IF('депозитный калькулятор'!$G$10="ежедневное",H789,IF(AND('депозитный калькулятор'!$G$10="еженедельное",WEEKDAY(F789,2)=7),SUM(OFFSET(H789,-6,0):H789),IF(AND('депозитный калькулятор'!$G$10="еженедельное",F789='депозитный калькулятор'!$D$8),SUM($H$23:H789)-SUM($I$23:I788),IF(AND('депозитный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недели",WEEKDAY(F789,2)=7),MIN(OFFSET(H789,-6,0):H789)*(COUNTIF(OFFSET(H789,-6,0):H789,"&gt;0")+SUMIF(OFFSET(A789,-WEEKDAY(F789,2),0):A789,"=2",OFFSET(A789,-WEEKDAY(F789,2),0):A789)),IF(AND('депозитный калькулятор'!$G$10="еженедельное, на минимальную сумму зафиксированную в течение недели",F789='депозитный калькулятор'!$D$8,WEEKDAY(F789,2)&lt;&gt;7),MIN(OFFSET(H789,-WEEKDAY(F789,2),0):H789)*(COUNTIF(OFFSET(H789,-WEEKDAY(F789,2)+1,0):H789,"&gt;0")+SUM(OFFSET(A789,-WEEKDAY(F789,2),0):A789)),IF(AND('депозитный калькулятор'!$G$10="ежемесячное (в конце месяца)",F789='депозитный калькулятор'!$D$8,EOMONTH(F789,0)&lt;&gt;F789),IF('депозитный калькулятор'!$F$1=1,$H$24,SUM($H$23:H789)-SUM($I$23:I788)),IF(AND('депозитный калькулятор'!$G$10="ежемесячное (в конце месяца)",EOMONTH(F789,0)=F789),SUM($H$23:H789)-SUM($I$23:I788),IF(AND('депозитный калькулятор'!$G$10="ежемесячное (по дням открытия вклада)",F789='депозитный калькулятор'!$D$8,DAY('депозитный калькулятор'!$D$7)&lt;&gt;DAY(F789)),IF('депозитный калькулятор'!$F$1=1,$H$24,SUM($H$23:H789)-SUM($I$23:I788)),IF(AND('депозитный калькулятор'!$G$10="ежемесячное (по дням открытия вклада)",DAY('депозитный калькулятор'!$D$7)=DAY(F789)),SUM($H$23:H789)-SUM($I$23:I788),IF(AND('депозитный калькулятор'!$G$10="ежемесячное, на минимальную сумму зафиксированную в течение месяца",F789='депозитный калькулятор'!$D$8,EOMONTH(F789,0)&lt;&gt;F789),IF('депозитный калькулятор'!$F$1=1,$H$24,IF(AND(OR('депозитный калькулятор'!$G$7="30/365",'депозитный калькулятор'!$G$7="30/360"),DAY(F789)=31),0,MIN(OFFSET(H789,-E789+1,0):H789)*(E789+SUMIF(OFFSET(A789,-E789+1,0):A789,"=2",OFFSET(A789,-E789+1,0):A789)))),IF(AND('депозитный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калькулятор'!$G$7="30/360"),DAY(EOMONTH(F789,0))=31),EOMONTH(F789,0)-1=F789,EOMONTH(F789,0)=F789)),IF(IF(AND(OR('депозитный калькулятор'!$G$7="30/365",'депозитный калькулятор'!$G$7="30/360"),DAY(EOMONTH($F$23,0))=31),F789=EOMONTH($F$23,0)-1,F789=EOMONTH($F$23,0)),MIN(OFFSET(H789,-(DAY(F789)-DAY($F$23)),0):H789)*E789,MIN(OFFSET(H789,-(DAY(F789)-1),0):H789)*IF(AND(OR('депозитный калькулятор'!$G$7="30/365",'депозитный калькулятор'!$G$7="30/360"),DAY(F789)&lt;30),30,DAY(F789))),IF(AND('депозитный калькулятор'!$G$10="ежемесячное, на средний остаток в течение месяца, при условии что остаток больше чем ограничение",F789='депозитный калькулятор'!$D$8,EOMONTH(F789,0)&lt;&gt;F789),IF('депозитный калькулятор'!$F$1=1,$H$24,SUM(OFFSET(Q789,-E789+1,0):Q789)),IF(AND('депозитный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калькулятор'!$G$7="30/360"),DAY(EOMONTH(F789,0))=31),EOMONTH(F789,0)-1=F789,EOMONTH(F789,0)=F789)),IF(IF(AND(OR('депозитный калькулятор'!$G$7="30/365",'депозитный калькулятор'!$G$7="30/360"),DAY(EOMONTH($F$24,0))=31),F789=EOMONTH($F$24,0)-1,F789=EOMONTH($F$24,0)),SUM(OFFSET(Q789,-E789+1,0):Q789),SUM(OFFSET(Q789,-E789+1,0):Q789)),IF('депозитный калькулятор'!$G$10="ежеквартальное",IF(F789&gt;'депозитный калькулятор'!$D$8," ",IF(AND(EOMONTH(F789,0)=F789,OR(MONTH(F789)=3,MONTH(F789)=6,MONTH(F789)=9,MONTH(F789)=12)),IF(EDATE(F789,-3)&lt;'депозитный калькулятор'!$D$7,SUM($H$23:H789),IF(MOD(YEAR(F789),4)=0,IF(AND(EOMONTH(F789,0)=F789,OR(MONTH(F789)=3,MONTH(F789)=6)),SUM(OFFSET(H789,-90,0):H789),IF(AND(EOMONTH(F789,0)=F789,OR(MONTH(F789)=9,MONTH(F789)=12)),SUM(OFFSET(H789,-91,0):H789))),IF(AND(EOMONTH(F789,0)=F789,MONTH(F789)=3),SUM(OFFSET(H789,-89,0):H789),IF(AND(EOMONTH(F789,0)=F789,MONTH(F789)=6),SUM(OFFSET(H789,-90,0):H789),IF(AND(EOMONTH(F789,0)=F789,OR(MONTH(F789)=9,MONTH(F789)=12)),SUM(OFFSET(H789,-91,0):H789)))))),IF(F789='депозитный калькулятор'!$D$8,SUM($H$23:H789)-SUM($I$23:I788),0))),IF('депозитный калькулятор'!$G$10="ежегодное",IF(F789&gt;'депозитный калькулятор'!$D$8," ",IF(F789='депозитный калькулятор'!$D$8,SUM($H$23:H789)-SUM($I$23:I788),IF(AND(EOMONTH(F789,0)=F789,MONTH(F789)=12),IF(MOD(YEAR(F788),4)=0,IF(F789-'депозитный калькулятор'!$D$7&lt;366,SUM($H$23:H789),SUM(OFFSET(H789,-365,0):H789)),IF(F789-'депозитный калькулятор'!$D$7&lt;365,SUM($H$23:H789),SUM(OFFSET(H789,-364,0):H789))),0))),IF(AND('депозитный калькулятор'!$G$10="в конце срока",'депозитный калькулятор'!$D$8=F789),SUM($H$23:H789),0))))))))))))))))))</f>
        <v xml:space="preserve"> </v>
      </c>
      <c r="J789" s="59" t="str">
        <f>IF(F789&gt;'депозитный калькулятор'!$D$8," ",IF('депозитный калькулятор'!$G$16="нет",0,IF(AND('депозитный калькулятор'!$G$17="разовая (в конце срока)",F789='депозитный калькулятор'!$D$8),'депозитный калькулятор'!$G$18,IF(AND('депозитный калькулятор'!$G$17="ежемесячная",EOMONTH(F788,0)=F788),'депозитный калькулятор'!$G$18,IF(AND('депозитный калькулятор'!$G$17="ежегодная",DAY(F788)=31,MONTH(F788)=12),'депозитный калькулятор'!$G$18,IF(AND('депозитный калькулятор'!$G$17="ежемесячная в зависимости от остатка",EOMONTH(F788,0)=F788,P788&gt;0),'депозитный калькулятор'!$G$18,IF(AND('депозитный калькулятор'!$G$17="ежегодная в зависимости от остатка",DAY(F788)=31,MONTH(F788)=12,P788&gt;0),'депозитный калькулятор'!$G$18,0)))))))</f>
        <v xml:space="preserve"> </v>
      </c>
      <c r="K789" s="135" t="str">
        <f>IF($F789=" "," ",IFERROR(VLOOKUP($F789,'депозитный калькулятор'!$B$26:$F$70,2,0),0))</f>
        <v xml:space="preserve"> </v>
      </c>
      <c r="L789" s="135" t="str">
        <f>IF($F789=" "," ",IFERROR(VLOOKUP($F789,'депозитный калькулятор'!$B$26:$F$70,3,0),0))</f>
        <v xml:space="preserve"> </v>
      </c>
      <c r="M789" s="135" t="str">
        <f>IF($F789=" "," ",IFERROR(VLOOKUP($F789,'депозитный калькулятор'!$B$26:$F$70,4,0),0))</f>
        <v xml:space="preserve"> </v>
      </c>
      <c r="N789" s="135" t="str">
        <f>IF($F789=" "," ",IFERROR(VLOOKUP($F789,'депозитный калькулятор'!$B$26:$F$70,5,0),0))</f>
        <v xml:space="preserve"> </v>
      </c>
      <c r="O789" s="146" t="str">
        <f>IF(F789&gt;'депозитный калькулятор'!$D$8," ",IF(F789='депозитный калькулятор'!$D$8,IF(AND($F$24='депозитный калькулятор'!$D$8,'депозитный калькулятор'!$G$13="нет"),-G789-IF(I789=" ",0,I789)-IF(AND(OR('депозитный калькулятор'!$G$7="30/365",'депозитный калькулятор'!$G$7="30/360"),'депозитный калькулятор'!$G$10="в начале срока"),I788,0)-L789+M789-N789,-G789-IF(I789=" ",0,I789)-L789+M789-N789),IF('депозитный калькулятор'!$G$13="есть",M789-N789+IF('депозитный калькулятор'!$G$14="есть",0,-L789),-IF(I789=" ",0,I789)-IF(AND(OR('депозитный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срока"),I788,0)+M789-N789+IF('депозитный калькулятор'!$G$14="есть",0,-L789))))</f>
        <v xml:space="preserve"> </v>
      </c>
      <c r="P789" s="147" t="str">
        <f>IF(F789&gt;'депозитный калькулятор'!$D$8," ",IF(EOMONTH(F788,0)=F788,0,IF(G789&gt;='депозитный калькулятор'!$G$19,P788,P788+1)))</f>
        <v xml:space="preserve"> </v>
      </c>
      <c r="Q789" s="138" t="str">
        <f>IF(F789=" "," ",IF(AND(OR('депозитный калькулятор'!$G$7="30/365",'депозитный калькулятор'!$G$7="30/360"),AND(MONTH(F789)=2,EOMONTH(F789,0)=F789)),IF(DAY(F789)=28,3,2),1)*IF(G789&gt;='депозитный калькулятор'!$G$11,IF(AND('депозитный калькулятор'!$G$7="факт/факт",MOD(YEAR(F789),4)=0),G789*'депозитный калькулятор'!$D$11/366,G789*'депозитный калькулятор'!$G$8),0))</f>
        <v xml:space="preserve"> </v>
      </c>
      <c r="R789" s="158"/>
      <c r="S789" s="62" t="str">
        <f t="shared" ca="1" si="57"/>
        <v xml:space="preserve"> </v>
      </c>
      <c r="T789" s="149" t="str">
        <f ca="1">IF(S789=" "," ",IF('депозитный калькулятор'!$G$7="30/360",DAYS360(U788,IF(DAY(U789)=31,U789-1,U789))+IF(AND(MONTH(U789)=2,U789=EOMONTH(U789,0)),30-DAY(EOMONTH(U789,0)))+T788,VLOOKUP(S789,$C$22:$F$1023,2,0)))</f>
        <v xml:space="preserve"> </v>
      </c>
      <c r="U789" s="64" t="str">
        <f t="shared" ca="1" si="55"/>
        <v xml:space="preserve"> </v>
      </c>
      <c r="V789" s="150" t="str">
        <f t="shared" ca="1" si="58"/>
        <v xml:space="preserve"> </v>
      </c>
      <c r="W789" s="62" t="str">
        <f t="shared" ca="1" si="59"/>
        <v xml:space="preserve"> </v>
      </c>
      <c r="X789" s="141" t="str">
        <f ca="1">IF(S789=" "," ",IFERROR(VLOOKUP(U789,$F$23:$N$1023,7)+VLOOKUP(U789,$F$23:$N$1023,9)+IF(AND('депозитный калькулятор'!$G$13="нет",U789&lt;&gt;'депозитный калькулятор'!$D$8),VLOOKUP(U789,$F$23:$N$1023,4),0),0)+IF(U789='депозитный калькулятор'!$D$8,VLOOKUP(U789,$F$23:$N$1023,2)+VLOOKUP(U789,$F$23:$N$1023,4),0))</f>
        <v xml:space="preserve"> </v>
      </c>
      <c r="Y789" s="142" t="str">
        <f ca="1">IF(S789=" "," ",W789/(1+'депозитный калькулятор'!$K$8)^(T789/IF('депозитный калькулятор'!$G$7="30/360",360,365)))</f>
        <v xml:space="preserve"> </v>
      </c>
      <c r="Z789" s="142" t="str">
        <f ca="1">IF(S789=" "," ",X789/(1+'депозитный калькулятор'!$K$8)^(T789/IF('депозитный калькулятор'!$G$7="30/360",360,365)))</f>
        <v xml:space="preserve"> </v>
      </c>
      <c r="AA789" s="151"/>
      <c r="AB789" s="151"/>
      <c r="AC789" s="155"/>
      <c r="AD789" s="155"/>
    </row>
    <row r="790" spans="1:30" s="2" customFormat="1" ht="15.5" x14ac:dyDescent="0.35">
      <c r="A790" s="41" t="str">
        <f>IF(F790=" "," ",IF(OR('депозитный калькулятор'!$G$7="30/365",'депозитный калькулятор'!$G$7="30/360"),IF(AND(MONTH(F790)=2,DAY(F790)=DAY(EOMONTH(F790,0))),30-DAY(EOMONTH(F790,0)),IF(DAY(F790)=31,1," "))," "))</f>
        <v xml:space="preserve"> </v>
      </c>
      <c r="B790" s="130" t="str">
        <f t="shared" si="56"/>
        <v xml:space="preserve"> </v>
      </c>
      <c r="C790" s="130" t="str">
        <f>IF(OR(B790=0,B790=" ")," ",SUM($B$23:B790))</f>
        <v xml:space="preserve"> </v>
      </c>
      <c r="D790" s="62" t="str">
        <f>IF(D789=" "," ",IF(OR(F789='депозитный калькулятор'!$D$8,F789=" ")," ",D789+1))</f>
        <v xml:space="preserve"> </v>
      </c>
      <c r="E790" s="130" t="str">
        <f>IF(OR(F789='депозитный калькулятор'!$D$8,F789=" ")," ",IF(EOMONTH(F789,0)=F789,1,E789+1))</f>
        <v xml:space="preserve"> </v>
      </c>
      <c r="F790" s="64" t="str">
        <f>IF(F789=" "," ",IF(F789='депозитный калькулятор'!$D$8," ",F789+1))</f>
        <v xml:space="preserve"> </v>
      </c>
      <c r="G790" s="145" t="str">
        <f xml:space="preserve"> IF(F790&gt;'депозитный калькулятор'!$D$8," ",IF('депозитный калькулятор'!$G$13="есть",IF('депозитный калькулятор'!$G$14="есть",G789+IF(I789=" ",0,I789)-J790-K790+L790+M790-N790,G789+IF(I789=" ",0,I789)-J790-K790+M790-N790),IF('депозитный калькулятор'!$G$14="есть",G789-J790-K790+L790+M790-N790,G789-J790-K790+M790-N790)))</f>
        <v xml:space="preserve"> </v>
      </c>
      <c r="H790" s="133" t="str">
        <f>IF(F790&gt;'депозитный калькулятор'!$D$8," ",IF(AND(OR('депозитный калькулятор'!$G$7="30/365",'депозитный калькулятор'!$G$7="30/360"),AND(MONTH(F790)=2,EOMONTH(F790,0)=F790)),IF(DAY(F790)=28,3*G790*'депозитный калькулятор'!$G$8,2*G790*'депозитный калькулятор'!$G$8),IF(AND(OR('депозитный калькулятор'!$G$7="30/365",'депозитный калькулятор'!$G$7="30/360"),DAY(F790)=31)," ",IF(AND('депозитный калькулятор'!$G$7="факт/факт",MOD(YEAR(F790),4)=0),G790*'депозитный калькулятор'!$D$11/366,G790*'депозитный калькулятор'!$G$8))))</f>
        <v xml:space="preserve"> </v>
      </c>
      <c r="I790" s="134" t="str">
        <f ca="1">IF(F790=" "," ",IF('депозитный калькулятор'!$G$10="ежедневное",H790,IF(AND('депозитный калькулятор'!$G$10="еженедельное",WEEKDAY(F790,2)=7),SUM(OFFSET(H790,-6,0):H790),IF(AND('депозитный калькулятор'!$G$10="еженедельное",F790='депозитный калькулятор'!$D$8),SUM($H$23:H790)-SUM($I$23:I789),IF(AND('депозитный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недели",WEEKDAY(F790,2)=7),MIN(OFFSET(H790,-6,0):H790)*(COUNTIF(OFFSET(H790,-6,0):H790,"&gt;0")+SUMIF(OFFSET(A790,-WEEKDAY(F790,2),0):A790,"=2",OFFSET(A790,-WEEKDAY(F790,2),0):A790)),IF(AND('депозитный калькулятор'!$G$10="еженедельное, на минимальную сумму зафиксированную в течение недели",F790='депозитный калькулятор'!$D$8,WEEKDAY(F790,2)&lt;&gt;7),MIN(OFFSET(H790,-WEEKDAY(F790,2),0):H790)*(COUNTIF(OFFSET(H790,-WEEKDAY(F790,2)+1,0):H790,"&gt;0")+SUM(OFFSET(A790,-WEEKDAY(F790,2),0):A790)),IF(AND('депозитный калькулятор'!$G$10="ежемесячное (в конце месяца)",F790='депозитный калькулятор'!$D$8,EOMONTH(F790,0)&lt;&gt;F790),IF('депозитный калькулятор'!$F$1=1,$H$24,SUM($H$23:H790)-SUM($I$23:I789)),IF(AND('депозитный калькулятор'!$G$10="ежемесячное (в конце месяца)",EOMONTH(F790,0)=F790),SUM($H$23:H790)-SUM($I$23:I789),IF(AND('депозитный калькулятор'!$G$10="ежемесячное (по дням открытия вклада)",F790='депозитный калькулятор'!$D$8,DAY('депозитный калькулятор'!$D$7)&lt;&gt;DAY(F790)),IF('депозитный калькулятор'!$F$1=1,$H$24,SUM($H$23:H790)-SUM($I$23:I789)),IF(AND('депозитный калькулятор'!$G$10="ежемесячное (по дням открытия вклада)",DAY('депозитный калькулятор'!$D$7)=DAY(F790)),SUM($H$23:H790)-SUM($I$23:I789),IF(AND('депозитный калькулятор'!$G$10="ежемесячное, на минимальную сумму зафиксированную в течение месяца",F790='депозитный калькулятор'!$D$8,EOMONTH(F790,0)&lt;&gt;F790),IF('депозитный калькулятор'!$F$1=1,$H$24,IF(AND(OR('депозитный калькулятор'!$G$7="30/365",'депозитный калькулятор'!$G$7="30/360"),DAY(F790)=31),0,MIN(OFFSET(H790,-E790+1,0):H790)*(E790+SUMIF(OFFSET(A790,-E790+1,0):A790,"=2",OFFSET(A790,-E790+1,0):A790)))),IF(AND('депозитный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калькулятор'!$G$7="30/360"),DAY(EOMONTH(F790,0))=31),EOMONTH(F790,0)-1=F790,EOMONTH(F790,0)=F790)),IF(IF(AND(OR('депозитный калькулятор'!$G$7="30/365",'депозитный калькулятор'!$G$7="30/360"),DAY(EOMONTH($F$23,0))=31),F790=EOMONTH($F$23,0)-1,F790=EOMONTH($F$23,0)),MIN(OFFSET(H790,-(DAY(F790)-DAY($F$23)),0):H790)*E790,MIN(OFFSET(H790,-(DAY(F790)-1),0):H790)*IF(AND(OR('депозитный калькулятор'!$G$7="30/365",'депозитный калькулятор'!$G$7="30/360"),DAY(F790)&lt;30),30,DAY(F790))),IF(AND('депозитный калькулятор'!$G$10="ежемесячное, на средний остаток в течение месяца, при условии что остаток больше чем ограничение",F790='депозитный калькулятор'!$D$8,EOMONTH(F790,0)&lt;&gt;F790),IF('депозитный калькулятор'!$F$1=1,$H$24,SUM(OFFSET(Q790,-E790+1,0):Q790)),IF(AND('депозитный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калькулятор'!$G$7="30/360"),DAY(EOMONTH(F790,0))=31),EOMONTH(F790,0)-1=F790,EOMONTH(F790,0)=F790)),IF(IF(AND(OR('депозитный калькулятор'!$G$7="30/365",'депозитный калькулятор'!$G$7="30/360"),DAY(EOMONTH($F$24,0))=31),F790=EOMONTH($F$24,0)-1,F790=EOMONTH($F$24,0)),SUM(OFFSET(Q790,-E790+1,0):Q790),SUM(OFFSET(Q790,-E790+1,0):Q790)),IF('депозитный калькулятор'!$G$10="ежеквартальное",IF(F790&gt;'депозитный калькулятор'!$D$8," ",IF(AND(EOMONTH(F790,0)=F790,OR(MONTH(F790)=3,MONTH(F790)=6,MONTH(F790)=9,MONTH(F790)=12)),IF(EDATE(F790,-3)&lt;'депозитный калькулятор'!$D$7,SUM($H$23:H790),IF(MOD(YEAR(F790),4)=0,IF(AND(EOMONTH(F790,0)=F790,OR(MONTH(F790)=3,MONTH(F790)=6)),SUM(OFFSET(H790,-90,0):H790),IF(AND(EOMONTH(F790,0)=F790,OR(MONTH(F790)=9,MONTH(F790)=12)),SUM(OFFSET(H790,-91,0):H790))),IF(AND(EOMONTH(F790,0)=F790,MONTH(F790)=3),SUM(OFFSET(H790,-89,0):H790),IF(AND(EOMONTH(F790,0)=F790,MONTH(F790)=6),SUM(OFFSET(H790,-90,0):H790),IF(AND(EOMONTH(F790,0)=F790,OR(MONTH(F790)=9,MONTH(F790)=12)),SUM(OFFSET(H790,-91,0):H790)))))),IF(F790='депозитный калькулятор'!$D$8,SUM($H$23:H790)-SUM($I$23:I789),0))),IF('депозитный калькулятор'!$G$10="ежегодное",IF(F790&gt;'депозитный калькулятор'!$D$8," ",IF(F790='депозитный калькулятор'!$D$8,SUM($H$23:H790)-SUM($I$23:I789),IF(AND(EOMONTH(F790,0)=F790,MONTH(F790)=12),IF(MOD(YEAR(F789),4)=0,IF(F790-'депозитный калькулятор'!$D$7&lt;366,SUM($H$23:H790),SUM(OFFSET(H790,-365,0):H790)),IF(F790-'депозитный калькулятор'!$D$7&lt;365,SUM($H$23:H790),SUM(OFFSET(H790,-364,0):H790))),0))),IF(AND('депозитный калькулятор'!$G$10="в конце срока",'депозитный калькулятор'!$D$8=F790),SUM($H$23:H790),0))))))))))))))))))</f>
        <v xml:space="preserve"> </v>
      </c>
      <c r="J790" s="59" t="str">
        <f>IF(F790&gt;'депозитный калькулятор'!$D$8," ",IF('депозитный калькулятор'!$G$16="нет",0,IF(AND('депозитный калькулятор'!$G$17="разовая (в конце срока)",F790='депозитный калькулятор'!$D$8),'депозитный калькулятор'!$G$18,IF(AND('депозитный калькулятор'!$G$17="ежемесячная",EOMONTH(F789,0)=F789),'депозитный калькулятор'!$G$18,IF(AND('депозитный калькулятор'!$G$17="ежегодная",DAY(F789)=31,MONTH(F789)=12),'депозитный калькулятор'!$G$18,IF(AND('депозитный калькулятор'!$G$17="ежемесячная в зависимости от остатка",EOMONTH(F789,0)=F789,P789&gt;0),'депозитный калькулятор'!$G$18,IF(AND('депозитный калькулятор'!$G$17="ежегодная в зависимости от остатка",DAY(F789)=31,MONTH(F789)=12,P789&gt;0),'депозитный калькулятор'!$G$18,0)))))))</f>
        <v xml:space="preserve"> </v>
      </c>
      <c r="K790" s="135" t="str">
        <f>IF($F790=" "," ",IFERROR(VLOOKUP($F790,'депозитный калькулятор'!$B$26:$F$70,2,0),0))</f>
        <v xml:space="preserve"> </v>
      </c>
      <c r="L790" s="135" t="str">
        <f>IF($F790=" "," ",IFERROR(VLOOKUP($F790,'депозитный калькулятор'!$B$26:$F$70,3,0),0))</f>
        <v xml:space="preserve"> </v>
      </c>
      <c r="M790" s="135" t="str">
        <f>IF($F790=" "," ",IFERROR(VLOOKUP($F790,'депозитный калькулятор'!$B$26:$F$70,4,0),0))</f>
        <v xml:space="preserve"> </v>
      </c>
      <c r="N790" s="135" t="str">
        <f>IF($F790=" "," ",IFERROR(VLOOKUP($F790,'депозитный калькулятор'!$B$26:$F$70,5,0),0))</f>
        <v xml:space="preserve"> </v>
      </c>
      <c r="O790" s="146" t="str">
        <f>IF(F790&gt;'депозитный калькулятор'!$D$8," ",IF(F790='депозитный калькулятор'!$D$8,IF(AND($F$24='депозитный калькулятор'!$D$8,'депозитный калькулятор'!$G$13="нет"),-G790-IF(I790=" ",0,I790)-IF(AND(OR('депозитный калькулятор'!$G$7="30/365",'депозитный калькулятор'!$G$7="30/360"),'депозитный калькулятор'!$G$10="в начале срока"),I789,0)-L790+M790-N790,-G790-IF(I790=" ",0,I790)-L790+M790-N790),IF('депозитный калькулятор'!$G$13="есть",M790-N790+IF('депозитный калькулятор'!$G$14="есть",0,-L790),-IF(I790=" ",0,I790)-IF(AND(OR('депозитный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срока"),I789,0)+M790-N790+IF('депозитный калькулятор'!$G$14="есть",0,-L790))))</f>
        <v xml:space="preserve"> </v>
      </c>
      <c r="P790" s="147" t="str">
        <f>IF(F790&gt;'депозитный калькулятор'!$D$8," ",IF(EOMONTH(F789,0)=F789,0,IF(G790&gt;='депозитный калькулятор'!$G$19,P789,P789+1)))</f>
        <v xml:space="preserve"> </v>
      </c>
      <c r="Q790" s="138" t="str">
        <f>IF(F790=" "," ",IF(AND(OR('депозитный калькулятор'!$G$7="30/365",'депозитный калькулятор'!$G$7="30/360"),AND(MONTH(F790)=2,EOMONTH(F790,0)=F790)),IF(DAY(F790)=28,3,2),1)*IF(G790&gt;='депозитный калькулятор'!$G$11,IF(AND('депозитный калькулятор'!$G$7="факт/факт",MOD(YEAR(F790),4)=0),G790*'депозитный калькулятор'!$D$11/366,G790*'депозитный калькулятор'!$G$8),0))</f>
        <v xml:space="preserve"> </v>
      </c>
      <c r="R790" s="158"/>
      <c r="S790" s="62" t="str">
        <f t="shared" ca="1" si="57"/>
        <v xml:space="preserve"> </v>
      </c>
      <c r="T790" s="149" t="str">
        <f ca="1">IF(S790=" "," ",IF('депозитный калькулятор'!$G$7="30/360",DAYS360(U789,IF(DAY(U790)=31,U790-1,U790))+IF(AND(MONTH(U790)=2,U790=EOMONTH(U790,0)),30-DAY(EOMONTH(U790,0)))+T789,VLOOKUP(S790,$C$22:$F$1023,2,0)))</f>
        <v xml:space="preserve"> </v>
      </c>
      <c r="U790" s="64" t="str">
        <f t="shared" ca="1" si="55"/>
        <v xml:space="preserve"> </v>
      </c>
      <c r="V790" s="150" t="str">
        <f t="shared" ca="1" si="58"/>
        <v xml:space="preserve"> </v>
      </c>
      <c r="W790" s="62" t="str">
        <f t="shared" ca="1" si="59"/>
        <v xml:space="preserve"> </v>
      </c>
      <c r="X790" s="141" t="str">
        <f ca="1">IF(S790=" "," ",IFERROR(VLOOKUP(U790,$F$23:$N$1023,7)+VLOOKUP(U790,$F$23:$N$1023,9)+IF(AND('депозитный калькулятор'!$G$13="нет",U790&lt;&gt;'депозитный калькулятор'!$D$8),VLOOKUP(U790,$F$23:$N$1023,4),0),0)+IF(U790='депозитный калькулятор'!$D$8,VLOOKUP(U790,$F$23:$N$1023,2)+VLOOKUP(U790,$F$23:$N$1023,4),0))</f>
        <v xml:space="preserve"> </v>
      </c>
      <c r="Y790" s="142" t="str">
        <f ca="1">IF(S790=" "," ",W790/(1+'депозитный калькулятор'!$K$8)^(T790/IF('депозитный калькулятор'!$G$7="30/360",360,365)))</f>
        <v xml:space="preserve"> </v>
      </c>
      <c r="Z790" s="142" t="str">
        <f ca="1">IF(S790=" "," ",X790/(1+'депозитный калькулятор'!$K$8)^(T790/IF('депозитный калькулятор'!$G$7="30/360",360,365)))</f>
        <v xml:space="preserve"> </v>
      </c>
      <c r="AA790" s="151"/>
      <c r="AB790" s="151"/>
      <c r="AC790" s="155"/>
      <c r="AD790" s="155"/>
    </row>
    <row r="791" spans="1:30" s="2" customFormat="1" ht="15.5" x14ac:dyDescent="0.35">
      <c r="A791" s="41" t="str">
        <f>IF(F791=" "," ",IF(OR('депозитный калькулятор'!$G$7="30/365",'депозитный калькулятор'!$G$7="30/360"),IF(AND(MONTH(F791)=2,DAY(F791)=DAY(EOMONTH(F791,0))),30-DAY(EOMONTH(F791,0)),IF(DAY(F791)=31,1," "))," "))</f>
        <v xml:space="preserve"> </v>
      </c>
      <c r="B791" s="130" t="str">
        <f t="shared" si="56"/>
        <v xml:space="preserve"> </v>
      </c>
      <c r="C791" s="130" t="str">
        <f>IF(OR(B791=0,B791=" ")," ",SUM($B$23:B791))</f>
        <v xml:space="preserve"> </v>
      </c>
      <c r="D791" s="62" t="str">
        <f>IF(D790=" "," ",IF(OR(F790='депозитный калькулятор'!$D$8,F790=" ")," ",D790+1))</f>
        <v xml:space="preserve"> </v>
      </c>
      <c r="E791" s="130" t="str">
        <f>IF(OR(F790='депозитный калькулятор'!$D$8,F790=" ")," ",IF(EOMONTH(F790,0)=F790,1,E790+1))</f>
        <v xml:space="preserve"> </v>
      </c>
      <c r="F791" s="64" t="str">
        <f>IF(F790=" "," ",IF(F790='депозитный калькулятор'!$D$8," ",F790+1))</f>
        <v xml:space="preserve"> </v>
      </c>
      <c r="G791" s="145" t="str">
        <f xml:space="preserve"> IF(F791&gt;'депозитный калькулятор'!$D$8," ",IF('депозитный калькулятор'!$G$13="есть",IF('депозитный калькулятор'!$G$14="есть",G790+IF(I790=" ",0,I790)-J791-K791+L791+M791-N791,G790+IF(I790=" ",0,I790)-J791-K791+M791-N791),IF('депозитный калькулятор'!$G$14="есть",G790-J791-K791+L791+M791-N791,G790-J791-K791+M791-N791)))</f>
        <v xml:space="preserve"> </v>
      </c>
      <c r="H791" s="133" t="str">
        <f>IF(F791&gt;'депозитный калькулятор'!$D$8," ",IF(AND(OR('депозитный калькулятор'!$G$7="30/365",'депозитный калькулятор'!$G$7="30/360"),AND(MONTH(F791)=2,EOMONTH(F791,0)=F791)),IF(DAY(F791)=28,3*G791*'депозитный калькулятор'!$G$8,2*G791*'депозитный калькулятор'!$G$8),IF(AND(OR('депозитный калькулятор'!$G$7="30/365",'депозитный калькулятор'!$G$7="30/360"),DAY(F791)=31)," ",IF(AND('депозитный калькулятор'!$G$7="факт/факт",MOD(YEAR(F791),4)=0),G791*'депозитный калькулятор'!$D$11/366,G791*'депозитный калькулятор'!$G$8))))</f>
        <v xml:space="preserve"> </v>
      </c>
      <c r="I791" s="134" t="str">
        <f ca="1">IF(F791=" "," ",IF('депозитный калькулятор'!$G$10="ежедневное",H791,IF(AND('депозитный калькулятор'!$G$10="еженедельное",WEEKDAY(F791,2)=7),SUM(OFFSET(H791,-6,0):H791),IF(AND('депозитный калькулятор'!$G$10="еженедельное",F791='депозитный калькулятор'!$D$8),SUM($H$23:H791)-SUM($I$23:I790),IF(AND('депозитный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недели",WEEKDAY(F791,2)=7),MIN(OFFSET(H791,-6,0):H791)*(COUNTIF(OFFSET(H791,-6,0):H791,"&gt;0")+SUMIF(OFFSET(A791,-WEEKDAY(F791,2),0):A791,"=2",OFFSET(A791,-WEEKDAY(F791,2),0):A791)),IF(AND('депозитный калькулятор'!$G$10="еженедельное, на минимальную сумму зафиксированную в течение недели",F791='депозитный калькулятор'!$D$8,WEEKDAY(F791,2)&lt;&gt;7),MIN(OFFSET(H791,-WEEKDAY(F791,2),0):H791)*(COUNTIF(OFFSET(H791,-WEEKDAY(F791,2)+1,0):H791,"&gt;0")+SUM(OFFSET(A791,-WEEKDAY(F791,2),0):A791)),IF(AND('депозитный калькулятор'!$G$10="ежемесячное (в конце месяца)",F791='депозитный калькулятор'!$D$8,EOMONTH(F791,0)&lt;&gt;F791),IF('депозитный калькулятор'!$F$1=1,$H$24,SUM($H$23:H791)-SUM($I$23:I790)),IF(AND('депозитный калькулятор'!$G$10="ежемесячное (в конце месяца)",EOMONTH(F791,0)=F791),SUM($H$23:H791)-SUM($I$23:I790),IF(AND('депозитный калькулятор'!$G$10="ежемесячное (по дням открытия вклада)",F791='депозитный калькулятор'!$D$8,DAY('депозитный калькулятор'!$D$7)&lt;&gt;DAY(F791)),IF('депозитный калькулятор'!$F$1=1,$H$24,SUM($H$23:H791)-SUM($I$23:I790)),IF(AND('депозитный калькулятор'!$G$10="ежемесячное (по дням открытия вклада)",DAY('депозитный калькулятор'!$D$7)=DAY(F791)),SUM($H$23:H791)-SUM($I$23:I790),IF(AND('депозитный калькулятор'!$G$10="ежемесячное, на минимальную сумму зафиксированную в течение месяца",F791='депозитный калькулятор'!$D$8,EOMONTH(F791,0)&lt;&gt;F791),IF('депозитный калькулятор'!$F$1=1,$H$24,IF(AND(OR('депозитный калькулятор'!$G$7="30/365",'депозитный калькулятор'!$G$7="30/360"),DAY(F791)=31),0,MIN(OFFSET(H791,-E791+1,0):H791)*(E791+SUMIF(OFFSET(A791,-E791+1,0):A791,"=2",OFFSET(A791,-E791+1,0):A791)))),IF(AND('депозитный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калькулятор'!$G$7="30/360"),DAY(EOMONTH(F791,0))=31),EOMONTH(F791,0)-1=F791,EOMONTH(F791,0)=F791)),IF(IF(AND(OR('депозитный калькулятор'!$G$7="30/365",'депозитный калькулятор'!$G$7="30/360"),DAY(EOMONTH($F$23,0))=31),F791=EOMONTH($F$23,0)-1,F791=EOMONTH($F$23,0)),MIN(OFFSET(H791,-(DAY(F791)-DAY($F$23)),0):H791)*E791,MIN(OFFSET(H791,-(DAY(F791)-1),0):H791)*IF(AND(OR('депозитный калькулятор'!$G$7="30/365",'депозитный калькулятор'!$G$7="30/360"),DAY(F791)&lt;30),30,DAY(F791))),IF(AND('депозитный калькулятор'!$G$10="ежемесячное, на средний остаток в течение месяца, при условии что остаток больше чем ограничение",F791='депозитный калькулятор'!$D$8,EOMONTH(F791,0)&lt;&gt;F791),IF('депозитный калькулятор'!$F$1=1,$H$24,SUM(OFFSET(Q791,-E791+1,0):Q791)),IF(AND('депозитный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калькулятор'!$G$7="30/360"),DAY(EOMONTH(F791,0))=31),EOMONTH(F791,0)-1=F791,EOMONTH(F791,0)=F791)),IF(IF(AND(OR('депозитный калькулятор'!$G$7="30/365",'депозитный калькулятор'!$G$7="30/360"),DAY(EOMONTH($F$24,0))=31),F791=EOMONTH($F$24,0)-1,F791=EOMONTH($F$24,0)),SUM(OFFSET(Q791,-E791+1,0):Q791),SUM(OFFSET(Q791,-E791+1,0):Q791)),IF('депозитный калькулятор'!$G$10="ежеквартальное",IF(F791&gt;'депозитный калькулятор'!$D$8," ",IF(AND(EOMONTH(F791,0)=F791,OR(MONTH(F791)=3,MONTH(F791)=6,MONTH(F791)=9,MONTH(F791)=12)),IF(EDATE(F791,-3)&lt;'депозитный калькулятор'!$D$7,SUM($H$23:H791),IF(MOD(YEAR(F791),4)=0,IF(AND(EOMONTH(F791,0)=F791,OR(MONTH(F791)=3,MONTH(F791)=6)),SUM(OFFSET(H791,-90,0):H791),IF(AND(EOMONTH(F791,0)=F791,OR(MONTH(F791)=9,MONTH(F791)=12)),SUM(OFFSET(H791,-91,0):H791))),IF(AND(EOMONTH(F791,0)=F791,MONTH(F791)=3),SUM(OFFSET(H791,-89,0):H791),IF(AND(EOMONTH(F791,0)=F791,MONTH(F791)=6),SUM(OFFSET(H791,-90,0):H791),IF(AND(EOMONTH(F791,0)=F791,OR(MONTH(F791)=9,MONTH(F791)=12)),SUM(OFFSET(H791,-91,0):H791)))))),IF(F791='депозитный калькулятор'!$D$8,SUM($H$23:H791)-SUM($I$23:I790),0))),IF('депозитный калькулятор'!$G$10="ежегодное",IF(F791&gt;'депозитный калькулятор'!$D$8," ",IF(F791='депозитный калькулятор'!$D$8,SUM($H$23:H791)-SUM($I$23:I790),IF(AND(EOMONTH(F791,0)=F791,MONTH(F791)=12),IF(MOD(YEAR(F790),4)=0,IF(F791-'депозитный калькулятор'!$D$7&lt;366,SUM($H$23:H791),SUM(OFFSET(H791,-365,0):H791)),IF(F791-'депозитный калькулятор'!$D$7&lt;365,SUM($H$23:H791),SUM(OFFSET(H791,-364,0):H791))),0))),IF(AND('депозитный калькулятор'!$G$10="в конце срока",'депозитный калькулятор'!$D$8=F791),SUM($H$23:H791),0))))))))))))))))))</f>
        <v xml:space="preserve"> </v>
      </c>
      <c r="J791" s="59" t="str">
        <f>IF(F791&gt;'депозитный калькулятор'!$D$8," ",IF('депозитный калькулятор'!$G$16="нет",0,IF(AND('депозитный калькулятор'!$G$17="разовая (в конце срока)",F791='депозитный калькулятор'!$D$8),'депозитный калькулятор'!$G$18,IF(AND('депозитный калькулятор'!$G$17="ежемесячная",EOMONTH(F790,0)=F790),'депозитный калькулятор'!$G$18,IF(AND('депозитный калькулятор'!$G$17="ежегодная",DAY(F790)=31,MONTH(F790)=12),'депозитный калькулятор'!$G$18,IF(AND('депозитный калькулятор'!$G$17="ежемесячная в зависимости от остатка",EOMONTH(F790,0)=F790,P790&gt;0),'депозитный калькулятор'!$G$18,IF(AND('депозитный калькулятор'!$G$17="ежегодная в зависимости от остатка",DAY(F790)=31,MONTH(F790)=12,P790&gt;0),'депозитный калькулятор'!$G$18,0)))))))</f>
        <v xml:space="preserve"> </v>
      </c>
      <c r="K791" s="135" t="str">
        <f>IF($F791=" "," ",IFERROR(VLOOKUP($F791,'депозитный калькулятор'!$B$26:$F$70,2,0),0))</f>
        <v xml:space="preserve"> </v>
      </c>
      <c r="L791" s="135" t="str">
        <f>IF($F791=" "," ",IFERROR(VLOOKUP($F791,'депозитный калькулятор'!$B$26:$F$70,3,0),0))</f>
        <v xml:space="preserve"> </v>
      </c>
      <c r="M791" s="135" t="str">
        <f>IF($F791=" "," ",IFERROR(VLOOKUP($F791,'депозитный калькулятор'!$B$26:$F$70,4,0),0))</f>
        <v xml:space="preserve"> </v>
      </c>
      <c r="N791" s="135" t="str">
        <f>IF($F791=" "," ",IFERROR(VLOOKUP($F791,'депозитный калькулятор'!$B$26:$F$70,5,0),0))</f>
        <v xml:space="preserve"> </v>
      </c>
      <c r="O791" s="146" t="str">
        <f>IF(F791&gt;'депозитный калькулятор'!$D$8," ",IF(F791='депозитный калькулятор'!$D$8,IF(AND($F$24='депозитный калькулятор'!$D$8,'депозитный калькулятор'!$G$13="нет"),-G791-IF(I791=" ",0,I791)-IF(AND(OR('депозитный калькулятор'!$G$7="30/365",'депозитный калькулятор'!$G$7="30/360"),'депозитный калькулятор'!$G$10="в начале срока"),I790,0)-L791+M791-N791,-G791-IF(I791=" ",0,I791)-L791+M791-N791),IF('депозитный калькулятор'!$G$13="есть",M791-N791+IF('депозитный калькулятор'!$G$14="есть",0,-L791),-IF(I791=" ",0,I791)-IF(AND(OR('депозитный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срока"),I790,0)+M791-N791+IF('депозитный калькулятор'!$G$14="есть",0,-L791))))</f>
        <v xml:space="preserve"> </v>
      </c>
      <c r="P791" s="147" t="str">
        <f>IF(F791&gt;'депозитный калькулятор'!$D$8," ",IF(EOMONTH(F790,0)=F790,0,IF(G791&gt;='депозитный калькулятор'!$G$19,P790,P790+1)))</f>
        <v xml:space="preserve"> </v>
      </c>
      <c r="Q791" s="138" t="str">
        <f>IF(F791=" "," ",IF(AND(OR('депозитный калькулятор'!$G$7="30/365",'депозитный калькулятор'!$G$7="30/360"),AND(MONTH(F791)=2,EOMONTH(F791,0)=F791)),IF(DAY(F791)=28,3,2),1)*IF(G791&gt;='депозитный калькулятор'!$G$11,IF(AND('депозитный калькулятор'!$G$7="факт/факт",MOD(YEAR(F791),4)=0),G791*'депозитный калькулятор'!$D$11/366,G791*'депозитный калькулятор'!$G$8),0))</f>
        <v xml:space="preserve"> </v>
      </c>
      <c r="R791" s="158"/>
      <c r="S791" s="62" t="str">
        <f t="shared" ca="1" si="57"/>
        <v xml:space="preserve"> </v>
      </c>
      <c r="T791" s="149" t="str">
        <f ca="1">IF(S791=" "," ",IF('депозитный калькулятор'!$G$7="30/360",DAYS360(U790,IF(DAY(U791)=31,U791-1,U791))+IF(AND(MONTH(U791)=2,U791=EOMONTH(U791,0)),30-DAY(EOMONTH(U791,0)))+T790,VLOOKUP(S791,$C$22:$F$1023,2,0)))</f>
        <v xml:space="preserve"> </v>
      </c>
      <c r="U791" s="64" t="str">
        <f t="shared" ref="U791:U854" ca="1" si="60">IF(S791=" "," ",VLOOKUP(S791,$C$22:$F$1023,4,0))</f>
        <v xml:space="preserve"> </v>
      </c>
      <c r="V791" s="150" t="str">
        <f t="shared" ca="1" si="58"/>
        <v xml:space="preserve"> </v>
      </c>
      <c r="W791" s="62" t="str">
        <f t="shared" ca="1" si="59"/>
        <v xml:space="preserve"> </v>
      </c>
      <c r="X791" s="141" t="str">
        <f ca="1">IF(S791=" "," ",IFERROR(VLOOKUP(U791,$F$23:$N$1023,7)+VLOOKUP(U791,$F$23:$N$1023,9)+IF(AND('депозитный калькулятор'!$G$13="нет",U791&lt;&gt;'депозитный калькулятор'!$D$8),VLOOKUP(U791,$F$23:$N$1023,4),0),0)+IF(U791='депозитный калькулятор'!$D$8,VLOOKUP(U791,$F$23:$N$1023,2)+VLOOKUP(U791,$F$23:$N$1023,4),0))</f>
        <v xml:space="preserve"> </v>
      </c>
      <c r="Y791" s="142" t="str">
        <f ca="1">IF(S791=" "," ",W791/(1+'депозитный калькулятор'!$K$8)^(T791/IF('депозитный калькулятор'!$G$7="30/360",360,365)))</f>
        <v xml:space="preserve"> </v>
      </c>
      <c r="Z791" s="142" t="str">
        <f ca="1">IF(S791=" "," ",X791/(1+'депозитный калькулятор'!$K$8)^(T791/IF('депозитный калькулятор'!$G$7="30/360",360,365)))</f>
        <v xml:space="preserve"> </v>
      </c>
      <c r="AA791" s="151"/>
      <c r="AB791" s="151"/>
      <c r="AC791" s="155"/>
      <c r="AD791" s="155"/>
    </row>
    <row r="792" spans="1:30" s="2" customFormat="1" ht="15.5" x14ac:dyDescent="0.35">
      <c r="A792" s="41" t="str">
        <f>IF(F792=" "," ",IF(OR('депозитный калькулятор'!$G$7="30/365",'депозитный калькулятор'!$G$7="30/360"),IF(AND(MONTH(F792)=2,DAY(F792)=DAY(EOMONTH(F792,0))),30-DAY(EOMONTH(F792,0)),IF(DAY(F792)=31,1," "))," "))</f>
        <v xml:space="preserve"> </v>
      </c>
      <c r="B792" s="130" t="str">
        <f t="shared" ref="B792:B855" si="61">IF(F792=" "," ",IF(O792&lt;&gt;0,1,0))</f>
        <v xml:space="preserve"> </v>
      </c>
      <c r="C792" s="130" t="str">
        <f>IF(OR(B792=0,B792=" ")," ",SUM($B$23:B792))</f>
        <v xml:space="preserve"> </v>
      </c>
      <c r="D792" s="62" t="str">
        <f>IF(D791=" "," ",IF(OR(F791='депозитный калькулятор'!$D$8,F791=" ")," ",D791+1))</f>
        <v xml:space="preserve"> </v>
      </c>
      <c r="E792" s="130" t="str">
        <f>IF(OR(F791='депозитный калькулятор'!$D$8,F791=" ")," ",IF(EOMONTH(F791,0)=F791,1,E791+1))</f>
        <v xml:space="preserve"> </v>
      </c>
      <c r="F792" s="64" t="str">
        <f>IF(F791=" "," ",IF(F791='депозитный калькулятор'!$D$8," ",F791+1))</f>
        <v xml:space="preserve"> </v>
      </c>
      <c r="G792" s="145" t="str">
        <f xml:space="preserve"> IF(F792&gt;'депозитный калькулятор'!$D$8," ",IF('депозитный калькулятор'!$G$13="есть",IF('депозитный калькулятор'!$G$14="есть",G791+IF(I791=" ",0,I791)-J792-K792+L792+M792-N792,G791+IF(I791=" ",0,I791)-J792-K792+M792-N792),IF('депозитный калькулятор'!$G$14="есть",G791-J792-K792+L792+M792-N792,G791-J792-K792+M792-N792)))</f>
        <v xml:space="preserve"> </v>
      </c>
      <c r="H792" s="133" t="str">
        <f>IF(F792&gt;'депозитный калькулятор'!$D$8," ",IF(AND(OR('депозитный калькулятор'!$G$7="30/365",'депозитный калькулятор'!$G$7="30/360"),AND(MONTH(F792)=2,EOMONTH(F792,0)=F792)),IF(DAY(F792)=28,3*G792*'депозитный калькулятор'!$G$8,2*G792*'депозитный калькулятор'!$G$8),IF(AND(OR('депозитный калькулятор'!$G$7="30/365",'депозитный калькулятор'!$G$7="30/360"),DAY(F792)=31)," ",IF(AND('депозитный калькулятор'!$G$7="факт/факт",MOD(YEAR(F792),4)=0),G792*'депозитный калькулятор'!$D$11/366,G792*'депозитный калькулятор'!$G$8))))</f>
        <v xml:space="preserve"> </v>
      </c>
      <c r="I792" s="134" t="str">
        <f ca="1">IF(F792=" "," ",IF('депозитный калькулятор'!$G$10="ежедневное",H792,IF(AND('депозитный калькулятор'!$G$10="еженедельное",WEEKDAY(F792,2)=7),SUM(OFFSET(H792,-6,0):H792),IF(AND('депозитный калькулятор'!$G$10="еженедельное",F792='депозитный калькулятор'!$D$8),SUM($H$23:H792)-SUM($I$23:I791),IF(AND('депозитный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недели",WEEKDAY(F792,2)=7),MIN(OFFSET(H792,-6,0):H792)*(COUNTIF(OFFSET(H792,-6,0):H792,"&gt;0")+SUMIF(OFFSET(A792,-WEEKDAY(F792,2),0):A792,"=2",OFFSET(A792,-WEEKDAY(F792,2),0):A792)),IF(AND('депозитный калькулятор'!$G$10="еженедельное, на минимальную сумму зафиксированную в течение недели",F792='депозитный калькулятор'!$D$8,WEEKDAY(F792,2)&lt;&gt;7),MIN(OFFSET(H792,-WEEKDAY(F792,2),0):H792)*(COUNTIF(OFFSET(H792,-WEEKDAY(F792,2)+1,0):H792,"&gt;0")+SUM(OFFSET(A792,-WEEKDAY(F792,2),0):A792)),IF(AND('депозитный калькулятор'!$G$10="ежемесячное (в конце месяца)",F792='депозитный калькулятор'!$D$8,EOMONTH(F792,0)&lt;&gt;F792),IF('депозитный калькулятор'!$F$1=1,$H$24,SUM($H$23:H792)-SUM($I$23:I791)),IF(AND('депозитный калькулятор'!$G$10="ежемесячное (в конце месяца)",EOMONTH(F792,0)=F792),SUM($H$23:H792)-SUM($I$23:I791),IF(AND('депозитный калькулятор'!$G$10="ежемесячное (по дням открытия вклада)",F792='депозитный калькулятор'!$D$8,DAY('депозитный калькулятор'!$D$7)&lt;&gt;DAY(F792)),IF('депозитный калькулятор'!$F$1=1,$H$24,SUM($H$23:H792)-SUM($I$23:I791)),IF(AND('депозитный калькулятор'!$G$10="ежемесячное (по дням открытия вклада)",DAY('депозитный калькулятор'!$D$7)=DAY(F792)),SUM($H$23:H792)-SUM($I$23:I791),IF(AND('депозитный калькулятор'!$G$10="ежемесячное, на минимальную сумму зафиксированную в течение месяца",F792='депозитный калькулятор'!$D$8,EOMONTH(F792,0)&lt;&gt;F792),IF('депозитный калькулятор'!$F$1=1,$H$24,IF(AND(OR('депозитный калькулятор'!$G$7="30/365",'депозитный калькулятор'!$G$7="30/360"),DAY(F792)=31),0,MIN(OFFSET(H792,-E792+1,0):H792)*(E792+SUMIF(OFFSET(A792,-E792+1,0):A792,"=2",OFFSET(A792,-E792+1,0):A792)))),IF(AND('депозитный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калькулятор'!$G$7="30/360"),DAY(EOMONTH(F792,0))=31),EOMONTH(F792,0)-1=F792,EOMONTH(F792,0)=F792)),IF(IF(AND(OR('депозитный калькулятор'!$G$7="30/365",'депозитный калькулятор'!$G$7="30/360"),DAY(EOMONTH($F$23,0))=31),F792=EOMONTH($F$23,0)-1,F792=EOMONTH($F$23,0)),MIN(OFFSET(H792,-(DAY(F792)-DAY($F$23)),0):H792)*E792,MIN(OFFSET(H792,-(DAY(F792)-1),0):H792)*IF(AND(OR('депозитный калькулятор'!$G$7="30/365",'депозитный калькулятор'!$G$7="30/360"),DAY(F792)&lt;30),30,DAY(F792))),IF(AND('депозитный калькулятор'!$G$10="ежемесячное, на средний остаток в течение месяца, при условии что остаток больше чем ограничение",F792='депозитный калькулятор'!$D$8,EOMONTH(F792,0)&lt;&gt;F792),IF('депозитный калькулятор'!$F$1=1,$H$24,SUM(OFFSET(Q792,-E792+1,0):Q792)),IF(AND('депозитный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калькулятор'!$G$7="30/360"),DAY(EOMONTH(F792,0))=31),EOMONTH(F792,0)-1=F792,EOMONTH(F792,0)=F792)),IF(IF(AND(OR('депозитный калькулятор'!$G$7="30/365",'депозитный калькулятор'!$G$7="30/360"),DAY(EOMONTH($F$24,0))=31),F792=EOMONTH($F$24,0)-1,F792=EOMONTH($F$24,0)),SUM(OFFSET(Q792,-E792+1,0):Q792),SUM(OFFSET(Q792,-E792+1,0):Q792)),IF('депозитный калькулятор'!$G$10="ежеквартальное",IF(F792&gt;'депозитный калькулятор'!$D$8," ",IF(AND(EOMONTH(F792,0)=F792,OR(MONTH(F792)=3,MONTH(F792)=6,MONTH(F792)=9,MONTH(F792)=12)),IF(EDATE(F792,-3)&lt;'депозитный калькулятор'!$D$7,SUM($H$23:H792),IF(MOD(YEAR(F792),4)=0,IF(AND(EOMONTH(F792,0)=F792,OR(MONTH(F792)=3,MONTH(F792)=6)),SUM(OFFSET(H792,-90,0):H792),IF(AND(EOMONTH(F792,0)=F792,OR(MONTH(F792)=9,MONTH(F792)=12)),SUM(OFFSET(H792,-91,0):H792))),IF(AND(EOMONTH(F792,0)=F792,MONTH(F792)=3),SUM(OFFSET(H792,-89,0):H792),IF(AND(EOMONTH(F792,0)=F792,MONTH(F792)=6),SUM(OFFSET(H792,-90,0):H792),IF(AND(EOMONTH(F792,0)=F792,OR(MONTH(F792)=9,MONTH(F792)=12)),SUM(OFFSET(H792,-91,0):H792)))))),IF(F792='депозитный калькулятор'!$D$8,SUM($H$23:H792)-SUM($I$23:I791),0))),IF('депозитный калькулятор'!$G$10="ежегодное",IF(F792&gt;'депозитный калькулятор'!$D$8," ",IF(F792='депозитный калькулятор'!$D$8,SUM($H$23:H792)-SUM($I$23:I791),IF(AND(EOMONTH(F792,0)=F792,MONTH(F792)=12),IF(MOD(YEAR(F791),4)=0,IF(F792-'депозитный калькулятор'!$D$7&lt;366,SUM($H$23:H792),SUM(OFFSET(H792,-365,0):H792)),IF(F792-'депозитный калькулятор'!$D$7&lt;365,SUM($H$23:H792),SUM(OFFSET(H792,-364,0):H792))),0))),IF(AND('депозитный калькулятор'!$G$10="в конце срока",'депозитный калькулятор'!$D$8=F792),SUM($H$23:H792),0))))))))))))))))))</f>
        <v xml:space="preserve"> </v>
      </c>
      <c r="J792" s="59" t="str">
        <f>IF(F792&gt;'депозитный калькулятор'!$D$8," ",IF('депозитный калькулятор'!$G$16="нет",0,IF(AND('депозитный калькулятор'!$G$17="разовая (в конце срока)",F792='депозитный калькулятор'!$D$8),'депозитный калькулятор'!$G$18,IF(AND('депозитный калькулятор'!$G$17="ежемесячная",EOMONTH(F791,0)=F791),'депозитный калькулятор'!$G$18,IF(AND('депозитный калькулятор'!$G$17="ежегодная",DAY(F791)=31,MONTH(F791)=12),'депозитный калькулятор'!$G$18,IF(AND('депозитный калькулятор'!$G$17="ежемесячная в зависимости от остатка",EOMONTH(F791,0)=F791,P791&gt;0),'депозитный калькулятор'!$G$18,IF(AND('депозитный калькулятор'!$G$17="ежегодная в зависимости от остатка",DAY(F791)=31,MONTH(F791)=12,P791&gt;0),'депозитный калькулятор'!$G$18,0)))))))</f>
        <v xml:space="preserve"> </v>
      </c>
      <c r="K792" s="135" t="str">
        <f>IF($F792=" "," ",IFERROR(VLOOKUP($F792,'депозитный калькулятор'!$B$26:$F$70,2,0),0))</f>
        <v xml:space="preserve"> </v>
      </c>
      <c r="L792" s="135" t="str">
        <f>IF($F792=" "," ",IFERROR(VLOOKUP($F792,'депозитный калькулятор'!$B$26:$F$70,3,0),0))</f>
        <v xml:space="preserve"> </v>
      </c>
      <c r="M792" s="135" t="str">
        <f>IF($F792=" "," ",IFERROR(VLOOKUP($F792,'депозитный калькулятор'!$B$26:$F$70,4,0),0))</f>
        <v xml:space="preserve"> </v>
      </c>
      <c r="N792" s="135" t="str">
        <f>IF($F792=" "," ",IFERROR(VLOOKUP($F792,'депозитный калькулятор'!$B$26:$F$70,5,0),0))</f>
        <v xml:space="preserve"> </v>
      </c>
      <c r="O792" s="146" t="str">
        <f>IF(F792&gt;'депозитный калькулятор'!$D$8," ",IF(F792='депозитный калькулятор'!$D$8,IF(AND($F$24='депозитный калькулятор'!$D$8,'депозитный калькулятор'!$G$13="нет"),-G792-IF(I792=" ",0,I792)-IF(AND(OR('депозитный калькулятор'!$G$7="30/365",'депозитный калькулятор'!$G$7="30/360"),'депозитный калькулятор'!$G$10="в начале срока"),I791,0)-L792+M792-N792,-G792-IF(I792=" ",0,I792)-L792+M792-N792),IF('депозитный калькулятор'!$G$13="есть",M792-N792+IF('депозитный калькулятор'!$G$14="есть",0,-L792),-IF(I792=" ",0,I792)-IF(AND(OR('депозитный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срока"),I791,0)+M792-N792+IF('депозитный калькулятор'!$G$14="есть",0,-L792))))</f>
        <v xml:space="preserve"> </v>
      </c>
      <c r="P792" s="147" t="str">
        <f>IF(F792&gt;'депозитный калькулятор'!$D$8," ",IF(EOMONTH(F791,0)=F791,0,IF(G792&gt;='депозитный калькулятор'!$G$19,P791,P791+1)))</f>
        <v xml:space="preserve"> </v>
      </c>
      <c r="Q792" s="138" t="str">
        <f>IF(F792=" "," ",IF(AND(OR('депозитный калькулятор'!$G$7="30/365",'депозитный калькулятор'!$G$7="30/360"),AND(MONTH(F792)=2,EOMONTH(F792,0)=F792)),IF(DAY(F792)=28,3,2),1)*IF(G792&gt;='депозитный калькулятор'!$G$11,IF(AND('депозитный калькулятор'!$G$7="факт/факт",MOD(YEAR(F792),4)=0),G792*'депозитный калькулятор'!$D$11/366,G792*'депозитный калькулятор'!$G$8),0))</f>
        <v xml:space="preserve"> </v>
      </c>
      <c r="R792" s="158"/>
      <c r="S792" s="62" t="str">
        <f t="shared" ref="S792:S855" ca="1" si="62">IF(S791&lt;COUNTIFS($B$23:$B$1023,"&gt;0"),S791+1," ")</f>
        <v xml:space="preserve"> </v>
      </c>
      <c r="T792" s="149" t="str">
        <f ca="1">IF(S792=" "," ",IF('депозитный калькулятор'!$G$7="30/360",DAYS360(U791,IF(DAY(U792)=31,U792-1,U792))+IF(AND(MONTH(U792)=2,U792=EOMONTH(U792,0)),30-DAY(EOMONTH(U792,0)))+T791,VLOOKUP(S792,$C$22:$F$1023,2,0)))</f>
        <v xml:space="preserve"> </v>
      </c>
      <c r="U792" s="64" t="str">
        <f t="shared" ca="1" si="60"/>
        <v xml:space="preserve"> </v>
      </c>
      <c r="V792" s="150" t="str">
        <f t="shared" ref="V792:V855" ca="1" si="63">VLOOKUP(U792,$F$24:$O$1023,10)</f>
        <v xml:space="preserve"> </v>
      </c>
      <c r="W792" s="62" t="str">
        <f t="shared" ref="W792:W855" ca="1" si="64">IF(S792=" "," ",VLOOKUP(U792,$F$24:$N$1023,8))</f>
        <v xml:space="preserve"> </v>
      </c>
      <c r="X792" s="141" t="str">
        <f ca="1">IF(S792=" "," ",IFERROR(VLOOKUP(U792,$F$23:$N$1023,7)+VLOOKUP(U792,$F$23:$N$1023,9)+IF(AND('депозитный калькулятор'!$G$13="нет",U792&lt;&gt;'депозитный калькулятор'!$D$8),VLOOKUP(U792,$F$23:$N$1023,4),0),0)+IF(U792='депозитный калькулятор'!$D$8,VLOOKUP(U792,$F$23:$N$1023,2)+VLOOKUP(U792,$F$23:$N$1023,4),0))</f>
        <v xml:space="preserve"> </v>
      </c>
      <c r="Y792" s="142" t="str">
        <f ca="1">IF(S792=" "," ",W792/(1+'депозитный калькулятор'!$K$8)^(T792/IF('депозитный калькулятор'!$G$7="30/360",360,365)))</f>
        <v xml:space="preserve"> </v>
      </c>
      <c r="Z792" s="142" t="str">
        <f ca="1">IF(S792=" "," ",X792/(1+'депозитный калькулятор'!$K$8)^(T792/IF('депозитный калькулятор'!$G$7="30/360",360,365)))</f>
        <v xml:space="preserve"> </v>
      </c>
      <c r="AA792" s="151"/>
      <c r="AB792" s="151"/>
      <c r="AC792" s="155"/>
      <c r="AD792" s="155"/>
    </row>
    <row r="793" spans="1:30" s="2" customFormat="1" ht="15.5" x14ac:dyDescent="0.35">
      <c r="A793" s="41" t="str">
        <f>IF(F793=" "," ",IF(OR('депозитный калькулятор'!$G$7="30/365",'депозитный калькулятор'!$G$7="30/360"),IF(AND(MONTH(F793)=2,DAY(F793)=DAY(EOMONTH(F793,0))),30-DAY(EOMONTH(F793,0)),IF(DAY(F793)=31,1," "))," "))</f>
        <v xml:space="preserve"> </v>
      </c>
      <c r="B793" s="130" t="str">
        <f t="shared" si="61"/>
        <v xml:space="preserve"> </v>
      </c>
      <c r="C793" s="130" t="str">
        <f>IF(OR(B793=0,B793=" ")," ",SUM($B$23:B793))</f>
        <v xml:space="preserve"> </v>
      </c>
      <c r="D793" s="62" t="str">
        <f>IF(D792=" "," ",IF(OR(F792='депозитный калькулятор'!$D$8,F792=" ")," ",D792+1))</f>
        <v xml:space="preserve"> </v>
      </c>
      <c r="E793" s="130" t="str">
        <f>IF(OR(F792='депозитный калькулятор'!$D$8,F792=" ")," ",IF(EOMONTH(F792,0)=F792,1,E792+1))</f>
        <v xml:space="preserve"> </v>
      </c>
      <c r="F793" s="64" t="str">
        <f>IF(F792=" "," ",IF(F792='депозитный калькулятор'!$D$8," ",F792+1))</f>
        <v xml:space="preserve"> </v>
      </c>
      <c r="G793" s="145" t="str">
        <f xml:space="preserve"> IF(F793&gt;'депозитный калькулятор'!$D$8," ",IF('депозитный калькулятор'!$G$13="есть",IF('депозитный калькулятор'!$G$14="есть",G792+IF(I792=" ",0,I792)-J793-K793+L793+M793-N793,G792+IF(I792=" ",0,I792)-J793-K793+M793-N793),IF('депозитный калькулятор'!$G$14="есть",G792-J793-K793+L793+M793-N793,G792-J793-K793+M793-N793)))</f>
        <v xml:space="preserve"> </v>
      </c>
      <c r="H793" s="133" t="str">
        <f>IF(F793&gt;'депозитный калькулятор'!$D$8," ",IF(AND(OR('депозитный калькулятор'!$G$7="30/365",'депозитный калькулятор'!$G$7="30/360"),AND(MONTH(F793)=2,EOMONTH(F793,0)=F793)),IF(DAY(F793)=28,3*G793*'депозитный калькулятор'!$G$8,2*G793*'депозитный калькулятор'!$G$8),IF(AND(OR('депозитный калькулятор'!$G$7="30/365",'депозитный калькулятор'!$G$7="30/360"),DAY(F793)=31)," ",IF(AND('депозитный калькулятор'!$G$7="факт/факт",MOD(YEAR(F793),4)=0),G793*'депозитный калькулятор'!$D$11/366,G793*'депозитный калькулятор'!$G$8))))</f>
        <v xml:space="preserve"> </v>
      </c>
      <c r="I793" s="134" t="str">
        <f ca="1">IF(F793=" "," ",IF('депозитный калькулятор'!$G$10="ежедневное",H793,IF(AND('депозитный калькулятор'!$G$10="еженедельное",WEEKDAY(F793,2)=7),SUM(OFFSET(H793,-6,0):H793),IF(AND('депозитный калькулятор'!$G$10="еженедельное",F793='депозитный калькулятор'!$D$8),SUM($H$23:H793)-SUM($I$23:I792),IF(AND('депозитный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недели",WEEKDAY(F793,2)=7),MIN(OFFSET(H793,-6,0):H793)*(COUNTIF(OFFSET(H793,-6,0):H793,"&gt;0")+SUMIF(OFFSET(A793,-WEEKDAY(F793,2),0):A793,"=2",OFFSET(A793,-WEEKDAY(F793,2),0):A793)),IF(AND('депозитный калькулятор'!$G$10="еженедельное, на минимальную сумму зафиксированную в течение недели",F793='депозитный калькулятор'!$D$8,WEEKDAY(F793,2)&lt;&gt;7),MIN(OFFSET(H793,-WEEKDAY(F793,2),0):H793)*(COUNTIF(OFFSET(H793,-WEEKDAY(F793,2)+1,0):H793,"&gt;0")+SUM(OFFSET(A793,-WEEKDAY(F793,2),0):A793)),IF(AND('депозитный калькулятор'!$G$10="ежемесячное (в конце месяца)",F793='депозитный калькулятор'!$D$8,EOMONTH(F793,0)&lt;&gt;F793),IF('депозитный калькулятор'!$F$1=1,$H$24,SUM($H$23:H793)-SUM($I$23:I792)),IF(AND('депозитный калькулятор'!$G$10="ежемесячное (в конце месяца)",EOMONTH(F793,0)=F793),SUM($H$23:H793)-SUM($I$23:I792),IF(AND('депозитный калькулятор'!$G$10="ежемесячное (по дням открытия вклада)",F793='депозитный калькулятор'!$D$8,DAY('депозитный калькулятор'!$D$7)&lt;&gt;DAY(F793)),IF('депозитный калькулятор'!$F$1=1,$H$24,SUM($H$23:H793)-SUM($I$23:I792)),IF(AND('депозитный калькулятор'!$G$10="ежемесячное (по дням открытия вклада)",DAY('депозитный калькулятор'!$D$7)=DAY(F793)),SUM($H$23:H793)-SUM($I$23:I792),IF(AND('депозитный калькулятор'!$G$10="ежемесячное, на минимальную сумму зафиксированную в течение месяца",F793='депозитный калькулятор'!$D$8,EOMONTH(F793,0)&lt;&gt;F793),IF('депозитный калькулятор'!$F$1=1,$H$24,IF(AND(OR('депозитный калькулятор'!$G$7="30/365",'депозитный калькулятор'!$G$7="30/360"),DAY(F793)=31),0,MIN(OFFSET(H793,-E793+1,0):H793)*(E793+SUMIF(OFFSET(A793,-E793+1,0):A793,"=2",OFFSET(A793,-E793+1,0):A793)))),IF(AND('депозитный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калькулятор'!$G$7="30/360"),DAY(EOMONTH(F793,0))=31),EOMONTH(F793,0)-1=F793,EOMONTH(F793,0)=F793)),IF(IF(AND(OR('депозитный калькулятор'!$G$7="30/365",'депозитный калькулятор'!$G$7="30/360"),DAY(EOMONTH($F$23,0))=31),F793=EOMONTH($F$23,0)-1,F793=EOMONTH($F$23,0)),MIN(OFFSET(H793,-(DAY(F793)-DAY($F$23)),0):H793)*E793,MIN(OFFSET(H793,-(DAY(F793)-1),0):H793)*IF(AND(OR('депозитный калькулятор'!$G$7="30/365",'депозитный калькулятор'!$G$7="30/360"),DAY(F793)&lt;30),30,DAY(F793))),IF(AND('депозитный калькулятор'!$G$10="ежемесячное, на средний остаток в течение месяца, при условии что остаток больше чем ограничение",F793='депозитный калькулятор'!$D$8,EOMONTH(F793,0)&lt;&gt;F793),IF('депозитный калькулятор'!$F$1=1,$H$24,SUM(OFFSET(Q793,-E793+1,0):Q793)),IF(AND('депозитный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калькулятор'!$G$7="30/360"),DAY(EOMONTH(F793,0))=31),EOMONTH(F793,0)-1=F793,EOMONTH(F793,0)=F793)),IF(IF(AND(OR('депозитный калькулятор'!$G$7="30/365",'депозитный калькулятор'!$G$7="30/360"),DAY(EOMONTH($F$24,0))=31),F793=EOMONTH($F$24,0)-1,F793=EOMONTH($F$24,0)),SUM(OFFSET(Q793,-E793+1,0):Q793),SUM(OFFSET(Q793,-E793+1,0):Q793)),IF('депозитный калькулятор'!$G$10="ежеквартальное",IF(F793&gt;'депозитный калькулятор'!$D$8," ",IF(AND(EOMONTH(F793,0)=F793,OR(MONTH(F793)=3,MONTH(F793)=6,MONTH(F793)=9,MONTH(F793)=12)),IF(EDATE(F793,-3)&lt;'депозитный калькулятор'!$D$7,SUM($H$23:H793),IF(MOD(YEAR(F793),4)=0,IF(AND(EOMONTH(F793,0)=F793,OR(MONTH(F793)=3,MONTH(F793)=6)),SUM(OFFSET(H793,-90,0):H793),IF(AND(EOMONTH(F793,0)=F793,OR(MONTH(F793)=9,MONTH(F793)=12)),SUM(OFFSET(H793,-91,0):H793))),IF(AND(EOMONTH(F793,0)=F793,MONTH(F793)=3),SUM(OFFSET(H793,-89,0):H793),IF(AND(EOMONTH(F793,0)=F793,MONTH(F793)=6),SUM(OFFSET(H793,-90,0):H793),IF(AND(EOMONTH(F793,0)=F793,OR(MONTH(F793)=9,MONTH(F793)=12)),SUM(OFFSET(H793,-91,0):H793)))))),IF(F793='депозитный калькулятор'!$D$8,SUM($H$23:H793)-SUM($I$23:I792),0))),IF('депозитный калькулятор'!$G$10="ежегодное",IF(F793&gt;'депозитный калькулятор'!$D$8," ",IF(F793='депозитный калькулятор'!$D$8,SUM($H$23:H793)-SUM($I$23:I792),IF(AND(EOMONTH(F793,0)=F793,MONTH(F793)=12),IF(MOD(YEAR(F792),4)=0,IF(F793-'депозитный калькулятор'!$D$7&lt;366,SUM($H$23:H793),SUM(OFFSET(H793,-365,0):H793)),IF(F793-'депозитный калькулятор'!$D$7&lt;365,SUM($H$23:H793),SUM(OFFSET(H793,-364,0):H793))),0))),IF(AND('депозитный калькулятор'!$G$10="в конце срока",'депозитный калькулятор'!$D$8=F793),SUM($H$23:H793),0))))))))))))))))))</f>
        <v xml:space="preserve"> </v>
      </c>
      <c r="J793" s="59" t="str">
        <f>IF(F793&gt;'депозитный калькулятор'!$D$8," ",IF('депозитный калькулятор'!$G$16="нет",0,IF(AND('депозитный калькулятор'!$G$17="разовая (в конце срока)",F793='депозитный калькулятор'!$D$8),'депозитный калькулятор'!$G$18,IF(AND('депозитный калькулятор'!$G$17="ежемесячная",EOMONTH(F792,0)=F792),'депозитный калькулятор'!$G$18,IF(AND('депозитный калькулятор'!$G$17="ежегодная",DAY(F792)=31,MONTH(F792)=12),'депозитный калькулятор'!$G$18,IF(AND('депозитный калькулятор'!$G$17="ежемесячная в зависимости от остатка",EOMONTH(F792,0)=F792,P792&gt;0),'депозитный калькулятор'!$G$18,IF(AND('депозитный калькулятор'!$G$17="ежегодная в зависимости от остатка",DAY(F792)=31,MONTH(F792)=12,P792&gt;0),'депозитный калькулятор'!$G$18,0)))))))</f>
        <v xml:space="preserve"> </v>
      </c>
      <c r="K793" s="135" t="str">
        <f>IF($F793=" "," ",IFERROR(VLOOKUP($F793,'депозитный калькулятор'!$B$26:$F$70,2,0),0))</f>
        <v xml:space="preserve"> </v>
      </c>
      <c r="L793" s="135" t="str">
        <f>IF($F793=" "," ",IFERROR(VLOOKUP($F793,'депозитный калькулятор'!$B$26:$F$70,3,0),0))</f>
        <v xml:space="preserve"> </v>
      </c>
      <c r="M793" s="135" t="str">
        <f>IF($F793=" "," ",IFERROR(VLOOKUP($F793,'депозитный калькулятор'!$B$26:$F$70,4,0),0))</f>
        <v xml:space="preserve"> </v>
      </c>
      <c r="N793" s="135" t="str">
        <f>IF($F793=" "," ",IFERROR(VLOOKUP($F793,'депозитный калькулятор'!$B$26:$F$70,5,0),0))</f>
        <v xml:space="preserve"> </v>
      </c>
      <c r="O793" s="146" t="str">
        <f>IF(F793&gt;'депозитный калькулятор'!$D$8," ",IF(F793='депозитный калькулятор'!$D$8,IF(AND($F$24='депозитный калькулятор'!$D$8,'депозитный калькулятор'!$G$13="нет"),-G793-IF(I793=" ",0,I793)-IF(AND(OR('депозитный калькулятор'!$G$7="30/365",'депозитный калькулятор'!$G$7="30/360"),'депозитный калькулятор'!$G$10="в начале срока"),I792,0)-L793+M793-N793,-G793-IF(I793=" ",0,I793)-L793+M793-N793),IF('депозитный калькулятор'!$G$13="есть",M793-N793+IF('депозитный калькулятор'!$G$14="есть",0,-L793),-IF(I793=" ",0,I793)-IF(AND(OR('депозитный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срока"),I792,0)+M793-N793+IF('депозитный калькулятор'!$G$14="есть",0,-L793))))</f>
        <v xml:space="preserve"> </v>
      </c>
      <c r="P793" s="147" t="str">
        <f>IF(F793&gt;'депозитный калькулятор'!$D$8," ",IF(EOMONTH(F792,0)=F792,0,IF(G793&gt;='депозитный калькулятор'!$G$19,P792,P792+1)))</f>
        <v xml:space="preserve"> </v>
      </c>
      <c r="Q793" s="138" t="str">
        <f>IF(F793=" "," ",IF(AND(OR('депозитный калькулятор'!$G$7="30/365",'депозитный калькулятор'!$G$7="30/360"),AND(MONTH(F793)=2,EOMONTH(F793,0)=F793)),IF(DAY(F793)=28,3,2),1)*IF(G793&gt;='депозитный калькулятор'!$G$11,IF(AND('депозитный калькулятор'!$G$7="факт/факт",MOD(YEAR(F793),4)=0),G793*'депозитный калькулятор'!$D$11/366,G793*'депозитный калькулятор'!$G$8),0))</f>
        <v xml:space="preserve"> </v>
      </c>
      <c r="R793" s="158"/>
      <c r="S793" s="62" t="str">
        <f t="shared" ca="1" si="62"/>
        <v xml:space="preserve"> </v>
      </c>
      <c r="T793" s="149" t="str">
        <f ca="1">IF(S793=" "," ",IF('депозитный калькулятор'!$G$7="30/360",DAYS360(U792,IF(DAY(U793)=31,U793-1,U793))+IF(AND(MONTH(U793)=2,U793=EOMONTH(U793,0)),30-DAY(EOMONTH(U793,0)))+T792,VLOOKUP(S793,$C$22:$F$1023,2,0)))</f>
        <v xml:space="preserve"> </v>
      </c>
      <c r="U793" s="64" t="str">
        <f t="shared" ca="1" si="60"/>
        <v xml:space="preserve"> </v>
      </c>
      <c r="V793" s="150" t="str">
        <f t="shared" ca="1" si="63"/>
        <v xml:space="preserve"> </v>
      </c>
      <c r="W793" s="62" t="str">
        <f t="shared" ca="1" si="64"/>
        <v xml:space="preserve"> </v>
      </c>
      <c r="X793" s="141" t="str">
        <f ca="1">IF(S793=" "," ",IFERROR(VLOOKUP(U793,$F$23:$N$1023,7)+VLOOKUP(U793,$F$23:$N$1023,9)+IF(AND('депозитный калькулятор'!$G$13="нет",U793&lt;&gt;'депозитный калькулятор'!$D$8),VLOOKUP(U793,$F$23:$N$1023,4),0),0)+IF(U793='депозитный калькулятор'!$D$8,VLOOKUP(U793,$F$23:$N$1023,2)+VLOOKUP(U793,$F$23:$N$1023,4),0))</f>
        <v xml:space="preserve"> </v>
      </c>
      <c r="Y793" s="142" t="str">
        <f ca="1">IF(S793=" "," ",W793/(1+'депозитный калькулятор'!$K$8)^(T793/IF('депозитный калькулятор'!$G$7="30/360",360,365)))</f>
        <v xml:space="preserve"> </v>
      </c>
      <c r="Z793" s="142" t="str">
        <f ca="1">IF(S793=" "," ",X793/(1+'депозитный калькулятор'!$K$8)^(T793/IF('депозитный калькулятор'!$G$7="30/360",360,365)))</f>
        <v xml:space="preserve"> </v>
      </c>
      <c r="AA793" s="151"/>
      <c r="AB793" s="151"/>
      <c r="AC793" s="155"/>
      <c r="AD793" s="155"/>
    </row>
    <row r="794" spans="1:30" s="2" customFormat="1" ht="15.5" x14ac:dyDescent="0.35">
      <c r="A794" s="41" t="str">
        <f>IF(F794=" "," ",IF(OR('депозитный калькулятор'!$G$7="30/365",'депозитный калькулятор'!$G$7="30/360"),IF(AND(MONTH(F794)=2,DAY(F794)=DAY(EOMONTH(F794,0))),30-DAY(EOMONTH(F794,0)),IF(DAY(F794)=31,1," "))," "))</f>
        <v xml:space="preserve"> </v>
      </c>
      <c r="B794" s="130" t="str">
        <f t="shared" si="61"/>
        <v xml:space="preserve"> </v>
      </c>
      <c r="C794" s="130" t="str">
        <f>IF(OR(B794=0,B794=" ")," ",SUM($B$23:B794))</f>
        <v xml:space="preserve"> </v>
      </c>
      <c r="D794" s="62" t="str">
        <f>IF(D793=" "," ",IF(OR(F793='депозитный калькулятор'!$D$8,F793=" ")," ",D793+1))</f>
        <v xml:space="preserve"> </v>
      </c>
      <c r="E794" s="130" t="str">
        <f>IF(OR(F793='депозитный калькулятор'!$D$8,F793=" ")," ",IF(EOMONTH(F793,0)=F793,1,E793+1))</f>
        <v xml:space="preserve"> </v>
      </c>
      <c r="F794" s="64" t="str">
        <f>IF(F793=" "," ",IF(F793='депозитный калькулятор'!$D$8," ",F793+1))</f>
        <v xml:space="preserve"> </v>
      </c>
      <c r="G794" s="145" t="str">
        <f xml:space="preserve"> IF(F794&gt;'депозитный калькулятор'!$D$8," ",IF('депозитный калькулятор'!$G$13="есть",IF('депозитный калькулятор'!$G$14="есть",G793+IF(I793=" ",0,I793)-J794-K794+L794+M794-N794,G793+IF(I793=" ",0,I793)-J794-K794+M794-N794),IF('депозитный калькулятор'!$G$14="есть",G793-J794-K794+L794+M794-N794,G793-J794-K794+M794-N794)))</f>
        <v xml:space="preserve"> </v>
      </c>
      <c r="H794" s="133" t="str">
        <f>IF(F794&gt;'депозитный калькулятор'!$D$8," ",IF(AND(OR('депозитный калькулятор'!$G$7="30/365",'депозитный калькулятор'!$G$7="30/360"),AND(MONTH(F794)=2,EOMONTH(F794,0)=F794)),IF(DAY(F794)=28,3*G794*'депозитный калькулятор'!$G$8,2*G794*'депозитный калькулятор'!$G$8),IF(AND(OR('депозитный калькулятор'!$G$7="30/365",'депозитный калькулятор'!$G$7="30/360"),DAY(F794)=31)," ",IF(AND('депозитный калькулятор'!$G$7="факт/факт",MOD(YEAR(F794),4)=0),G794*'депозитный калькулятор'!$D$11/366,G794*'депозитный калькулятор'!$G$8))))</f>
        <v xml:space="preserve"> </v>
      </c>
      <c r="I794" s="134" t="str">
        <f ca="1">IF(F794=" "," ",IF('депозитный калькулятор'!$G$10="ежедневное",H794,IF(AND('депозитный калькулятор'!$G$10="еженедельное",WEEKDAY(F794,2)=7),SUM(OFFSET(H794,-6,0):H794),IF(AND('депозитный калькулятор'!$G$10="еженедельное",F794='депозитный калькулятор'!$D$8),SUM($H$23:H794)-SUM($I$23:I793),IF(AND('депозитный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недели",WEEKDAY(F794,2)=7),MIN(OFFSET(H794,-6,0):H794)*(COUNTIF(OFFSET(H794,-6,0):H794,"&gt;0")+SUMIF(OFFSET(A794,-WEEKDAY(F794,2),0):A794,"=2",OFFSET(A794,-WEEKDAY(F794,2),0):A794)),IF(AND('депозитный калькулятор'!$G$10="еженедельное, на минимальную сумму зафиксированную в течение недели",F794='депозитный калькулятор'!$D$8,WEEKDAY(F794,2)&lt;&gt;7),MIN(OFFSET(H794,-WEEKDAY(F794,2),0):H794)*(COUNTIF(OFFSET(H794,-WEEKDAY(F794,2)+1,0):H794,"&gt;0")+SUM(OFFSET(A794,-WEEKDAY(F794,2),0):A794)),IF(AND('депозитный калькулятор'!$G$10="ежемесячное (в конце месяца)",F794='депозитный калькулятор'!$D$8,EOMONTH(F794,0)&lt;&gt;F794),IF('депозитный калькулятор'!$F$1=1,$H$24,SUM($H$23:H794)-SUM($I$23:I793)),IF(AND('депозитный калькулятор'!$G$10="ежемесячное (в конце месяца)",EOMONTH(F794,0)=F794),SUM($H$23:H794)-SUM($I$23:I793),IF(AND('депозитный калькулятор'!$G$10="ежемесячное (по дням открытия вклада)",F794='депозитный калькулятор'!$D$8,DAY('депозитный калькулятор'!$D$7)&lt;&gt;DAY(F794)),IF('депозитный калькулятор'!$F$1=1,$H$24,SUM($H$23:H794)-SUM($I$23:I793)),IF(AND('депозитный калькулятор'!$G$10="ежемесячное (по дням открытия вклада)",DAY('депозитный калькулятор'!$D$7)=DAY(F794)),SUM($H$23:H794)-SUM($I$23:I793),IF(AND('депозитный калькулятор'!$G$10="ежемесячное, на минимальную сумму зафиксированную в течение месяца",F794='депозитный калькулятор'!$D$8,EOMONTH(F794,0)&lt;&gt;F794),IF('депозитный калькулятор'!$F$1=1,$H$24,IF(AND(OR('депозитный калькулятор'!$G$7="30/365",'депозитный калькулятор'!$G$7="30/360"),DAY(F794)=31),0,MIN(OFFSET(H794,-E794+1,0):H794)*(E794+SUMIF(OFFSET(A794,-E794+1,0):A794,"=2",OFFSET(A794,-E794+1,0):A794)))),IF(AND('депозитный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калькулятор'!$G$7="30/360"),DAY(EOMONTH(F794,0))=31),EOMONTH(F794,0)-1=F794,EOMONTH(F794,0)=F794)),IF(IF(AND(OR('депозитный калькулятор'!$G$7="30/365",'депозитный калькулятор'!$G$7="30/360"),DAY(EOMONTH($F$23,0))=31),F794=EOMONTH($F$23,0)-1,F794=EOMONTH($F$23,0)),MIN(OFFSET(H794,-(DAY(F794)-DAY($F$23)),0):H794)*E794,MIN(OFFSET(H794,-(DAY(F794)-1),0):H794)*IF(AND(OR('депозитный калькулятор'!$G$7="30/365",'депозитный калькулятор'!$G$7="30/360"),DAY(F794)&lt;30),30,DAY(F794))),IF(AND('депозитный калькулятор'!$G$10="ежемесячное, на средний остаток в течение месяца, при условии что остаток больше чем ограничение",F794='депозитный калькулятор'!$D$8,EOMONTH(F794,0)&lt;&gt;F794),IF('депозитный калькулятор'!$F$1=1,$H$24,SUM(OFFSET(Q794,-E794+1,0):Q794)),IF(AND('депозитный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калькулятор'!$G$7="30/360"),DAY(EOMONTH(F794,0))=31),EOMONTH(F794,0)-1=F794,EOMONTH(F794,0)=F794)),IF(IF(AND(OR('депозитный калькулятор'!$G$7="30/365",'депозитный калькулятор'!$G$7="30/360"),DAY(EOMONTH($F$24,0))=31),F794=EOMONTH($F$24,0)-1,F794=EOMONTH($F$24,0)),SUM(OFFSET(Q794,-E794+1,0):Q794),SUM(OFFSET(Q794,-E794+1,0):Q794)),IF('депозитный калькулятор'!$G$10="ежеквартальное",IF(F794&gt;'депозитный калькулятор'!$D$8," ",IF(AND(EOMONTH(F794,0)=F794,OR(MONTH(F794)=3,MONTH(F794)=6,MONTH(F794)=9,MONTH(F794)=12)),IF(EDATE(F794,-3)&lt;'депозитный калькулятор'!$D$7,SUM($H$23:H794),IF(MOD(YEAR(F794),4)=0,IF(AND(EOMONTH(F794,0)=F794,OR(MONTH(F794)=3,MONTH(F794)=6)),SUM(OFFSET(H794,-90,0):H794),IF(AND(EOMONTH(F794,0)=F794,OR(MONTH(F794)=9,MONTH(F794)=12)),SUM(OFFSET(H794,-91,0):H794))),IF(AND(EOMONTH(F794,0)=F794,MONTH(F794)=3),SUM(OFFSET(H794,-89,0):H794),IF(AND(EOMONTH(F794,0)=F794,MONTH(F794)=6),SUM(OFFSET(H794,-90,0):H794),IF(AND(EOMONTH(F794,0)=F794,OR(MONTH(F794)=9,MONTH(F794)=12)),SUM(OFFSET(H794,-91,0):H794)))))),IF(F794='депозитный калькулятор'!$D$8,SUM($H$23:H794)-SUM($I$23:I793),0))),IF('депозитный калькулятор'!$G$10="ежегодное",IF(F794&gt;'депозитный калькулятор'!$D$8," ",IF(F794='депозитный калькулятор'!$D$8,SUM($H$23:H794)-SUM($I$23:I793),IF(AND(EOMONTH(F794,0)=F794,MONTH(F794)=12),IF(MOD(YEAR(F793),4)=0,IF(F794-'депозитный калькулятор'!$D$7&lt;366,SUM($H$23:H794),SUM(OFFSET(H794,-365,0):H794)),IF(F794-'депозитный калькулятор'!$D$7&lt;365,SUM($H$23:H794),SUM(OFFSET(H794,-364,0):H794))),0))),IF(AND('депозитный калькулятор'!$G$10="в конце срока",'депозитный калькулятор'!$D$8=F794),SUM($H$23:H794),0))))))))))))))))))</f>
        <v xml:space="preserve"> </v>
      </c>
      <c r="J794" s="59" t="str">
        <f>IF(F794&gt;'депозитный калькулятор'!$D$8," ",IF('депозитный калькулятор'!$G$16="нет",0,IF(AND('депозитный калькулятор'!$G$17="разовая (в конце срока)",F794='депозитный калькулятор'!$D$8),'депозитный калькулятор'!$G$18,IF(AND('депозитный калькулятор'!$G$17="ежемесячная",EOMONTH(F793,0)=F793),'депозитный калькулятор'!$G$18,IF(AND('депозитный калькулятор'!$G$17="ежегодная",DAY(F793)=31,MONTH(F793)=12),'депозитный калькулятор'!$G$18,IF(AND('депозитный калькулятор'!$G$17="ежемесячная в зависимости от остатка",EOMONTH(F793,0)=F793,P793&gt;0),'депозитный калькулятор'!$G$18,IF(AND('депозитный калькулятор'!$G$17="ежегодная в зависимости от остатка",DAY(F793)=31,MONTH(F793)=12,P793&gt;0),'депозитный калькулятор'!$G$18,0)))))))</f>
        <v xml:space="preserve"> </v>
      </c>
      <c r="K794" s="135" t="str">
        <f>IF($F794=" "," ",IFERROR(VLOOKUP($F794,'депозитный калькулятор'!$B$26:$F$70,2,0),0))</f>
        <v xml:space="preserve"> </v>
      </c>
      <c r="L794" s="135" t="str">
        <f>IF($F794=" "," ",IFERROR(VLOOKUP($F794,'депозитный калькулятор'!$B$26:$F$70,3,0),0))</f>
        <v xml:space="preserve"> </v>
      </c>
      <c r="M794" s="135" t="str">
        <f>IF($F794=" "," ",IFERROR(VLOOKUP($F794,'депозитный калькулятор'!$B$26:$F$70,4,0),0))</f>
        <v xml:space="preserve"> </v>
      </c>
      <c r="N794" s="135" t="str">
        <f>IF($F794=" "," ",IFERROR(VLOOKUP($F794,'депозитный калькулятор'!$B$26:$F$70,5,0),0))</f>
        <v xml:space="preserve"> </v>
      </c>
      <c r="O794" s="146" t="str">
        <f>IF(F794&gt;'депозитный калькулятор'!$D$8," ",IF(F794='депозитный калькулятор'!$D$8,IF(AND($F$24='депозитный калькулятор'!$D$8,'депозитный калькулятор'!$G$13="нет"),-G794-IF(I794=" ",0,I794)-IF(AND(OR('депозитный калькулятор'!$G$7="30/365",'депозитный калькулятор'!$G$7="30/360"),'депозитный калькулятор'!$G$10="в начале срока"),I793,0)-L794+M794-N794,-G794-IF(I794=" ",0,I794)-L794+M794-N794),IF('депозитный калькулятор'!$G$13="есть",M794-N794+IF('депозитный калькулятор'!$G$14="есть",0,-L794),-IF(I794=" ",0,I794)-IF(AND(OR('депозитный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срока"),I793,0)+M794-N794+IF('депозитный калькулятор'!$G$14="есть",0,-L794))))</f>
        <v xml:space="preserve"> </v>
      </c>
      <c r="P794" s="147" t="str">
        <f>IF(F794&gt;'депозитный калькулятор'!$D$8," ",IF(EOMONTH(F793,0)=F793,0,IF(G794&gt;='депозитный калькулятор'!$G$19,P793,P793+1)))</f>
        <v xml:space="preserve"> </v>
      </c>
      <c r="Q794" s="138" t="str">
        <f>IF(F794=" "," ",IF(AND(OR('депозитный калькулятор'!$G$7="30/365",'депозитный калькулятор'!$G$7="30/360"),AND(MONTH(F794)=2,EOMONTH(F794,0)=F794)),IF(DAY(F794)=28,3,2),1)*IF(G794&gt;='депозитный калькулятор'!$G$11,IF(AND('депозитный калькулятор'!$G$7="факт/факт",MOD(YEAR(F794),4)=0),G794*'депозитный калькулятор'!$D$11/366,G794*'депозитный калькулятор'!$G$8),0))</f>
        <v xml:space="preserve"> </v>
      </c>
      <c r="R794" s="158"/>
      <c r="S794" s="62" t="str">
        <f t="shared" ca="1" si="62"/>
        <v xml:space="preserve"> </v>
      </c>
      <c r="T794" s="149" t="str">
        <f ca="1">IF(S794=" "," ",IF('депозитный калькулятор'!$G$7="30/360",DAYS360(U793,IF(DAY(U794)=31,U794-1,U794))+IF(AND(MONTH(U794)=2,U794=EOMONTH(U794,0)),30-DAY(EOMONTH(U794,0)))+T793,VLOOKUP(S794,$C$22:$F$1023,2,0)))</f>
        <v xml:space="preserve"> </v>
      </c>
      <c r="U794" s="64" t="str">
        <f t="shared" ca="1" si="60"/>
        <v xml:space="preserve"> </v>
      </c>
      <c r="V794" s="150" t="str">
        <f t="shared" ca="1" si="63"/>
        <v xml:space="preserve"> </v>
      </c>
      <c r="W794" s="62" t="str">
        <f t="shared" ca="1" si="64"/>
        <v xml:space="preserve"> </v>
      </c>
      <c r="X794" s="141" t="str">
        <f ca="1">IF(S794=" "," ",IFERROR(VLOOKUP(U794,$F$23:$N$1023,7)+VLOOKUP(U794,$F$23:$N$1023,9)+IF(AND('депозитный калькулятор'!$G$13="нет",U794&lt;&gt;'депозитный калькулятор'!$D$8),VLOOKUP(U794,$F$23:$N$1023,4),0),0)+IF(U794='депозитный калькулятор'!$D$8,VLOOKUP(U794,$F$23:$N$1023,2)+VLOOKUP(U794,$F$23:$N$1023,4),0))</f>
        <v xml:space="preserve"> </v>
      </c>
      <c r="Y794" s="142" t="str">
        <f ca="1">IF(S794=" "," ",W794/(1+'депозитный калькулятор'!$K$8)^(T794/IF('депозитный калькулятор'!$G$7="30/360",360,365)))</f>
        <v xml:space="preserve"> </v>
      </c>
      <c r="Z794" s="142" t="str">
        <f ca="1">IF(S794=" "," ",X794/(1+'депозитный калькулятор'!$K$8)^(T794/IF('депозитный калькулятор'!$G$7="30/360",360,365)))</f>
        <v xml:space="preserve"> </v>
      </c>
      <c r="AA794" s="151"/>
      <c r="AB794" s="151"/>
      <c r="AC794" s="155"/>
      <c r="AD794" s="155"/>
    </row>
    <row r="795" spans="1:30" s="2" customFormat="1" ht="15.5" x14ac:dyDescent="0.35">
      <c r="A795" s="41" t="str">
        <f>IF(F795=" "," ",IF(OR('депозитный калькулятор'!$G$7="30/365",'депозитный калькулятор'!$G$7="30/360"),IF(AND(MONTH(F795)=2,DAY(F795)=DAY(EOMONTH(F795,0))),30-DAY(EOMONTH(F795,0)),IF(DAY(F795)=31,1," "))," "))</f>
        <v xml:space="preserve"> </v>
      </c>
      <c r="B795" s="130" t="str">
        <f t="shared" si="61"/>
        <v xml:space="preserve"> </v>
      </c>
      <c r="C795" s="130" t="str">
        <f>IF(OR(B795=0,B795=" ")," ",SUM($B$23:B795))</f>
        <v xml:space="preserve"> </v>
      </c>
      <c r="D795" s="62" t="str">
        <f>IF(D794=" "," ",IF(OR(F794='депозитный калькулятор'!$D$8,F794=" ")," ",D794+1))</f>
        <v xml:space="preserve"> </v>
      </c>
      <c r="E795" s="130" t="str">
        <f>IF(OR(F794='депозитный калькулятор'!$D$8,F794=" ")," ",IF(EOMONTH(F794,0)=F794,1,E794+1))</f>
        <v xml:space="preserve"> </v>
      </c>
      <c r="F795" s="64" t="str">
        <f>IF(F794=" "," ",IF(F794='депозитный калькулятор'!$D$8," ",F794+1))</f>
        <v xml:space="preserve"> </v>
      </c>
      <c r="G795" s="145" t="str">
        <f xml:space="preserve"> IF(F795&gt;'депозитный калькулятор'!$D$8," ",IF('депозитный калькулятор'!$G$13="есть",IF('депозитный калькулятор'!$G$14="есть",G794+IF(I794=" ",0,I794)-J795-K795+L795+M795-N795,G794+IF(I794=" ",0,I794)-J795-K795+M795-N795),IF('депозитный калькулятор'!$G$14="есть",G794-J795-K795+L795+M795-N795,G794-J795-K795+M795-N795)))</f>
        <v xml:space="preserve"> </v>
      </c>
      <c r="H795" s="133" t="str">
        <f>IF(F795&gt;'депозитный калькулятор'!$D$8," ",IF(AND(OR('депозитный калькулятор'!$G$7="30/365",'депозитный калькулятор'!$G$7="30/360"),AND(MONTH(F795)=2,EOMONTH(F795,0)=F795)),IF(DAY(F795)=28,3*G795*'депозитный калькулятор'!$G$8,2*G795*'депозитный калькулятор'!$G$8),IF(AND(OR('депозитный калькулятор'!$G$7="30/365",'депозитный калькулятор'!$G$7="30/360"),DAY(F795)=31)," ",IF(AND('депозитный калькулятор'!$G$7="факт/факт",MOD(YEAR(F795),4)=0),G795*'депозитный калькулятор'!$D$11/366,G795*'депозитный калькулятор'!$G$8))))</f>
        <v xml:space="preserve"> </v>
      </c>
      <c r="I795" s="134" t="str">
        <f ca="1">IF(F795=" "," ",IF('депозитный калькулятор'!$G$10="ежедневное",H795,IF(AND('депозитный калькулятор'!$G$10="еженедельное",WEEKDAY(F795,2)=7),SUM(OFFSET(H795,-6,0):H795),IF(AND('депозитный калькулятор'!$G$10="еженедельное",F795='депозитный калькулятор'!$D$8),SUM($H$23:H795)-SUM($I$23:I794),IF(AND('депозитный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недели",WEEKDAY(F795,2)=7),MIN(OFFSET(H795,-6,0):H795)*(COUNTIF(OFFSET(H795,-6,0):H795,"&gt;0")+SUMIF(OFFSET(A795,-WEEKDAY(F795,2),0):A795,"=2",OFFSET(A795,-WEEKDAY(F795,2),0):A795)),IF(AND('депозитный калькулятор'!$G$10="еженедельное, на минимальную сумму зафиксированную в течение недели",F795='депозитный калькулятор'!$D$8,WEEKDAY(F795,2)&lt;&gt;7),MIN(OFFSET(H795,-WEEKDAY(F795,2),0):H795)*(COUNTIF(OFFSET(H795,-WEEKDAY(F795,2)+1,0):H795,"&gt;0")+SUM(OFFSET(A795,-WEEKDAY(F795,2),0):A795)),IF(AND('депозитный калькулятор'!$G$10="ежемесячное (в конце месяца)",F795='депозитный калькулятор'!$D$8,EOMONTH(F795,0)&lt;&gt;F795),IF('депозитный калькулятор'!$F$1=1,$H$24,SUM($H$23:H795)-SUM($I$23:I794)),IF(AND('депозитный калькулятор'!$G$10="ежемесячное (в конце месяца)",EOMONTH(F795,0)=F795),SUM($H$23:H795)-SUM($I$23:I794),IF(AND('депозитный калькулятор'!$G$10="ежемесячное (по дням открытия вклада)",F795='депозитный калькулятор'!$D$8,DAY('депозитный калькулятор'!$D$7)&lt;&gt;DAY(F795)),IF('депозитный калькулятор'!$F$1=1,$H$24,SUM($H$23:H795)-SUM($I$23:I794)),IF(AND('депозитный калькулятор'!$G$10="ежемесячное (по дням открытия вклада)",DAY('депозитный калькулятор'!$D$7)=DAY(F795)),SUM($H$23:H795)-SUM($I$23:I794),IF(AND('депозитный калькулятор'!$G$10="ежемесячное, на минимальную сумму зафиксированную в течение месяца",F795='депозитный калькулятор'!$D$8,EOMONTH(F795,0)&lt;&gt;F795),IF('депозитный калькулятор'!$F$1=1,$H$24,IF(AND(OR('депозитный калькулятор'!$G$7="30/365",'депозитный калькулятор'!$G$7="30/360"),DAY(F795)=31),0,MIN(OFFSET(H795,-E795+1,0):H795)*(E795+SUMIF(OFFSET(A795,-E795+1,0):A795,"=2",OFFSET(A795,-E795+1,0):A795)))),IF(AND('депозитный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калькулятор'!$G$7="30/360"),DAY(EOMONTH(F795,0))=31),EOMONTH(F795,0)-1=F795,EOMONTH(F795,0)=F795)),IF(IF(AND(OR('депозитный калькулятор'!$G$7="30/365",'депозитный калькулятор'!$G$7="30/360"),DAY(EOMONTH($F$23,0))=31),F795=EOMONTH($F$23,0)-1,F795=EOMONTH($F$23,0)),MIN(OFFSET(H795,-(DAY(F795)-DAY($F$23)),0):H795)*E795,MIN(OFFSET(H795,-(DAY(F795)-1),0):H795)*IF(AND(OR('депозитный калькулятор'!$G$7="30/365",'депозитный калькулятор'!$G$7="30/360"),DAY(F795)&lt;30),30,DAY(F795))),IF(AND('депозитный калькулятор'!$G$10="ежемесячное, на средний остаток в течение месяца, при условии что остаток больше чем ограничение",F795='депозитный калькулятор'!$D$8,EOMONTH(F795,0)&lt;&gt;F795),IF('депозитный калькулятор'!$F$1=1,$H$24,SUM(OFFSET(Q795,-E795+1,0):Q795)),IF(AND('депозитный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калькулятор'!$G$7="30/360"),DAY(EOMONTH(F795,0))=31),EOMONTH(F795,0)-1=F795,EOMONTH(F795,0)=F795)),IF(IF(AND(OR('депозитный калькулятор'!$G$7="30/365",'депозитный калькулятор'!$G$7="30/360"),DAY(EOMONTH($F$24,0))=31),F795=EOMONTH($F$24,0)-1,F795=EOMONTH($F$24,0)),SUM(OFFSET(Q795,-E795+1,0):Q795),SUM(OFFSET(Q795,-E795+1,0):Q795)),IF('депозитный калькулятор'!$G$10="ежеквартальное",IF(F795&gt;'депозитный калькулятор'!$D$8," ",IF(AND(EOMONTH(F795,0)=F795,OR(MONTH(F795)=3,MONTH(F795)=6,MONTH(F795)=9,MONTH(F795)=12)),IF(EDATE(F795,-3)&lt;'депозитный калькулятор'!$D$7,SUM($H$23:H795),IF(MOD(YEAR(F795),4)=0,IF(AND(EOMONTH(F795,0)=F795,OR(MONTH(F795)=3,MONTH(F795)=6)),SUM(OFFSET(H795,-90,0):H795),IF(AND(EOMONTH(F795,0)=F795,OR(MONTH(F795)=9,MONTH(F795)=12)),SUM(OFFSET(H795,-91,0):H795))),IF(AND(EOMONTH(F795,0)=F795,MONTH(F795)=3),SUM(OFFSET(H795,-89,0):H795),IF(AND(EOMONTH(F795,0)=F795,MONTH(F795)=6),SUM(OFFSET(H795,-90,0):H795),IF(AND(EOMONTH(F795,0)=F795,OR(MONTH(F795)=9,MONTH(F795)=12)),SUM(OFFSET(H795,-91,0):H795)))))),IF(F795='депозитный калькулятор'!$D$8,SUM($H$23:H795)-SUM($I$23:I794),0))),IF('депозитный калькулятор'!$G$10="ежегодное",IF(F795&gt;'депозитный калькулятор'!$D$8," ",IF(F795='депозитный калькулятор'!$D$8,SUM($H$23:H795)-SUM($I$23:I794),IF(AND(EOMONTH(F795,0)=F795,MONTH(F795)=12),IF(MOD(YEAR(F794),4)=0,IF(F795-'депозитный калькулятор'!$D$7&lt;366,SUM($H$23:H795),SUM(OFFSET(H795,-365,0):H795)),IF(F795-'депозитный калькулятор'!$D$7&lt;365,SUM($H$23:H795),SUM(OFFSET(H795,-364,0):H795))),0))),IF(AND('депозитный калькулятор'!$G$10="в конце срока",'депозитный калькулятор'!$D$8=F795),SUM($H$23:H795),0))))))))))))))))))</f>
        <v xml:space="preserve"> </v>
      </c>
      <c r="J795" s="59" t="str">
        <f>IF(F795&gt;'депозитный калькулятор'!$D$8," ",IF('депозитный калькулятор'!$G$16="нет",0,IF(AND('депозитный калькулятор'!$G$17="разовая (в конце срока)",F795='депозитный калькулятор'!$D$8),'депозитный калькулятор'!$G$18,IF(AND('депозитный калькулятор'!$G$17="ежемесячная",EOMONTH(F794,0)=F794),'депозитный калькулятор'!$G$18,IF(AND('депозитный калькулятор'!$G$17="ежегодная",DAY(F794)=31,MONTH(F794)=12),'депозитный калькулятор'!$G$18,IF(AND('депозитный калькулятор'!$G$17="ежемесячная в зависимости от остатка",EOMONTH(F794,0)=F794,P794&gt;0),'депозитный калькулятор'!$G$18,IF(AND('депозитный калькулятор'!$G$17="ежегодная в зависимости от остатка",DAY(F794)=31,MONTH(F794)=12,P794&gt;0),'депозитный калькулятор'!$G$18,0)))))))</f>
        <v xml:space="preserve"> </v>
      </c>
      <c r="K795" s="135" t="str">
        <f>IF($F795=" "," ",IFERROR(VLOOKUP($F795,'депозитный калькулятор'!$B$26:$F$70,2,0),0))</f>
        <v xml:space="preserve"> </v>
      </c>
      <c r="L795" s="135" t="str">
        <f>IF($F795=" "," ",IFERROR(VLOOKUP($F795,'депозитный калькулятор'!$B$26:$F$70,3,0),0))</f>
        <v xml:space="preserve"> </v>
      </c>
      <c r="M795" s="135" t="str">
        <f>IF($F795=" "," ",IFERROR(VLOOKUP($F795,'депозитный калькулятор'!$B$26:$F$70,4,0),0))</f>
        <v xml:space="preserve"> </v>
      </c>
      <c r="N795" s="135" t="str">
        <f>IF($F795=" "," ",IFERROR(VLOOKUP($F795,'депозитный калькулятор'!$B$26:$F$70,5,0),0))</f>
        <v xml:space="preserve"> </v>
      </c>
      <c r="O795" s="146" t="str">
        <f>IF(F795&gt;'депозитный калькулятор'!$D$8," ",IF(F795='депозитный калькулятор'!$D$8,IF(AND($F$24='депозитный калькулятор'!$D$8,'депозитный калькулятор'!$G$13="нет"),-G795-IF(I795=" ",0,I795)-IF(AND(OR('депозитный калькулятор'!$G$7="30/365",'депозитный калькулятор'!$G$7="30/360"),'депозитный калькулятор'!$G$10="в начале срока"),I794,0)-L795+M795-N795,-G795-IF(I795=" ",0,I795)-L795+M795-N795),IF('депозитный калькулятор'!$G$13="есть",M795-N795+IF('депозитный калькулятор'!$G$14="есть",0,-L795),-IF(I795=" ",0,I795)-IF(AND(OR('депозитный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срока"),I794,0)+M795-N795+IF('депозитный калькулятор'!$G$14="есть",0,-L795))))</f>
        <v xml:space="preserve"> </v>
      </c>
      <c r="P795" s="147" t="str">
        <f>IF(F795&gt;'депозитный калькулятор'!$D$8," ",IF(EOMONTH(F794,0)=F794,0,IF(G795&gt;='депозитный калькулятор'!$G$19,P794,P794+1)))</f>
        <v xml:space="preserve"> </v>
      </c>
      <c r="Q795" s="138" t="str">
        <f>IF(F795=" "," ",IF(AND(OR('депозитный калькулятор'!$G$7="30/365",'депозитный калькулятор'!$G$7="30/360"),AND(MONTH(F795)=2,EOMONTH(F795,0)=F795)),IF(DAY(F795)=28,3,2),1)*IF(G795&gt;='депозитный калькулятор'!$G$11,IF(AND('депозитный калькулятор'!$G$7="факт/факт",MOD(YEAR(F795),4)=0),G795*'депозитный калькулятор'!$D$11/366,G795*'депозитный калькулятор'!$G$8),0))</f>
        <v xml:space="preserve"> </v>
      </c>
      <c r="R795" s="158"/>
      <c r="S795" s="62" t="str">
        <f t="shared" ca="1" si="62"/>
        <v xml:space="preserve"> </v>
      </c>
      <c r="T795" s="149" t="str">
        <f ca="1">IF(S795=" "," ",IF('депозитный калькулятор'!$G$7="30/360",DAYS360(U794,IF(DAY(U795)=31,U795-1,U795))+IF(AND(MONTH(U795)=2,U795=EOMONTH(U795,0)),30-DAY(EOMONTH(U795,0)))+T794,VLOOKUP(S795,$C$22:$F$1023,2,0)))</f>
        <v xml:space="preserve"> </v>
      </c>
      <c r="U795" s="64" t="str">
        <f t="shared" ca="1" si="60"/>
        <v xml:space="preserve"> </v>
      </c>
      <c r="V795" s="150" t="str">
        <f t="shared" ca="1" si="63"/>
        <v xml:space="preserve"> </v>
      </c>
      <c r="W795" s="62" t="str">
        <f t="shared" ca="1" si="64"/>
        <v xml:space="preserve"> </v>
      </c>
      <c r="X795" s="141" t="str">
        <f ca="1">IF(S795=" "," ",IFERROR(VLOOKUP(U795,$F$23:$N$1023,7)+VLOOKUP(U795,$F$23:$N$1023,9)+IF(AND('депозитный калькулятор'!$G$13="нет",U795&lt;&gt;'депозитный калькулятор'!$D$8),VLOOKUP(U795,$F$23:$N$1023,4),0),0)+IF(U795='депозитный калькулятор'!$D$8,VLOOKUP(U795,$F$23:$N$1023,2)+VLOOKUP(U795,$F$23:$N$1023,4),0))</f>
        <v xml:space="preserve"> </v>
      </c>
      <c r="Y795" s="142" t="str">
        <f ca="1">IF(S795=" "," ",W795/(1+'депозитный калькулятор'!$K$8)^(T795/IF('депозитный калькулятор'!$G$7="30/360",360,365)))</f>
        <v xml:space="preserve"> </v>
      </c>
      <c r="Z795" s="142" t="str">
        <f ca="1">IF(S795=" "," ",X795/(1+'депозитный калькулятор'!$K$8)^(T795/IF('депозитный калькулятор'!$G$7="30/360",360,365)))</f>
        <v xml:space="preserve"> </v>
      </c>
      <c r="AA795" s="151"/>
      <c r="AB795" s="151"/>
      <c r="AC795" s="155"/>
      <c r="AD795" s="155"/>
    </row>
    <row r="796" spans="1:30" s="2" customFormat="1" ht="15.5" x14ac:dyDescent="0.35">
      <c r="A796" s="41" t="str">
        <f>IF(F796=" "," ",IF(OR('депозитный калькулятор'!$G$7="30/365",'депозитный калькулятор'!$G$7="30/360"),IF(AND(MONTH(F796)=2,DAY(F796)=DAY(EOMONTH(F796,0))),30-DAY(EOMONTH(F796,0)),IF(DAY(F796)=31,1," "))," "))</f>
        <v xml:space="preserve"> </v>
      </c>
      <c r="B796" s="130" t="str">
        <f t="shared" si="61"/>
        <v xml:space="preserve"> </v>
      </c>
      <c r="C796" s="130" t="str">
        <f>IF(OR(B796=0,B796=" ")," ",SUM($B$23:B796))</f>
        <v xml:space="preserve"> </v>
      </c>
      <c r="D796" s="62" t="str">
        <f>IF(D795=" "," ",IF(OR(F795='депозитный калькулятор'!$D$8,F795=" ")," ",D795+1))</f>
        <v xml:space="preserve"> </v>
      </c>
      <c r="E796" s="130" t="str">
        <f>IF(OR(F795='депозитный калькулятор'!$D$8,F795=" ")," ",IF(EOMONTH(F795,0)=F795,1,E795+1))</f>
        <v xml:space="preserve"> </v>
      </c>
      <c r="F796" s="64" t="str">
        <f>IF(F795=" "," ",IF(F795='депозитный калькулятор'!$D$8," ",F795+1))</f>
        <v xml:space="preserve"> </v>
      </c>
      <c r="G796" s="145" t="str">
        <f xml:space="preserve"> IF(F796&gt;'депозитный калькулятор'!$D$8," ",IF('депозитный калькулятор'!$G$13="есть",IF('депозитный калькулятор'!$G$14="есть",G795+IF(I795=" ",0,I795)-J796-K796+L796+M796-N796,G795+IF(I795=" ",0,I795)-J796-K796+M796-N796),IF('депозитный калькулятор'!$G$14="есть",G795-J796-K796+L796+M796-N796,G795-J796-K796+M796-N796)))</f>
        <v xml:space="preserve"> </v>
      </c>
      <c r="H796" s="133" t="str">
        <f>IF(F796&gt;'депозитный калькулятор'!$D$8," ",IF(AND(OR('депозитный калькулятор'!$G$7="30/365",'депозитный калькулятор'!$G$7="30/360"),AND(MONTH(F796)=2,EOMONTH(F796,0)=F796)),IF(DAY(F796)=28,3*G796*'депозитный калькулятор'!$G$8,2*G796*'депозитный калькулятор'!$G$8),IF(AND(OR('депозитный калькулятор'!$G$7="30/365",'депозитный калькулятор'!$G$7="30/360"),DAY(F796)=31)," ",IF(AND('депозитный калькулятор'!$G$7="факт/факт",MOD(YEAR(F796),4)=0),G796*'депозитный калькулятор'!$D$11/366,G796*'депозитный калькулятор'!$G$8))))</f>
        <v xml:space="preserve"> </v>
      </c>
      <c r="I796" s="134" t="str">
        <f ca="1">IF(F796=" "," ",IF('депозитный калькулятор'!$G$10="ежедневное",H796,IF(AND('депозитный калькулятор'!$G$10="еженедельное",WEEKDAY(F796,2)=7),SUM(OFFSET(H796,-6,0):H796),IF(AND('депозитный калькулятор'!$G$10="еженедельное",F796='депозитный калькулятор'!$D$8),SUM($H$23:H796)-SUM($I$23:I795),IF(AND('депозитный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недели",WEEKDAY(F796,2)=7),MIN(OFFSET(H796,-6,0):H796)*(COUNTIF(OFFSET(H796,-6,0):H796,"&gt;0")+SUMIF(OFFSET(A796,-WEEKDAY(F796,2),0):A796,"=2",OFFSET(A796,-WEEKDAY(F796,2),0):A796)),IF(AND('депозитный калькулятор'!$G$10="еженедельное, на минимальную сумму зафиксированную в течение недели",F796='депозитный калькулятор'!$D$8,WEEKDAY(F796,2)&lt;&gt;7),MIN(OFFSET(H796,-WEEKDAY(F796,2),0):H796)*(COUNTIF(OFFSET(H796,-WEEKDAY(F796,2)+1,0):H796,"&gt;0")+SUM(OFFSET(A796,-WEEKDAY(F796,2),0):A796)),IF(AND('депозитный калькулятор'!$G$10="ежемесячное (в конце месяца)",F796='депозитный калькулятор'!$D$8,EOMONTH(F796,0)&lt;&gt;F796),IF('депозитный калькулятор'!$F$1=1,$H$24,SUM($H$23:H796)-SUM($I$23:I795)),IF(AND('депозитный калькулятор'!$G$10="ежемесячное (в конце месяца)",EOMONTH(F796,0)=F796),SUM($H$23:H796)-SUM($I$23:I795),IF(AND('депозитный калькулятор'!$G$10="ежемесячное (по дням открытия вклада)",F796='депозитный калькулятор'!$D$8,DAY('депозитный калькулятор'!$D$7)&lt;&gt;DAY(F796)),IF('депозитный калькулятор'!$F$1=1,$H$24,SUM($H$23:H796)-SUM($I$23:I795)),IF(AND('депозитный калькулятор'!$G$10="ежемесячное (по дням открытия вклада)",DAY('депозитный калькулятор'!$D$7)=DAY(F796)),SUM($H$23:H796)-SUM($I$23:I795),IF(AND('депозитный калькулятор'!$G$10="ежемесячное, на минимальную сумму зафиксированную в течение месяца",F796='депозитный калькулятор'!$D$8,EOMONTH(F796,0)&lt;&gt;F796),IF('депозитный калькулятор'!$F$1=1,$H$24,IF(AND(OR('депозитный калькулятор'!$G$7="30/365",'депозитный калькулятор'!$G$7="30/360"),DAY(F796)=31),0,MIN(OFFSET(H796,-E796+1,0):H796)*(E796+SUMIF(OFFSET(A796,-E796+1,0):A796,"=2",OFFSET(A796,-E796+1,0):A796)))),IF(AND('депозитный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калькулятор'!$G$7="30/360"),DAY(EOMONTH(F796,0))=31),EOMONTH(F796,0)-1=F796,EOMONTH(F796,0)=F796)),IF(IF(AND(OR('депозитный калькулятор'!$G$7="30/365",'депозитный калькулятор'!$G$7="30/360"),DAY(EOMONTH($F$23,0))=31),F796=EOMONTH($F$23,0)-1,F796=EOMONTH($F$23,0)),MIN(OFFSET(H796,-(DAY(F796)-DAY($F$23)),0):H796)*E796,MIN(OFFSET(H796,-(DAY(F796)-1),0):H796)*IF(AND(OR('депозитный калькулятор'!$G$7="30/365",'депозитный калькулятор'!$G$7="30/360"),DAY(F796)&lt;30),30,DAY(F796))),IF(AND('депозитный калькулятор'!$G$10="ежемесячное, на средний остаток в течение месяца, при условии что остаток больше чем ограничение",F796='депозитный калькулятор'!$D$8,EOMONTH(F796,0)&lt;&gt;F796),IF('депозитный калькулятор'!$F$1=1,$H$24,SUM(OFFSET(Q796,-E796+1,0):Q796)),IF(AND('депозитный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калькулятор'!$G$7="30/360"),DAY(EOMONTH(F796,0))=31),EOMONTH(F796,0)-1=F796,EOMONTH(F796,0)=F796)),IF(IF(AND(OR('депозитный калькулятор'!$G$7="30/365",'депозитный калькулятор'!$G$7="30/360"),DAY(EOMONTH($F$24,0))=31),F796=EOMONTH($F$24,0)-1,F796=EOMONTH($F$24,0)),SUM(OFFSET(Q796,-E796+1,0):Q796),SUM(OFFSET(Q796,-E796+1,0):Q796)),IF('депозитный калькулятор'!$G$10="ежеквартальное",IF(F796&gt;'депозитный калькулятор'!$D$8," ",IF(AND(EOMONTH(F796,0)=F796,OR(MONTH(F796)=3,MONTH(F796)=6,MONTH(F796)=9,MONTH(F796)=12)),IF(EDATE(F796,-3)&lt;'депозитный калькулятор'!$D$7,SUM($H$23:H796),IF(MOD(YEAR(F796),4)=0,IF(AND(EOMONTH(F796,0)=F796,OR(MONTH(F796)=3,MONTH(F796)=6)),SUM(OFFSET(H796,-90,0):H796),IF(AND(EOMONTH(F796,0)=F796,OR(MONTH(F796)=9,MONTH(F796)=12)),SUM(OFFSET(H796,-91,0):H796))),IF(AND(EOMONTH(F796,0)=F796,MONTH(F796)=3),SUM(OFFSET(H796,-89,0):H796),IF(AND(EOMONTH(F796,0)=F796,MONTH(F796)=6),SUM(OFFSET(H796,-90,0):H796),IF(AND(EOMONTH(F796,0)=F796,OR(MONTH(F796)=9,MONTH(F796)=12)),SUM(OFFSET(H796,-91,0):H796)))))),IF(F796='депозитный калькулятор'!$D$8,SUM($H$23:H796)-SUM($I$23:I795),0))),IF('депозитный калькулятор'!$G$10="ежегодное",IF(F796&gt;'депозитный калькулятор'!$D$8," ",IF(F796='депозитный калькулятор'!$D$8,SUM($H$23:H796)-SUM($I$23:I795),IF(AND(EOMONTH(F796,0)=F796,MONTH(F796)=12),IF(MOD(YEAR(F795),4)=0,IF(F796-'депозитный калькулятор'!$D$7&lt;366,SUM($H$23:H796),SUM(OFFSET(H796,-365,0):H796)),IF(F796-'депозитный калькулятор'!$D$7&lt;365,SUM($H$23:H796),SUM(OFFSET(H796,-364,0):H796))),0))),IF(AND('депозитный калькулятор'!$G$10="в конце срока",'депозитный калькулятор'!$D$8=F796),SUM($H$23:H796),0))))))))))))))))))</f>
        <v xml:space="preserve"> </v>
      </c>
      <c r="J796" s="59" t="str">
        <f>IF(F796&gt;'депозитный калькулятор'!$D$8," ",IF('депозитный калькулятор'!$G$16="нет",0,IF(AND('депозитный калькулятор'!$G$17="разовая (в конце срока)",F796='депозитный калькулятор'!$D$8),'депозитный калькулятор'!$G$18,IF(AND('депозитный калькулятор'!$G$17="ежемесячная",EOMONTH(F795,0)=F795),'депозитный калькулятор'!$G$18,IF(AND('депозитный калькулятор'!$G$17="ежегодная",DAY(F795)=31,MONTH(F795)=12),'депозитный калькулятор'!$G$18,IF(AND('депозитный калькулятор'!$G$17="ежемесячная в зависимости от остатка",EOMONTH(F795,0)=F795,P795&gt;0),'депозитный калькулятор'!$G$18,IF(AND('депозитный калькулятор'!$G$17="ежегодная в зависимости от остатка",DAY(F795)=31,MONTH(F795)=12,P795&gt;0),'депозитный калькулятор'!$G$18,0)))))))</f>
        <v xml:space="preserve"> </v>
      </c>
      <c r="K796" s="135" t="str">
        <f>IF($F796=" "," ",IFERROR(VLOOKUP($F796,'депозитный калькулятор'!$B$26:$F$70,2,0),0))</f>
        <v xml:space="preserve"> </v>
      </c>
      <c r="L796" s="135" t="str">
        <f>IF($F796=" "," ",IFERROR(VLOOKUP($F796,'депозитный калькулятор'!$B$26:$F$70,3,0),0))</f>
        <v xml:space="preserve"> </v>
      </c>
      <c r="M796" s="135" t="str">
        <f>IF($F796=" "," ",IFERROR(VLOOKUP($F796,'депозитный калькулятор'!$B$26:$F$70,4,0),0))</f>
        <v xml:space="preserve"> </v>
      </c>
      <c r="N796" s="135" t="str">
        <f>IF($F796=" "," ",IFERROR(VLOOKUP($F796,'депозитный калькулятор'!$B$26:$F$70,5,0),0))</f>
        <v xml:space="preserve"> </v>
      </c>
      <c r="O796" s="146" t="str">
        <f>IF(F796&gt;'депозитный калькулятор'!$D$8," ",IF(F796='депозитный калькулятор'!$D$8,IF(AND($F$24='депозитный калькулятор'!$D$8,'депозитный калькулятор'!$G$13="нет"),-G796-IF(I796=" ",0,I796)-IF(AND(OR('депозитный калькулятор'!$G$7="30/365",'депозитный калькулятор'!$G$7="30/360"),'депозитный калькулятор'!$G$10="в начале срока"),I795,0)-L796+M796-N796,-G796-IF(I796=" ",0,I796)-L796+M796-N796),IF('депозитный калькулятор'!$G$13="есть",M796-N796+IF('депозитный калькулятор'!$G$14="есть",0,-L796),-IF(I796=" ",0,I796)-IF(AND(OR('депозитный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срока"),I795,0)+M796-N796+IF('депозитный калькулятор'!$G$14="есть",0,-L796))))</f>
        <v xml:space="preserve"> </v>
      </c>
      <c r="P796" s="147" t="str">
        <f>IF(F796&gt;'депозитный калькулятор'!$D$8," ",IF(EOMONTH(F795,0)=F795,0,IF(G796&gt;='депозитный калькулятор'!$G$19,P795,P795+1)))</f>
        <v xml:space="preserve"> </v>
      </c>
      <c r="Q796" s="138" t="str">
        <f>IF(F796=" "," ",IF(AND(OR('депозитный калькулятор'!$G$7="30/365",'депозитный калькулятор'!$G$7="30/360"),AND(MONTH(F796)=2,EOMONTH(F796,0)=F796)),IF(DAY(F796)=28,3,2),1)*IF(G796&gt;='депозитный калькулятор'!$G$11,IF(AND('депозитный калькулятор'!$G$7="факт/факт",MOD(YEAR(F796),4)=0),G796*'депозитный калькулятор'!$D$11/366,G796*'депозитный калькулятор'!$G$8),0))</f>
        <v xml:space="preserve"> </v>
      </c>
      <c r="R796" s="158"/>
      <c r="S796" s="62" t="str">
        <f t="shared" ca="1" si="62"/>
        <v xml:space="preserve"> </v>
      </c>
      <c r="T796" s="149" t="str">
        <f ca="1">IF(S796=" "," ",IF('депозитный калькулятор'!$G$7="30/360",DAYS360(U795,IF(DAY(U796)=31,U796-1,U796))+IF(AND(MONTH(U796)=2,U796=EOMONTH(U796,0)),30-DAY(EOMONTH(U796,0)))+T795,VLOOKUP(S796,$C$22:$F$1023,2,0)))</f>
        <v xml:space="preserve"> </v>
      </c>
      <c r="U796" s="64" t="str">
        <f t="shared" ca="1" si="60"/>
        <v xml:space="preserve"> </v>
      </c>
      <c r="V796" s="150" t="str">
        <f t="shared" ca="1" si="63"/>
        <v xml:space="preserve"> </v>
      </c>
      <c r="W796" s="62" t="str">
        <f t="shared" ca="1" si="64"/>
        <v xml:space="preserve"> </v>
      </c>
      <c r="X796" s="141" t="str">
        <f ca="1">IF(S796=" "," ",IFERROR(VLOOKUP(U796,$F$23:$N$1023,7)+VLOOKUP(U796,$F$23:$N$1023,9)+IF(AND('депозитный калькулятор'!$G$13="нет",U796&lt;&gt;'депозитный калькулятор'!$D$8),VLOOKUP(U796,$F$23:$N$1023,4),0),0)+IF(U796='депозитный калькулятор'!$D$8,VLOOKUP(U796,$F$23:$N$1023,2)+VLOOKUP(U796,$F$23:$N$1023,4),0))</f>
        <v xml:space="preserve"> </v>
      </c>
      <c r="Y796" s="142" t="str">
        <f ca="1">IF(S796=" "," ",W796/(1+'депозитный калькулятор'!$K$8)^(T796/IF('депозитный калькулятор'!$G$7="30/360",360,365)))</f>
        <v xml:space="preserve"> </v>
      </c>
      <c r="Z796" s="142" t="str">
        <f ca="1">IF(S796=" "," ",X796/(1+'депозитный калькулятор'!$K$8)^(T796/IF('депозитный калькулятор'!$G$7="30/360",360,365)))</f>
        <v xml:space="preserve"> </v>
      </c>
      <c r="AA796" s="151"/>
      <c r="AB796" s="151"/>
      <c r="AC796" s="155"/>
      <c r="AD796" s="155"/>
    </row>
    <row r="797" spans="1:30" s="2" customFormat="1" ht="15.5" x14ac:dyDescent="0.35">
      <c r="A797" s="41" t="str">
        <f>IF(F797=" "," ",IF(OR('депозитный калькулятор'!$G$7="30/365",'депозитный калькулятор'!$G$7="30/360"),IF(AND(MONTH(F797)=2,DAY(F797)=DAY(EOMONTH(F797,0))),30-DAY(EOMONTH(F797,0)),IF(DAY(F797)=31,1," "))," "))</f>
        <v xml:space="preserve"> </v>
      </c>
      <c r="B797" s="130" t="str">
        <f t="shared" si="61"/>
        <v xml:space="preserve"> </v>
      </c>
      <c r="C797" s="130" t="str">
        <f>IF(OR(B797=0,B797=" ")," ",SUM($B$23:B797))</f>
        <v xml:space="preserve"> </v>
      </c>
      <c r="D797" s="62" t="str">
        <f>IF(D796=" "," ",IF(OR(F796='депозитный калькулятор'!$D$8,F796=" ")," ",D796+1))</f>
        <v xml:space="preserve"> </v>
      </c>
      <c r="E797" s="130" t="str">
        <f>IF(OR(F796='депозитный калькулятор'!$D$8,F796=" ")," ",IF(EOMONTH(F796,0)=F796,1,E796+1))</f>
        <v xml:space="preserve"> </v>
      </c>
      <c r="F797" s="64" t="str">
        <f>IF(F796=" "," ",IF(F796='депозитный калькулятор'!$D$8," ",F796+1))</f>
        <v xml:space="preserve"> </v>
      </c>
      <c r="G797" s="145" t="str">
        <f xml:space="preserve"> IF(F797&gt;'депозитный калькулятор'!$D$8," ",IF('депозитный калькулятор'!$G$13="есть",IF('депозитный калькулятор'!$G$14="есть",G796+IF(I796=" ",0,I796)-J797-K797+L797+M797-N797,G796+IF(I796=" ",0,I796)-J797-K797+M797-N797),IF('депозитный калькулятор'!$G$14="есть",G796-J797-K797+L797+M797-N797,G796-J797-K797+M797-N797)))</f>
        <v xml:space="preserve"> </v>
      </c>
      <c r="H797" s="133" t="str">
        <f>IF(F797&gt;'депозитный калькулятор'!$D$8," ",IF(AND(OR('депозитный калькулятор'!$G$7="30/365",'депозитный калькулятор'!$G$7="30/360"),AND(MONTH(F797)=2,EOMONTH(F797,0)=F797)),IF(DAY(F797)=28,3*G797*'депозитный калькулятор'!$G$8,2*G797*'депозитный калькулятор'!$G$8),IF(AND(OR('депозитный калькулятор'!$G$7="30/365",'депозитный калькулятор'!$G$7="30/360"),DAY(F797)=31)," ",IF(AND('депозитный калькулятор'!$G$7="факт/факт",MOD(YEAR(F797),4)=0),G797*'депозитный калькулятор'!$D$11/366,G797*'депозитный калькулятор'!$G$8))))</f>
        <v xml:space="preserve"> </v>
      </c>
      <c r="I797" s="134" t="str">
        <f ca="1">IF(F797=" "," ",IF('депозитный калькулятор'!$G$10="ежедневное",H797,IF(AND('депозитный калькулятор'!$G$10="еженедельное",WEEKDAY(F797,2)=7),SUM(OFFSET(H797,-6,0):H797),IF(AND('депозитный калькулятор'!$G$10="еженедельное",F797='депозитный калькулятор'!$D$8),SUM($H$23:H797)-SUM($I$23:I796),IF(AND('депозитный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недели",WEEKDAY(F797,2)=7),MIN(OFFSET(H797,-6,0):H797)*(COUNTIF(OFFSET(H797,-6,0):H797,"&gt;0")+SUMIF(OFFSET(A797,-WEEKDAY(F797,2),0):A797,"=2",OFFSET(A797,-WEEKDAY(F797,2),0):A797)),IF(AND('депозитный калькулятор'!$G$10="еженедельное, на минимальную сумму зафиксированную в течение недели",F797='депозитный калькулятор'!$D$8,WEEKDAY(F797,2)&lt;&gt;7),MIN(OFFSET(H797,-WEEKDAY(F797,2),0):H797)*(COUNTIF(OFFSET(H797,-WEEKDAY(F797,2)+1,0):H797,"&gt;0")+SUM(OFFSET(A797,-WEEKDAY(F797,2),0):A797)),IF(AND('депозитный калькулятор'!$G$10="ежемесячное (в конце месяца)",F797='депозитный калькулятор'!$D$8,EOMONTH(F797,0)&lt;&gt;F797),IF('депозитный калькулятор'!$F$1=1,$H$24,SUM($H$23:H797)-SUM($I$23:I796)),IF(AND('депозитный калькулятор'!$G$10="ежемесячное (в конце месяца)",EOMONTH(F797,0)=F797),SUM($H$23:H797)-SUM($I$23:I796),IF(AND('депозитный калькулятор'!$G$10="ежемесячное (по дням открытия вклада)",F797='депозитный калькулятор'!$D$8,DAY('депозитный калькулятор'!$D$7)&lt;&gt;DAY(F797)),IF('депозитный калькулятор'!$F$1=1,$H$24,SUM($H$23:H797)-SUM($I$23:I796)),IF(AND('депозитный калькулятор'!$G$10="ежемесячное (по дням открытия вклада)",DAY('депозитный калькулятор'!$D$7)=DAY(F797)),SUM($H$23:H797)-SUM($I$23:I796),IF(AND('депозитный калькулятор'!$G$10="ежемесячное, на минимальную сумму зафиксированную в течение месяца",F797='депозитный калькулятор'!$D$8,EOMONTH(F797,0)&lt;&gt;F797),IF('депозитный калькулятор'!$F$1=1,$H$24,IF(AND(OR('депозитный калькулятор'!$G$7="30/365",'депозитный калькулятор'!$G$7="30/360"),DAY(F797)=31),0,MIN(OFFSET(H797,-E797+1,0):H797)*(E797+SUMIF(OFFSET(A797,-E797+1,0):A797,"=2",OFFSET(A797,-E797+1,0):A797)))),IF(AND('депозитный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калькулятор'!$G$7="30/360"),DAY(EOMONTH(F797,0))=31),EOMONTH(F797,0)-1=F797,EOMONTH(F797,0)=F797)),IF(IF(AND(OR('депозитный калькулятор'!$G$7="30/365",'депозитный калькулятор'!$G$7="30/360"),DAY(EOMONTH($F$23,0))=31),F797=EOMONTH($F$23,0)-1,F797=EOMONTH($F$23,0)),MIN(OFFSET(H797,-(DAY(F797)-DAY($F$23)),0):H797)*E797,MIN(OFFSET(H797,-(DAY(F797)-1),0):H797)*IF(AND(OR('депозитный калькулятор'!$G$7="30/365",'депозитный калькулятор'!$G$7="30/360"),DAY(F797)&lt;30),30,DAY(F797))),IF(AND('депозитный калькулятор'!$G$10="ежемесячное, на средний остаток в течение месяца, при условии что остаток больше чем ограничение",F797='депозитный калькулятор'!$D$8,EOMONTH(F797,0)&lt;&gt;F797),IF('депозитный калькулятор'!$F$1=1,$H$24,SUM(OFFSET(Q797,-E797+1,0):Q797)),IF(AND('депозитный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калькулятор'!$G$7="30/360"),DAY(EOMONTH(F797,0))=31),EOMONTH(F797,0)-1=F797,EOMONTH(F797,0)=F797)),IF(IF(AND(OR('депозитный калькулятор'!$G$7="30/365",'депозитный калькулятор'!$G$7="30/360"),DAY(EOMONTH($F$24,0))=31),F797=EOMONTH($F$24,0)-1,F797=EOMONTH($F$24,0)),SUM(OFFSET(Q797,-E797+1,0):Q797),SUM(OFFSET(Q797,-E797+1,0):Q797)),IF('депозитный калькулятор'!$G$10="ежеквартальное",IF(F797&gt;'депозитный калькулятор'!$D$8," ",IF(AND(EOMONTH(F797,0)=F797,OR(MONTH(F797)=3,MONTH(F797)=6,MONTH(F797)=9,MONTH(F797)=12)),IF(EDATE(F797,-3)&lt;'депозитный калькулятор'!$D$7,SUM($H$23:H797),IF(MOD(YEAR(F797),4)=0,IF(AND(EOMONTH(F797,0)=F797,OR(MONTH(F797)=3,MONTH(F797)=6)),SUM(OFFSET(H797,-90,0):H797),IF(AND(EOMONTH(F797,0)=F797,OR(MONTH(F797)=9,MONTH(F797)=12)),SUM(OFFSET(H797,-91,0):H797))),IF(AND(EOMONTH(F797,0)=F797,MONTH(F797)=3),SUM(OFFSET(H797,-89,0):H797),IF(AND(EOMONTH(F797,0)=F797,MONTH(F797)=6),SUM(OFFSET(H797,-90,0):H797),IF(AND(EOMONTH(F797,0)=F797,OR(MONTH(F797)=9,MONTH(F797)=12)),SUM(OFFSET(H797,-91,0):H797)))))),IF(F797='депозитный калькулятор'!$D$8,SUM($H$23:H797)-SUM($I$23:I796),0))),IF('депозитный калькулятор'!$G$10="ежегодное",IF(F797&gt;'депозитный калькулятор'!$D$8," ",IF(F797='депозитный калькулятор'!$D$8,SUM($H$23:H797)-SUM($I$23:I796),IF(AND(EOMONTH(F797,0)=F797,MONTH(F797)=12),IF(MOD(YEAR(F796),4)=0,IF(F797-'депозитный калькулятор'!$D$7&lt;366,SUM($H$23:H797),SUM(OFFSET(H797,-365,0):H797)),IF(F797-'депозитный калькулятор'!$D$7&lt;365,SUM($H$23:H797),SUM(OFFSET(H797,-364,0):H797))),0))),IF(AND('депозитный калькулятор'!$G$10="в конце срока",'депозитный калькулятор'!$D$8=F797),SUM($H$23:H797),0))))))))))))))))))</f>
        <v xml:space="preserve"> </v>
      </c>
      <c r="J797" s="59" t="str">
        <f>IF(F797&gt;'депозитный калькулятор'!$D$8," ",IF('депозитный калькулятор'!$G$16="нет",0,IF(AND('депозитный калькулятор'!$G$17="разовая (в конце срока)",F797='депозитный калькулятор'!$D$8),'депозитный калькулятор'!$G$18,IF(AND('депозитный калькулятор'!$G$17="ежемесячная",EOMONTH(F796,0)=F796),'депозитный калькулятор'!$G$18,IF(AND('депозитный калькулятор'!$G$17="ежегодная",DAY(F796)=31,MONTH(F796)=12),'депозитный калькулятор'!$G$18,IF(AND('депозитный калькулятор'!$G$17="ежемесячная в зависимости от остатка",EOMONTH(F796,0)=F796,P796&gt;0),'депозитный калькулятор'!$G$18,IF(AND('депозитный калькулятор'!$G$17="ежегодная в зависимости от остатка",DAY(F796)=31,MONTH(F796)=12,P796&gt;0),'депозитный калькулятор'!$G$18,0)))))))</f>
        <v xml:space="preserve"> </v>
      </c>
      <c r="K797" s="135" t="str">
        <f>IF($F797=" "," ",IFERROR(VLOOKUP($F797,'депозитный калькулятор'!$B$26:$F$70,2,0),0))</f>
        <v xml:space="preserve"> </v>
      </c>
      <c r="L797" s="135" t="str">
        <f>IF($F797=" "," ",IFERROR(VLOOKUP($F797,'депозитный калькулятор'!$B$26:$F$70,3,0),0))</f>
        <v xml:space="preserve"> </v>
      </c>
      <c r="M797" s="135" t="str">
        <f>IF($F797=" "," ",IFERROR(VLOOKUP($F797,'депозитный калькулятор'!$B$26:$F$70,4,0),0))</f>
        <v xml:space="preserve"> </v>
      </c>
      <c r="N797" s="135" t="str">
        <f>IF($F797=" "," ",IFERROR(VLOOKUP($F797,'депозитный калькулятор'!$B$26:$F$70,5,0),0))</f>
        <v xml:space="preserve"> </v>
      </c>
      <c r="O797" s="146" t="str">
        <f>IF(F797&gt;'депозитный калькулятор'!$D$8," ",IF(F797='депозитный калькулятор'!$D$8,IF(AND($F$24='депозитный калькулятор'!$D$8,'депозитный калькулятор'!$G$13="нет"),-G797-IF(I797=" ",0,I797)-IF(AND(OR('депозитный калькулятор'!$G$7="30/365",'депозитный калькулятор'!$G$7="30/360"),'депозитный калькулятор'!$G$10="в начале срока"),I796,0)-L797+M797-N797,-G797-IF(I797=" ",0,I797)-L797+M797-N797),IF('депозитный калькулятор'!$G$13="есть",M797-N797+IF('депозитный калькулятор'!$G$14="есть",0,-L797),-IF(I797=" ",0,I797)-IF(AND(OR('депозитный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срока"),I796,0)+M797-N797+IF('депозитный калькулятор'!$G$14="есть",0,-L797))))</f>
        <v xml:space="preserve"> </v>
      </c>
      <c r="P797" s="147" t="str">
        <f>IF(F797&gt;'депозитный калькулятор'!$D$8," ",IF(EOMONTH(F796,0)=F796,0,IF(G797&gt;='депозитный калькулятор'!$G$19,P796,P796+1)))</f>
        <v xml:space="preserve"> </v>
      </c>
      <c r="Q797" s="138" t="str">
        <f>IF(F797=" "," ",IF(AND(OR('депозитный калькулятор'!$G$7="30/365",'депозитный калькулятор'!$G$7="30/360"),AND(MONTH(F797)=2,EOMONTH(F797,0)=F797)),IF(DAY(F797)=28,3,2),1)*IF(G797&gt;='депозитный калькулятор'!$G$11,IF(AND('депозитный калькулятор'!$G$7="факт/факт",MOD(YEAR(F797),4)=0),G797*'депозитный калькулятор'!$D$11/366,G797*'депозитный калькулятор'!$G$8),0))</f>
        <v xml:space="preserve"> </v>
      </c>
      <c r="R797" s="158"/>
      <c r="S797" s="62" t="str">
        <f t="shared" ca="1" si="62"/>
        <v xml:space="preserve"> </v>
      </c>
      <c r="T797" s="149" t="str">
        <f ca="1">IF(S797=" "," ",IF('депозитный калькулятор'!$G$7="30/360",DAYS360(U796,IF(DAY(U797)=31,U797-1,U797))+IF(AND(MONTH(U797)=2,U797=EOMONTH(U797,0)),30-DAY(EOMONTH(U797,0)))+T796,VLOOKUP(S797,$C$22:$F$1023,2,0)))</f>
        <v xml:space="preserve"> </v>
      </c>
      <c r="U797" s="64" t="str">
        <f t="shared" ca="1" si="60"/>
        <v xml:space="preserve"> </v>
      </c>
      <c r="V797" s="150" t="str">
        <f t="shared" ca="1" si="63"/>
        <v xml:space="preserve"> </v>
      </c>
      <c r="W797" s="62" t="str">
        <f t="shared" ca="1" si="64"/>
        <v xml:space="preserve"> </v>
      </c>
      <c r="X797" s="141" t="str">
        <f ca="1">IF(S797=" "," ",IFERROR(VLOOKUP(U797,$F$23:$N$1023,7)+VLOOKUP(U797,$F$23:$N$1023,9)+IF(AND('депозитный калькулятор'!$G$13="нет",U797&lt;&gt;'депозитный калькулятор'!$D$8),VLOOKUP(U797,$F$23:$N$1023,4),0),0)+IF(U797='депозитный калькулятор'!$D$8,VLOOKUP(U797,$F$23:$N$1023,2)+VLOOKUP(U797,$F$23:$N$1023,4),0))</f>
        <v xml:space="preserve"> </v>
      </c>
      <c r="Y797" s="142" t="str">
        <f ca="1">IF(S797=" "," ",W797/(1+'депозитный калькулятор'!$K$8)^(T797/IF('депозитный калькулятор'!$G$7="30/360",360,365)))</f>
        <v xml:space="preserve"> </v>
      </c>
      <c r="Z797" s="142" t="str">
        <f ca="1">IF(S797=" "," ",X797/(1+'депозитный калькулятор'!$K$8)^(T797/IF('депозитный калькулятор'!$G$7="30/360",360,365)))</f>
        <v xml:space="preserve"> </v>
      </c>
      <c r="AA797" s="151"/>
      <c r="AB797" s="151"/>
      <c r="AC797" s="155"/>
      <c r="AD797" s="155"/>
    </row>
    <row r="798" spans="1:30" s="2" customFormat="1" ht="15.5" x14ac:dyDescent="0.35">
      <c r="A798" s="41" t="str">
        <f>IF(F798=" "," ",IF(OR('депозитный калькулятор'!$G$7="30/365",'депозитный калькулятор'!$G$7="30/360"),IF(AND(MONTH(F798)=2,DAY(F798)=DAY(EOMONTH(F798,0))),30-DAY(EOMONTH(F798,0)),IF(DAY(F798)=31,1," "))," "))</f>
        <v xml:space="preserve"> </v>
      </c>
      <c r="B798" s="130" t="str">
        <f t="shared" si="61"/>
        <v xml:space="preserve"> </v>
      </c>
      <c r="C798" s="130" t="str">
        <f>IF(OR(B798=0,B798=" ")," ",SUM($B$23:B798))</f>
        <v xml:space="preserve"> </v>
      </c>
      <c r="D798" s="62" t="str">
        <f>IF(D797=" "," ",IF(OR(F797='депозитный калькулятор'!$D$8,F797=" ")," ",D797+1))</f>
        <v xml:space="preserve"> </v>
      </c>
      <c r="E798" s="130" t="str">
        <f>IF(OR(F797='депозитный калькулятор'!$D$8,F797=" ")," ",IF(EOMONTH(F797,0)=F797,1,E797+1))</f>
        <v xml:space="preserve"> </v>
      </c>
      <c r="F798" s="64" t="str">
        <f>IF(F797=" "," ",IF(F797='депозитный калькулятор'!$D$8," ",F797+1))</f>
        <v xml:space="preserve"> </v>
      </c>
      <c r="G798" s="145" t="str">
        <f xml:space="preserve"> IF(F798&gt;'депозитный калькулятор'!$D$8," ",IF('депозитный калькулятор'!$G$13="есть",IF('депозитный калькулятор'!$G$14="есть",G797+IF(I797=" ",0,I797)-J798-K798+L798+M798-N798,G797+IF(I797=" ",0,I797)-J798-K798+M798-N798),IF('депозитный калькулятор'!$G$14="есть",G797-J798-K798+L798+M798-N798,G797-J798-K798+M798-N798)))</f>
        <v xml:space="preserve"> </v>
      </c>
      <c r="H798" s="133" t="str">
        <f>IF(F798&gt;'депозитный калькулятор'!$D$8," ",IF(AND(OR('депозитный калькулятор'!$G$7="30/365",'депозитный калькулятор'!$G$7="30/360"),AND(MONTH(F798)=2,EOMONTH(F798,0)=F798)),IF(DAY(F798)=28,3*G798*'депозитный калькулятор'!$G$8,2*G798*'депозитный калькулятор'!$G$8),IF(AND(OR('депозитный калькулятор'!$G$7="30/365",'депозитный калькулятор'!$G$7="30/360"),DAY(F798)=31)," ",IF(AND('депозитный калькулятор'!$G$7="факт/факт",MOD(YEAR(F798),4)=0),G798*'депозитный калькулятор'!$D$11/366,G798*'депозитный калькулятор'!$G$8))))</f>
        <v xml:space="preserve"> </v>
      </c>
      <c r="I798" s="134" t="str">
        <f ca="1">IF(F798=" "," ",IF('депозитный калькулятор'!$G$10="ежедневное",H798,IF(AND('депозитный калькулятор'!$G$10="еженедельное",WEEKDAY(F798,2)=7),SUM(OFFSET(H798,-6,0):H798),IF(AND('депозитный калькулятор'!$G$10="еженедельное",F798='депозитный калькулятор'!$D$8),SUM($H$23:H798)-SUM($I$23:I797),IF(AND('депозитный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недели",WEEKDAY(F798,2)=7),MIN(OFFSET(H798,-6,0):H798)*(COUNTIF(OFFSET(H798,-6,0):H798,"&gt;0")+SUMIF(OFFSET(A798,-WEEKDAY(F798,2),0):A798,"=2",OFFSET(A798,-WEEKDAY(F798,2),0):A798)),IF(AND('депозитный калькулятор'!$G$10="еженедельное, на минимальную сумму зафиксированную в течение недели",F798='депозитный калькулятор'!$D$8,WEEKDAY(F798,2)&lt;&gt;7),MIN(OFFSET(H798,-WEEKDAY(F798,2),0):H798)*(COUNTIF(OFFSET(H798,-WEEKDAY(F798,2)+1,0):H798,"&gt;0")+SUM(OFFSET(A798,-WEEKDAY(F798,2),0):A798)),IF(AND('депозитный калькулятор'!$G$10="ежемесячное (в конце месяца)",F798='депозитный калькулятор'!$D$8,EOMONTH(F798,0)&lt;&gt;F798),IF('депозитный калькулятор'!$F$1=1,$H$24,SUM($H$23:H798)-SUM($I$23:I797)),IF(AND('депозитный калькулятор'!$G$10="ежемесячное (в конце месяца)",EOMONTH(F798,0)=F798),SUM($H$23:H798)-SUM($I$23:I797),IF(AND('депозитный калькулятор'!$G$10="ежемесячное (по дням открытия вклада)",F798='депозитный калькулятор'!$D$8,DAY('депозитный калькулятор'!$D$7)&lt;&gt;DAY(F798)),IF('депозитный калькулятор'!$F$1=1,$H$24,SUM($H$23:H798)-SUM($I$23:I797)),IF(AND('депозитный калькулятор'!$G$10="ежемесячное (по дням открытия вклада)",DAY('депозитный калькулятор'!$D$7)=DAY(F798)),SUM($H$23:H798)-SUM($I$23:I797),IF(AND('депозитный калькулятор'!$G$10="ежемесячное, на минимальную сумму зафиксированную в течение месяца",F798='депозитный калькулятор'!$D$8,EOMONTH(F798,0)&lt;&gt;F798),IF('депозитный калькулятор'!$F$1=1,$H$24,IF(AND(OR('депозитный калькулятор'!$G$7="30/365",'депозитный калькулятор'!$G$7="30/360"),DAY(F798)=31),0,MIN(OFFSET(H798,-E798+1,0):H798)*(E798+SUMIF(OFFSET(A798,-E798+1,0):A798,"=2",OFFSET(A798,-E798+1,0):A798)))),IF(AND('депозитный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калькулятор'!$G$7="30/360"),DAY(EOMONTH(F798,0))=31),EOMONTH(F798,0)-1=F798,EOMONTH(F798,0)=F798)),IF(IF(AND(OR('депозитный калькулятор'!$G$7="30/365",'депозитный калькулятор'!$G$7="30/360"),DAY(EOMONTH($F$23,0))=31),F798=EOMONTH($F$23,0)-1,F798=EOMONTH($F$23,0)),MIN(OFFSET(H798,-(DAY(F798)-DAY($F$23)),0):H798)*E798,MIN(OFFSET(H798,-(DAY(F798)-1),0):H798)*IF(AND(OR('депозитный калькулятор'!$G$7="30/365",'депозитный калькулятор'!$G$7="30/360"),DAY(F798)&lt;30),30,DAY(F798))),IF(AND('депозитный калькулятор'!$G$10="ежемесячное, на средний остаток в течение месяца, при условии что остаток больше чем ограничение",F798='депозитный калькулятор'!$D$8,EOMONTH(F798,0)&lt;&gt;F798),IF('депозитный калькулятор'!$F$1=1,$H$24,SUM(OFFSET(Q798,-E798+1,0):Q798)),IF(AND('депозитный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калькулятор'!$G$7="30/360"),DAY(EOMONTH(F798,0))=31),EOMONTH(F798,0)-1=F798,EOMONTH(F798,0)=F798)),IF(IF(AND(OR('депозитный калькулятор'!$G$7="30/365",'депозитный калькулятор'!$G$7="30/360"),DAY(EOMONTH($F$24,0))=31),F798=EOMONTH($F$24,0)-1,F798=EOMONTH($F$24,0)),SUM(OFFSET(Q798,-E798+1,0):Q798),SUM(OFFSET(Q798,-E798+1,0):Q798)),IF('депозитный калькулятор'!$G$10="ежеквартальное",IF(F798&gt;'депозитный калькулятор'!$D$8," ",IF(AND(EOMONTH(F798,0)=F798,OR(MONTH(F798)=3,MONTH(F798)=6,MONTH(F798)=9,MONTH(F798)=12)),IF(EDATE(F798,-3)&lt;'депозитный калькулятор'!$D$7,SUM($H$23:H798),IF(MOD(YEAR(F798),4)=0,IF(AND(EOMONTH(F798,0)=F798,OR(MONTH(F798)=3,MONTH(F798)=6)),SUM(OFFSET(H798,-90,0):H798),IF(AND(EOMONTH(F798,0)=F798,OR(MONTH(F798)=9,MONTH(F798)=12)),SUM(OFFSET(H798,-91,0):H798))),IF(AND(EOMONTH(F798,0)=F798,MONTH(F798)=3),SUM(OFFSET(H798,-89,0):H798),IF(AND(EOMONTH(F798,0)=F798,MONTH(F798)=6),SUM(OFFSET(H798,-90,0):H798),IF(AND(EOMONTH(F798,0)=F798,OR(MONTH(F798)=9,MONTH(F798)=12)),SUM(OFFSET(H798,-91,0):H798)))))),IF(F798='депозитный калькулятор'!$D$8,SUM($H$23:H798)-SUM($I$23:I797),0))),IF('депозитный калькулятор'!$G$10="ежегодное",IF(F798&gt;'депозитный калькулятор'!$D$8," ",IF(F798='депозитный калькулятор'!$D$8,SUM($H$23:H798)-SUM($I$23:I797),IF(AND(EOMONTH(F798,0)=F798,MONTH(F798)=12),IF(MOD(YEAR(F797),4)=0,IF(F798-'депозитный калькулятор'!$D$7&lt;366,SUM($H$23:H798),SUM(OFFSET(H798,-365,0):H798)),IF(F798-'депозитный калькулятор'!$D$7&lt;365,SUM($H$23:H798),SUM(OFFSET(H798,-364,0):H798))),0))),IF(AND('депозитный калькулятор'!$G$10="в конце срока",'депозитный калькулятор'!$D$8=F798),SUM($H$23:H798),0))))))))))))))))))</f>
        <v xml:space="preserve"> </v>
      </c>
      <c r="J798" s="59" t="str">
        <f>IF(F798&gt;'депозитный калькулятор'!$D$8," ",IF('депозитный калькулятор'!$G$16="нет",0,IF(AND('депозитный калькулятор'!$G$17="разовая (в конце срока)",F798='депозитный калькулятор'!$D$8),'депозитный калькулятор'!$G$18,IF(AND('депозитный калькулятор'!$G$17="ежемесячная",EOMONTH(F797,0)=F797),'депозитный калькулятор'!$G$18,IF(AND('депозитный калькулятор'!$G$17="ежегодная",DAY(F797)=31,MONTH(F797)=12),'депозитный калькулятор'!$G$18,IF(AND('депозитный калькулятор'!$G$17="ежемесячная в зависимости от остатка",EOMONTH(F797,0)=F797,P797&gt;0),'депозитный калькулятор'!$G$18,IF(AND('депозитный калькулятор'!$G$17="ежегодная в зависимости от остатка",DAY(F797)=31,MONTH(F797)=12,P797&gt;0),'депозитный калькулятор'!$G$18,0)))))))</f>
        <v xml:space="preserve"> </v>
      </c>
      <c r="K798" s="135" t="str">
        <f>IF($F798=" "," ",IFERROR(VLOOKUP($F798,'депозитный калькулятор'!$B$26:$F$70,2,0),0))</f>
        <v xml:space="preserve"> </v>
      </c>
      <c r="L798" s="135" t="str">
        <f>IF($F798=" "," ",IFERROR(VLOOKUP($F798,'депозитный калькулятор'!$B$26:$F$70,3,0),0))</f>
        <v xml:space="preserve"> </v>
      </c>
      <c r="M798" s="135" t="str">
        <f>IF($F798=" "," ",IFERROR(VLOOKUP($F798,'депозитный калькулятор'!$B$26:$F$70,4,0),0))</f>
        <v xml:space="preserve"> </v>
      </c>
      <c r="N798" s="135" t="str">
        <f>IF($F798=" "," ",IFERROR(VLOOKUP($F798,'депозитный калькулятор'!$B$26:$F$70,5,0),0))</f>
        <v xml:space="preserve"> </v>
      </c>
      <c r="O798" s="146" t="str">
        <f>IF(F798&gt;'депозитный калькулятор'!$D$8," ",IF(F798='депозитный калькулятор'!$D$8,IF(AND($F$24='депозитный калькулятор'!$D$8,'депозитный калькулятор'!$G$13="нет"),-G798-IF(I798=" ",0,I798)-IF(AND(OR('депозитный калькулятор'!$G$7="30/365",'депозитный калькулятор'!$G$7="30/360"),'депозитный калькулятор'!$G$10="в начале срока"),I797,0)-L798+M798-N798,-G798-IF(I798=" ",0,I798)-L798+M798-N798),IF('депозитный калькулятор'!$G$13="есть",M798-N798+IF('депозитный калькулятор'!$G$14="есть",0,-L798),-IF(I798=" ",0,I798)-IF(AND(OR('депозитный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срока"),I797,0)+M798-N798+IF('депозитный калькулятор'!$G$14="есть",0,-L798))))</f>
        <v xml:space="preserve"> </v>
      </c>
      <c r="P798" s="147" t="str">
        <f>IF(F798&gt;'депозитный калькулятор'!$D$8," ",IF(EOMONTH(F797,0)=F797,0,IF(G798&gt;='депозитный калькулятор'!$G$19,P797,P797+1)))</f>
        <v xml:space="preserve"> </v>
      </c>
      <c r="Q798" s="138" t="str">
        <f>IF(F798=" "," ",IF(AND(OR('депозитный калькулятор'!$G$7="30/365",'депозитный калькулятор'!$G$7="30/360"),AND(MONTH(F798)=2,EOMONTH(F798,0)=F798)),IF(DAY(F798)=28,3,2),1)*IF(G798&gt;='депозитный калькулятор'!$G$11,IF(AND('депозитный калькулятор'!$G$7="факт/факт",MOD(YEAR(F798),4)=0),G798*'депозитный калькулятор'!$D$11/366,G798*'депозитный калькулятор'!$G$8),0))</f>
        <v xml:space="preserve"> </v>
      </c>
      <c r="R798" s="158"/>
      <c r="S798" s="62" t="str">
        <f t="shared" ca="1" si="62"/>
        <v xml:space="preserve"> </v>
      </c>
      <c r="T798" s="149" t="str">
        <f ca="1">IF(S798=" "," ",IF('депозитный калькулятор'!$G$7="30/360",DAYS360(U797,IF(DAY(U798)=31,U798-1,U798))+IF(AND(MONTH(U798)=2,U798=EOMONTH(U798,0)),30-DAY(EOMONTH(U798,0)))+T797,VLOOKUP(S798,$C$22:$F$1023,2,0)))</f>
        <v xml:space="preserve"> </v>
      </c>
      <c r="U798" s="64" t="str">
        <f t="shared" ca="1" si="60"/>
        <v xml:space="preserve"> </v>
      </c>
      <c r="V798" s="150" t="str">
        <f t="shared" ca="1" si="63"/>
        <v xml:space="preserve"> </v>
      </c>
      <c r="W798" s="62" t="str">
        <f t="shared" ca="1" si="64"/>
        <v xml:space="preserve"> </v>
      </c>
      <c r="X798" s="141" t="str">
        <f ca="1">IF(S798=" "," ",IFERROR(VLOOKUP(U798,$F$23:$N$1023,7)+VLOOKUP(U798,$F$23:$N$1023,9)+IF(AND('депозитный калькулятор'!$G$13="нет",U798&lt;&gt;'депозитный калькулятор'!$D$8),VLOOKUP(U798,$F$23:$N$1023,4),0),0)+IF(U798='депозитный калькулятор'!$D$8,VLOOKUP(U798,$F$23:$N$1023,2)+VLOOKUP(U798,$F$23:$N$1023,4),0))</f>
        <v xml:space="preserve"> </v>
      </c>
      <c r="Y798" s="142" t="str">
        <f ca="1">IF(S798=" "," ",W798/(1+'депозитный калькулятор'!$K$8)^(T798/IF('депозитный калькулятор'!$G$7="30/360",360,365)))</f>
        <v xml:space="preserve"> </v>
      </c>
      <c r="Z798" s="142" t="str">
        <f ca="1">IF(S798=" "," ",X798/(1+'депозитный калькулятор'!$K$8)^(T798/IF('депозитный калькулятор'!$G$7="30/360",360,365)))</f>
        <v xml:space="preserve"> </v>
      </c>
      <c r="AA798" s="151"/>
      <c r="AB798" s="151"/>
      <c r="AC798" s="155"/>
      <c r="AD798" s="155"/>
    </row>
    <row r="799" spans="1:30" s="2" customFormat="1" ht="15.5" x14ac:dyDescent="0.35">
      <c r="A799" s="41" t="str">
        <f>IF(F799=" "," ",IF(OR('депозитный калькулятор'!$G$7="30/365",'депозитный калькулятор'!$G$7="30/360"),IF(AND(MONTH(F799)=2,DAY(F799)=DAY(EOMONTH(F799,0))),30-DAY(EOMONTH(F799,0)),IF(DAY(F799)=31,1," "))," "))</f>
        <v xml:space="preserve"> </v>
      </c>
      <c r="B799" s="130" t="str">
        <f t="shared" si="61"/>
        <v xml:space="preserve"> </v>
      </c>
      <c r="C799" s="130" t="str">
        <f>IF(OR(B799=0,B799=" ")," ",SUM($B$23:B799))</f>
        <v xml:space="preserve"> </v>
      </c>
      <c r="D799" s="62" t="str">
        <f>IF(D798=" "," ",IF(OR(F798='депозитный калькулятор'!$D$8,F798=" ")," ",D798+1))</f>
        <v xml:space="preserve"> </v>
      </c>
      <c r="E799" s="130" t="str">
        <f>IF(OR(F798='депозитный калькулятор'!$D$8,F798=" ")," ",IF(EOMONTH(F798,0)=F798,1,E798+1))</f>
        <v xml:space="preserve"> </v>
      </c>
      <c r="F799" s="64" t="str">
        <f>IF(F798=" "," ",IF(F798='депозитный калькулятор'!$D$8," ",F798+1))</f>
        <v xml:space="preserve"> </v>
      </c>
      <c r="G799" s="145" t="str">
        <f xml:space="preserve"> IF(F799&gt;'депозитный калькулятор'!$D$8," ",IF('депозитный калькулятор'!$G$13="есть",IF('депозитный калькулятор'!$G$14="есть",G798+IF(I798=" ",0,I798)-J799-K799+L799+M799-N799,G798+IF(I798=" ",0,I798)-J799-K799+M799-N799),IF('депозитный калькулятор'!$G$14="есть",G798-J799-K799+L799+M799-N799,G798-J799-K799+M799-N799)))</f>
        <v xml:space="preserve"> </v>
      </c>
      <c r="H799" s="133" t="str">
        <f>IF(F799&gt;'депозитный калькулятор'!$D$8," ",IF(AND(OR('депозитный калькулятор'!$G$7="30/365",'депозитный калькулятор'!$G$7="30/360"),AND(MONTH(F799)=2,EOMONTH(F799,0)=F799)),IF(DAY(F799)=28,3*G799*'депозитный калькулятор'!$G$8,2*G799*'депозитный калькулятор'!$G$8),IF(AND(OR('депозитный калькулятор'!$G$7="30/365",'депозитный калькулятор'!$G$7="30/360"),DAY(F799)=31)," ",IF(AND('депозитный калькулятор'!$G$7="факт/факт",MOD(YEAR(F799),4)=0),G799*'депозитный калькулятор'!$D$11/366,G799*'депозитный калькулятор'!$G$8))))</f>
        <v xml:space="preserve"> </v>
      </c>
      <c r="I799" s="134" t="str">
        <f ca="1">IF(F799=" "," ",IF('депозитный калькулятор'!$G$10="ежедневное",H799,IF(AND('депозитный калькулятор'!$G$10="еженедельное",WEEKDAY(F799,2)=7),SUM(OFFSET(H799,-6,0):H799),IF(AND('депозитный калькулятор'!$G$10="еженедельное",F799='депозитный калькулятор'!$D$8),SUM($H$23:H799)-SUM($I$23:I798),IF(AND('депозитный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недели",WEEKDAY(F799,2)=7),MIN(OFFSET(H799,-6,0):H799)*(COUNTIF(OFFSET(H799,-6,0):H799,"&gt;0")+SUMIF(OFFSET(A799,-WEEKDAY(F799,2),0):A799,"=2",OFFSET(A799,-WEEKDAY(F799,2),0):A799)),IF(AND('депозитный калькулятор'!$G$10="еженедельное, на минимальную сумму зафиксированную в течение недели",F799='депозитный калькулятор'!$D$8,WEEKDAY(F799,2)&lt;&gt;7),MIN(OFFSET(H799,-WEEKDAY(F799,2),0):H799)*(COUNTIF(OFFSET(H799,-WEEKDAY(F799,2)+1,0):H799,"&gt;0")+SUM(OFFSET(A799,-WEEKDAY(F799,2),0):A799)),IF(AND('депозитный калькулятор'!$G$10="ежемесячное (в конце месяца)",F799='депозитный калькулятор'!$D$8,EOMONTH(F799,0)&lt;&gt;F799),IF('депозитный калькулятор'!$F$1=1,$H$24,SUM($H$23:H799)-SUM($I$23:I798)),IF(AND('депозитный калькулятор'!$G$10="ежемесячное (в конце месяца)",EOMONTH(F799,0)=F799),SUM($H$23:H799)-SUM($I$23:I798),IF(AND('депозитный калькулятор'!$G$10="ежемесячное (по дням открытия вклада)",F799='депозитный калькулятор'!$D$8,DAY('депозитный калькулятор'!$D$7)&lt;&gt;DAY(F799)),IF('депозитный калькулятор'!$F$1=1,$H$24,SUM($H$23:H799)-SUM($I$23:I798)),IF(AND('депозитный калькулятор'!$G$10="ежемесячное (по дням открытия вклада)",DAY('депозитный калькулятор'!$D$7)=DAY(F799)),SUM($H$23:H799)-SUM($I$23:I798),IF(AND('депозитный калькулятор'!$G$10="ежемесячное, на минимальную сумму зафиксированную в течение месяца",F799='депозитный калькулятор'!$D$8,EOMONTH(F799,0)&lt;&gt;F799),IF('депозитный калькулятор'!$F$1=1,$H$24,IF(AND(OR('депозитный калькулятор'!$G$7="30/365",'депозитный калькулятор'!$G$7="30/360"),DAY(F799)=31),0,MIN(OFFSET(H799,-E799+1,0):H799)*(E799+SUMIF(OFFSET(A799,-E799+1,0):A799,"=2",OFFSET(A799,-E799+1,0):A799)))),IF(AND('депозитный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калькулятор'!$G$7="30/360"),DAY(EOMONTH(F799,0))=31),EOMONTH(F799,0)-1=F799,EOMONTH(F799,0)=F799)),IF(IF(AND(OR('депозитный калькулятор'!$G$7="30/365",'депозитный калькулятор'!$G$7="30/360"),DAY(EOMONTH($F$23,0))=31),F799=EOMONTH($F$23,0)-1,F799=EOMONTH($F$23,0)),MIN(OFFSET(H799,-(DAY(F799)-DAY($F$23)),0):H799)*E799,MIN(OFFSET(H799,-(DAY(F799)-1),0):H799)*IF(AND(OR('депозитный калькулятор'!$G$7="30/365",'депозитный калькулятор'!$G$7="30/360"),DAY(F799)&lt;30),30,DAY(F799))),IF(AND('депозитный калькулятор'!$G$10="ежемесячное, на средний остаток в течение месяца, при условии что остаток больше чем ограничение",F799='депозитный калькулятор'!$D$8,EOMONTH(F799,0)&lt;&gt;F799),IF('депозитный калькулятор'!$F$1=1,$H$24,SUM(OFFSET(Q799,-E799+1,0):Q799)),IF(AND('депозитный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калькулятор'!$G$7="30/360"),DAY(EOMONTH(F799,0))=31),EOMONTH(F799,0)-1=F799,EOMONTH(F799,0)=F799)),IF(IF(AND(OR('депозитный калькулятор'!$G$7="30/365",'депозитный калькулятор'!$G$7="30/360"),DAY(EOMONTH($F$24,0))=31),F799=EOMONTH($F$24,0)-1,F799=EOMONTH($F$24,0)),SUM(OFFSET(Q799,-E799+1,0):Q799),SUM(OFFSET(Q799,-E799+1,0):Q799)),IF('депозитный калькулятор'!$G$10="ежеквартальное",IF(F799&gt;'депозитный калькулятор'!$D$8," ",IF(AND(EOMONTH(F799,0)=F799,OR(MONTH(F799)=3,MONTH(F799)=6,MONTH(F799)=9,MONTH(F799)=12)),IF(EDATE(F799,-3)&lt;'депозитный калькулятор'!$D$7,SUM($H$23:H799),IF(MOD(YEAR(F799),4)=0,IF(AND(EOMONTH(F799,0)=F799,OR(MONTH(F799)=3,MONTH(F799)=6)),SUM(OFFSET(H799,-90,0):H799),IF(AND(EOMONTH(F799,0)=F799,OR(MONTH(F799)=9,MONTH(F799)=12)),SUM(OFFSET(H799,-91,0):H799))),IF(AND(EOMONTH(F799,0)=F799,MONTH(F799)=3),SUM(OFFSET(H799,-89,0):H799),IF(AND(EOMONTH(F799,0)=F799,MONTH(F799)=6),SUM(OFFSET(H799,-90,0):H799),IF(AND(EOMONTH(F799,0)=F799,OR(MONTH(F799)=9,MONTH(F799)=12)),SUM(OFFSET(H799,-91,0):H799)))))),IF(F799='депозитный калькулятор'!$D$8,SUM($H$23:H799)-SUM($I$23:I798),0))),IF('депозитный калькулятор'!$G$10="ежегодное",IF(F799&gt;'депозитный калькулятор'!$D$8," ",IF(F799='депозитный калькулятор'!$D$8,SUM($H$23:H799)-SUM($I$23:I798),IF(AND(EOMONTH(F799,0)=F799,MONTH(F799)=12),IF(MOD(YEAR(F798),4)=0,IF(F799-'депозитный калькулятор'!$D$7&lt;366,SUM($H$23:H799),SUM(OFFSET(H799,-365,0):H799)),IF(F799-'депозитный калькулятор'!$D$7&lt;365,SUM($H$23:H799),SUM(OFFSET(H799,-364,0):H799))),0))),IF(AND('депозитный калькулятор'!$G$10="в конце срока",'депозитный калькулятор'!$D$8=F799),SUM($H$23:H799),0))))))))))))))))))</f>
        <v xml:space="preserve"> </v>
      </c>
      <c r="J799" s="59" t="str">
        <f>IF(F799&gt;'депозитный калькулятор'!$D$8," ",IF('депозитный калькулятор'!$G$16="нет",0,IF(AND('депозитный калькулятор'!$G$17="разовая (в конце срока)",F799='депозитный калькулятор'!$D$8),'депозитный калькулятор'!$G$18,IF(AND('депозитный калькулятор'!$G$17="ежемесячная",EOMONTH(F798,0)=F798),'депозитный калькулятор'!$G$18,IF(AND('депозитный калькулятор'!$G$17="ежегодная",DAY(F798)=31,MONTH(F798)=12),'депозитный калькулятор'!$G$18,IF(AND('депозитный калькулятор'!$G$17="ежемесячная в зависимости от остатка",EOMONTH(F798,0)=F798,P798&gt;0),'депозитный калькулятор'!$G$18,IF(AND('депозитный калькулятор'!$G$17="ежегодная в зависимости от остатка",DAY(F798)=31,MONTH(F798)=12,P798&gt;0),'депозитный калькулятор'!$G$18,0)))))))</f>
        <v xml:space="preserve"> </v>
      </c>
      <c r="K799" s="135" t="str">
        <f>IF($F799=" "," ",IFERROR(VLOOKUP($F799,'депозитный калькулятор'!$B$26:$F$70,2,0),0))</f>
        <v xml:space="preserve"> </v>
      </c>
      <c r="L799" s="135" t="str">
        <f>IF($F799=" "," ",IFERROR(VLOOKUP($F799,'депозитный калькулятор'!$B$26:$F$70,3,0),0))</f>
        <v xml:space="preserve"> </v>
      </c>
      <c r="M799" s="135" t="str">
        <f>IF($F799=" "," ",IFERROR(VLOOKUP($F799,'депозитный калькулятор'!$B$26:$F$70,4,0),0))</f>
        <v xml:space="preserve"> </v>
      </c>
      <c r="N799" s="135" t="str">
        <f>IF($F799=" "," ",IFERROR(VLOOKUP($F799,'депозитный калькулятор'!$B$26:$F$70,5,0),0))</f>
        <v xml:space="preserve"> </v>
      </c>
      <c r="O799" s="146" t="str">
        <f>IF(F799&gt;'депозитный калькулятор'!$D$8," ",IF(F799='депозитный калькулятор'!$D$8,IF(AND($F$24='депозитный калькулятор'!$D$8,'депозитный калькулятор'!$G$13="нет"),-G799-IF(I799=" ",0,I799)-IF(AND(OR('депозитный калькулятор'!$G$7="30/365",'депозитный калькулятор'!$G$7="30/360"),'депозитный калькулятор'!$G$10="в начале срока"),I798,0)-L799+M799-N799,-G799-IF(I799=" ",0,I799)-L799+M799-N799),IF('депозитный калькулятор'!$G$13="есть",M799-N799+IF('депозитный калькулятор'!$G$14="есть",0,-L799),-IF(I799=" ",0,I799)-IF(AND(OR('депозитный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срока"),I798,0)+M799-N799+IF('депозитный калькулятор'!$G$14="есть",0,-L799))))</f>
        <v xml:space="preserve"> </v>
      </c>
      <c r="P799" s="147" t="str">
        <f>IF(F799&gt;'депозитный калькулятор'!$D$8," ",IF(EOMONTH(F798,0)=F798,0,IF(G799&gt;='депозитный калькулятор'!$G$19,P798,P798+1)))</f>
        <v xml:space="preserve"> </v>
      </c>
      <c r="Q799" s="138" t="str">
        <f>IF(F799=" "," ",IF(AND(OR('депозитный калькулятор'!$G$7="30/365",'депозитный калькулятор'!$G$7="30/360"),AND(MONTH(F799)=2,EOMONTH(F799,0)=F799)),IF(DAY(F799)=28,3,2),1)*IF(G799&gt;='депозитный калькулятор'!$G$11,IF(AND('депозитный калькулятор'!$G$7="факт/факт",MOD(YEAR(F799),4)=0),G799*'депозитный калькулятор'!$D$11/366,G799*'депозитный калькулятор'!$G$8),0))</f>
        <v xml:space="preserve"> </v>
      </c>
      <c r="R799" s="158"/>
      <c r="S799" s="62" t="str">
        <f t="shared" ca="1" si="62"/>
        <v xml:space="preserve"> </v>
      </c>
      <c r="T799" s="149" t="str">
        <f ca="1">IF(S799=" "," ",IF('депозитный калькулятор'!$G$7="30/360",DAYS360(U798,IF(DAY(U799)=31,U799-1,U799))+IF(AND(MONTH(U799)=2,U799=EOMONTH(U799,0)),30-DAY(EOMONTH(U799,0)))+T798,VLOOKUP(S799,$C$22:$F$1023,2,0)))</f>
        <v xml:space="preserve"> </v>
      </c>
      <c r="U799" s="64" t="str">
        <f t="shared" ca="1" si="60"/>
        <v xml:space="preserve"> </v>
      </c>
      <c r="V799" s="150" t="str">
        <f t="shared" ca="1" si="63"/>
        <v xml:space="preserve"> </v>
      </c>
      <c r="W799" s="62" t="str">
        <f t="shared" ca="1" si="64"/>
        <v xml:space="preserve"> </v>
      </c>
      <c r="X799" s="141" t="str">
        <f ca="1">IF(S799=" "," ",IFERROR(VLOOKUP(U799,$F$23:$N$1023,7)+VLOOKUP(U799,$F$23:$N$1023,9)+IF(AND('депозитный калькулятор'!$G$13="нет",U799&lt;&gt;'депозитный калькулятор'!$D$8),VLOOKUP(U799,$F$23:$N$1023,4),0),0)+IF(U799='депозитный калькулятор'!$D$8,VLOOKUP(U799,$F$23:$N$1023,2)+VLOOKUP(U799,$F$23:$N$1023,4),0))</f>
        <v xml:space="preserve"> </v>
      </c>
      <c r="Y799" s="142" t="str">
        <f ca="1">IF(S799=" "," ",W799/(1+'депозитный калькулятор'!$K$8)^(T799/IF('депозитный калькулятор'!$G$7="30/360",360,365)))</f>
        <v xml:space="preserve"> </v>
      </c>
      <c r="Z799" s="142" t="str">
        <f ca="1">IF(S799=" "," ",X799/(1+'депозитный калькулятор'!$K$8)^(T799/IF('депозитный калькулятор'!$G$7="30/360",360,365)))</f>
        <v xml:space="preserve"> </v>
      </c>
      <c r="AA799" s="151"/>
      <c r="AB799" s="151"/>
      <c r="AC799" s="155"/>
      <c r="AD799" s="155"/>
    </row>
    <row r="800" spans="1:30" s="2" customFormat="1" ht="15.5" x14ac:dyDescent="0.35">
      <c r="A800" s="41" t="str">
        <f>IF(F800=" "," ",IF(OR('депозитный калькулятор'!$G$7="30/365",'депозитный калькулятор'!$G$7="30/360"),IF(AND(MONTH(F800)=2,DAY(F800)=DAY(EOMONTH(F800,0))),30-DAY(EOMONTH(F800,0)),IF(DAY(F800)=31,1," "))," "))</f>
        <v xml:space="preserve"> </v>
      </c>
      <c r="B800" s="130" t="str">
        <f t="shared" si="61"/>
        <v xml:space="preserve"> </v>
      </c>
      <c r="C800" s="130" t="str">
        <f>IF(OR(B800=0,B800=" ")," ",SUM($B$23:B800))</f>
        <v xml:space="preserve"> </v>
      </c>
      <c r="D800" s="62" t="str">
        <f>IF(D799=" "," ",IF(OR(F799='депозитный калькулятор'!$D$8,F799=" ")," ",D799+1))</f>
        <v xml:space="preserve"> </v>
      </c>
      <c r="E800" s="130" t="str">
        <f>IF(OR(F799='депозитный калькулятор'!$D$8,F799=" ")," ",IF(EOMONTH(F799,0)=F799,1,E799+1))</f>
        <v xml:space="preserve"> </v>
      </c>
      <c r="F800" s="64" t="str">
        <f>IF(F799=" "," ",IF(F799='депозитный калькулятор'!$D$8," ",F799+1))</f>
        <v xml:space="preserve"> </v>
      </c>
      <c r="G800" s="145" t="str">
        <f xml:space="preserve"> IF(F800&gt;'депозитный калькулятор'!$D$8," ",IF('депозитный калькулятор'!$G$13="есть",IF('депозитный калькулятор'!$G$14="есть",G799+IF(I799=" ",0,I799)-J800-K800+L800+M800-N800,G799+IF(I799=" ",0,I799)-J800-K800+M800-N800),IF('депозитный калькулятор'!$G$14="есть",G799-J800-K800+L800+M800-N800,G799-J800-K800+M800-N800)))</f>
        <v xml:space="preserve"> </v>
      </c>
      <c r="H800" s="133" t="str">
        <f>IF(F800&gt;'депозитный калькулятор'!$D$8," ",IF(AND(OR('депозитный калькулятор'!$G$7="30/365",'депозитный калькулятор'!$G$7="30/360"),AND(MONTH(F800)=2,EOMONTH(F800,0)=F800)),IF(DAY(F800)=28,3*G800*'депозитный калькулятор'!$G$8,2*G800*'депозитный калькулятор'!$G$8),IF(AND(OR('депозитный калькулятор'!$G$7="30/365",'депозитный калькулятор'!$G$7="30/360"),DAY(F800)=31)," ",IF(AND('депозитный калькулятор'!$G$7="факт/факт",MOD(YEAR(F800),4)=0),G800*'депозитный калькулятор'!$D$11/366,G800*'депозитный калькулятор'!$G$8))))</f>
        <v xml:space="preserve"> </v>
      </c>
      <c r="I800" s="134" t="str">
        <f ca="1">IF(F800=" "," ",IF('депозитный калькулятор'!$G$10="ежедневное",H800,IF(AND('депозитный калькулятор'!$G$10="еженедельное",WEEKDAY(F800,2)=7),SUM(OFFSET(H800,-6,0):H800),IF(AND('депозитный калькулятор'!$G$10="еженедельное",F800='депозитный калькулятор'!$D$8),SUM($H$23:H800)-SUM($I$23:I799),IF(AND('депозитный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недели",WEEKDAY(F800,2)=7),MIN(OFFSET(H800,-6,0):H800)*(COUNTIF(OFFSET(H800,-6,0):H800,"&gt;0")+SUMIF(OFFSET(A800,-WEEKDAY(F800,2),0):A800,"=2",OFFSET(A800,-WEEKDAY(F800,2),0):A800)),IF(AND('депозитный калькулятор'!$G$10="еженедельное, на минимальную сумму зафиксированную в течение недели",F800='депозитный калькулятор'!$D$8,WEEKDAY(F800,2)&lt;&gt;7),MIN(OFFSET(H800,-WEEKDAY(F800,2),0):H800)*(COUNTIF(OFFSET(H800,-WEEKDAY(F800,2)+1,0):H800,"&gt;0")+SUM(OFFSET(A800,-WEEKDAY(F800,2),0):A800)),IF(AND('депозитный калькулятор'!$G$10="ежемесячное (в конце месяца)",F800='депозитный калькулятор'!$D$8,EOMONTH(F800,0)&lt;&gt;F800),IF('депозитный калькулятор'!$F$1=1,$H$24,SUM($H$23:H800)-SUM($I$23:I799)),IF(AND('депозитный калькулятор'!$G$10="ежемесячное (в конце месяца)",EOMONTH(F800,0)=F800),SUM($H$23:H800)-SUM($I$23:I799),IF(AND('депозитный калькулятор'!$G$10="ежемесячное (по дням открытия вклада)",F800='депозитный калькулятор'!$D$8,DAY('депозитный калькулятор'!$D$7)&lt;&gt;DAY(F800)),IF('депозитный калькулятор'!$F$1=1,$H$24,SUM($H$23:H800)-SUM($I$23:I799)),IF(AND('депозитный калькулятор'!$G$10="ежемесячное (по дням открытия вклада)",DAY('депозитный калькулятор'!$D$7)=DAY(F800)),SUM($H$23:H800)-SUM($I$23:I799),IF(AND('депозитный калькулятор'!$G$10="ежемесячное, на минимальную сумму зафиксированную в течение месяца",F800='депозитный калькулятор'!$D$8,EOMONTH(F800,0)&lt;&gt;F800),IF('депозитный калькулятор'!$F$1=1,$H$24,IF(AND(OR('депозитный калькулятор'!$G$7="30/365",'депозитный калькулятор'!$G$7="30/360"),DAY(F800)=31),0,MIN(OFFSET(H800,-E800+1,0):H800)*(E800+SUMIF(OFFSET(A800,-E800+1,0):A800,"=2",OFFSET(A800,-E800+1,0):A800)))),IF(AND('депозитный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калькулятор'!$G$7="30/360"),DAY(EOMONTH(F800,0))=31),EOMONTH(F800,0)-1=F800,EOMONTH(F800,0)=F800)),IF(IF(AND(OR('депозитный калькулятор'!$G$7="30/365",'депозитный калькулятор'!$G$7="30/360"),DAY(EOMONTH($F$23,0))=31),F800=EOMONTH($F$23,0)-1,F800=EOMONTH($F$23,0)),MIN(OFFSET(H800,-(DAY(F800)-DAY($F$23)),0):H800)*E800,MIN(OFFSET(H800,-(DAY(F800)-1),0):H800)*IF(AND(OR('депозитный калькулятор'!$G$7="30/365",'депозитный калькулятор'!$G$7="30/360"),DAY(F800)&lt;30),30,DAY(F800))),IF(AND('депозитный калькулятор'!$G$10="ежемесячное, на средний остаток в течение месяца, при условии что остаток больше чем ограничение",F800='депозитный калькулятор'!$D$8,EOMONTH(F800,0)&lt;&gt;F800),IF('депозитный калькулятор'!$F$1=1,$H$24,SUM(OFFSET(Q800,-E800+1,0):Q800)),IF(AND('депозитный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калькулятор'!$G$7="30/360"),DAY(EOMONTH(F800,0))=31),EOMONTH(F800,0)-1=F800,EOMONTH(F800,0)=F800)),IF(IF(AND(OR('депозитный калькулятор'!$G$7="30/365",'депозитный калькулятор'!$G$7="30/360"),DAY(EOMONTH($F$24,0))=31),F800=EOMONTH($F$24,0)-1,F800=EOMONTH($F$24,0)),SUM(OFFSET(Q800,-E800+1,0):Q800),SUM(OFFSET(Q800,-E800+1,0):Q800)),IF('депозитный калькулятор'!$G$10="ежеквартальное",IF(F800&gt;'депозитный калькулятор'!$D$8," ",IF(AND(EOMONTH(F800,0)=F800,OR(MONTH(F800)=3,MONTH(F800)=6,MONTH(F800)=9,MONTH(F800)=12)),IF(EDATE(F800,-3)&lt;'депозитный калькулятор'!$D$7,SUM($H$23:H800),IF(MOD(YEAR(F800),4)=0,IF(AND(EOMONTH(F800,0)=F800,OR(MONTH(F800)=3,MONTH(F800)=6)),SUM(OFFSET(H800,-90,0):H800),IF(AND(EOMONTH(F800,0)=F800,OR(MONTH(F800)=9,MONTH(F800)=12)),SUM(OFFSET(H800,-91,0):H800))),IF(AND(EOMONTH(F800,0)=F800,MONTH(F800)=3),SUM(OFFSET(H800,-89,0):H800),IF(AND(EOMONTH(F800,0)=F800,MONTH(F800)=6),SUM(OFFSET(H800,-90,0):H800),IF(AND(EOMONTH(F800,0)=F800,OR(MONTH(F800)=9,MONTH(F800)=12)),SUM(OFFSET(H800,-91,0):H800)))))),IF(F800='депозитный калькулятор'!$D$8,SUM($H$23:H800)-SUM($I$23:I799),0))),IF('депозитный калькулятор'!$G$10="ежегодное",IF(F800&gt;'депозитный калькулятор'!$D$8," ",IF(F800='депозитный калькулятор'!$D$8,SUM($H$23:H800)-SUM($I$23:I799),IF(AND(EOMONTH(F800,0)=F800,MONTH(F800)=12),IF(MOD(YEAR(F799),4)=0,IF(F800-'депозитный калькулятор'!$D$7&lt;366,SUM($H$23:H800),SUM(OFFSET(H800,-365,0):H800)),IF(F800-'депозитный калькулятор'!$D$7&lt;365,SUM($H$23:H800),SUM(OFFSET(H800,-364,0):H800))),0))),IF(AND('депозитный калькулятор'!$G$10="в конце срока",'депозитный калькулятор'!$D$8=F800),SUM($H$23:H800),0))))))))))))))))))</f>
        <v xml:space="preserve"> </v>
      </c>
      <c r="J800" s="59" t="str">
        <f>IF(F800&gt;'депозитный калькулятор'!$D$8," ",IF('депозитный калькулятор'!$G$16="нет",0,IF(AND('депозитный калькулятор'!$G$17="разовая (в конце срока)",F800='депозитный калькулятор'!$D$8),'депозитный калькулятор'!$G$18,IF(AND('депозитный калькулятор'!$G$17="ежемесячная",EOMONTH(F799,0)=F799),'депозитный калькулятор'!$G$18,IF(AND('депозитный калькулятор'!$G$17="ежегодная",DAY(F799)=31,MONTH(F799)=12),'депозитный калькулятор'!$G$18,IF(AND('депозитный калькулятор'!$G$17="ежемесячная в зависимости от остатка",EOMONTH(F799,0)=F799,P799&gt;0),'депозитный калькулятор'!$G$18,IF(AND('депозитный калькулятор'!$G$17="ежегодная в зависимости от остатка",DAY(F799)=31,MONTH(F799)=12,P799&gt;0),'депозитный калькулятор'!$G$18,0)))))))</f>
        <v xml:space="preserve"> </v>
      </c>
      <c r="K800" s="135" t="str">
        <f>IF($F800=" "," ",IFERROR(VLOOKUP($F800,'депозитный калькулятор'!$B$26:$F$70,2,0),0))</f>
        <v xml:space="preserve"> </v>
      </c>
      <c r="L800" s="135" t="str">
        <f>IF($F800=" "," ",IFERROR(VLOOKUP($F800,'депозитный калькулятор'!$B$26:$F$70,3,0),0))</f>
        <v xml:space="preserve"> </v>
      </c>
      <c r="M800" s="135" t="str">
        <f>IF($F800=" "," ",IFERROR(VLOOKUP($F800,'депозитный калькулятор'!$B$26:$F$70,4,0),0))</f>
        <v xml:space="preserve"> </v>
      </c>
      <c r="N800" s="135" t="str">
        <f>IF($F800=" "," ",IFERROR(VLOOKUP($F800,'депозитный калькулятор'!$B$26:$F$70,5,0),0))</f>
        <v xml:space="preserve"> </v>
      </c>
      <c r="O800" s="146" t="str">
        <f>IF(F800&gt;'депозитный калькулятор'!$D$8," ",IF(F800='депозитный калькулятор'!$D$8,IF(AND($F$24='депозитный калькулятор'!$D$8,'депозитный калькулятор'!$G$13="нет"),-G800-IF(I800=" ",0,I800)-IF(AND(OR('депозитный калькулятор'!$G$7="30/365",'депозитный калькулятор'!$G$7="30/360"),'депозитный калькулятор'!$G$10="в начале срока"),I799,0)-L800+M800-N800,-G800-IF(I800=" ",0,I800)-L800+M800-N800),IF('депозитный калькулятор'!$G$13="есть",M800-N800+IF('депозитный калькулятор'!$G$14="есть",0,-L800),-IF(I800=" ",0,I800)-IF(AND(OR('депозитный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срока"),I799,0)+M800-N800+IF('депозитный калькулятор'!$G$14="есть",0,-L800))))</f>
        <v xml:space="preserve"> </v>
      </c>
      <c r="P800" s="147" t="str">
        <f>IF(F800&gt;'депозитный калькулятор'!$D$8," ",IF(EOMONTH(F799,0)=F799,0,IF(G800&gt;='депозитный калькулятор'!$G$19,P799,P799+1)))</f>
        <v xml:space="preserve"> </v>
      </c>
      <c r="Q800" s="138" t="str">
        <f>IF(F800=" "," ",IF(AND(OR('депозитный калькулятор'!$G$7="30/365",'депозитный калькулятор'!$G$7="30/360"),AND(MONTH(F800)=2,EOMONTH(F800,0)=F800)),IF(DAY(F800)=28,3,2),1)*IF(G800&gt;='депозитный калькулятор'!$G$11,IF(AND('депозитный калькулятор'!$G$7="факт/факт",MOD(YEAR(F800),4)=0),G800*'депозитный калькулятор'!$D$11/366,G800*'депозитный калькулятор'!$G$8),0))</f>
        <v xml:space="preserve"> </v>
      </c>
      <c r="R800" s="158"/>
      <c r="S800" s="62" t="str">
        <f t="shared" ca="1" si="62"/>
        <v xml:space="preserve"> </v>
      </c>
      <c r="T800" s="149" t="str">
        <f ca="1">IF(S800=" "," ",IF('депозитный калькулятор'!$G$7="30/360",DAYS360(U799,IF(DAY(U800)=31,U800-1,U800))+IF(AND(MONTH(U800)=2,U800=EOMONTH(U800,0)),30-DAY(EOMONTH(U800,0)))+T799,VLOOKUP(S800,$C$22:$F$1023,2,0)))</f>
        <v xml:space="preserve"> </v>
      </c>
      <c r="U800" s="64" t="str">
        <f t="shared" ca="1" si="60"/>
        <v xml:space="preserve"> </v>
      </c>
      <c r="V800" s="150" t="str">
        <f t="shared" ca="1" si="63"/>
        <v xml:space="preserve"> </v>
      </c>
      <c r="W800" s="62" t="str">
        <f t="shared" ca="1" si="64"/>
        <v xml:space="preserve"> </v>
      </c>
      <c r="X800" s="141" t="str">
        <f ca="1">IF(S800=" "," ",IFERROR(VLOOKUP(U800,$F$23:$N$1023,7)+VLOOKUP(U800,$F$23:$N$1023,9)+IF(AND('депозитный калькулятор'!$G$13="нет",U800&lt;&gt;'депозитный калькулятор'!$D$8),VLOOKUP(U800,$F$23:$N$1023,4),0),0)+IF(U800='депозитный калькулятор'!$D$8,VLOOKUP(U800,$F$23:$N$1023,2)+VLOOKUP(U800,$F$23:$N$1023,4),0))</f>
        <v xml:space="preserve"> </v>
      </c>
      <c r="Y800" s="142" t="str">
        <f ca="1">IF(S800=" "," ",W800/(1+'депозитный калькулятор'!$K$8)^(T800/IF('депозитный калькулятор'!$G$7="30/360",360,365)))</f>
        <v xml:space="preserve"> </v>
      </c>
      <c r="Z800" s="142" t="str">
        <f ca="1">IF(S800=" "," ",X800/(1+'депозитный калькулятор'!$K$8)^(T800/IF('депозитный калькулятор'!$G$7="30/360",360,365)))</f>
        <v xml:space="preserve"> </v>
      </c>
      <c r="AA800" s="151"/>
      <c r="AB800" s="151"/>
      <c r="AC800" s="155"/>
      <c r="AD800" s="155"/>
    </row>
    <row r="801" spans="1:30" s="2" customFormat="1" ht="15.5" x14ac:dyDescent="0.35">
      <c r="A801" s="41" t="str">
        <f>IF(F801=" "," ",IF(OR('депозитный калькулятор'!$G$7="30/365",'депозитный калькулятор'!$G$7="30/360"),IF(AND(MONTH(F801)=2,DAY(F801)=DAY(EOMONTH(F801,0))),30-DAY(EOMONTH(F801,0)),IF(DAY(F801)=31,1," "))," "))</f>
        <v xml:space="preserve"> </v>
      </c>
      <c r="B801" s="130" t="str">
        <f t="shared" si="61"/>
        <v xml:space="preserve"> </v>
      </c>
      <c r="C801" s="130" t="str">
        <f>IF(OR(B801=0,B801=" ")," ",SUM($B$23:B801))</f>
        <v xml:space="preserve"> </v>
      </c>
      <c r="D801" s="62" t="str">
        <f>IF(D800=" "," ",IF(OR(F800='депозитный калькулятор'!$D$8,F800=" ")," ",D800+1))</f>
        <v xml:space="preserve"> </v>
      </c>
      <c r="E801" s="130" t="str">
        <f>IF(OR(F800='депозитный калькулятор'!$D$8,F800=" ")," ",IF(EOMONTH(F800,0)=F800,1,E800+1))</f>
        <v xml:space="preserve"> </v>
      </c>
      <c r="F801" s="64" t="str">
        <f>IF(F800=" "," ",IF(F800='депозитный калькулятор'!$D$8," ",F800+1))</f>
        <v xml:space="preserve"> </v>
      </c>
      <c r="G801" s="145" t="str">
        <f xml:space="preserve"> IF(F801&gt;'депозитный калькулятор'!$D$8," ",IF('депозитный калькулятор'!$G$13="есть",IF('депозитный калькулятор'!$G$14="есть",G800+IF(I800=" ",0,I800)-J801-K801+L801+M801-N801,G800+IF(I800=" ",0,I800)-J801-K801+M801-N801),IF('депозитный калькулятор'!$G$14="есть",G800-J801-K801+L801+M801-N801,G800-J801-K801+M801-N801)))</f>
        <v xml:space="preserve"> </v>
      </c>
      <c r="H801" s="133" t="str">
        <f>IF(F801&gt;'депозитный калькулятор'!$D$8," ",IF(AND(OR('депозитный калькулятор'!$G$7="30/365",'депозитный калькулятор'!$G$7="30/360"),AND(MONTH(F801)=2,EOMONTH(F801,0)=F801)),IF(DAY(F801)=28,3*G801*'депозитный калькулятор'!$G$8,2*G801*'депозитный калькулятор'!$G$8),IF(AND(OR('депозитный калькулятор'!$G$7="30/365",'депозитный калькулятор'!$G$7="30/360"),DAY(F801)=31)," ",IF(AND('депозитный калькулятор'!$G$7="факт/факт",MOD(YEAR(F801),4)=0),G801*'депозитный калькулятор'!$D$11/366,G801*'депозитный калькулятор'!$G$8))))</f>
        <v xml:space="preserve"> </v>
      </c>
      <c r="I801" s="134" t="str">
        <f ca="1">IF(F801=" "," ",IF('депозитный калькулятор'!$G$10="ежедневное",H801,IF(AND('депозитный калькулятор'!$G$10="еженедельное",WEEKDAY(F801,2)=7),SUM(OFFSET(H801,-6,0):H801),IF(AND('депозитный калькулятор'!$G$10="еженедельное",F801='депозитный калькулятор'!$D$8),SUM($H$23:H801)-SUM($I$23:I800),IF(AND('депозитный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недели",WEEKDAY(F801,2)=7),MIN(OFFSET(H801,-6,0):H801)*(COUNTIF(OFFSET(H801,-6,0):H801,"&gt;0")+SUMIF(OFFSET(A801,-WEEKDAY(F801,2),0):A801,"=2",OFFSET(A801,-WEEKDAY(F801,2),0):A801)),IF(AND('депозитный калькулятор'!$G$10="еженедельное, на минимальную сумму зафиксированную в течение недели",F801='депозитный калькулятор'!$D$8,WEEKDAY(F801,2)&lt;&gt;7),MIN(OFFSET(H801,-WEEKDAY(F801,2),0):H801)*(COUNTIF(OFFSET(H801,-WEEKDAY(F801,2)+1,0):H801,"&gt;0")+SUM(OFFSET(A801,-WEEKDAY(F801,2),0):A801)),IF(AND('депозитный калькулятор'!$G$10="ежемесячное (в конце месяца)",F801='депозитный калькулятор'!$D$8,EOMONTH(F801,0)&lt;&gt;F801),IF('депозитный калькулятор'!$F$1=1,$H$24,SUM($H$23:H801)-SUM($I$23:I800)),IF(AND('депозитный калькулятор'!$G$10="ежемесячное (в конце месяца)",EOMONTH(F801,0)=F801),SUM($H$23:H801)-SUM($I$23:I800),IF(AND('депозитный калькулятор'!$G$10="ежемесячное (по дням открытия вклада)",F801='депозитный калькулятор'!$D$8,DAY('депозитный калькулятор'!$D$7)&lt;&gt;DAY(F801)),IF('депозитный калькулятор'!$F$1=1,$H$24,SUM($H$23:H801)-SUM($I$23:I800)),IF(AND('депозитный калькулятор'!$G$10="ежемесячное (по дням открытия вклада)",DAY('депозитный калькулятор'!$D$7)=DAY(F801)),SUM($H$23:H801)-SUM($I$23:I800),IF(AND('депозитный калькулятор'!$G$10="ежемесячное, на минимальную сумму зафиксированную в течение месяца",F801='депозитный калькулятор'!$D$8,EOMONTH(F801,0)&lt;&gt;F801),IF('депозитный калькулятор'!$F$1=1,$H$24,IF(AND(OR('депозитный калькулятор'!$G$7="30/365",'депозитный калькулятор'!$G$7="30/360"),DAY(F801)=31),0,MIN(OFFSET(H801,-E801+1,0):H801)*(E801+SUMIF(OFFSET(A801,-E801+1,0):A801,"=2",OFFSET(A801,-E801+1,0):A801)))),IF(AND('депозитный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калькулятор'!$G$7="30/360"),DAY(EOMONTH(F801,0))=31),EOMONTH(F801,0)-1=F801,EOMONTH(F801,0)=F801)),IF(IF(AND(OR('депозитный калькулятор'!$G$7="30/365",'депозитный калькулятор'!$G$7="30/360"),DAY(EOMONTH($F$23,0))=31),F801=EOMONTH($F$23,0)-1,F801=EOMONTH($F$23,0)),MIN(OFFSET(H801,-(DAY(F801)-DAY($F$23)),0):H801)*E801,MIN(OFFSET(H801,-(DAY(F801)-1),0):H801)*IF(AND(OR('депозитный калькулятор'!$G$7="30/365",'депозитный калькулятор'!$G$7="30/360"),DAY(F801)&lt;30),30,DAY(F801))),IF(AND('депозитный калькулятор'!$G$10="ежемесячное, на средний остаток в течение месяца, при условии что остаток больше чем ограничение",F801='депозитный калькулятор'!$D$8,EOMONTH(F801,0)&lt;&gt;F801),IF('депозитный калькулятор'!$F$1=1,$H$24,SUM(OFFSET(Q801,-E801+1,0):Q801)),IF(AND('депозитный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калькулятор'!$G$7="30/360"),DAY(EOMONTH(F801,0))=31),EOMONTH(F801,0)-1=F801,EOMONTH(F801,0)=F801)),IF(IF(AND(OR('депозитный калькулятор'!$G$7="30/365",'депозитный калькулятор'!$G$7="30/360"),DAY(EOMONTH($F$24,0))=31),F801=EOMONTH($F$24,0)-1,F801=EOMONTH($F$24,0)),SUM(OFFSET(Q801,-E801+1,0):Q801),SUM(OFFSET(Q801,-E801+1,0):Q801)),IF('депозитный калькулятор'!$G$10="ежеквартальное",IF(F801&gt;'депозитный калькулятор'!$D$8," ",IF(AND(EOMONTH(F801,0)=F801,OR(MONTH(F801)=3,MONTH(F801)=6,MONTH(F801)=9,MONTH(F801)=12)),IF(EDATE(F801,-3)&lt;'депозитный калькулятор'!$D$7,SUM($H$23:H801),IF(MOD(YEAR(F801),4)=0,IF(AND(EOMONTH(F801,0)=F801,OR(MONTH(F801)=3,MONTH(F801)=6)),SUM(OFFSET(H801,-90,0):H801),IF(AND(EOMONTH(F801,0)=F801,OR(MONTH(F801)=9,MONTH(F801)=12)),SUM(OFFSET(H801,-91,0):H801))),IF(AND(EOMONTH(F801,0)=F801,MONTH(F801)=3),SUM(OFFSET(H801,-89,0):H801),IF(AND(EOMONTH(F801,0)=F801,MONTH(F801)=6),SUM(OFFSET(H801,-90,0):H801),IF(AND(EOMONTH(F801,0)=F801,OR(MONTH(F801)=9,MONTH(F801)=12)),SUM(OFFSET(H801,-91,0):H801)))))),IF(F801='депозитный калькулятор'!$D$8,SUM($H$23:H801)-SUM($I$23:I800),0))),IF('депозитный калькулятор'!$G$10="ежегодное",IF(F801&gt;'депозитный калькулятор'!$D$8," ",IF(F801='депозитный калькулятор'!$D$8,SUM($H$23:H801)-SUM($I$23:I800),IF(AND(EOMONTH(F801,0)=F801,MONTH(F801)=12),IF(MOD(YEAR(F800),4)=0,IF(F801-'депозитный калькулятор'!$D$7&lt;366,SUM($H$23:H801),SUM(OFFSET(H801,-365,0):H801)),IF(F801-'депозитный калькулятор'!$D$7&lt;365,SUM($H$23:H801),SUM(OFFSET(H801,-364,0):H801))),0))),IF(AND('депозитный калькулятор'!$G$10="в конце срока",'депозитный калькулятор'!$D$8=F801),SUM($H$23:H801),0))))))))))))))))))</f>
        <v xml:space="preserve"> </v>
      </c>
      <c r="J801" s="59" t="str">
        <f>IF(F801&gt;'депозитный калькулятор'!$D$8," ",IF('депозитный калькулятор'!$G$16="нет",0,IF(AND('депозитный калькулятор'!$G$17="разовая (в конце срока)",F801='депозитный калькулятор'!$D$8),'депозитный калькулятор'!$G$18,IF(AND('депозитный калькулятор'!$G$17="ежемесячная",EOMONTH(F800,0)=F800),'депозитный калькулятор'!$G$18,IF(AND('депозитный калькулятор'!$G$17="ежегодная",DAY(F800)=31,MONTH(F800)=12),'депозитный калькулятор'!$G$18,IF(AND('депозитный калькулятор'!$G$17="ежемесячная в зависимости от остатка",EOMONTH(F800,0)=F800,P800&gt;0),'депозитный калькулятор'!$G$18,IF(AND('депозитный калькулятор'!$G$17="ежегодная в зависимости от остатка",DAY(F800)=31,MONTH(F800)=12,P800&gt;0),'депозитный калькулятор'!$G$18,0)))))))</f>
        <v xml:space="preserve"> </v>
      </c>
      <c r="K801" s="135" t="str">
        <f>IF($F801=" "," ",IFERROR(VLOOKUP($F801,'депозитный калькулятор'!$B$26:$F$70,2,0),0))</f>
        <v xml:space="preserve"> </v>
      </c>
      <c r="L801" s="135" t="str">
        <f>IF($F801=" "," ",IFERROR(VLOOKUP($F801,'депозитный калькулятор'!$B$26:$F$70,3,0),0))</f>
        <v xml:space="preserve"> </v>
      </c>
      <c r="M801" s="135" t="str">
        <f>IF($F801=" "," ",IFERROR(VLOOKUP($F801,'депозитный калькулятор'!$B$26:$F$70,4,0),0))</f>
        <v xml:space="preserve"> </v>
      </c>
      <c r="N801" s="135" t="str">
        <f>IF($F801=" "," ",IFERROR(VLOOKUP($F801,'депозитный калькулятор'!$B$26:$F$70,5,0),0))</f>
        <v xml:space="preserve"> </v>
      </c>
      <c r="O801" s="146" t="str">
        <f>IF(F801&gt;'депозитный калькулятор'!$D$8," ",IF(F801='депозитный калькулятор'!$D$8,IF(AND($F$24='депозитный калькулятор'!$D$8,'депозитный калькулятор'!$G$13="нет"),-G801-IF(I801=" ",0,I801)-IF(AND(OR('депозитный калькулятор'!$G$7="30/365",'депозитный калькулятор'!$G$7="30/360"),'депозитный калькулятор'!$G$10="в начале срока"),I800,0)-L801+M801-N801,-G801-IF(I801=" ",0,I801)-L801+M801-N801),IF('депозитный калькулятор'!$G$13="есть",M801-N801+IF('депозитный калькулятор'!$G$14="есть",0,-L801),-IF(I801=" ",0,I801)-IF(AND(OR('депозитный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срока"),I800,0)+M801-N801+IF('депозитный калькулятор'!$G$14="есть",0,-L801))))</f>
        <v xml:space="preserve"> </v>
      </c>
      <c r="P801" s="147" t="str">
        <f>IF(F801&gt;'депозитный калькулятор'!$D$8," ",IF(EOMONTH(F800,0)=F800,0,IF(G801&gt;='депозитный калькулятор'!$G$19,P800,P800+1)))</f>
        <v xml:space="preserve"> </v>
      </c>
      <c r="Q801" s="138" t="str">
        <f>IF(F801=" "," ",IF(AND(OR('депозитный калькулятор'!$G$7="30/365",'депозитный калькулятор'!$G$7="30/360"),AND(MONTH(F801)=2,EOMONTH(F801,0)=F801)),IF(DAY(F801)=28,3,2),1)*IF(G801&gt;='депозитный калькулятор'!$G$11,IF(AND('депозитный калькулятор'!$G$7="факт/факт",MOD(YEAR(F801),4)=0),G801*'депозитный калькулятор'!$D$11/366,G801*'депозитный калькулятор'!$G$8),0))</f>
        <v xml:space="preserve"> </v>
      </c>
      <c r="R801" s="158"/>
      <c r="S801" s="62" t="str">
        <f t="shared" ca="1" si="62"/>
        <v xml:space="preserve"> </v>
      </c>
      <c r="T801" s="149" t="str">
        <f ca="1">IF(S801=" "," ",IF('депозитный калькулятор'!$G$7="30/360",DAYS360(U800,IF(DAY(U801)=31,U801-1,U801))+IF(AND(MONTH(U801)=2,U801=EOMONTH(U801,0)),30-DAY(EOMONTH(U801,0)))+T800,VLOOKUP(S801,$C$22:$F$1023,2,0)))</f>
        <v xml:space="preserve"> </v>
      </c>
      <c r="U801" s="64" t="str">
        <f t="shared" ca="1" si="60"/>
        <v xml:space="preserve"> </v>
      </c>
      <c r="V801" s="150" t="str">
        <f t="shared" ca="1" si="63"/>
        <v xml:space="preserve"> </v>
      </c>
      <c r="W801" s="62" t="str">
        <f t="shared" ca="1" si="64"/>
        <v xml:space="preserve"> </v>
      </c>
      <c r="X801" s="141" t="str">
        <f ca="1">IF(S801=" "," ",IFERROR(VLOOKUP(U801,$F$23:$N$1023,7)+VLOOKUP(U801,$F$23:$N$1023,9)+IF(AND('депозитный калькулятор'!$G$13="нет",U801&lt;&gt;'депозитный калькулятор'!$D$8),VLOOKUP(U801,$F$23:$N$1023,4),0),0)+IF(U801='депозитный калькулятор'!$D$8,VLOOKUP(U801,$F$23:$N$1023,2)+VLOOKUP(U801,$F$23:$N$1023,4),0))</f>
        <v xml:space="preserve"> </v>
      </c>
      <c r="Y801" s="142" t="str">
        <f ca="1">IF(S801=" "," ",W801/(1+'депозитный калькулятор'!$K$8)^(T801/IF('депозитный калькулятор'!$G$7="30/360",360,365)))</f>
        <v xml:space="preserve"> </v>
      </c>
      <c r="Z801" s="142" t="str">
        <f ca="1">IF(S801=" "," ",X801/(1+'депозитный калькулятор'!$K$8)^(T801/IF('депозитный калькулятор'!$G$7="30/360",360,365)))</f>
        <v xml:space="preserve"> </v>
      </c>
      <c r="AA801" s="151"/>
      <c r="AB801" s="151"/>
      <c r="AC801" s="155"/>
      <c r="AD801" s="155"/>
    </row>
    <row r="802" spans="1:30" s="2" customFormat="1" ht="15.5" x14ac:dyDescent="0.35">
      <c r="A802" s="41" t="str">
        <f>IF(F802=" "," ",IF(OR('депозитный калькулятор'!$G$7="30/365",'депозитный калькулятор'!$G$7="30/360"),IF(AND(MONTH(F802)=2,DAY(F802)=DAY(EOMONTH(F802,0))),30-DAY(EOMONTH(F802,0)),IF(DAY(F802)=31,1," "))," "))</f>
        <v xml:space="preserve"> </v>
      </c>
      <c r="B802" s="130" t="str">
        <f t="shared" si="61"/>
        <v xml:space="preserve"> </v>
      </c>
      <c r="C802" s="130" t="str">
        <f>IF(OR(B802=0,B802=" ")," ",SUM($B$23:B802))</f>
        <v xml:space="preserve"> </v>
      </c>
      <c r="D802" s="62" t="str">
        <f>IF(D801=" "," ",IF(OR(F801='депозитный калькулятор'!$D$8,F801=" ")," ",D801+1))</f>
        <v xml:space="preserve"> </v>
      </c>
      <c r="E802" s="130" t="str">
        <f>IF(OR(F801='депозитный калькулятор'!$D$8,F801=" ")," ",IF(EOMONTH(F801,0)=F801,1,E801+1))</f>
        <v xml:space="preserve"> </v>
      </c>
      <c r="F802" s="64" t="str">
        <f>IF(F801=" "," ",IF(F801='депозитный калькулятор'!$D$8," ",F801+1))</f>
        <v xml:space="preserve"> </v>
      </c>
      <c r="G802" s="145" t="str">
        <f xml:space="preserve"> IF(F802&gt;'депозитный калькулятор'!$D$8," ",IF('депозитный калькулятор'!$G$13="есть",IF('депозитный калькулятор'!$G$14="есть",G801+IF(I801=" ",0,I801)-J802-K802+L802+M802-N802,G801+IF(I801=" ",0,I801)-J802-K802+M802-N802),IF('депозитный калькулятор'!$G$14="есть",G801-J802-K802+L802+M802-N802,G801-J802-K802+M802-N802)))</f>
        <v xml:space="preserve"> </v>
      </c>
      <c r="H802" s="133" t="str">
        <f>IF(F802&gt;'депозитный калькулятор'!$D$8," ",IF(AND(OR('депозитный калькулятор'!$G$7="30/365",'депозитный калькулятор'!$G$7="30/360"),AND(MONTH(F802)=2,EOMONTH(F802,0)=F802)),IF(DAY(F802)=28,3*G802*'депозитный калькулятор'!$G$8,2*G802*'депозитный калькулятор'!$G$8),IF(AND(OR('депозитный калькулятор'!$G$7="30/365",'депозитный калькулятор'!$G$7="30/360"),DAY(F802)=31)," ",IF(AND('депозитный калькулятор'!$G$7="факт/факт",MOD(YEAR(F802),4)=0),G802*'депозитный калькулятор'!$D$11/366,G802*'депозитный калькулятор'!$G$8))))</f>
        <v xml:space="preserve"> </v>
      </c>
      <c r="I802" s="134" t="str">
        <f ca="1">IF(F802=" "," ",IF('депозитный калькулятор'!$G$10="ежедневное",H802,IF(AND('депозитный калькулятор'!$G$10="еженедельное",WEEKDAY(F802,2)=7),SUM(OFFSET(H802,-6,0):H802),IF(AND('депозитный калькулятор'!$G$10="еженедельное",F802='депозитный калькулятор'!$D$8),SUM($H$23:H802)-SUM($I$23:I801),IF(AND('депозитный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недели",WEEKDAY(F802,2)=7),MIN(OFFSET(H802,-6,0):H802)*(COUNTIF(OFFSET(H802,-6,0):H802,"&gt;0")+SUMIF(OFFSET(A802,-WEEKDAY(F802,2),0):A802,"=2",OFFSET(A802,-WEEKDAY(F802,2),0):A802)),IF(AND('депозитный калькулятор'!$G$10="еженедельное, на минимальную сумму зафиксированную в течение недели",F802='депозитный калькулятор'!$D$8,WEEKDAY(F802,2)&lt;&gt;7),MIN(OFFSET(H802,-WEEKDAY(F802,2),0):H802)*(COUNTIF(OFFSET(H802,-WEEKDAY(F802,2)+1,0):H802,"&gt;0")+SUM(OFFSET(A802,-WEEKDAY(F802,2),0):A802)),IF(AND('депозитный калькулятор'!$G$10="ежемесячное (в конце месяца)",F802='депозитный калькулятор'!$D$8,EOMONTH(F802,0)&lt;&gt;F802),IF('депозитный калькулятор'!$F$1=1,$H$24,SUM($H$23:H802)-SUM($I$23:I801)),IF(AND('депозитный калькулятор'!$G$10="ежемесячное (в конце месяца)",EOMONTH(F802,0)=F802),SUM($H$23:H802)-SUM($I$23:I801),IF(AND('депозитный калькулятор'!$G$10="ежемесячное (по дням открытия вклада)",F802='депозитный калькулятор'!$D$8,DAY('депозитный калькулятор'!$D$7)&lt;&gt;DAY(F802)),IF('депозитный калькулятор'!$F$1=1,$H$24,SUM($H$23:H802)-SUM($I$23:I801)),IF(AND('депозитный калькулятор'!$G$10="ежемесячное (по дням открытия вклада)",DAY('депозитный калькулятор'!$D$7)=DAY(F802)),SUM($H$23:H802)-SUM($I$23:I801),IF(AND('депозитный калькулятор'!$G$10="ежемесячное, на минимальную сумму зафиксированную в течение месяца",F802='депозитный калькулятор'!$D$8,EOMONTH(F802,0)&lt;&gt;F802),IF('депозитный калькулятор'!$F$1=1,$H$24,IF(AND(OR('депозитный калькулятор'!$G$7="30/365",'депозитный калькулятор'!$G$7="30/360"),DAY(F802)=31),0,MIN(OFFSET(H802,-E802+1,0):H802)*(E802+SUMIF(OFFSET(A802,-E802+1,0):A802,"=2",OFFSET(A802,-E802+1,0):A802)))),IF(AND('депозитный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калькулятор'!$G$7="30/360"),DAY(EOMONTH(F802,0))=31),EOMONTH(F802,0)-1=F802,EOMONTH(F802,0)=F802)),IF(IF(AND(OR('депозитный калькулятор'!$G$7="30/365",'депозитный калькулятор'!$G$7="30/360"),DAY(EOMONTH($F$23,0))=31),F802=EOMONTH($F$23,0)-1,F802=EOMONTH($F$23,0)),MIN(OFFSET(H802,-(DAY(F802)-DAY($F$23)),0):H802)*E802,MIN(OFFSET(H802,-(DAY(F802)-1),0):H802)*IF(AND(OR('депозитный калькулятор'!$G$7="30/365",'депозитный калькулятор'!$G$7="30/360"),DAY(F802)&lt;30),30,DAY(F802))),IF(AND('депозитный калькулятор'!$G$10="ежемесячное, на средний остаток в течение месяца, при условии что остаток больше чем ограничение",F802='депозитный калькулятор'!$D$8,EOMONTH(F802,0)&lt;&gt;F802),IF('депозитный калькулятор'!$F$1=1,$H$24,SUM(OFFSET(Q802,-E802+1,0):Q802)),IF(AND('депозитный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калькулятор'!$G$7="30/360"),DAY(EOMONTH(F802,0))=31),EOMONTH(F802,0)-1=F802,EOMONTH(F802,0)=F802)),IF(IF(AND(OR('депозитный калькулятор'!$G$7="30/365",'депозитный калькулятор'!$G$7="30/360"),DAY(EOMONTH($F$24,0))=31),F802=EOMONTH($F$24,0)-1,F802=EOMONTH($F$24,0)),SUM(OFFSET(Q802,-E802+1,0):Q802),SUM(OFFSET(Q802,-E802+1,0):Q802)),IF('депозитный калькулятор'!$G$10="ежеквартальное",IF(F802&gt;'депозитный калькулятор'!$D$8," ",IF(AND(EOMONTH(F802,0)=F802,OR(MONTH(F802)=3,MONTH(F802)=6,MONTH(F802)=9,MONTH(F802)=12)),IF(EDATE(F802,-3)&lt;'депозитный калькулятор'!$D$7,SUM($H$23:H802),IF(MOD(YEAR(F802),4)=0,IF(AND(EOMONTH(F802,0)=F802,OR(MONTH(F802)=3,MONTH(F802)=6)),SUM(OFFSET(H802,-90,0):H802),IF(AND(EOMONTH(F802,0)=F802,OR(MONTH(F802)=9,MONTH(F802)=12)),SUM(OFFSET(H802,-91,0):H802))),IF(AND(EOMONTH(F802,0)=F802,MONTH(F802)=3),SUM(OFFSET(H802,-89,0):H802),IF(AND(EOMONTH(F802,0)=F802,MONTH(F802)=6),SUM(OFFSET(H802,-90,0):H802),IF(AND(EOMONTH(F802,0)=F802,OR(MONTH(F802)=9,MONTH(F802)=12)),SUM(OFFSET(H802,-91,0):H802)))))),IF(F802='депозитный калькулятор'!$D$8,SUM($H$23:H802)-SUM($I$23:I801),0))),IF('депозитный калькулятор'!$G$10="ежегодное",IF(F802&gt;'депозитный калькулятор'!$D$8," ",IF(F802='депозитный калькулятор'!$D$8,SUM($H$23:H802)-SUM($I$23:I801),IF(AND(EOMONTH(F802,0)=F802,MONTH(F802)=12),IF(MOD(YEAR(F801),4)=0,IF(F802-'депозитный калькулятор'!$D$7&lt;366,SUM($H$23:H802),SUM(OFFSET(H802,-365,0):H802)),IF(F802-'депозитный калькулятор'!$D$7&lt;365,SUM($H$23:H802),SUM(OFFSET(H802,-364,0):H802))),0))),IF(AND('депозитный калькулятор'!$G$10="в конце срока",'депозитный калькулятор'!$D$8=F802),SUM($H$23:H802),0))))))))))))))))))</f>
        <v xml:space="preserve"> </v>
      </c>
      <c r="J802" s="59" t="str">
        <f>IF(F802&gt;'депозитный калькулятор'!$D$8," ",IF('депозитный калькулятор'!$G$16="нет",0,IF(AND('депозитный калькулятор'!$G$17="разовая (в конце срока)",F802='депозитный калькулятор'!$D$8),'депозитный калькулятор'!$G$18,IF(AND('депозитный калькулятор'!$G$17="ежемесячная",EOMONTH(F801,0)=F801),'депозитный калькулятор'!$G$18,IF(AND('депозитный калькулятор'!$G$17="ежегодная",DAY(F801)=31,MONTH(F801)=12),'депозитный калькулятор'!$G$18,IF(AND('депозитный калькулятор'!$G$17="ежемесячная в зависимости от остатка",EOMONTH(F801,0)=F801,P801&gt;0),'депозитный калькулятор'!$G$18,IF(AND('депозитный калькулятор'!$G$17="ежегодная в зависимости от остатка",DAY(F801)=31,MONTH(F801)=12,P801&gt;0),'депозитный калькулятор'!$G$18,0)))))))</f>
        <v xml:space="preserve"> </v>
      </c>
      <c r="K802" s="135" t="str">
        <f>IF($F802=" "," ",IFERROR(VLOOKUP($F802,'депозитный калькулятор'!$B$26:$F$70,2,0),0))</f>
        <v xml:space="preserve"> </v>
      </c>
      <c r="L802" s="135" t="str">
        <f>IF($F802=" "," ",IFERROR(VLOOKUP($F802,'депозитный калькулятор'!$B$26:$F$70,3,0),0))</f>
        <v xml:space="preserve"> </v>
      </c>
      <c r="M802" s="135" t="str">
        <f>IF($F802=" "," ",IFERROR(VLOOKUP($F802,'депозитный калькулятор'!$B$26:$F$70,4,0),0))</f>
        <v xml:space="preserve"> </v>
      </c>
      <c r="N802" s="135" t="str">
        <f>IF($F802=" "," ",IFERROR(VLOOKUP($F802,'депозитный калькулятор'!$B$26:$F$70,5,0),0))</f>
        <v xml:space="preserve"> </v>
      </c>
      <c r="O802" s="146" t="str">
        <f>IF(F802&gt;'депозитный калькулятор'!$D$8," ",IF(F802='депозитный калькулятор'!$D$8,IF(AND($F$24='депозитный калькулятор'!$D$8,'депозитный калькулятор'!$G$13="нет"),-G802-IF(I802=" ",0,I802)-IF(AND(OR('депозитный калькулятор'!$G$7="30/365",'депозитный калькулятор'!$G$7="30/360"),'депозитный калькулятор'!$G$10="в начале срока"),I801,0)-L802+M802-N802,-G802-IF(I802=" ",0,I802)-L802+M802-N802),IF('депозитный калькулятор'!$G$13="есть",M802-N802+IF('депозитный калькулятор'!$G$14="есть",0,-L802),-IF(I802=" ",0,I802)-IF(AND(OR('депозитный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срока"),I801,0)+M802-N802+IF('депозитный калькулятор'!$G$14="есть",0,-L802))))</f>
        <v xml:space="preserve"> </v>
      </c>
      <c r="P802" s="147" t="str">
        <f>IF(F802&gt;'депозитный калькулятор'!$D$8," ",IF(EOMONTH(F801,0)=F801,0,IF(G802&gt;='депозитный калькулятор'!$G$19,P801,P801+1)))</f>
        <v xml:space="preserve"> </v>
      </c>
      <c r="Q802" s="138" t="str">
        <f>IF(F802=" "," ",IF(AND(OR('депозитный калькулятор'!$G$7="30/365",'депозитный калькулятор'!$G$7="30/360"),AND(MONTH(F802)=2,EOMONTH(F802,0)=F802)),IF(DAY(F802)=28,3,2),1)*IF(G802&gt;='депозитный калькулятор'!$G$11,IF(AND('депозитный калькулятор'!$G$7="факт/факт",MOD(YEAR(F802),4)=0),G802*'депозитный калькулятор'!$D$11/366,G802*'депозитный калькулятор'!$G$8),0))</f>
        <v xml:space="preserve"> </v>
      </c>
      <c r="R802" s="158"/>
      <c r="S802" s="62" t="str">
        <f t="shared" ca="1" si="62"/>
        <v xml:space="preserve"> </v>
      </c>
      <c r="T802" s="149" t="str">
        <f ca="1">IF(S802=" "," ",IF('депозитный калькулятор'!$G$7="30/360",DAYS360(U801,IF(DAY(U802)=31,U802-1,U802))+IF(AND(MONTH(U802)=2,U802=EOMONTH(U802,0)),30-DAY(EOMONTH(U802,0)))+T801,VLOOKUP(S802,$C$22:$F$1023,2,0)))</f>
        <v xml:space="preserve"> </v>
      </c>
      <c r="U802" s="64" t="str">
        <f t="shared" ca="1" si="60"/>
        <v xml:space="preserve"> </v>
      </c>
      <c r="V802" s="150" t="str">
        <f t="shared" ca="1" si="63"/>
        <v xml:space="preserve"> </v>
      </c>
      <c r="W802" s="62" t="str">
        <f t="shared" ca="1" si="64"/>
        <v xml:space="preserve"> </v>
      </c>
      <c r="X802" s="141" t="str">
        <f ca="1">IF(S802=" "," ",IFERROR(VLOOKUP(U802,$F$23:$N$1023,7)+VLOOKUP(U802,$F$23:$N$1023,9)+IF(AND('депозитный калькулятор'!$G$13="нет",U802&lt;&gt;'депозитный калькулятор'!$D$8),VLOOKUP(U802,$F$23:$N$1023,4),0),0)+IF(U802='депозитный калькулятор'!$D$8,VLOOKUP(U802,$F$23:$N$1023,2)+VLOOKUP(U802,$F$23:$N$1023,4),0))</f>
        <v xml:space="preserve"> </v>
      </c>
      <c r="Y802" s="142" t="str">
        <f ca="1">IF(S802=" "," ",W802/(1+'депозитный калькулятор'!$K$8)^(T802/IF('депозитный калькулятор'!$G$7="30/360",360,365)))</f>
        <v xml:space="preserve"> </v>
      </c>
      <c r="Z802" s="142" t="str">
        <f ca="1">IF(S802=" "," ",X802/(1+'депозитный калькулятор'!$K$8)^(T802/IF('депозитный калькулятор'!$G$7="30/360",360,365)))</f>
        <v xml:space="preserve"> </v>
      </c>
      <c r="AA802" s="151"/>
      <c r="AB802" s="151"/>
      <c r="AC802" s="155"/>
      <c r="AD802" s="155"/>
    </row>
    <row r="803" spans="1:30" s="2" customFormat="1" ht="15.5" x14ac:dyDescent="0.35">
      <c r="A803" s="41" t="str">
        <f>IF(F803=" "," ",IF(OR('депозитный калькулятор'!$G$7="30/365",'депозитный калькулятор'!$G$7="30/360"),IF(AND(MONTH(F803)=2,DAY(F803)=DAY(EOMONTH(F803,0))),30-DAY(EOMONTH(F803,0)),IF(DAY(F803)=31,1," "))," "))</f>
        <v xml:space="preserve"> </v>
      </c>
      <c r="B803" s="130" t="str">
        <f t="shared" si="61"/>
        <v xml:space="preserve"> </v>
      </c>
      <c r="C803" s="130" t="str">
        <f>IF(OR(B803=0,B803=" ")," ",SUM($B$23:B803))</f>
        <v xml:space="preserve"> </v>
      </c>
      <c r="D803" s="62" t="str">
        <f>IF(D802=" "," ",IF(OR(F802='депозитный калькулятор'!$D$8,F802=" ")," ",D802+1))</f>
        <v xml:space="preserve"> </v>
      </c>
      <c r="E803" s="130" t="str">
        <f>IF(OR(F802='депозитный калькулятор'!$D$8,F802=" ")," ",IF(EOMONTH(F802,0)=F802,1,E802+1))</f>
        <v xml:space="preserve"> </v>
      </c>
      <c r="F803" s="64" t="str">
        <f>IF(F802=" "," ",IF(F802='депозитный калькулятор'!$D$8," ",F802+1))</f>
        <v xml:space="preserve"> </v>
      </c>
      <c r="G803" s="145" t="str">
        <f xml:space="preserve"> IF(F803&gt;'депозитный калькулятор'!$D$8," ",IF('депозитный калькулятор'!$G$13="есть",IF('депозитный калькулятор'!$G$14="есть",G802+IF(I802=" ",0,I802)-J803-K803+L803+M803-N803,G802+IF(I802=" ",0,I802)-J803-K803+M803-N803),IF('депозитный калькулятор'!$G$14="есть",G802-J803-K803+L803+M803-N803,G802-J803-K803+M803-N803)))</f>
        <v xml:space="preserve"> </v>
      </c>
      <c r="H803" s="133" t="str">
        <f>IF(F803&gt;'депозитный калькулятор'!$D$8," ",IF(AND(OR('депозитный калькулятор'!$G$7="30/365",'депозитный калькулятор'!$G$7="30/360"),AND(MONTH(F803)=2,EOMONTH(F803,0)=F803)),IF(DAY(F803)=28,3*G803*'депозитный калькулятор'!$G$8,2*G803*'депозитный калькулятор'!$G$8),IF(AND(OR('депозитный калькулятор'!$G$7="30/365",'депозитный калькулятор'!$G$7="30/360"),DAY(F803)=31)," ",IF(AND('депозитный калькулятор'!$G$7="факт/факт",MOD(YEAR(F803),4)=0),G803*'депозитный калькулятор'!$D$11/366,G803*'депозитный калькулятор'!$G$8))))</f>
        <v xml:space="preserve"> </v>
      </c>
      <c r="I803" s="134" t="str">
        <f ca="1">IF(F803=" "," ",IF('депозитный калькулятор'!$G$10="ежедневное",H803,IF(AND('депозитный калькулятор'!$G$10="еженедельное",WEEKDAY(F803,2)=7),SUM(OFFSET(H803,-6,0):H803),IF(AND('депозитный калькулятор'!$G$10="еженедельное",F803='депозитный калькулятор'!$D$8),SUM($H$23:H803)-SUM($I$23:I802),IF(AND('депозитный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недели",WEEKDAY(F803,2)=7),MIN(OFFSET(H803,-6,0):H803)*(COUNTIF(OFFSET(H803,-6,0):H803,"&gt;0")+SUMIF(OFFSET(A803,-WEEKDAY(F803,2),0):A803,"=2",OFFSET(A803,-WEEKDAY(F803,2),0):A803)),IF(AND('депозитный калькулятор'!$G$10="еженедельное, на минимальную сумму зафиксированную в течение недели",F803='депозитный калькулятор'!$D$8,WEEKDAY(F803,2)&lt;&gt;7),MIN(OFFSET(H803,-WEEKDAY(F803,2),0):H803)*(COUNTIF(OFFSET(H803,-WEEKDAY(F803,2)+1,0):H803,"&gt;0")+SUM(OFFSET(A803,-WEEKDAY(F803,2),0):A803)),IF(AND('депозитный калькулятор'!$G$10="ежемесячное (в конце месяца)",F803='депозитный калькулятор'!$D$8,EOMONTH(F803,0)&lt;&gt;F803),IF('депозитный калькулятор'!$F$1=1,$H$24,SUM($H$23:H803)-SUM($I$23:I802)),IF(AND('депозитный калькулятор'!$G$10="ежемесячное (в конце месяца)",EOMONTH(F803,0)=F803),SUM($H$23:H803)-SUM($I$23:I802),IF(AND('депозитный калькулятор'!$G$10="ежемесячное (по дням открытия вклада)",F803='депозитный калькулятор'!$D$8,DAY('депозитный калькулятор'!$D$7)&lt;&gt;DAY(F803)),IF('депозитный калькулятор'!$F$1=1,$H$24,SUM($H$23:H803)-SUM($I$23:I802)),IF(AND('депозитный калькулятор'!$G$10="ежемесячное (по дням открытия вклада)",DAY('депозитный калькулятор'!$D$7)=DAY(F803)),SUM($H$23:H803)-SUM($I$23:I802),IF(AND('депозитный калькулятор'!$G$10="ежемесячное, на минимальную сумму зафиксированную в течение месяца",F803='депозитный калькулятор'!$D$8,EOMONTH(F803,0)&lt;&gt;F803),IF('депозитный калькулятор'!$F$1=1,$H$24,IF(AND(OR('депозитный калькулятор'!$G$7="30/365",'депозитный калькулятор'!$G$7="30/360"),DAY(F803)=31),0,MIN(OFFSET(H803,-E803+1,0):H803)*(E803+SUMIF(OFFSET(A803,-E803+1,0):A803,"=2",OFFSET(A803,-E803+1,0):A803)))),IF(AND('депозитный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калькулятор'!$G$7="30/360"),DAY(EOMONTH(F803,0))=31),EOMONTH(F803,0)-1=F803,EOMONTH(F803,0)=F803)),IF(IF(AND(OR('депозитный калькулятор'!$G$7="30/365",'депозитный калькулятор'!$G$7="30/360"),DAY(EOMONTH($F$23,0))=31),F803=EOMONTH($F$23,0)-1,F803=EOMONTH($F$23,0)),MIN(OFFSET(H803,-(DAY(F803)-DAY($F$23)),0):H803)*E803,MIN(OFFSET(H803,-(DAY(F803)-1),0):H803)*IF(AND(OR('депозитный калькулятор'!$G$7="30/365",'депозитный калькулятор'!$G$7="30/360"),DAY(F803)&lt;30),30,DAY(F803))),IF(AND('депозитный калькулятор'!$G$10="ежемесячное, на средний остаток в течение месяца, при условии что остаток больше чем ограничение",F803='депозитный калькулятор'!$D$8,EOMONTH(F803,0)&lt;&gt;F803),IF('депозитный калькулятор'!$F$1=1,$H$24,SUM(OFFSET(Q803,-E803+1,0):Q803)),IF(AND('депозитный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калькулятор'!$G$7="30/360"),DAY(EOMONTH(F803,0))=31),EOMONTH(F803,0)-1=F803,EOMONTH(F803,0)=F803)),IF(IF(AND(OR('депозитный калькулятор'!$G$7="30/365",'депозитный калькулятор'!$G$7="30/360"),DAY(EOMONTH($F$24,0))=31),F803=EOMONTH($F$24,0)-1,F803=EOMONTH($F$24,0)),SUM(OFFSET(Q803,-E803+1,0):Q803),SUM(OFFSET(Q803,-E803+1,0):Q803)),IF('депозитный калькулятор'!$G$10="ежеквартальное",IF(F803&gt;'депозитный калькулятор'!$D$8," ",IF(AND(EOMONTH(F803,0)=F803,OR(MONTH(F803)=3,MONTH(F803)=6,MONTH(F803)=9,MONTH(F803)=12)),IF(EDATE(F803,-3)&lt;'депозитный калькулятор'!$D$7,SUM($H$23:H803),IF(MOD(YEAR(F803),4)=0,IF(AND(EOMONTH(F803,0)=F803,OR(MONTH(F803)=3,MONTH(F803)=6)),SUM(OFFSET(H803,-90,0):H803),IF(AND(EOMONTH(F803,0)=F803,OR(MONTH(F803)=9,MONTH(F803)=12)),SUM(OFFSET(H803,-91,0):H803))),IF(AND(EOMONTH(F803,0)=F803,MONTH(F803)=3),SUM(OFFSET(H803,-89,0):H803),IF(AND(EOMONTH(F803,0)=F803,MONTH(F803)=6),SUM(OFFSET(H803,-90,0):H803),IF(AND(EOMONTH(F803,0)=F803,OR(MONTH(F803)=9,MONTH(F803)=12)),SUM(OFFSET(H803,-91,0):H803)))))),IF(F803='депозитный калькулятор'!$D$8,SUM($H$23:H803)-SUM($I$23:I802),0))),IF('депозитный калькулятор'!$G$10="ежегодное",IF(F803&gt;'депозитный калькулятор'!$D$8," ",IF(F803='депозитный калькулятор'!$D$8,SUM($H$23:H803)-SUM($I$23:I802),IF(AND(EOMONTH(F803,0)=F803,MONTH(F803)=12),IF(MOD(YEAR(F802),4)=0,IF(F803-'депозитный калькулятор'!$D$7&lt;366,SUM($H$23:H803),SUM(OFFSET(H803,-365,0):H803)),IF(F803-'депозитный калькулятор'!$D$7&lt;365,SUM($H$23:H803),SUM(OFFSET(H803,-364,0):H803))),0))),IF(AND('депозитный калькулятор'!$G$10="в конце срока",'депозитный калькулятор'!$D$8=F803),SUM($H$23:H803),0))))))))))))))))))</f>
        <v xml:space="preserve"> </v>
      </c>
      <c r="J803" s="59" t="str">
        <f>IF(F803&gt;'депозитный калькулятор'!$D$8," ",IF('депозитный калькулятор'!$G$16="нет",0,IF(AND('депозитный калькулятор'!$G$17="разовая (в конце срока)",F803='депозитный калькулятор'!$D$8),'депозитный калькулятор'!$G$18,IF(AND('депозитный калькулятор'!$G$17="ежемесячная",EOMONTH(F802,0)=F802),'депозитный калькулятор'!$G$18,IF(AND('депозитный калькулятор'!$G$17="ежегодная",DAY(F802)=31,MONTH(F802)=12),'депозитный калькулятор'!$G$18,IF(AND('депозитный калькулятор'!$G$17="ежемесячная в зависимости от остатка",EOMONTH(F802,0)=F802,P802&gt;0),'депозитный калькулятор'!$G$18,IF(AND('депозитный калькулятор'!$G$17="ежегодная в зависимости от остатка",DAY(F802)=31,MONTH(F802)=12,P802&gt;0),'депозитный калькулятор'!$G$18,0)))))))</f>
        <v xml:space="preserve"> </v>
      </c>
      <c r="K803" s="135" t="str">
        <f>IF($F803=" "," ",IFERROR(VLOOKUP($F803,'депозитный калькулятор'!$B$26:$F$70,2,0),0))</f>
        <v xml:space="preserve"> </v>
      </c>
      <c r="L803" s="135" t="str">
        <f>IF($F803=" "," ",IFERROR(VLOOKUP($F803,'депозитный калькулятор'!$B$26:$F$70,3,0),0))</f>
        <v xml:space="preserve"> </v>
      </c>
      <c r="M803" s="135" t="str">
        <f>IF($F803=" "," ",IFERROR(VLOOKUP($F803,'депозитный калькулятор'!$B$26:$F$70,4,0),0))</f>
        <v xml:space="preserve"> </v>
      </c>
      <c r="N803" s="135" t="str">
        <f>IF($F803=" "," ",IFERROR(VLOOKUP($F803,'депозитный калькулятор'!$B$26:$F$70,5,0),0))</f>
        <v xml:space="preserve"> </v>
      </c>
      <c r="O803" s="146" t="str">
        <f>IF(F803&gt;'депозитный калькулятор'!$D$8," ",IF(F803='депозитный калькулятор'!$D$8,IF(AND($F$24='депозитный калькулятор'!$D$8,'депозитный калькулятор'!$G$13="нет"),-G803-IF(I803=" ",0,I803)-IF(AND(OR('депозитный калькулятор'!$G$7="30/365",'депозитный калькулятор'!$G$7="30/360"),'депозитный калькулятор'!$G$10="в начале срока"),I802,0)-L803+M803-N803,-G803-IF(I803=" ",0,I803)-L803+M803-N803),IF('депозитный калькулятор'!$G$13="есть",M803-N803+IF('депозитный калькулятор'!$G$14="есть",0,-L803),-IF(I803=" ",0,I803)-IF(AND(OR('депозитный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срока"),I802,0)+M803-N803+IF('депозитный калькулятор'!$G$14="есть",0,-L803))))</f>
        <v xml:space="preserve"> </v>
      </c>
      <c r="P803" s="147" t="str">
        <f>IF(F803&gt;'депозитный калькулятор'!$D$8," ",IF(EOMONTH(F802,0)=F802,0,IF(G803&gt;='депозитный калькулятор'!$G$19,P802,P802+1)))</f>
        <v xml:space="preserve"> </v>
      </c>
      <c r="Q803" s="138" t="str">
        <f>IF(F803=" "," ",IF(AND(OR('депозитный калькулятор'!$G$7="30/365",'депозитный калькулятор'!$G$7="30/360"),AND(MONTH(F803)=2,EOMONTH(F803,0)=F803)),IF(DAY(F803)=28,3,2),1)*IF(G803&gt;='депозитный калькулятор'!$G$11,IF(AND('депозитный калькулятор'!$G$7="факт/факт",MOD(YEAR(F803),4)=0),G803*'депозитный калькулятор'!$D$11/366,G803*'депозитный калькулятор'!$G$8),0))</f>
        <v xml:space="preserve"> </v>
      </c>
      <c r="R803" s="158"/>
      <c r="S803" s="62" t="str">
        <f t="shared" ca="1" si="62"/>
        <v xml:space="preserve"> </v>
      </c>
      <c r="T803" s="149" t="str">
        <f ca="1">IF(S803=" "," ",IF('депозитный калькулятор'!$G$7="30/360",DAYS360(U802,IF(DAY(U803)=31,U803-1,U803))+IF(AND(MONTH(U803)=2,U803=EOMONTH(U803,0)),30-DAY(EOMONTH(U803,0)))+T802,VLOOKUP(S803,$C$22:$F$1023,2,0)))</f>
        <v xml:space="preserve"> </v>
      </c>
      <c r="U803" s="64" t="str">
        <f t="shared" ca="1" si="60"/>
        <v xml:space="preserve"> </v>
      </c>
      <c r="V803" s="150" t="str">
        <f t="shared" ca="1" si="63"/>
        <v xml:space="preserve"> </v>
      </c>
      <c r="W803" s="62" t="str">
        <f t="shared" ca="1" si="64"/>
        <v xml:space="preserve"> </v>
      </c>
      <c r="X803" s="141" t="str">
        <f ca="1">IF(S803=" "," ",IFERROR(VLOOKUP(U803,$F$23:$N$1023,7)+VLOOKUP(U803,$F$23:$N$1023,9)+IF(AND('депозитный калькулятор'!$G$13="нет",U803&lt;&gt;'депозитный калькулятор'!$D$8),VLOOKUP(U803,$F$23:$N$1023,4),0),0)+IF(U803='депозитный калькулятор'!$D$8,VLOOKUP(U803,$F$23:$N$1023,2)+VLOOKUP(U803,$F$23:$N$1023,4),0))</f>
        <v xml:space="preserve"> </v>
      </c>
      <c r="Y803" s="142" t="str">
        <f ca="1">IF(S803=" "," ",W803/(1+'депозитный калькулятор'!$K$8)^(T803/IF('депозитный калькулятор'!$G$7="30/360",360,365)))</f>
        <v xml:space="preserve"> </v>
      </c>
      <c r="Z803" s="142" t="str">
        <f ca="1">IF(S803=" "," ",X803/(1+'депозитный калькулятор'!$K$8)^(T803/IF('депозитный калькулятор'!$G$7="30/360",360,365)))</f>
        <v xml:space="preserve"> </v>
      </c>
      <c r="AA803" s="151"/>
      <c r="AB803" s="151"/>
      <c r="AC803" s="155"/>
      <c r="AD803" s="155"/>
    </row>
    <row r="804" spans="1:30" s="2" customFormat="1" ht="15.5" x14ac:dyDescent="0.35">
      <c r="A804" s="41" t="str">
        <f>IF(F804=" "," ",IF(OR('депозитный калькулятор'!$G$7="30/365",'депозитный калькулятор'!$G$7="30/360"),IF(AND(MONTH(F804)=2,DAY(F804)=DAY(EOMONTH(F804,0))),30-DAY(EOMONTH(F804,0)),IF(DAY(F804)=31,1," "))," "))</f>
        <v xml:space="preserve"> </v>
      </c>
      <c r="B804" s="130" t="str">
        <f t="shared" si="61"/>
        <v xml:space="preserve"> </v>
      </c>
      <c r="C804" s="130" t="str">
        <f>IF(OR(B804=0,B804=" ")," ",SUM($B$23:B804))</f>
        <v xml:space="preserve"> </v>
      </c>
      <c r="D804" s="62" t="str">
        <f>IF(D803=" "," ",IF(OR(F803='депозитный калькулятор'!$D$8,F803=" ")," ",D803+1))</f>
        <v xml:space="preserve"> </v>
      </c>
      <c r="E804" s="130" t="str">
        <f>IF(OR(F803='депозитный калькулятор'!$D$8,F803=" ")," ",IF(EOMONTH(F803,0)=F803,1,E803+1))</f>
        <v xml:space="preserve"> </v>
      </c>
      <c r="F804" s="64" t="str">
        <f>IF(F803=" "," ",IF(F803='депозитный калькулятор'!$D$8," ",F803+1))</f>
        <v xml:space="preserve"> </v>
      </c>
      <c r="G804" s="145" t="str">
        <f xml:space="preserve"> IF(F804&gt;'депозитный калькулятор'!$D$8," ",IF('депозитный калькулятор'!$G$13="есть",IF('депозитный калькулятор'!$G$14="есть",G803+IF(I803=" ",0,I803)-J804-K804+L804+M804-N804,G803+IF(I803=" ",0,I803)-J804-K804+M804-N804),IF('депозитный калькулятор'!$G$14="есть",G803-J804-K804+L804+M804-N804,G803-J804-K804+M804-N804)))</f>
        <v xml:space="preserve"> </v>
      </c>
      <c r="H804" s="133" t="str">
        <f>IF(F804&gt;'депозитный калькулятор'!$D$8," ",IF(AND(OR('депозитный калькулятор'!$G$7="30/365",'депозитный калькулятор'!$G$7="30/360"),AND(MONTH(F804)=2,EOMONTH(F804,0)=F804)),IF(DAY(F804)=28,3*G804*'депозитный калькулятор'!$G$8,2*G804*'депозитный калькулятор'!$G$8),IF(AND(OR('депозитный калькулятор'!$G$7="30/365",'депозитный калькулятор'!$G$7="30/360"),DAY(F804)=31)," ",IF(AND('депозитный калькулятор'!$G$7="факт/факт",MOD(YEAR(F804),4)=0),G804*'депозитный калькулятор'!$D$11/366,G804*'депозитный калькулятор'!$G$8))))</f>
        <v xml:space="preserve"> </v>
      </c>
      <c r="I804" s="134" t="str">
        <f ca="1">IF(F804=" "," ",IF('депозитный калькулятор'!$G$10="ежедневное",H804,IF(AND('депозитный калькулятор'!$G$10="еженедельное",WEEKDAY(F804,2)=7),SUM(OFFSET(H804,-6,0):H804),IF(AND('депозитный калькулятор'!$G$10="еженедельное",F804='депозитный калькулятор'!$D$8),SUM($H$23:H804)-SUM($I$23:I803),IF(AND('депозитный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недели",WEEKDAY(F804,2)=7),MIN(OFFSET(H804,-6,0):H804)*(COUNTIF(OFFSET(H804,-6,0):H804,"&gt;0")+SUMIF(OFFSET(A804,-WEEKDAY(F804,2),0):A804,"=2",OFFSET(A804,-WEEKDAY(F804,2),0):A804)),IF(AND('депозитный калькулятор'!$G$10="еженедельное, на минимальную сумму зафиксированную в течение недели",F804='депозитный калькулятор'!$D$8,WEEKDAY(F804,2)&lt;&gt;7),MIN(OFFSET(H804,-WEEKDAY(F804,2),0):H804)*(COUNTIF(OFFSET(H804,-WEEKDAY(F804,2)+1,0):H804,"&gt;0")+SUM(OFFSET(A804,-WEEKDAY(F804,2),0):A804)),IF(AND('депозитный калькулятор'!$G$10="ежемесячное (в конце месяца)",F804='депозитный калькулятор'!$D$8,EOMONTH(F804,0)&lt;&gt;F804),IF('депозитный калькулятор'!$F$1=1,$H$24,SUM($H$23:H804)-SUM($I$23:I803)),IF(AND('депозитный калькулятор'!$G$10="ежемесячное (в конце месяца)",EOMONTH(F804,0)=F804),SUM($H$23:H804)-SUM($I$23:I803),IF(AND('депозитный калькулятор'!$G$10="ежемесячное (по дням открытия вклада)",F804='депозитный калькулятор'!$D$8,DAY('депозитный калькулятор'!$D$7)&lt;&gt;DAY(F804)),IF('депозитный калькулятор'!$F$1=1,$H$24,SUM($H$23:H804)-SUM($I$23:I803)),IF(AND('депозитный калькулятор'!$G$10="ежемесячное (по дням открытия вклада)",DAY('депозитный калькулятор'!$D$7)=DAY(F804)),SUM($H$23:H804)-SUM($I$23:I803),IF(AND('депозитный калькулятор'!$G$10="ежемесячное, на минимальную сумму зафиксированную в течение месяца",F804='депозитный калькулятор'!$D$8,EOMONTH(F804,0)&lt;&gt;F804),IF('депозитный калькулятор'!$F$1=1,$H$24,IF(AND(OR('депозитный калькулятор'!$G$7="30/365",'депозитный калькулятор'!$G$7="30/360"),DAY(F804)=31),0,MIN(OFFSET(H804,-E804+1,0):H804)*(E804+SUMIF(OFFSET(A804,-E804+1,0):A804,"=2",OFFSET(A804,-E804+1,0):A804)))),IF(AND('депозитный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калькулятор'!$G$7="30/360"),DAY(EOMONTH(F804,0))=31),EOMONTH(F804,0)-1=F804,EOMONTH(F804,0)=F804)),IF(IF(AND(OR('депозитный калькулятор'!$G$7="30/365",'депозитный калькулятор'!$G$7="30/360"),DAY(EOMONTH($F$23,0))=31),F804=EOMONTH($F$23,0)-1,F804=EOMONTH($F$23,0)),MIN(OFFSET(H804,-(DAY(F804)-DAY($F$23)),0):H804)*E804,MIN(OFFSET(H804,-(DAY(F804)-1),0):H804)*IF(AND(OR('депозитный калькулятор'!$G$7="30/365",'депозитный калькулятор'!$G$7="30/360"),DAY(F804)&lt;30),30,DAY(F804))),IF(AND('депозитный калькулятор'!$G$10="ежемесячное, на средний остаток в течение месяца, при условии что остаток больше чем ограничение",F804='депозитный калькулятор'!$D$8,EOMONTH(F804,0)&lt;&gt;F804),IF('депозитный калькулятор'!$F$1=1,$H$24,SUM(OFFSET(Q804,-E804+1,0):Q804)),IF(AND('депозитный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калькулятор'!$G$7="30/360"),DAY(EOMONTH(F804,0))=31),EOMONTH(F804,0)-1=F804,EOMONTH(F804,0)=F804)),IF(IF(AND(OR('депозитный калькулятор'!$G$7="30/365",'депозитный калькулятор'!$G$7="30/360"),DAY(EOMONTH($F$24,0))=31),F804=EOMONTH($F$24,0)-1,F804=EOMONTH($F$24,0)),SUM(OFFSET(Q804,-E804+1,0):Q804),SUM(OFFSET(Q804,-E804+1,0):Q804)),IF('депозитный калькулятор'!$G$10="ежеквартальное",IF(F804&gt;'депозитный калькулятор'!$D$8," ",IF(AND(EOMONTH(F804,0)=F804,OR(MONTH(F804)=3,MONTH(F804)=6,MONTH(F804)=9,MONTH(F804)=12)),IF(EDATE(F804,-3)&lt;'депозитный калькулятор'!$D$7,SUM($H$23:H804),IF(MOD(YEAR(F804),4)=0,IF(AND(EOMONTH(F804,0)=F804,OR(MONTH(F804)=3,MONTH(F804)=6)),SUM(OFFSET(H804,-90,0):H804),IF(AND(EOMONTH(F804,0)=F804,OR(MONTH(F804)=9,MONTH(F804)=12)),SUM(OFFSET(H804,-91,0):H804))),IF(AND(EOMONTH(F804,0)=F804,MONTH(F804)=3),SUM(OFFSET(H804,-89,0):H804),IF(AND(EOMONTH(F804,0)=F804,MONTH(F804)=6),SUM(OFFSET(H804,-90,0):H804),IF(AND(EOMONTH(F804,0)=F804,OR(MONTH(F804)=9,MONTH(F804)=12)),SUM(OFFSET(H804,-91,0):H804)))))),IF(F804='депозитный калькулятор'!$D$8,SUM($H$23:H804)-SUM($I$23:I803),0))),IF('депозитный калькулятор'!$G$10="ежегодное",IF(F804&gt;'депозитный калькулятор'!$D$8," ",IF(F804='депозитный калькулятор'!$D$8,SUM($H$23:H804)-SUM($I$23:I803),IF(AND(EOMONTH(F804,0)=F804,MONTH(F804)=12),IF(MOD(YEAR(F803),4)=0,IF(F804-'депозитный калькулятор'!$D$7&lt;366,SUM($H$23:H804),SUM(OFFSET(H804,-365,0):H804)),IF(F804-'депозитный калькулятор'!$D$7&lt;365,SUM($H$23:H804),SUM(OFFSET(H804,-364,0):H804))),0))),IF(AND('депозитный калькулятор'!$G$10="в конце срока",'депозитный калькулятор'!$D$8=F804),SUM($H$23:H804),0))))))))))))))))))</f>
        <v xml:space="preserve"> </v>
      </c>
      <c r="J804" s="59" t="str">
        <f>IF(F804&gt;'депозитный калькулятор'!$D$8," ",IF('депозитный калькулятор'!$G$16="нет",0,IF(AND('депозитный калькулятор'!$G$17="разовая (в конце срока)",F804='депозитный калькулятор'!$D$8),'депозитный калькулятор'!$G$18,IF(AND('депозитный калькулятор'!$G$17="ежемесячная",EOMONTH(F803,0)=F803),'депозитный калькулятор'!$G$18,IF(AND('депозитный калькулятор'!$G$17="ежегодная",DAY(F803)=31,MONTH(F803)=12),'депозитный калькулятор'!$G$18,IF(AND('депозитный калькулятор'!$G$17="ежемесячная в зависимости от остатка",EOMONTH(F803,0)=F803,P803&gt;0),'депозитный калькулятор'!$G$18,IF(AND('депозитный калькулятор'!$G$17="ежегодная в зависимости от остатка",DAY(F803)=31,MONTH(F803)=12,P803&gt;0),'депозитный калькулятор'!$G$18,0)))))))</f>
        <v xml:space="preserve"> </v>
      </c>
      <c r="K804" s="135" t="str">
        <f>IF($F804=" "," ",IFERROR(VLOOKUP($F804,'депозитный калькулятор'!$B$26:$F$70,2,0),0))</f>
        <v xml:space="preserve"> </v>
      </c>
      <c r="L804" s="135" t="str">
        <f>IF($F804=" "," ",IFERROR(VLOOKUP($F804,'депозитный калькулятор'!$B$26:$F$70,3,0),0))</f>
        <v xml:space="preserve"> </v>
      </c>
      <c r="M804" s="135" t="str">
        <f>IF($F804=" "," ",IFERROR(VLOOKUP($F804,'депозитный калькулятор'!$B$26:$F$70,4,0),0))</f>
        <v xml:space="preserve"> </v>
      </c>
      <c r="N804" s="135" t="str">
        <f>IF($F804=" "," ",IFERROR(VLOOKUP($F804,'депозитный калькулятор'!$B$26:$F$70,5,0),0))</f>
        <v xml:space="preserve"> </v>
      </c>
      <c r="O804" s="146" t="str">
        <f>IF(F804&gt;'депозитный калькулятор'!$D$8," ",IF(F804='депозитный калькулятор'!$D$8,IF(AND($F$24='депозитный калькулятор'!$D$8,'депозитный калькулятор'!$G$13="нет"),-G804-IF(I804=" ",0,I804)-IF(AND(OR('депозитный калькулятор'!$G$7="30/365",'депозитный калькулятор'!$G$7="30/360"),'депозитный калькулятор'!$G$10="в начале срока"),I803,0)-L804+M804-N804,-G804-IF(I804=" ",0,I804)-L804+M804-N804),IF('депозитный калькулятор'!$G$13="есть",M804-N804+IF('депозитный калькулятор'!$G$14="есть",0,-L804),-IF(I804=" ",0,I804)-IF(AND(OR('депозитный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срока"),I803,0)+M804-N804+IF('депозитный калькулятор'!$G$14="есть",0,-L804))))</f>
        <v xml:space="preserve"> </v>
      </c>
      <c r="P804" s="147" t="str">
        <f>IF(F804&gt;'депозитный калькулятор'!$D$8," ",IF(EOMONTH(F803,0)=F803,0,IF(G804&gt;='депозитный калькулятор'!$G$19,P803,P803+1)))</f>
        <v xml:space="preserve"> </v>
      </c>
      <c r="Q804" s="138" t="str">
        <f>IF(F804=" "," ",IF(AND(OR('депозитный калькулятор'!$G$7="30/365",'депозитный калькулятор'!$G$7="30/360"),AND(MONTH(F804)=2,EOMONTH(F804,0)=F804)),IF(DAY(F804)=28,3,2),1)*IF(G804&gt;='депозитный калькулятор'!$G$11,IF(AND('депозитный калькулятор'!$G$7="факт/факт",MOD(YEAR(F804),4)=0),G804*'депозитный калькулятор'!$D$11/366,G804*'депозитный калькулятор'!$G$8),0))</f>
        <v xml:space="preserve"> </v>
      </c>
      <c r="R804" s="158"/>
      <c r="S804" s="62" t="str">
        <f t="shared" ca="1" si="62"/>
        <v xml:space="preserve"> </v>
      </c>
      <c r="T804" s="149" t="str">
        <f ca="1">IF(S804=" "," ",IF('депозитный калькулятор'!$G$7="30/360",DAYS360(U803,IF(DAY(U804)=31,U804-1,U804))+IF(AND(MONTH(U804)=2,U804=EOMONTH(U804,0)),30-DAY(EOMONTH(U804,0)))+T803,VLOOKUP(S804,$C$22:$F$1023,2,0)))</f>
        <v xml:space="preserve"> </v>
      </c>
      <c r="U804" s="64" t="str">
        <f t="shared" ca="1" si="60"/>
        <v xml:space="preserve"> </v>
      </c>
      <c r="V804" s="150" t="str">
        <f t="shared" ca="1" si="63"/>
        <v xml:space="preserve"> </v>
      </c>
      <c r="W804" s="62" t="str">
        <f t="shared" ca="1" si="64"/>
        <v xml:space="preserve"> </v>
      </c>
      <c r="X804" s="141" t="str">
        <f ca="1">IF(S804=" "," ",IFERROR(VLOOKUP(U804,$F$23:$N$1023,7)+VLOOKUP(U804,$F$23:$N$1023,9)+IF(AND('депозитный калькулятор'!$G$13="нет",U804&lt;&gt;'депозитный калькулятор'!$D$8),VLOOKUP(U804,$F$23:$N$1023,4),0),0)+IF(U804='депозитный калькулятор'!$D$8,VLOOKUP(U804,$F$23:$N$1023,2)+VLOOKUP(U804,$F$23:$N$1023,4),0))</f>
        <v xml:space="preserve"> </v>
      </c>
      <c r="Y804" s="142" t="str">
        <f ca="1">IF(S804=" "," ",W804/(1+'депозитный калькулятор'!$K$8)^(T804/IF('депозитный калькулятор'!$G$7="30/360",360,365)))</f>
        <v xml:space="preserve"> </v>
      </c>
      <c r="Z804" s="142" t="str">
        <f ca="1">IF(S804=" "," ",X804/(1+'депозитный калькулятор'!$K$8)^(T804/IF('депозитный калькулятор'!$G$7="30/360",360,365)))</f>
        <v xml:space="preserve"> </v>
      </c>
      <c r="AA804" s="151"/>
      <c r="AB804" s="151"/>
      <c r="AC804" s="155"/>
      <c r="AD804" s="155"/>
    </row>
    <row r="805" spans="1:30" s="2" customFormat="1" ht="15.5" x14ac:dyDescent="0.35">
      <c r="A805" s="41" t="str">
        <f>IF(F805=" "," ",IF(OR('депозитный калькулятор'!$G$7="30/365",'депозитный калькулятор'!$G$7="30/360"),IF(AND(MONTH(F805)=2,DAY(F805)=DAY(EOMONTH(F805,0))),30-DAY(EOMONTH(F805,0)),IF(DAY(F805)=31,1," "))," "))</f>
        <v xml:space="preserve"> </v>
      </c>
      <c r="B805" s="130" t="str">
        <f t="shared" si="61"/>
        <v xml:space="preserve"> </v>
      </c>
      <c r="C805" s="130" t="str">
        <f>IF(OR(B805=0,B805=" ")," ",SUM($B$23:B805))</f>
        <v xml:space="preserve"> </v>
      </c>
      <c r="D805" s="62" t="str">
        <f>IF(D804=" "," ",IF(OR(F804='депозитный калькулятор'!$D$8,F804=" ")," ",D804+1))</f>
        <v xml:space="preserve"> </v>
      </c>
      <c r="E805" s="130" t="str">
        <f>IF(OR(F804='депозитный калькулятор'!$D$8,F804=" ")," ",IF(EOMONTH(F804,0)=F804,1,E804+1))</f>
        <v xml:space="preserve"> </v>
      </c>
      <c r="F805" s="64" t="str">
        <f>IF(F804=" "," ",IF(F804='депозитный калькулятор'!$D$8," ",F804+1))</f>
        <v xml:space="preserve"> </v>
      </c>
      <c r="G805" s="145" t="str">
        <f xml:space="preserve"> IF(F805&gt;'депозитный калькулятор'!$D$8," ",IF('депозитный калькулятор'!$G$13="есть",IF('депозитный калькулятор'!$G$14="есть",G804+IF(I804=" ",0,I804)-J805-K805+L805+M805-N805,G804+IF(I804=" ",0,I804)-J805-K805+M805-N805),IF('депозитный калькулятор'!$G$14="есть",G804-J805-K805+L805+M805-N805,G804-J805-K805+M805-N805)))</f>
        <v xml:space="preserve"> </v>
      </c>
      <c r="H805" s="133" t="str">
        <f>IF(F805&gt;'депозитный калькулятор'!$D$8," ",IF(AND(OR('депозитный калькулятор'!$G$7="30/365",'депозитный калькулятор'!$G$7="30/360"),AND(MONTH(F805)=2,EOMONTH(F805,0)=F805)),IF(DAY(F805)=28,3*G805*'депозитный калькулятор'!$G$8,2*G805*'депозитный калькулятор'!$G$8),IF(AND(OR('депозитный калькулятор'!$G$7="30/365",'депозитный калькулятор'!$G$7="30/360"),DAY(F805)=31)," ",IF(AND('депозитный калькулятор'!$G$7="факт/факт",MOD(YEAR(F805),4)=0),G805*'депозитный калькулятор'!$D$11/366,G805*'депозитный калькулятор'!$G$8))))</f>
        <v xml:space="preserve"> </v>
      </c>
      <c r="I805" s="134" t="str">
        <f ca="1">IF(F805=" "," ",IF('депозитный калькулятор'!$G$10="ежедневное",H805,IF(AND('депозитный калькулятор'!$G$10="еженедельное",WEEKDAY(F805,2)=7),SUM(OFFSET(H805,-6,0):H805),IF(AND('депозитный калькулятор'!$G$10="еженедельное",F805='депозитный калькулятор'!$D$8),SUM($H$23:H805)-SUM($I$23:I804),IF(AND('депозитный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недели",WEEKDAY(F805,2)=7),MIN(OFFSET(H805,-6,0):H805)*(COUNTIF(OFFSET(H805,-6,0):H805,"&gt;0")+SUMIF(OFFSET(A805,-WEEKDAY(F805,2),0):A805,"=2",OFFSET(A805,-WEEKDAY(F805,2),0):A805)),IF(AND('депозитный калькулятор'!$G$10="еженедельное, на минимальную сумму зафиксированную в течение недели",F805='депозитный калькулятор'!$D$8,WEEKDAY(F805,2)&lt;&gt;7),MIN(OFFSET(H805,-WEEKDAY(F805,2),0):H805)*(COUNTIF(OFFSET(H805,-WEEKDAY(F805,2)+1,0):H805,"&gt;0")+SUM(OFFSET(A805,-WEEKDAY(F805,2),0):A805)),IF(AND('депозитный калькулятор'!$G$10="ежемесячное (в конце месяца)",F805='депозитный калькулятор'!$D$8,EOMONTH(F805,0)&lt;&gt;F805),IF('депозитный калькулятор'!$F$1=1,$H$24,SUM($H$23:H805)-SUM($I$23:I804)),IF(AND('депозитный калькулятор'!$G$10="ежемесячное (в конце месяца)",EOMONTH(F805,0)=F805),SUM($H$23:H805)-SUM($I$23:I804),IF(AND('депозитный калькулятор'!$G$10="ежемесячное (по дням открытия вклада)",F805='депозитный калькулятор'!$D$8,DAY('депозитный калькулятор'!$D$7)&lt;&gt;DAY(F805)),IF('депозитный калькулятор'!$F$1=1,$H$24,SUM($H$23:H805)-SUM($I$23:I804)),IF(AND('депозитный калькулятор'!$G$10="ежемесячное (по дням открытия вклада)",DAY('депозитный калькулятор'!$D$7)=DAY(F805)),SUM($H$23:H805)-SUM($I$23:I804),IF(AND('депозитный калькулятор'!$G$10="ежемесячное, на минимальную сумму зафиксированную в течение месяца",F805='депозитный калькулятор'!$D$8,EOMONTH(F805,0)&lt;&gt;F805),IF('депозитный калькулятор'!$F$1=1,$H$24,IF(AND(OR('депозитный калькулятор'!$G$7="30/365",'депозитный калькулятор'!$G$7="30/360"),DAY(F805)=31),0,MIN(OFFSET(H805,-E805+1,0):H805)*(E805+SUMIF(OFFSET(A805,-E805+1,0):A805,"=2",OFFSET(A805,-E805+1,0):A805)))),IF(AND('депозитный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калькулятор'!$G$7="30/360"),DAY(EOMONTH(F805,0))=31),EOMONTH(F805,0)-1=F805,EOMONTH(F805,0)=F805)),IF(IF(AND(OR('депозитный калькулятор'!$G$7="30/365",'депозитный калькулятор'!$G$7="30/360"),DAY(EOMONTH($F$23,0))=31),F805=EOMONTH($F$23,0)-1,F805=EOMONTH($F$23,0)),MIN(OFFSET(H805,-(DAY(F805)-DAY($F$23)),0):H805)*E805,MIN(OFFSET(H805,-(DAY(F805)-1),0):H805)*IF(AND(OR('депозитный калькулятор'!$G$7="30/365",'депозитный калькулятор'!$G$7="30/360"),DAY(F805)&lt;30),30,DAY(F805))),IF(AND('депозитный калькулятор'!$G$10="ежемесячное, на средний остаток в течение месяца, при условии что остаток больше чем ограничение",F805='депозитный калькулятор'!$D$8,EOMONTH(F805,0)&lt;&gt;F805),IF('депозитный калькулятор'!$F$1=1,$H$24,SUM(OFFSET(Q805,-E805+1,0):Q805)),IF(AND('депозитный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калькулятор'!$G$7="30/360"),DAY(EOMONTH(F805,0))=31),EOMONTH(F805,0)-1=F805,EOMONTH(F805,0)=F805)),IF(IF(AND(OR('депозитный калькулятор'!$G$7="30/365",'депозитный калькулятор'!$G$7="30/360"),DAY(EOMONTH($F$24,0))=31),F805=EOMONTH($F$24,0)-1,F805=EOMONTH($F$24,0)),SUM(OFFSET(Q805,-E805+1,0):Q805),SUM(OFFSET(Q805,-E805+1,0):Q805)),IF('депозитный калькулятор'!$G$10="ежеквартальное",IF(F805&gt;'депозитный калькулятор'!$D$8," ",IF(AND(EOMONTH(F805,0)=F805,OR(MONTH(F805)=3,MONTH(F805)=6,MONTH(F805)=9,MONTH(F805)=12)),IF(EDATE(F805,-3)&lt;'депозитный калькулятор'!$D$7,SUM($H$23:H805),IF(MOD(YEAR(F805),4)=0,IF(AND(EOMONTH(F805,0)=F805,OR(MONTH(F805)=3,MONTH(F805)=6)),SUM(OFFSET(H805,-90,0):H805),IF(AND(EOMONTH(F805,0)=F805,OR(MONTH(F805)=9,MONTH(F805)=12)),SUM(OFFSET(H805,-91,0):H805))),IF(AND(EOMONTH(F805,0)=F805,MONTH(F805)=3),SUM(OFFSET(H805,-89,0):H805),IF(AND(EOMONTH(F805,0)=F805,MONTH(F805)=6),SUM(OFFSET(H805,-90,0):H805),IF(AND(EOMONTH(F805,0)=F805,OR(MONTH(F805)=9,MONTH(F805)=12)),SUM(OFFSET(H805,-91,0):H805)))))),IF(F805='депозитный калькулятор'!$D$8,SUM($H$23:H805)-SUM($I$23:I804),0))),IF('депозитный калькулятор'!$G$10="ежегодное",IF(F805&gt;'депозитный калькулятор'!$D$8," ",IF(F805='депозитный калькулятор'!$D$8,SUM($H$23:H805)-SUM($I$23:I804),IF(AND(EOMONTH(F805,0)=F805,MONTH(F805)=12),IF(MOD(YEAR(F804),4)=0,IF(F805-'депозитный калькулятор'!$D$7&lt;366,SUM($H$23:H805),SUM(OFFSET(H805,-365,0):H805)),IF(F805-'депозитный калькулятор'!$D$7&lt;365,SUM($H$23:H805),SUM(OFFSET(H805,-364,0):H805))),0))),IF(AND('депозитный калькулятор'!$G$10="в конце срока",'депозитный калькулятор'!$D$8=F805),SUM($H$23:H805),0))))))))))))))))))</f>
        <v xml:space="preserve"> </v>
      </c>
      <c r="J805" s="59" t="str">
        <f>IF(F805&gt;'депозитный калькулятор'!$D$8," ",IF('депозитный калькулятор'!$G$16="нет",0,IF(AND('депозитный калькулятор'!$G$17="разовая (в конце срока)",F805='депозитный калькулятор'!$D$8),'депозитный калькулятор'!$G$18,IF(AND('депозитный калькулятор'!$G$17="ежемесячная",EOMONTH(F804,0)=F804),'депозитный калькулятор'!$G$18,IF(AND('депозитный калькулятор'!$G$17="ежегодная",DAY(F804)=31,MONTH(F804)=12),'депозитный калькулятор'!$G$18,IF(AND('депозитный калькулятор'!$G$17="ежемесячная в зависимости от остатка",EOMONTH(F804,0)=F804,P804&gt;0),'депозитный калькулятор'!$G$18,IF(AND('депозитный калькулятор'!$G$17="ежегодная в зависимости от остатка",DAY(F804)=31,MONTH(F804)=12,P804&gt;0),'депозитный калькулятор'!$G$18,0)))))))</f>
        <v xml:space="preserve"> </v>
      </c>
      <c r="K805" s="135" t="str">
        <f>IF($F805=" "," ",IFERROR(VLOOKUP($F805,'депозитный калькулятор'!$B$26:$F$70,2,0),0))</f>
        <v xml:space="preserve"> </v>
      </c>
      <c r="L805" s="135" t="str">
        <f>IF($F805=" "," ",IFERROR(VLOOKUP($F805,'депозитный калькулятор'!$B$26:$F$70,3,0),0))</f>
        <v xml:space="preserve"> </v>
      </c>
      <c r="M805" s="135" t="str">
        <f>IF($F805=" "," ",IFERROR(VLOOKUP($F805,'депозитный калькулятор'!$B$26:$F$70,4,0),0))</f>
        <v xml:space="preserve"> </v>
      </c>
      <c r="N805" s="135" t="str">
        <f>IF($F805=" "," ",IFERROR(VLOOKUP($F805,'депозитный калькулятор'!$B$26:$F$70,5,0),0))</f>
        <v xml:space="preserve"> </v>
      </c>
      <c r="O805" s="146" t="str">
        <f>IF(F805&gt;'депозитный калькулятор'!$D$8," ",IF(F805='депозитный калькулятор'!$D$8,IF(AND($F$24='депозитный калькулятор'!$D$8,'депозитный калькулятор'!$G$13="нет"),-G805-IF(I805=" ",0,I805)-IF(AND(OR('депозитный калькулятор'!$G$7="30/365",'депозитный калькулятор'!$G$7="30/360"),'депозитный калькулятор'!$G$10="в начале срока"),I804,0)-L805+M805-N805,-G805-IF(I805=" ",0,I805)-L805+M805-N805),IF('депозитный калькулятор'!$G$13="есть",M805-N805+IF('депозитный калькулятор'!$G$14="есть",0,-L805),-IF(I805=" ",0,I805)-IF(AND(OR('депозитный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срока"),I804,0)+M805-N805+IF('депозитный калькулятор'!$G$14="есть",0,-L805))))</f>
        <v xml:space="preserve"> </v>
      </c>
      <c r="P805" s="147" t="str">
        <f>IF(F805&gt;'депозитный калькулятор'!$D$8," ",IF(EOMONTH(F804,0)=F804,0,IF(G805&gt;='депозитный калькулятор'!$G$19,P804,P804+1)))</f>
        <v xml:space="preserve"> </v>
      </c>
      <c r="Q805" s="138" t="str">
        <f>IF(F805=" "," ",IF(AND(OR('депозитный калькулятор'!$G$7="30/365",'депозитный калькулятор'!$G$7="30/360"),AND(MONTH(F805)=2,EOMONTH(F805,0)=F805)),IF(DAY(F805)=28,3,2),1)*IF(G805&gt;='депозитный калькулятор'!$G$11,IF(AND('депозитный калькулятор'!$G$7="факт/факт",MOD(YEAR(F805),4)=0),G805*'депозитный калькулятор'!$D$11/366,G805*'депозитный калькулятор'!$G$8),0))</f>
        <v xml:space="preserve"> </v>
      </c>
      <c r="R805" s="158"/>
      <c r="S805" s="62" t="str">
        <f t="shared" ca="1" si="62"/>
        <v xml:space="preserve"> </v>
      </c>
      <c r="T805" s="149" t="str">
        <f ca="1">IF(S805=" "," ",IF('депозитный калькулятор'!$G$7="30/360",DAYS360(U804,IF(DAY(U805)=31,U805-1,U805))+IF(AND(MONTH(U805)=2,U805=EOMONTH(U805,0)),30-DAY(EOMONTH(U805,0)))+T804,VLOOKUP(S805,$C$22:$F$1023,2,0)))</f>
        <v xml:space="preserve"> </v>
      </c>
      <c r="U805" s="64" t="str">
        <f t="shared" ca="1" si="60"/>
        <v xml:space="preserve"> </v>
      </c>
      <c r="V805" s="150" t="str">
        <f t="shared" ca="1" si="63"/>
        <v xml:space="preserve"> </v>
      </c>
      <c r="W805" s="62" t="str">
        <f t="shared" ca="1" si="64"/>
        <v xml:space="preserve"> </v>
      </c>
      <c r="X805" s="141" t="str">
        <f ca="1">IF(S805=" "," ",IFERROR(VLOOKUP(U805,$F$23:$N$1023,7)+VLOOKUP(U805,$F$23:$N$1023,9)+IF(AND('депозитный калькулятор'!$G$13="нет",U805&lt;&gt;'депозитный калькулятор'!$D$8),VLOOKUP(U805,$F$23:$N$1023,4),0),0)+IF(U805='депозитный калькулятор'!$D$8,VLOOKUP(U805,$F$23:$N$1023,2)+VLOOKUP(U805,$F$23:$N$1023,4),0))</f>
        <v xml:space="preserve"> </v>
      </c>
      <c r="Y805" s="142" t="str">
        <f ca="1">IF(S805=" "," ",W805/(1+'депозитный калькулятор'!$K$8)^(T805/IF('депозитный калькулятор'!$G$7="30/360",360,365)))</f>
        <v xml:space="preserve"> </v>
      </c>
      <c r="Z805" s="142" t="str">
        <f ca="1">IF(S805=" "," ",X805/(1+'депозитный калькулятор'!$K$8)^(T805/IF('депозитный калькулятор'!$G$7="30/360",360,365)))</f>
        <v xml:space="preserve"> </v>
      </c>
      <c r="AA805" s="151"/>
      <c r="AB805" s="151"/>
      <c r="AC805" s="155"/>
      <c r="AD805" s="155"/>
    </row>
    <row r="806" spans="1:30" s="2" customFormat="1" ht="15.5" x14ac:dyDescent="0.35">
      <c r="A806" s="41" t="str">
        <f>IF(F806=" "," ",IF(OR('депозитный калькулятор'!$G$7="30/365",'депозитный калькулятор'!$G$7="30/360"),IF(AND(MONTH(F806)=2,DAY(F806)=DAY(EOMONTH(F806,0))),30-DAY(EOMONTH(F806,0)),IF(DAY(F806)=31,1," "))," "))</f>
        <v xml:space="preserve"> </v>
      </c>
      <c r="B806" s="130" t="str">
        <f t="shared" si="61"/>
        <v xml:space="preserve"> </v>
      </c>
      <c r="C806" s="130" t="str">
        <f>IF(OR(B806=0,B806=" ")," ",SUM($B$23:B806))</f>
        <v xml:space="preserve"> </v>
      </c>
      <c r="D806" s="62" t="str">
        <f>IF(D805=" "," ",IF(OR(F805='депозитный калькулятор'!$D$8,F805=" ")," ",D805+1))</f>
        <v xml:space="preserve"> </v>
      </c>
      <c r="E806" s="130" t="str">
        <f>IF(OR(F805='депозитный калькулятор'!$D$8,F805=" ")," ",IF(EOMONTH(F805,0)=F805,1,E805+1))</f>
        <v xml:space="preserve"> </v>
      </c>
      <c r="F806" s="64" t="str">
        <f>IF(F805=" "," ",IF(F805='депозитный калькулятор'!$D$8," ",F805+1))</f>
        <v xml:space="preserve"> </v>
      </c>
      <c r="G806" s="145" t="str">
        <f xml:space="preserve"> IF(F806&gt;'депозитный калькулятор'!$D$8," ",IF('депозитный калькулятор'!$G$13="есть",IF('депозитный калькулятор'!$G$14="есть",G805+IF(I805=" ",0,I805)-J806-K806+L806+M806-N806,G805+IF(I805=" ",0,I805)-J806-K806+M806-N806),IF('депозитный калькулятор'!$G$14="есть",G805-J806-K806+L806+M806-N806,G805-J806-K806+M806-N806)))</f>
        <v xml:space="preserve"> </v>
      </c>
      <c r="H806" s="133" t="str">
        <f>IF(F806&gt;'депозитный калькулятор'!$D$8," ",IF(AND(OR('депозитный калькулятор'!$G$7="30/365",'депозитный калькулятор'!$G$7="30/360"),AND(MONTH(F806)=2,EOMONTH(F806,0)=F806)),IF(DAY(F806)=28,3*G806*'депозитный калькулятор'!$G$8,2*G806*'депозитный калькулятор'!$G$8),IF(AND(OR('депозитный калькулятор'!$G$7="30/365",'депозитный калькулятор'!$G$7="30/360"),DAY(F806)=31)," ",IF(AND('депозитный калькулятор'!$G$7="факт/факт",MOD(YEAR(F806),4)=0),G806*'депозитный калькулятор'!$D$11/366,G806*'депозитный калькулятор'!$G$8))))</f>
        <v xml:space="preserve"> </v>
      </c>
      <c r="I806" s="134" t="str">
        <f ca="1">IF(F806=" "," ",IF('депозитный калькулятор'!$G$10="ежедневное",H806,IF(AND('депозитный калькулятор'!$G$10="еженедельное",WEEKDAY(F806,2)=7),SUM(OFFSET(H806,-6,0):H806),IF(AND('депозитный калькулятор'!$G$10="еженедельное",F806='депозитный калькулятор'!$D$8),SUM($H$23:H806)-SUM($I$23:I805),IF(AND('депозитный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недели",WEEKDAY(F806,2)=7),MIN(OFFSET(H806,-6,0):H806)*(COUNTIF(OFFSET(H806,-6,0):H806,"&gt;0")+SUMIF(OFFSET(A806,-WEEKDAY(F806,2),0):A806,"=2",OFFSET(A806,-WEEKDAY(F806,2),0):A806)),IF(AND('депозитный калькулятор'!$G$10="еженедельное, на минимальную сумму зафиксированную в течение недели",F806='депозитный калькулятор'!$D$8,WEEKDAY(F806,2)&lt;&gt;7),MIN(OFFSET(H806,-WEEKDAY(F806,2),0):H806)*(COUNTIF(OFFSET(H806,-WEEKDAY(F806,2)+1,0):H806,"&gt;0")+SUM(OFFSET(A806,-WEEKDAY(F806,2),0):A806)),IF(AND('депозитный калькулятор'!$G$10="ежемесячное (в конце месяца)",F806='депозитный калькулятор'!$D$8,EOMONTH(F806,0)&lt;&gt;F806),IF('депозитный калькулятор'!$F$1=1,$H$24,SUM($H$23:H806)-SUM($I$23:I805)),IF(AND('депозитный калькулятор'!$G$10="ежемесячное (в конце месяца)",EOMONTH(F806,0)=F806),SUM($H$23:H806)-SUM($I$23:I805),IF(AND('депозитный калькулятор'!$G$10="ежемесячное (по дням открытия вклада)",F806='депозитный калькулятор'!$D$8,DAY('депозитный калькулятор'!$D$7)&lt;&gt;DAY(F806)),IF('депозитный калькулятор'!$F$1=1,$H$24,SUM($H$23:H806)-SUM($I$23:I805)),IF(AND('депозитный калькулятор'!$G$10="ежемесячное (по дням открытия вклада)",DAY('депозитный калькулятор'!$D$7)=DAY(F806)),SUM($H$23:H806)-SUM($I$23:I805),IF(AND('депозитный калькулятор'!$G$10="ежемесячное, на минимальную сумму зафиксированную в течение месяца",F806='депозитный калькулятор'!$D$8,EOMONTH(F806,0)&lt;&gt;F806),IF('депозитный калькулятор'!$F$1=1,$H$24,IF(AND(OR('депозитный калькулятор'!$G$7="30/365",'депозитный калькулятор'!$G$7="30/360"),DAY(F806)=31),0,MIN(OFFSET(H806,-E806+1,0):H806)*(E806+SUMIF(OFFSET(A806,-E806+1,0):A806,"=2",OFFSET(A806,-E806+1,0):A806)))),IF(AND('депозитный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калькулятор'!$G$7="30/360"),DAY(EOMONTH(F806,0))=31),EOMONTH(F806,0)-1=F806,EOMONTH(F806,0)=F806)),IF(IF(AND(OR('депозитный калькулятор'!$G$7="30/365",'депозитный калькулятор'!$G$7="30/360"),DAY(EOMONTH($F$23,0))=31),F806=EOMONTH($F$23,0)-1,F806=EOMONTH($F$23,0)),MIN(OFFSET(H806,-(DAY(F806)-DAY($F$23)),0):H806)*E806,MIN(OFFSET(H806,-(DAY(F806)-1),0):H806)*IF(AND(OR('депозитный калькулятор'!$G$7="30/365",'депозитный калькулятор'!$G$7="30/360"),DAY(F806)&lt;30),30,DAY(F806))),IF(AND('депозитный калькулятор'!$G$10="ежемесячное, на средний остаток в течение месяца, при условии что остаток больше чем ограничение",F806='депозитный калькулятор'!$D$8,EOMONTH(F806,0)&lt;&gt;F806),IF('депозитный калькулятор'!$F$1=1,$H$24,SUM(OFFSET(Q806,-E806+1,0):Q806)),IF(AND('депозитный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калькулятор'!$G$7="30/360"),DAY(EOMONTH(F806,0))=31),EOMONTH(F806,0)-1=F806,EOMONTH(F806,0)=F806)),IF(IF(AND(OR('депозитный калькулятор'!$G$7="30/365",'депозитный калькулятор'!$G$7="30/360"),DAY(EOMONTH($F$24,0))=31),F806=EOMONTH($F$24,0)-1,F806=EOMONTH($F$24,0)),SUM(OFFSET(Q806,-E806+1,0):Q806),SUM(OFFSET(Q806,-E806+1,0):Q806)),IF('депозитный калькулятор'!$G$10="ежеквартальное",IF(F806&gt;'депозитный калькулятор'!$D$8," ",IF(AND(EOMONTH(F806,0)=F806,OR(MONTH(F806)=3,MONTH(F806)=6,MONTH(F806)=9,MONTH(F806)=12)),IF(EDATE(F806,-3)&lt;'депозитный калькулятор'!$D$7,SUM($H$23:H806),IF(MOD(YEAR(F806),4)=0,IF(AND(EOMONTH(F806,0)=F806,OR(MONTH(F806)=3,MONTH(F806)=6)),SUM(OFFSET(H806,-90,0):H806),IF(AND(EOMONTH(F806,0)=F806,OR(MONTH(F806)=9,MONTH(F806)=12)),SUM(OFFSET(H806,-91,0):H806))),IF(AND(EOMONTH(F806,0)=F806,MONTH(F806)=3),SUM(OFFSET(H806,-89,0):H806),IF(AND(EOMONTH(F806,0)=F806,MONTH(F806)=6),SUM(OFFSET(H806,-90,0):H806),IF(AND(EOMONTH(F806,0)=F806,OR(MONTH(F806)=9,MONTH(F806)=12)),SUM(OFFSET(H806,-91,0):H806)))))),IF(F806='депозитный калькулятор'!$D$8,SUM($H$23:H806)-SUM($I$23:I805),0))),IF('депозитный калькулятор'!$G$10="ежегодное",IF(F806&gt;'депозитный калькулятор'!$D$8," ",IF(F806='депозитный калькулятор'!$D$8,SUM($H$23:H806)-SUM($I$23:I805),IF(AND(EOMONTH(F806,0)=F806,MONTH(F806)=12),IF(MOD(YEAR(F805),4)=0,IF(F806-'депозитный калькулятор'!$D$7&lt;366,SUM($H$23:H806),SUM(OFFSET(H806,-365,0):H806)),IF(F806-'депозитный калькулятор'!$D$7&lt;365,SUM($H$23:H806),SUM(OFFSET(H806,-364,0):H806))),0))),IF(AND('депозитный калькулятор'!$G$10="в конце срока",'депозитный калькулятор'!$D$8=F806),SUM($H$23:H806),0))))))))))))))))))</f>
        <v xml:space="preserve"> </v>
      </c>
      <c r="J806" s="59" t="str">
        <f>IF(F806&gt;'депозитный калькулятор'!$D$8," ",IF('депозитный калькулятор'!$G$16="нет",0,IF(AND('депозитный калькулятор'!$G$17="разовая (в конце срока)",F806='депозитный калькулятор'!$D$8),'депозитный калькулятор'!$G$18,IF(AND('депозитный калькулятор'!$G$17="ежемесячная",EOMONTH(F805,0)=F805),'депозитный калькулятор'!$G$18,IF(AND('депозитный калькулятор'!$G$17="ежегодная",DAY(F805)=31,MONTH(F805)=12),'депозитный калькулятор'!$G$18,IF(AND('депозитный калькулятор'!$G$17="ежемесячная в зависимости от остатка",EOMONTH(F805,0)=F805,P805&gt;0),'депозитный калькулятор'!$G$18,IF(AND('депозитный калькулятор'!$G$17="ежегодная в зависимости от остатка",DAY(F805)=31,MONTH(F805)=12,P805&gt;0),'депозитный калькулятор'!$G$18,0)))))))</f>
        <v xml:space="preserve"> </v>
      </c>
      <c r="K806" s="135" t="str">
        <f>IF($F806=" "," ",IFERROR(VLOOKUP($F806,'депозитный калькулятор'!$B$26:$F$70,2,0),0))</f>
        <v xml:space="preserve"> </v>
      </c>
      <c r="L806" s="135" t="str">
        <f>IF($F806=" "," ",IFERROR(VLOOKUP($F806,'депозитный калькулятор'!$B$26:$F$70,3,0),0))</f>
        <v xml:space="preserve"> </v>
      </c>
      <c r="M806" s="135" t="str">
        <f>IF($F806=" "," ",IFERROR(VLOOKUP($F806,'депозитный калькулятор'!$B$26:$F$70,4,0),0))</f>
        <v xml:space="preserve"> </v>
      </c>
      <c r="N806" s="135" t="str">
        <f>IF($F806=" "," ",IFERROR(VLOOKUP($F806,'депозитный калькулятор'!$B$26:$F$70,5,0),0))</f>
        <v xml:space="preserve"> </v>
      </c>
      <c r="O806" s="146" t="str">
        <f>IF(F806&gt;'депозитный калькулятор'!$D$8," ",IF(F806='депозитный калькулятор'!$D$8,IF(AND($F$24='депозитный калькулятор'!$D$8,'депозитный калькулятор'!$G$13="нет"),-G806-IF(I806=" ",0,I806)-IF(AND(OR('депозитный калькулятор'!$G$7="30/365",'депозитный калькулятор'!$G$7="30/360"),'депозитный калькулятор'!$G$10="в начале срока"),I805,0)-L806+M806-N806,-G806-IF(I806=" ",0,I806)-L806+M806-N806),IF('депозитный калькулятор'!$G$13="есть",M806-N806+IF('депозитный калькулятор'!$G$14="есть",0,-L806),-IF(I806=" ",0,I806)-IF(AND(OR('депозитный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срока"),I805,0)+M806-N806+IF('депозитный калькулятор'!$G$14="есть",0,-L806))))</f>
        <v xml:space="preserve"> </v>
      </c>
      <c r="P806" s="147" t="str">
        <f>IF(F806&gt;'депозитный калькулятор'!$D$8," ",IF(EOMONTH(F805,0)=F805,0,IF(G806&gt;='депозитный калькулятор'!$G$19,P805,P805+1)))</f>
        <v xml:space="preserve"> </v>
      </c>
      <c r="Q806" s="138" t="str">
        <f>IF(F806=" "," ",IF(AND(OR('депозитный калькулятор'!$G$7="30/365",'депозитный калькулятор'!$G$7="30/360"),AND(MONTH(F806)=2,EOMONTH(F806,0)=F806)),IF(DAY(F806)=28,3,2),1)*IF(G806&gt;='депозитный калькулятор'!$G$11,IF(AND('депозитный калькулятор'!$G$7="факт/факт",MOD(YEAR(F806),4)=0),G806*'депозитный калькулятор'!$D$11/366,G806*'депозитный калькулятор'!$G$8),0))</f>
        <v xml:space="preserve"> </v>
      </c>
      <c r="R806" s="158"/>
      <c r="S806" s="62" t="str">
        <f t="shared" ca="1" si="62"/>
        <v xml:space="preserve"> </v>
      </c>
      <c r="T806" s="149" t="str">
        <f ca="1">IF(S806=" "," ",IF('депозитный калькулятор'!$G$7="30/360",DAYS360(U805,IF(DAY(U806)=31,U806-1,U806))+IF(AND(MONTH(U806)=2,U806=EOMONTH(U806,0)),30-DAY(EOMONTH(U806,0)))+T805,VLOOKUP(S806,$C$22:$F$1023,2,0)))</f>
        <v xml:space="preserve"> </v>
      </c>
      <c r="U806" s="64" t="str">
        <f t="shared" ca="1" si="60"/>
        <v xml:space="preserve"> </v>
      </c>
      <c r="V806" s="150" t="str">
        <f t="shared" ca="1" si="63"/>
        <v xml:space="preserve"> </v>
      </c>
      <c r="W806" s="62" t="str">
        <f t="shared" ca="1" si="64"/>
        <v xml:space="preserve"> </v>
      </c>
      <c r="X806" s="141" t="str">
        <f ca="1">IF(S806=" "," ",IFERROR(VLOOKUP(U806,$F$23:$N$1023,7)+VLOOKUP(U806,$F$23:$N$1023,9)+IF(AND('депозитный калькулятор'!$G$13="нет",U806&lt;&gt;'депозитный калькулятор'!$D$8),VLOOKUP(U806,$F$23:$N$1023,4),0),0)+IF(U806='депозитный калькулятор'!$D$8,VLOOKUP(U806,$F$23:$N$1023,2)+VLOOKUP(U806,$F$23:$N$1023,4),0))</f>
        <v xml:space="preserve"> </v>
      </c>
      <c r="Y806" s="142" t="str">
        <f ca="1">IF(S806=" "," ",W806/(1+'депозитный калькулятор'!$K$8)^(T806/IF('депозитный калькулятор'!$G$7="30/360",360,365)))</f>
        <v xml:space="preserve"> </v>
      </c>
      <c r="Z806" s="142" t="str">
        <f ca="1">IF(S806=" "," ",X806/(1+'депозитный калькулятор'!$K$8)^(T806/IF('депозитный калькулятор'!$G$7="30/360",360,365)))</f>
        <v xml:space="preserve"> </v>
      </c>
      <c r="AA806" s="151"/>
      <c r="AB806" s="151"/>
      <c r="AC806" s="155"/>
      <c r="AD806" s="155"/>
    </row>
    <row r="807" spans="1:30" s="2" customFormat="1" ht="15.5" x14ac:dyDescent="0.35">
      <c r="A807" s="41" t="str">
        <f>IF(F807=" "," ",IF(OR('депозитный калькулятор'!$G$7="30/365",'депозитный калькулятор'!$G$7="30/360"),IF(AND(MONTH(F807)=2,DAY(F807)=DAY(EOMONTH(F807,0))),30-DAY(EOMONTH(F807,0)),IF(DAY(F807)=31,1," "))," "))</f>
        <v xml:space="preserve"> </v>
      </c>
      <c r="B807" s="130" t="str">
        <f t="shared" si="61"/>
        <v xml:space="preserve"> </v>
      </c>
      <c r="C807" s="130" t="str">
        <f>IF(OR(B807=0,B807=" ")," ",SUM($B$23:B807))</f>
        <v xml:space="preserve"> </v>
      </c>
      <c r="D807" s="62" t="str">
        <f>IF(D806=" "," ",IF(OR(F806='депозитный калькулятор'!$D$8,F806=" ")," ",D806+1))</f>
        <v xml:space="preserve"> </v>
      </c>
      <c r="E807" s="130" t="str">
        <f>IF(OR(F806='депозитный калькулятор'!$D$8,F806=" ")," ",IF(EOMONTH(F806,0)=F806,1,E806+1))</f>
        <v xml:space="preserve"> </v>
      </c>
      <c r="F807" s="64" t="str">
        <f>IF(F806=" "," ",IF(F806='депозитный калькулятор'!$D$8," ",F806+1))</f>
        <v xml:space="preserve"> </v>
      </c>
      <c r="G807" s="145" t="str">
        <f xml:space="preserve"> IF(F807&gt;'депозитный калькулятор'!$D$8," ",IF('депозитный калькулятор'!$G$13="есть",IF('депозитный калькулятор'!$G$14="есть",G806+IF(I806=" ",0,I806)-J807-K807+L807+M807-N807,G806+IF(I806=" ",0,I806)-J807-K807+M807-N807),IF('депозитный калькулятор'!$G$14="есть",G806-J807-K807+L807+M807-N807,G806-J807-K807+M807-N807)))</f>
        <v xml:space="preserve"> </v>
      </c>
      <c r="H807" s="133" t="str">
        <f>IF(F807&gt;'депозитный калькулятор'!$D$8," ",IF(AND(OR('депозитный калькулятор'!$G$7="30/365",'депозитный калькулятор'!$G$7="30/360"),AND(MONTH(F807)=2,EOMONTH(F807,0)=F807)),IF(DAY(F807)=28,3*G807*'депозитный калькулятор'!$G$8,2*G807*'депозитный калькулятор'!$G$8),IF(AND(OR('депозитный калькулятор'!$G$7="30/365",'депозитный калькулятор'!$G$7="30/360"),DAY(F807)=31)," ",IF(AND('депозитный калькулятор'!$G$7="факт/факт",MOD(YEAR(F807),4)=0),G807*'депозитный калькулятор'!$D$11/366,G807*'депозитный калькулятор'!$G$8))))</f>
        <v xml:space="preserve"> </v>
      </c>
      <c r="I807" s="134" t="str">
        <f ca="1">IF(F807=" "," ",IF('депозитный калькулятор'!$G$10="ежедневное",H807,IF(AND('депозитный калькулятор'!$G$10="еженедельное",WEEKDAY(F807,2)=7),SUM(OFFSET(H807,-6,0):H807),IF(AND('депозитный калькулятор'!$G$10="еженедельное",F807='депозитный калькулятор'!$D$8),SUM($H$23:H807)-SUM($I$23:I806),IF(AND('депозитный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недели",WEEKDAY(F807,2)=7),MIN(OFFSET(H807,-6,0):H807)*(COUNTIF(OFFSET(H807,-6,0):H807,"&gt;0")+SUMIF(OFFSET(A807,-WEEKDAY(F807,2),0):A807,"=2",OFFSET(A807,-WEEKDAY(F807,2),0):A807)),IF(AND('депозитный калькулятор'!$G$10="еженедельное, на минимальную сумму зафиксированную в течение недели",F807='депозитный калькулятор'!$D$8,WEEKDAY(F807,2)&lt;&gt;7),MIN(OFFSET(H807,-WEEKDAY(F807,2),0):H807)*(COUNTIF(OFFSET(H807,-WEEKDAY(F807,2)+1,0):H807,"&gt;0")+SUM(OFFSET(A807,-WEEKDAY(F807,2),0):A807)),IF(AND('депозитный калькулятор'!$G$10="ежемесячное (в конце месяца)",F807='депозитный калькулятор'!$D$8,EOMONTH(F807,0)&lt;&gt;F807),IF('депозитный калькулятор'!$F$1=1,$H$24,SUM($H$23:H807)-SUM($I$23:I806)),IF(AND('депозитный калькулятор'!$G$10="ежемесячное (в конце месяца)",EOMONTH(F807,0)=F807),SUM($H$23:H807)-SUM($I$23:I806),IF(AND('депозитный калькулятор'!$G$10="ежемесячное (по дням открытия вклада)",F807='депозитный калькулятор'!$D$8,DAY('депозитный калькулятор'!$D$7)&lt;&gt;DAY(F807)),IF('депозитный калькулятор'!$F$1=1,$H$24,SUM($H$23:H807)-SUM($I$23:I806)),IF(AND('депозитный калькулятор'!$G$10="ежемесячное (по дням открытия вклада)",DAY('депозитный калькулятор'!$D$7)=DAY(F807)),SUM($H$23:H807)-SUM($I$23:I806),IF(AND('депозитный калькулятор'!$G$10="ежемесячное, на минимальную сумму зафиксированную в течение месяца",F807='депозитный калькулятор'!$D$8,EOMONTH(F807,0)&lt;&gt;F807),IF('депозитный калькулятор'!$F$1=1,$H$24,IF(AND(OR('депозитный калькулятор'!$G$7="30/365",'депозитный калькулятор'!$G$7="30/360"),DAY(F807)=31),0,MIN(OFFSET(H807,-E807+1,0):H807)*(E807+SUMIF(OFFSET(A807,-E807+1,0):A807,"=2",OFFSET(A807,-E807+1,0):A807)))),IF(AND('депозитный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калькулятор'!$G$7="30/360"),DAY(EOMONTH(F807,0))=31),EOMONTH(F807,0)-1=F807,EOMONTH(F807,0)=F807)),IF(IF(AND(OR('депозитный калькулятор'!$G$7="30/365",'депозитный калькулятор'!$G$7="30/360"),DAY(EOMONTH($F$23,0))=31),F807=EOMONTH($F$23,0)-1,F807=EOMONTH($F$23,0)),MIN(OFFSET(H807,-(DAY(F807)-DAY($F$23)),0):H807)*E807,MIN(OFFSET(H807,-(DAY(F807)-1),0):H807)*IF(AND(OR('депозитный калькулятор'!$G$7="30/365",'депозитный калькулятор'!$G$7="30/360"),DAY(F807)&lt;30),30,DAY(F807))),IF(AND('депозитный калькулятор'!$G$10="ежемесячное, на средний остаток в течение месяца, при условии что остаток больше чем ограничение",F807='депозитный калькулятор'!$D$8,EOMONTH(F807,0)&lt;&gt;F807),IF('депозитный калькулятор'!$F$1=1,$H$24,SUM(OFFSET(Q807,-E807+1,0):Q807)),IF(AND('депозитный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калькулятор'!$G$7="30/360"),DAY(EOMONTH(F807,0))=31),EOMONTH(F807,0)-1=F807,EOMONTH(F807,0)=F807)),IF(IF(AND(OR('депозитный калькулятор'!$G$7="30/365",'депозитный калькулятор'!$G$7="30/360"),DAY(EOMONTH($F$24,0))=31),F807=EOMONTH($F$24,0)-1,F807=EOMONTH($F$24,0)),SUM(OFFSET(Q807,-E807+1,0):Q807),SUM(OFFSET(Q807,-E807+1,0):Q807)),IF('депозитный калькулятор'!$G$10="ежеквартальное",IF(F807&gt;'депозитный калькулятор'!$D$8," ",IF(AND(EOMONTH(F807,0)=F807,OR(MONTH(F807)=3,MONTH(F807)=6,MONTH(F807)=9,MONTH(F807)=12)),IF(EDATE(F807,-3)&lt;'депозитный калькулятор'!$D$7,SUM($H$23:H807),IF(MOD(YEAR(F807),4)=0,IF(AND(EOMONTH(F807,0)=F807,OR(MONTH(F807)=3,MONTH(F807)=6)),SUM(OFFSET(H807,-90,0):H807),IF(AND(EOMONTH(F807,0)=F807,OR(MONTH(F807)=9,MONTH(F807)=12)),SUM(OFFSET(H807,-91,0):H807))),IF(AND(EOMONTH(F807,0)=F807,MONTH(F807)=3),SUM(OFFSET(H807,-89,0):H807),IF(AND(EOMONTH(F807,0)=F807,MONTH(F807)=6),SUM(OFFSET(H807,-90,0):H807),IF(AND(EOMONTH(F807,0)=F807,OR(MONTH(F807)=9,MONTH(F807)=12)),SUM(OFFSET(H807,-91,0):H807)))))),IF(F807='депозитный калькулятор'!$D$8,SUM($H$23:H807)-SUM($I$23:I806),0))),IF('депозитный калькулятор'!$G$10="ежегодное",IF(F807&gt;'депозитный калькулятор'!$D$8," ",IF(F807='депозитный калькулятор'!$D$8,SUM($H$23:H807)-SUM($I$23:I806),IF(AND(EOMONTH(F807,0)=F807,MONTH(F807)=12),IF(MOD(YEAR(F806),4)=0,IF(F807-'депозитный калькулятор'!$D$7&lt;366,SUM($H$23:H807),SUM(OFFSET(H807,-365,0):H807)),IF(F807-'депозитный калькулятор'!$D$7&lt;365,SUM($H$23:H807),SUM(OFFSET(H807,-364,0):H807))),0))),IF(AND('депозитный калькулятор'!$G$10="в конце срока",'депозитный калькулятор'!$D$8=F807),SUM($H$23:H807),0))))))))))))))))))</f>
        <v xml:space="preserve"> </v>
      </c>
      <c r="J807" s="59" t="str">
        <f>IF(F807&gt;'депозитный калькулятор'!$D$8," ",IF('депозитный калькулятор'!$G$16="нет",0,IF(AND('депозитный калькулятор'!$G$17="разовая (в конце срока)",F807='депозитный калькулятор'!$D$8),'депозитный калькулятор'!$G$18,IF(AND('депозитный калькулятор'!$G$17="ежемесячная",EOMONTH(F806,0)=F806),'депозитный калькулятор'!$G$18,IF(AND('депозитный калькулятор'!$G$17="ежегодная",DAY(F806)=31,MONTH(F806)=12),'депозитный калькулятор'!$G$18,IF(AND('депозитный калькулятор'!$G$17="ежемесячная в зависимости от остатка",EOMONTH(F806,0)=F806,P806&gt;0),'депозитный калькулятор'!$G$18,IF(AND('депозитный калькулятор'!$G$17="ежегодная в зависимости от остатка",DAY(F806)=31,MONTH(F806)=12,P806&gt;0),'депозитный калькулятор'!$G$18,0)))))))</f>
        <v xml:space="preserve"> </v>
      </c>
      <c r="K807" s="135" t="str">
        <f>IF($F807=" "," ",IFERROR(VLOOKUP($F807,'депозитный калькулятор'!$B$26:$F$70,2,0),0))</f>
        <v xml:space="preserve"> </v>
      </c>
      <c r="L807" s="135" t="str">
        <f>IF($F807=" "," ",IFERROR(VLOOKUP($F807,'депозитный калькулятор'!$B$26:$F$70,3,0),0))</f>
        <v xml:space="preserve"> </v>
      </c>
      <c r="M807" s="135" t="str">
        <f>IF($F807=" "," ",IFERROR(VLOOKUP($F807,'депозитный калькулятор'!$B$26:$F$70,4,0),0))</f>
        <v xml:space="preserve"> </v>
      </c>
      <c r="N807" s="135" t="str">
        <f>IF($F807=" "," ",IFERROR(VLOOKUP($F807,'депозитный калькулятор'!$B$26:$F$70,5,0),0))</f>
        <v xml:space="preserve"> </v>
      </c>
      <c r="O807" s="146" t="str">
        <f>IF(F807&gt;'депозитный калькулятор'!$D$8," ",IF(F807='депозитный калькулятор'!$D$8,IF(AND($F$24='депозитный калькулятор'!$D$8,'депозитный калькулятор'!$G$13="нет"),-G807-IF(I807=" ",0,I807)-IF(AND(OR('депозитный калькулятор'!$G$7="30/365",'депозитный калькулятор'!$G$7="30/360"),'депозитный калькулятор'!$G$10="в начале срока"),I806,0)-L807+M807-N807,-G807-IF(I807=" ",0,I807)-L807+M807-N807),IF('депозитный калькулятор'!$G$13="есть",M807-N807+IF('депозитный калькулятор'!$G$14="есть",0,-L807),-IF(I807=" ",0,I807)-IF(AND(OR('депозитный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срока"),I806,0)+M807-N807+IF('депозитный калькулятор'!$G$14="есть",0,-L807))))</f>
        <v xml:space="preserve"> </v>
      </c>
      <c r="P807" s="147" t="str">
        <f>IF(F807&gt;'депозитный калькулятор'!$D$8," ",IF(EOMONTH(F806,0)=F806,0,IF(G807&gt;='депозитный калькулятор'!$G$19,P806,P806+1)))</f>
        <v xml:space="preserve"> </v>
      </c>
      <c r="Q807" s="138" t="str">
        <f>IF(F807=" "," ",IF(AND(OR('депозитный калькулятор'!$G$7="30/365",'депозитный калькулятор'!$G$7="30/360"),AND(MONTH(F807)=2,EOMONTH(F807,0)=F807)),IF(DAY(F807)=28,3,2),1)*IF(G807&gt;='депозитный калькулятор'!$G$11,IF(AND('депозитный калькулятор'!$G$7="факт/факт",MOD(YEAR(F807),4)=0),G807*'депозитный калькулятор'!$D$11/366,G807*'депозитный калькулятор'!$G$8),0))</f>
        <v xml:space="preserve"> </v>
      </c>
      <c r="R807" s="158"/>
      <c r="S807" s="62" t="str">
        <f t="shared" ca="1" si="62"/>
        <v xml:space="preserve"> </v>
      </c>
      <c r="T807" s="149" t="str">
        <f ca="1">IF(S807=" "," ",IF('депозитный калькулятор'!$G$7="30/360",DAYS360(U806,IF(DAY(U807)=31,U807-1,U807))+IF(AND(MONTH(U807)=2,U807=EOMONTH(U807,0)),30-DAY(EOMONTH(U807,0)))+T806,VLOOKUP(S807,$C$22:$F$1023,2,0)))</f>
        <v xml:space="preserve"> </v>
      </c>
      <c r="U807" s="64" t="str">
        <f t="shared" ca="1" si="60"/>
        <v xml:space="preserve"> </v>
      </c>
      <c r="V807" s="150" t="str">
        <f t="shared" ca="1" si="63"/>
        <v xml:space="preserve"> </v>
      </c>
      <c r="W807" s="62" t="str">
        <f t="shared" ca="1" si="64"/>
        <v xml:space="preserve"> </v>
      </c>
      <c r="X807" s="141" t="str">
        <f ca="1">IF(S807=" "," ",IFERROR(VLOOKUP(U807,$F$23:$N$1023,7)+VLOOKUP(U807,$F$23:$N$1023,9)+IF(AND('депозитный калькулятор'!$G$13="нет",U807&lt;&gt;'депозитный калькулятор'!$D$8),VLOOKUP(U807,$F$23:$N$1023,4),0),0)+IF(U807='депозитный калькулятор'!$D$8,VLOOKUP(U807,$F$23:$N$1023,2)+VLOOKUP(U807,$F$23:$N$1023,4),0))</f>
        <v xml:space="preserve"> </v>
      </c>
      <c r="Y807" s="142" t="str">
        <f ca="1">IF(S807=" "," ",W807/(1+'депозитный калькулятор'!$K$8)^(T807/IF('депозитный калькулятор'!$G$7="30/360",360,365)))</f>
        <v xml:space="preserve"> </v>
      </c>
      <c r="Z807" s="142" t="str">
        <f ca="1">IF(S807=" "," ",X807/(1+'депозитный калькулятор'!$K$8)^(T807/IF('депозитный калькулятор'!$G$7="30/360",360,365)))</f>
        <v xml:space="preserve"> </v>
      </c>
      <c r="AA807" s="151"/>
      <c r="AB807" s="151"/>
      <c r="AC807" s="155"/>
      <c r="AD807" s="155"/>
    </row>
    <row r="808" spans="1:30" s="2" customFormat="1" ht="15.5" x14ac:dyDescent="0.35">
      <c r="A808" s="41" t="str">
        <f>IF(F808=" "," ",IF(OR('депозитный калькулятор'!$G$7="30/365",'депозитный калькулятор'!$G$7="30/360"),IF(AND(MONTH(F808)=2,DAY(F808)=DAY(EOMONTH(F808,0))),30-DAY(EOMONTH(F808,0)),IF(DAY(F808)=31,1," "))," "))</f>
        <v xml:space="preserve"> </v>
      </c>
      <c r="B808" s="130" t="str">
        <f t="shared" si="61"/>
        <v xml:space="preserve"> </v>
      </c>
      <c r="C808" s="130" t="str">
        <f>IF(OR(B808=0,B808=" ")," ",SUM($B$23:B808))</f>
        <v xml:space="preserve"> </v>
      </c>
      <c r="D808" s="62" t="str">
        <f>IF(D807=" "," ",IF(OR(F807='депозитный калькулятор'!$D$8,F807=" ")," ",D807+1))</f>
        <v xml:space="preserve"> </v>
      </c>
      <c r="E808" s="130" t="str">
        <f>IF(OR(F807='депозитный калькулятор'!$D$8,F807=" ")," ",IF(EOMONTH(F807,0)=F807,1,E807+1))</f>
        <v xml:space="preserve"> </v>
      </c>
      <c r="F808" s="64" t="str">
        <f>IF(F807=" "," ",IF(F807='депозитный калькулятор'!$D$8," ",F807+1))</f>
        <v xml:space="preserve"> </v>
      </c>
      <c r="G808" s="145" t="str">
        <f xml:space="preserve"> IF(F808&gt;'депозитный калькулятор'!$D$8," ",IF('депозитный калькулятор'!$G$13="есть",IF('депозитный калькулятор'!$G$14="есть",G807+IF(I807=" ",0,I807)-J808-K808+L808+M808-N808,G807+IF(I807=" ",0,I807)-J808-K808+M808-N808),IF('депозитный калькулятор'!$G$14="есть",G807-J808-K808+L808+M808-N808,G807-J808-K808+M808-N808)))</f>
        <v xml:space="preserve"> </v>
      </c>
      <c r="H808" s="133" t="str">
        <f>IF(F808&gt;'депозитный калькулятор'!$D$8," ",IF(AND(OR('депозитный калькулятор'!$G$7="30/365",'депозитный калькулятор'!$G$7="30/360"),AND(MONTH(F808)=2,EOMONTH(F808,0)=F808)),IF(DAY(F808)=28,3*G808*'депозитный калькулятор'!$G$8,2*G808*'депозитный калькулятор'!$G$8),IF(AND(OR('депозитный калькулятор'!$G$7="30/365",'депозитный калькулятор'!$G$7="30/360"),DAY(F808)=31)," ",IF(AND('депозитный калькулятор'!$G$7="факт/факт",MOD(YEAR(F808),4)=0),G808*'депозитный калькулятор'!$D$11/366,G808*'депозитный калькулятор'!$G$8))))</f>
        <v xml:space="preserve"> </v>
      </c>
      <c r="I808" s="134" t="str">
        <f ca="1">IF(F808=" "," ",IF('депозитный калькулятор'!$G$10="ежедневное",H808,IF(AND('депозитный калькулятор'!$G$10="еженедельное",WEEKDAY(F808,2)=7),SUM(OFFSET(H808,-6,0):H808),IF(AND('депозитный калькулятор'!$G$10="еженедельное",F808='депозитный калькулятор'!$D$8),SUM($H$23:H808)-SUM($I$23:I807),IF(AND('депозитный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недели",WEEKDAY(F808,2)=7),MIN(OFFSET(H808,-6,0):H808)*(COUNTIF(OFFSET(H808,-6,0):H808,"&gt;0")+SUMIF(OFFSET(A808,-WEEKDAY(F808,2),0):A808,"=2",OFFSET(A808,-WEEKDAY(F808,2),0):A808)),IF(AND('депозитный калькулятор'!$G$10="еженедельное, на минимальную сумму зафиксированную в течение недели",F808='депозитный калькулятор'!$D$8,WEEKDAY(F808,2)&lt;&gt;7),MIN(OFFSET(H808,-WEEKDAY(F808,2),0):H808)*(COUNTIF(OFFSET(H808,-WEEKDAY(F808,2)+1,0):H808,"&gt;0")+SUM(OFFSET(A808,-WEEKDAY(F808,2),0):A808)),IF(AND('депозитный калькулятор'!$G$10="ежемесячное (в конце месяца)",F808='депозитный калькулятор'!$D$8,EOMONTH(F808,0)&lt;&gt;F808),IF('депозитный калькулятор'!$F$1=1,$H$24,SUM($H$23:H808)-SUM($I$23:I807)),IF(AND('депозитный калькулятор'!$G$10="ежемесячное (в конце месяца)",EOMONTH(F808,0)=F808),SUM($H$23:H808)-SUM($I$23:I807),IF(AND('депозитный калькулятор'!$G$10="ежемесячное (по дням открытия вклада)",F808='депозитный калькулятор'!$D$8,DAY('депозитный калькулятор'!$D$7)&lt;&gt;DAY(F808)),IF('депозитный калькулятор'!$F$1=1,$H$24,SUM($H$23:H808)-SUM($I$23:I807)),IF(AND('депозитный калькулятор'!$G$10="ежемесячное (по дням открытия вклада)",DAY('депозитный калькулятор'!$D$7)=DAY(F808)),SUM($H$23:H808)-SUM($I$23:I807),IF(AND('депозитный калькулятор'!$G$10="ежемесячное, на минимальную сумму зафиксированную в течение месяца",F808='депозитный калькулятор'!$D$8,EOMONTH(F808,0)&lt;&gt;F808),IF('депозитный калькулятор'!$F$1=1,$H$24,IF(AND(OR('депозитный калькулятор'!$G$7="30/365",'депозитный калькулятор'!$G$7="30/360"),DAY(F808)=31),0,MIN(OFFSET(H808,-E808+1,0):H808)*(E808+SUMIF(OFFSET(A808,-E808+1,0):A808,"=2",OFFSET(A808,-E808+1,0):A808)))),IF(AND('депозитный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калькулятор'!$G$7="30/360"),DAY(EOMONTH(F808,0))=31),EOMONTH(F808,0)-1=F808,EOMONTH(F808,0)=F808)),IF(IF(AND(OR('депозитный калькулятор'!$G$7="30/365",'депозитный калькулятор'!$G$7="30/360"),DAY(EOMONTH($F$23,0))=31),F808=EOMONTH($F$23,0)-1,F808=EOMONTH($F$23,0)),MIN(OFFSET(H808,-(DAY(F808)-DAY($F$23)),0):H808)*E808,MIN(OFFSET(H808,-(DAY(F808)-1),0):H808)*IF(AND(OR('депозитный калькулятор'!$G$7="30/365",'депозитный калькулятор'!$G$7="30/360"),DAY(F808)&lt;30),30,DAY(F808))),IF(AND('депозитный калькулятор'!$G$10="ежемесячное, на средний остаток в течение месяца, при условии что остаток больше чем ограничение",F808='депозитный калькулятор'!$D$8,EOMONTH(F808,0)&lt;&gt;F808),IF('депозитный калькулятор'!$F$1=1,$H$24,SUM(OFFSET(Q808,-E808+1,0):Q808)),IF(AND('депозитный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калькулятор'!$G$7="30/360"),DAY(EOMONTH(F808,0))=31),EOMONTH(F808,0)-1=F808,EOMONTH(F808,0)=F808)),IF(IF(AND(OR('депозитный калькулятор'!$G$7="30/365",'депозитный калькулятор'!$G$7="30/360"),DAY(EOMONTH($F$24,0))=31),F808=EOMONTH($F$24,0)-1,F808=EOMONTH($F$24,0)),SUM(OFFSET(Q808,-E808+1,0):Q808),SUM(OFFSET(Q808,-E808+1,0):Q808)),IF('депозитный калькулятор'!$G$10="ежеквартальное",IF(F808&gt;'депозитный калькулятор'!$D$8," ",IF(AND(EOMONTH(F808,0)=F808,OR(MONTH(F808)=3,MONTH(F808)=6,MONTH(F808)=9,MONTH(F808)=12)),IF(EDATE(F808,-3)&lt;'депозитный калькулятор'!$D$7,SUM($H$23:H808),IF(MOD(YEAR(F808),4)=0,IF(AND(EOMONTH(F808,0)=F808,OR(MONTH(F808)=3,MONTH(F808)=6)),SUM(OFFSET(H808,-90,0):H808),IF(AND(EOMONTH(F808,0)=F808,OR(MONTH(F808)=9,MONTH(F808)=12)),SUM(OFFSET(H808,-91,0):H808))),IF(AND(EOMONTH(F808,0)=F808,MONTH(F808)=3),SUM(OFFSET(H808,-89,0):H808),IF(AND(EOMONTH(F808,0)=F808,MONTH(F808)=6),SUM(OFFSET(H808,-90,0):H808),IF(AND(EOMONTH(F808,0)=F808,OR(MONTH(F808)=9,MONTH(F808)=12)),SUM(OFFSET(H808,-91,0):H808)))))),IF(F808='депозитный калькулятор'!$D$8,SUM($H$23:H808)-SUM($I$23:I807),0))),IF('депозитный калькулятор'!$G$10="ежегодное",IF(F808&gt;'депозитный калькулятор'!$D$8," ",IF(F808='депозитный калькулятор'!$D$8,SUM($H$23:H808)-SUM($I$23:I807),IF(AND(EOMONTH(F808,0)=F808,MONTH(F808)=12),IF(MOD(YEAR(F807),4)=0,IF(F808-'депозитный калькулятор'!$D$7&lt;366,SUM($H$23:H808),SUM(OFFSET(H808,-365,0):H808)),IF(F808-'депозитный калькулятор'!$D$7&lt;365,SUM($H$23:H808),SUM(OFFSET(H808,-364,0):H808))),0))),IF(AND('депозитный калькулятор'!$G$10="в конце срока",'депозитный калькулятор'!$D$8=F808),SUM($H$23:H808),0))))))))))))))))))</f>
        <v xml:space="preserve"> </v>
      </c>
      <c r="J808" s="59" t="str">
        <f>IF(F808&gt;'депозитный калькулятор'!$D$8," ",IF('депозитный калькулятор'!$G$16="нет",0,IF(AND('депозитный калькулятор'!$G$17="разовая (в конце срока)",F808='депозитный калькулятор'!$D$8),'депозитный калькулятор'!$G$18,IF(AND('депозитный калькулятор'!$G$17="ежемесячная",EOMONTH(F807,0)=F807),'депозитный калькулятор'!$G$18,IF(AND('депозитный калькулятор'!$G$17="ежегодная",DAY(F807)=31,MONTH(F807)=12),'депозитный калькулятор'!$G$18,IF(AND('депозитный калькулятор'!$G$17="ежемесячная в зависимости от остатка",EOMONTH(F807,0)=F807,P807&gt;0),'депозитный калькулятор'!$G$18,IF(AND('депозитный калькулятор'!$G$17="ежегодная в зависимости от остатка",DAY(F807)=31,MONTH(F807)=12,P807&gt;0),'депозитный калькулятор'!$G$18,0)))))))</f>
        <v xml:space="preserve"> </v>
      </c>
      <c r="K808" s="135" t="str">
        <f>IF($F808=" "," ",IFERROR(VLOOKUP($F808,'депозитный калькулятор'!$B$26:$F$70,2,0),0))</f>
        <v xml:space="preserve"> </v>
      </c>
      <c r="L808" s="135" t="str">
        <f>IF($F808=" "," ",IFERROR(VLOOKUP($F808,'депозитный калькулятор'!$B$26:$F$70,3,0),0))</f>
        <v xml:space="preserve"> </v>
      </c>
      <c r="M808" s="135" t="str">
        <f>IF($F808=" "," ",IFERROR(VLOOKUP($F808,'депозитный калькулятор'!$B$26:$F$70,4,0),0))</f>
        <v xml:space="preserve"> </v>
      </c>
      <c r="N808" s="135" t="str">
        <f>IF($F808=" "," ",IFERROR(VLOOKUP($F808,'депозитный калькулятор'!$B$26:$F$70,5,0),0))</f>
        <v xml:space="preserve"> </v>
      </c>
      <c r="O808" s="146" t="str">
        <f>IF(F808&gt;'депозитный калькулятор'!$D$8," ",IF(F808='депозитный калькулятор'!$D$8,IF(AND($F$24='депозитный калькулятор'!$D$8,'депозитный калькулятор'!$G$13="нет"),-G808-IF(I808=" ",0,I808)-IF(AND(OR('депозитный калькулятор'!$G$7="30/365",'депозитный калькулятор'!$G$7="30/360"),'депозитный калькулятор'!$G$10="в начале срока"),I807,0)-L808+M808-N808,-G808-IF(I808=" ",0,I808)-L808+M808-N808),IF('депозитный калькулятор'!$G$13="есть",M808-N808+IF('депозитный калькулятор'!$G$14="есть",0,-L808),-IF(I808=" ",0,I808)-IF(AND(OR('депозитный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срока"),I807,0)+M808-N808+IF('депозитный калькулятор'!$G$14="есть",0,-L808))))</f>
        <v xml:space="preserve"> </v>
      </c>
      <c r="P808" s="147" t="str">
        <f>IF(F808&gt;'депозитный калькулятор'!$D$8," ",IF(EOMONTH(F807,0)=F807,0,IF(G808&gt;='депозитный калькулятор'!$G$19,P807,P807+1)))</f>
        <v xml:space="preserve"> </v>
      </c>
      <c r="Q808" s="138" t="str">
        <f>IF(F808=" "," ",IF(AND(OR('депозитный калькулятор'!$G$7="30/365",'депозитный калькулятор'!$G$7="30/360"),AND(MONTH(F808)=2,EOMONTH(F808,0)=F808)),IF(DAY(F808)=28,3,2),1)*IF(G808&gt;='депозитный калькулятор'!$G$11,IF(AND('депозитный калькулятор'!$G$7="факт/факт",MOD(YEAR(F808),4)=0),G808*'депозитный калькулятор'!$D$11/366,G808*'депозитный калькулятор'!$G$8),0))</f>
        <v xml:space="preserve"> </v>
      </c>
      <c r="R808" s="158"/>
      <c r="S808" s="62" t="str">
        <f t="shared" ca="1" si="62"/>
        <v xml:space="preserve"> </v>
      </c>
      <c r="T808" s="149" t="str">
        <f ca="1">IF(S808=" "," ",IF('депозитный калькулятор'!$G$7="30/360",DAYS360(U807,IF(DAY(U808)=31,U808-1,U808))+IF(AND(MONTH(U808)=2,U808=EOMONTH(U808,0)),30-DAY(EOMONTH(U808,0)))+T807,VLOOKUP(S808,$C$22:$F$1023,2,0)))</f>
        <v xml:space="preserve"> </v>
      </c>
      <c r="U808" s="64" t="str">
        <f t="shared" ca="1" si="60"/>
        <v xml:space="preserve"> </v>
      </c>
      <c r="V808" s="150" t="str">
        <f t="shared" ca="1" si="63"/>
        <v xml:space="preserve"> </v>
      </c>
      <c r="W808" s="62" t="str">
        <f t="shared" ca="1" si="64"/>
        <v xml:space="preserve"> </v>
      </c>
      <c r="X808" s="141" t="str">
        <f ca="1">IF(S808=" "," ",IFERROR(VLOOKUP(U808,$F$23:$N$1023,7)+VLOOKUP(U808,$F$23:$N$1023,9)+IF(AND('депозитный калькулятор'!$G$13="нет",U808&lt;&gt;'депозитный калькулятор'!$D$8),VLOOKUP(U808,$F$23:$N$1023,4),0),0)+IF(U808='депозитный калькулятор'!$D$8,VLOOKUP(U808,$F$23:$N$1023,2)+VLOOKUP(U808,$F$23:$N$1023,4),0))</f>
        <v xml:space="preserve"> </v>
      </c>
      <c r="Y808" s="142" t="str">
        <f ca="1">IF(S808=" "," ",W808/(1+'депозитный калькулятор'!$K$8)^(T808/IF('депозитный калькулятор'!$G$7="30/360",360,365)))</f>
        <v xml:space="preserve"> </v>
      </c>
      <c r="Z808" s="142" t="str">
        <f ca="1">IF(S808=" "," ",X808/(1+'депозитный калькулятор'!$K$8)^(T808/IF('депозитный калькулятор'!$G$7="30/360",360,365)))</f>
        <v xml:space="preserve"> </v>
      </c>
      <c r="AA808" s="151"/>
      <c r="AB808" s="151"/>
      <c r="AC808" s="155"/>
      <c r="AD808" s="155"/>
    </row>
    <row r="809" spans="1:30" s="2" customFormat="1" ht="15.5" x14ac:dyDescent="0.35">
      <c r="A809" s="41" t="str">
        <f>IF(F809=" "," ",IF(OR('депозитный калькулятор'!$G$7="30/365",'депозитный калькулятор'!$G$7="30/360"),IF(AND(MONTH(F809)=2,DAY(F809)=DAY(EOMONTH(F809,0))),30-DAY(EOMONTH(F809,0)),IF(DAY(F809)=31,1," "))," "))</f>
        <v xml:space="preserve"> </v>
      </c>
      <c r="B809" s="130" t="str">
        <f t="shared" si="61"/>
        <v xml:space="preserve"> </v>
      </c>
      <c r="C809" s="130" t="str">
        <f>IF(OR(B809=0,B809=" ")," ",SUM($B$23:B809))</f>
        <v xml:space="preserve"> </v>
      </c>
      <c r="D809" s="62" t="str">
        <f>IF(D808=" "," ",IF(OR(F808='депозитный калькулятор'!$D$8,F808=" ")," ",D808+1))</f>
        <v xml:space="preserve"> </v>
      </c>
      <c r="E809" s="130" t="str">
        <f>IF(OR(F808='депозитный калькулятор'!$D$8,F808=" ")," ",IF(EOMONTH(F808,0)=F808,1,E808+1))</f>
        <v xml:space="preserve"> </v>
      </c>
      <c r="F809" s="64" t="str">
        <f>IF(F808=" "," ",IF(F808='депозитный калькулятор'!$D$8," ",F808+1))</f>
        <v xml:space="preserve"> </v>
      </c>
      <c r="G809" s="145" t="str">
        <f xml:space="preserve"> IF(F809&gt;'депозитный калькулятор'!$D$8," ",IF('депозитный калькулятор'!$G$13="есть",IF('депозитный калькулятор'!$G$14="есть",G808+IF(I808=" ",0,I808)-J809-K809+L809+M809-N809,G808+IF(I808=" ",0,I808)-J809-K809+M809-N809),IF('депозитный калькулятор'!$G$14="есть",G808-J809-K809+L809+M809-N809,G808-J809-K809+M809-N809)))</f>
        <v xml:space="preserve"> </v>
      </c>
      <c r="H809" s="133" t="str">
        <f>IF(F809&gt;'депозитный калькулятор'!$D$8," ",IF(AND(OR('депозитный калькулятор'!$G$7="30/365",'депозитный калькулятор'!$G$7="30/360"),AND(MONTH(F809)=2,EOMONTH(F809,0)=F809)),IF(DAY(F809)=28,3*G809*'депозитный калькулятор'!$G$8,2*G809*'депозитный калькулятор'!$G$8),IF(AND(OR('депозитный калькулятор'!$G$7="30/365",'депозитный калькулятор'!$G$7="30/360"),DAY(F809)=31)," ",IF(AND('депозитный калькулятор'!$G$7="факт/факт",MOD(YEAR(F809),4)=0),G809*'депозитный калькулятор'!$D$11/366,G809*'депозитный калькулятор'!$G$8))))</f>
        <v xml:space="preserve"> </v>
      </c>
      <c r="I809" s="134" t="str">
        <f ca="1">IF(F809=" "," ",IF('депозитный калькулятор'!$G$10="ежедневное",H809,IF(AND('депозитный калькулятор'!$G$10="еженедельное",WEEKDAY(F809,2)=7),SUM(OFFSET(H809,-6,0):H809),IF(AND('депозитный калькулятор'!$G$10="еженедельное",F809='депозитный калькулятор'!$D$8),SUM($H$23:H809)-SUM($I$23:I808),IF(AND('депозитный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недели",WEEKDAY(F809,2)=7),MIN(OFFSET(H809,-6,0):H809)*(COUNTIF(OFFSET(H809,-6,0):H809,"&gt;0")+SUMIF(OFFSET(A809,-WEEKDAY(F809,2),0):A809,"=2",OFFSET(A809,-WEEKDAY(F809,2),0):A809)),IF(AND('депозитный калькулятор'!$G$10="еженедельное, на минимальную сумму зафиксированную в течение недели",F809='депозитный калькулятор'!$D$8,WEEKDAY(F809,2)&lt;&gt;7),MIN(OFFSET(H809,-WEEKDAY(F809,2),0):H809)*(COUNTIF(OFFSET(H809,-WEEKDAY(F809,2)+1,0):H809,"&gt;0")+SUM(OFFSET(A809,-WEEKDAY(F809,2),0):A809)),IF(AND('депозитный калькулятор'!$G$10="ежемесячное (в конце месяца)",F809='депозитный калькулятор'!$D$8,EOMONTH(F809,0)&lt;&gt;F809),IF('депозитный калькулятор'!$F$1=1,$H$24,SUM($H$23:H809)-SUM($I$23:I808)),IF(AND('депозитный калькулятор'!$G$10="ежемесячное (в конце месяца)",EOMONTH(F809,0)=F809),SUM($H$23:H809)-SUM($I$23:I808),IF(AND('депозитный калькулятор'!$G$10="ежемесячное (по дням открытия вклада)",F809='депозитный калькулятор'!$D$8,DAY('депозитный калькулятор'!$D$7)&lt;&gt;DAY(F809)),IF('депозитный калькулятор'!$F$1=1,$H$24,SUM($H$23:H809)-SUM($I$23:I808)),IF(AND('депозитный калькулятор'!$G$10="ежемесячное (по дням открытия вклада)",DAY('депозитный калькулятор'!$D$7)=DAY(F809)),SUM($H$23:H809)-SUM($I$23:I808),IF(AND('депозитный калькулятор'!$G$10="ежемесячное, на минимальную сумму зафиксированную в течение месяца",F809='депозитный калькулятор'!$D$8,EOMONTH(F809,0)&lt;&gt;F809),IF('депозитный калькулятор'!$F$1=1,$H$24,IF(AND(OR('депозитный калькулятор'!$G$7="30/365",'депозитный калькулятор'!$G$7="30/360"),DAY(F809)=31),0,MIN(OFFSET(H809,-E809+1,0):H809)*(E809+SUMIF(OFFSET(A809,-E809+1,0):A809,"=2",OFFSET(A809,-E809+1,0):A809)))),IF(AND('депозитный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калькулятор'!$G$7="30/360"),DAY(EOMONTH(F809,0))=31),EOMONTH(F809,0)-1=F809,EOMONTH(F809,0)=F809)),IF(IF(AND(OR('депозитный калькулятор'!$G$7="30/365",'депозитный калькулятор'!$G$7="30/360"),DAY(EOMONTH($F$23,0))=31),F809=EOMONTH($F$23,0)-1,F809=EOMONTH($F$23,0)),MIN(OFFSET(H809,-(DAY(F809)-DAY($F$23)),0):H809)*E809,MIN(OFFSET(H809,-(DAY(F809)-1),0):H809)*IF(AND(OR('депозитный калькулятор'!$G$7="30/365",'депозитный калькулятор'!$G$7="30/360"),DAY(F809)&lt;30),30,DAY(F809))),IF(AND('депозитный калькулятор'!$G$10="ежемесячное, на средний остаток в течение месяца, при условии что остаток больше чем ограничение",F809='депозитный калькулятор'!$D$8,EOMONTH(F809,0)&lt;&gt;F809),IF('депозитный калькулятор'!$F$1=1,$H$24,SUM(OFFSET(Q809,-E809+1,0):Q809)),IF(AND('депозитный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калькулятор'!$G$7="30/360"),DAY(EOMONTH(F809,0))=31),EOMONTH(F809,0)-1=F809,EOMONTH(F809,0)=F809)),IF(IF(AND(OR('депозитный калькулятор'!$G$7="30/365",'депозитный калькулятор'!$G$7="30/360"),DAY(EOMONTH($F$24,0))=31),F809=EOMONTH($F$24,0)-1,F809=EOMONTH($F$24,0)),SUM(OFFSET(Q809,-E809+1,0):Q809),SUM(OFFSET(Q809,-E809+1,0):Q809)),IF('депозитный калькулятор'!$G$10="ежеквартальное",IF(F809&gt;'депозитный калькулятор'!$D$8," ",IF(AND(EOMONTH(F809,0)=F809,OR(MONTH(F809)=3,MONTH(F809)=6,MONTH(F809)=9,MONTH(F809)=12)),IF(EDATE(F809,-3)&lt;'депозитный калькулятор'!$D$7,SUM($H$23:H809),IF(MOD(YEAR(F809),4)=0,IF(AND(EOMONTH(F809,0)=F809,OR(MONTH(F809)=3,MONTH(F809)=6)),SUM(OFFSET(H809,-90,0):H809),IF(AND(EOMONTH(F809,0)=F809,OR(MONTH(F809)=9,MONTH(F809)=12)),SUM(OFFSET(H809,-91,0):H809))),IF(AND(EOMONTH(F809,0)=F809,MONTH(F809)=3),SUM(OFFSET(H809,-89,0):H809),IF(AND(EOMONTH(F809,0)=F809,MONTH(F809)=6),SUM(OFFSET(H809,-90,0):H809),IF(AND(EOMONTH(F809,0)=F809,OR(MONTH(F809)=9,MONTH(F809)=12)),SUM(OFFSET(H809,-91,0):H809)))))),IF(F809='депозитный калькулятор'!$D$8,SUM($H$23:H809)-SUM($I$23:I808),0))),IF('депозитный калькулятор'!$G$10="ежегодное",IF(F809&gt;'депозитный калькулятор'!$D$8," ",IF(F809='депозитный калькулятор'!$D$8,SUM($H$23:H809)-SUM($I$23:I808),IF(AND(EOMONTH(F809,0)=F809,MONTH(F809)=12),IF(MOD(YEAR(F808),4)=0,IF(F809-'депозитный калькулятор'!$D$7&lt;366,SUM($H$23:H809),SUM(OFFSET(H809,-365,0):H809)),IF(F809-'депозитный калькулятор'!$D$7&lt;365,SUM($H$23:H809),SUM(OFFSET(H809,-364,0):H809))),0))),IF(AND('депозитный калькулятор'!$G$10="в конце срока",'депозитный калькулятор'!$D$8=F809),SUM($H$23:H809),0))))))))))))))))))</f>
        <v xml:space="preserve"> </v>
      </c>
      <c r="J809" s="59" t="str">
        <f>IF(F809&gt;'депозитный калькулятор'!$D$8," ",IF('депозитный калькулятор'!$G$16="нет",0,IF(AND('депозитный калькулятор'!$G$17="разовая (в конце срока)",F809='депозитный калькулятор'!$D$8),'депозитный калькулятор'!$G$18,IF(AND('депозитный калькулятор'!$G$17="ежемесячная",EOMONTH(F808,0)=F808),'депозитный калькулятор'!$G$18,IF(AND('депозитный калькулятор'!$G$17="ежегодная",DAY(F808)=31,MONTH(F808)=12),'депозитный калькулятор'!$G$18,IF(AND('депозитный калькулятор'!$G$17="ежемесячная в зависимости от остатка",EOMONTH(F808,0)=F808,P808&gt;0),'депозитный калькулятор'!$G$18,IF(AND('депозитный калькулятор'!$G$17="ежегодная в зависимости от остатка",DAY(F808)=31,MONTH(F808)=12,P808&gt;0),'депозитный калькулятор'!$G$18,0)))))))</f>
        <v xml:space="preserve"> </v>
      </c>
      <c r="K809" s="135" t="str">
        <f>IF($F809=" "," ",IFERROR(VLOOKUP($F809,'депозитный калькулятор'!$B$26:$F$70,2,0),0))</f>
        <v xml:space="preserve"> </v>
      </c>
      <c r="L809" s="135" t="str">
        <f>IF($F809=" "," ",IFERROR(VLOOKUP($F809,'депозитный калькулятор'!$B$26:$F$70,3,0),0))</f>
        <v xml:space="preserve"> </v>
      </c>
      <c r="M809" s="135" t="str">
        <f>IF($F809=" "," ",IFERROR(VLOOKUP($F809,'депозитный калькулятор'!$B$26:$F$70,4,0),0))</f>
        <v xml:space="preserve"> </v>
      </c>
      <c r="N809" s="135" t="str">
        <f>IF($F809=" "," ",IFERROR(VLOOKUP($F809,'депозитный калькулятор'!$B$26:$F$70,5,0),0))</f>
        <v xml:space="preserve"> </v>
      </c>
      <c r="O809" s="146" t="str">
        <f>IF(F809&gt;'депозитный калькулятор'!$D$8," ",IF(F809='депозитный калькулятор'!$D$8,IF(AND($F$24='депозитный калькулятор'!$D$8,'депозитный калькулятор'!$G$13="нет"),-G809-IF(I809=" ",0,I809)-IF(AND(OR('депозитный калькулятор'!$G$7="30/365",'депозитный калькулятор'!$G$7="30/360"),'депозитный калькулятор'!$G$10="в начале срока"),I808,0)-L809+M809-N809,-G809-IF(I809=" ",0,I809)-L809+M809-N809),IF('депозитный калькулятор'!$G$13="есть",M809-N809+IF('депозитный калькулятор'!$G$14="есть",0,-L809),-IF(I809=" ",0,I809)-IF(AND(OR('депозитный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срока"),I808,0)+M809-N809+IF('депозитный калькулятор'!$G$14="есть",0,-L809))))</f>
        <v xml:space="preserve"> </v>
      </c>
      <c r="P809" s="147" t="str">
        <f>IF(F809&gt;'депозитный калькулятор'!$D$8," ",IF(EOMONTH(F808,0)=F808,0,IF(G809&gt;='депозитный калькулятор'!$G$19,P808,P808+1)))</f>
        <v xml:space="preserve"> </v>
      </c>
      <c r="Q809" s="138" t="str">
        <f>IF(F809=" "," ",IF(AND(OR('депозитный калькулятор'!$G$7="30/365",'депозитный калькулятор'!$G$7="30/360"),AND(MONTH(F809)=2,EOMONTH(F809,0)=F809)),IF(DAY(F809)=28,3,2),1)*IF(G809&gt;='депозитный калькулятор'!$G$11,IF(AND('депозитный калькулятор'!$G$7="факт/факт",MOD(YEAR(F809),4)=0),G809*'депозитный калькулятор'!$D$11/366,G809*'депозитный калькулятор'!$G$8),0))</f>
        <v xml:space="preserve"> </v>
      </c>
      <c r="R809" s="158"/>
      <c r="S809" s="62" t="str">
        <f t="shared" ca="1" si="62"/>
        <v xml:space="preserve"> </v>
      </c>
      <c r="T809" s="149" t="str">
        <f ca="1">IF(S809=" "," ",IF('депозитный калькулятор'!$G$7="30/360",DAYS360(U808,IF(DAY(U809)=31,U809-1,U809))+IF(AND(MONTH(U809)=2,U809=EOMONTH(U809,0)),30-DAY(EOMONTH(U809,0)))+T808,VLOOKUP(S809,$C$22:$F$1023,2,0)))</f>
        <v xml:space="preserve"> </v>
      </c>
      <c r="U809" s="64" t="str">
        <f t="shared" ca="1" si="60"/>
        <v xml:space="preserve"> </v>
      </c>
      <c r="V809" s="150" t="str">
        <f t="shared" ca="1" si="63"/>
        <v xml:space="preserve"> </v>
      </c>
      <c r="W809" s="62" t="str">
        <f t="shared" ca="1" si="64"/>
        <v xml:space="preserve"> </v>
      </c>
      <c r="X809" s="141" t="str">
        <f ca="1">IF(S809=" "," ",IFERROR(VLOOKUP(U809,$F$23:$N$1023,7)+VLOOKUP(U809,$F$23:$N$1023,9)+IF(AND('депозитный калькулятор'!$G$13="нет",U809&lt;&gt;'депозитный калькулятор'!$D$8),VLOOKUP(U809,$F$23:$N$1023,4),0),0)+IF(U809='депозитный калькулятор'!$D$8,VLOOKUP(U809,$F$23:$N$1023,2)+VLOOKUP(U809,$F$23:$N$1023,4),0))</f>
        <v xml:space="preserve"> </v>
      </c>
      <c r="Y809" s="142" t="str">
        <f ca="1">IF(S809=" "," ",W809/(1+'депозитный калькулятор'!$K$8)^(T809/IF('депозитный калькулятор'!$G$7="30/360",360,365)))</f>
        <v xml:space="preserve"> </v>
      </c>
      <c r="Z809" s="142" t="str">
        <f ca="1">IF(S809=" "," ",X809/(1+'депозитный калькулятор'!$K$8)^(T809/IF('депозитный калькулятор'!$G$7="30/360",360,365)))</f>
        <v xml:space="preserve"> </v>
      </c>
      <c r="AA809" s="151"/>
      <c r="AB809" s="151"/>
      <c r="AC809" s="155"/>
      <c r="AD809" s="155"/>
    </row>
    <row r="810" spans="1:30" s="2" customFormat="1" ht="15.5" x14ac:dyDescent="0.35">
      <c r="A810" s="41" t="str">
        <f>IF(F810=" "," ",IF(OR('депозитный калькулятор'!$G$7="30/365",'депозитный калькулятор'!$G$7="30/360"),IF(AND(MONTH(F810)=2,DAY(F810)=DAY(EOMONTH(F810,0))),30-DAY(EOMONTH(F810,0)),IF(DAY(F810)=31,1," "))," "))</f>
        <v xml:space="preserve"> </v>
      </c>
      <c r="B810" s="130" t="str">
        <f t="shared" si="61"/>
        <v xml:space="preserve"> </v>
      </c>
      <c r="C810" s="130" t="str">
        <f>IF(OR(B810=0,B810=" ")," ",SUM($B$23:B810))</f>
        <v xml:space="preserve"> </v>
      </c>
      <c r="D810" s="62" t="str">
        <f>IF(D809=" "," ",IF(OR(F809='депозитный калькулятор'!$D$8,F809=" ")," ",D809+1))</f>
        <v xml:space="preserve"> </v>
      </c>
      <c r="E810" s="130" t="str">
        <f>IF(OR(F809='депозитный калькулятор'!$D$8,F809=" ")," ",IF(EOMONTH(F809,0)=F809,1,E809+1))</f>
        <v xml:space="preserve"> </v>
      </c>
      <c r="F810" s="64" t="str">
        <f>IF(F809=" "," ",IF(F809='депозитный калькулятор'!$D$8," ",F809+1))</f>
        <v xml:space="preserve"> </v>
      </c>
      <c r="G810" s="145" t="str">
        <f xml:space="preserve"> IF(F810&gt;'депозитный калькулятор'!$D$8," ",IF('депозитный калькулятор'!$G$13="есть",IF('депозитный калькулятор'!$G$14="есть",G809+IF(I809=" ",0,I809)-J810-K810+L810+M810-N810,G809+IF(I809=" ",0,I809)-J810-K810+M810-N810),IF('депозитный калькулятор'!$G$14="есть",G809-J810-K810+L810+M810-N810,G809-J810-K810+M810-N810)))</f>
        <v xml:space="preserve"> </v>
      </c>
      <c r="H810" s="133" t="str">
        <f>IF(F810&gt;'депозитный калькулятор'!$D$8," ",IF(AND(OR('депозитный калькулятор'!$G$7="30/365",'депозитный калькулятор'!$G$7="30/360"),AND(MONTH(F810)=2,EOMONTH(F810,0)=F810)),IF(DAY(F810)=28,3*G810*'депозитный калькулятор'!$G$8,2*G810*'депозитный калькулятор'!$G$8),IF(AND(OR('депозитный калькулятор'!$G$7="30/365",'депозитный калькулятор'!$G$7="30/360"),DAY(F810)=31)," ",IF(AND('депозитный калькулятор'!$G$7="факт/факт",MOD(YEAR(F810),4)=0),G810*'депозитный калькулятор'!$D$11/366,G810*'депозитный калькулятор'!$G$8))))</f>
        <v xml:space="preserve"> </v>
      </c>
      <c r="I810" s="134" t="str">
        <f ca="1">IF(F810=" "," ",IF('депозитный калькулятор'!$G$10="ежедневное",H810,IF(AND('депозитный калькулятор'!$G$10="еженедельное",WEEKDAY(F810,2)=7),SUM(OFFSET(H810,-6,0):H810),IF(AND('депозитный калькулятор'!$G$10="еженедельное",F810='депозитный калькулятор'!$D$8),SUM($H$23:H810)-SUM($I$23:I809),IF(AND('депозитный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недели",WEEKDAY(F810,2)=7),MIN(OFFSET(H810,-6,0):H810)*(COUNTIF(OFFSET(H810,-6,0):H810,"&gt;0")+SUMIF(OFFSET(A810,-WEEKDAY(F810,2),0):A810,"=2",OFFSET(A810,-WEEKDAY(F810,2),0):A810)),IF(AND('депозитный калькулятор'!$G$10="еженедельное, на минимальную сумму зафиксированную в течение недели",F810='депозитный калькулятор'!$D$8,WEEKDAY(F810,2)&lt;&gt;7),MIN(OFFSET(H810,-WEEKDAY(F810,2),0):H810)*(COUNTIF(OFFSET(H810,-WEEKDAY(F810,2)+1,0):H810,"&gt;0")+SUM(OFFSET(A810,-WEEKDAY(F810,2),0):A810)),IF(AND('депозитный калькулятор'!$G$10="ежемесячное (в конце месяца)",F810='депозитный калькулятор'!$D$8,EOMONTH(F810,0)&lt;&gt;F810),IF('депозитный калькулятор'!$F$1=1,$H$24,SUM($H$23:H810)-SUM($I$23:I809)),IF(AND('депозитный калькулятор'!$G$10="ежемесячное (в конце месяца)",EOMONTH(F810,0)=F810),SUM($H$23:H810)-SUM($I$23:I809),IF(AND('депозитный калькулятор'!$G$10="ежемесячное (по дням открытия вклада)",F810='депозитный калькулятор'!$D$8,DAY('депозитный калькулятор'!$D$7)&lt;&gt;DAY(F810)),IF('депозитный калькулятор'!$F$1=1,$H$24,SUM($H$23:H810)-SUM($I$23:I809)),IF(AND('депозитный калькулятор'!$G$10="ежемесячное (по дням открытия вклада)",DAY('депозитный калькулятор'!$D$7)=DAY(F810)),SUM($H$23:H810)-SUM($I$23:I809),IF(AND('депозитный калькулятор'!$G$10="ежемесячное, на минимальную сумму зафиксированную в течение месяца",F810='депозитный калькулятор'!$D$8,EOMONTH(F810,0)&lt;&gt;F810),IF('депозитный калькулятор'!$F$1=1,$H$24,IF(AND(OR('депозитный калькулятор'!$G$7="30/365",'депозитный калькулятор'!$G$7="30/360"),DAY(F810)=31),0,MIN(OFFSET(H810,-E810+1,0):H810)*(E810+SUMIF(OFFSET(A810,-E810+1,0):A810,"=2",OFFSET(A810,-E810+1,0):A810)))),IF(AND('депозитный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калькулятор'!$G$7="30/360"),DAY(EOMONTH(F810,0))=31),EOMONTH(F810,0)-1=F810,EOMONTH(F810,0)=F810)),IF(IF(AND(OR('депозитный калькулятор'!$G$7="30/365",'депозитный калькулятор'!$G$7="30/360"),DAY(EOMONTH($F$23,0))=31),F810=EOMONTH($F$23,0)-1,F810=EOMONTH($F$23,0)),MIN(OFFSET(H810,-(DAY(F810)-DAY($F$23)),0):H810)*E810,MIN(OFFSET(H810,-(DAY(F810)-1),0):H810)*IF(AND(OR('депозитный калькулятор'!$G$7="30/365",'депозитный калькулятор'!$G$7="30/360"),DAY(F810)&lt;30),30,DAY(F810))),IF(AND('депозитный калькулятор'!$G$10="ежемесячное, на средний остаток в течение месяца, при условии что остаток больше чем ограничение",F810='депозитный калькулятор'!$D$8,EOMONTH(F810,0)&lt;&gt;F810),IF('депозитный калькулятор'!$F$1=1,$H$24,SUM(OFFSET(Q810,-E810+1,0):Q810)),IF(AND('депозитный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калькулятор'!$G$7="30/360"),DAY(EOMONTH(F810,0))=31),EOMONTH(F810,0)-1=F810,EOMONTH(F810,0)=F810)),IF(IF(AND(OR('депозитный калькулятор'!$G$7="30/365",'депозитный калькулятор'!$G$7="30/360"),DAY(EOMONTH($F$24,0))=31),F810=EOMONTH($F$24,0)-1,F810=EOMONTH($F$24,0)),SUM(OFFSET(Q810,-E810+1,0):Q810),SUM(OFFSET(Q810,-E810+1,0):Q810)),IF('депозитный калькулятор'!$G$10="ежеквартальное",IF(F810&gt;'депозитный калькулятор'!$D$8," ",IF(AND(EOMONTH(F810,0)=F810,OR(MONTH(F810)=3,MONTH(F810)=6,MONTH(F810)=9,MONTH(F810)=12)),IF(EDATE(F810,-3)&lt;'депозитный калькулятор'!$D$7,SUM($H$23:H810),IF(MOD(YEAR(F810),4)=0,IF(AND(EOMONTH(F810,0)=F810,OR(MONTH(F810)=3,MONTH(F810)=6)),SUM(OFFSET(H810,-90,0):H810),IF(AND(EOMONTH(F810,0)=F810,OR(MONTH(F810)=9,MONTH(F810)=12)),SUM(OFFSET(H810,-91,0):H810))),IF(AND(EOMONTH(F810,0)=F810,MONTH(F810)=3),SUM(OFFSET(H810,-89,0):H810),IF(AND(EOMONTH(F810,0)=F810,MONTH(F810)=6),SUM(OFFSET(H810,-90,0):H810),IF(AND(EOMONTH(F810,0)=F810,OR(MONTH(F810)=9,MONTH(F810)=12)),SUM(OFFSET(H810,-91,0):H810)))))),IF(F810='депозитный калькулятор'!$D$8,SUM($H$23:H810)-SUM($I$23:I809),0))),IF('депозитный калькулятор'!$G$10="ежегодное",IF(F810&gt;'депозитный калькулятор'!$D$8," ",IF(F810='депозитный калькулятор'!$D$8,SUM($H$23:H810)-SUM($I$23:I809),IF(AND(EOMONTH(F810,0)=F810,MONTH(F810)=12),IF(MOD(YEAR(F809),4)=0,IF(F810-'депозитный калькулятор'!$D$7&lt;366,SUM($H$23:H810),SUM(OFFSET(H810,-365,0):H810)),IF(F810-'депозитный калькулятор'!$D$7&lt;365,SUM($H$23:H810),SUM(OFFSET(H810,-364,0):H810))),0))),IF(AND('депозитный калькулятор'!$G$10="в конце срока",'депозитный калькулятор'!$D$8=F810),SUM($H$23:H810),0))))))))))))))))))</f>
        <v xml:space="preserve"> </v>
      </c>
      <c r="J810" s="59" t="str">
        <f>IF(F810&gt;'депозитный калькулятор'!$D$8," ",IF('депозитный калькулятор'!$G$16="нет",0,IF(AND('депозитный калькулятор'!$G$17="разовая (в конце срока)",F810='депозитный калькулятор'!$D$8),'депозитный калькулятор'!$G$18,IF(AND('депозитный калькулятор'!$G$17="ежемесячная",EOMONTH(F809,0)=F809),'депозитный калькулятор'!$G$18,IF(AND('депозитный калькулятор'!$G$17="ежегодная",DAY(F809)=31,MONTH(F809)=12),'депозитный калькулятор'!$G$18,IF(AND('депозитный калькулятор'!$G$17="ежемесячная в зависимости от остатка",EOMONTH(F809,0)=F809,P809&gt;0),'депозитный калькулятор'!$G$18,IF(AND('депозитный калькулятор'!$G$17="ежегодная в зависимости от остатка",DAY(F809)=31,MONTH(F809)=12,P809&gt;0),'депозитный калькулятор'!$G$18,0)))))))</f>
        <v xml:space="preserve"> </v>
      </c>
      <c r="K810" s="135" t="str">
        <f>IF($F810=" "," ",IFERROR(VLOOKUP($F810,'депозитный калькулятор'!$B$26:$F$70,2,0),0))</f>
        <v xml:space="preserve"> </v>
      </c>
      <c r="L810" s="135" t="str">
        <f>IF($F810=" "," ",IFERROR(VLOOKUP($F810,'депозитный калькулятор'!$B$26:$F$70,3,0),0))</f>
        <v xml:space="preserve"> </v>
      </c>
      <c r="M810" s="135" t="str">
        <f>IF($F810=" "," ",IFERROR(VLOOKUP($F810,'депозитный калькулятор'!$B$26:$F$70,4,0),0))</f>
        <v xml:space="preserve"> </v>
      </c>
      <c r="N810" s="135" t="str">
        <f>IF($F810=" "," ",IFERROR(VLOOKUP($F810,'депозитный калькулятор'!$B$26:$F$70,5,0),0))</f>
        <v xml:space="preserve"> </v>
      </c>
      <c r="O810" s="146" t="str">
        <f>IF(F810&gt;'депозитный калькулятор'!$D$8," ",IF(F810='депозитный калькулятор'!$D$8,IF(AND($F$24='депозитный калькулятор'!$D$8,'депозитный калькулятор'!$G$13="нет"),-G810-IF(I810=" ",0,I810)-IF(AND(OR('депозитный калькулятор'!$G$7="30/365",'депозитный калькулятор'!$G$7="30/360"),'депозитный калькулятор'!$G$10="в начале срока"),I809,0)-L810+M810-N810,-G810-IF(I810=" ",0,I810)-L810+M810-N810),IF('депозитный калькулятор'!$G$13="есть",M810-N810+IF('депозитный калькулятор'!$G$14="есть",0,-L810),-IF(I810=" ",0,I810)-IF(AND(OR('депозитный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срока"),I809,0)+M810-N810+IF('депозитный калькулятор'!$G$14="есть",0,-L810))))</f>
        <v xml:space="preserve"> </v>
      </c>
      <c r="P810" s="147" t="str">
        <f>IF(F810&gt;'депозитный калькулятор'!$D$8," ",IF(EOMONTH(F809,0)=F809,0,IF(G810&gt;='депозитный калькулятор'!$G$19,P809,P809+1)))</f>
        <v xml:space="preserve"> </v>
      </c>
      <c r="Q810" s="138" t="str">
        <f>IF(F810=" "," ",IF(AND(OR('депозитный калькулятор'!$G$7="30/365",'депозитный калькулятор'!$G$7="30/360"),AND(MONTH(F810)=2,EOMONTH(F810,0)=F810)),IF(DAY(F810)=28,3,2),1)*IF(G810&gt;='депозитный калькулятор'!$G$11,IF(AND('депозитный калькулятор'!$G$7="факт/факт",MOD(YEAR(F810),4)=0),G810*'депозитный калькулятор'!$D$11/366,G810*'депозитный калькулятор'!$G$8),0))</f>
        <v xml:space="preserve"> </v>
      </c>
      <c r="R810" s="158"/>
      <c r="S810" s="62" t="str">
        <f t="shared" ca="1" si="62"/>
        <v xml:space="preserve"> </v>
      </c>
      <c r="T810" s="149" t="str">
        <f ca="1">IF(S810=" "," ",IF('депозитный калькулятор'!$G$7="30/360",DAYS360(U809,IF(DAY(U810)=31,U810-1,U810))+IF(AND(MONTH(U810)=2,U810=EOMONTH(U810,0)),30-DAY(EOMONTH(U810,0)))+T809,VLOOKUP(S810,$C$22:$F$1023,2,0)))</f>
        <v xml:space="preserve"> </v>
      </c>
      <c r="U810" s="64" t="str">
        <f t="shared" ca="1" si="60"/>
        <v xml:space="preserve"> </v>
      </c>
      <c r="V810" s="150" t="str">
        <f t="shared" ca="1" si="63"/>
        <v xml:space="preserve"> </v>
      </c>
      <c r="W810" s="62" t="str">
        <f t="shared" ca="1" si="64"/>
        <v xml:space="preserve"> </v>
      </c>
      <c r="X810" s="141" t="str">
        <f ca="1">IF(S810=" "," ",IFERROR(VLOOKUP(U810,$F$23:$N$1023,7)+VLOOKUP(U810,$F$23:$N$1023,9)+IF(AND('депозитный калькулятор'!$G$13="нет",U810&lt;&gt;'депозитный калькулятор'!$D$8),VLOOKUP(U810,$F$23:$N$1023,4),0),0)+IF(U810='депозитный калькулятор'!$D$8,VLOOKUP(U810,$F$23:$N$1023,2)+VLOOKUP(U810,$F$23:$N$1023,4),0))</f>
        <v xml:space="preserve"> </v>
      </c>
      <c r="Y810" s="142" t="str">
        <f ca="1">IF(S810=" "," ",W810/(1+'депозитный калькулятор'!$K$8)^(T810/IF('депозитный калькулятор'!$G$7="30/360",360,365)))</f>
        <v xml:space="preserve"> </v>
      </c>
      <c r="Z810" s="142" t="str">
        <f ca="1">IF(S810=" "," ",X810/(1+'депозитный калькулятор'!$K$8)^(T810/IF('депозитный калькулятор'!$G$7="30/360",360,365)))</f>
        <v xml:space="preserve"> </v>
      </c>
      <c r="AA810" s="151"/>
      <c r="AB810" s="151"/>
      <c r="AC810" s="155"/>
      <c r="AD810" s="155"/>
    </row>
    <row r="811" spans="1:30" s="2" customFormat="1" ht="15.5" x14ac:dyDescent="0.35">
      <c r="A811" s="41" t="str">
        <f>IF(F811=" "," ",IF(OR('депозитный калькулятор'!$G$7="30/365",'депозитный калькулятор'!$G$7="30/360"),IF(AND(MONTH(F811)=2,DAY(F811)=DAY(EOMONTH(F811,0))),30-DAY(EOMONTH(F811,0)),IF(DAY(F811)=31,1," "))," "))</f>
        <v xml:space="preserve"> </v>
      </c>
      <c r="B811" s="130" t="str">
        <f t="shared" si="61"/>
        <v xml:space="preserve"> </v>
      </c>
      <c r="C811" s="130" t="str">
        <f>IF(OR(B811=0,B811=" ")," ",SUM($B$23:B811))</f>
        <v xml:space="preserve"> </v>
      </c>
      <c r="D811" s="62" t="str">
        <f>IF(D810=" "," ",IF(OR(F810='депозитный калькулятор'!$D$8,F810=" ")," ",D810+1))</f>
        <v xml:space="preserve"> </v>
      </c>
      <c r="E811" s="130" t="str">
        <f>IF(OR(F810='депозитный калькулятор'!$D$8,F810=" ")," ",IF(EOMONTH(F810,0)=F810,1,E810+1))</f>
        <v xml:space="preserve"> </v>
      </c>
      <c r="F811" s="64" t="str">
        <f>IF(F810=" "," ",IF(F810='депозитный калькулятор'!$D$8," ",F810+1))</f>
        <v xml:space="preserve"> </v>
      </c>
      <c r="G811" s="145" t="str">
        <f xml:space="preserve"> IF(F811&gt;'депозитный калькулятор'!$D$8," ",IF('депозитный калькулятор'!$G$13="есть",IF('депозитный калькулятор'!$G$14="есть",G810+IF(I810=" ",0,I810)-J811-K811+L811+M811-N811,G810+IF(I810=" ",0,I810)-J811-K811+M811-N811),IF('депозитный калькулятор'!$G$14="есть",G810-J811-K811+L811+M811-N811,G810-J811-K811+M811-N811)))</f>
        <v xml:space="preserve"> </v>
      </c>
      <c r="H811" s="133" t="str">
        <f>IF(F811&gt;'депозитный калькулятор'!$D$8," ",IF(AND(OR('депозитный калькулятор'!$G$7="30/365",'депозитный калькулятор'!$G$7="30/360"),AND(MONTH(F811)=2,EOMONTH(F811,0)=F811)),IF(DAY(F811)=28,3*G811*'депозитный калькулятор'!$G$8,2*G811*'депозитный калькулятор'!$G$8),IF(AND(OR('депозитный калькулятор'!$G$7="30/365",'депозитный калькулятор'!$G$7="30/360"),DAY(F811)=31)," ",IF(AND('депозитный калькулятор'!$G$7="факт/факт",MOD(YEAR(F811),4)=0),G811*'депозитный калькулятор'!$D$11/366,G811*'депозитный калькулятор'!$G$8))))</f>
        <v xml:space="preserve"> </v>
      </c>
      <c r="I811" s="134" t="str">
        <f ca="1">IF(F811=" "," ",IF('депозитный калькулятор'!$G$10="ежедневное",H811,IF(AND('депозитный калькулятор'!$G$10="еженедельное",WEEKDAY(F811,2)=7),SUM(OFFSET(H811,-6,0):H811),IF(AND('депозитный калькулятор'!$G$10="еженедельное",F811='депозитный калькулятор'!$D$8),SUM($H$23:H811)-SUM($I$23:I810),IF(AND('депозитный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недели",WEEKDAY(F811,2)=7),MIN(OFFSET(H811,-6,0):H811)*(COUNTIF(OFFSET(H811,-6,0):H811,"&gt;0")+SUMIF(OFFSET(A811,-WEEKDAY(F811,2),0):A811,"=2",OFFSET(A811,-WEEKDAY(F811,2),0):A811)),IF(AND('депозитный калькулятор'!$G$10="еженедельное, на минимальную сумму зафиксированную в течение недели",F811='депозитный калькулятор'!$D$8,WEEKDAY(F811,2)&lt;&gt;7),MIN(OFFSET(H811,-WEEKDAY(F811,2),0):H811)*(COUNTIF(OFFSET(H811,-WEEKDAY(F811,2)+1,0):H811,"&gt;0")+SUM(OFFSET(A811,-WEEKDAY(F811,2),0):A811)),IF(AND('депозитный калькулятор'!$G$10="ежемесячное (в конце месяца)",F811='депозитный калькулятор'!$D$8,EOMONTH(F811,0)&lt;&gt;F811),IF('депозитный калькулятор'!$F$1=1,$H$24,SUM($H$23:H811)-SUM($I$23:I810)),IF(AND('депозитный калькулятор'!$G$10="ежемесячное (в конце месяца)",EOMONTH(F811,0)=F811),SUM($H$23:H811)-SUM($I$23:I810),IF(AND('депозитный калькулятор'!$G$10="ежемесячное (по дням открытия вклада)",F811='депозитный калькулятор'!$D$8,DAY('депозитный калькулятор'!$D$7)&lt;&gt;DAY(F811)),IF('депозитный калькулятор'!$F$1=1,$H$24,SUM($H$23:H811)-SUM($I$23:I810)),IF(AND('депозитный калькулятор'!$G$10="ежемесячное (по дням открытия вклада)",DAY('депозитный калькулятор'!$D$7)=DAY(F811)),SUM($H$23:H811)-SUM($I$23:I810),IF(AND('депозитный калькулятор'!$G$10="ежемесячное, на минимальную сумму зафиксированную в течение месяца",F811='депозитный калькулятор'!$D$8,EOMONTH(F811,0)&lt;&gt;F811),IF('депозитный калькулятор'!$F$1=1,$H$24,IF(AND(OR('депозитный калькулятор'!$G$7="30/365",'депозитный калькулятор'!$G$7="30/360"),DAY(F811)=31),0,MIN(OFFSET(H811,-E811+1,0):H811)*(E811+SUMIF(OFFSET(A811,-E811+1,0):A811,"=2",OFFSET(A811,-E811+1,0):A811)))),IF(AND('депозитный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калькулятор'!$G$7="30/360"),DAY(EOMONTH(F811,0))=31),EOMONTH(F811,0)-1=F811,EOMONTH(F811,0)=F811)),IF(IF(AND(OR('депозитный калькулятор'!$G$7="30/365",'депозитный калькулятор'!$G$7="30/360"),DAY(EOMONTH($F$23,0))=31),F811=EOMONTH($F$23,0)-1,F811=EOMONTH($F$23,0)),MIN(OFFSET(H811,-(DAY(F811)-DAY($F$23)),0):H811)*E811,MIN(OFFSET(H811,-(DAY(F811)-1),0):H811)*IF(AND(OR('депозитный калькулятор'!$G$7="30/365",'депозитный калькулятор'!$G$7="30/360"),DAY(F811)&lt;30),30,DAY(F811))),IF(AND('депозитный калькулятор'!$G$10="ежемесячное, на средний остаток в течение месяца, при условии что остаток больше чем ограничение",F811='депозитный калькулятор'!$D$8,EOMONTH(F811,0)&lt;&gt;F811),IF('депозитный калькулятор'!$F$1=1,$H$24,SUM(OFFSET(Q811,-E811+1,0):Q811)),IF(AND('депозитный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калькулятор'!$G$7="30/360"),DAY(EOMONTH(F811,0))=31),EOMONTH(F811,0)-1=F811,EOMONTH(F811,0)=F811)),IF(IF(AND(OR('депозитный калькулятор'!$G$7="30/365",'депозитный калькулятор'!$G$7="30/360"),DAY(EOMONTH($F$24,0))=31),F811=EOMONTH($F$24,0)-1,F811=EOMONTH($F$24,0)),SUM(OFFSET(Q811,-E811+1,0):Q811),SUM(OFFSET(Q811,-E811+1,0):Q811)),IF('депозитный калькулятор'!$G$10="ежеквартальное",IF(F811&gt;'депозитный калькулятор'!$D$8," ",IF(AND(EOMONTH(F811,0)=F811,OR(MONTH(F811)=3,MONTH(F811)=6,MONTH(F811)=9,MONTH(F811)=12)),IF(EDATE(F811,-3)&lt;'депозитный калькулятор'!$D$7,SUM($H$23:H811),IF(MOD(YEAR(F811),4)=0,IF(AND(EOMONTH(F811,0)=F811,OR(MONTH(F811)=3,MONTH(F811)=6)),SUM(OFFSET(H811,-90,0):H811),IF(AND(EOMONTH(F811,0)=F811,OR(MONTH(F811)=9,MONTH(F811)=12)),SUM(OFFSET(H811,-91,0):H811))),IF(AND(EOMONTH(F811,0)=F811,MONTH(F811)=3),SUM(OFFSET(H811,-89,0):H811),IF(AND(EOMONTH(F811,0)=F811,MONTH(F811)=6),SUM(OFFSET(H811,-90,0):H811),IF(AND(EOMONTH(F811,0)=F811,OR(MONTH(F811)=9,MONTH(F811)=12)),SUM(OFFSET(H811,-91,0):H811)))))),IF(F811='депозитный калькулятор'!$D$8,SUM($H$23:H811)-SUM($I$23:I810),0))),IF('депозитный калькулятор'!$G$10="ежегодное",IF(F811&gt;'депозитный калькулятор'!$D$8," ",IF(F811='депозитный калькулятор'!$D$8,SUM($H$23:H811)-SUM($I$23:I810),IF(AND(EOMONTH(F811,0)=F811,MONTH(F811)=12),IF(MOD(YEAR(F810),4)=0,IF(F811-'депозитный калькулятор'!$D$7&lt;366,SUM($H$23:H811),SUM(OFFSET(H811,-365,0):H811)),IF(F811-'депозитный калькулятор'!$D$7&lt;365,SUM($H$23:H811),SUM(OFFSET(H811,-364,0):H811))),0))),IF(AND('депозитный калькулятор'!$G$10="в конце срока",'депозитный калькулятор'!$D$8=F811),SUM($H$23:H811),0))))))))))))))))))</f>
        <v xml:space="preserve"> </v>
      </c>
      <c r="J811" s="59" t="str">
        <f>IF(F811&gt;'депозитный калькулятор'!$D$8," ",IF('депозитный калькулятор'!$G$16="нет",0,IF(AND('депозитный калькулятор'!$G$17="разовая (в конце срока)",F811='депозитный калькулятор'!$D$8),'депозитный калькулятор'!$G$18,IF(AND('депозитный калькулятор'!$G$17="ежемесячная",EOMONTH(F810,0)=F810),'депозитный калькулятор'!$G$18,IF(AND('депозитный калькулятор'!$G$17="ежегодная",DAY(F810)=31,MONTH(F810)=12),'депозитный калькулятор'!$G$18,IF(AND('депозитный калькулятор'!$G$17="ежемесячная в зависимости от остатка",EOMONTH(F810,0)=F810,P810&gt;0),'депозитный калькулятор'!$G$18,IF(AND('депозитный калькулятор'!$G$17="ежегодная в зависимости от остатка",DAY(F810)=31,MONTH(F810)=12,P810&gt;0),'депозитный калькулятор'!$G$18,0)))))))</f>
        <v xml:space="preserve"> </v>
      </c>
      <c r="K811" s="135" t="str">
        <f>IF($F811=" "," ",IFERROR(VLOOKUP($F811,'депозитный калькулятор'!$B$26:$F$70,2,0),0))</f>
        <v xml:space="preserve"> </v>
      </c>
      <c r="L811" s="135" t="str">
        <f>IF($F811=" "," ",IFERROR(VLOOKUP($F811,'депозитный калькулятор'!$B$26:$F$70,3,0),0))</f>
        <v xml:space="preserve"> </v>
      </c>
      <c r="M811" s="135" t="str">
        <f>IF($F811=" "," ",IFERROR(VLOOKUP($F811,'депозитный калькулятор'!$B$26:$F$70,4,0),0))</f>
        <v xml:space="preserve"> </v>
      </c>
      <c r="N811" s="135" t="str">
        <f>IF($F811=" "," ",IFERROR(VLOOKUP($F811,'депозитный калькулятор'!$B$26:$F$70,5,0),0))</f>
        <v xml:space="preserve"> </v>
      </c>
      <c r="O811" s="146" t="str">
        <f>IF(F811&gt;'депозитный калькулятор'!$D$8," ",IF(F811='депозитный калькулятор'!$D$8,IF(AND($F$24='депозитный калькулятор'!$D$8,'депозитный калькулятор'!$G$13="нет"),-G811-IF(I811=" ",0,I811)-IF(AND(OR('депозитный калькулятор'!$G$7="30/365",'депозитный калькулятор'!$G$7="30/360"),'депозитный калькулятор'!$G$10="в начале срока"),I810,0)-L811+M811-N811,-G811-IF(I811=" ",0,I811)-L811+M811-N811),IF('депозитный калькулятор'!$G$13="есть",M811-N811+IF('депозитный калькулятор'!$G$14="есть",0,-L811),-IF(I811=" ",0,I811)-IF(AND(OR('депозитный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срока"),I810,0)+M811-N811+IF('депозитный калькулятор'!$G$14="есть",0,-L811))))</f>
        <v xml:space="preserve"> </v>
      </c>
      <c r="P811" s="147" t="str">
        <f>IF(F811&gt;'депозитный калькулятор'!$D$8," ",IF(EOMONTH(F810,0)=F810,0,IF(G811&gt;='депозитный калькулятор'!$G$19,P810,P810+1)))</f>
        <v xml:space="preserve"> </v>
      </c>
      <c r="Q811" s="138" t="str">
        <f>IF(F811=" "," ",IF(AND(OR('депозитный калькулятор'!$G$7="30/365",'депозитный калькулятор'!$G$7="30/360"),AND(MONTH(F811)=2,EOMONTH(F811,0)=F811)),IF(DAY(F811)=28,3,2),1)*IF(G811&gt;='депозитный калькулятор'!$G$11,IF(AND('депозитный калькулятор'!$G$7="факт/факт",MOD(YEAR(F811),4)=0),G811*'депозитный калькулятор'!$D$11/366,G811*'депозитный калькулятор'!$G$8),0))</f>
        <v xml:space="preserve"> </v>
      </c>
      <c r="R811" s="158"/>
      <c r="S811" s="62" t="str">
        <f t="shared" ca="1" si="62"/>
        <v xml:space="preserve"> </v>
      </c>
      <c r="T811" s="149" t="str">
        <f ca="1">IF(S811=" "," ",IF('депозитный калькулятор'!$G$7="30/360",DAYS360(U810,IF(DAY(U811)=31,U811-1,U811))+IF(AND(MONTH(U811)=2,U811=EOMONTH(U811,0)),30-DAY(EOMONTH(U811,0)))+T810,VLOOKUP(S811,$C$22:$F$1023,2,0)))</f>
        <v xml:space="preserve"> </v>
      </c>
      <c r="U811" s="64" t="str">
        <f t="shared" ca="1" si="60"/>
        <v xml:space="preserve"> </v>
      </c>
      <c r="V811" s="150" t="str">
        <f t="shared" ca="1" si="63"/>
        <v xml:space="preserve"> </v>
      </c>
      <c r="W811" s="62" t="str">
        <f t="shared" ca="1" si="64"/>
        <v xml:space="preserve"> </v>
      </c>
      <c r="X811" s="141" t="str">
        <f ca="1">IF(S811=" "," ",IFERROR(VLOOKUP(U811,$F$23:$N$1023,7)+VLOOKUP(U811,$F$23:$N$1023,9)+IF(AND('депозитный калькулятор'!$G$13="нет",U811&lt;&gt;'депозитный калькулятор'!$D$8),VLOOKUP(U811,$F$23:$N$1023,4),0),0)+IF(U811='депозитный калькулятор'!$D$8,VLOOKUP(U811,$F$23:$N$1023,2)+VLOOKUP(U811,$F$23:$N$1023,4),0))</f>
        <v xml:space="preserve"> </v>
      </c>
      <c r="Y811" s="142" t="str">
        <f ca="1">IF(S811=" "," ",W811/(1+'депозитный калькулятор'!$K$8)^(T811/IF('депозитный калькулятор'!$G$7="30/360",360,365)))</f>
        <v xml:space="preserve"> </v>
      </c>
      <c r="Z811" s="142" t="str">
        <f ca="1">IF(S811=" "," ",X811/(1+'депозитный калькулятор'!$K$8)^(T811/IF('депозитный калькулятор'!$G$7="30/360",360,365)))</f>
        <v xml:space="preserve"> </v>
      </c>
      <c r="AA811" s="151"/>
      <c r="AB811" s="151"/>
      <c r="AC811" s="155"/>
      <c r="AD811" s="155"/>
    </row>
    <row r="812" spans="1:30" s="2" customFormat="1" ht="15.5" x14ac:dyDescent="0.35">
      <c r="A812" s="41" t="str">
        <f>IF(F812=" "," ",IF(OR('депозитный калькулятор'!$G$7="30/365",'депозитный калькулятор'!$G$7="30/360"),IF(AND(MONTH(F812)=2,DAY(F812)=DAY(EOMONTH(F812,0))),30-DAY(EOMONTH(F812,0)),IF(DAY(F812)=31,1," "))," "))</f>
        <v xml:space="preserve"> </v>
      </c>
      <c r="B812" s="130" t="str">
        <f t="shared" si="61"/>
        <v xml:space="preserve"> </v>
      </c>
      <c r="C812" s="130" t="str">
        <f>IF(OR(B812=0,B812=" ")," ",SUM($B$23:B812))</f>
        <v xml:space="preserve"> </v>
      </c>
      <c r="D812" s="62" t="str">
        <f>IF(D811=" "," ",IF(OR(F811='депозитный калькулятор'!$D$8,F811=" ")," ",D811+1))</f>
        <v xml:space="preserve"> </v>
      </c>
      <c r="E812" s="130" t="str">
        <f>IF(OR(F811='депозитный калькулятор'!$D$8,F811=" ")," ",IF(EOMONTH(F811,0)=F811,1,E811+1))</f>
        <v xml:space="preserve"> </v>
      </c>
      <c r="F812" s="64" t="str">
        <f>IF(F811=" "," ",IF(F811='депозитный калькулятор'!$D$8," ",F811+1))</f>
        <v xml:space="preserve"> </v>
      </c>
      <c r="G812" s="145" t="str">
        <f xml:space="preserve"> IF(F812&gt;'депозитный калькулятор'!$D$8," ",IF('депозитный калькулятор'!$G$13="есть",IF('депозитный калькулятор'!$G$14="есть",G811+IF(I811=" ",0,I811)-J812-K812+L812+M812-N812,G811+IF(I811=" ",0,I811)-J812-K812+M812-N812),IF('депозитный калькулятор'!$G$14="есть",G811-J812-K812+L812+M812-N812,G811-J812-K812+M812-N812)))</f>
        <v xml:space="preserve"> </v>
      </c>
      <c r="H812" s="133" t="str">
        <f>IF(F812&gt;'депозитный калькулятор'!$D$8," ",IF(AND(OR('депозитный калькулятор'!$G$7="30/365",'депозитный калькулятор'!$G$7="30/360"),AND(MONTH(F812)=2,EOMONTH(F812,0)=F812)),IF(DAY(F812)=28,3*G812*'депозитный калькулятор'!$G$8,2*G812*'депозитный калькулятор'!$G$8),IF(AND(OR('депозитный калькулятор'!$G$7="30/365",'депозитный калькулятор'!$G$7="30/360"),DAY(F812)=31)," ",IF(AND('депозитный калькулятор'!$G$7="факт/факт",MOD(YEAR(F812),4)=0),G812*'депозитный калькулятор'!$D$11/366,G812*'депозитный калькулятор'!$G$8))))</f>
        <v xml:space="preserve"> </v>
      </c>
      <c r="I812" s="134" t="str">
        <f ca="1">IF(F812=" "," ",IF('депозитный калькулятор'!$G$10="ежедневное",H812,IF(AND('депозитный калькулятор'!$G$10="еженедельное",WEEKDAY(F812,2)=7),SUM(OFFSET(H812,-6,0):H812),IF(AND('депозитный калькулятор'!$G$10="еженедельное",F812='депозитный калькулятор'!$D$8),SUM($H$23:H812)-SUM($I$23:I811),IF(AND('депозитный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недели",WEEKDAY(F812,2)=7),MIN(OFFSET(H812,-6,0):H812)*(COUNTIF(OFFSET(H812,-6,0):H812,"&gt;0")+SUMIF(OFFSET(A812,-WEEKDAY(F812,2),0):A812,"=2",OFFSET(A812,-WEEKDAY(F812,2),0):A812)),IF(AND('депозитный калькулятор'!$G$10="еженедельное, на минимальную сумму зафиксированную в течение недели",F812='депозитный калькулятор'!$D$8,WEEKDAY(F812,2)&lt;&gt;7),MIN(OFFSET(H812,-WEEKDAY(F812,2),0):H812)*(COUNTIF(OFFSET(H812,-WEEKDAY(F812,2)+1,0):H812,"&gt;0")+SUM(OFFSET(A812,-WEEKDAY(F812,2),0):A812)),IF(AND('депозитный калькулятор'!$G$10="ежемесячное (в конце месяца)",F812='депозитный калькулятор'!$D$8,EOMONTH(F812,0)&lt;&gt;F812),IF('депозитный калькулятор'!$F$1=1,$H$24,SUM($H$23:H812)-SUM($I$23:I811)),IF(AND('депозитный калькулятор'!$G$10="ежемесячное (в конце месяца)",EOMONTH(F812,0)=F812),SUM($H$23:H812)-SUM($I$23:I811),IF(AND('депозитный калькулятор'!$G$10="ежемесячное (по дням открытия вклада)",F812='депозитный калькулятор'!$D$8,DAY('депозитный калькулятор'!$D$7)&lt;&gt;DAY(F812)),IF('депозитный калькулятор'!$F$1=1,$H$24,SUM($H$23:H812)-SUM($I$23:I811)),IF(AND('депозитный калькулятор'!$G$10="ежемесячное (по дням открытия вклада)",DAY('депозитный калькулятор'!$D$7)=DAY(F812)),SUM($H$23:H812)-SUM($I$23:I811),IF(AND('депозитный калькулятор'!$G$10="ежемесячное, на минимальную сумму зафиксированную в течение месяца",F812='депозитный калькулятор'!$D$8,EOMONTH(F812,0)&lt;&gt;F812),IF('депозитный калькулятор'!$F$1=1,$H$24,IF(AND(OR('депозитный калькулятор'!$G$7="30/365",'депозитный калькулятор'!$G$7="30/360"),DAY(F812)=31),0,MIN(OFFSET(H812,-E812+1,0):H812)*(E812+SUMIF(OFFSET(A812,-E812+1,0):A812,"=2",OFFSET(A812,-E812+1,0):A812)))),IF(AND('депозитный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калькулятор'!$G$7="30/360"),DAY(EOMONTH(F812,0))=31),EOMONTH(F812,0)-1=F812,EOMONTH(F812,0)=F812)),IF(IF(AND(OR('депозитный калькулятор'!$G$7="30/365",'депозитный калькулятор'!$G$7="30/360"),DAY(EOMONTH($F$23,0))=31),F812=EOMONTH($F$23,0)-1,F812=EOMONTH($F$23,0)),MIN(OFFSET(H812,-(DAY(F812)-DAY($F$23)),0):H812)*E812,MIN(OFFSET(H812,-(DAY(F812)-1),0):H812)*IF(AND(OR('депозитный калькулятор'!$G$7="30/365",'депозитный калькулятор'!$G$7="30/360"),DAY(F812)&lt;30),30,DAY(F812))),IF(AND('депозитный калькулятор'!$G$10="ежемесячное, на средний остаток в течение месяца, при условии что остаток больше чем ограничение",F812='депозитный калькулятор'!$D$8,EOMONTH(F812,0)&lt;&gt;F812),IF('депозитный калькулятор'!$F$1=1,$H$24,SUM(OFFSET(Q812,-E812+1,0):Q812)),IF(AND('депозитный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калькулятор'!$G$7="30/360"),DAY(EOMONTH(F812,0))=31),EOMONTH(F812,0)-1=F812,EOMONTH(F812,0)=F812)),IF(IF(AND(OR('депозитный калькулятор'!$G$7="30/365",'депозитный калькулятор'!$G$7="30/360"),DAY(EOMONTH($F$24,0))=31),F812=EOMONTH($F$24,0)-1,F812=EOMONTH($F$24,0)),SUM(OFFSET(Q812,-E812+1,0):Q812),SUM(OFFSET(Q812,-E812+1,0):Q812)),IF('депозитный калькулятор'!$G$10="ежеквартальное",IF(F812&gt;'депозитный калькулятор'!$D$8," ",IF(AND(EOMONTH(F812,0)=F812,OR(MONTH(F812)=3,MONTH(F812)=6,MONTH(F812)=9,MONTH(F812)=12)),IF(EDATE(F812,-3)&lt;'депозитный калькулятор'!$D$7,SUM($H$23:H812),IF(MOD(YEAR(F812),4)=0,IF(AND(EOMONTH(F812,0)=F812,OR(MONTH(F812)=3,MONTH(F812)=6)),SUM(OFFSET(H812,-90,0):H812),IF(AND(EOMONTH(F812,0)=F812,OR(MONTH(F812)=9,MONTH(F812)=12)),SUM(OFFSET(H812,-91,0):H812))),IF(AND(EOMONTH(F812,0)=F812,MONTH(F812)=3),SUM(OFFSET(H812,-89,0):H812),IF(AND(EOMONTH(F812,0)=F812,MONTH(F812)=6),SUM(OFFSET(H812,-90,0):H812),IF(AND(EOMONTH(F812,0)=F812,OR(MONTH(F812)=9,MONTH(F812)=12)),SUM(OFFSET(H812,-91,0):H812)))))),IF(F812='депозитный калькулятор'!$D$8,SUM($H$23:H812)-SUM($I$23:I811),0))),IF('депозитный калькулятор'!$G$10="ежегодное",IF(F812&gt;'депозитный калькулятор'!$D$8," ",IF(F812='депозитный калькулятор'!$D$8,SUM($H$23:H812)-SUM($I$23:I811),IF(AND(EOMONTH(F812,0)=F812,MONTH(F812)=12),IF(MOD(YEAR(F811),4)=0,IF(F812-'депозитный калькулятор'!$D$7&lt;366,SUM($H$23:H812),SUM(OFFSET(H812,-365,0):H812)),IF(F812-'депозитный калькулятор'!$D$7&lt;365,SUM($H$23:H812),SUM(OFFSET(H812,-364,0):H812))),0))),IF(AND('депозитный калькулятор'!$G$10="в конце срока",'депозитный калькулятор'!$D$8=F812),SUM($H$23:H812),0))))))))))))))))))</f>
        <v xml:space="preserve"> </v>
      </c>
      <c r="J812" s="59" t="str">
        <f>IF(F812&gt;'депозитный калькулятор'!$D$8," ",IF('депозитный калькулятор'!$G$16="нет",0,IF(AND('депозитный калькулятор'!$G$17="разовая (в конце срока)",F812='депозитный калькулятор'!$D$8),'депозитный калькулятор'!$G$18,IF(AND('депозитный калькулятор'!$G$17="ежемесячная",EOMONTH(F811,0)=F811),'депозитный калькулятор'!$G$18,IF(AND('депозитный калькулятор'!$G$17="ежегодная",DAY(F811)=31,MONTH(F811)=12),'депозитный калькулятор'!$G$18,IF(AND('депозитный калькулятор'!$G$17="ежемесячная в зависимости от остатка",EOMONTH(F811,0)=F811,P811&gt;0),'депозитный калькулятор'!$G$18,IF(AND('депозитный калькулятор'!$G$17="ежегодная в зависимости от остатка",DAY(F811)=31,MONTH(F811)=12,P811&gt;0),'депозитный калькулятор'!$G$18,0)))))))</f>
        <v xml:space="preserve"> </v>
      </c>
      <c r="K812" s="135" t="str">
        <f>IF($F812=" "," ",IFERROR(VLOOKUP($F812,'депозитный калькулятор'!$B$26:$F$70,2,0),0))</f>
        <v xml:space="preserve"> </v>
      </c>
      <c r="L812" s="135" t="str">
        <f>IF($F812=" "," ",IFERROR(VLOOKUP($F812,'депозитный калькулятор'!$B$26:$F$70,3,0),0))</f>
        <v xml:space="preserve"> </v>
      </c>
      <c r="M812" s="135" t="str">
        <f>IF($F812=" "," ",IFERROR(VLOOKUP($F812,'депозитный калькулятор'!$B$26:$F$70,4,0),0))</f>
        <v xml:space="preserve"> </v>
      </c>
      <c r="N812" s="135" t="str">
        <f>IF($F812=" "," ",IFERROR(VLOOKUP($F812,'депозитный калькулятор'!$B$26:$F$70,5,0),0))</f>
        <v xml:space="preserve"> </v>
      </c>
      <c r="O812" s="146" t="str">
        <f>IF(F812&gt;'депозитный калькулятор'!$D$8," ",IF(F812='депозитный калькулятор'!$D$8,IF(AND($F$24='депозитный калькулятор'!$D$8,'депозитный калькулятор'!$G$13="нет"),-G812-IF(I812=" ",0,I812)-IF(AND(OR('депозитный калькулятор'!$G$7="30/365",'депозитный калькулятор'!$G$7="30/360"),'депозитный калькулятор'!$G$10="в начале срока"),I811,0)-L812+M812-N812,-G812-IF(I812=" ",0,I812)-L812+M812-N812),IF('депозитный калькулятор'!$G$13="есть",M812-N812+IF('депозитный калькулятор'!$G$14="есть",0,-L812),-IF(I812=" ",0,I812)-IF(AND(OR('депозитный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срока"),I811,0)+M812-N812+IF('депозитный калькулятор'!$G$14="есть",0,-L812))))</f>
        <v xml:space="preserve"> </v>
      </c>
      <c r="P812" s="147" t="str">
        <f>IF(F812&gt;'депозитный калькулятор'!$D$8," ",IF(EOMONTH(F811,0)=F811,0,IF(G812&gt;='депозитный калькулятор'!$G$19,P811,P811+1)))</f>
        <v xml:space="preserve"> </v>
      </c>
      <c r="Q812" s="138" t="str">
        <f>IF(F812=" "," ",IF(AND(OR('депозитный калькулятор'!$G$7="30/365",'депозитный калькулятор'!$G$7="30/360"),AND(MONTH(F812)=2,EOMONTH(F812,0)=F812)),IF(DAY(F812)=28,3,2),1)*IF(G812&gt;='депозитный калькулятор'!$G$11,IF(AND('депозитный калькулятор'!$G$7="факт/факт",MOD(YEAR(F812),4)=0),G812*'депозитный калькулятор'!$D$11/366,G812*'депозитный калькулятор'!$G$8),0))</f>
        <v xml:space="preserve"> </v>
      </c>
      <c r="R812" s="158"/>
      <c r="S812" s="62" t="str">
        <f t="shared" ca="1" si="62"/>
        <v xml:space="preserve"> </v>
      </c>
      <c r="T812" s="149" t="str">
        <f ca="1">IF(S812=" "," ",IF('депозитный калькулятор'!$G$7="30/360",DAYS360(U811,IF(DAY(U812)=31,U812-1,U812))+IF(AND(MONTH(U812)=2,U812=EOMONTH(U812,0)),30-DAY(EOMONTH(U812,0)))+T811,VLOOKUP(S812,$C$22:$F$1023,2,0)))</f>
        <v xml:space="preserve"> </v>
      </c>
      <c r="U812" s="64" t="str">
        <f t="shared" ca="1" si="60"/>
        <v xml:space="preserve"> </v>
      </c>
      <c r="V812" s="150" t="str">
        <f t="shared" ca="1" si="63"/>
        <v xml:space="preserve"> </v>
      </c>
      <c r="W812" s="62" t="str">
        <f t="shared" ca="1" si="64"/>
        <v xml:space="preserve"> </v>
      </c>
      <c r="X812" s="141" t="str">
        <f ca="1">IF(S812=" "," ",IFERROR(VLOOKUP(U812,$F$23:$N$1023,7)+VLOOKUP(U812,$F$23:$N$1023,9)+IF(AND('депозитный калькулятор'!$G$13="нет",U812&lt;&gt;'депозитный калькулятор'!$D$8),VLOOKUP(U812,$F$23:$N$1023,4),0),0)+IF(U812='депозитный калькулятор'!$D$8,VLOOKUP(U812,$F$23:$N$1023,2)+VLOOKUP(U812,$F$23:$N$1023,4),0))</f>
        <v xml:space="preserve"> </v>
      </c>
      <c r="Y812" s="142" t="str">
        <f ca="1">IF(S812=" "," ",W812/(1+'депозитный калькулятор'!$K$8)^(T812/IF('депозитный калькулятор'!$G$7="30/360",360,365)))</f>
        <v xml:space="preserve"> </v>
      </c>
      <c r="Z812" s="142" t="str">
        <f ca="1">IF(S812=" "," ",X812/(1+'депозитный калькулятор'!$K$8)^(T812/IF('депозитный калькулятор'!$G$7="30/360",360,365)))</f>
        <v xml:space="preserve"> </v>
      </c>
      <c r="AA812" s="151"/>
      <c r="AB812" s="151"/>
      <c r="AC812" s="155"/>
      <c r="AD812" s="155"/>
    </row>
    <row r="813" spans="1:30" s="2" customFormat="1" ht="15.5" x14ac:dyDescent="0.35">
      <c r="A813" s="41" t="str">
        <f>IF(F813=" "," ",IF(OR('депозитный калькулятор'!$G$7="30/365",'депозитный калькулятор'!$G$7="30/360"),IF(AND(MONTH(F813)=2,DAY(F813)=DAY(EOMONTH(F813,0))),30-DAY(EOMONTH(F813,0)),IF(DAY(F813)=31,1," "))," "))</f>
        <v xml:space="preserve"> </v>
      </c>
      <c r="B813" s="130" t="str">
        <f t="shared" si="61"/>
        <v xml:space="preserve"> </v>
      </c>
      <c r="C813" s="130" t="str">
        <f>IF(OR(B813=0,B813=" ")," ",SUM($B$23:B813))</f>
        <v xml:space="preserve"> </v>
      </c>
      <c r="D813" s="62" t="str">
        <f>IF(D812=" "," ",IF(OR(F812='депозитный калькулятор'!$D$8,F812=" ")," ",D812+1))</f>
        <v xml:space="preserve"> </v>
      </c>
      <c r="E813" s="130" t="str">
        <f>IF(OR(F812='депозитный калькулятор'!$D$8,F812=" ")," ",IF(EOMONTH(F812,0)=F812,1,E812+1))</f>
        <v xml:space="preserve"> </v>
      </c>
      <c r="F813" s="64" t="str">
        <f>IF(F812=" "," ",IF(F812='депозитный калькулятор'!$D$8," ",F812+1))</f>
        <v xml:space="preserve"> </v>
      </c>
      <c r="G813" s="145" t="str">
        <f xml:space="preserve"> IF(F813&gt;'депозитный калькулятор'!$D$8," ",IF('депозитный калькулятор'!$G$13="есть",IF('депозитный калькулятор'!$G$14="есть",G812+IF(I812=" ",0,I812)-J813-K813+L813+M813-N813,G812+IF(I812=" ",0,I812)-J813-K813+M813-N813),IF('депозитный калькулятор'!$G$14="есть",G812-J813-K813+L813+M813-N813,G812-J813-K813+M813-N813)))</f>
        <v xml:space="preserve"> </v>
      </c>
      <c r="H813" s="133" t="str">
        <f>IF(F813&gt;'депозитный калькулятор'!$D$8," ",IF(AND(OR('депозитный калькулятор'!$G$7="30/365",'депозитный калькулятор'!$G$7="30/360"),AND(MONTH(F813)=2,EOMONTH(F813,0)=F813)),IF(DAY(F813)=28,3*G813*'депозитный калькулятор'!$G$8,2*G813*'депозитный калькулятор'!$G$8),IF(AND(OR('депозитный калькулятор'!$G$7="30/365",'депозитный калькулятор'!$G$7="30/360"),DAY(F813)=31)," ",IF(AND('депозитный калькулятор'!$G$7="факт/факт",MOD(YEAR(F813),4)=0),G813*'депозитный калькулятор'!$D$11/366,G813*'депозитный калькулятор'!$G$8))))</f>
        <v xml:space="preserve"> </v>
      </c>
      <c r="I813" s="134" t="str">
        <f ca="1">IF(F813=" "," ",IF('депозитный калькулятор'!$G$10="ежедневное",H813,IF(AND('депозитный калькулятор'!$G$10="еженедельное",WEEKDAY(F813,2)=7),SUM(OFFSET(H813,-6,0):H813),IF(AND('депозитный калькулятор'!$G$10="еженедельное",F813='депозитный калькулятор'!$D$8),SUM($H$23:H813)-SUM($I$23:I812),IF(AND('депозитный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недели",WEEKDAY(F813,2)=7),MIN(OFFSET(H813,-6,0):H813)*(COUNTIF(OFFSET(H813,-6,0):H813,"&gt;0")+SUMIF(OFFSET(A813,-WEEKDAY(F813,2),0):A813,"=2",OFFSET(A813,-WEEKDAY(F813,2),0):A813)),IF(AND('депозитный калькулятор'!$G$10="еженедельное, на минимальную сумму зафиксированную в течение недели",F813='депозитный калькулятор'!$D$8,WEEKDAY(F813,2)&lt;&gt;7),MIN(OFFSET(H813,-WEEKDAY(F813,2),0):H813)*(COUNTIF(OFFSET(H813,-WEEKDAY(F813,2)+1,0):H813,"&gt;0")+SUM(OFFSET(A813,-WEEKDAY(F813,2),0):A813)),IF(AND('депозитный калькулятор'!$G$10="ежемесячное (в конце месяца)",F813='депозитный калькулятор'!$D$8,EOMONTH(F813,0)&lt;&gt;F813),IF('депозитный калькулятор'!$F$1=1,$H$24,SUM($H$23:H813)-SUM($I$23:I812)),IF(AND('депозитный калькулятор'!$G$10="ежемесячное (в конце месяца)",EOMONTH(F813,0)=F813),SUM($H$23:H813)-SUM($I$23:I812),IF(AND('депозитный калькулятор'!$G$10="ежемесячное (по дням открытия вклада)",F813='депозитный калькулятор'!$D$8,DAY('депозитный калькулятор'!$D$7)&lt;&gt;DAY(F813)),IF('депозитный калькулятор'!$F$1=1,$H$24,SUM($H$23:H813)-SUM($I$23:I812)),IF(AND('депозитный калькулятор'!$G$10="ежемесячное (по дням открытия вклада)",DAY('депозитный калькулятор'!$D$7)=DAY(F813)),SUM($H$23:H813)-SUM($I$23:I812),IF(AND('депозитный калькулятор'!$G$10="ежемесячное, на минимальную сумму зафиксированную в течение месяца",F813='депозитный калькулятор'!$D$8,EOMONTH(F813,0)&lt;&gt;F813),IF('депозитный калькулятор'!$F$1=1,$H$24,IF(AND(OR('депозитный калькулятор'!$G$7="30/365",'депозитный калькулятор'!$G$7="30/360"),DAY(F813)=31),0,MIN(OFFSET(H813,-E813+1,0):H813)*(E813+SUMIF(OFFSET(A813,-E813+1,0):A813,"=2",OFFSET(A813,-E813+1,0):A813)))),IF(AND('депозитный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калькулятор'!$G$7="30/360"),DAY(EOMONTH(F813,0))=31),EOMONTH(F813,0)-1=F813,EOMONTH(F813,0)=F813)),IF(IF(AND(OR('депозитный калькулятор'!$G$7="30/365",'депозитный калькулятор'!$G$7="30/360"),DAY(EOMONTH($F$23,0))=31),F813=EOMONTH($F$23,0)-1,F813=EOMONTH($F$23,0)),MIN(OFFSET(H813,-(DAY(F813)-DAY($F$23)),0):H813)*E813,MIN(OFFSET(H813,-(DAY(F813)-1),0):H813)*IF(AND(OR('депозитный калькулятор'!$G$7="30/365",'депозитный калькулятор'!$G$7="30/360"),DAY(F813)&lt;30),30,DAY(F813))),IF(AND('депозитный калькулятор'!$G$10="ежемесячное, на средний остаток в течение месяца, при условии что остаток больше чем ограничение",F813='депозитный калькулятор'!$D$8,EOMONTH(F813,0)&lt;&gt;F813),IF('депозитный калькулятор'!$F$1=1,$H$24,SUM(OFFSET(Q813,-E813+1,0):Q813)),IF(AND('депозитный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калькулятор'!$G$7="30/360"),DAY(EOMONTH(F813,0))=31),EOMONTH(F813,0)-1=F813,EOMONTH(F813,0)=F813)),IF(IF(AND(OR('депозитный калькулятор'!$G$7="30/365",'депозитный калькулятор'!$G$7="30/360"),DAY(EOMONTH($F$24,0))=31),F813=EOMONTH($F$24,0)-1,F813=EOMONTH($F$24,0)),SUM(OFFSET(Q813,-E813+1,0):Q813),SUM(OFFSET(Q813,-E813+1,0):Q813)),IF('депозитный калькулятор'!$G$10="ежеквартальное",IF(F813&gt;'депозитный калькулятор'!$D$8," ",IF(AND(EOMONTH(F813,0)=F813,OR(MONTH(F813)=3,MONTH(F813)=6,MONTH(F813)=9,MONTH(F813)=12)),IF(EDATE(F813,-3)&lt;'депозитный калькулятор'!$D$7,SUM($H$23:H813),IF(MOD(YEAR(F813),4)=0,IF(AND(EOMONTH(F813,0)=F813,OR(MONTH(F813)=3,MONTH(F813)=6)),SUM(OFFSET(H813,-90,0):H813),IF(AND(EOMONTH(F813,0)=F813,OR(MONTH(F813)=9,MONTH(F813)=12)),SUM(OFFSET(H813,-91,0):H813))),IF(AND(EOMONTH(F813,0)=F813,MONTH(F813)=3),SUM(OFFSET(H813,-89,0):H813),IF(AND(EOMONTH(F813,0)=F813,MONTH(F813)=6),SUM(OFFSET(H813,-90,0):H813),IF(AND(EOMONTH(F813,0)=F813,OR(MONTH(F813)=9,MONTH(F813)=12)),SUM(OFFSET(H813,-91,0):H813)))))),IF(F813='депозитный калькулятор'!$D$8,SUM($H$23:H813)-SUM($I$23:I812),0))),IF('депозитный калькулятор'!$G$10="ежегодное",IF(F813&gt;'депозитный калькулятор'!$D$8," ",IF(F813='депозитный калькулятор'!$D$8,SUM($H$23:H813)-SUM($I$23:I812),IF(AND(EOMONTH(F813,0)=F813,MONTH(F813)=12),IF(MOD(YEAR(F812),4)=0,IF(F813-'депозитный калькулятор'!$D$7&lt;366,SUM($H$23:H813),SUM(OFFSET(H813,-365,0):H813)),IF(F813-'депозитный калькулятор'!$D$7&lt;365,SUM($H$23:H813),SUM(OFFSET(H813,-364,0):H813))),0))),IF(AND('депозитный калькулятор'!$G$10="в конце срока",'депозитный калькулятор'!$D$8=F813),SUM($H$23:H813),0))))))))))))))))))</f>
        <v xml:space="preserve"> </v>
      </c>
      <c r="J813" s="59" t="str">
        <f>IF(F813&gt;'депозитный калькулятор'!$D$8," ",IF('депозитный калькулятор'!$G$16="нет",0,IF(AND('депозитный калькулятор'!$G$17="разовая (в конце срока)",F813='депозитный калькулятор'!$D$8),'депозитный калькулятор'!$G$18,IF(AND('депозитный калькулятор'!$G$17="ежемесячная",EOMONTH(F812,0)=F812),'депозитный калькулятор'!$G$18,IF(AND('депозитный калькулятор'!$G$17="ежегодная",DAY(F812)=31,MONTH(F812)=12),'депозитный калькулятор'!$G$18,IF(AND('депозитный калькулятор'!$G$17="ежемесячная в зависимости от остатка",EOMONTH(F812,0)=F812,P812&gt;0),'депозитный калькулятор'!$G$18,IF(AND('депозитный калькулятор'!$G$17="ежегодная в зависимости от остатка",DAY(F812)=31,MONTH(F812)=12,P812&gt;0),'депозитный калькулятор'!$G$18,0)))))))</f>
        <v xml:space="preserve"> </v>
      </c>
      <c r="K813" s="135" t="str">
        <f>IF($F813=" "," ",IFERROR(VLOOKUP($F813,'депозитный калькулятор'!$B$26:$F$70,2,0),0))</f>
        <v xml:space="preserve"> </v>
      </c>
      <c r="L813" s="135" t="str">
        <f>IF($F813=" "," ",IFERROR(VLOOKUP($F813,'депозитный калькулятор'!$B$26:$F$70,3,0),0))</f>
        <v xml:space="preserve"> </v>
      </c>
      <c r="M813" s="135" t="str">
        <f>IF($F813=" "," ",IFERROR(VLOOKUP($F813,'депозитный калькулятор'!$B$26:$F$70,4,0),0))</f>
        <v xml:space="preserve"> </v>
      </c>
      <c r="N813" s="135" t="str">
        <f>IF($F813=" "," ",IFERROR(VLOOKUP($F813,'депозитный калькулятор'!$B$26:$F$70,5,0),0))</f>
        <v xml:space="preserve"> </v>
      </c>
      <c r="O813" s="146" t="str">
        <f>IF(F813&gt;'депозитный калькулятор'!$D$8," ",IF(F813='депозитный калькулятор'!$D$8,IF(AND($F$24='депозитный калькулятор'!$D$8,'депозитный калькулятор'!$G$13="нет"),-G813-IF(I813=" ",0,I813)-IF(AND(OR('депозитный калькулятор'!$G$7="30/365",'депозитный калькулятор'!$G$7="30/360"),'депозитный калькулятор'!$G$10="в начале срока"),I812,0)-L813+M813-N813,-G813-IF(I813=" ",0,I813)-L813+M813-N813),IF('депозитный калькулятор'!$G$13="есть",M813-N813+IF('депозитный калькулятор'!$G$14="есть",0,-L813),-IF(I813=" ",0,I813)-IF(AND(OR('депозитный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срока"),I812,0)+M813-N813+IF('депозитный калькулятор'!$G$14="есть",0,-L813))))</f>
        <v xml:space="preserve"> </v>
      </c>
      <c r="P813" s="147" t="str">
        <f>IF(F813&gt;'депозитный калькулятор'!$D$8," ",IF(EOMONTH(F812,0)=F812,0,IF(G813&gt;='депозитный калькулятор'!$G$19,P812,P812+1)))</f>
        <v xml:space="preserve"> </v>
      </c>
      <c r="Q813" s="138" t="str">
        <f>IF(F813=" "," ",IF(AND(OR('депозитный калькулятор'!$G$7="30/365",'депозитный калькулятор'!$G$7="30/360"),AND(MONTH(F813)=2,EOMONTH(F813,0)=F813)),IF(DAY(F813)=28,3,2),1)*IF(G813&gt;='депозитный калькулятор'!$G$11,IF(AND('депозитный калькулятор'!$G$7="факт/факт",MOD(YEAR(F813),4)=0),G813*'депозитный калькулятор'!$D$11/366,G813*'депозитный калькулятор'!$G$8),0))</f>
        <v xml:space="preserve"> </v>
      </c>
      <c r="R813" s="158"/>
      <c r="S813" s="62" t="str">
        <f t="shared" ca="1" si="62"/>
        <v xml:space="preserve"> </v>
      </c>
      <c r="T813" s="149" t="str">
        <f ca="1">IF(S813=" "," ",IF('депозитный калькулятор'!$G$7="30/360",DAYS360(U812,IF(DAY(U813)=31,U813-1,U813))+IF(AND(MONTH(U813)=2,U813=EOMONTH(U813,0)),30-DAY(EOMONTH(U813,0)))+T812,VLOOKUP(S813,$C$22:$F$1023,2,0)))</f>
        <v xml:space="preserve"> </v>
      </c>
      <c r="U813" s="64" t="str">
        <f t="shared" ca="1" si="60"/>
        <v xml:space="preserve"> </v>
      </c>
      <c r="V813" s="150" t="str">
        <f t="shared" ca="1" si="63"/>
        <v xml:space="preserve"> </v>
      </c>
      <c r="W813" s="62" t="str">
        <f t="shared" ca="1" si="64"/>
        <v xml:space="preserve"> </v>
      </c>
      <c r="X813" s="141" t="str">
        <f ca="1">IF(S813=" "," ",IFERROR(VLOOKUP(U813,$F$23:$N$1023,7)+VLOOKUP(U813,$F$23:$N$1023,9)+IF(AND('депозитный калькулятор'!$G$13="нет",U813&lt;&gt;'депозитный калькулятор'!$D$8),VLOOKUP(U813,$F$23:$N$1023,4),0),0)+IF(U813='депозитный калькулятор'!$D$8,VLOOKUP(U813,$F$23:$N$1023,2)+VLOOKUP(U813,$F$23:$N$1023,4),0))</f>
        <v xml:space="preserve"> </v>
      </c>
      <c r="Y813" s="142" t="str">
        <f ca="1">IF(S813=" "," ",W813/(1+'депозитный калькулятор'!$K$8)^(T813/IF('депозитный калькулятор'!$G$7="30/360",360,365)))</f>
        <v xml:space="preserve"> </v>
      </c>
      <c r="Z813" s="142" t="str">
        <f ca="1">IF(S813=" "," ",X813/(1+'депозитный калькулятор'!$K$8)^(T813/IF('депозитный калькулятор'!$G$7="30/360",360,365)))</f>
        <v xml:space="preserve"> </v>
      </c>
      <c r="AA813" s="151"/>
      <c r="AB813" s="151"/>
      <c r="AC813" s="155"/>
      <c r="AD813" s="155"/>
    </row>
    <row r="814" spans="1:30" s="2" customFormat="1" ht="15.5" x14ac:dyDescent="0.35">
      <c r="A814" s="41" t="str">
        <f>IF(F814=" "," ",IF(OR('депозитный калькулятор'!$G$7="30/365",'депозитный калькулятор'!$G$7="30/360"),IF(AND(MONTH(F814)=2,DAY(F814)=DAY(EOMONTH(F814,0))),30-DAY(EOMONTH(F814,0)),IF(DAY(F814)=31,1," "))," "))</f>
        <v xml:space="preserve"> </v>
      </c>
      <c r="B814" s="130" t="str">
        <f t="shared" si="61"/>
        <v xml:space="preserve"> </v>
      </c>
      <c r="C814" s="130" t="str">
        <f>IF(OR(B814=0,B814=" ")," ",SUM($B$23:B814))</f>
        <v xml:space="preserve"> </v>
      </c>
      <c r="D814" s="62" t="str">
        <f>IF(D813=" "," ",IF(OR(F813='депозитный калькулятор'!$D$8,F813=" ")," ",D813+1))</f>
        <v xml:space="preserve"> </v>
      </c>
      <c r="E814" s="130" t="str">
        <f>IF(OR(F813='депозитный калькулятор'!$D$8,F813=" ")," ",IF(EOMONTH(F813,0)=F813,1,E813+1))</f>
        <v xml:space="preserve"> </v>
      </c>
      <c r="F814" s="64" t="str">
        <f>IF(F813=" "," ",IF(F813='депозитный калькулятор'!$D$8," ",F813+1))</f>
        <v xml:space="preserve"> </v>
      </c>
      <c r="G814" s="145" t="str">
        <f xml:space="preserve"> IF(F814&gt;'депозитный калькулятор'!$D$8," ",IF('депозитный калькулятор'!$G$13="есть",IF('депозитный калькулятор'!$G$14="есть",G813+IF(I813=" ",0,I813)-J814-K814+L814+M814-N814,G813+IF(I813=" ",0,I813)-J814-K814+M814-N814),IF('депозитный калькулятор'!$G$14="есть",G813-J814-K814+L814+M814-N814,G813-J814-K814+M814-N814)))</f>
        <v xml:space="preserve"> </v>
      </c>
      <c r="H814" s="133" t="str">
        <f>IF(F814&gt;'депозитный калькулятор'!$D$8," ",IF(AND(OR('депозитный калькулятор'!$G$7="30/365",'депозитный калькулятор'!$G$7="30/360"),AND(MONTH(F814)=2,EOMONTH(F814,0)=F814)),IF(DAY(F814)=28,3*G814*'депозитный калькулятор'!$G$8,2*G814*'депозитный калькулятор'!$G$8),IF(AND(OR('депозитный калькулятор'!$G$7="30/365",'депозитный калькулятор'!$G$7="30/360"),DAY(F814)=31)," ",IF(AND('депозитный калькулятор'!$G$7="факт/факт",MOD(YEAR(F814),4)=0),G814*'депозитный калькулятор'!$D$11/366,G814*'депозитный калькулятор'!$G$8))))</f>
        <v xml:space="preserve"> </v>
      </c>
      <c r="I814" s="134" t="str">
        <f ca="1">IF(F814=" "," ",IF('депозитный калькулятор'!$G$10="ежедневное",H814,IF(AND('депозитный калькулятор'!$G$10="еженедельное",WEEKDAY(F814,2)=7),SUM(OFFSET(H814,-6,0):H814),IF(AND('депозитный калькулятор'!$G$10="еженедельное",F814='депозитный калькулятор'!$D$8),SUM($H$23:H814)-SUM($I$23:I813),IF(AND('депозитный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недели",WEEKDAY(F814,2)=7),MIN(OFFSET(H814,-6,0):H814)*(COUNTIF(OFFSET(H814,-6,0):H814,"&gt;0")+SUMIF(OFFSET(A814,-WEEKDAY(F814,2),0):A814,"=2",OFFSET(A814,-WEEKDAY(F814,2),0):A814)),IF(AND('депозитный калькулятор'!$G$10="еженедельное, на минимальную сумму зафиксированную в течение недели",F814='депозитный калькулятор'!$D$8,WEEKDAY(F814,2)&lt;&gt;7),MIN(OFFSET(H814,-WEEKDAY(F814,2),0):H814)*(COUNTIF(OFFSET(H814,-WEEKDAY(F814,2)+1,0):H814,"&gt;0")+SUM(OFFSET(A814,-WEEKDAY(F814,2),0):A814)),IF(AND('депозитный калькулятор'!$G$10="ежемесячное (в конце месяца)",F814='депозитный калькулятор'!$D$8,EOMONTH(F814,0)&lt;&gt;F814),IF('депозитный калькулятор'!$F$1=1,$H$24,SUM($H$23:H814)-SUM($I$23:I813)),IF(AND('депозитный калькулятор'!$G$10="ежемесячное (в конце месяца)",EOMONTH(F814,0)=F814),SUM($H$23:H814)-SUM($I$23:I813),IF(AND('депозитный калькулятор'!$G$10="ежемесячное (по дням открытия вклада)",F814='депозитный калькулятор'!$D$8,DAY('депозитный калькулятор'!$D$7)&lt;&gt;DAY(F814)),IF('депозитный калькулятор'!$F$1=1,$H$24,SUM($H$23:H814)-SUM($I$23:I813)),IF(AND('депозитный калькулятор'!$G$10="ежемесячное (по дням открытия вклада)",DAY('депозитный калькулятор'!$D$7)=DAY(F814)),SUM($H$23:H814)-SUM($I$23:I813),IF(AND('депозитный калькулятор'!$G$10="ежемесячное, на минимальную сумму зафиксированную в течение месяца",F814='депозитный калькулятор'!$D$8,EOMONTH(F814,0)&lt;&gt;F814),IF('депозитный калькулятор'!$F$1=1,$H$24,IF(AND(OR('депозитный калькулятор'!$G$7="30/365",'депозитный калькулятор'!$G$7="30/360"),DAY(F814)=31),0,MIN(OFFSET(H814,-E814+1,0):H814)*(E814+SUMIF(OFFSET(A814,-E814+1,0):A814,"=2",OFFSET(A814,-E814+1,0):A814)))),IF(AND('депозитный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калькулятор'!$G$7="30/360"),DAY(EOMONTH(F814,0))=31),EOMONTH(F814,0)-1=F814,EOMONTH(F814,0)=F814)),IF(IF(AND(OR('депозитный калькулятор'!$G$7="30/365",'депозитный калькулятор'!$G$7="30/360"),DAY(EOMONTH($F$23,0))=31),F814=EOMONTH($F$23,0)-1,F814=EOMONTH($F$23,0)),MIN(OFFSET(H814,-(DAY(F814)-DAY($F$23)),0):H814)*E814,MIN(OFFSET(H814,-(DAY(F814)-1),0):H814)*IF(AND(OR('депозитный калькулятор'!$G$7="30/365",'депозитный калькулятор'!$G$7="30/360"),DAY(F814)&lt;30),30,DAY(F814))),IF(AND('депозитный калькулятор'!$G$10="ежемесячное, на средний остаток в течение месяца, при условии что остаток больше чем ограничение",F814='депозитный калькулятор'!$D$8,EOMONTH(F814,0)&lt;&gt;F814),IF('депозитный калькулятор'!$F$1=1,$H$24,SUM(OFFSET(Q814,-E814+1,0):Q814)),IF(AND('депозитный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калькулятор'!$G$7="30/360"),DAY(EOMONTH(F814,0))=31),EOMONTH(F814,0)-1=F814,EOMONTH(F814,0)=F814)),IF(IF(AND(OR('депозитный калькулятор'!$G$7="30/365",'депозитный калькулятор'!$G$7="30/360"),DAY(EOMONTH($F$24,0))=31),F814=EOMONTH($F$24,0)-1,F814=EOMONTH($F$24,0)),SUM(OFFSET(Q814,-E814+1,0):Q814),SUM(OFFSET(Q814,-E814+1,0):Q814)),IF('депозитный калькулятор'!$G$10="ежеквартальное",IF(F814&gt;'депозитный калькулятор'!$D$8," ",IF(AND(EOMONTH(F814,0)=F814,OR(MONTH(F814)=3,MONTH(F814)=6,MONTH(F814)=9,MONTH(F814)=12)),IF(EDATE(F814,-3)&lt;'депозитный калькулятор'!$D$7,SUM($H$23:H814),IF(MOD(YEAR(F814),4)=0,IF(AND(EOMONTH(F814,0)=F814,OR(MONTH(F814)=3,MONTH(F814)=6)),SUM(OFFSET(H814,-90,0):H814),IF(AND(EOMONTH(F814,0)=F814,OR(MONTH(F814)=9,MONTH(F814)=12)),SUM(OFFSET(H814,-91,0):H814))),IF(AND(EOMONTH(F814,0)=F814,MONTH(F814)=3),SUM(OFFSET(H814,-89,0):H814),IF(AND(EOMONTH(F814,0)=F814,MONTH(F814)=6),SUM(OFFSET(H814,-90,0):H814),IF(AND(EOMONTH(F814,0)=F814,OR(MONTH(F814)=9,MONTH(F814)=12)),SUM(OFFSET(H814,-91,0):H814)))))),IF(F814='депозитный калькулятор'!$D$8,SUM($H$23:H814)-SUM($I$23:I813),0))),IF('депозитный калькулятор'!$G$10="ежегодное",IF(F814&gt;'депозитный калькулятор'!$D$8," ",IF(F814='депозитный калькулятор'!$D$8,SUM($H$23:H814)-SUM($I$23:I813),IF(AND(EOMONTH(F814,0)=F814,MONTH(F814)=12),IF(MOD(YEAR(F813),4)=0,IF(F814-'депозитный калькулятор'!$D$7&lt;366,SUM($H$23:H814),SUM(OFFSET(H814,-365,0):H814)),IF(F814-'депозитный калькулятор'!$D$7&lt;365,SUM($H$23:H814),SUM(OFFSET(H814,-364,0):H814))),0))),IF(AND('депозитный калькулятор'!$G$10="в конце срока",'депозитный калькулятор'!$D$8=F814),SUM($H$23:H814),0))))))))))))))))))</f>
        <v xml:space="preserve"> </v>
      </c>
      <c r="J814" s="59" t="str">
        <f>IF(F814&gt;'депозитный калькулятор'!$D$8," ",IF('депозитный калькулятор'!$G$16="нет",0,IF(AND('депозитный калькулятор'!$G$17="разовая (в конце срока)",F814='депозитный калькулятор'!$D$8),'депозитный калькулятор'!$G$18,IF(AND('депозитный калькулятор'!$G$17="ежемесячная",EOMONTH(F813,0)=F813),'депозитный калькулятор'!$G$18,IF(AND('депозитный калькулятор'!$G$17="ежегодная",DAY(F813)=31,MONTH(F813)=12),'депозитный калькулятор'!$G$18,IF(AND('депозитный калькулятор'!$G$17="ежемесячная в зависимости от остатка",EOMONTH(F813,0)=F813,P813&gt;0),'депозитный калькулятор'!$G$18,IF(AND('депозитный калькулятор'!$G$17="ежегодная в зависимости от остатка",DAY(F813)=31,MONTH(F813)=12,P813&gt;0),'депозитный калькулятор'!$G$18,0)))))))</f>
        <v xml:space="preserve"> </v>
      </c>
      <c r="K814" s="135" t="str">
        <f>IF($F814=" "," ",IFERROR(VLOOKUP($F814,'депозитный калькулятор'!$B$26:$F$70,2,0),0))</f>
        <v xml:space="preserve"> </v>
      </c>
      <c r="L814" s="135" t="str">
        <f>IF($F814=" "," ",IFERROR(VLOOKUP($F814,'депозитный калькулятор'!$B$26:$F$70,3,0),0))</f>
        <v xml:space="preserve"> </v>
      </c>
      <c r="M814" s="135" t="str">
        <f>IF($F814=" "," ",IFERROR(VLOOKUP($F814,'депозитный калькулятор'!$B$26:$F$70,4,0),0))</f>
        <v xml:space="preserve"> </v>
      </c>
      <c r="N814" s="135" t="str">
        <f>IF($F814=" "," ",IFERROR(VLOOKUP($F814,'депозитный калькулятор'!$B$26:$F$70,5,0),0))</f>
        <v xml:space="preserve"> </v>
      </c>
      <c r="O814" s="146" t="str">
        <f>IF(F814&gt;'депозитный калькулятор'!$D$8," ",IF(F814='депозитный калькулятор'!$D$8,IF(AND($F$24='депозитный калькулятор'!$D$8,'депозитный калькулятор'!$G$13="нет"),-G814-IF(I814=" ",0,I814)-IF(AND(OR('депозитный калькулятор'!$G$7="30/365",'депозитный калькулятор'!$G$7="30/360"),'депозитный калькулятор'!$G$10="в начале срока"),I813,0)-L814+M814-N814,-G814-IF(I814=" ",0,I814)-L814+M814-N814),IF('депозитный калькулятор'!$G$13="есть",M814-N814+IF('депозитный калькулятор'!$G$14="есть",0,-L814),-IF(I814=" ",0,I814)-IF(AND(OR('депозитный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срока"),I813,0)+M814-N814+IF('депозитный калькулятор'!$G$14="есть",0,-L814))))</f>
        <v xml:space="preserve"> </v>
      </c>
      <c r="P814" s="147" t="str">
        <f>IF(F814&gt;'депозитный калькулятор'!$D$8," ",IF(EOMONTH(F813,0)=F813,0,IF(G814&gt;='депозитный калькулятор'!$G$19,P813,P813+1)))</f>
        <v xml:space="preserve"> </v>
      </c>
      <c r="Q814" s="138" t="str">
        <f>IF(F814=" "," ",IF(AND(OR('депозитный калькулятор'!$G$7="30/365",'депозитный калькулятор'!$G$7="30/360"),AND(MONTH(F814)=2,EOMONTH(F814,0)=F814)),IF(DAY(F814)=28,3,2),1)*IF(G814&gt;='депозитный калькулятор'!$G$11,IF(AND('депозитный калькулятор'!$G$7="факт/факт",MOD(YEAR(F814),4)=0),G814*'депозитный калькулятор'!$D$11/366,G814*'депозитный калькулятор'!$G$8),0))</f>
        <v xml:space="preserve"> </v>
      </c>
      <c r="R814" s="158"/>
      <c r="S814" s="62" t="str">
        <f t="shared" ca="1" si="62"/>
        <v xml:space="preserve"> </v>
      </c>
      <c r="T814" s="149" t="str">
        <f ca="1">IF(S814=" "," ",IF('депозитный калькулятор'!$G$7="30/360",DAYS360(U813,IF(DAY(U814)=31,U814-1,U814))+IF(AND(MONTH(U814)=2,U814=EOMONTH(U814,0)),30-DAY(EOMONTH(U814,0)))+T813,VLOOKUP(S814,$C$22:$F$1023,2,0)))</f>
        <v xml:space="preserve"> </v>
      </c>
      <c r="U814" s="64" t="str">
        <f t="shared" ca="1" si="60"/>
        <v xml:space="preserve"> </v>
      </c>
      <c r="V814" s="150" t="str">
        <f t="shared" ca="1" si="63"/>
        <v xml:space="preserve"> </v>
      </c>
      <c r="W814" s="62" t="str">
        <f t="shared" ca="1" si="64"/>
        <v xml:space="preserve"> </v>
      </c>
      <c r="X814" s="141" t="str">
        <f ca="1">IF(S814=" "," ",IFERROR(VLOOKUP(U814,$F$23:$N$1023,7)+VLOOKUP(U814,$F$23:$N$1023,9)+IF(AND('депозитный калькулятор'!$G$13="нет",U814&lt;&gt;'депозитный калькулятор'!$D$8),VLOOKUP(U814,$F$23:$N$1023,4),0),0)+IF(U814='депозитный калькулятор'!$D$8,VLOOKUP(U814,$F$23:$N$1023,2)+VLOOKUP(U814,$F$23:$N$1023,4),0))</f>
        <v xml:space="preserve"> </v>
      </c>
      <c r="Y814" s="142" t="str">
        <f ca="1">IF(S814=" "," ",W814/(1+'депозитный калькулятор'!$K$8)^(T814/IF('депозитный калькулятор'!$G$7="30/360",360,365)))</f>
        <v xml:space="preserve"> </v>
      </c>
      <c r="Z814" s="142" t="str">
        <f ca="1">IF(S814=" "," ",X814/(1+'депозитный калькулятор'!$K$8)^(T814/IF('депозитный калькулятор'!$G$7="30/360",360,365)))</f>
        <v xml:space="preserve"> </v>
      </c>
      <c r="AA814" s="151"/>
      <c r="AB814" s="151"/>
      <c r="AC814" s="155"/>
      <c r="AD814" s="155"/>
    </row>
    <row r="815" spans="1:30" s="2" customFormat="1" ht="15.5" x14ac:dyDescent="0.35">
      <c r="A815" s="41" t="str">
        <f>IF(F815=" "," ",IF(OR('депозитный калькулятор'!$G$7="30/365",'депозитный калькулятор'!$G$7="30/360"),IF(AND(MONTH(F815)=2,DAY(F815)=DAY(EOMONTH(F815,0))),30-DAY(EOMONTH(F815,0)),IF(DAY(F815)=31,1," "))," "))</f>
        <v xml:space="preserve"> </v>
      </c>
      <c r="B815" s="130" t="str">
        <f t="shared" si="61"/>
        <v xml:space="preserve"> </v>
      </c>
      <c r="C815" s="130" t="str">
        <f>IF(OR(B815=0,B815=" ")," ",SUM($B$23:B815))</f>
        <v xml:space="preserve"> </v>
      </c>
      <c r="D815" s="62" t="str">
        <f>IF(D814=" "," ",IF(OR(F814='депозитный калькулятор'!$D$8,F814=" ")," ",D814+1))</f>
        <v xml:space="preserve"> </v>
      </c>
      <c r="E815" s="130" t="str">
        <f>IF(OR(F814='депозитный калькулятор'!$D$8,F814=" ")," ",IF(EOMONTH(F814,0)=F814,1,E814+1))</f>
        <v xml:space="preserve"> </v>
      </c>
      <c r="F815" s="64" t="str">
        <f>IF(F814=" "," ",IF(F814='депозитный калькулятор'!$D$8," ",F814+1))</f>
        <v xml:space="preserve"> </v>
      </c>
      <c r="G815" s="145" t="str">
        <f xml:space="preserve"> IF(F815&gt;'депозитный калькулятор'!$D$8," ",IF('депозитный калькулятор'!$G$13="есть",IF('депозитный калькулятор'!$G$14="есть",G814+IF(I814=" ",0,I814)-J815-K815+L815+M815-N815,G814+IF(I814=" ",0,I814)-J815-K815+M815-N815),IF('депозитный калькулятор'!$G$14="есть",G814-J815-K815+L815+M815-N815,G814-J815-K815+M815-N815)))</f>
        <v xml:space="preserve"> </v>
      </c>
      <c r="H815" s="133" t="str">
        <f>IF(F815&gt;'депозитный калькулятор'!$D$8," ",IF(AND(OR('депозитный калькулятор'!$G$7="30/365",'депозитный калькулятор'!$G$7="30/360"),AND(MONTH(F815)=2,EOMONTH(F815,0)=F815)),IF(DAY(F815)=28,3*G815*'депозитный калькулятор'!$G$8,2*G815*'депозитный калькулятор'!$G$8),IF(AND(OR('депозитный калькулятор'!$G$7="30/365",'депозитный калькулятор'!$G$7="30/360"),DAY(F815)=31)," ",IF(AND('депозитный калькулятор'!$G$7="факт/факт",MOD(YEAR(F815),4)=0),G815*'депозитный калькулятор'!$D$11/366,G815*'депозитный калькулятор'!$G$8))))</f>
        <v xml:space="preserve"> </v>
      </c>
      <c r="I815" s="134" t="str">
        <f ca="1">IF(F815=" "," ",IF('депозитный калькулятор'!$G$10="ежедневное",H815,IF(AND('депозитный калькулятор'!$G$10="еженедельное",WEEKDAY(F815,2)=7),SUM(OFFSET(H815,-6,0):H815),IF(AND('депозитный калькулятор'!$G$10="еженедельное",F815='депозитный калькулятор'!$D$8),SUM($H$23:H815)-SUM($I$23:I814),IF(AND('депозитный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недели",WEEKDAY(F815,2)=7),MIN(OFFSET(H815,-6,0):H815)*(COUNTIF(OFFSET(H815,-6,0):H815,"&gt;0")+SUMIF(OFFSET(A815,-WEEKDAY(F815,2),0):A815,"=2",OFFSET(A815,-WEEKDAY(F815,2),0):A815)),IF(AND('депозитный калькулятор'!$G$10="еженедельное, на минимальную сумму зафиксированную в течение недели",F815='депозитный калькулятор'!$D$8,WEEKDAY(F815,2)&lt;&gt;7),MIN(OFFSET(H815,-WEEKDAY(F815,2),0):H815)*(COUNTIF(OFFSET(H815,-WEEKDAY(F815,2)+1,0):H815,"&gt;0")+SUM(OFFSET(A815,-WEEKDAY(F815,2),0):A815)),IF(AND('депозитный калькулятор'!$G$10="ежемесячное (в конце месяца)",F815='депозитный калькулятор'!$D$8,EOMONTH(F815,0)&lt;&gt;F815),IF('депозитный калькулятор'!$F$1=1,$H$24,SUM($H$23:H815)-SUM($I$23:I814)),IF(AND('депозитный калькулятор'!$G$10="ежемесячное (в конце месяца)",EOMONTH(F815,0)=F815),SUM($H$23:H815)-SUM($I$23:I814),IF(AND('депозитный калькулятор'!$G$10="ежемесячное (по дням открытия вклада)",F815='депозитный калькулятор'!$D$8,DAY('депозитный калькулятор'!$D$7)&lt;&gt;DAY(F815)),IF('депозитный калькулятор'!$F$1=1,$H$24,SUM($H$23:H815)-SUM($I$23:I814)),IF(AND('депозитный калькулятор'!$G$10="ежемесячное (по дням открытия вклада)",DAY('депозитный калькулятор'!$D$7)=DAY(F815)),SUM($H$23:H815)-SUM($I$23:I814),IF(AND('депозитный калькулятор'!$G$10="ежемесячное, на минимальную сумму зафиксированную в течение месяца",F815='депозитный калькулятор'!$D$8,EOMONTH(F815,0)&lt;&gt;F815),IF('депозитный калькулятор'!$F$1=1,$H$24,IF(AND(OR('депозитный калькулятор'!$G$7="30/365",'депозитный калькулятор'!$G$7="30/360"),DAY(F815)=31),0,MIN(OFFSET(H815,-E815+1,0):H815)*(E815+SUMIF(OFFSET(A815,-E815+1,0):A815,"=2",OFFSET(A815,-E815+1,0):A815)))),IF(AND('депозитный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калькулятор'!$G$7="30/360"),DAY(EOMONTH(F815,0))=31),EOMONTH(F815,0)-1=F815,EOMONTH(F815,0)=F815)),IF(IF(AND(OR('депозитный калькулятор'!$G$7="30/365",'депозитный калькулятор'!$G$7="30/360"),DAY(EOMONTH($F$23,0))=31),F815=EOMONTH($F$23,0)-1,F815=EOMONTH($F$23,0)),MIN(OFFSET(H815,-(DAY(F815)-DAY($F$23)),0):H815)*E815,MIN(OFFSET(H815,-(DAY(F815)-1),0):H815)*IF(AND(OR('депозитный калькулятор'!$G$7="30/365",'депозитный калькулятор'!$G$7="30/360"),DAY(F815)&lt;30),30,DAY(F815))),IF(AND('депозитный калькулятор'!$G$10="ежемесячное, на средний остаток в течение месяца, при условии что остаток больше чем ограничение",F815='депозитный калькулятор'!$D$8,EOMONTH(F815,0)&lt;&gt;F815),IF('депозитный калькулятор'!$F$1=1,$H$24,SUM(OFFSET(Q815,-E815+1,0):Q815)),IF(AND('депозитный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калькулятор'!$G$7="30/360"),DAY(EOMONTH(F815,0))=31),EOMONTH(F815,0)-1=F815,EOMONTH(F815,0)=F815)),IF(IF(AND(OR('депозитный калькулятор'!$G$7="30/365",'депозитный калькулятор'!$G$7="30/360"),DAY(EOMONTH($F$24,0))=31),F815=EOMONTH($F$24,0)-1,F815=EOMONTH($F$24,0)),SUM(OFFSET(Q815,-E815+1,0):Q815),SUM(OFFSET(Q815,-E815+1,0):Q815)),IF('депозитный калькулятор'!$G$10="ежеквартальное",IF(F815&gt;'депозитный калькулятор'!$D$8," ",IF(AND(EOMONTH(F815,0)=F815,OR(MONTH(F815)=3,MONTH(F815)=6,MONTH(F815)=9,MONTH(F815)=12)),IF(EDATE(F815,-3)&lt;'депозитный калькулятор'!$D$7,SUM($H$23:H815),IF(MOD(YEAR(F815),4)=0,IF(AND(EOMONTH(F815,0)=F815,OR(MONTH(F815)=3,MONTH(F815)=6)),SUM(OFFSET(H815,-90,0):H815),IF(AND(EOMONTH(F815,0)=F815,OR(MONTH(F815)=9,MONTH(F815)=12)),SUM(OFFSET(H815,-91,0):H815))),IF(AND(EOMONTH(F815,0)=F815,MONTH(F815)=3),SUM(OFFSET(H815,-89,0):H815),IF(AND(EOMONTH(F815,0)=F815,MONTH(F815)=6),SUM(OFFSET(H815,-90,0):H815),IF(AND(EOMONTH(F815,0)=F815,OR(MONTH(F815)=9,MONTH(F815)=12)),SUM(OFFSET(H815,-91,0):H815)))))),IF(F815='депозитный калькулятор'!$D$8,SUM($H$23:H815)-SUM($I$23:I814),0))),IF('депозитный калькулятор'!$G$10="ежегодное",IF(F815&gt;'депозитный калькулятор'!$D$8," ",IF(F815='депозитный калькулятор'!$D$8,SUM($H$23:H815)-SUM($I$23:I814),IF(AND(EOMONTH(F815,0)=F815,MONTH(F815)=12),IF(MOD(YEAR(F814),4)=0,IF(F815-'депозитный калькулятор'!$D$7&lt;366,SUM($H$23:H815),SUM(OFFSET(H815,-365,0):H815)),IF(F815-'депозитный калькулятор'!$D$7&lt;365,SUM($H$23:H815),SUM(OFFSET(H815,-364,0):H815))),0))),IF(AND('депозитный калькулятор'!$G$10="в конце срока",'депозитный калькулятор'!$D$8=F815),SUM($H$23:H815),0))))))))))))))))))</f>
        <v xml:space="preserve"> </v>
      </c>
      <c r="J815" s="59" t="str">
        <f>IF(F815&gt;'депозитный калькулятор'!$D$8," ",IF('депозитный калькулятор'!$G$16="нет",0,IF(AND('депозитный калькулятор'!$G$17="разовая (в конце срока)",F815='депозитный калькулятор'!$D$8),'депозитный калькулятор'!$G$18,IF(AND('депозитный калькулятор'!$G$17="ежемесячная",EOMONTH(F814,0)=F814),'депозитный калькулятор'!$G$18,IF(AND('депозитный калькулятор'!$G$17="ежегодная",DAY(F814)=31,MONTH(F814)=12),'депозитный калькулятор'!$G$18,IF(AND('депозитный калькулятор'!$G$17="ежемесячная в зависимости от остатка",EOMONTH(F814,0)=F814,P814&gt;0),'депозитный калькулятор'!$G$18,IF(AND('депозитный калькулятор'!$G$17="ежегодная в зависимости от остатка",DAY(F814)=31,MONTH(F814)=12,P814&gt;0),'депозитный калькулятор'!$G$18,0)))))))</f>
        <v xml:space="preserve"> </v>
      </c>
      <c r="K815" s="135" t="str">
        <f>IF($F815=" "," ",IFERROR(VLOOKUP($F815,'депозитный калькулятор'!$B$26:$F$70,2,0),0))</f>
        <v xml:space="preserve"> </v>
      </c>
      <c r="L815" s="135" t="str">
        <f>IF($F815=" "," ",IFERROR(VLOOKUP($F815,'депозитный калькулятор'!$B$26:$F$70,3,0),0))</f>
        <v xml:space="preserve"> </v>
      </c>
      <c r="M815" s="135" t="str">
        <f>IF($F815=" "," ",IFERROR(VLOOKUP($F815,'депозитный калькулятор'!$B$26:$F$70,4,0),0))</f>
        <v xml:space="preserve"> </v>
      </c>
      <c r="N815" s="135" t="str">
        <f>IF($F815=" "," ",IFERROR(VLOOKUP($F815,'депозитный калькулятор'!$B$26:$F$70,5,0),0))</f>
        <v xml:space="preserve"> </v>
      </c>
      <c r="O815" s="146" t="str">
        <f>IF(F815&gt;'депозитный калькулятор'!$D$8," ",IF(F815='депозитный калькулятор'!$D$8,IF(AND($F$24='депозитный калькулятор'!$D$8,'депозитный калькулятор'!$G$13="нет"),-G815-IF(I815=" ",0,I815)-IF(AND(OR('депозитный калькулятор'!$G$7="30/365",'депозитный калькулятор'!$G$7="30/360"),'депозитный калькулятор'!$G$10="в начале срока"),I814,0)-L815+M815-N815,-G815-IF(I815=" ",0,I815)-L815+M815-N815),IF('депозитный калькулятор'!$G$13="есть",M815-N815+IF('депозитный калькулятор'!$G$14="есть",0,-L815),-IF(I815=" ",0,I815)-IF(AND(OR('депозитный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срока"),I814,0)+M815-N815+IF('депозитный калькулятор'!$G$14="есть",0,-L815))))</f>
        <v xml:space="preserve"> </v>
      </c>
      <c r="P815" s="147" t="str">
        <f>IF(F815&gt;'депозитный калькулятор'!$D$8," ",IF(EOMONTH(F814,0)=F814,0,IF(G815&gt;='депозитный калькулятор'!$G$19,P814,P814+1)))</f>
        <v xml:space="preserve"> </v>
      </c>
      <c r="Q815" s="138" t="str">
        <f>IF(F815=" "," ",IF(AND(OR('депозитный калькулятор'!$G$7="30/365",'депозитный калькулятор'!$G$7="30/360"),AND(MONTH(F815)=2,EOMONTH(F815,0)=F815)),IF(DAY(F815)=28,3,2),1)*IF(G815&gt;='депозитный калькулятор'!$G$11,IF(AND('депозитный калькулятор'!$G$7="факт/факт",MOD(YEAR(F815),4)=0),G815*'депозитный калькулятор'!$D$11/366,G815*'депозитный калькулятор'!$G$8),0))</f>
        <v xml:space="preserve"> </v>
      </c>
      <c r="R815" s="158"/>
      <c r="S815" s="62" t="str">
        <f t="shared" ca="1" si="62"/>
        <v xml:space="preserve"> </v>
      </c>
      <c r="T815" s="149" t="str">
        <f ca="1">IF(S815=" "," ",IF('депозитный калькулятор'!$G$7="30/360",DAYS360(U814,IF(DAY(U815)=31,U815-1,U815))+IF(AND(MONTH(U815)=2,U815=EOMONTH(U815,0)),30-DAY(EOMONTH(U815,0)))+T814,VLOOKUP(S815,$C$22:$F$1023,2,0)))</f>
        <v xml:space="preserve"> </v>
      </c>
      <c r="U815" s="64" t="str">
        <f t="shared" ca="1" si="60"/>
        <v xml:space="preserve"> </v>
      </c>
      <c r="V815" s="150" t="str">
        <f t="shared" ca="1" si="63"/>
        <v xml:space="preserve"> </v>
      </c>
      <c r="W815" s="62" t="str">
        <f t="shared" ca="1" si="64"/>
        <v xml:space="preserve"> </v>
      </c>
      <c r="X815" s="141" t="str">
        <f ca="1">IF(S815=" "," ",IFERROR(VLOOKUP(U815,$F$23:$N$1023,7)+VLOOKUP(U815,$F$23:$N$1023,9)+IF(AND('депозитный калькулятор'!$G$13="нет",U815&lt;&gt;'депозитный калькулятор'!$D$8),VLOOKUP(U815,$F$23:$N$1023,4),0),0)+IF(U815='депозитный калькулятор'!$D$8,VLOOKUP(U815,$F$23:$N$1023,2)+VLOOKUP(U815,$F$23:$N$1023,4),0))</f>
        <v xml:space="preserve"> </v>
      </c>
      <c r="Y815" s="142" t="str">
        <f ca="1">IF(S815=" "," ",W815/(1+'депозитный калькулятор'!$K$8)^(T815/IF('депозитный калькулятор'!$G$7="30/360",360,365)))</f>
        <v xml:space="preserve"> </v>
      </c>
      <c r="Z815" s="142" t="str">
        <f ca="1">IF(S815=" "," ",X815/(1+'депозитный калькулятор'!$K$8)^(T815/IF('депозитный калькулятор'!$G$7="30/360",360,365)))</f>
        <v xml:space="preserve"> </v>
      </c>
      <c r="AA815" s="151"/>
      <c r="AB815" s="151"/>
      <c r="AC815" s="155"/>
      <c r="AD815" s="155"/>
    </row>
    <row r="816" spans="1:30" s="2" customFormat="1" ht="15.5" x14ac:dyDescent="0.35">
      <c r="A816" s="41" t="str">
        <f>IF(F816=" "," ",IF(OR('депозитный калькулятор'!$G$7="30/365",'депозитный калькулятор'!$G$7="30/360"),IF(AND(MONTH(F816)=2,DAY(F816)=DAY(EOMONTH(F816,0))),30-DAY(EOMONTH(F816,0)),IF(DAY(F816)=31,1," "))," "))</f>
        <v xml:space="preserve"> </v>
      </c>
      <c r="B816" s="130" t="str">
        <f t="shared" si="61"/>
        <v xml:space="preserve"> </v>
      </c>
      <c r="C816" s="130" t="str">
        <f>IF(OR(B816=0,B816=" ")," ",SUM($B$23:B816))</f>
        <v xml:space="preserve"> </v>
      </c>
      <c r="D816" s="62" t="str">
        <f>IF(D815=" "," ",IF(OR(F815='депозитный калькулятор'!$D$8,F815=" ")," ",D815+1))</f>
        <v xml:space="preserve"> </v>
      </c>
      <c r="E816" s="130" t="str">
        <f>IF(OR(F815='депозитный калькулятор'!$D$8,F815=" ")," ",IF(EOMONTH(F815,0)=F815,1,E815+1))</f>
        <v xml:space="preserve"> </v>
      </c>
      <c r="F816" s="64" t="str">
        <f>IF(F815=" "," ",IF(F815='депозитный калькулятор'!$D$8," ",F815+1))</f>
        <v xml:space="preserve"> </v>
      </c>
      <c r="G816" s="145" t="str">
        <f xml:space="preserve"> IF(F816&gt;'депозитный калькулятор'!$D$8," ",IF('депозитный калькулятор'!$G$13="есть",IF('депозитный калькулятор'!$G$14="есть",G815+IF(I815=" ",0,I815)-J816-K816+L816+M816-N816,G815+IF(I815=" ",0,I815)-J816-K816+M816-N816),IF('депозитный калькулятор'!$G$14="есть",G815-J816-K816+L816+M816-N816,G815-J816-K816+M816-N816)))</f>
        <v xml:space="preserve"> </v>
      </c>
      <c r="H816" s="133" t="str">
        <f>IF(F816&gt;'депозитный калькулятор'!$D$8," ",IF(AND(OR('депозитный калькулятор'!$G$7="30/365",'депозитный калькулятор'!$G$7="30/360"),AND(MONTH(F816)=2,EOMONTH(F816,0)=F816)),IF(DAY(F816)=28,3*G816*'депозитный калькулятор'!$G$8,2*G816*'депозитный калькулятор'!$G$8),IF(AND(OR('депозитный калькулятор'!$G$7="30/365",'депозитный калькулятор'!$G$7="30/360"),DAY(F816)=31)," ",IF(AND('депозитный калькулятор'!$G$7="факт/факт",MOD(YEAR(F816),4)=0),G816*'депозитный калькулятор'!$D$11/366,G816*'депозитный калькулятор'!$G$8))))</f>
        <v xml:space="preserve"> </v>
      </c>
      <c r="I816" s="134" t="str">
        <f ca="1">IF(F816=" "," ",IF('депозитный калькулятор'!$G$10="ежедневное",H816,IF(AND('депозитный калькулятор'!$G$10="еженедельное",WEEKDAY(F816,2)=7),SUM(OFFSET(H816,-6,0):H816),IF(AND('депозитный калькулятор'!$G$10="еженедельное",F816='депозитный калькулятор'!$D$8),SUM($H$23:H816)-SUM($I$23:I815),IF(AND('депозитный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недели",WEEKDAY(F816,2)=7),MIN(OFFSET(H816,-6,0):H816)*(COUNTIF(OFFSET(H816,-6,0):H816,"&gt;0")+SUMIF(OFFSET(A816,-WEEKDAY(F816,2),0):A816,"=2",OFFSET(A816,-WEEKDAY(F816,2),0):A816)),IF(AND('депозитный калькулятор'!$G$10="еженедельное, на минимальную сумму зафиксированную в течение недели",F816='депозитный калькулятор'!$D$8,WEEKDAY(F816,2)&lt;&gt;7),MIN(OFFSET(H816,-WEEKDAY(F816,2),0):H816)*(COUNTIF(OFFSET(H816,-WEEKDAY(F816,2)+1,0):H816,"&gt;0")+SUM(OFFSET(A816,-WEEKDAY(F816,2),0):A816)),IF(AND('депозитный калькулятор'!$G$10="ежемесячное (в конце месяца)",F816='депозитный калькулятор'!$D$8,EOMONTH(F816,0)&lt;&gt;F816),IF('депозитный калькулятор'!$F$1=1,$H$24,SUM($H$23:H816)-SUM($I$23:I815)),IF(AND('депозитный калькулятор'!$G$10="ежемесячное (в конце месяца)",EOMONTH(F816,0)=F816),SUM($H$23:H816)-SUM($I$23:I815),IF(AND('депозитный калькулятор'!$G$10="ежемесячное (по дням открытия вклада)",F816='депозитный калькулятор'!$D$8,DAY('депозитный калькулятор'!$D$7)&lt;&gt;DAY(F816)),IF('депозитный калькулятор'!$F$1=1,$H$24,SUM($H$23:H816)-SUM($I$23:I815)),IF(AND('депозитный калькулятор'!$G$10="ежемесячное (по дням открытия вклада)",DAY('депозитный калькулятор'!$D$7)=DAY(F816)),SUM($H$23:H816)-SUM($I$23:I815),IF(AND('депозитный калькулятор'!$G$10="ежемесячное, на минимальную сумму зафиксированную в течение месяца",F816='депозитный калькулятор'!$D$8,EOMONTH(F816,0)&lt;&gt;F816),IF('депозитный калькулятор'!$F$1=1,$H$24,IF(AND(OR('депозитный калькулятор'!$G$7="30/365",'депозитный калькулятор'!$G$7="30/360"),DAY(F816)=31),0,MIN(OFFSET(H816,-E816+1,0):H816)*(E816+SUMIF(OFFSET(A816,-E816+1,0):A816,"=2",OFFSET(A816,-E816+1,0):A816)))),IF(AND('депозитный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калькулятор'!$G$7="30/360"),DAY(EOMONTH(F816,0))=31),EOMONTH(F816,0)-1=F816,EOMONTH(F816,0)=F816)),IF(IF(AND(OR('депозитный калькулятор'!$G$7="30/365",'депозитный калькулятор'!$G$7="30/360"),DAY(EOMONTH($F$23,0))=31),F816=EOMONTH($F$23,0)-1,F816=EOMONTH($F$23,0)),MIN(OFFSET(H816,-(DAY(F816)-DAY($F$23)),0):H816)*E816,MIN(OFFSET(H816,-(DAY(F816)-1),0):H816)*IF(AND(OR('депозитный калькулятор'!$G$7="30/365",'депозитный калькулятор'!$G$7="30/360"),DAY(F816)&lt;30),30,DAY(F816))),IF(AND('депозитный калькулятор'!$G$10="ежемесячное, на средний остаток в течение месяца, при условии что остаток больше чем ограничение",F816='депозитный калькулятор'!$D$8,EOMONTH(F816,0)&lt;&gt;F816),IF('депозитный калькулятор'!$F$1=1,$H$24,SUM(OFFSET(Q816,-E816+1,0):Q816)),IF(AND('депозитный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калькулятор'!$G$7="30/360"),DAY(EOMONTH(F816,0))=31),EOMONTH(F816,0)-1=F816,EOMONTH(F816,0)=F816)),IF(IF(AND(OR('депозитный калькулятор'!$G$7="30/365",'депозитный калькулятор'!$G$7="30/360"),DAY(EOMONTH($F$24,0))=31),F816=EOMONTH($F$24,0)-1,F816=EOMONTH($F$24,0)),SUM(OFFSET(Q816,-E816+1,0):Q816),SUM(OFFSET(Q816,-E816+1,0):Q816)),IF('депозитный калькулятор'!$G$10="ежеквартальное",IF(F816&gt;'депозитный калькулятор'!$D$8," ",IF(AND(EOMONTH(F816,0)=F816,OR(MONTH(F816)=3,MONTH(F816)=6,MONTH(F816)=9,MONTH(F816)=12)),IF(EDATE(F816,-3)&lt;'депозитный калькулятор'!$D$7,SUM($H$23:H816),IF(MOD(YEAR(F816),4)=0,IF(AND(EOMONTH(F816,0)=F816,OR(MONTH(F816)=3,MONTH(F816)=6)),SUM(OFFSET(H816,-90,0):H816),IF(AND(EOMONTH(F816,0)=F816,OR(MONTH(F816)=9,MONTH(F816)=12)),SUM(OFFSET(H816,-91,0):H816))),IF(AND(EOMONTH(F816,0)=F816,MONTH(F816)=3),SUM(OFFSET(H816,-89,0):H816),IF(AND(EOMONTH(F816,0)=F816,MONTH(F816)=6),SUM(OFFSET(H816,-90,0):H816),IF(AND(EOMONTH(F816,0)=F816,OR(MONTH(F816)=9,MONTH(F816)=12)),SUM(OFFSET(H816,-91,0):H816)))))),IF(F816='депозитный калькулятор'!$D$8,SUM($H$23:H816)-SUM($I$23:I815),0))),IF('депозитный калькулятор'!$G$10="ежегодное",IF(F816&gt;'депозитный калькулятор'!$D$8," ",IF(F816='депозитный калькулятор'!$D$8,SUM($H$23:H816)-SUM($I$23:I815),IF(AND(EOMONTH(F816,0)=F816,MONTH(F816)=12),IF(MOD(YEAR(F815),4)=0,IF(F816-'депозитный калькулятор'!$D$7&lt;366,SUM($H$23:H816),SUM(OFFSET(H816,-365,0):H816)),IF(F816-'депозитный калькулятор'!$D$7&lt;365,SUM($H$23:H816),SUM(OFFSET(H816,-364,0):H816))),0))),IF(AND('депозитный калькулятор'!$G$10="в конце срока",'депозитный калькулятор'!$D$8=F816),SUM($H$23:H816),0))))))))))))))))))</f>
        <v xml:space="preserve"> </v>
      </c>
      <c r="J816" s="59" t="str">
        <f>IF(F816&gt;'депозитный калькулятор'!$D$8," ",IF('депозитный калькулятор'!$G$16="нет",0,IF(AND('депозитный калькулятор'!$G$17="разовая (в конце срока)",F816='депозитный калькулятор'!$D$8),'депозитный калькулятор'!$G$18,IF(AND('депозитный калькулятор'!$G$17="ежемесячная",EOMONTH(F815,0)=F815),'депозитный калькулятор'!$G$18,IF(AND('депозитный калькулятор'!$G$17="ежегодная",DAY(F815)=31,MONTH(F815)=12),'депозитный калькулятор'!$G$18,IF(AND('депозитный калькулятор'!$G$17="ежемесячная в зависимости от остатка",EOMONTH(F815,0)=F815,P815&gt;0),'депозитный калькулятор'!$G$18,IF(AND('депозитный калькулятор'!$G$17="ежегодная в зависимости от остатка",DAY(F815)=31,MONTH(F815)=12,P815&gt;0),'депозитный калькулятор'!$G$18,0)))))))</f>
        <v xml:space="preserve"> </v>
      </c>
      <c r="K816" s="135" t="str">
        <f>IF($F816=" "," ",IFERROR(VLOOKUP($F816,'депозитный калькулятор'!$B$26:$F$70,2,0),0))</f>
        <v xml:space="preserve"> </v>
      </c>
      <c r="L816" s="135" t="str">
        <f>IF($F816=" "," ",IFERROR(VLOOKUP($F816,'депозитный калькулятор'!$B$26:$F$70,3,0),0))</f>
        <v xml:space="preserve"> </v>
      </c>
      <c r="M816" s="135" t="str">
        <f>IF($F816=" "," ",IFERROR(VLOOKUP($F816,'депозитный калькулятор'!$B$26:$F$70,4,0),0))</f>
        <v xml:space="preserve"> </v>
      </c>
      <c r="N816" s="135" t="str">
        <f>IF($F816=" "," ",IFERROR(VLOOKUP($F816,'депозитный калькулятор'!$B$26:$F$70,5,0),0))</f>
        <v xml:space="preserve"> </v>
      </c>
      <c r="O816" s="146" t="str">
        <f>IF(F816&gt;'депозитный калькулятор'!$D$8," ",IF(F816='депозитный калькулятор'!$D$8,IF(AND($F$24='депозитный калькулятор'!$D$8,'депозитный калькулятор'!$G$13="нет"),-G816-IF(I816=" ",0,I816)-IF(AND(OR('депозитный калькулятор'!$G$7="30/365",'депозитный калькулятор'!$G$7="30/360"),'депозитный калькулятор'!$G$10="в начале срока"),I815,0)-L816+M816-N816,-G816-IF(I816=" ",0,I816)-L816+M816-N816),IF('депозитный калькулятор'!$G$13="есть",M816-N816+IF('депозитный калькулятор'!$G$14="есть",0,-L816),-IF(I816=" ",0,I816)-IF(AND(OR('депозитный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срока"),I815,0)+M816-N816+IF('депозитный калькулятор'!$G$14="есть",0,-L816))))</f>
        <v xml:space="preserve"> </v>
      </c>
      <c r="P816" s="147" t="str">
        <f>IF(F816&gt;'депозитный калькулятор'!$D$8," ",IF(EOMONTH(F815,0)=F815,0,IF(G816&gt;='депозитный калькулятор'!$G$19,P815,P815+1)))</f>
        <v xml:space="preserve"> </v>
      </c>
      <c r="Q816" s="138" t="str">
        <f>IF(F816=" "," ",IF(AND(OR('депозитный калькулятор'!$G$7="30/365",'депозитный калькулятор'!$G$7="30/360"),AND(MONTH(F816)=2,EOMONTH(F816,0)=F816)),IF(DAY(F816)=28,3,2),1)*IF(G816&gt;='депозитный калькулятор'!$G$11,IF(AND('депозитный калькулятор'!$G$7="факт/факт",MOD(YEAR(F816),4)=0),G816*'депозитный калькулятор'!$D$11/366,G816*'депозитный калькулятор'!$G$8),0))</f>
        <v xml:space="preserve"> </v>
      </c>
      <c r="R816" s="158"/>
      <c r="S816" s="62" t="str">
        <f t="shared" ca="1" si="62"/>
        <v xml:space="preserve"> </v>
      </c>
      <c r="T816" s="149" t="str">
        <f ca="1">IF(S816=" "," ",IF('депозитный калькулятор'!$G$7="30/360",DAYS360(U815,IF(DAY(U816)=31,U816-1,U816))+IF(AND(MONTH(U816)=2,U816=EOMONTH(U816,0)),30-DAY(EOMONTH(U816,0)))+T815,VLOOKUP(S816,$C$22:$F$1023,2,0)))</f>
        <v xml:space="preserve"> </v>
      </c>
      <c r="U816" s="64" t="str">
        <f t="shared" ca="1" si="60"/>
        <v xml:space="preserve"> </v>
      </c>
      <c r="V816" s="150" t="str">
        <f t="shared" ca="1" si="63"/>
        <v xml:space="preserve"> </v>
      </c>
      <c r="W816" s="62" t="str">
        <f t="shared" ca="1" si="64"/>
        <v xml:space="preserve"> </v>
      </c>
      <c r="X816" s="141" t="str">
        <f ca="1">IF(S816=" "," ",IFERROR(VLOOKUP(U816,$F$23:$N$1023,7)+VLOOKUP(U816,$F$23:$N$1023,9)+IF(AND('депозитный калькулятор'!$G$13="нет",U816&lt;&gt;'депозитный калькулятор'!$D$8),VLOOKUP(U816,$F$23:$N$1023,4),0),0)+IF(U816='депозитный калькулятор'!$D$8,VLOOKUP(U816,$F$23:$N$1023,2)+VLOOKUP(U816,$F$23:$N$1023,4),0))</f>
        <v xml:space="preserve"> </v>
      </c>
      <c r="Y816" s="142" t="str">
        <f ca="1">IF(S816=" "," ",W816/(1+'депозитный калькулятор'!$K$8)^(T816/IF('депозитный калькулятор'!$G$7="30/360",360,365)))</f>
        <v xml:space="preserve"> </v>
      </c>
      <c r="Z816" s="142" t="str">
        <f ca="1">IF(S816=" "," ",X816/(1+'депозитный калькулятор'!$K$8)^(T816/IF('депозитный калькулятор'!$G$7="30/360",360,365)))</f>
        <v xml:space="preserve"> </v>
      </c>
      <c r="AA816" s="151"/>
      <c r="AB816" s="151"/>
      <c r="AC816" s="155"/>
      <c r="AD816" s="155"/>
    </row>
    <row r="817" spans="1:30" s="2" customFormat="1" ht="15.5" x14ac:dyDescent="0.35">
      <c r="A817" s="41" t="str">
        <f>IF(F817=" "," ",IF(OR('депозитный калькулятор'!$G$7="30/365",'депозитный калькулятор'!$G$7="30/360"),IF(AND(MONTH(F817)=2,DAY(F817)=DAY(EOMONTH(F817,0))),30-DAY(EOMONTH(F817,0)),IF(DAY(F817)=31,1," "))," "))</f>
        <v xml:space="preserve"> </v>
      </c>
      <c r="B817" s="130" t="str">
        <f t="shared" si="61"/>
        <v xml:space="preserve"> </v>
      </c>
      <c r="C817" s="130" t="str">
        <f>IF(OR(B817=0,B817=" ")," ",SUM($B$23:B817))</f>
        <v xml:space="preserve"> </v>
      </c>
      <c r="D817" s="62" t="str">
        <f>IF(D816=" "," ",IF(OR(F816='депозитный калькулятор'!$D$8,F816=" ")," ",D816+1))</f>
        <v xml:space="preserve"> </v>
      </c>
      <c r="E817" s="130" t="str">
        <f>IF(OR(F816='депозитный калькулятор'!$D$8,F816=" ")," ",IF(EOMONTH(F816,0)=F816,1,E816+1))</f>
        <v xml:space="preserve"> </v>
      </c>
      <c r="F817" s="64" t="str">
        <f>IF(F816=" "," ",IF(F816='депозитный калькулятор'!$D$8," ",F816+1))</f>
        <v xml:space="preserve"> </v>
      </c>
      <c r="G817" s="145" t="str">
        <f xml:space="preserve"> IF(F817&gt;'депозитный калькулятор'!$D$8," ",IF('депозитный калькулятор'!$G$13="есть",IF('депозитный калькулятор'!$G$14="есть",G816+IF(I816=" ",0,I816)-J817-K817+L817+M817-N817,G816+IF(I816=" ",0,I816)-J817-K817+M817-N817),IF('депозитный калькулятор'!$G$14="есть",G816-J817-K817+L817+M817-N817,G816-J817-K817+M817-N817)))</f>
        <v xml:space="preserve"> </v>
      </c>
      <c r="H817" s="133" t="str">
        <f>IF(F817&gt;'депозитный калькулятор'!$D$8," ",IF(AND(OR('депозитный калькулятор'!$G$7="30/365",'депозитный калькулятор'!$G$7="30/360"),AND(MONTH(F817)=2,EOMONTH(F817,0)=F817)),IF(DAY(F817)=28,3*G817*'депозитный калькулятор'!$G$8,2*G817*'депозитный калькулятор'!$G$8),IF(AND(OR('депозитный калькулятор'!$G$7="30/365",'депозитный калькулятор'!$G$7="30/360"),DAY(F817)=31)," ",IF(AND('депозитный калькулятор'!$G$7="факт/факт",MOD(YEAR(F817),4)=0),G817*'депозитный калькулятор'!$D$11/366,G817*'депозитный калькулятор'!$G$8))))</f>
        <v xml:space="preserve"> </v>
      </c>
      <c r="I817" s="134" t="str">
        <f ca="1">IF(F817=" "," ",IF('депозитный калькулятор'!$G$10="ежедневное",H817,IF(AND('депозитный калькулятор'!$G$10="еженедельное",WEEKDAY(F817,2)=7),SUM(OFFSET(H817,-6,0):H817),IF(AND('депозитный калькулятор'!$G$10="еженедельное",F817='депозитный калькулятор'!$D$8),SUM($H$23:H817)-SUM($I$23:I816),IF(AND('депозитный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недели",WEEKDAY(F817,2)=7),MIN(OFFSET(H817,-6,0):H817)*(COUNTIF(OFFSET(H817,-6,0):H817,"&gt;0")+SUMIF(OFFSET(A817,-WEEKDAY(F817,2),0):A817,"=2",OFFSET(A817,-WEEKDAY(F817,2),0):A817)),IF(AND('депозитный калькулятор'!$G$10="еженедельное, на минимальную сумму зафиксированную в течение недели",F817='депозитный калькулятор'!$D$8,WEEKDAY(F817,2)&lt;&gt;7),MIN(OFFSET(H817,-WEEKDAY(F817,2),0):H817)*(COUNTIF(OFFSET(H817,-WEEKDAY(F817,2)+1,0):H817,"&gt;0")+SUM(OFFSET(A817,-WEEKDAY(F817,2),0):A817)),IF(AND('депозитный калькулятор'!$G$10="ежемесячное (в конце месяца)",F817='депозитный калькулятор'!$D$8,EOMONTH(F817,0)&lt;&gt;F817),IF('депозитный калькулятор'!$F$1=1,$H$24,SUM($H$23:H817)-SUM($I$23:I816)),IF(AND('депозитный калькулятор'!$G$10="ежемесячное (в конце месяца)",EOMONTH(F817,0)=F817),SUM($H$23:H817)-SUM($I$23:I816),IF(AND('депозитный калькулятор'!$G$10="ежемесячное (по дням открытия вклада)",F817='депозитный калькулятор'!$D$8,DAY('депозитный калькулятор'!$D$7)&lt;&gt;DAY(F817)),IF('депозитный калькулятор'!$F$1=1,$H$24,SUM($H$23:H817)-SUM($I$23:I816)),IF(AND('депозитный калькулятор'!$G$10="ежемесячное (по дням открытия вклада)",DAY('депозитный калькулятор'!$D$7)=DAY(F817)),SUM($H$23:H817)-SUM($I$23:I816),IF(AND('депозитный калькулятор'!$G$10="ежемесячное, на минимальную сумму зафиксированную в течение месяца",F817='депозитный калькулятор'!$D$8,EOMONTH(F817,0)&lt;&gt;F817),IF('депозитный калькулятор'!$F$1=1,$H$24,IF(AND(OR('депозитный калькулятор'!$G$7="30/365",'депозитный калькулятор'!$G$7="30/360"),DAY(F817)=31),0,MIN(OFFSET(H817,-E817+1,0):H817)*(E817+SUMIF(OFFSET(A817,-E817+1,0):A817,"=2",OFFSET(A817,-E817+1,0):A817)))),IF(AND('депозитный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калькулятор'!$G$7="30/360"),DAY(EOMONTH(F817,0))=31),EOMONTH(F817,0)-1=F817,EOMONTH(F817,0)=F817)),IF(IF(AND(OR('депозитный калькулятор'!$G$7="30/365",'депозитный калькулятор'!$G$7="30/360"),DAY(EOMONTH($F$23,0))=31),F817=EOMONTH($F$23,0)-1,F817=EOMONTH($F$23,0)),MIN(OFFSET(H817,-(DAY(F817)-DAY($F$23)),0):H817)*E817,MIN(OFFSET(H817,-(DAY(F817)-1),0):H817)*IF(AND(OR('депозитный калькулятор'!$G$7="30/365",'депозитный калькулятор'!$G$7="30/360"),DAY(F817)&lt;30),30,DAY(F817))),IF(AND('депозитный калькулятор'!$G$10="ежемесячное, на средний остаток в течение месяца, при условии что остаток больше чем ограничение",F817='депозитный калькулятор'!$D$8,EOMONTH(F817,0)&lt;&gt;F817),IF('депозитный калькулятор'!$F$1=1,$H$24,SUM(OFFSET(Q817,-E817+1,0):Q817)),IF(AND('депозитный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калькулятор'!$G$7="30/360"),DAY(EOMONTH(F817,0))=31),EOMONTH(F817,0)-1=F817,EOMONTH(F817,0)=F817)),IF(IF(AND(OR('депозитный калькулятор'!$G$7="30/365",'депозитный калькулятор'!$G$7="30/360"),DAY(EOMONTH($F$24,0))=31),F817=EOMONTH($F$24,0)-1,F817=EOMONTH($F$24,0)),SUM(OFFSET(Q817,-E817+1,0):Q817),SUM(OFFSET(Q817,-E817+1,0):Q817)),IF('депозитный калькулятор'!$G$10="ежеквартальное",IF(F817&gt;'депозитный калькулятор'!$D$8," ",IF(AND(EOMONTH(F817,0)=F817,OR(MONTH(F817)=3,MONTH(F817)=6,MONTH(F817)=9,MONTH(F817)=12)),IF(EDATE(F817,-3)&lt;'депозитный калькулятор'!$D$7,SUM($H$23:H817),IF(MOD(YEAR(F817),4)=0,IF(AND(EOMONTH(F817,0)=F817,OR(MONTH(F817)=3,MONTH(F817)=6)),SUM(OFFSET(H817,-90,0):H817),IF(AND(EOMONTH(F817,0)=F817,OR(MONTH(F817)=9,MONTH(F817)=12)),SUM(OFFSET(H817,-91,0):H817))),IF(AND(EOMONTH(F817,0)=F817,MONTH(F817)=3),SUM(OFFSET(H817,-89,0):H817),IF(AND(EOMONTH(F817,0)=F817,MONTH(F817)=6),SUM(OFFSET(H817,-90,0):H817),IF(AND(EOMONTH(F817,0)=F817,OR(MONTH(F817)=9,MONTH(F817)=12)),SUM(OFFSET(H817,-91,0):H817)))))),IF(F817='депозитный калькулятор'!$D$8,SUM($H$23:H817)-SUM($I$23:I816),0))),IF('депозитный калькулятор'!$G$10="ежегодное",IF(F817&gt;'депозитный калькулятор'!$D$8," ",IF(F817='депозитный калькулятор'!$D$8,SUM($H$23:H817)-SUM($I$23:I816),IF(AND(EOMONTH(F817,0)=F817,MONTH(F817)=12),IF(MOD(YEAR(F816),4)=0,IF(F817-'депозитный калькулятор'!$D$7&lt;366,SUM($H$23:H817),SUM(OFFSET(H817,-365,0):H817)),IF(F817-'депозитный калькулятор'!$D$7&lt;365,SUM($H$23:H817),SUM(OFFSET(H817,-364,0):H817))),0))),IF(AND('депозитный калькулятор'!$G$10="в конце срока",'депозитный калькулятор'!$D$8=F817),SUM($H$23:H817),0))))))))))))))))))</f>
        <v xml:space="preserve"> </v>
      </c>
      <c r="J817" s="59" t="str">
        <f>IF(F817&gt;'депозитный калькулятор'!$D$8," ",IF('депозитный калькулятор'!$G$16="нет",0,IF(AND('депозитный калькулятор'!$G$17="разовая (в конце срока)",F817='депозитный калькулятор'!$D$8),'депозитный калькулятор'!$G$18,IF(AND('депозитный калькулятор'!$G$17="ежемесячная",EOMONTH(F816,0)=F816),'депозитный калькулятор'!$G$18,IF(AND('депозитный калькулятор'!$G$17="ежегодная",DAY(F816)=31,MONTH(F816)=12),'депозитный калькулятор'!$G$18,IF(AND('депозитный калькулятор'!$G$17="ежемесячная в зависимости от остатка",EOMONTH(F816,0)=F816,P816&gt;0),'депозитный калькулятор'!$G$18,IF(AND('депозитный калькулятор'!$G$17="ежегодная в зависимости от остатка",DAY(F816)=31,MONTH(F816)=12,P816&gt;0),'депозитный калькулятор'!$G$18,0)))))))</f>
        <v xml:space="preserve"> </v>
      </c>
      <c r="K817" s="135" t="str">
        <f>IF($F817=" "," ",IFERROR(VLOOKUP($F817,'депозитный калькулятор'!$B$26:$F$70,2,0),0))</f>
        <v xml:space="preserve"> </v>
      </c>
      <c r="L817" s="135" t="str">
        <f>IF($F817=" "," ",IFERROR(VLOOKUP($F817,'депозитный калькулятор'!$B$26:$F$70,3,0),0))</f>
        <v xml:space="preserve"> </v>
      </c>
      <c r="M817" s="135" t="str">
        <f>IF($F817=" "," ",IFERROR(VLOOKUP($F817,'депозитный калькулятор'!$B$26:$F$70,4,0),0))</f>
        <v xml:space="preserve"> </v>
      </c>
      <c r="N817" s="135" t="str">
        <f>IF($F817=" "," ",IFERROR(VLOOKUP($F817,'депозитный калькулятор'!$B$26:$F$70,5,0),0))</f>
        <v xml:space="preserve"> </v>
      </c>
      <c r="O817" s="146" t="str">
        <f>IF(F817&gt;'депозитный калькулятор'!$D$8," ",IF(F817='депозитный калькулятор'!$D$8,IF(AND($F$24='депозитный калькулятор'!$D$8,'депозитный калькулятор'!$G$13="нет"),-G817-IF(I817=" ",0,I817)-IF(AND(OR('депозитный калькулятор'!$G$7="30/365",'депозитный калькулятор'!$G$7="30/360"),'депозитный калькулятор'!$G$10="в начале срока"),I816,0)-L817+M817-N817,-G817-IF(I817=" ",0,I817)-L817+M817-N817),IF('депозитный калькулятор'!$G$13="есть",M817-N817+IF('депозитный калькулятор'!$G$14="есть",0,-L817),-IF(I817=" ",0,I817)-IF(AND(OR('депозитный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срока"),I816,0)+M817-N817+IF('депозитный калькулятор'!$G$14="есть",0,-L817))))</f>
        <v xml:space="preserve"> </v>
      </c>
      <c r="P817" s="147" t="str">
        <f>IF(F817&gt;'депозитный калькулятор'!$D$8," ",IF(EOMONTH(F816,0)=F816,0,IF(G817&gt;='депозитный калькулятор'!$G$19,P816,P816+1)))</f>
        <v xml:space="preserve"> </v>
      </c>
      <c r="Q817" s="138" t="str">
        <f>IF(F817=" "," ",IF(AND(OR('депозитный калькулятор'!$G$7="30/365",'депозитный калькулятор'!$G$7="30/360"),AND(MONTH(F817)=2,EOMONTH(F817,0)=F817)),IF(DAY(F817)=28,3,2),1)*IF(G817&gt;='депозитный калькулятор'!$G$11,IF(AND('депозитный калькулятор'!$G$7="факт/факт",MOD(YEAR(F817),4)=0),G817*'депозитный калькулятор'!$D$11/366,G817*'депозитный калькулятор'!$G$8),0))</f>
        <v xml:space="preserve"> </v>
      </c>
      <c r="R817" s="158"/>
      <c r="S817" s="62" t="str">
        <f t="shared" ca="1" si="62"/>
        <v xml:space="preserve"> </v>
      </c>
      <c r="T817" s="149" t="str">
        <f ca="1">IF(S817=" "," ",IF('депозитный калькулятор'!$G$7="30/360",DAYS360(U816,IF(DAY(U817)=31,U817-1,U817))+IF(AND(MONTH(U817)=2,U817=EOMONTH(U817,0)),30-DAY(EOMONTH(U817,0)))+T816,VLOOKUP(S817,$C$22:$F$1023,2,0)))</f>
        <v xml:space="preserve"> </v>
      </c>
      <c r="U817" s="64" t="str">
        <f t="shared" ca="1" si="60"/>
        <v xml:space="preserve"> </v>
      </c>
      <c r="V817" s="150" t="str">
        <f t="shared" ca="1" si="63"/>
        <v xml:space="preserve"> </v>
      </c>
      <c r="W817" s="62" t="str">
        <f t="shared" ca="1" si="64"/>
        <v xml:space="preserve"> </v>
      </c>
      <c r="X817" s="141" t="str">
        <f ca="1">IF(S817=" "," ",IFERROR(VLOOKUP(U817,$F$23:$N$1023,7)+VLOOKUP(U817,$F$23:$N$1023,9)+IF(AND('депозитный калькулятор'!$G$13="нет",U817&lt;&gt;'депозитный калькулятор'!$D$8),VLOOKUP(U817,$F$23:$N$1023,4),0),0)+IF(U817='депозитный калькулятор'!$D$8,VLOOKUP(U817,$F$23:$N$1023,2)+VLOOKUP(U817,$F$23:$N$1023,4),0))</f>
        <v xml:space="preserve"> </v>
      </c>
      <c r="Y817" s="142" t="str">
        <f ca="1">IF(S817=" "," ",W817/(1+'депозитный калькулятор'!$K$8)^(T817/IF('депозитный калькулятор'!$G$7="30/360",360,365)))</f>
        <v xml:space="preserve"> </v>
      </c>
      <c r="Z817" s="142" t="str">
        <f ca="1">IF(S817=" "," ",X817/(1+'депозитный калькулятор'!$K$8)^(T817/IF('депозитный калькулятор'!$G$7="30/360",360,365)))</f>
        <v xml:space="preserve"> </v>
      </c>
      <c r="AA817" s="151"/>
      <c r="AB817" s="151"/>
      <c r="AC817" s="155"/>
      <c r="AD817" s="155"/>
    </row>
    <row r="818" spans="1:30" s="2" customFormat="1" ht="15.5" x14ac:dyDescent="0.35">
      <c r="A818" s="41" t="str">
        <f>IF(F818=" "," ",IF(OR('депозитный калькулятор'!$G$7="30/365",'депозитный калькулятор'!$G$7="30/360"),IF(AND(MONTH(F818)=2,DAY(F818)=DAY(EOMONTH(F818,0))),30-DAY(EOMONTH(F818,0)),IF(DAY(F818)=31,1," "))," "))</f>
        <v xml:space="preserve"> </v>
      </c>
      <c r="B818" s="130" t="str">
        <f t="shared" si="61"/>
        <v xml:space="preserve"> </v>
      </c>
      <c r="C818" s="130" t="str">
        <f>IF(OR(B818=0,B818=" ")," ",SUM($B$23:B818))</f>
        <v xml:space="preserve"> </v>
      </c>
      <c r="D818" s="62" t="str">
        <f>IF(D817=" "," ",IF(OR(F817='депозитный калькулятор'!$D$8,F817=" ")," ",D817+1))</f>
        <v xml:space="preserve"> </v>
      </c>
      <c r="E818" s="130" t="str">
        <f>IF(OR(F817='депозитный калькулятор'!$D$8,F817=" ")," ",IF(EOMONTH(F817,0)=F817,1,E817+1))</f>
        <v xml:space="preserve"> </v>
      </c>
      <c r="F818" s="64" t="str">
        <f>IF(F817=" "," ",IF(F817='депозитный калькулятор'!$D$8," ",F817+1))</f>
        <v xml:space="preserve"> </v>
      </c>
      <c r="G818" s="145" t="str">
        <f xml:space="preserve"> IF(F818&gt;'депозитный калькулятор'!$D$8," ",IF('депозитный калькулятор'!$G$13="есть",IF('депозитный калькулятор'!$G$14="есть",G817+IF(I817=" ",0,I817)-J818-K818+L818+M818-N818,G817+IF(I817=" ",0,I817)-J818-K818+M818-N818),IF('депозитный калькулятор'!$G$14="есть",G817-J818-K818+L818+M818-N818,G817-J818-K818+M818-N818)))</f>
        <v xml:space="preserve"> </v>
      </c>
      <c r="H818" s="133" t="str">
        <f>IF(F818&gt;'депозитный калькулятор'!$D$8," ",IF(AND(OR('депозитный калькулятор'!$G$7="30/365",'депозитный калькулятор'!$G$7="30/360"),AND(MONTH(F818)=2,EOMONTH(F818,0)=F818)),IF(DAY(F818)=28,3*G818*'депозитный калькулятор'!$G$8,2*G818*'депозитный калькулятор'!$G$8),IF(AND(OR('депозитный калькулятор'!$G$7="30/365",'депозитный калькулятор'!$G$7="30/360"),DAY(F818)=31)," ",IF(AND('депозитный калькулятор'!$G$7="факт/факт",MOD(YEAR(F818),4)=0),G818*'депозитный калькулятор'!$D$11/366,G818*'депозитный калькулятор'!$G$8))))</f>
        <v xml:space="preserve"> </v>
      </c>
      <c r="I818" s="134" t="str">
        <f ca="1">IF(F818=" "," ",IF('депозитный калькулятор'!$G$10="ежедневное",H818,IF(AND('депозитный калькулятор'!$G$10="еженедельное",WEEKDAY(F818,2)=7),SUM(OFFSET(H818,-6,0):H818),IF(AND('депозитный калькулятор'!$G$10="еженедельное",F818='депозитный калькулятор'!$D$8),SUM($H$23:H818)-SUM($I$23:I817),IF(AND('депозитный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недели",WEEKDAY(F818,2)=7),MIN(OFFSET(H818,-6,0):H818)*(COUNTIF(OFFSET(H818,-6,0):H818,"&gt;0")+SUMIF(OFFSET(A818,-WEEKDAY(F818,2),0):A818,"=2",OFFSET(A818,-WEEKDAY(F818,2),0):A818)),IF(AND('депозитный калькулятор'!$G$10="еженедельное, на минимальную сумму зафиксированную в течение недели",F818='депозитный калькулятор'!$D$8,WEEKDAY(F818,2)&lt;&gt;7),MIN(OFFSET(H818,-WEEKDAY(F818,2),0):H818)*(COUNTIF(OFFSET(H818,-WEEKDAY(F818,2)+1,0):H818,"&gt;0")+SUM(OFFSET(A818,-WEEKDAY(F818,2),0):A818)),IF(AND('депозитный калькулятор'!$G$10="ежемесячное (в конце месяца)",F818='депозитный калькулятор'!$D$8,EOMONTH(F818,0)&lt;&gt;F818),IF('депозитный калькулятор'!$F$1=1,$H$24,SUM($H$23:H818)-SUM($I$23:I817)),IF(AND('депозитный калькулятор'!$G$10="ежемесячное (в конце месяца)",EOMONTH(F818,0)=F818),SUM($H$23:H818)-SUM($I$23:I817),IF(AND('депозитный калькулятор'!$G$10="ежемесячное (по дням открытия вклада)",F818='депозитный калькулятор'!$D$8,DAY('депозитный калькулятор'!$D$7)&lt;&gt;DAY(F818)),IF('депозитный калькулятор'!$F$1=1,$H$24,SUM($H$23:H818)-SUM($I$23:I817)),IF(AND('депозитный калькулятор'!$G$10="ежемесячное (по дням открытия вклада)",DAY('депозитный калькулятор'!$D$7)=DAY(F818)),SUM($H$23:H818)-SUM($I$23:I817),IF(AND('депозитный калькулятор'!$G$10="ежемесячное, на минимальную сумму зафиксированную в течение месяца",F818='депозитный калькулятор'!$D$8,EOMONTH(F818,0)&lt;&gt;F818),IF('депозитный калькулятор'!$F$1=1,$H$24,IF(AND(OR('депозитный калькулятор'!$G$7="30/365",'депозитный калькулятор'!$G$7="30/360"),DAY(F818)=31),0,MIN(OFFSET(H818,-E818+1,0):H818)*(E818+SUMIF(OFFSET(A818,-E818+1,0):A818,"=2",OFFSET(A818,-E818+1,0):A818)))),IF(AND('депозитный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калькулятор'!$G$7="30/360"),DAY(EOMONTH(F818,0))=31),EOMONTH(F818,0)-1=F818,EOMONTH(F818,0)=F818)),IF(IF(AND(OR('депозитный калькулятор'!$G$7="30/365",'депозитный калькулятор'!$G$7="30/360"),DAY(EOMONTH($F$23,0))=31),F818=EOMONTH($F$23,0)-1,F818=EOMONTH($F$23,0)),MIN(OFFSET(H818,-(DAY(F818)-DAY($F$23)),0):H818)*E818,MIN(OFFSET(H818,-(DAY(F818)-1),0):H818)*IF(AND(OR('депозитный калькулятор'!$G$7="30/365",'депозитный калькулятор'!$G$7="30/360"),DAY(F818)&lt;30),30,DAY(F818))),IF(AND('депозитный калькулятор'!$G$10="ежемесячное, на средний остаток в течение месяца, при условии что остаток больше чем ограничение",F818='депозитный калькулятор'!$D$8,EOMONTH(F818,0)&lt;&gt;F818),IF('депозитный калькулятор'!$F$1=1,$H$24,SUM(OFFSET(Q818,-E818+1,0):Q818)),IF(AND('депозитный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калькулятор'!$G$7="30/360"),DAY(EOMONTH(F818,0))=31),EOMONTH(F818,0)-1=F818,EOMONTH(F818,0)=F818)),IF(IF(AND(OR('депозитный калькулятор'!$G$7="30/365",'депозитный калькулятор'!$G$7="30/360"),DAY(EOMONTH($F$24,0))=31),F818=EOMONTH($F$24,0)-1,F818=EOMONTH($F$24,0)),SUM(OFFSET(Q818,-E818+1,0):Q818),SUM(OFFSET(Q818,-E818+1,0):Q818)),IF('депозитный калькулятор'!$G$10="ежеквартальное",IF(F818&gt;'депозитный калькулятор'!$D$8," ",IF(AND(EOMONTH(F818,0)=F818,OR(MONTH(F818)=3,MONTH(F818)=6,MONTH(F818)=9,MONTH(F818)=12)),IF(EDATE(F818,-3)&lt;'депозитный калькулятор'!$D$7,SUM($H$23:H818),IF(MOD(YEAR(F818),4)=0,IF(AND(EOMONTH(F818,0)=F818,OR(MONTH(F818)=3,MONTH(F818)=6)),SUM(OFFSET(H818,-90,0):H818),IF(AND(EOMONTH(F818,0)=F818,OR(MONTH(F818)=9,MONTH(F818)=12)),SUM(OFFSET(H818,-91,0):H818))),IF(AND(EOMONTH(F818,0)=F818,MONTH(F818)=3),SUM(OFFSET(H818,-89,0):H818),IF(AND(EOMONTH(F818,0)=F818,MONTH(F818)=6),SUM(OFFSET(H818,-90,0):H818),IF(AND(EOMONTH(F818,0)=F818,OR(MONTH(F818)=9,MONTH(F818)=12)),SUM(OFFSET(H818,-91,0):H818)))))),IF(F818='депозитный калькулятор'!$D$8,SUM($H$23:H818)-SUM($I$23:I817),0))),IF('депозитный калькулятор'!$G$10="ежегодное",IF(F818&gt;'депозитный калькулятор'!$D$8," ",IF(F818='депозитный калькулятор'!$D$8,SUM($H$23:H818)-SUM($I$23:I817),IF(AND(EOMONTH(F818,0)=F818,MONTH(F818)=12),IF(MOD(YEAR(F817),4)=0,IF(F818-'депозитный калькулятор'!$D$7&lt;366,SUM($H$23:H818),SUM(OFFSET(H818,-365,0):H818)),IF(F818-'депозитный калькулятор'!$D$7&lt;365,SUM($H$23:H818),SUM(OFFSET(H818,-364,0):H818))),0))),IF(AND('депозитный калькулятор'!$G$10="в конце срока",'депозитный калькулятор'!$D$8=F818),SUM($H$23:H818),0))))))))))))))))))</f>
        <v xml:space="preserve"> </v>
      </c>
      <c r="J818" s="59" t="str">
        <f>IF(F818&gt;'депозитный калькулятор'!$D$8," ",IF('депозитный калькулятор'!$G$16="нет",0,IF(AND('депозитный калькулятор'!$G$17="разовая (в конце срока)",F818='депозитный калькулятор'!$D$8),'депозитный калькулятор'!$G$18,IF(AND('депозитный калькулятор'!$G$17="ежемесячная",EOMONTH(F817,0)=F817),'депозитный калькулятор'!$G$18,IF(AND('депозитный калькулятор'!$G$17="ежегодная",DAY(F817)=31,MONTH(F817)=12),'депозитный калькулятор'!$G$18,IF(AND('депозитный калькулятор'!$G$17="ежемесячная в зависимости от остатка",EOMONTH(F817,0)=F817,P817&gt;0),'депозитный калькулятор'!$G$18,IF(AND('депозитный калькулятор'!$G$17="ежегодная в зависимости от остатка",DAY(F817)=31,MONTH(F817)=12,P817&gt;0),'депозитный калькулятор'!$G$18,0)))))))</f>
        <v xml:space="preserve"> </v>
      </c>
      <c r="K818" s="135" t="str">
        <f>IF($F818=" "," ",IFERROR(VLOOKUP($F818,'депозитный калькулятор'!$B$26:$F$70,2,0),0))</f>
        <v xml:space="preserve"> </v>
      </c>
      <c r="L818" s="135" t="str">
        <f>IF($F818=" "," ",IFERROR(VLOOKUP($F818,'депозитный калькулятор'!$B$26:$F$70,3,0),0))</f>
        <v xml:space="preserve"> </v>
      </c>
      <c r="M818" s="135" t="str">
        <f>IF($F818=" "," ",IFERROR(VLOOKUP($F818,'депозитный калькулятор'!$B$26:$F$70,4,0),0))</f>
        <v xml:space="preserve"> </v>
      </c>
      <c r="N818" s="135" t="str">
        <f>IF($F818=" "," ",IFERROR(VLOOKUP($F818,'депозитный калькулятор'!$B$26:$F$70,5,0),0))</f>
        <v xml:space="preserve"> </v>
      </c>
      <c r="O818" s="146" t="str">
        <f>IF(F818&gt;'депозитный калькулятор'!$D$8," ",IF(F818='депозитный калькулятор'!$D$8,IF(AND($F$24='депозитный калькулятор'!$D$8,'депозитный калькулятор'!$G$13="нет"),-G818-IF(I818=" ",0,I818)-IF(AND(OR('депозитный калькулятор'!$G$7="30/365",'депозитный калькулятор'!$G$7="30/360"),'депозитный калькулятор'!$G$10="в начале срока"),I817,0)-L818+M818-N818,-G818-IF(I818=" ",0,I818)-L818+M818-N818),IF('депозитный калькулятор'!$G$13="есть",M818-N818+IF('депозитный калькулятор'!$G$14="есть",0,-L818),-IF(I818=" ",0,I818)-IF(AND(OR('депозитный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срока"),I817,0)+M818-N818+IF('депозитный калькулятор'!$G$14="есть",0,-L818))))</f>
        <v xml:space="preserve"> </v>
      </c>
      <c r="P818" s="147" t="str">
        <f>IF(F818&gt;'депозитный калькулятор'!$D$8," ",IF(EOMONTH(F817,0)=F817,0,IF(G818&gt;='депозитный калькулятор'!$G$19,P817,P817+1)))</f>
        <v xml:space="preserve"> </v>
      </c>
      <c r="Q818" s="138" t="str">
        <f>IF(F818=" "," ",IF(AND(OR('депозитный калькулятор'!$G$7="30/365",'депозитный калькулятор'!$G$7="30/360"),AND(MONTH(F818)=2,EOMONTH(F818,0)=F818)),IF(DAY(F818)=28,3,2),1)*IF(G818&gt;='депозитный калькулятор'!$G$11,IF(AND('депозитный калькулятор'!$G$7="факт/факт",MOD(YEAR(F818),4)=0),G818*'депозитный калькулятор'!$D$11/366,G818*'депозитный калькулятор'!$G$8),0))</f>
        <v xml:space="preserve"> </v>
      </c>
      <c r="R818" s="158"/>
      <c r="S818" s="62" t="str">
        <f t="shared" ca="1" si="62"/>
        <v xml:space="preserve"> </v>
      </c>
      <c r="T818" s="149" t="str">
        <f ca="1">IF(S818=" "," ",IF('депозитный калькулятор'!$G$7="30/360",DAYS360(U817,IF(DAY(U818)=31,U818-1,U818))+IF(AND(MONTH(U818)=2,U818=EOMONTH(U818,0)),30-DAY(EOMONTH(U818,0)))+T817,VLOOKUP(S818,$C$22:$F$1023,2,0)))</f>
        <v xml:space="preserve"> </v>
      </c>
      <c r="U818" s="64" t="str">
        <f t="shared" ca="1" si="60"/>
        <v xml:space="preserve"> </v>
      </c>
      <c r="V818" s="150" t="str">
        <f t="shared" ca="1" si="63"/>
        <v xml:space="preserve"> </v>
      </c>
      <c r="W818" s="62" t="str">
        <f t="shared" ca="1" si="64"/>
        <v xml:space="preserve"> </v>
      </c>
      <c r="X818" s="141" t="str">
        <f ca="1">IF(S818=" "," ",IFERROR(VLOOKUP(U818,$F$23:$N$1023,7)+VLOOKUP(U818,$F$23:$N$1023,9)+IF(AND('депозитный калькулятор'!$G$13="нет",U818&lt;&gt;'депозитный калькулятор'!$D$8),VLOOKUP(U818,$F$23:$N$1023,4),0),0)+IF(U818='депозитный калькулятор'!$D$8,VLOOKUP(U818,$F$23:$N$1023,2)+VLOOKUP(U818,$F$23:$N$1023,4),0))</f>
        <v xml:space="preserve"> </v>
      </c>
      <c r="Y818" s="142" t="str">
        <f ca="1">IF(S818=" "," ",W818/(1+'депозитный калькулятор'!$K$8)^(T818/IF('депозитный калькулятор'!$G$7="30/360",360,365)))</f>
        <v xml:space="preserve"> </v>
      </c>
      <c r="Z818" s="142" t="str">
        <f ca="1">IF(S818=" "," ",X818/(1+'депозитный калькулятор'!$K$8)^(T818/IF('депозитный калькулятор'!$G$7="30/360",360,365)))</f>
        <v xml:space="preserve"> </v>
      </c>
      <c r="AA818" s="151"/>
      <c r="AB818" s="151"/>
      <c r="AC818" s="155"/>
      <c r="AD818" s="155"/>
    </row>
    <row r="819" spans="1:30" s="2" customFormat="1" ht="15.5" x14ac:dyDescent="0.35">
      <c r="A819" s="41" t="str">
        <f>IF(F819=" "," ",IF(OR('депозитный калькулятор'!$G$7="30/365",'депозитный калькулятор'!$G$7="30/360"),IF(AND(MONTH(F819)=2,DAY(F819)=DAY(EOMONTH(F819,0))),30-DAY(EOMONTH(F819,0)),IF(DAY(F819)=31,1," "))," "))</f>
        <v xml:space="preserve"> </v>
      </c>
      <c r="B819" s="130" t="str">
        <f t="shared" si="61"/>
        <v xml:space="preserve"> </v>
      </c>
      <c r="C819" s="130" t="str">
        <f>IF(OR(B819=0,B819=" ")," ",SUM($B$23:B819))</f>
        <v xml:space="preserve"> </v>
      </c>
      <c r="D819" s="62" t="str">
        <f>IF(D818=" "," ",IF(OR(F818='депозитный калькулятор'!$D$8,F818=" ")," ",D818+1))</f>
        <v xml:space="preserve"> </v>
      </c>
      <c r="E819" s="130" t="str">
        <f>IF(OR(F818='депозитный калькулятор'!$D$8,F818=" ")," ",IF(EOMONTH(F818,0)=F818,1,E818+1))</f>
        <v xml:space="preserve"> </v>
      </c>
      <c r="F819" s="64" t="str">
        <f>IF(F818=" "," ",IF(F818='депозитный калькулятор'!$D$8," ",F818+1))</f>
        <v xml:space="preserve"> </v>
      </c>
      <c r="G819" s="145" t="str">
        <f xml:space="preserve"> IF(F819&gt;'депозитный калькулятор'!$D$8," ",IF('депозитный калькулятор'!$G$13="есть",IF('депозитный калькулятор'!$G$14="есть",G818+IF(I818=" ",0,I818)-J819-K819+L819+M819-N819,G818+IF(I818=" ",0,I818)-J819-K819+M819-N819),IF('депозитный калькулятор'!$G$14="есть",G818-J819-K819+L819+M819-N819,G818-J819-K819+M819-N819)))</f>
        <v xml:space="preserve"> </v>
      </c>
      <c r="H819" s="133" t="str">
        <f>IF(F819&gt;'депозитный калькулятор'!$D$8," ",IF(AND(OR('депозитный калькулятор'!$G$7="30/365",'депозитный калькулятор'!$G$7="30/360"),AND(MONTH(F819)=2,EOMONTH(F819,0)=F819)),IF(DAY(F819)=28,3*G819*'депозитный калькулятор'!$G$8,2*G819*'депозитный калькулятор'!$G$8),IF(AND(OR('депозитный калькулятор'!$G$7="30/365",'депозитный калькулятор'!$G$7="30/360"),DAY(F819)=31)," ",IF(AND('депозитный калькулятор'!$G$7="факт/факт",MOD(YEAR(F819),4)=0),G819*'депозитный калькулятор'!$D$11/366,G819*'депозитный калькулятор'!$G$8))))</f>
        <v xml:space="preserve"> </v>
      </c>
      <c r="I819" s="134" t="str">
        <f ca="1">IF(F819=" "," ",IF('депозитный калькулятор'!$G$10="ежедневное",H819,IF(AND('депозитный калькулятор'!$G$10="еженедельное",WEEKDAY(F819,2)=7),SUM(OFFSET(H819,-6,0):H819),IF(AND('депозитный калькулятор'!$G$10="еженедельное",F819='депозитный калькулятор'!$D$8),SUM($H$23:H819)-SUM($I$23:I818),IF(AND('депозитный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недели",WEEKDAY(F819,2)=7),MIN(OFFSET(H819,-6,0):H819)*(COUNTIF(OFFSET(H819,-6,0):H819,"&gt;0")+SUMIF(OFFSET(A819,-WEEKDAY(F819,2),0):A819,"=2",OFFSET(A819,-WEEKDAY(F819,2),0):A819)),IF(AND('депозитный калькулятор'!$G$10="еженедельное, на минимальную сумму зафиксированную в течение недели",F819='депозитный калькулятор'!$D$8,WEEKDAY(F819,2)&lt;&gt;7),MIN(OFFSET(H819,-WEEKDAY(F819,2),0):H819)*(COUNTIF(OFFSET(H819,-WEEKDAY(F819,2)+1,0):H819,"&gt;0")+SUM(OFFSET(A819,-WEEKDAY(F819,2),0):A819)),IF(AND('депозитный калькулятор'!$G$10="ежемесячное (в конце месяца)",F819='депозитный калькулятор'!$D$8,EOMONTH(F819,0)&lt;&gt;F819),IF('депозитный калькулятор'!$F$1=1,$H$24,SUM($H$23:H819)-SUM($I$23:I818)),IF(AND('депозитный калькулятор'!$G$10="ежемесячное (в конце месяца)",EOMONTH(F819,0)=F819),SUM($H$23:H819)-SUM($I$23:I818),IF(AND('депозитный калькулятор'!$G$10="ежемесячное (по дням открытия вклада)",F819='депозитный калькулятор'!$D$8,DAY('депозитный калькулятор'!$D$7)&lt;&gt;DAY(F819)),IF('депозитный калькулятор'!$F$1=1,$H$24,SUM($H$23:H819)-SUM($I$23:I818)),IF(AND('депозитный калькулятор'!$G$10="ежемесячное (по дням открытия вклада)",DAY('депозитный калькулятор'!$D$7)=DAY(F819)),SUM($H$23:H819)-SUM($I$23:I818),IF(AND('депозитный калькулятор'!$G$10="ежемесячное, на минимальную сумму зафиксированную в течение месяца",F819='депозитный калькулятор'!$D$8,EOMONTH(F819,0)&lt;&gt;F819),IF('депозитный калькулятор'!$F$1=1,$H$24,IF(AND(OR('депозитный калькулятор'!$G$7="30/365",'депозитный калькулятор'!$G$7="30/360"),DAY(F819)=31),0,MIN(OFFSET(H819,-E819+1,0):H819)*(E819+SUMIF(OFFSET(A819,-E819+1,0):A819,"=2",OFFSET(A819,-E819+1,0):A819)))),IF(AND('депозитный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калькулятор'!$G$7="30/360"),DAY(EOMONTH(F819,0))=31),EOMONTH(F819,0)-1=F819,EOMONTH(F819,0)=F819)),IF(IF(AND(OR('депозитный калькулятор'!$G$7="30/365",'депозитный калькулятор'!$G$7="30/360"),DAY(EOMONTH($F$23,0))=31),F819=EOMONTH($F$23,0)-1,F819=EOMONTH($F$23,0)),MIN(OFFSET(H819,-(DAY(F819)-DAY($F$23)),0):H819)*E819,MIN(OFFSET(H819,-(DAY(F819)-1),0):H819)*IF(AND(OR('депозитный калькулятор'!$G$7="30/365",'депозитный калькулятор'!$G$7="30/360"),DAY(F819)&lt;30),30,DAY(F819))),IF(AND('депозитный калькулятор'!$G$10="ежемесячное, на средний остаток в течение месяца, при условии что остаток больше чем ограничение",F819='депозитный калькулятор'!$D$8,EOMONTH(F819,0)&lt;&gt;F819),IF('депозитный калькулятор'!$F$1=1,$H$24,SUM(OFFSET(Q819,-E819+1,0):Q819)),IF(AND('депозитный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калькулятор'!$G$7="30/360"),DAY(EOMONTH(F819,0))=31),EOMONTH(F819,0)-1=F819,EOMONTH(F819,0)=F819)),IF(IF(AND(OR('депозитный калькулятор'!$G$7="30/365",'депозитный калькулятор'!$G$7="30/360"),DAY(EOMONTH($F$24,0))=31),F819=EOMONTH($F$24,0)-1,F819=EOMONTH($F$24,0)),SUM(OFFSET(Q819,-E819+1,0):Q819),SUM(OFFSET(Q819,-E819+1,0):Q819)),IF('депозитный калькулятор'!$G$10="ежеквартальное",IF(F819&gt;'депозитный калькулятор'!$D$8," ",IF(AND(EOMONTH(F819,0)=F819,OR(MONTH(F819)=3,MONTH(F819)=6,MONTH(F819)=9,MONTH(F819)=12)),IF(EDATE(F819,-3)&lt;'депозитный калькулятор'!$D$7,SUM($H$23:H819),IF(MOD(YEAR(F819),4)=0,IF(AND(EOMONTH(F819,0)=F819,OR(MONTH(F819)=3,MONTH(F819)=6)),SUM(OFFSET(H819,-90,0):H819),IF(AND(EOMONTH(F819,0)=F819,OR(MONTH(F819)=9,MONTH(F819)=12)),SUM(OFFSET(H819,-91,0):H819))),IF(AND(EOMONTH(F819,0)=F819,MONTH(F819)=3),SUM(OFFSET(H819,-89,0):H819),IF(AND(EOMONTH(F819,0)=F819,MONTH(F819)=6),SUM(OFFSET(H819,-90,0):H819),IF(AND(EOMONTH(F819,0)=F819,OR(MONTH(F819)=9,MONTH(F819)=12)),SUM(OFFSET(H819,-91,0):H819)))))),IF(F819='депозитный калькулятор'!$D$8,SUM($H$23:H819)-SUM($I$23:I818),0))),IF('депозитный калькулятор'!$G$10="ежегодное",IF(F819&gt;'депозитный калькулятор'!$D$8," ",IF(F819='депозитный калькулятор'!$D$8,SUM($H$23:H819)-SUM($I$23:I818),IF(AND(EOMONTH(F819,0)=F819,MONTH(F819)=12),IF(MOD(YEAR(F818),4)=0,IF(F819-'депозитный калькулятор'!$D$7&lt;366,SUM($H$23:H819),SUM(OFFSET(H819,-365,0):H819)),IF(F819-'депозитный калькулятор'!$D$7&lt;365,SUM($H$23:H819),SUM(OFFSET(H819,-364,0):H819))),0))),IF(AND('депозитный калькулятор'!$G$10="в конце срока",'депозитный калькулятор'!$D$8=F819),SUM($H$23:H819),0))))))))))))))))))</f>
        <v xml:space="preserve"> </v>
      </c>
      <c r="J819" s="59" t="str">
        <f>IF(F819&gt;'депозитный калькулятор'!$D$8," ",IF('депозитный калькулятор'!$G$16="нет",0,IF(AND('депозитный калькулятор'!$G$17="разовая (в конце срока)",F819='депозитный калькулятор'!$D$8),'депозитный калькулятор'!$G$18,IF(AND('депозитный калькулятор'!$G$17="ежемесячная",EOMONTH(F818,0)=F818),'депозитный калькулятор'!$G$18,IF(AND('депозитный калькулятор'!$G$17="ежегодная",DAY(F818)=31,MONTH(F818)=12),'депозитный калькулятор'!$G$18,IF(AND('депозитный калькулятор'!$G$17="ежемесячная в зависимости от остатка",EOMONTH(F818,0)=F818,P818&gt;0),'депозитный калькулятор'!$G$18,IF(AND('депозитный калькулятор'!$G$17="ежегодная в зависимости от остатка",DAY(F818)=31,MONTH(F818)=12,P818&gt;0),'депозитный калькулятор'!$G$18,0)))))))</f>
        <v xml:space="preserve"> </v>
      </c>
      <c r="K819" s="135" t="str">
        <f>IF($F819=" "," ",IFERROR(VLOOKUP($F819,'депозитный калькулятор'!$B$26:$F$70,2,0),0))</f>
        <v xml:space="preserve"> </v>
      </c>
      <c r="L819" s="135" t="str">
        <f>IF($F819=" "," ",IFERROR(VLOOKUP($F819,'депозитный калькулятор'!$B$26:$F$70,3,0),0))</f>
        <v xml:space="preserve"> </v>
      </c>
      <c r="M819" s="135" t="str">
        <f>IF($F819=" "," ",IFERROR(VLOOKUP($F819,'депозитный калькулятор'!$B$26:$F$70,4,0),0))</f>
        <v xml:space="preserve"> </v>
      </c>
      <c r="N819" s="135" t="str">
        <f>IF($F819=" "," ",IFERROR(VLOOKUP($F819,'депозитный калькулятор'!$B$26:$F$70,5,0),0))</f>
        <v xml:space="preserve"> </v>
      </c>
      <c r="O819" s="146" t="str">
        <f>IF(F819&gt;'депозитный калькулятор'!$D$8," ",IF(F819='депозитный калькулятор'!$D$8,IF(AND($F$24='депозитный калькулятор'!$D$8,'депозитный калькулятор'!$G$13="нет"),-G819-IF(I819=" ",0,I819)-IF(AND(OR('депозитный калькулятор'!$G$7="30/365",'депозитный калькулятор'!$G$7="30/360"),'депозитный калькулятор'!$G$10="в начале срока"),I818,0)-L819+M819-N819,-G819-IF(I819=" ",0,I819)-L819+M819-N819),IF('депозитный калькулятор'!$G$13="есть",M819-N819+IF('депозитный калькулятор'!$G$14="есть",0,-L819),-IF(I819=" ",0,I819)-IF(AND(OR('депозитный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срока"),I818,0)+M819-N819+IF('депозитный калькулятор'!$G$14="есть",0,-L819))))</f>
        <v xml:space="preserve"> </v>
      </c>
      <c r="P819" s="147" t="str">
        <f>IF(F819&gt;'депозитный калькулятор'!$D$8," ",IF(EOMONTH(F818,0)=F818,0,IF(G819&gt;='депозитный калькулятор'!$G$19,P818,P818+1)))</f>
        <v xml:space="preserve"> </v>
      </c>
      <c r="Q819" s="138" t="str">
        <f>IF(F819=" "," ",IF(AND(OR('депозитный калькулятор'!$G$7="30/365",'депозитный калькулятор'!$G$7="30/360"),AND(MONTH(F819)=2,EOMONTH(F819,0)=F819)),IF(DAY(F819)=28,3,2),1)*IF(G819&gt;='депозитный калькулятор'!$G$11,IF(AND('депозитный калькулятор'!$G$7="факт/факт",MOD(YEAR(F819),4)=0),G819*'депозитный калькулятор'!$D$11/366,G819*'депозитный калькулятор'!$G$8),0))</f>
        <v xml:space="preserve"> </v>
      </c>
      <c r="R819" s="158"/>
      <c r="S819" s="62" t="str">
        <f t="shared" ca="1" si="62"/>
        <v xml:space="preserve"> </v>
      </c>
      <c r="T819" s="149" t="str">
        <f ca="1">IF(S819=" "," ",IF('депозитный калькулятор'!$G$7="30/360",DAYS360(U818,IF(DAY(U819)=31,U819-1,U819))+IF(AND(MONTH(U819)=2,U819=EOMONTH(U819,0)),30-DAY(EOMONTH(U819,0)))+T818,VLOOKUP(S819,$C$22:$F$1023,2,0)))</f>
        <v xml:space="preserve"> </v>
      </c>
      <c r="U819" s="64" t="str">
        <f t="shared" ca="1" si="60"/>
        <v xml:space="preserve"> </v>
      </c>
      <c r="V819" s="150" t="str">
        <f t="shared" ca="1" si="63"/>
        <v xml:space="preserve"> </v>
      </c>
      <c r="W819" s="62" t="str">
        <f t="shared" ca="1" si="64"/>
        <v xml:space="preserve"> </v>
      </c>
      <c r="X819" s="141" t="str">
        <f ca="1">IF(S819=" "," ",IFERROR(VLOOKUP(U819,$F$23:$N$1023,7)+VLOOKUP(U819,$F$23:$N$1023,9)+IF(AND('депозитный калькулятор'!$G$13="нет",U819&lt;&gt;'депозитный калькулятор'!$D$8),VLOOKUP(U819,$F$23:$N$1023,4),0),0)+IF(U819='депозитный калькулятор'!$D$8,VLOOKUP(U819,$F$23:$N$1023,2)+VLOOKUP(U819,$F$23:$N$1023,4),0))</f>
        <v xml:space="preserve"> </v>
      </c>
      <c r="Y819" s="142" t="str">
        <f ca="1">IF(S819=" "," ",W819/(1+'депозитный калькулятор'!$K$8)^(T819/IF('депозитный калькулятор'!$G$7="30/360",360,365)))</f>
        <v xml:space="preserve"> </v>
      </c>
      <c r="Z819" s="142" t="str">
        <f ca="1">IF(S819=" "," ",X819/(1+'депозитный калькулятор'!$K$8)^(T819/IF('депозитный калькулятор'!$G$7="30/360",360,365)))</f>
        <v xml:space="preserve"> </v>
      </c>
      <c r="AA819" s="151"/>
      <c r="AB819" s="151"/>
      <c r="AC819" s="155"/>
      <c r="AD819" s="155"/>
    </row>
    <row r="820" spans="1:30" s="2" customFormat="1" ht="15.5" x14ac:dyDescent="0.35">
      <c r="A820" s="41" t="str">
        <f>IF(F820=" "," ",IF(OR('депозитный калькулятор'!$G$7="30/365",'депозитный калькулятор'!$G$7="30/360"),IF(AND(MONTH(F820)=2,DAY(F820)=DAY(EOMONTH(F820,0))),30-DAY(EOMONTH(F820,0)),IF(DAY(F820)=31,1," "))," "))</f>
        <v xml:space="preserve"> </v>
      </c>
      <c r="B820" s="130" t="str">
        <f t="shared" si="61"/>
        <v xml:space="preserve"> </v>
      </c>
      <c r="C820" s="130" t="str">
        <f>IF(OR(B820=0,B820=" ")," ",SUM($B$23:B820))</f>
        <v xml:space="preserve"> </v>
      </c>
      <c r="D820" s="62" t="str">
        <f>IF(D819=" "," ",IF(OR(F819='депозитный калькулятор'!$D$8,F819=" ")," ",D819+1))</f>
        <v xml:space="preserve"> </v>
      </c>
      <c r="E820" s="130" t="str">
        <f>IF(OR(F819='депозитный калькулятор'!$D$8,F819=" ")," ",IF(EOMONTH(F819,0)=F819,1,E819+1))</f>
        <v xml:space="preserve"> </v>
      </c>
      <c r="F820" s="64" t="str">
        <f>IF(F819=" "," ",IF(F819='депозитный калькулятор'!$D$8," ",F819+1))</f>
        <v xml:space="preserve"> </v>
      </c>
      <c r="G820" s="145" t="str">
        <f xml:space="preserve"> IF(F820&gt;'депозитный калькулятор'!$D$8," ",IF('депозитный калькулятор'!$G$13="есть",IF('депозитный калькулятор'!$G$14="есть",G819+IF(I819=" ",0,I819)-J820-K820+L820+M820-N820,G819+IF(I819=" ",0,I819)-J820-K820+M820-N820),IF('депозитный калькулятор'!$G$14="есть",G819-J820-K820+L820+M820-N820,G819-J820-K820+M820-N820)))</f>
        <v xml:space="preserve"> </v>
      </c>
      <c r="H820" s="133" t="str">
        <f>IF(F820&gt;'депозитный калькулятор'!$D$8," ",IF(AND(OR('депозитный калькулятор'!$G$7="30/365",'депозитный калькулятор'!$G$7="30/360"),AND(MONTH(F820)=2,EOMONTH(F820,0)=F820)),IF(DAY(F820)=28,3*G820*'депозитный калькулятор'!$G$8,2*G820*'депозитный калькулятор'!$G$8),IF(AND(OR('депозитный калькулятор'!$G$7="30/365",'депозитный калькулятор'!$G$7="30/360"),DAY(F820)=31)," ",IF(AND('депозитный калькулятор'!$G$7="факт/факт",MOD(YEAR(F820),4)=0),G820*'депозитный калькулятор'!$D$11/366,G820*'депозитный калькулятор'!$G$8))))</f>
        <v xml:space="preserve"> </v>
      </c>
      <c r="I820" s="134" t="str">
        <f ca="1">IF(F820=" "," ",IF('депозитный калькулятор'!$G$10="ежедневное",H820,IF(AND('депозитный калькулятор'!$G$10="еженедельное",WEEKDAY(F820,2)=7),SUM(OFFSET(H820,-6,0):H820),IF(AND('депозитный калькулятор'!$G$10="еженедельное",F820='депозитный калькулятор'!$D$8),SUM($H$23:H820)-SUM($I$23:I819),IF(AND('депозитный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недели",WEEKDAY(F820,2)=7),MIN(OFFSET(H820,-6,0):H820)*(COUNTIF(OFFSET(H820,-6,0):H820,"&gt;0")+SUMIF(OFFSET(A820,-WEEKDAY(F820,2),0):A820,"=2",OFFSET(A820,-WEEKDAY(F820,2),0):A820)),IF(AND('депозитный калькулятор'!$G$10="еженедельное, на минимальную сумму зафиксированную в течение недели",F820='депозитный калькулятор'!$D$8,WEEKDAY(F820,2)&lt;&gt;7),MIN(OFFSET(H820,-WEEKDAY(F820,2),0):H820)*(COUNTIF(OFFSET(H820,-WEEKDAY(F820,2)+1,0):H820,"&gt;0")+SUM(OFFSET(A820,-WEEKDAY(F820,2),0):A820)),IF(AND('депозитный калькулятор'!$G$10="ежемесячное (в конце месяца)",F820='депозитный калькулятор'!$D$8,EOMONTH(F820,0)&lt;&gt;F820),IF('депозитный калькулятор'!$F$1=1,$H$24,SUM($H$23:H820)-SUM($I$23:I819)),IF(AND('депозитный калькулятор'!$G$10="ежемесячное (в конце месяца)",EOMONTH(F820,0)=F820),SUM($H$23:H820)-SUM($I$23:I819),IF(AND('депозитный калькулятор'!$G$10="ежемесячное (по дням открытия вклада)",F820='депозитный калькулятор'!$D$8,DAY('депозитный калькулятор'!$D$7)&lt;&gt;DAY(F820)),IF('депозитный калькулятор'!$F$1=1,$H$24,SUM($H$23:H820)-SUM($I$23:I819)),IF(AND('депозитный калькулятор'!$G$10="ежемесячное (по дням открытия вклада)",DAY('депозитный калькулятор'!$D$7)=DAY(F820)),SUM($H$23:H820)-SUM($I$23:I819),IF(AND('депозитный калькулятор'!$G$10="ежемесячное, на минимальную сумму зафиксированную в течение месяца",F820='депозитный калькулятор'!$D$8,EOMONTH(F820,0)&lt;&gt;F820),IF('депозитный калькулятор'!$F$1=1,$H$24,IF(AND(OR('депозитный калькулятор'!$G$7="30/365",'депозитный калькулятор'!$G$7="30/360"),DAY(F820)=31),0,MIN(OFFSET(H820,-E820+1,0):H820)*(E820+SUMIF(OFFSET(A820,-E820+1,0):A820,"=2",OFFSET(A820,-E820+1,0):A820)))),IF(AND('депозитный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калькулятор'!$G$7="30/360"),DAY(EOMONTH(F820,0))=31),EOMONTH(F820,0)-1=F820,EOMONTH(F820,0)=F820)),IF(IF(AND(OR('депозитный калькулятор'!$G$7="30/365",'депозитный калькулятор'!$G$7="30/360"),DAY(EOMONTH($F$23,0))=31),F820=EOMONTH($F$23,0)-1,F820=EOMONTH($F$23,0)),MIN(OFFSET(H820,-(DAY(F820)-DAY($F$23)),0):H820)*E820,MIN(OFFSET(H820,-(DAY(F820)-1),0):H820)*IF(AND(OR('депозитный калькулятор'!$G$7="30/365",'депозитный калькулятор'!$G$7="30/360"),DAY(F820)&lt;30),30,DAY(F820))),IF(AND('депозитный калькулятор'!$G$10="ежемесячное, на средний остаток в течение месяца, при условии что остаток больше чем ограничение",F820='депозитный калькулятор'!$D$8,EOMONTH(F820,0)&lt;&gt;F820),IF('депозитный калькулятор'!$F$1=1,$H$24,SUM(OFFSET(Q820,-E820+1,0):Q820)),IF(AND('депозитный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калькулятор'!$G$7="30/360"),DAY(EOMONTH(F820,0))=31),EOMONTH(F820,0)-1=F820,EOMONTH(F820,0)=F820)),IF(IF(AND(OR('депозитный калькулятор'!$G$7="30/365",'депозитный калькулятор'!$G$7="30/360"),DAY(EOMONTH($F$24,0))=31),F820=EOMONTH($F$24,0)-1,F820=EOMONTH($F$24,0)),SUM(OFFSET(Q820,-E820+1,0):Q820),SUM(OFFSET(Q820,-E820+1,0):Q820)),IF('депозитный калькулятор'!$G$10="ежеквартальное",IF(F820&gt;'депозитный калькулятор'!$D$8," ",IF(AND(EOMONTH(F820,0)=F820,OR(MONTH(F820)=3,MONTH(F820)=6,MONTH(F820)=9,MONTH(F820)=12)),IF(EDATE(F820,-3)&lt;'депозитный калькулятор'!$D$7,SUM($H$23:H820),IF(MOD(YEAR(F820),4)=0,IF(AND(EOMONTH(F820,0)=F820,OR(MONTH(F820)=3,MONTH(F820)=6)),SUM(OFFSET(H820,-90,0):H820),IF(AND(EOMONTH(F820,0)=F820,OR(MONTH(F820)=9,MONTH(F820)=12)),SUM(OFFSET(H820,-91,0):H820))),IF(AND(EOMONTH(F820,0)=F820,MONTH(F820)=3),SUM(OFFSET(H820,-89,0):H820),IF(AND(EOMONTH(F820,0)=F820,MONTH(F820)=6),SUM(OFFSET(H820,-90,0):H820),IF(AND(EOMONTH(F820,0)=F820,OR(MONTH(F820)=9,MONTH(F820)=12)),SUM(OFFSET(H820,-91,0):H820)))))),IF(F820='депозитный калькулятор'!$D$8,SUM($H$23:H820)-SUM($I$23:I819),0))),IF('депозитный калькулятор'!$G$10="ежегодное",IF(F820&gt;'депозитный калькулятор'!$D$8," ",IF(F820='депозитный калькулятор'!$D$8,SUM($H$23:H820)-SUM($I$23:I819),IF(AND(EOMONTH(F820,0)=F820,MONTH(F820)=12),IF(MOD(YEAR(F819),4)=0,IF(F820-'депозитный калькулятор'!$D$7&lt;366,SUM($H$23:H820),SUM(OFFSET(H820,-365,0):H820)),IF(F820-'депозитный калькулятор'!$D$7&lt;365,SUM($H$23:H820),SUM(OFFSET(H820,-364,0):H820))),0))),IF(AND('депозитный калькулятор'!$G$10="в конце срока",'депозитный калькулятор'!$D$8=F820),SUM($H$23:H820),0))))))))))))))))))</f>
        <v xml:space="preserve"> </v>
      </c>
      <c r="J820" s="59" t="str">
        <f>IF(F820&gt;'депозитный калькулятор'!$D$8," ",IF('депозитный калькулятор'!$G$16="нет",0,IF(AND('депозитный калькулятор'!$G$17="разовая (в конце срока)",F820='депозитный калькулятор'!$D$8),'депозитный калькулятор'!$G$18,IF(AND('депозитный калькулятор'!$G$17="ежемесячная",EOMONTH(F819,0)=F819),'депозитный калькулятор'!$G$18,IF(AND('депозитный калькулятор'!$G$17="ежегодная",DAY(F819)=31,MONTH(F819)=12),'депозитный калькулятор'!$G$18,IF(AND('депозитный калькулятор'!$G$17="ежемесячная в зависимости от остатка",EOMONTH(F819,0)=F819,P819&gt;0),'депозитный калькулятор'!$G$18,IF(AND('депозитный калькулятор'!$G$17="ежегодная в зависимости от остатка",DAY(F819)=31,MONTH(F819)=12,P819&gt;0),'депозитный калькулятор'!$G$18,0)))))))</f>
        <v xml:space="preserve"> </v>
      </c>
      <c r="K820" s="135" t="str">
        <f>IF($F820=" "," ",IFERROR(VLOOKUP($F820,'депозитный калькулятор'!$B$26:$F$70,2,0),0))</f>
        <v xml:space="preserve"> </v>
      </c>
      <c r="L820" s="135" t="str">
        <f>IF($F820=" "," ",IFERROR(VLOOKUP($F820,'депозитный калькулятор'!$B$26:$F$70,3,0),0))</f>
        <v xml:space="preserve"> </v>
      </c>
      <c r="M820" s="135" t="str">
        <f>IF($F820=" "," ",IFERROR(VLOOKUP($F820,'депозитный калькулятор'!$B$26:$F$70,4,0),0))</f>
        <v xml:space="preserve"> </v>
      </c>
      <c r="N820" s="135" t="str">
        <f>IF($F820=" "," ",IFERROR(VLOOKUP($F820,'депозитный калькулятор'!$B$26:$F$70,5,0),0))</f>
        <v xml:space="preserve"> </v>
      </c>
      <c r="O820" s="146" t="str">
        <f>IF(F820&gt;'депозитный калькулятор'!$D$8," ",IF(F820='депозитный калькулятор'!$D$8,IF(AND($F$24='депозитный калькулятор'!$D$8,'депозитный калькулятор'!$G$13="нет"),-G820-IF(I820=" ",0,I820)-IF(AND(OR('депозитный калькулятор'!$G$7="30/365",'депозитный калькулятор'!$G$7="30/360"),'депозитный калькулятор'!$G$10="в начале срока"),I819,0)-L820+M820-N820,-G820-IF(I820=" ",0,I820)-L820+M820-N820),IF('депозитный калькулятор'!$G$13="есть",M820-N820+IF('депозитный калькулятор'!$G$14="есть",0,-L820),-IF(I820=" ",0,I820)-IF(AND(OR('депозитный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срока"),I819,0)+M820-N820+IF('депозитный калькулятор'!$G$14="есть",0,-L820))))</f>
        <v xml:space="preserve"> </v>
      </c>
      <c r="P820" s="147" t="str">
        <f>IF(F820&gt;'депозитный калькулятор'!$D$8," ",IF(EOMONTH(F819,0)=F819,0,IF(G820&gt;='депозитный калькулятор'!$G$19,P819,P819+1)))</f>
        <v xml:space="preserve"> </v>
      </c>
      <c r="Q820" s="138" t="str">
        <f>IF(F820=" "," ",IF(AND(OR('депозитный калькулятор'!$G$7="30/365",'депозитный калькулятор'!$G$7="30/360"),AND(MONTH(F820)=2,EOMONTH(F820,0)=F820)),IF(DAY(F820)=28,3,2),1)*IF(G820&gt;='депозитный калькулятор'!$G$11,IF(AND('депозитный калькулятор'!$G$7="факт/факт",MOD(YEAR(F820),4)=0),G820*'депозитный калькулятор'!$D$11/366,G820*'депозитный калькулятор'!$G$8),0))</f>
        <v xml:space="preserve"> </v>
      </c>
      <c r="R820" s="158"/>
      <c r="S820" s="62" t="str">
        <f t="shared" ca="1" si="62"/>
        <v xml:space="preserve"> </v>
      </c>
      <c r="T820" s="149" t="str">
        <f ca="1">IF(S820=" "," ",IF('депозитный калькулятор'!$G$7="30/360",DAYS360(U819,IF(DAY(U820)=31,U820-1,U820))+IF(AND(MONTH(U820)=2,U820=EOMONTH(U820,0)),30-DAY(EOMONTH(U820,0)))+T819,VLOOKUP(S820,$C$22:$F$1023,2,0)))</f>
        <v xml:space="preserve"> </v>
      </c>
      <c r="U820" s="64" t="str">
        <f t="shared" ca="1" si="60"/>
        <v xml:space="preserve"> </v>
      </c>
      <c r="V820" s="150" t="str">
        <f t="shared" ca="1" si="63"/>
        <v xml:space="preserve"> </v>
      </c>
      <c r="W820" s="62" t="str">
        <f t="shared" ca="1" si="64"/>
        <v xml:space="preserve"> </v>
      </c>
      <c r="X820" s="141" t="str">
        <f ca="1">IF(S820=" "," ",IFERROR(VLOOKUP(U820,$F$23:$N$1023,7)+VLOOKUP(U820,$F$23:$N$1023,9)+IF(AND('депозитный калькулятор'!$G$13="нет",U820&lt;&gt;'депозитный калькулятор'!$D$8),VLOOKUP(U820,$F$23:$N$1023,4),0),0)+IF(U820='депозитный калькулятор'!$D$8,VLOOKUP(U820,$F$23:$N$1023,2)+VLOOKUP(U820,$F$23:$N$1023,4),0))</f>
        <v xml:space="preserve"> </v>
      </c>
      <c r="Y820" s="142" t="str">
        <f ca="1">IF(S820=" "," ",W820/(1+'депозитный калькулятор'!$K$8)^(T820/IF('депозитный калькулятор'!$G$7="30/360",360,365)))</f>
        <v xml:space="preserve"> </v>
      </c>
      <c r="Z820" s="142" t="str">
        <f ca="1">IF(S820=" "," ",X820/(1+'депозитный калькулятор'!$K$8)^(T820/IF('депозитный калькулятор'!$G$7="30/360",360,365)))</f>
        <v xml:space="preserve"> </v>
      </c>
      <c r="AA820" s="151"/>
      <c r="AB820" s="151"/>
      <c r="AC820" s="155"/>
      <c r="AD820" s="155"/>
    </row>
    <row r="821" spans="1:30" s="2" customFormat="1" ht="15.5" x14ac:dyDescent="0.35">
      <c r="A821" s="41" t="str">
        <f>IF(F821=" "," ",IF(OR('депозитный калькулятор'!$G$7="30/365",'депозитный калькулятор'!$G$7="30/360"),IF(AND(MONTH(F821)=2,DAY(F821)=DAY(EOMONTH(F821,0))),30-DAY(EOMONTH(F821,0)),IF(DAY(F821)=31,1," "))," "))</f>
        <v xml:space="preserve"> </v>
      </c>
      <c r="B821" s="130" t="str">
        <f t="shared" si="61"/>
        <v xml:space="preserve"> </v>
      </c>
      <c r="C821" s="130" t="str">
        <f>IF(OR(B821=0,B821=" ")," ",SUM($B$23:B821))</f>
        <v xml:space="preserve"> </v>
      </c>
      <c r="D821" s="62" t="str">
        <f>IF(D820=" "," ",IF(OR(F820='депозитный калькулятор'!$D$8,F820=" ")," ",D820+1))</f>
        <v xml:space="preserve"> </v>
      </c>
      <c r="E821" s="130" t="str">
        <f>IF(OR(F820='депозитный калькулятор'!$D$8,F820=" ")," ",IF(EOMONTH(F820,0)=F820,1,E820+1))</f>
        <v xml:space="preserve"> </v>
      </c>
      <c r="F821" s="64" t="str">
        <f>IF(F820=" "," ",IF(F820='депозитный калькулятор'!$D$8," ",F820+1))</f>
        <v xml:space="preserve"> </v>
      </c>
      <c r="G821" s="145" t="str">
        <f xml:space="preserve"> IF(F821&gt;'депозитный калькулятор'!$D$8," ",IF('депозитный калькулятор'!$G$13="есть",IF('депозитный калькулятор'!$G$14="есть",G820+IF(I820=" ",0,I820)-J821-K821+L821+M821-N821,G820+IF(I820=" ",0,I820)-J821-K821+M821-N821),IF('депозитный калькулятор'!$G$14="есть",G820-J821-K821+L821+M821-N821,G820-J821-K821+M821-N821)))</f>
        <v xml:space="preserve"> </v>
      </c>
      <c r="H821" s="133" t="str">
        <f>IF(F821&gt;'депозитный калькулятор'!$D$8," ",IF(AND(OR('депозитный калькулятор'!$G$7="30/365",'депозитный калькулятор'!$G$7="30/360"),AND(MONTH(F821)=2,EOMONTH(F821,0)=F821)),IF(DAY(F821)=28,3*G821*'депозитный калькулятор'!$G$8,2*G821*'депозитный калькулятор'!$G$8),IF(AND(OR('депозитный калькулятор'!$G$7="30/365",'депозитный калькулятор'!$G$7="30/360"),DAY(F821)=31)," ",IF(AND('депозитный калькулятор'!$G$7="факт/факт",MOD(YEAR(F821),4)=0),G821*'депозитный калькулятор'!$D$11/366,G821*'депозитный калькулятор'!$G$8))))</f>
        <v xml:space="preserve"> </v>
      </c>
      <c r="I821" s="134" t="str">
        <f ca="1">IF(F821=" "," ",IF('депозитный калькулятор'!$G$10="ежедневное",H821,IF(AND('депозитный калькулятор'!$G$10="еженедельное",WEEKDAY(F821,2)=7),SUM(OFFSET(H821,-6,0):H821),IF(AND('депозитный калькулятор'!$G$10="еженедельное",F821='депозитный калькулятор'!$D$8),SUM($H$23:H821)-SUM($I$23:I820),IF(AND('депозитный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недели",WEEKDAY(F821,2)=7),MIN(OFFSET(H821,-6,0):H821)*(COUNTIF(OFFSET(H821,-6,0):H821,"&gt;0")+SUMIF(OFFSET(A821,-WEEKDAY(F821,2),0):A821,"=2",OFFSET(A821,-WEEKDAY(F821,2),0):A821)),IF(AND('депозитный калькулятор'!$G$10="еженедельное, на минимальную сумму зафиксированную в течение недели",F821='депозитный калькулятор'!$D$8,WEEKDAY(F821,2)&lt;&gt;7),MIN(OFFSET(H821,-WEEKDAY(F821,2),0):H821)*(COUNTIF(OFFSET(H821,-WEEKDAY(F821,2)+1,0):H821,"&gt;0")+SUM(OFFSET(A821,-WEEKDAY(F821,2),0):A821)),IF(AND('депозитный калькулятор'!$G$10="ежемесячное (в конце месяца)",F821='депозитный калькулятор'!$D$8,EOMONTH(F821,0)&lt;&gt;F821),IF('депозитный калькулятор'!$F$1=1,$H$24,SUM($H$23:H821)-SUM($I$23:I820)),IF(AND('депозитный калькулятор'!$G$10="ежемесячное (в конце месяца)",EOMONTH(F821,0)=F821),SUM($H$23:H821)-SUM($I$23:I820),IF(AND('депозитный калькулятор'!$G$10="ежемесячное (по дням открытия вклада)",F821='депозитный калькулятор'!$D$8,DAY('депозитный калькулятор'!$D$7)&lt;&gt;DAY(F821)),IF('депозитный калькулятор'!$F$1=1,$H$24,SUM($H$23:H821)-SUM($I$23:I820)),IF(AND('депозитный калькулятор'!$G$10="ежемесячное (по дням открытия вклада)",DAY('депозитный калькулятор'!$D$7)=DAY(F821)),SUM($H$23:H821)-SUM($I$23:I820),IF(AND('депозитный калькулятор'!$G$10="ежемесячное, на минимальную сумму зафиксированную в течение месяца",F821='депозитный калькулятор'!$D$8,EOMONTH(F821,0)&lt;&gt;F821),IF('депозитный калькулятор'!$F$1=1,$H$24,IF(AND(OR('депозитный калькулятор'!$G$7="30/365",'депозитный калькулятор'!$G$7="30/360"),DAY(F821)=31),0,MIN(OFFSET(H821,-E821+1,0):H821)*(E821+SUMIF(OFFSET(A821,-E821+1,0):A821,"=2",OFFSET(A821,-E821+1,0):A821)))),IF(AND('депозитный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калькулятор'!$G$7="30/360"),DAY(EOMONTH(F821,0))=31),EOMONTH(F821,0)-1=F821,EOMONTH(F821,0)=F821)),IF(IF(AND(OR('депозитный калькулятор'!$G$7="30/365",'депозитный калькулятор'!$G$7="30/360"),DAY(EOMONTH($F$23,0))=31),F821=EOMONTH($F$23,0)-1,F821=EOMONTH($F$23,0)),MIN(OFFSET(H821,-(DAY(F821)-DAY($F$23)),0):H821)*E821,MIN(OFFSET(H821,-(DAY(F821)-1),0):H821)*IF(AND(OR('депозитный калькулятор'!$G$7="30/365",'депозитный калькулятор'!$G$7="30/360"),DAY(F821)&lt;30),30,DAY(F821))),IF(AND('депозитный калькулятор'!$G$10="ежемесячное, на средний остаток в течение месяца, при условии что остаток больше чем ограничение",F821='депозитный калькулятор'!$D$8,EOMONTH(F821,0)&lt;&gt;F821),IF('депозитный калькулятор'!$F$1=1,$H$24,SUM(OFFSET(Q821,-E821+1,0):Q821)),IF(AND('депозитный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калькулятор'!$G$7="30/360"),DAY(EOMONTH(F821,0))=31),EOMONTH(F821,0)-1=F821,EOMONTH(F821,0)=F821)),IF(IF(AND(OR('депозитный калькулятор'!$G$7="30/365",'депозитный калькулятор'!$G$7="30/360"),DAY(EOMONTH($F$24,0))=31),F821=EOMONTH($F$24,0)-1,F821=EOMONTH($F$24,0)),SUM(OFFSET(Q821,-E821+1,0):Q821),SUM(OFFSET(Q821,-E821+1,0):Q821)),IF('депозитный калькулятор'!$G$10="ежеквартальное",IF(F821&gt;'депозитный калькулятор'!$D$8," ",IF(AND(EOMONTH(F821,0)=F821,OR(MONTH(F821)=3,MONTH(F821)=6,MONTH(F821)=9,MONTH(F821)=12)),IF(EDATE(F821,-3)&lt;'депозитный калькулятор'!$D$7,SUM($H$23:H821),IF(MOD(YEAR(F821),4)=0,IF(AND(EOMONTH(F821,0)=F821,OR(MONTH(F821)=3,MONTH(F821)=6)),SUM(OFFSET(H821,-90,0):H821),IF(AND(EOMONTH(F821,0)=F821,OR(MONTH(F821)=9,MONTH(F821)=12)),SUM(OFFSET(H821,-91,0):H821))),IF(AND(EOMONTH(F821,0)=F821,MONTH(F821)=3),SUM(OFFSET(H821,-89,0):H821),IF(AND(EOMONTH(F821,0)=F821,MONTH(F821)=6),SUM(OFFSET(H821,-90,0):H821),IF(AND(EOMONTH(F821,0)=F821,OR(MONTH(F821)=9,MONTH(F821)=12)),SUM(OFFSET(H821,-91,0):H821)))))),IF(F821='депозитный калькулятор'!$D$8,SUM($H$23:H821)-SUM($I$23:I820),0))),IF('депозитный калькулятор'!$G$10="ежегодное",IF(F821&gt;'депозитный калькулятор'!$D$8," ",IF(F821='депозитный калькулятор'!$D$8,SUM($H$23:H821)-SUM($I$23:I820),IF(AND(EOMONTH(F821,0)=F821,MONTH(F821)=12),IF(MOD(YEAR(F820),4)=0,IF(F821-'депозитный калькулятор'!$D$7&lt;366,SUM($H$23:H821),SUM(OFFSET(H821,-365,0):H821)),IF(F821-'депозитный калькулятор'!$D$7&lt;365,SUM($H$23:H821),SUM(OFFSET(H821,-364,0):H821))),0))),IF(AND('депозитный калькулятор'!$G$10="в конце срока",'депозитный калькулятор'!$D$8=F821),SUM($H$23:H821),0))))))))))))))))))</f>
        <v xml:space="preserve"> </v>
      </c>
      <c r="J821" s="59" t="str">
        <f>IF(F821&gt;'депозитный калькулятор'!$D$8," ",IF('депозитный калькулятор'!$G$16="нет",0,IF(AND('депозитный калькулятор'!$G$17="разовая (в конце срока)",F821='депозитный калькулятор'!$D$8),'депозитный калькулятор'!$G$18,IF(AND('депозитный калькулятор'!$G$17="ежемесячная",EOMONTH(F820,0)=F820),'депозитный калькулятор'!$G$18,IF(AND('депозитный калькулятор'!$G$17="ежегодная",DAY(F820)=31,MONTH(F820)=12),'депозитный калькулятор'!$G$18,IF(AND('депозитный калькулятор'!$G$17="ежемесячная в зависимости от остатка",EOMONTH(F820,0)=F820,P820&gt;0),'депозитный калькулятор'!$G$18,IF(AND('депозитный калькулятор'!$G$17="ежегодная в зависимости от остатка",DAY(F820)=31,MONTH(F820)=12,P820&gt;0),'депозитный калькулятор'!$G$18,0)))))))</f>
        <v xml:space="preserve"> </v>
      </c>
      <c r="K821" s="135" t="str">
        <f>IF($F821=" "," ",IFERROR(VLOOKUP($F821,'депозитный калькулятор'!$B$26:$F$70,2,0),0))</f>
        <v xml:space="preserve"> </v>
      </c>
      <c r="L821" s="135" t="str">
        <f>IF($F821=" "," ",IFERROR(VLOOKUP($F821,'депозитный калькулятор'!$B$26:$F$70,3,0),0))</f>
        <v xml:space="preserve"> </v>
      </c>
      <c r="M821" s="135" t="str">
        <f>IF($F821=" "," ",IFERROR(VLOOKUP($F821,'депозитный калькулятор'!$B$26:$F$70,4,0),0))</f>
        <v xml:space="preserve"> </v>
      </c>
      <c r="N821" s="135" t="str">
        <f>IF($F821=" "," ",IFERROR(VLOOKUP($F821,'депозитный калькулятор'!$B$26:$F$70,5,0),0))</f>
        <v xml:space="preserve"> </v>
      </c>
      <c r="O821" s="146" t="str">
        <f>IF(F821&gt;'депозитный калькулятор'!$D$8," ",IF(F821='депозитный калькулятор'!$D$8,IF(AND($F$24='депозитный калькулятор'!$D$8,'депозитный калькулятор'!$G$13="нет"),-G821-IF(I821=" ",0,I821)-IF(AND(OR('депозитный калькулятор'!$G$7="30/365",'депозитный калькулятор'!$G$7="30/360"),'депозитный калькулятор'!$G$10="в начале срока"),I820,0)-L821+M821-N821,-G821-IF(I821=" ",0,I821)-L821+M821-N821),IF('депозитный калькулятор'!$G$13="есть",M821-N821+IF('депозитный калькулятор'!$G$14="есть",0,-L821),-IF(I821=" ",0,I821)-IF(AND(OR('депозитный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срока"),I820,0)+M821-N821+IF('депозитный калькулятор'!$G$14="есть",0,-L821))))</f>
        <v xml:space="preserve"> </v>
      </c>
      <c r="P821" s="147" t="str">
        <f>IF(F821&gt;'депозитный калькулятор'!$D$8," ",IF(EOMONTH(F820,0)=F820,0,IF(G821&gt;='депозитный калькулятор'!$G$19,P820,P820+1)))</f>
        <v xml:space="preserve"> </v>
      </c>
      <c r="Q821" s="138" t="str">
        <f>IF(F821=" "," ",IF(AND(OR('депозитный калькулятор'!$G$7="30/365",'депозитный калькулятор'!$G$7="30/360"),AND(MONTH(F821)=2,EOMONTH(F821,0)=F821)),IF(DAY(F821)=28,3,2),1)*IF(G821&gt;='депозитный калькулятор'!$G$11,IF(AND('депозитный калькулятор'!$G$7="факт/факт",MOD(YEAR(F821),4)=0),G821*'депозитный калькулятор'!$D$11/366,G821*'депозитный калькулятор'!$G$8),0))</f>
        <v xml:space="preserve"> </v>
      </c>
      <c r="R821" s="158"/>
      <c r="S821" s="62" t="str">
        <f t="shared" ca="1" si="62"/>
        <v xml:space="preserve"> </v>
      </c>
      <c r="T821" s="149" t="str">
        <f ca="1">IF(S821=" "," ",IF('депозитный калькулятор'!$G$7="30/360",DAYS360(U820,IF(DAY(U821)=31,U821-1,U821))+IF(AND(MONTH(U821)=2,U821=EOMONTH(U821,0)),30-DAY(EOMONTH(U821,0)))+T820,VLOOKUP(S821,$C$22:$F$1023,2,0)))</f>
        <v xml:space="preserve"> </v>
      </c>
      <c r="U821" s="64" t="str">
        <f t="shared" ca="1" si="60"/>
        <v xml:space="preserve"> </v>
      </c>
      <c r="V821" s="150" t="str">
        <f t="shared" ca="1" si="63"/>
        <v xml:space="preserve"> </v>
      </c>
      <c r="W821" s="62" t="str">
        <f t="shared" ca="1" si="64"/>
        <v xml:space="preserve"> </v>
      </c>
      <c r="X821" s="141" t="str">
        <f ca="1">IF(S821=" "," ",IFERROR(VLOOKUP(U821,$F$23:$N$1023,7)+VLOOKUP(U821,$F$23:$N$1023,9)+IF(AND('депозитный калькулятор'!$G$13="нет",U821&lt;&gt;'депозитный калькулятор'!$D$8),VLOOKUP(U821,$F$23:$N$1023,4),0),0)+IF(U821='депозитный калькулятор'!$D$8,VLOOKUP(U821,$F$23:$N$1023,2)+VLOOKUP(U821,$F$23:$N$1023,4),0))</f>
        <v xml:space="preserve"> </v>
      </c>
      <c r="Y821" s="142" t="str">
        <f ca="1">IF(S821=" "," ",W821/(1+'депозитный калькулятор'!$K$8)^(T821/IF('депозитный калькулятор'!$G$7="30/360",360,365)))</f>
        <v xml:space="preserve"> </v>
      </c>
      <c r="Z821" s="142" t="str">
        <f ca="1">IF(S821=" "," ",X821/(1+'депозитный калькулятор'!$K$8)^(T821/IF('депозитный калькулятор'!$G$7="30/360",360,365)))</f>
        <v xml:space="preserve"> </v>
      </c>
      <c r="AA821" s="151"/>
      <c r="AB821" s="151"/>
      <c r="AC821" s="155"/>
      <c r="AD821" s="155"/>
    </row>
    <row r="822" spans="1:30" s="2" customFormat="1" ht="15.5" x14ac:dyDescent="0.35">
      <c r="A822" s="41" t="str">
        <f>IF(F822=" "," ",IF(OR('депозитный калькулятор'!$G$7="30/365",'депозитный калькулятор'!$G$7="30/360"),IF(AND(MONTH(F822)=2,DAY(F822)=DAY(EOMONTH(F822,0))),30-DAY(EOMONTH(F822,0)),IF(DAY(F822)=31,1," "))," "))</f>
        <v xml:space="preserve"> </v>
      </c>
      <c r="B822" s="130" t="str">
        <f t="shared" si="61"/>
        <v xml:space="preserve"> </v>
      </c>
      <c r="C822" s="130" t="str">
        <f>IF(OR(B822=0,B822=" ")," ",SUM($B$23:B822))</f>
        <v xml:space="preserve"> </v>
      </c>
      <c r="D822" s="62" t="str">
        <f>IF(D821=" "," ",IF(OR(F821='депозитный калькулятор'!$D$8,F821=" ")," ",D821+1))</f>
        <v xml:space="preserve"> </v>
      </c>
      <c r="E822" s="130" t="str">
        <f>IF(OR(F821='депозитный калькулятор'!$D$8,F821=" ")," ",IF(EOMONTH(F821,0)=F821,1,E821+1))</f>
        <v xml:space="preserve"> </v>
      </c>
      <c r="F822" s="64" t="str">
        <f>IF(F821=" "," ",IF(F821='депозитный калькулятор'!$D$8," ",F821+1))</f>
        <v xml:space="preserve"> </v>
      </c>
      <c r="G822" s="145" t="str">
        <f xml:space="preserve"> IF(F822&gt;'депозитный калькулятор'!$D$8," ",IF('депозитный калькулятор'!$G$13="есть",IF('депозитный калькулятор'!$G$14="есть",G821+IF(I821=" ",0,I821)-J822-K822+L822+M822-N822,G821+IF(I821=" ",0,I821)-J822-K822+M822-N822),IF('депозитный калькулятор'!$G$14="есть",G821-J822-K822+L822+M822-N822,G821-J822-K822+M822-N822)))</f>
        <v xml:space="preserve"> </v>
      </c>
      <c r="H822" s="133" t="str">
        <f>IF(F822&gt;'депозитный калькулятор'!$D$8," ",IF(AND(OR('депозитный калькулятор'!$G$7="30/365",'депозитный калькулятор'!$G$7="30/360"),AND(MONTH(F822)=2,EOMONTH(F822,0)=F822)),IF(DAY(F822)=28,3*G822*'депозитный калькулятор'!$G$8,2*G822*'депозитный калькулятор'!$G$8),IF(AND(OR('депозитный калькулятор'!$G$7="30/365",'депозитный калькулятор'!$G$7="30/360"),DAY(F822)=31)," ",IF(AND('депозитный калькулятор'!$G$7="факт/факт",MOD(YEAR(F822),4)=0),G822*'депозитный калькулятор'!$D$11/366,G822*'депозитный калькулятор'!$G$8))))</f>
        <v xml:space="preserve"> </v>
      </c>
      <c r="I822" s="134" t="str">
        <f ca="1">IF(F822=" "," ",IF('депозитный калькулятор'!$G$10="ежедневное",H822,IF(AND('депозитный калькулятор'!$G$10="еженедельное",WEEKDAY(F822,2)=7),SUM(OFFSET(H822,-6,0):H822),IF(AND('депозитный калькулятор'!$G$10="еженедельное",F822='депозитный калькулятор'!$D$8),SUM($H$23:H822)-SUM($I$23:I821),IF(AND('депозитный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недели",WEEKDAY(F822,2)=7),MIN(OFFSET(H822,-6,0):H822)*(COUNTIF(OFFSET(H822,-6,0):H822,"&gt;0")+SUMIF(OFFSET(A822,-WEEKDAY(F822,2),0):A822,"=2",OFFSET(A822,-WEEKDAY(F822,2),0):A822)),IF(AND('депозитный калькулятор'!$G$10="еженедельное, на минимальную сумму зафиксированную в течение недели",F822='депозитный калькулятор'!$D$8,WEEKDAY(F822,2)&lt;&gt;7),MIN(OFFSET(H822,-WEEKDAY(F822,2),0):H822)*(COUNTIF(OFFSET(H822,-WEEKDAY(F822,2)+1,0):H822,"&gt;0")+SUM(OFFSET(A822,-WEEKDAY(F822,2),0):A822)),IF(AND('депозитный калькулятор'!$G$10="ежемесячное (в конце месяца)",F822='депозитный калькулятор'!$D$8,EOMONTH(F822,0)&lt;&gt;F822),IF('депозитный калькулятор'!$F$1=1,$H$24,SUM($H$23:H822)-SUM($I$23:I821)),IF(AND('депозитный калькулятор'!$G$10="ежемесячное (в конце месяца)",EOMONTH(F822,0)=F822),SUM($H$23:H822)-SUM($I$23:I821),IF(AND('депозитный калькулятор'!$G$10="ежемесячное (по дням открытия вклада)",F822='депозитный калькулятор'!$D$8,DAY('депозитный калькулятор'!$D$7)&lt;&gt;DAY(F822)),IF('депозитный калькулятор'!$F$1=1,$H$24,SUM($H$23:H822)-SUM($I$23:I821)),IF(AND('депозитный калькулятор'!$G$10="ежемесячное (по дням открытия вклада)",DAY('депозитный калькулятор'!$D$7)=DAY(F822)),SUM($H$23:H822)-SUM($I$23:I821),IF(AND('депозитный калькулятор'!$G$10="ежемесячное, на минимальную сумму зафиксированную в течение месяца",F822='депозитный калькулятор'!$D$8,EOMONTH(F822,0)&lt;&gt;F822),IF('депозитный калькулятор'!$F$1=1,$H$24,IF(AND(OR('депозитный калькулятор'!$G$7="30/365",'депозитный калькулятор'!$G$7="30/360"),DAY(F822)=31),0,MIN(OFFSET(H822,-E822+1,0):H822)*(E822+SUMIF(OFFSET(A822,-E822+1,0):A822,"=2",OFFSET(A822,-E822+1,0):A822)))),IF(AND('депозитный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калькулятор'!$G$7="30/360"),DAY(EOMONTH(F822,0))=31),EOMONTH(F822,0)-1=F822,EOMONTH(F822,0)=F822)),IF(IF(AND(OR('депозитный калькулятор'!$G$7="30/365",'депозитный калькулятор'!$G$7="30/360"),DAY(EOMONTH($F$23,0))=31),F822=EOMONTH($F$23,0)-1,F822=EOMONTH($F$23,0)),MIN(OFFSET(H822,-(DAY(F822)-DAY($F$23)),0):H822)*E822,MIN(OFFSET(H822,-(DAY(F822)-1),0):H822)*IF(AND(OR('депозитный калькулятор'!$G$7="30/365",'депозитный калькулятор'!$G$7="30/360"),DAY(F822)&lt;30),30,DAY(F822))),IF(AND('депозитный калькулятор'!$G$10="ежемесячное, на средний остаток в течение месяца, при условии что остаток больше чем ограничение",F822='депозитный калькулятор'!$D$8,EOMONTH(F822,0)&lt;&gt;F822),IF('депозитный калькулятор'!$F$1=1,$H$24,SUM(OFFSET(Q822,-E822+1,0):Q822)),IF(AND('депозитный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калькулятор'!$G$7="30/360"),DAY(EOMONTH(F822,0))=31),EOMONTH(F822,0)-1=F822,EOMONTH(F822,0)=F822)),IF(IF(AND(OR('депозитный калькулятор'!$G$7="30/365",'депозитный калькулятор'!$G$7="30/360"),DAY(EOMONTH($F$24,0))=31),F822=EOMONTH($F$24,0)-1,F822=EOMONTH($F$24,0)),SUM(OFFSET(Q822,-E822+1,0):Q822),SUM(OFFSET(Q822,-E822+1,0):Q822)),IF('депозитный калькулятор'!$G$10="ежеквартальное",IF(F822&gt;'депозитный калькулятор'!$D$8," ",IF(AND(EOMONTH(F822,0)=F822,OR(MONTH(F822)=3,MONTH(F822)=6,MONTH(F822)=9,MONTH(F822)=12)),IF(EDATE(F822,-3)&lt;'депозитный калькулятор'!$D$7,SUM($H$23:H822),IF(MOD(YEAR(F822),4)=0,IF(AND(EOMONTH(F822,0)=F822,OR(MONTH(F822)=3,MONTH(F822)=6)),SUM(OFFSET(H822,-90,0):H822),IF(AND(EOMONTH(F822,0)=F822,OR(MONTH(F822)=9,MONTH(F822)=12)),SUM(OFFSET(H822,-91,0):H822))),IF(AND(EOMONTH(F822,0)=F822,MONTH(F822)=3),SUM(OFFSET(H822,-89,0):H822),IF(AND(EOMONTH(F822,0)=F822,MONTH(F822)=6),SUM(OFFSET(H822,-90,0):H822),IF(AND(EOMONTH(F822,0)=F822,OR(MONTH(F822)=9,MONTH(F822)=12)),SUM(OFFSET(H822,-91,0):H822)))))),IF(F822='депозитный калькулятор'!$D$8,SUM($H$23:H822)-SUM($I$23:I821),0))),IF('депозитный калькулятор'!$G$10="ежегодное",IF(F822&gt;'депозитный калькулятор'!$D$8," ",IF(F822='депозитный калькулятор'!$D$8,SUM($H$23:H822)-SUM($I$23:I821),IF(AND(EOMONTH(F822,0)=F822,MONTH(F822)=12),IF(MOD(YEAR(F821),4)=0,IF(F822-'депозитный калькулятор'!$D$7&lt;366,SUM($H$23:H822),SUM(OFFSET(H822,-365,0):H822)),IF(F822-'депозитный калькулятор'!$D$7&lt;365,SUM($H$23:H822),SUM(OFFSET(H822,-364,0):H822))),0))),IF(AND('депозитный калькулятор'!$G$10="в конце срока",'депозитный калькулятор'!$D$8=F822),SUM($H$23:H822),0))))))))))))))))))</f>
        <v xml:space="preserve"> </v>
      </c>
      <c r="J822" s="59" t="str">
        <f>IF(F822&gt;'депозитный калькулятор'!$D$8," ",IF('депозитный калькулятор'!$G$16="нет",0,IF(AND('депозитный калькулятор'!$G$17="разовая (в конце срока)",F822='депозитный калькулятор'!$D$8),'депозитный калькулятор'!$G$18,IF(AND('депозитный калькулятор'!$G$17="ежемесячная",EOMONTH(F821,0)=F821),'депозитный калькулятор'!$G$18,IF(AND('депозитный калькулятор'!$G$17="ежегодная",DAY(F821)=31,MONTH(F821)=12),'депозитный калькулятор'!$G$18,IF(AND('депозитный калькулятор'!$G$17="ежемесячная в зависимости от остатка",EOMONTH(F821,0)=F821,P821&gt;0),'депозитный калькулятор'!$G$18,IF(AND('депозитный калькулятор'!$G$17="ежегодная в зависимости от остатка",DAY(F821)=31,MONTH(F821)=12,P821&gt;0),'депозитный калькулятор'!$G$18,0)))))))</f>
        <v xml:space="preserve"> </v>
      </c>
      <c r="K822" s="135" t="str">
        <f>IF($F822=" "," ",IFERROR(VLOOKUP($F822,'депозитный калькулятор'!$B$26:$F$70,2,0),0))</f>
        <v xml:space="preserve"> </v>
      </c>
      <c r="L822" s="135" t="str">
        <f>IF($F822=" "," ",IFERROR(VLOOKUP($F822,'депозитный калькулятор'!$B$26:$F$70,3,0),0))</f>
        <v xml:space="preserve"> </v>
      </c>
      <c r="M822" s="135" t="str">
        <f>IF($F822=" "," ",IFERROR(VLOOKUP($F822,'депозитный калькулятор'!$B$26:$F$70,4,0),0))</f>
        <v xml:space="preserve"> </v>
      </c>
      <c r="N822" s="135" t="str">
        <f>IF($F822=" "," ",IFERROR(VLOOKUP($F822,'депозитный калькулятор'!$B$26:$F$70,5,0),0))</f>
        <v xml:space="preserve"> </v>
      </c>
      <c r="O822" s="146" t="str">
        <f>IF(F822&gt;'депозитный калькулятор'!$D$8," ",IF(F822='депозитный калькулятор'!$D$8,IF(AND($F$24='депозитный калькулятор'!$D$8,'депозитный калькулятор'!$G$13="нет"),-G822-IF(I822=" ",0,I822)-IF(AND(OR('депозитный калькулятор'!$G$7="30/365",'депозитный калькулятор'!$G$7="30/360"),'депозитный калькулятор'!$G$10="в начале срока"),I821,0)-L822+M822-N822,-G822-IF(I822=" ",0,I822)-L822+M822-N822),IF('депозитный калькулятор'!$G$13="есть",M822-N822+IF('депозитный калькулятор'!$G$14="есть",0,-L822),-IF(I822=" ",0,I822)-IF(AND(OR('депозитный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срока"),I821,0)+M822-N822+IF('депозитный калькулятор'!$G$14="есть",0,-L822))))</f>
        <v xml:space="preserve"> </v>
      </c>
      <c r="P822" s="147" t="str">
        <f>IF(F822&gt;'депозитный калькулятор'!$D$8," ",IF(EOMONTH(F821,0)=F821,0,IF(G822&gt;='депозитный калькулятор'!$G$19,P821,P821+1)))</f>
        <v xml:space="preserve"> </v>
      </c>
      <c r="Q822" s="138" t="str">
        <f>IF(F822=" "," ",IF(AND(OR('депозитный калькулятор'!$G$7="30/365",'депозитный калькулятор'!$G$7="30/360"),AND(MONTH(F822)=2,EOMONTH(F822,0)=F822)),IF(DAY(F822)=28,3,2),1)*IF(G822&gt;='депозитный калькулятор'!$G$11,IF(AND('депозитный калькулятор'!$G$7="факт/факт",MOD(YEAR(F822),4)=0),G822*'депозитный калькулятор'!$D$11/366,G822*'депозитный калькулятор'!$G$8),0))</f>
        <v xml:space="preserve"> </v>
      </c>
      <c r="R822" s="158"/>
      <c r="S822" s="62" t="str">
        <f t="shared" ca="1" si="62"/>
        <v xml:space="preserve"> </v>
      </c>
      <c r="T822" s="149" t="str">
        <f ca="1">IF(S822=" "," ",IF('депозитный калькулятор'!$G$7="30/360",DAYS360(U821,IF(DAY(U822)=31,U822-1,U822))+IF(AND(MONTH(U822)=2,U822=EOMONTH(U822,0)),30-DAY(EOMONTH(U822,0)))+T821,VLOOKUP(S822,$C$22:$F$1023,2,0)))</f>
        <v xml:space="preserve"> </v>
      </c>
      <c r="U822" s="64" t="str">
        <f t="shared" ca="1" si="60"/>
        <v xml:space="preserve"> </v>
      </c>
      <c r="V822" s="150" t="str">
        <f t="shared" ca="1" si="63"/>
        <v xml:space="preserve"> </v>
      </c>
      <c r="W822" s="62" t="str">
        <f t="shared" ca="1" si="64"/>
        <v xml:space="preserve"> </v>
      </c>
      <c r="X822" s="141" t="str">
        <f ca="1">IF(S822=" "," ",IFERROR(VLOOKUP(U822,$F$23:$N$1023,7)+VLOOKUP(U822,$F$23:$N$1023,9)+IF(AND('депозитный калькулятор'!$G$13="нет",U822&lt;&gt;'депозитный калькулятор'!$D$8),VLOOKUP(U822,$F$23:$N$1023,4),0),0)+IF(U822='депозитный калькулятор'!$D$8,VLOOKUP(U822,$F$23:$N$1023,2)+VLOOKUP(U822,$F$23:$N$1023,4),0))</f>
        <v xml:space="preserve"> </v>
      </c>
      <c r="Y822" s="142" t="str">
        <f ca="1">IF(S822=" "," ",W822/(1+'депозитный калькулятор'!$K$8)^(T822/IF('депозитный калькулятор'!$G$7="30/360",360,365)))</f>
        <v xml:space="preserve"> </v>
      </c>
      <c r="Z822" s="142" t="str">
        <f ca="1">IF(S822=" "," ",X822/(1+'депозитный калькулятор'!$K$8)^(T822/IF('депозитный калькулятор'!$G$7="30/360",360,365)))</f>
        <v xml:space="preserve"> </v>
      </c>
      <c r="AA822" s="151"/>
      <c r="AB822" s="151"/>
      <c r="AC822" s="155"/>
      <c r="AD822" s="155"/>
    </row>
    <row r="823" spans="1:30" s="2" customFormat="1" ht="15.5" x14ac:dyDescent="0.35">
      <c r="A823" s="41" t="str">
        <f>IF(F823=" "," ",IF(OR('депозитный калькулятор'!$G$7="30/365",'депозитный калькулятор'!$G$7="30/360"),IF(AND(MONTH(F823)=2,DAY(F823)=DAY(EOMONTH(F823,0))),30-DAY(EOMONTH(F823,0)),IF(DAY(F823)=31,1," "))," "))</f>
        <v xml:space="preserve"> </v>
      </c>
      <c r="B823" s="130" t="str">
        <f t="shared" si="61"/>
        <v xml:space="preserve"> </v>
      </c>
      <c r="C823" s="130" t="str">
        <f>IF(OR(B823=0,B823=" ")," ",SUM($B$23:B823))</f>
        <v xml:space="preserve"> </v>
      </c>
      <c r="D823" s="62" t="str">
        <f>IF(D822=" "," ",IF(OR(F822='депозитный калькулятор'!$D$8,F822=" ")," ",D822+1))</f>
        <v xml:space="preserve"> </v>
      </c>
      <c r="E823" s="130" t="str">
        <f>IF(OR(F822='депозитный калькулятор'!$D$8,F822=" ")," ",IF(EOMONTH(F822,0)=F822,1,E822+1))</f>
        <v xml:space="preserve"> </v>
      </c>
      <c r="F823" s="64" t="str">
        <f>IF(F822=" "," ",IF(F822='депозитный калькулятор'!$D$8," ",F822+1))</f>
        <v xml:space="preserve"> </v>
      </c>
      <c r="G823" s="145" t="str">
        <f xml:space="preserve"> IF(F823&gt;'депозитный калькулятор'!$D$8," ",IF('депозитный калькулятор'!$G$13="есть",IF('депозитный калькулятор'!$G$14="есть",G822+IF(I822=" ",0,I822)-J823-K823+L823+M823-N823,G822+IF(I822=" ",0,I822)-J823-K823+M823-N823),IF('депозитный калькулятор'!$G$14="есть",G822-J823-K823+L823+M823-N823,G822-J823-K823+M823-N823)))</f>
        <v xml:space="preserve"> </v>
      </c>
      <c r="H823" s="133" t="str">
        <f>IF(F823&gt;'депозитный калькулятор'!$D$8," ",IF(AND(OR('депозитный калькулятор'!$G$7="30/365",'депозитный калькулятор'!$G$7="30/360"),AND(MONTH(F823)=2,EOMONTH(F823,0)=F823)),IF(DAY(F823)=28,3*G823*'депозитный калькулятор'!$G$8,2*G823*'депозитный калькулятор'!$G$8),IF(AND(OR('депозитный калькулятор'!$G$7="30/365",'депозитный калькулятор'!$G$7="30/360"),DAY(F823)=31)," ",IF(AND('депозитный калькулятор'!$G$7="факт/факт",MOD(YEAR(F823),4)=0),G823*'депозитный калькулятор'!$D$11/366,G823*'депозитный калькулятор'!$G$8))))</f>
        <v xml:space="preserve"> </v>
      </c>
      <c r="I823" s="134" t="str">
        <f ca="1">IF(F823=" "," ",IF('депозитный калькулятор'!$G$10="ежедневное",H823,IF(AND('депозитный калькулятор'!$G$10="еженедельное",WEEKDAY(F823,2)=7),SUM(OFFSET(H823,-6,0):H823),IF(AND('депозитный калькулятор'!$G$10="еженедельное",F823='депозитный калькулятор'!$D$8),SUM($H$23:H823)-SUM($I$23:I822),IF(AND('депозитный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недели",WEEKDAY(F823,2)=7),MIN(OFFSET(H823,-6,0):H823)*(COUNTIF(OFFSET(H823,-6,0):H823,"&gt;0")+SUMIF(OFFSET(A823,-WEEKDAY(F823,2),0):A823,"=2",OFFSET(A823,-WEEKDAY(F823,2),0):A823)),IF(AND('депозитный калькулятор'!$G$10="еженедельное, на минимальную сумму зафиксированную в течение недели",F823='депозитный калькулятор'!$D$8,WEEKDAY(F823,2)&lt;&gt;7),MIN(OFFSET(H823,-WEEKDAY(F823,2),0):H823)*(COUNTIF(OFFSET(H823,-WEEKDAY(F823,2)+1,0):H823,"&gt;0")+SUM(OFFSET(A823,-WEEKDAY(F823,2),0):A823)),IF(AND('депозитный калькулятор'!$G$10="ежемесячное (в конце месяца)",F823='депозитный калькулятор'!$D$8,EOMONTH(F823,0)&lt;&gt;F823),IF('депозитный калькулятор'!$F$1=1,$H$24,SUM($H$23:H823)-SUM($I$23:I822)),IF(AND('депозитный калькулятор'!$G$10="ежемесячное (в конце месяца)",EOMONTH(F823,0)=F823),SUM($H$23:H823)-SUM($I$23:I822),IF(AND('депозитный калькулятор'!$G$10="ежемесячное (по дням открытия вклада)",F823='депозитный калькулятор'!$D$8,DAY('депозитный калькулятор'!$D$7)&lt;&gt;DAY(F823)),IF('депозитный калькулятор'!$F$1=1,$H$24,SUM($H$23:H823)-SUM($I$23:I822)),IF(AND('депозитный калькулятор'!$G$10="ежемесячное (по дням открытия вклада)",DAY('депозитный калькулятор'!$D$7)=DAY(F823)),SUM($H$23:H823)-SUM($I$23:I822),IF(AND('депозитный калькулятор'!$G$10="ежемесячное, на минимальную сумму зафиксированную в течение месяца",F823='депозитный калькулятор'!$D$8,EOMONTH(F823,0)&lt;&gt;F823),IF('депозитный калькулятор'!$F$1=1,$H$24,IF(AND(OR('депозитный калькулятор'!$G$7="30/365",'депозитный калькулятор'!$G$7="30/360"),DAY(F823)=31),0,MIN(OFFSET(H823,-E823+1,0):H823)*(E823+SUMIF(OFFSET(A823,-E823+1,0):A823,"=2",OFFSET(A823,-E823+1,0):A823)))),IF(AND('депозитный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калькулятор'!$G$7="30/360"),DAY(EOMONTH(F823,0))=31),EOMONTH(F823,0)-1=F823,EOMONTH(F823,0)=F823)),IF(IF(AND(OR('депозитный калькулятор'!$G$7="30/365",'депозитный калькулятор'!$G$7="30/360"),DAY(EOMONTH($F$23,0))=31),F823=EOMONTH($F$23,0)-1,F823=EOMONTH($F$23,0)),MIN(OFFSET(H823,-(DAY(F823)-DAY($F$23)),0):H823)*E823,MIN(OFFSET(H823,-(DAY(F823)-1),0):H823)*IF(AND(OR('депозитный калькулятор'!$G$7="30/365",'депозитный калькулятор'!$G$7="30/360"),DAY(F823)&lt;30),30,DAY(F823))),IF(AND('депозитный калькулятор'!$G$10="ежемесячное, на средний остаток в течение месяца, при условии что остаток больше чем ограничение",F823='депозитный калькулятор'!$D$8,EOMONTH(F823,0)&lt;&gt;F823),IF('депозитный калькулятор'!$F$1=1,$H$24,SUM(OFFSET(Q823,-E823+1,0):Q823)),IF(AND('депозитный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калькулятор'!$G$7="30/360"),DAY(EOMONTH(F823,0))=31),EOMONTH(F823,0)-1=F823,EOMONTH(F823,0)=F823)),IF(IF(AND(OR('депозитный калькулятор'!$G$7="30/365",'депозитный калькулятор'!$G$7="30/360"),DAY(EOMONTH($F$24,0))=31),F823=EOMONTH($F$24,0)-1,F823=EOMONTH($F$24,0)),SUM(OFFSET(Q823,-E823+1,0):Q823),SUM(OFFSET(Q823,-E823+1,0):Q823)),IF('депозитный калькулятор'!$G$10="ежеквартальное",IF(F823&gt;'депозитный калькулятор'!$D$8," ",IF(AND(EOMONTH(F823,0)=F823,OR(MONTH(F823)=3,MONTH(F823)=6,MONTH(F823)=9,MONTH(F823)=12)),IF(EDATE(F823,-3)&lt;'депозитный калькулятор'!$D$7,SUM($H$23:H823),IF(MOD(YEAR(F823),4)=0,IF(AND(EOMONTH(F823,0)=F823,OR(MONTH(F823)=3,MONTH(F823)=6)),SUM(OFFSET(H823,-90,0):H823),IF(AND(EOMONTH(F823,0)=F823,OR(MONTH(F823)=9,MONTH(F823)=12)),SUM(OFFSET(H823,-91,0):H823))),IF(AND(EOMONTH(F823,0)=F823,MONTH(F823)=3),SUM(OFFSET(H823,-89,0):H823),IF(AND(EOMONTH(F823,0)=F823,MONTH(F823)=6),SUM(OFFSET(H823,-90,0):H823),IF(AND(EOMONTH(F823,0)=F823,OR(MONTH(F823)=9,MONTH(F823)=12)),SUM(OFFSET(H823,-91,0):H823)))))),IF(F823='депозитный калькулятор'!$D$8,SUM($H$23:H823)-SUM($I$23:I822),0))),IF('депозитный калькулятор'!$G$10="ежегодное",IF(F823&gt;'депозитный калькулятор'!$D$8," ",IF(F823='депозитный калькулятор'!$D$8,SUM($H$23:H823)-SUM($I$23:I822),IF(AND(EOMONTH(F823,0)=F823,MONTH(F823)=12),IF(MOD(YEAR(F822),4)=0,IF(F823-'депозитный калькулятор'!$D$7&lt;366,SUM($H$23:H823),SUM(OFFSET(H823,-365,0):H823)),IF(F823-'депозитный калькулятор'!$D$7&lt;365,SUM($H$23:H823),SUM(OFFSET(H823,-364,0):H823))),0))),IF(AND('депозитный калькулятор'!$G$10="в конце срока",'депозитный калькулятор'!$D$8=F823),SUM($H$23:H823),0))))))))))))))))))</f>
        <v xml:space="preserve"> </v>
      </c>
      <c r="J823" s="59" t="str">
        <f>IF(F823&gt;'депозитный калькулятор'!$D$8," ",IF('депозитный калькулятор'!$G$16="нет",0,IF(AND('депозитный калькулятор'!$G$17="разовая (в конце срока)",F823='депозитный калькулятор'!$D$8),'депозитный калькулятор'!$G$18,IF(AND('депозитный калькулятор'!$G$17="ежемесячная",EOMONTH(F822,0)=F822),'депозитный калькулятор'!$G$18,IF(AND('депозитный калькулятор'!$G$17="ежегодная",DAY(F822)=31,MONTH(F822)=12),'депозитный калькулятор'!$G$18,IF(AND('депозитный калькулятор'!$G$17="ежемесячная в зависимости от остатка",EOMONTH(F822,0)=F822,P822&gt;0),'депозитный калькулятор'!$G$18,IF(AND('депозитный калькулятор'!$G$17="ежегодная в зависимости от остатка",DAY(F822)=31,MONTH(F822)=12,P822&gt;0),'депозитный калькулятор'!$G$18,0)))))))</f>
        <v xml:space="preserve"> </v>
      </c>
      <c r="K823" s="135" t="str">
        <f>IF($F823=" "," ",IFERROR(VLOOKUP($F823,'депозитный калькулятор'!$B$26:$F$70,2,0),0))</f>
        <v xml:space="preserve"> </v>
      </c>
      <c r="L823" s="135" t="str">
        <f>IF($F823=" "," ",IFERROR(VLOOKUP($F823,'депозитный калькулятор'!$B$26:$F$70,3,0),0))</f>
        <v xml:space="preserve"> </v>
      </c>
      <c r="M823" s="135" t="str">
        <f>IF($F823=" "," ",IFERROR(VLOOKUP($F823,'депозитный калькулятор'!$B$26:$F$70,4,0),0))</f>
        <v xml:space="preserve"> </v>
      </c>
      <c r="N823" s="135" t="str">
        <f>IF($F823=" "," ",IFERROR(VLOOKUP($F823,'депозитный калькулятор'!$B$26:$F$70,5,0),0))</f>
        <v xml:space="preserve"> </v>
      </c>
      <c r="O823" s="146" t="str">
        <f>IF(F823&gt;'депозитный калькулятор'!$D$8," ",IF(F823='депозитный калькулятор'!$D$8,IF(AND($F$24='депозитный калькулятор'!$D$8,'депозитный калькулятор'!$G$13="нет"),-G823-IF(I823=" ",0,I823)-IF(AND(OR('депозитный калькулятор'!$G$7="30/365",'депозитный калькулятор'!$G$7="30/360"),'депозитный калькулятор'!$G$10="в начале срока"),I822,0)-L823+M823-N823,-G823-IF(I823=" ",0,I823)-L823+M823-N823),IF('депозитный калькулятор'!$G$13="есть",M823-N823+IF('депозитный калькулятор'!$G$14="есть",0,-L823),-IF(I823=" ",0,I823)-IF(AND(OR('депозитный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срока"),I822,0)+M823-N823+IF('депозитный калькулятор'!$G$14="есть",0,-L823))))</f>
        <v xml:space="preserve"> </v>
      </c>
      <c r="P823" s="147" t="str">
        <f>IF(F823&gt;'депозитный калькулятор'!$D$8," ",IF(EOMONTH(F822,0)=F822,0,IF(G823&gt;='депозитный калькулятор'!$G$19,P822,P822+1)))</f>
        <v xml:space="preserve"> </v>
      </c>
      <c r="Q823" s="138" t="str">
        <f>IF(F823=" "," ",IF(AND(OR('депозитный калькулятор'!$G$7="30/365",'депозитный калькулятор'!$G$7="30/360"),AND(MONTH(F823)=2,EOMONTH(F823,0)=F823)),IF(DAY(F823)=28,3,2),1)*IF(G823&gt;='депозитный калькулятор'!$G$11,IF(AND('депозитный калькулятор'!$G$7="факт/факт",MOD(YEAR(F823),4)=0),G823*'депозитный калькулятор'!$D$11/366,G823*'депозитный калькулятор'!$G$8),0))</f>
        <v xml:space="preserve"> </v>
      </c>
      <c r="R823" s="158"/>
      <c r="S823" s="62" t="str">
        <f t="shared" ca="1" si="62"/>
        <v xml:space="preserve"> </v>
      </c>
      <c r="T823" s="149" t="str">
        <f ca="1">IF(S823=" "," ",IF('депозитный калькулятор'!$G$7="30/360",DAYS360(U822,IF(DAY(U823)=31,U823-1,U823))+IF(AND(MONTH(U823)=2,U823=EOMONTH(U823,0)),30-DAY(EOMONTH(U823,0)))+T822,VLOOKUP(S823,$C$22:$F$1023,2,0)))</f>
        <v xml:space="preserve"> </v>
      </c>
      <c r="U823" s="64" t="str">
        <f t="shared" ca="1" si="60"/>
        <v xml:space="preserve"> </v>
      </c>
      <c r="V823" s="150" t="str">
        <f t="shared" ca="1" si="63"/>
        <v xml:space="preserve"> </v>
      </c>
      <c r="W823" s="62" t="str">
        <f t="shared" ca="1" si="64"/>
        <v xml:space="preserve"> </v>
      </c>
      <c r="X823" s="141" t="str">
        <f ca="1">IF(S823=" "," ",IFERROR(VLOOKUP(U823,$F$23:$N$1023,7)+VLOOKUP(U823,$F$23:$N$1023,9)+IF(AND('депозитный калькулятор'!$G$13="нет",U823&lt;&gt;'депозитный калькулятор'!$D$8),VLOOKUP(U823,$F$23:$N$1023,4),0),0)+IF(U823='депозитный калькулятор'!$D$8,VLOOKUP(U823,$F$23:$N$1023,2)+VLOOKUP(U823,$F$23:$N$1023,4),0))</f>
        <v xml:space="preserve"> </v>
      </c>
      <c r="Y823" s="142" t="str">
        <f ca="1">IF(S823=" "," ",W823/(1+'депозитный калькулятор'!$K$8)^(T823/IF('депозитный калькулятор'!$G$7="30/360",360,365)))</f>
        <v xml:space="preserve"> </v>
      </c>
      <c r="Z823" s="142" t="str">
        <f ca="1">IF(S823=" "," ",X823/(1+'депозитный калькулятор'!$K$8)^(T823/IF('депозитный калькулятор'!$G$7="30/360",360,365)))</f>
        <v xml:space="preserve"> </v>
      </c>
      <c r="AA823" s="151"/>
      <c r="AB823" s="151"/>
      <c r="AC823" s="155"/>
      <c r="AD823" s="155"/>
    </row>
    <row r="824" spans="1:30" s="2" customFormat="1" ht="15.5" x14ac:dyDescent="0.35">
      <c r="A824" s="41" t="str">
        <f>IF(F824=" "," ",IF(OR('депозитный калькулятор'!$G$7="30/365",'депозитный калькулятор'!$G$7="30/360"),IF(AND(MONTH(F824)=2,DAY(F824)=DAY(EOMONTH(F824,0))),30-DAY(EOMONTH(F824,0)),IF(DAY(F824)=31,1," "))," "))</f>
        <v xml:space="preserve"> </v>
      </c>
      <c r="B824" s="130" t="str">
        <f t="shared" si="61"/>
        <v xml:space="preserve"> </v>
      </c>
      <c r="C824" s="130" t="str">
        <f>IF(OR(B824=0,B824=" ")," ",SUM($B$23:B824))</f>
        <v xml:space="preserve"> </v>
      </c>
      <c r="D824" s="62" t="str">
        <f>IF(D823=" "," ",IF(OR(F823='депозитный калькулятор'!$D$8,F823=" ")," ",D823+1))</f>
        <v xml:space="preserve"> </v>
      </c>
      <c r="E824" s="130" t="str">
        <f>IF(OR(F823='депозитный калькулятор'!$D$8,F823=" ")," ",IF(EOMONTH(F823,0)=F823,1,E823+1))</f>
        <v xml:space="preserve"> </v>
      </c>
      <c r="F824" s="64" t="str">
        <f>IF(F823=" "," ",IF(F823='депозитный калькулятор'!$D$8," ",F823+1))</f>
        <v xml:space="preserve"> </v>
      </c>
      <c r="G824" s="145" t="str">
        <f xml:space="preserve"> IF(F824&gt;'депозитный калькулятор'!$D$8," ",IF('депозитный калькулятор'!$G$13="есть",IF('депозитный калькулятор'!$G$14="есть",G823+IF(I823=" ",0,I823)-J824-K824+L824+M824-N824,G823+IF(I823=" ",0,I823)-J824-K824+M824-N824),IF('депозитный калькулятор'!$G$14="есть",G823-J824-K824+L824+M824-N824,G823-J824-K824+M824-N824)))</f>
        <v xml:space="preserve"> </v>
      </c>
      <c r="H824" s="133" t="str">
        <f>IF(F824&gt;'депозитный калькулятор'!$D$8," ",IF(AND(OR('депозитный калькулятор'!$G$7="30/365",'депозитный калькулятор'!$G$7="30/360"),AND(MONTH(F824)=2,EOMONTH(F824,0)=F824)),IF(DAY(F824)=28,3*G824*'депозитный калькулятор'!$G$8,2*G824*'депозитный калькулятор'!$G$8),IF(AND(OR('депозитный калькулятор'!$G$7="30/365",'депозитный калькулятор'!$G$7="30/360"),DAY(F824)=31)," ",IF(AND('депозитный калькулятор'!$G$7="факт/факт",MOD(YEAR(F824),4)=0),G824*'депозитный калькулятор'!$D$11/366,G824*'депозитный калькулятор'!$G$8))))</f>
        <v xml:space="preserve"> </v>
      </c>
      <c r="I824" s="134" t="str">
        <f ca="1">IF(F824=" "," ",IF('депозитный калькулятор'!$G$10="ежедневное",H824,IF(AND('депозитный калькулятор'!$G$10="еженедельное",WEEKDAY(F824,2)=7),SUM(OFFSET(H824,-6,0):H824),IF(AND('депозитный калькулятор'!$G$10="еженедельное",F824='депозитный калькулятор'!$D$8),SUM($H$23:H824)-SUM($I$23:I823),IF(AND('депозитный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недели",WEEKDAY(F824,2)=7),MIN(OFFSET(H824,-6,0):H824)*(COUNTIF(OFFSET(H824,-6,0):H824,"&gt;0")+SUMIF(OFFSET(A824,-WEEKDAY(F824,2),0):A824,"=2",OFFSET(A824,-WEEKDAY(F824,2),0):A824)),IF(AND('депозитный калькулятор'!$G$10="еженедельное, на минимальную сумму зафиксированную в течение недели",F824='депозитный калькулятор'!$D$8,WEEKDAY(F824,2)&lt;&gt;7),MIN(OFFSET(H824,-WEEKDAY(F824,2),0):H824)*(COUNTIF(OFFSET(H824,-WEEKDAY(F824,2)+1,0):H824,"&gt;0")+SUM(OFFSET(A824,-WEEKDAY(F824,2),0):A824)),IF(AND('депозитный калькулятор'!$G$10="ежемесячное (в конце месяца)",F824='депозитный калькулятор'!$D$8,EOMONTH(F824,0)&lt;&gt;F824),IF('депозитный калькулятор'!$F$1=1,$H$24,SUM($H$23:H824)-SUM($I$23:I823)),IF(AND('депозитный калькулятор'!$G$10="ежемесячное (в конце месяца)",EOMONTH(F824,0)=F824),SUM($H$23:H824)-SUM($I$23:I823),IF(AND('депозитный калькулятор'!$G$10="ежемесячное (по дням открытия вклада)",F824='депозитный калькулятор'!$D$8,DAY('депозитный калькулятор'!$D$7)&lt;&gt;DAY(F824)),IF('депозитный калькулятор'!$F$1=1,$H$24,SUM($H$23:H824)-SUM($I$23:I823)),IF(AND('депозитный калькулятор'!$G$10="ежемесячное (по дням открытия вклада)",DAY('депозитный калькулятор'!$D$7)=DAY(F824)),SUM($H$23:H824)-SUM($I$23:I823),IF(AND('депозитный калькулятор'!$G$10="ежемесячное, на минимальную сумму зафиксированную в течение месяца",F824='депозитный калькулятор'!$D$8,EOMONTH(F824,0)&lt;&gt;F824),IF('депозитный калькулятор'!$F$1=1,$H$24,IF(AND(OR('депозитный калькулятор'!$G$7="30/365",'депозитный калькулятор'!$G$7="30/360"),DAY(F824)=31),0,MIN(OFFSET(H824,-E824+1,0):H824)*(E824+SUMIF(OFFSET(A824,-E824+1,0):A824,"=2",OFFSET(A824,-E824+1,0):A824)))),IF(AND('депозитный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калькулятор'!$G$7="30/360"),DAY(EOMONTH(F824,0))=31),EOMONTH(F824,0)-1=F824,EOMONTH(F824,0)=F824)),IF(IF(AND(OR('депозитный калькулятор'!$G$7="30/365",'депозитный калькулятор'!$G$7="30/360"),DAY(EOMONTH($F$23,0))=31),F824=EOMONTH($F$23,0)-1,F824=EOMONTH($F$23,0)),MIN(OFFSET(H824,-(DAY(F824)-DAY($F$23)),0):H824)*E824,MIN(OFFSET(H824,-(DAY(F824)-1),0):H824)*IF(AND(OR('депозитный калькулятор'!$G$7="30/365",'депозитный калькулятор'!$G$7="30/360"),DAY(F824)&lt;30),30,DAY(F824))),IF(AND('депозитный калькулятор'!$G$10="ежемесячное, на средний остаток в течение месяца, при условии что остаток больше чем ограничение",F824='депозитный калькулятор'!$D$8,EOMONTH(F824,0)&lt;&gt;F824),IF('депозитный калькулятор'!$F$1=1,$H$24,SUM(OFFSET(Q824,-E824+1,0):Q824)),IF(AND('депозитный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калькулятор'!$G$7="30/360"),DAY(EOMONTH(F824,0))=31),EOMONTH(F824,0)-1=F824,EOMONTH(F824,0)=F824)),IF(IF(AND(OR('депозитный калькулятор'!$G$7="30/365",'депозитный калькулятор'!$G$7="30/360"),DAY(EOMONTH($F$24,0))=31),F824=EOMONTH($F$24,0)-1,F824=EOMONTH($F$24,0)),SUM(OFFSET(Q824,-E824+1,0):Q824),SUM(OFFSET(Q824,-E824+1,0):Q824)),IF('депозитный калькулятор'!$G$10="ежеквартальное",IF(F824&gt;'депозитный калькулятор'!$D$8," ",IF(AND(EOMONTH(F824,0)=F824,OR(MONTH(F824)=3,MONTH(F824)=6,MONTH(F824)=9,MONTH(F824)=12)),IF(EDATE(F824,-3)&lt;'депозитный калькулятор'!$D$7,SUM($H$23:H824),IF(MOD(YEAR(F824),4)=0,IF(AND(EOMONTH(F824,0)=F824,OR(MONTH(F824)=3,MONTH(F824)=6)),SUM(OFFSET(H824,-90,0):H824),IF(AND(EOMONTH(F824,0)=F824,OR(MONTH(F824)=9,MONTH(F824)=12)),SUM(OFFSET(H824,-91,0):H824))),IF(AND(EOMONTH(F824,0)=F824,MONTH(F824)=3),SUM(OFFSET(H824,-89,0):H824),IF(AND(EOMONTH(F824,0)=F824,MONTH(F824)=6),SUM(OFFSET(H824,-90,0):H824),IF(AND(EOMONTH(F824,0)=F824,OR(MONTH(F824)=9,MONTH(F824)=12)),SUM(OFFSET(H824,-91,0):H824)))))),IF(F824='депозитный калькулятор'!$D$8,SUM($H$23:H824)-SUM($I$23:I823),0))),IF('депозитный калькулятор'!$G$10="ежегодное",IF(F824&gt;'депозитный калькулятор'!$D$8," ",IF(F824='депозитный калькулятор'!$D$8,SUM($H$23:H824)-SUM($I$23:I823),IF(AND(EOMONTH(F824,0)=F824,MONTH(F824)=12),IF(MOD(YEAR(F823),4)=0,IF(F824-'депозитный калькулятор'!$D$7&lt;366,SUM($H$23:H824),SUM(OFFSET(H824,-365,0):H824)),IF(F824-'депозитный калькулятор'!$D$7&lt;365,SUM($H$23:H824),SUM(OFFSET(H824,-364,0):H824))),0))),IF(AND('депозитный калькулятор'!$G$10="в конце срока",'депозитный калькулятор'!$D$8=F824),SUM($H$23:H824),0))))))))))))))))))</f>
        <v xml:space="preserve"> </v>
      </c>
      <c r="J824" s="59" t="str">
        <f>IF(F824&gt;'депозитный калькулятор'!$D$8," ",IF('депозитный калькулятор'!$G$16="нет",0,IF(AND('депозитный калькулятор'!$G$17="разовая (в конце срока)",F824='депозитный калькулятор'!$D$8),'депозитный калькулятор'!$G$18,IF(AND('депозитный калькулятор'!$G$17="ежемесячная",EOMONTH(F823,0)=F823),'депозитный калькулятор'!$G$18,IF(AND('депозитный калькулятор'!$G$17="ежегодная",DAY(F823)=31,MONTH(F823)=12),'депозитный калькулятор'!$G$18,IF(AND('депозитный калькулятор'!$G$17="ежемесячная в зависимости от остатка",EOMONTH(F823,0)=F823,P823&gt;0),'депозитный калькулятор'!$G$18,IF(AND('депозитный калькулятор'!$G$17="ежегодная в зависимости от остатка",DAY(F823)=31,MONTH(F823)=12,P823&gt;0),'депозитный калькулятор'!$G$18,0)))))))</f>
        <v xml:space="preserve"> </v>
      </c>
      <c r="K824" s="135" t="str">
        <f>IF($F824=" "," ",IFERROR(VLOOKUP($F824,'депозитный калькулятор'!$B$26:$F$70,2,0),0))</f>
        <v xml:space="preserve"> </v>
      </c>
      <c r="L824" s="135" t="str">
        <f>IF($F824=" "," ",IFERROR(VLOOKUP($F824,'депозитный калькулятор'!$B$26:$F$70,3,0),0))</f>
        <v xml:space="preserve"> </v>
      </c>
      <c r="M824" s="135" t="str">
        <f>IF($F824=" "," ",IFERROR(VLOOKUP($F824,'депозитный калькулятор'!$B$26:$F$70,4,0),0))</f>
        <v xml:space="preserve"> </v>
      </c>
      <c r="N824" s="135" t="str">
        <f>IF($F824=" "," ",IFERROR(VLOOKUP($F824,'депозитный калькулятор'!$B$26:$F$70,5,0),0))</f>
        <v xml:space="preserve"> </v>
      </c>
      <c r="O824" s="146" t="str">
        <f>IF(F824&gt;'депозитный калькулятор'!$D$8," ",IF(F824='депозитный калькулятор'!$D$8,IF(AND($F$24='депозитный калькулятор'!$D$8,'депозитный калькулятор'!$G$13="нет"),-G824-IF(I824=" ",0,I824)-IF(AND(OR('депозитный калькулятор'!$G$7="30/365",'депозитный калькулятор'!$G$7="30/360"),'депозитный калькулятор'!$G$10="в начале срока"),I823,0)-L824+M824-N824,-G824-IF(I824=" ",0,I824)-L824+M824-N824),IF('депозитный калькулятор'!$G$13="есть",M824-N824+IF('депозитный калькулятор'!$G$14="есть",0,-L824),-IF(I824=" ",0,I824)-IF(AND(OR('депозитный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срока"),I823,0)+M824-N824+IF('депозитный калькулятор'!$G$14="есть",0,-L824))))</f>
        <v xml:space="preserve"> </v>
      </c>
      <c r="P824" s="147" t="str">
        <f>IF(F824&gt;'депозитный калькулятор'!$D$8," ",IF(EOMONTH(F823,0)=F823,0,IF(G824&gt;='депозитный калькулятор'!$G$19,P823,P823+1)))</f>
        <v xml:space="preserve"> </v>
      </c>
      <c r="Q824" s="138" t="str">
        <f>IF(F824=" "," ",IF(AND(OR('депозитный калькулятор'!$G$7="30/365",'депозитный калькулятор'!$G$7="30/360"),AND(MONTH(F824)=2,EOMONTH(F824,0)=F824)),IF(DAY(F824)=28,3,2),1)*IF(G824&gt;='депозитный калькулятор'!$G$11,IF(AND('депозитный калькулятор'!$G$7="факт/факт",MOD(YEAR(F824),4)=0),G824*'депозитный калькулятор'!$D$11/366,G824*'депозитный калькулятор'!$G$8),0))</f>
        <v xml:space="preserve"> </v>
      </c>
      <c r="R824" s="158"/>
      <c r="S824" s="62" t="str">
        <f t="shared" ca="1" si="62"/>
        <v xml:space="preserve"> </v>
      </c>
      <c r="T824" s="149" t="str">
        <f ca="1">IF(S824=" "," ",IF('депозитный калькулятор'!$G$7="30/360",DAYS360(U823,IF(DAY(U824)=31,U824-1,U824))+IF(AND(MONTH(U824)=2,U824=EOMONTH(U824,0)),30-DAY(EOMONTH(U824,0)))+T823,VLOOKUP(S824,$C$22:$F$1023,2,0)))</f>
        <v xml:space="preserve"> </v>
      </c>
      <c r="U824" s="64" t="str">
        <f t="shared" ca="1" si="60"/>
        <v xml:space="preserve"> </v>
      </c>
      <c r="V824" s="150" t="str">
        <f t="shared" ca="1" si="63"/>
        <v xml:space="preserve"> </v>
      </c>
      <c r="W824" s="62" t="str">
        <f t="shared" ca="1" si="64"/>
        <v xml:space="preserve"> </v>
      </c>
      <c r="X824" s="141" t="str">
        <f ca="1">IF(S824=" "," ",IFERROR(VLOOKUP(U824,$F$23:$N$1023,7)+VLOOKUP(U824,$F$23:$N$1023,9)+IF(AND('депозитный калькулятор'!$G$13="нет",U824&lt;&gt;'депозитный калькулятор'!$D$8),VLOOKUP(U824,$F$23:$N$1023,4),0),0)+IF(U824='депозитный калькулятор'!$D$8,VLOOKUP(U824,$F$23:$N$1023,2)+VLOOKUP(U824,$F$23:$N$1023,4),0))</f>
        <v xml:space="preserve"> </v>
      </c>
      <c r="Y824" s="142" t="str">
        <f ca="1">IF(S824=" "," ",W824/(1+'депозитный калькулятор'!$K$8)^(T824/IF('депозитный калькулятор'!$G$7="30/360",360,365)))</f>
        <v xml:space="preserve"> </v>
      </c>
      <c r="Z824" s="142" t="str">
        <f ca="1">IF(S824=" "," ",X824/(1+'депозитный калькулятор'!$K$8)^(T824/IF('депозитный калькулятор'!$G$7="30/360",360,365)))</f>
        <v xml:space="preserve"> </v>
      </c>
      <c r="AA824" s="151"/>
      <c r="AB824" s="151"/>
      <c r="AC824" s="155"/>
      <c r="AD824" s="155"/>
    </row>
    <row r="825" spans="1:30" s="2" customFormat="1" ht="15.5" x14ac:dyDescent="0.35">
      <c r="A825" s="41" t="str">
        <f>IF(F825=" "," ",IF(OR('депозитный калькулятор'!$G$7="30/365",'депозитный калькулятор'!$G$7="30/360"),IF(AND(MONTH(F825)=2,DAY(F825)=DAY(EOMONTH(F825,0))),30-DAY(EOMONTH(F825,0)),IF(DAY(F825)=31,1," "))," "))</f>
        <v xml:space="preserve"> </v>
      </c>
      <c r="B825" s="130" t="str">
        <f t="shared" si="61"/>
        <v xml:space="preserve"> </v>
      </c>
      <c r="C825" s="130" t="str">
        <f>IF(OR(B825=0,B825=" ")," ",SUM($B$23:B825))</f>
        <v xml:space="preserve"> </v>
      </c>
      <c r="D825" s="62" t="str">
        <f>IF(D824=" "," ",IF(OR(F824='депозитный калькулятор'!$D$8,F824=" ")," ",D824+1))</f>
        <v xml:space="preserve"> </v>
      </c>
      <c r="E825" s="130" t="str">
        <f>IF(OR(F824='депозитный калькулятор'!$D$8,F824=" ")," ",IF(EOMONTH(F824,0)=F824,1,E824+1))</f>
        <v xml:space="preserve"> </v>
      </c>
      <c r="F825" s="64" t="str">
        <f>IF(F824=" "," ",IF(F824='депозитный калькулятор'!$D$8," ",F824+1))</f>
        <v xml:space="preserve"> </v>
      </c>
      <c r="G825" s="145" t="str">
        <f xml:space="preserve"> IF(F825&gt;'депозитный калькулятор'!$D$8," ",IF('депозитный калькулятор'!$G$13="есть",IF('депозитный калькулятор'!$G$14="есть",G824+IF(I824=" ",0,I824)-J825-K825+L825+M825-N825,G824+IF(I824=" ",0,I824)-J825-K825+M825-N825),IF('депозитный калькулятор'!$G$14="есть",G824-J825-K825+L825+M825-N825,G824-J825-K825+M825-N825)))</f>
        <v xml:space="preserve"> </v>
      </c>
      <c r="H825" s="133" t="str">
        <f>IF(F825&gt;'депозитный калькулятор'!$D$8," ",IF(AND(OR('депозитный калькулятор'!$G$7="30/365",'депозитный калькулятор'!$G$7="30/360"),AND(MONTH(F825)=2,EOMONTH(F825,0)=F825)),IF(DAY(F825)=28,3*G825*'депозитный калькулятор'!$G$8,2*G825*'депозитный калькулятор'!$G$8),IF(AND(OR('депозитный калькулятор'!$G$7="30/365",'депозитный калькулятор'!$G$7="30/360"),DAY(F825)=31)," ",IF(AND('депозитный калькулятор'!$G$7="факт/факт",MOD(YEAR(F825),4)=0),G825*'депозитный калькулятор'!$D$11/366,G825*'депозитный калькулятор'!$G$8))))</f>
        <v xml:space="preserve"> </v>
      </c>
      <c r="I825" s="134" t="str">
        <f ca="1">IF(F825=" "," ",IF('депозитный калькулятор'!$G$10="ежедневное",H825,IF(AND('депозитный калькулятор'!$G$10="еженедельное",WEEKDAY(F825,2)=7),SUM(OFFSET(H825,-6,0):H825),IF(AND('депозитный калькулятор'!$G$10="еженедельное",F825='депозитный калькулятор'!$D$8),SUM($H$23:H825)-SUM($I$23:I824),IF(AND('депозитный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недели",WEEKDAY(F825,2)=7),MIN(OFFSET(H825,-6,0):H825)*(COUNTIF(OFFSET(H825,-6,0):H825,"&gt;0")+SUMIF(OFFSET(A825,-WEEKDAY(F825,2),0):A825,"=2",OFFSET(A825,-WEEKDAY(F825,2),0):A825)),IF(AND('депозитный калькулятор'!$G$10="еженедельное, на минимальную сумму зафиксированную в течение недели",F825='депозитный калькулятор'!$D$8,WEEKDAY(F825,2)&lt;&gt;7),MIN(OFFSET(H825,-WEEKDAY(F825,2),0):H825)*(COUNTIF(OFFSET(H825,-WEEKDAY(F825,2)+1,0):H825,"&gt;0")+SUM(OFFSET(A825,-WEEKDAY(F825,2),0):A825)),IF(AND('депозитный калькулятор'!$G$10="ежемесячное (в конце месяца)",F825='депозитный калькулятор'!$D$8,EOMONTH(F825,0)&lt;&gt;F825),IF('депозитный калькулятор'!$F$1=1,$H$24,SUM($H$23:H825)-SUM($I$23:I824)),IF(AND('депозитный калькулятор'!$G$10="ежемесячное (в конце месяца)",EOMONTH(F825,0)=F825),SUM($H$23:H825)-SUM($I$23:I824),IF(AND('депозитный калькулятор'!$G$10="ежемесячное (по дням открытия вклада)",F825='депозитный калькулятор'!$D$8,DAY('депозитный калькулятор'!$D$7)&lt;&gt;DAY(F825)),IF('депозитный калькулятор'!$F$1=1,$H$24,SUM($H$23:H825)-SUM($I$23:I824)),IF(AND('депозитный калькулятор'!$G$10="ежемесячное (по дням открытия вклада)",DAY('депозитный калькулятор'!$D$7)=DAY(F825)),SUM($H$23:H825)-SUM($I$23:I824),IF(AND('депозитный калькулятор'!$G$10="ежемесячное, на минимальную сумму зафиксированную в течение месяца",F825='депозитный калькулятор'!$D$8,EOMONTH(F825,0)&lt;&gt;F825),IF('депозитный калькулятор'!$F$1=1,$H$24,IF(AND(OR('депозитный калькулятор'!$G$7="30/365",'депозитный калькулятор'!$G$7="30/360"),DAY(F825)=31),0,MIN(OFFSET(H825,-E825+1,0):H825)*(E825+SUMIF(OFFSET(A825,-E825+1,0):A825,"=2",OFFSET(A825,-E825+1,0):A825)))),IF(AND('депозитный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калькулятор'!$G$7="30/360"),DAY(EOMONTH(F825,0))=31),EOMONTH(F825,0)-1=F825,EOMONTH(F825,0)=F825)),IF(IF(AND(OR('депозитный калькулятор'!$G$7="30/365",'депозитный калькулятор'!$G$7="30/360"),DAY(EOMONTH($F$23,0))=31),F825=EOMONTH($F$23,0)-1,F825=EOMONTH($F$23,0)),MIN(OFFSET(H825,-(DAY(F825)-DAY($F$23)),0):H825)*E825,MIN(OFFSET(H825,-(DAY(F825)-1),0):H825)*IF(AND(OR('депозитный калькулятор'!$G$7="30/365",'депозитный калькулятор'!$G$7="30/360"),DAY(F825)&lt;30),30,DAY(F825))),IF(AND('депозитный калькулятор'!$G$10="ежемесячное, на средний остаток в течение месяца, при условии что остаток больше чем ограничение",F825='депозитный калькулятор'!$D$8,EOMONTH(F825,0)&lt;&gt;F825),IF('депозитный калькулятор'!$F$1=1,$H$24,SUM(OFFSET(Q825,-E825+1,0):Q825)),IF(AND('депозитный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калькулятор'!$G$7="30/360"),DAY(EOMONTH(F825,0))=31),EOMONTH(F825,0)-1=F825,EOMONTH(F825,0)=F825)),IF(IF(AND(OR('депозитный калькулятор'!$G$7="30/365",'депозитный калькулятор'!$G$7="30/360"),DAY(EOMONTH($F$24,0))=31),F825=EOMONTH($F$24,0)-1,F825=EOMONTH($F$24,0)),SUM(OFFSET(Q825,-E825+1,0):Q825),SUM(OFFSET(Q825,-E825+1,0):Q825)),IF('депозитный калькулятор'!$G$10="ежеквартальное",IF(F825&gt;'депозитный калькулятор'!$D$8," ",IF(AND(EOMONTH(F825,0)=F825,OR(MONTH(F825)=3,MONTH(F825)=6,MONTH(F825)=9,MONTH(F825)=12)),IF(EDATE(F825,-3)&lt;'депозитный калькулятор'!$D$7,SUM($H$23:H825),IF(MOD(YEAR(F825),4)=0,IF(AND(EOMONTH(F825,0)=F825,OR(MONTH(F825)=3,MONTH(F825)=6)),SUM(OFFSET(H825,-90,0):H825),IF(AND(EOMONTH(F825,0)=F825,OR(MONTH(F825)=9,MONTH(F825)=12)),SUM(OFFSET(H825,-91,0):H825))),IF(AND(EOMONTH(F825,0)=F825,MONTH(F825)=3),SUM(OFFSET(H825,-89,0):H825),IF(AND(EOMONTH(F825,0)=F825,MONTH(F825)=6),SUM(OFFSET(H825,-90,0):H825),IF(AND(EOMONTH(F825,0)=F825,OR(MONTH(F825)=9,MONTH(F825)=12)),SUM(OFFSET(H825,-91,0):H825)))))),IF(F825='депозитный калькулятор'!$D$8,SUM($H$23:H825)-SUM($I$23:I824),0))),IF('депозитный калькулятор'!$G$10="ежегодное",IF(F825&gt;'депозитный калькулятор'!$D$8," ",IF(F825='депозитный калькулятор'!$D$8,SUM($H$23:H825)-SUM($I$23:I824),IF(AND(EOMONTH(F825,0)=F825,MONTH(F825)=12),IF(MOD(YEAR(F824),4)=0,IF(F825-'депозитный калькулятор'!$D$7&lt;366,SUM($H$23:H825),SUM(OFFSET(H825,-365,0):H825)),IF(F825-'депозитный калькулятор'!$D$7&lt;365,SUM($H$23:H825),SUM(OFFSET(H825,-364,0):H825))),0))),IF(AND('депозитный калькулятор'!$G$10="в конце срока",'депозитный калькулятор'!$D$8=F825),SUM($H$23:H825),0))))))))))))))))))</f>
        <v xml:space="preserve"> </v>
      </c>
      <c r="J825" s="59" t="str">
        <f>IF(F825&gt;'депозитный калькулятор'!$D$8," ",IF('депозитный калькулятор'!$G$16="нет",0,IF(AND('депозитный калькулятор'!$G$17="разовая (в конце срока)",F825='депозитный калькулятор'!$D$8),'депозитный калькулятор'!$G$18,IF(AND('депозитный калькулятор'!$G$17="ежемесячная",EOMONTH(F824,0)=F824),'депозитный калькулятор'!$G$18,IF(AND('депозитный калькулятор'!$G$17="ежегодная",DAY(F824)=31,MONTH(F824)=12),'депозитный калькулятор'!$G$18,IF(AND('депозитный калькулятор'!$G$17="ежемесячная в зависимости от остатка",EOMONTH(F824,0)=F824,P824&gt;0),'депозитный калькулятор'!$G$18,IF(AND('депозитный калькулятор'!$G$17="ежегодная в зависимости от остатка",DAY(F824)=31,MONTH(F824)=12,P824&gt;0),'депозитный калькулятор'!$G$18,0)))))))</f>
        <v xml:space="preserve"> </v>
      </c>
      <c r="K825" s="135" t="str">
        <f>IF($F825=" "," ",IFERROR(VLOOKUP($F825,'депозитный калькулятор'!$B$26:$F$70,2,0),0))</f>
        <v xml:space="preserve"> </v>
      </c>
      <c r="L825" s="135" t="str">
        <f>IF($F825=" "," ",IFERROR(VLOOKUP($F825,'депозитный калькулятор'!$B$26:$F$70,3,0),0))</f>
        <v xml:space="preserve"> </v>
      </c>
      <c r="M825" s="135" t="str">
        <f>IF($F825=" "," ",IFERROR(VLOOKUP($F825,'депозитный калькулятор'!$B$26:$F$70,4,0),0))</f>
        <v xml:space="preserve"> </v>
      </c>
      <c r="N825" s="135" t="str">
        <f>IF($F825=" "," ",IFERROR(VLOOKUP($F825,'депозитный калькулятор'!$B$26:$F$70,5,0),0))</f>
        <v xml:space="preserve"> </v>
      </c>
      <c r="O825" s="146" t="str">
        <f>IF(F825&gt;'депозитный калькулятор'!$D$8," ",IF(F825='депозитный калькулятор'!$D$8,IF(AND($F$24='депозитный калькулятор'!$D$8,'депозитный калькулятор'!$G$13="нет"),-G825-IF(I825=" ",0,I825)-IF(AND(OR('депозитный калькулятор'!$G$7="30/365",'депозитный калькулятор'!$G$7="30/360"),'депозитный калькулятор'!$G$10="в начале срока"),I824,0)-L825+M825-N825,-G825-IF(I825=" ",0,I825)-L825+M825-N825),IF('депозитный калькулятор'!$G$13="есть",M825-N825+IF('депозитный калькулятор'!$G$14="есть",0,-L825),-IF(I825=" ",0,I825)-IF(AND(OR('депозитный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срока"),I824,0)+M825-N825+IF('депозитный калькулятор'!$G$14="есть",0,-L825))))</f>
        <v xml:space="preserve"> </v>
      </c>
      <c r="P825" s="147" t="str">
        <f>IF(F825&gt;'депозитный калькулятор'!$D$8," ",IF(EOMONTH(F824,0)=F824,0,IF(G825&gt;='депозитный калькулятор'!$G$19,P824,P824+1)))</f>
        <v xml:space="preserve"> </v>
      </c>
      <c r="Q825" s="138" t="str">
        <f>IF(F825=" "," ",IF(AND(OR('депозитный калькулятор'!$G$7="30/365",'депозитный калькулятор'!$G$7="30/360"),AND(MONTH(F825)=2,EOMONTH(F825,0)=F825)),IF(DAY(F825)=28,3,2),1)*IF(G825&gt;='депозитный калькулятор'!$G$11,IF(AND('депозитный калькулятор'!$G$7="факт/факт",MOD(YEAR(F825),4)=0),G825*'депозитный калькулятор'!$D$11/366,G825*'депозитный калькулятор'!$G$8),0))</f>
        <v xml:space="preserve"> </v>
      </c>
      <c r="R825" s="158"/>
      <c r="S825" s="62" t="str">
        <f t="shared" ca="1" si="62"/>
        <v xml:space="preserve"> </v>
      </c>
      <c r="T825" s="149" t="str">
        <f ca="1">IF(S825=" "," ",IF('депозитный калькулятор'!$G$7="30/360",DAYS360(U824,IF(DAY(U825)=31,U825-1,U825))+IF(AND(MONTH(U825)=2,U825=EOMONTH(U825,0)),30-DAY(EOMONTH(U825,0)))+T824,VLOOKUP(S825,$C$22:$F$1023,2,0)))</f>
        <v xml:space="preserve"> </v>
      </c>
      <c r="U825" s="64" t="str">
        <f t="shared" ca="1" si="60"/>
        <v xml:space="preserve"> </v>
      </c>
      <c r="V825" s="150" t="str">
        <f t="shared" ca="1" si="63"/>
        <v xml:space="preserve"> </v>
      </c>
      <c r="W825" s="62" t="str">
        <f t="shared" ca="1" si="64"/>
        <v xml:space="preserve"> </v>
      </c>
      <c r="X825" s="141" t="str">
        <f ca="1">IF(S825=" "," ",IFERROR(VLOOKUP(U825,$F$23:$N$1023,7)+VLOOKUP(U825,$F$23:$N$1023,9)+IF(AND('депозитный калькулятор'!$G$13="нет",U825&lt;&gt;'депозитный калькулятор'!$D$8),VLOOKUP(U825,$F$23:$N$1023,4),0),0)+IF(U825='депозитный калькулятор'!$D$8,VLOOKUP(U825,$F$23:$N$1023,2)+VLOOKUP(U825,$F$23:$N$1023,4),0))</f>
        <v xml:space="preserve"> </v>
      </c>
      <c r="Y825" s="142" t="str">
        <f ca="1">IF(S825=" "," ",W825/(1+'депозитный калькулятор'!$K$8)^(T825/IF('депозитный калькулятор'!$G$7="30/360",360,365)))</f>
        <v xml:space="preserve"> </v>
      </c>
      <c r="Z825" s="142" t="str">
        <f ca="1">IF(S825=" "," ",X825/(1+'депозитный калькулятор'!$K$8)^(T825/IF('депозитный калькулятор'!$G$7="30/360",360,365)))</f>
        <v xml:space="preserve"> </v>
      </c>
      <c r="AA825" s="151"/>
      <c r="AB825" s="151"/>
      <c r="AC825" s="155"/>
      <c r="AD825" s="155"/>
    </row>
    <row r="826" spans="1:30" s="2" customFormat="1" ht="15.5" x14ac:dyDescent="0.35">
      <c r="A826" s="41" t="str">
        <f>IF(F826=" "," ",IF(OR('депозитный калькулятор'!$G$7="30/365",'депозитный калькулятор'!$G$7="30/360"),IF(AND(MONTH(F826)=2,DAY(F826)=DAY(EOMONTH(F826,0))),30-DAY(EOMONTH(F826,0)),IF(DAY(F826)=31,1," "))," "))</f>
        <v xml:space="preserve"> </v>
      </c>
      <c r="B826" s="130" t="str">
        <f t="shared" si="61"/>
        <v xml:space="preserve"> </v>
      </c>
      <c r="C826" s="130" t="str">
        <f>IF(OR(B826=0,B826=" ")," ",SUM($B$23:B826))</f>
        <v xml:space="preserve"> </v>
      </c>
      <c r="D826" s="62" t="str">
        <f>IF(D825=" "," ",IF(OR(F825='депозитный калькулятор'!$D$8,F825=" ")," ",D825+1))</f>
        <v xml:space="preserve"> </v>
      </c>
      <c r="E826" s="130" t="str">
        <f>IF(OR(F825='депозитный калькулятор'!$D$8,F825=" ")," ",IF(EOMONTH(F825,0)=F825,1,E825+1))</f>
        <v xml:space="preserve"> </v>
      </c>
      <c r="F826" s="64" t="str">
        <f>IF(F825=" "," ",IF(F825='депозитный калькулятор'!$D$8," ",F825+1))</f>
        <v xml:space="preserve"> </v>
      </c>
      <c r="G826" s="145" t="str">
        <f xml:space="preserve"> IF(F826&gt;'депозитный калькулятор'!$D$8," ",IF('депозитный калькулятор'!$G$13="есть",IF('депозитный калькулятор'!$G$14="есть",G825+IF(I825=" ",0,I825)-J826-K826+L826+M826-N826,G825+IF(I825=" ",0,I825)-J826-K826+M826-N826),IF('депозитный калькулятор'!$G$14="есть",G825-J826-K826+L826+M826-N826,G825-J826-K826+M826-N826)))</f>
        <v xml:space="preserve"> </v>
      </c>
      <c r="H826" s="133" t="str">
        <f>IF(F826&gt;'депозитный калькулятор'!$D$8," ",IF(AND(OR('депозитный калькулятор'!$G$7="30/365",'депозитный калькулятор'!$G$7="30/360"),AND(MONTH(F826)=2,EOMONTH(F826,0)=F826)),IF(DAY(F826)=28,3*G826*'депозитный калькулятор'!$G$8,2*G826*'депозитный калькулятор'!$G$8),IF(AND(OR('депозитный калькулятор'!$G$7="30/365",'депозитный калькулятор'!$G$7="30/360"),DAY(F826)=31)," ",IF(AND('депозитный калькулятор'!$G$7="факт/факт",MOD(YEAR(F826),4)=0),G826*'депозитный калькулятор'!$D$11/366,G826*'депозитный калькулятор'!$G$8))))</f>
        <v xml:space="preserve"> </v>
      </c>
      <c r="I826" s="134" t="str">
        <f ca="1">IF(F826=" "," ",IF('депозитный калькулятор'!$G$10="ежедневное",H826,IF(AND('депозитный калькулятор'!$G$10="еженедельное",WEEKDAY(F826,2)=7),SUM(OFFSET(H826,-6,0):H826),IF(AND('депозитный калькулятор'!$G$10="еженедельное",F826='депозитный калькулятор'!$D$8),SUM($H$23:H826)-SUM($I$23:I825),IF(AND('депозитный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недели",WEEKDAY(F826,2)=7),MIN(OFFSET(H826,-6,0):H826)*(COUNTIF(OFFSET(H826,-6,0):H826,"&gt;0")+SUMIF(OFFSET(A826,-WEEKDAY(F826,2),0):A826,"=2",OFFSET(A826,-WEEKDAY(F826,2),0):A826)),IF(AND('депозитный калькулятор'!$G$10="еженедельное, на минимальную сумму зафиксированную в течение недели",F826='депозитный калькулятор'!$D$8,WEEKDAY(F826,2)&lt;&gt;7),MIN(OFFSET(H826,-WEEKDAY(F826,2),0):H826)*(COUNTIF(OFFSET(H826,-WEEKDAY(F826,2)+1,0):H826,"&gt;0")+SUM(OFFSET(A826,-WEEKDAY(F826,2),0):A826)),IF(AND('депозитный калькулятор'!$G$10="ежемесячное (в конце месяца)",F826='депозитный калькулятор'!$D$8,EOMONTH(F826,0)&lt;&gt;F826),IF('депозитный калькулятор'!$F$1=1,$H$24,SUM($H$23:H826)-SUM($I$23:I825)),IF(AND('депозитный калькулятор'!$G$10="ежемесячное (в конце месяца)",EOMONTH(F826,0)=F826),SUM($H$23:H826)-SUM($I$23:I825),IF(AND('депозитный калькулятор'!$G$10="ежемесячное (по дням открытия вклада)",F826='депозитный калькулятор'!$D$8,DAY('депозитный калькулятор'!$D$7)&lt;&gt;DAY(F826)),IF('депозитный калькулятор'!$F$1=1,$H$24,SUM($H$23:H826)-SUM($I$23:I825)),IF(AND('депозитный калькулятор'!$G$10="ежемесячное (по дням открытия вклада)",DAY('депозитный калькулятор'!$D$7)=DAY(F826)),SUM($H$23:H826)-SUM($I$23:I825),IF(AND('депозитный калькулятор'!$G$10="ежемесячное, на минимальную сумму зафиксированную в течение месяца",F826='депозитный калькулятор'!$D$8,EOMONTH(F826,0)&lt;&gt;F826),IF('депозитный калькулятор'!$F$1=1,$H$24,IF(AND(OR('депозитный калькулятор'!$G$7="30/365",'депозитный калькулятор'!$G$7="30/360"),DAY(F826)=31),0,MIN(OFFSET(H826,-E826+1,0):H826)*(E826+SUMIF(OFFSET(A826,-E826+1,0):A826,"=2",OFFSET(A826,-E826+1,0):A826)))),IF(AND('депозитный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калькулятор'!$G$7="30/360"),DAY(EOMONTH(F826,0))=31),EOMONTH(F826,0)-1=F826,EOMONTH(F826,0)=F826)),IF(IF(AND(OR('депозитный калькулятор'!$G$7="30/365",'депозитный калькулятор'!$G$7="30/360"),DAY(EOMONTH($F$23,0))=31),F826=EOMONTH($F$23,0)-1,F826=EOMONTH($F$23,0)),MIN(OFFSET(H826,-(DAY(F826)-DAY($F$23)),0):H826)*E826,MIN(OFFSET(H826,-(DAY(F826)-1),0):H826)*IF(AND(OR('депозитный калькулятор'!$G$7="30/365",'депозитный калькулятор'!$G$7="30/360"),DAY(F826)&lt;30),30,DAY(F826))),IF(AND('депозитный калькулятор'!$G$10="ежемесячное, на средний остаток в течение месяца, при условии что остаток больше чем ограничение",F826='депозитный калькулятор'!$D$8,EOMONTH(F826,0)&lt;&gt;F826),IF('депозитный калькулятор'!$F$1=1,$H$24,SUM(OFFSET(Q826,-E826+1,0):Q826)),IF(AND('депозитный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калькулятор'!$G$7="30/360"),DAY(EOMONTH(F826,0))=31),EOMONTH(F826,0)-1=F826,EOMONTH(F826,0)=F826)),IF(IF(AND(OR('депозитный калькулятор'!$G$7="30/365",'депозитный калькулятор'!$G$7="30/360"),DAY(EOMONTH($F$24,0))=31),F826=EOMONTH($F$24,0)-1,F826=EOMONTH($F$24,0)),SUM(OFFSET(Q826,-E826+1,0):Q826),SUM(OFFSET(Q826,-E826+1,0):Q826)),IF('депозитный калькулятор'!$G$10="ежеквартальное",IF(F826&gt;'депозитный калькулятор'!$D$8," ",IF(AND(EOMONTH(F826,0)=F826,OR(MONTH(F826)=3,MONTH(F826)=6,MONTH(F826)=9,MONTH(F826)=12)),IF(EDATE(F826,-3)&lt;'депозитный калькулятор'!$D$7,SUM($H$23:H826),IF(MOD(YEAR(F826),4)=0,IF(AND(EOMONTH(F826,0)=F826,OR(MONTH(F826)=3,MONTH(F826)=6)),SUM(OFFSET(H826,-90,0):H826),IF(AND(EOMONTH(F826,0)=F826,OR(MONTH(F826)=9,MONTH(F826)=12)),SUM(OFFSET(H826,-91,0):H826))),IF(AND(EOMONTH(F826,0)=F826,MONTH(F826)=3),SUM(OFFSET(H826,-89,0):H826),IF(AND(EOMONTH(F826,0)=F826,MONTH(F826)=6),SUM(OFFSET(H826,-90,0):H826),IF(AND(EOMONTH(F826,0)=F826,OR(MONTH(F826)=9,MONTH(F826)=12)),SUM(OFFSET(H826,-91,0):H826)))))),IF(F826='депозитный калькулятор'!$D$8,SUM($H$23:H826)-SUM($I$23:I825),0))),IF('депозитный калькулятор'!$G$10="ежегодное",IF(F826&gt;'депозитный калькулятор'!$D$8," ",IF(F826='депозитный калькулятор'!$D$8,SUM($H$23:H826)-SUM($I$23:I825),IF(AND(EOMONTH(F826,0)=F826,MONTH(F826)=12),IF(MOD(YEAR(F825),4)=0,IF(F826-'депозитный калькулятор'!$D$7&lt;366,SUM($H$23:H826),SUM(OFFSET(H826,-365,0):H826)),IF(F826-'депозитный калькулятор'!$D$7&lt;365,SUM($H$23:H826),SUM(OFFSET(H826,-364,0):H826))),0))),IF(AND('депозитный калькулятор'!$G$10="в конце срока",'депозитный калькулятор'!$D$8=F826),SUM($H$23:H826),0))))))))))))))))))</f>
        <v xml:space="preserve"> </v>
      </c>
      <c r="J826" s="59" t="str">
        <f>IF(F826&gt;'депозитный калькулятор'!$D$8," ",IF('депозитный калькулятор'!$G$16="нет",0,IF(AND('депозитный калькулятор'!$G$17="разовая (в конце срока)",F826='депозитный калькулятор'!$D$8),'депозитный калькулятор'!$G$18,IF(AND('депозитный калькулятор'!$G$17="ежемесячная",EOMONTH(F825,0)=F825),'депозитный калькулятор'!$G$18,IF(AND('депозитный калькулятор'!$G$17="ежегодная",DAY(F825)=31,MONTH(F825)=12),'депозитный калькулятор'!$G$18,IF(AND('депозитный калькулятор'!$G$17="ежемесячная в зависимости от остатка",EOMONTH(F825,0)=F825,P825&gt;0),'депозитный калькулятор'!$G$18,IF(AND('депозитный калькулятор'!$G$17="ежегодная в зависимости от остатка",DAY(F825)=31,MONTH(F825)=12,P825&gt;0),'депозитный калькулятор'!$G$18,0)))))))</f>
        <v xml:space="preserve"> </v>
      </c>
      <c r="K826" s="135" t="str">
        <f>IF($F826=" "," ",IFERROR(VLOOKUP($F826,'депозитный калькулятор'!$B$26:$F$70,2,0),0))</f>
        <v xml:space="preserve"> </v>
      </c>
      <c r="L826" s="135" t="str">
        <f>IF($F826=" "," ",IFERROR(VLOOKUP($F826,'депозитный калькулятор'!$B$26:$F$70,3,0),0))</f>
        <v xml:space="preserve"> </v>
      </c>
      <c r="M826" s="135" t="str">
        <f>IF($F826=" "," ",IFERROR(VLOOKUP($F826,'депозитный калькулятор'!$B$26:$F$70,4,0),0))</f>
        <v xml:space="preserve"> </v>
      </c>
      <c r="N826" s="135" t="str">
        <f>IF($F826=" "," ",IFERROR(VLOOKUP($F826,'депозитный калькулятор'!$B$26:$F$70,5,0),0))</f>
        <v xml:space="preserve"> </v>
      </c>
      <c r="O826" s="146" t="str">
        <f>IF(F826&gt;'депозитный калькулятор'!$D$8," ",IF(F826='депозитный калькулятор'!$D$8,IF(AND($F$24='депозитный калькулятор'!$D$8,'депозитный калькулятор'!$G$13="нет"),-G826-IF(I826=" ",0,I826)-IF(AND(OR('депозитный калькулятор'!$G$7="30/365",'депозитный калькулятор'!$G$7="30/360"),'депозитный калькулятор'!$G$10="в начале срока"),I825,0)-L826+M826-N826,-G826-IF(I826=" ",0,I826)-L826+M826-N826),IF('депозитный калькулятор'!$G$13="есть",M826-N826+IF('депозитный калькулятор'!$G$14="есть",0,-L826),-IF(I826=" ",0,I826)-IF(AND(OR('депозитный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срока"),I825,0)+M826-N826+IF('депозитный калькулятор'!$G$14="есть",0,-L826))))</f>
        <v xml:space="preserve"> </v>
      </c>
      <c r="P826" s="147" t="str">
        <f>IF(F826&gt;'депозитный калькулятор'!$D$8," ",IF(EOMONTH(F825,0)=F825,0,IF(G826&gt;='депозитный калькулятор'!$G$19,P825,P825+1)))</f>
        <v xml:space="preserve"> </v>
      </c>
      <c r="Q826" s="138" t="str">
        <f>IF(F826=" "," ",IF(AND(OR('депозитный калькулятор'!$G$7="30/365",'депозитный калькулятор'!$G$7="30/360"),AND(MONTH(F826)=2,EOMONTH(F826,0)=F826)),IF(DAY(F826)=28,3,2),1)*IF(G826&gt;='депозитный калькулятор'!$G$11,IF(AND('депозитный калькулятор'!$G$7="факт/факт",MOD(YEAR(F826),4)=0),G826*'депозитный калькулятор'!$D$11/366,G826*'депозитный калькулятор'!$G$8),0))</f>
        <v xml:space="preserve"> </v>
      </c>
      <c r="R826" s="158"/>
      <c r="S826" s="62" t="str">
        <f t="shared" ca="1" si="62"/>
        <v xml:space="preserve"> </v>
      </c>
      <c r="T826" s="149" t="str">
        <f ca="1">IF(S826=" "," ",IF('депозитный калькулятор'!$G$7="30/360",DAYS360(U825,IF(DAY(U826)=31,U826-1,U826))+IF(AND(MONTH(U826)=2,U826=EOMONTH(U826,0)),30-DAY(EOMONTH(U826,0)))+T825,VLOOKUP(S826,$C$22:$F$1023,2,0)))</f>
        <v xml:space="preserve"> </v>
      </c>
      <c r="U826" s="64" t="str">
        <f t="shared" ca="1" si="60"/>
        <v xml:space="preserve"> </v>
      </c>
      <c r="V826" s="150" t="str">
        <f t="shared" ca="1" si="63"/>
        <v xml:space="preserve"> </v>
      </c>
      <c r="W826" s="62" t="str">
        <f t="shared" ca="1" si="64"/>
        <v xml:space="preserve"> </v>
      </c>
      <c r="X826" s="141" t="str">
        <f ca="1">IF(S826=" "," ",IFERROR(VLOOKUP(U826,$F$23:$N$1023,7)+VLOOKUP(U826,$F$23:$N$1023,9)+IF(AND('депозитный калькулятор'!$G$13="нет",U826&lt;&gt;'депозитный калькулятор'!$D$8),VLOOKUP(U826,$F$23:$N$1023,4),0),0)+IF(U826='депозитный калькулятор'!$D$8,VLOOKUP(U826,$F$23:$N$1023,2)+VLOOKUP(U826,$F$23:$N$1023,4),0))</f>
        <v xml:space="preserve"> </v>
      </c>
      <c r="Y826" s="142" t="str">
        <f ca="1">IF(S826=" "," ",W826/(1+'депозитный калькулятор'!$K$8)^(T826/IF('депозитный калькулятор'!$G$7="30/360",360,365)))</f>
        <v xml:space="preserve"> </v>
      </c>
      <c r="Z826" s="142" t="str">
        <f ca="1">IF(S826=" "," ",X826/(1+'депозитный калькулятор'!$K$8)^(T826/IF('депозитный калькулятор'!$G$7="30/360",360,365)))</f>
        <v xml:space="preserve"> </v>
      </c>
      <c r="AA826" s="151"/>
      <c r="AB826" s="151"/>
      <c r="AC826" s="155"/>
      <c r="AD826" s="155"/>
    </row>
    <row r="827" spans="1:30" s="2" customFormat="1" ht="15.5" x14ac:dyDescent="0.35">
      <c r="A827" s="41" t="str">
        <f>IF(F827=" "," ",IF(OR('депозитный калькулятор'!$G$7="30/365",'депозитный калькулятор'!$G$7="30/360"),IF(AND(MONTH(F827)=2,DAY(F827)=DAY(EOMONTH(F827,0))),30-DAY(EOMONTH(F827,0)),IF(DAY(F827)=31,1," "))," "))</f>
        <v xml:space="preserve"> </v>
      </c>
      <c r="B827" s="130" t="str">
        <f t="shared" si="61"/>
        <v xml:space="preserve"> </v>
      </c>
      <c r="C827" s="130" t="str">
        <f>IF(OR(B827=0,B827=" ")," ",SUM($B$23:B827))</f>
        <v xml:space="preserve"> </v>
      </c>
      <c r="D827" s="62" t="str">
        <f>IF(D826=" "," ",IF(OR(F826='депозитный калькулятор'!$D$8,F826=" ")," ",D826+1))</f>
        <v xml:space="preserve"> </v>
      </c>
      <c r="E827" s="130" t="str">
        <f>IF(OR(F826='депозитный калькулятор'!$D$8,F826=" ")," ",IF(EOMONTH(F826,0)=F826,1,E826+1))</f>
        <v xml:space="preserve"> </v>
      </c>
      <c r="F827" s="64" t="str">
        <f>IF(F826=" "," ",IF(F826='депозитный калькулятор'!$D$8," ",F826+1))</f>
        <v xml:space="preserve"> </v>
      </c>
      <c r="G827" s="145" t="str">
        <f xml:space="preserve"> IF(F827&gt;'депозитный калькулятор'!$D$8," ",IF('депозитный калькулятор'!$G$13="есть",IF('депозитный калькулятор'!$G$14="есть",G826+IF(I826=" ",0,I826)-J827-K827+L827+M827-N827,G826+IF(I826=" ",0,I826)-J827-K827+M827-N827),IF('депозитный калькулятор'!$G$14="есть",G826-J827-K827+L827+M827-N827,G826-J827-K827+M827-N827)))</f>
        <v xml:space="preserve"> </v>
      </c>
      <c r="H827" s="133" t="str">
        <f>IF(F827&gt;'депозитный калькулятор'!$D$8," ",IF(AND(OR('депозитный калькулятор'!$G$7="30/365",'депозитный калькулятор'!$G$7="30/360"),AND(MONTH(F827)=2,EOMONTH(F827,0)=F827)),IF(DAY(F827)=28,3*G827*'депозитный калькулятор'!$G$8,2*G827*'депозитный калькулятор'!$G$8),IF(AND(OR('депозитный калькулятор'!$G$7="30/365",'депозитный калькулятор'!$G$7="30/360"),DAY(F827)=31)," ",IF(AND('депозитный калькулятор'!$G$7="факт/факт",MOD(YEAR(F827),4)=0),G827*'депозитный калькулятор'!$D$11/366,G827*'депозитный калькулятор'!$G$8))))</f>
        <v xml:space="preserve"> </v>
      </c>
      <c r="I827" s="134" t="str">
        <f ca="1">IF(F827=" "," ",IF('депозитный калькулятор'!$G$10="ежедневное",H827,IF(AND('депозитный калькулятор'!$G$10="еженедельное",WEEKDAY(F827,2)=7),SUM(OFFSET(H827,-6,0):H827),IF(AND('депозитный калькулятор'!$G$10="еженедельное",F827='депозитный калькулятор'!$D$8),SUM($H$23:H827)-SUM($I$23:I826),IF(AND('депозитный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недели",WEEKDAY(F827,2)=7),MIN(OFFSET(H827,-6,0):H827)*(COUNTIF(OFFSET(H827,-6,0):H827,"&gt;0")+SUMIF(OFFSET(A827,-WEEKDAY(F827,2),0):A827,"=2",OFFSET(A827,-WEEKDAY(F827,2),0):A827)),IF(AND('депозитный калькулятор'!$G$10="еженедельное, на минимальную сумму зафиксированную в течение недели",F827='депозитный калькулятор'!$D$8,WEEKDAY(F827,2)&lt;&gt;7),MIN(OFFSET(H827,-WEEKDAY(F827,2),0):H827)*(COUNTIF(OFFSET(H827,-WEEKDAY(F827,2)+1,0):H827,"&gt;0")+SUM(OFFSET(A827,-WEEKDAY(F827,2),0):A827)),IF(AND('депозитный калькулятор'!$G$10="ежемесячное (в конце месяца)",F827='депозитный калькулятор'!$D$8,EOMONTH(F827,0)&lt;&gt;F827),IF('депозитный калькулятор'!$F$1=1,$H$24,SUM($H$23:H827)-SUM($I$23:I826)),IF(AND('депозитный калькулятор'!$G$10="ежемесячное (в конце месяца)",EOMONTH(F827,0)=F827),SUM($H$23:H827)-SUM($I$23:I826),IF(AND('депозитный калькулятор'!$G$10="ежемесячное (по дням открытия вклада)",F827='депозитный калькулятор'!$D$8,DAY('депозитный калькулятор'!$D$7)&lt;&gt;DAY(F827)),IF('депозитный калькулятор'!$F$1=1,$H$24,SUM($H$23:H827)-SUM($I$23:I826)),IF(AND('депозитный калькулятор'!$G$10="ежемесячное (по дням открытия вклада)",DAY('депозитный калькулятор'!$D$7)=DAY(F827)),SUM($H$23:H827)-SUM($I$23:I826),IF(AND('депозитный калькулятор'!$G$10="ежемесячное, на минимальную сумму зафиксированную в течение месяца",F827='депозитный калькулятор'!$D$8,EOMONTH(F827,0)&lt;&gt;F827),IF('депозитный калькулятор'!$F$1=1,$H$24,IF(AND(OR('депозитный калькулятор'!$G$7="30/365",'депозитный калькулятор'!$G$7="30/360"),DAY(F827)=31),0,MIN(OFFSET(H827,-E827+1,0):H827)*(E827+SUMIF(OFFSET(A827,-E827+1,0):A827,"=2",OFFSET(A827,-E827+1,0):A827)))),IF(AND('депозитный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калькулятор'!$G$7="30/360"),DAY(EOMONTH(F827,0))=31),EOMONTH(F827,0)-1=F827,EOMONTH(F827,0)=F827)),IF(IF(AND(OR('депозитный калькулятор'!$G$7="30/365",'депозитный калькулятор'!$G$7="30/360"),DAY(EOMONTH($F$23,0))=31),F827=EOMONTH($F$23,0)-1,F827=EOMONTH($F$23,0)),MIN(OFFSET(H827,-(DAY(F827)-DAY($F$23)),0):H827)*E827,MIN(OFFSET(H827,-(DAY(F827)-1),0):H827)*IF(AND(OR('депозитный калькулятор'!$G$7="30/365",'депозитный калькулятор'!$G$7="30/360"),DAY(F827)&lt;30),30,DAY(F827))),IF(AND('депозитный калькулятор'!$G$10="ежемесячное, на средний остаток в течение месяца, при условии что остаток больше чем ограничение",F827='депозитный калькулятор'!$D$8,EOMONTH(F827,0)&lt;&gt;F827),IF('депозитный калькулятор'!$F$1=1,$H$24,SUM(OFFSET(Q827,-E827+1,0):Q827)),IF(AND('депозитный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калькулятор'!$G$7="30/360"),DAY(EOMONTH(F827,0))=31),EOMONTH(F827,0)-1=F827,EOMONTH(F827,0)=F827)),IF(IF(AND(OR('депозитный калькулятор'!$G$7="30/365",'депозитный калькулятор'!$G$7="30/360"),DAY(EOMONTH($F$24,0))=31),F827=EOMONTH($F$24,0)-1,F827=EOMONTH($F$24,0)),SUM(OFFSET(Q827,-E827+1,0):Q827),SUM(OFFSET(Q827,-E827+1,0):Q827)),IF('депозитный калькулятор'!$G$10="ежеквартальное",IF(F827&gt;'депозитный калькулятор'!$D$8," ",IF(AND(EOMONTH(F827,0)=F827,OR(MONTH(F827)=3,MONTH(F827)=6,MONTH(F827)=9,MONTH(F827)=12)),IF(EDATE(F827,-3)&lt;'депозитный калькулятор'!$D$7,SUM($H$23:H827),IF(MOD(YEAR(F827),4)=0,IF(AND(EOMONTH(F827,0)=F827,OR(MONTH(F827)=3,MONTH(F827)=6)),SUM(OFFSET(H827,-90,0):H827),IF(AND(EOMONTH(F827,0)=F827,OR(MONTH(F827)=9,MONTH(F827)=12)),SUM(OFFSET(H827,-91,0):H827))),IF(AND(EOMONTH(F827,0)=F827,MONTH(F827)=3),SUM(OFFSET(H827,-89,0):H827),IF(AND(EOMONTH(F827,0)=F827,MONTH(F827)=6),SUM(OFFSET(H827,-90,0):H827),IF(AND(EOMONTH(F827,0)=F827,OR(MONTH(F827)=9,MONTH(F827)=12)),SUM(OFFSET(H827,-91,0):H827)))))),IF(F827='депозитный калькулятор'!$D$8,SUM($H$23:H827)-SUM($I$23:I826),0))),IF('депозитный калькулятор'!$G$10="ежегодное",IF(F827&gt;'депозитный калькулятор'!$D$8," ",IF(F827='депозитный калькулятор'!$D$8,SUM($H$23:H827)-SUM($I$23:I826),IF(AND(EOMONTH(F827,0)=F827,MONTH(F827)=12),IF(MOD(YEAR(F826),4)=0,IF(F827-'депозитный калькулятор'!$D$7&lt;366,SUM($H$23:H827),SUM(OFFSET(H827,-365,0):H827)),IF(F827-'депозитный калькулятор'!$D$7&lt;365,SUM($H$23:H827),SUM(OFFSET(H827,-364,0):H827))),0))),IF(AND('депозитный калькулятор'!$G$10="в конце срока",'депозитный калькулятор'!$D$8=F827),SUM($H$23:H827),0))))))))))))))))))</f>
        <v xml:space="preserve"> </v>
      </c>
      <c r="J827" s="59" t="str">
        <f>IF(F827&gt;'депозитный калькулятор'!$D$8," ",IF('депозитный калькулятор'!$G$16="нет",0,IF(AND('депозитный калькулятор'!$G$17="разовая (в конце срока)",F827='депозитный калькулятор'!$D$8),'депозитный калькулятор'!$G$18,IF(AND('депозитный калькулятор'!$G$17="ежемесячная",EOMONTH(F826,0)=F826),'депозитный калькулятор'!$G$18,IF(AND('депозитный калькулятор'!$G$17="ежегодная",DAY(F826)=31,MONTH(F826)=12),'депозитный калькулятор'!$G$18,IF(AND('депозитный калькулятор'!$G$17="ежемесячная в зависимости от остатка",EOMONTH(F826,0)=F826,P826&gt;0),'депозитный калькулятор'!$G$18,IF(AND('депозитный калькулятор'!$G$17="ежегодная в зависимости от остатка",DAY(F826)=31,MONTH(F826)=12,P826&gt;0),'депозитный калькулятор'!$G$18,0)))))))</f>
        <v xml:space="preserve"> </v>
      </c>
      <c r="K827" s="135" t="str">
        <f>IF($F827=" "," ",IFERROR(VLOOKUP($F827,'депозитный калькулятор'!$B$26:$F$70,2,0),0))</f>
        <v xml:space="preserve"> </v>
      </c>
      <c r="L827" s="135" t="str">
        <f>IF($F827=" "," ",IFERROR(VLOOKUP($F827,'депозитный калькулятор'!$B$26:$F$70,3,0),0))</f>
        <v xml:space="preserve"> </v>
      </c>
      <c r="M827" s="135" t="str">
        <f>IF($F827=" "," ",IFERROR(VLOOKUP($F827,'депозитный калькулятор'!$B$26:$F$70,4,0),0))</f>
        <v xml:space="preserve"> </v>
      </c>
      <c r="N827" s="135" t="str">
        <f>IF($F827=" "," ",IFERROR(VLOOKUP($F827,'депозитный калькулятор'!$B$26:$F$70,5,0),0))</f>
        <v xml:space="preserve"> </v>
      </c>
      <c r="O827" s="146" t="str">
        <f>IF(F827&gt;'депозитный калькулятор'!$D$8," ",IF(F827='депозитный калькулятор'!$D$8,IF(AND($F$24='депозитный калькулятор'!$D$8,'депозитный калькулятор'!$G$13="нет"),-G827-IF(I827=" ",0,I827)-IF(AND(OR('депозитный калькулятор'!$G$7="30/365",'депозитный калькулятор'!$G$7="30/360"),'депозитный калькулятор'!$G$10="в начале срока"),I826,0)-L827+M827-N827,-G827-IF(I827=" ",0,I827)-L827+M827-N827),IF('депозитный калькулятор'!$G$13="есть",M827-N827+IF('депозитный калькулятор'!$G$14="есть",0,-L827),-IF(I827=" ",0,I827)-IF(AND(OR('депозитный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срока"),I826,0)+M827-N827+IF('депозитный калькулятор'!$G$14="есть",0,-L827))))</f>
        <v xml:space="preserve"> </v>
      </c>
      <c r="P827" s="147" t="str">
        <f>IF(F827&gt;'депозитный калькулятор'!$D$8," ",IF(EOMONTH(F826,0)=F826,0,IF(G827&gt;='депозитный калькулятор'!$G$19,P826,P826+1)))</f>
        <v xml:space="preserve"> </v>
      </c>
      <c r="Q827" s="138" t="str">
        <f>IF(F827=" "," ",IF(AND(OR('депозитный калькулятор'!$G$7="30/365",'депозитный калькулятор'!$G$7="30/360"),AND(MONTH(F827)=2,EOMONTH(F827,0)=F827)),IF(DAY(F827)=28,3,2),1)*IF(G827&gt;='депозитный калькулятор'!$G$11,IF(AND('депозитный калькулятор'!$G$7="факт/факт",MOD(YEAR(F827),4)=0),G827*'депозитный калькулятор'!$D$11/366,G827*'депозитный калькулятор'!$G$8),0))</f>
        <v xml:space="preserve"> </v>
      </c>
      <c r="R827" s="158"/>
      <c r="S827" s="62" t="str">
        <f t="shared" ca="1" si="62"/>
        <v xml:space="preserve"> </v>
      </c>
      <c r="T827" s="149" t="str">
        <f ca="1">IF(S827=" "," ",IF('депозитный калькулятор'!$G$7="30/360",DAYS360(U826,IF(DAY(U827)=31,U827-1,U827))+IF(AND(MONTH(U827)=2,U827=EOMONTH(U827,0)),30-DAY(EOMONTH(U827,0)))+T826,VLOOKUP(S827,$C$22:$F$1023,2,0)))</f>
        <v xml:space="preserve"> </v>
      </c>
      <c r="U827" s="64" t="str">
        <f t="shared" ca="1" si="60"/>
        <v xml:space="preserve"> </v>
      </c>
      <c r="V827" s="150" t="str">
        <f t="shared" ca="1" si="63"/>
        <v xml:space="preserve"> </v>
      </c>
      <c r="W827" s="62" t="str">
        <f t="shared" ca="1" si="64"/>
        <v xml:space="preserve"> </v>
      </c>
      <c r="X827" s="141" t="str">
        <f ca="1">IF(S827=" "," ",IFERROR(VLOOKUP(U827,$F$23:$N$1023,7)+VLOOKUP(U827,$F$23:$N$1023,9)+IF(AND('депозитный калькулятор'!$G$13="нет",U827&lt;&gt;'депозитный калькулятор'!$D$8),VLOOKUP(U827,$F$23:$N$1023,4),0),0)+IF(U827='депозитный калькулятор'!$D$8,VLOOKUP(U827,$F$23:$N$1023,2)+VLOOKUP(U827,$F$23:$N$1023,4),0))</f>
        <v xml:space="preserve"> </v>
      </c>
      <c r="Y827" s="142" t="str">
        <f ca="1">IF(S827=" "," ",W827/(1+'депозитный калькулятор'!$K$8)^(T827/IF('депозитный калькулятор'!$G$7="30/360",360,365)))</f>
        <v xml:space="preserve"> </v>
      </c>
      <c r="Z827" s="142" t="str">
        <f ca="1">IF(S827=" "," ",X827/(1+'депозитный калькулятор'!$K$8)^(T827/IF('депозитный калькулятор'!$G$7="30/360",360,365)))</f>
        <v xml:space="preserve"> </v>
      </c>
      <c r="AA827" s="151"/>
      <c r="AB827" s="151"/>
      <c r="AC827" s="155"/>
      <c r="AD827" s="155"/>
    </row>
    <row r="828" spans="1:30" s="2" customFormat="1" ht="15.5" x14ac:dyDescent="0.35">
      <c r="A828" s="41" t="str">
        <f>IF(F828=" "," ",IF(OR('депозитный калькулятор'!$G$7="30/365",'депозитный калькулятор'!$G$7="30/360"),IF(AND(MONTH(F828)=2,DAY(F828)=DAY(EOMONTH(F828,0))),30-DAY(EOMONTH(F828,0)),IF(DAY(F828)=31,1," "))," "))</f>
        <v xml:space="preserve"> </v>
      </c>
      <c r="B828" s="130" t="str">
        <f t="shared" si="61"/>
        <v xml:space="preserve"> </v>
      </c>
      <c r="C828" s="130" t="str">
        <f>IF(OR(B828=0,B828=" ")," ",SUM($B$23:B828))</f>
        <v xml:space="preserve"> </v>
      </c>
      <c r="D828" s="62" t="str">
        <f>IF(D827=" "," ",IF(OR(F827='депозитный калькулятор'!$D$8,F827=" ")," ",D827+1))</f>
        <v xml:space="preserve"> </v>
      </c>
      <c r="E828" s="130" t="str">
        <f>IF(OR(F827='депозитный калькулятор'!$D$8,F827=" ")," ",IF(EOMONTH(F827,0)=F827,1,E827+1))</f>
        <v xml:space="preserve"> </v>
      </c>
      <c r="F828" s="64" t="str">
        <f>IF(F827=" "," ",IF(F827='депозитный калькулятор'!$D$8," ",F827+1))</f>
        <v xml:space="preserve"> </v>
      </c>
      <c r="G828" s="145" t="str">
        <f xml:space="preserve"> IF(F828&gt;'депозитный калькулятор'!$D$8," ",IF('депозитный калькулятор'!$G$13="есть",IF('депозитный калькулятор'!$G$14="есть",G827+IF(I827=" ",0,I827)-J828-K828+L828+M828-N828,G827+IF(I827=" ",0,I827)-J828-K828+M828-N828),IF('депозитный калькулятор'!$G$14="есть",G827-J828-K828+L828+M828-N828,G827-J828-K828+M828-N828)))</f>
        <v xml:space="preserve"> </v>
      </c>
      <c r="H828" s="133" t="str">
        <f>IF(F828&gt;'депозитный калькулятор'!$D$8," ",IF(AND(OR('депозитный калькулятор'!$G$7="30/365",'депозитный калькулятор'!$G$7="30/360"),AND(MONTH(F828)=2,EOMONTH(F828,0)=F828)),IF(DAY(F828)=28,3*G828*'депозитный калькулятор'!$G$8,2*G828*'депозитный калькулятор'!$G$8),IF(AND(OR('депозитный калькулятор'!$G$7="30/365",'депозитный калькулятор'!$G$7="30/360"),DAY(F828)=31)," ",IF(AND('депозитный калькулятор'!$G$7="факт/факт",MOD(YEAR(F828),4)=0),G828*'депозитный калькулятор'!$D$11/366,G828*'депозитный калькулятор'!$G$8))))</f>
        <v xml:space="preserve"> </v>
      </c>
      <c r="I828" s="134" t="str">
        <f ca="1">IF(F828=" "," ",IF('депозитный калькулятор'!$G$10="ежедневное",H828,IF(AND('депозитный калькулятор'!$G$10="еженедельное",WEEKDAY(F828,2)=7),SUM(OFFSET(H828,-6,0):H828),IF(AND('депозитный калькулятор'!$G$10="еженедельное",F828='депозитный калькулятор'!$D$8),SUM($H$23:H828)-SUM($I$23:I827),IF(AND('депозитный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недели",WEEKDAY(F828,2)=7),MIN(OFFSET(H828,-6,0):H828)*(COUNTIF(OFFSET(H828,-6,0):H828,"&gt;0")+SUMIF(OFFSET(A828,-WEEKDAY(F828,2),0):A828,"=2",OFFSET(A828,-WEEKDAY(F828,2),0):A828)),IF(AND('депозитный калькулятор'!$G$10="еженедельное, на минимальную сумму зафиксированную в течение недели",F828='депозитный калькулятор'!$D$8,WEEKDAY(F828,2)&lt;&gt;7),MIN(OFFSET(H828,-WEEKDAY(F828,2),0):H828)*(COUNTIF(OFFSET(H828,-WEEKDAY(F828,2)+1,0):H828,"&gt;0")+SUM(OFFSET(A828,-WEEKDAY(F828,2),0):A828)),IF(AND('депозитный калькулятор'!$G$10="ежемесячное (в конце месяца)",F828='депозитный калькулятор'!$D$8,EOMONTH(F828,0)&lt;&gt;F828),IF('депозитный калькулятор'!$F$1=1,$H$24,SUM($H$23:H828)-SUM($I$23:I827)),IF(AND('депозитный калькулятор'!$G$10="ежемесячное (в конце месяца)",EOMONTH(F828,0)=F828),SUM($H$23:H828)-SUM($I$23:I827),IF(AND('депозитный калькулятор'!$G$10="ежемесячное (по дням открытия вклада)",F828='депозитный калькулятор'!$D$8,DAY('депозитный калькулятор'!$D$7)&lt;&gt;DAY(F828)),IF('депозитный калькулятор'!$F$1=1,$H$24,SUM($H$23:H828)-SUM($I$23:I827)),IF(AND('депозитный калькулятор'!$G$10="ежемесячное (по дням открытия вклада)",DAY('депозитный калькулятор'!$D$7)=DAY(F828)),SUM($H$23:H828)-SUM($I$23:I827),IF(AND('депозитный калькулятор'!$G$10="ежемесячное, на минимальную сумму зафиксированную в течение месяца",F828='депозитный калькулятор'!$D$8,EOMONTH(F828,0)&lt;&gt;F828),IF('депозитный калькулятор'!$F$1=1,$H$24,IF(AND(OR('депозитный калькулятор'!$G$7="30/365",'депозитный калькулятор'!$G$7="30/360"),DAY(F828)=31),0,MIN(OFFSET(H828,-E828+1,0):H828)*(E828+SUMIF(OFFSET(A828,-E828+1,0):A828,"=2",OFFSET(A828,-E828+1,0):A828)))),IF(AND('депозитный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калькулятор'!$G$7="30/360"),DAY(EOMONTH(F828,0))=31),EOMONTH(F828,0)-1=F828,EOMONTH(F828,0)=F828)),IF(IF(AND(OR('депозитный калькулятор'!$G$7="30/365",'депозитный калькулятор'!$G$7="30/360"),DAY(EOMONTH($F$23,0))=31),F828=EOMONTH($F$23,0)-1,F828=EOMONTH($F$23,0)),MIN(OFFSET(H828,-(DAY(F828)-DAY($F$23)),0):H828)*E828,MIN(OFFSET(H828,-(DAY(F828)-1),0):H828)*IF(AND(OR('депозитный калькулятор'!$G$7="30/365",'депозитный калькулятор'!$G$7="30/360"),DAY(F828)&lt;30),30,DAY(F828))),IF(AND('депозитный калькулятор'!$G$10="ежемесячное, на средний остаток в течение месяца, при условии что остаток больше чем ограничение",F828='депозитный калькулятор'!$D$8,EOMONTH(F828,0)&lt;&gt;F828),IF('депозитный калькулятор'!$F$1=1,$H$24,SUM(OFFSET(Q828,-E828+1,0):Q828)),IF(AND('депозитный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калькулятор'!$G$7="30/360"),DAY(EOMONTH(F828,0))=31),EOMONTH(F828,0)-1=F828,EOMONTH(F828,0)=F828)),IF(IF(AND(OR('депозитный калькулятор'!$G$7="30/365",'депозитный калькулятор'!$G$7="30/360"),DAY(EOMONTH($F$24,0))=31),F828=EOMONTH($F$24,0)-1,F828=EOMONTH($F$24,0)),SUM(OFFSET(Q828,-E828+1,0):Q828),SUM(OFFSET(Q828,-E828+1,0):Q828)),IF('депозитный калькулятор'!$G$10="ежеквартальное",IF(F828&gt;'депозитный калькулятор'!$D$8," ",IF(AND(EOMONTH(F828,0)=F828,OR(MONTH(F828)=3,MONTH(F828)=6,MONTH(F828)=9,MONTH(F828)=12)),IF(EDATE(F828,-3)&lt;'депозитный калькулятор'!$D$7,SUM($H$23:H828),IF(MOD(YEAR(F828),4)=0,IF(AND(EOMONTH(F828,0)=F828,OR(MONTH(F828)=3,MONTH(F828)=6)),SUM(OFFSET(H828,-90,0):H828),IF(AND(EOMONTH(F828,0)=F828,OR(MONTH(F828)=9,MONTH(F828)=12)),SUM(OFFSET(H828,-91,0):H828))),IF(AND(EOMONTH(F828,0)=F828,MONTH(F828)=3),SUM(OFFSET(H828,-89,0):H828),IF(AND(EOMONTH(F828,0)=F828,MONTH(F828)=6),SUM(OFFSET(H828,-90,0):H828),IF(AND(EOMONTH(F828,0)=F828,OR(MONTH(F828)=9,MONTH(F828)=12)),SUM(OFFSET(H828,-91,0):H828)))))),IF(F828='депозитный калькулятор'!$D$8,SUM($H$23:H828)-SUM($I$23:I827),0))),IF('депозитный калькулятор'!$G$10="ежегодное",IF(F828&gt;'депозитный калькулятор'!$D$8," ",IF(F828='депозитный калькулятор'!$D$8,SUM($H$23:H828)-SUM($I$23:I827),IF(AND(EOMONTH(F828,0)=F828,MONTH(F828)=12),IF(MOD(YEAR(F827),4)=0,IF(F828-'депозитный калькулятор'!$D$7&lt;366,SUM($H$23:H828),SUM(OFFSET(H828,-365,0):H828)),IF(F828-'депозитный калькулятор'!$D$7&lt;365,SUM($H$23:H828),SUM(OFFSET(H828,-364,0):H828))),0))),IF(AND('депозитный калькулятор'!$G$10="в конце срока",'депозитный калькулятор'!$D$8=F828),SUM($H$23:H828),0))))))))))))))))))</f>
        <v xml:space="preserve"> </v>
      </c>
      <c r="J828" s="59" t="str">
        <f>IF(F828&gt;'депозитный калькулятор'!$D$8," ",IF('депозитный калькулятор'!$G$16="нет",0,IF(AND('депозитный калькулятор'!$G$17="разовая (в конце срока)",F828='депозитный калькулятор'!$D$8),'депозитный калькулятор'!$G$18,IF(AND('депозитный калькулятор'!$G$17="ежемесячная",EOMONTH(F827,0)=F827),'депозитный калькулятор'!$G$18,IF(AND('депозитный калькулятор'!$G$17="ежегодная",DAY(F827)=31,MONTH(F827)=12),'депозитный калькулятор'!$G$18,IF(AND('депозитный калькулятор'!$G$17="ежемесячная в зависимости от остатка",EOMONTH(F827,0)=F827,P827&gt;0),'депозитный калькулятор'!$G$18,IF(AND('депозитный калькулятор'!$G$17="ежегодная в зависимости от остатка",DAY(F827)=31,MONTH(F827)=12,P827&gt;0),'депозитный калькулятор'!$G$18,0)))))))</f>
        <v xml:space="preserve"> </v>
      </c>
      <c r="K828" s="135" t="str">
        <f>IF($F828=" "," ",IFERROR(VLOOKUP($F828,'депозитный калькулятор'!$B$26:$F$70,2,0),0))</f>
        <v xml:space="preserve"> </v>
      </c>
      <c r="L828" s="135" t="str">
        <f>IF($F828=" "," ",IFERROR(VLOOKUP($F828,'депозитный калькулятор'!$B$26:$F$70,3,0),0))</f>
        <v xml:space="preserve"> </v>
      </c>
      <c r="M828" s="135" t="str">
        <f>IF($F828=" "," ",IFERROR(VLOOKUP($F828,'депозитный калькулятор'!$B$26:$F$70,4,0),0))</f>
        <v xml:space="preserve"> </v>
      </c>
      <c r="N828" s="135" t="str">
        <f>IF($F828=" "," ",IFERROR(VLOOKUP($F828,'депозитный калькулятор'!$B$26:$F$70,5,0),0))</f>
        <v xml:space="preserve"> </v>
      </c>
      <c r="O828" s="146" t="str">
        <f>IF(F828&gt;'депозитный калькулятор'!$D$8," ",IF(F828='депозитный калькулятор'!$D$8,IF(AND($F$24='депозитный калькулятор'!$D$8,'депозитный калькулятор'!$G$13="нет"),-G828-IF(I828=" ",0,I828)-IF(AND(OR('депозитный калькулятор'!$G$7="30/365",'депозитный калькулятор'!$G$7="30/360"),'депозитный калькулятор'!$G$10="в начале срока"),I827,0)-L828+M828-N828,-G828-IF(I828=" ",0,I828)-L828+M828-N828),IF('депозитный калькулятор'!$G$13="есть",M828-N828+IF('депозитный калькулятор'!$G$14="есть",0,-L828),-IF(I828=" ",0,I828)-IF(AND(OR('депозитный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срока"),I827,0)+M828-N828+IF('депозитный калькулятор'!$G$14="есть",0,-L828))))</f>
        <v xml:space="preserve"> </v>
      </c>
      <c r="P828" s="147" t="str">
        <f>IF(F828&gt;'депозитный калькулятор'!$D$8," ",IF(EOMONTH(F827,0)=F827,0,IF(G828&gt;='депозитный калькулятор'!$G$19,P827,P827+1)))</f>
        <v xml:space="preserve"> </v>
      </c>
      <c r="Q828" s="138" t="str">
        <f>IF(F828=" "," ",IF(AND(OR('депозитный калькулятор'!$G$7="30/365",'депозитный калькулятор'!$G$7="30/360"),AND(MONTH(F828)=2,EOMONTH(F828,0)=F828)),IF(DAY(F828)=28,3,2),1)*IF(G828&gt;='депозитный калькулятор'!$G$11,IF(AND('депозитный калькулятор'!$G$7="факт/факт",MOD(YEAR(F828),4)=0),G828*'депозитный калькулятор'!$D$11/366,G828*'депозитный калькулятор'!$G$8),0))</f>
        <v xml:space="preserve"> </v>
      </c>
      <c r="R828" s="158"/>
      <c r="S828" s="62" t="str">
        <f t="shared" ca="1" si="62"/>
        <v xml:space="preserve"> </v>
      </c>
      <c r="T828" s="149" t="str">
        <f ca="1">IF(S828=" "," ",IF('депозитный калькулятор'!$G$7="30/360",DAYS360(U827,IF(DAY(U828)=31,U828-1,U828))+IF(AND(MONTH(U828)=2,U828=EOMONTH(U828,0)),30-DAY(EOMONTH(U828,0)))+T827,VLOOKUP(S828,$C$22:$F$1023,2,0)))</f>
        <v xml:space="preserve"> </v>
      </c>
      <c r="U828" s="64" t="str">
        <f t="shared" ca="1" si="60"/>
        <v xml:space="preserve"> </v>
      </c>
      <c r="V828" s="150" t="str">
        <f t="shared" ca="1" si="63"/>
        <v xml:space="preserve"> </v>
      </c>
      <c r="W828" s="62" t="str">
        <f t="shared" ca="1" si="64"/>
        <v xml:space="preserve"> </v>
      </c>
      <c r="X828" s="141" t="str">
        <f ca="1">IF(S828=" "," ",IFERROR(VLOOKUP(U828,$F$23:$N$1023,7)+VLOOKUP(U828,$F$23:$N$1023,9)+IF(AND('депозитный калькулятор'!$G$13="нет",U828&lt;&gt;'депозитный калькулятор'!$D$8),VLOOKUP(U828,$F$23:$N$1023,4),0),0)+IF(U828='депозитный калькулятор'!$D$8,VLOOKUP(U828,$F$23:$N$1023,2)+VLOOKUP(U828,$F$23:$N$1023,4),0))</f>
        <v xml:space="preserve"> </v>
      </c>
      <c r="Y828" s="142" t="str">
        <f ca="1">IF(S828=" "," ",W828/(1+'депозитный калькулятор'!$K$8)^(T828/IF('депозитный калькулятор'!$G$7="30/360",360,365)))</f>
        <v xml:space="preserve"> </v>
      </c>
      <c r="Z828" s="142" t="str">
        <f ca="1">IF(S828=" "," ",X828/(1+'депозитный калькулятор'!$K$8)^(T828/IF('депозитный калькулятор'!$G$7="30/360",360,365)))</f>
        <v xml:space="preserve"> </v>
      </c>
      <c r="AA828" s="151"/>
      <c r="AB828" s="151"/>
      <c r="AC828" s="155"/>
      <c r="AD828" s="155"/>
    </row>
    <row r="829" spans="1:30" s="2" customFormat="1" ht="15.5" x14ac:dyDescent="0.35">
      <c r="A829" s="41" t="str">
        <f>IF(F829=" "," ",IF(OR('депозитный калькулятор'!$G$7="30/365",'депозитный калькулятор'!$G$7="30/360"),IF(AND(MONTH(F829)=2,DAY(F829)=DAY(EOMONTH(F829,0))),30-DAY(EOMONTH(F829,0)),IF(DAY(F829)=31,1," "))," "))</f>
        <v xml:space="preserve"> </v>
      </c>
      <c r="B829" s="130" t="str">
        <f t="shared" si="61"/>
        <v xml:space="preserve"> </v>
      </c>
      <c r="C829" s="130" t="str">
        <f>IF(OR(B829=0,B829=" ")," ",SUM($B$23:B829))</f>
        <v xml:space="preserve"> </v>
      </c>
      <c r="D829" s="62" t="str">
        <f>IF(D828=" "," ",IF(OR(F828='депозитный калькулятор'!$D$8,F828=" ")," ",D828+1))</f>
        <v xml:space="preserve"> </v>
      </c>
      <c r="E829" s="130" t="str">
        <f>IF(OR(F828='депозитный калькулятор'!$D$8,F828=" ")," ",IF(EOMONTH(F828,0)=F828,1,E828+1))</f>
        <v xml:space="preserve"> </v>
      </c>
      <c r="F829" s="64" t="str">
        <f>IF(F828=" "," ",IF(F828='депозитный калькулятор'!$D$8," ",F828+1))</f>
        <v xml:space="preserve"> </v>
      </c>
      <c r="G829" s="145" t="str">
        <f xml:space="preserve"> IF(F829&gt;'депозитный калькулятор'!$D$8," ",IF('депозитный калькулятор'!$G$13="есть",IF('депозитный калькулятор'!$G$14="есть",G828+IF(I828=" ",0,I828)-J829-K829+L829+M829-N829,G828+IF(I828=" ",0,I828)-J829-K829+M829-N829),IF('депозитный калькулятор'!$G$14="есть",G828-J829-K829+L829+M829-N829,G828-J829-K829+M829-N829)))</f>
        <v xml:space="preserve"> </v>
      </c>
      <c r="H829" s="133" t="str">
        <f>IF(F829&gt;'депозитный калькулятор'!$D$8," ",IF(AND(OR('депозитный калькулятор'!$G$7="30/365",'депозитный калькулятор'!$G$7="30/360"),AND(MONTH(F829)=2,EOMONTH(F829,0)=F829)),IF(DAY(F829)=28,3*G829*'депозитный калькулятор'!$G$8,2*G829*'депозитный калькулятор'!$G$8),IF(AND(OR('депозитный калькулятор'!$G$7="30/365",'депозитный калькулятор'!$G$7="30/360"),DAY(F829)=31)," ",IF(AND('депозитный калькулятор'!$G$7="факт/факт",MOD(YEAR(F829),4)=0),G829*'депозитный калькулятор'!$D$11/366,G829*'депозитный калькулятор'!$G$8))))</f>
        <v xml:space="preserve"> </v>
      </c>
      <c r="I829" s="134" t="str">
        <f ca="1">IF(F829=" "," ",IF('депозитный калькулятор'!$G$10="ежедневное",H829,IF(AND('депозитный калькулятор'!$G$10="еженедельное",WEEKDAY(F829,2)=7),SUM(OFFSET(H829,-6,0):H829),IF(AND('депозитный калькулятор'!$G$10="еженедельное",F829='депозитный калькулятор'!$D$8),SUM($H$23:H829)-SUM($I$23:I828),IF(AND('депозитный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недели",WEEKDAY(F829,2)=7),MIN(OFFSET(H829,-6,0):H829)*(COUNTIF(OFFSET(H829,-6,0):H829,"&gt;0")+SUMIF(OFFSET(A829,-WEEKDAY(F829,2),0):A829,"=2",OFFSET(A829,-WEEKDAY(F829,2),0):A829)),IF(AND('депозитный калькулятор'!$G$10="еженедельное, на минимальную сумму зафиксированную в течение недели",F829='депозитный калькулятор'!$D$8,WEEKDAY(F829,2)&lt;&gt;7),MIN(OFFSET(H829,-WEEKDAY(F829,2),0):H829)*(COUNTIF(OFFSET(H829,-WEEKDAY(F829,2)+1,0):H829,"&gt;0")+SUM(OFFSET(A829,-WEEKDAY(F829,2),0):A829)),IF(AND('депозитный калькулятор'!$G$10="ежемесячное (в конце месяца)",F829='депозитный калькулятор'!$D$8,EOMONTH(F829,0)&lt;&gt;F829),IF('депозитный калькулятор'!$F$1=1,$H$24,SUM($H$23:H829)-SUM($I$23:I828)),IF(AND('депозитный калькулятор'!$G$10="ежемесячное (в конце месяца)",EOMONTH(F829,0)=F829),SUM($H$23:H829)-SUM($I$23:I828),IF(AND('депозитный калькулятор'!$G$10="ежемесячное (по дням открытия вклада)",F829='депозитный калькулятор'!$D$8,DAY('депозитный калькулятор'!$D$7)&lt;&gt;DAY(F829)),IF('депозитный калькулятор'!$F$1=1,$H$24,SUM($H$23:H829)-SUM($I$23:I828)),IF(AND('депозитный калькулятор'!$G$10="ежемесячное (по дням открытия вклада)",DAY('депозитный калькулятор'!$D$7)=DAY(F829)),SUM($H$23:H829)-SUM($I$23:I828),IF(AND('депозитный калькулятор'!$G$10="ежемесячное, на минимальную сумму зафиксированную в течение месяца",F829='депозитный калькулятор'!$D$8,EOMONTH(F829,0)&lt;&gt;F829),IF('депозитный калькулятор'!$F$1=1,$H$24,IF(AND(OR('депозитный калькулятор'!$G$7="30/365",'депозитный калькулятор'!$G$7="30/360"),DAY(F829)=31),0,MIN(OFFSET(H829,-E829+1,0):H829)*(E829+SUMIF(OFFSET(A829,-E829+1,0):A829,"=2",OFFSET(A829,-E829+1,0):A829)))),IF(AND('депозитный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калькулятор'!$G$7="30/360"),DAY(EOMONTH(F829,0))=31),EOMONTH(F829,0)-1=F829,EOMONTH(F829,0)=F829)),IF(IF(AND(OR('депозитный калькулятор'!$G$7="30/365",'депозитный калькулятор'!$G$7="30/360"),DAY(EOMONTH($F$23,0))=31),F829=EOMONTH($F$23,0)-1,F829=EOMONTH($F$23,0)),MIN(OFFSET(H829,-(DAY(F829)-DAY($F$23)),0):H829)*E829,MIN(OFFSET(H829,-(DAY(F829)-1),0):H829)*IF(AND(OR('депозитный калькулятор'!$G$7="30/365",'депозитный калькулятор'!$G$7="30/360"),DAY(F829)&lt;30),30,DAY(F829))),IF(AND('депозитный калькулятор'!$G$10="ежемесячное, на средний остаток в течение месяца, при условии что остаток больше чем ограничение",F829='депозитный калькулятор'!$D$8,EOMONTH(F829,0)&lt;&gt;F829),IF('депозитный калькулятор'!$F$1=1,$H$24,SUM(OFFSET(Q829,-E829+1,0):Q829)),IF(AND('депозитный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калькулятор'!$G$7="30/360"),DAY(EOMONTH(F829,0))=31),EOMONTH(F829,0)-1=F829,EOMONTH(F829,0)=F829)),IF(IF(AND(OR('депозитный калькулятор'!$G$7="30/365",'депозитный калькулятор'!$G$7="30/360"),DAY(EOMONTH($F$24,0))=31),F829=EOMONTH($F$24,0)-1,F829=EOMONTH($F$24,0)),SUM(OFFSET(Q829,-E829+1,0):Q829),SUM(OFFSET(Q829,-E829+1,0):Q829)),IF('депозитный калькулятор'!$G$10="ежеквартальное",IF(F829&gt;'депозитный калькулятор'!$D$8," ",IF(AND(EOMONTH(F829,0)=F829,OR(MONTH(F829)=3,MONTH(F829)=6,MONTH(F829)=9,MONTH(F829)=12)),IF(EDATE(F829,-3)&lt;'депозитный калькулятор'!$D$7,SUM($H$23:H829),IF(MOD(YEAR(F829),4)=0,IF(AND(EOMONTH(F829,0)=F829,OR(MONTH(F829)=3,MONTH(F829)=6)),SUM(OFFSET(H829,-90,0):H829),IF(AND(EOMONTH(F829,0)=F829,OR(MONTH(F829)=9,MONTH(F829)=12)),SUM(OFFSET(H829,-91,0):H829))),IF(AND(EOMONTH(F829,0)=F829,MONTH(F829)=3),SUM(OFFSET(H829,-89,0):H829),IF(AND(EOMONTH(F829,0)=F829,MONTH(F829)=6),SUM(OFFSET(H829,-90,0):H829),IF(AND(EOMONTH(F829,0)=F829,OR(MONTH(F829)=9,MONTH(F829)=12)),SUM(OFFSET(H829,-91,0):H829)))))),IF(F829='депозитный калькулятор'!$D$8,SUM($H$23:H829)-SUM($I$23:I828),0))),IF('депозитный калькулятор'!$G$10="ежегодное",IF(F829&gt;'депозитный калькулятор'!$D$8," ",IF(F829='депозитный калькулятор'!$D$8,SUM($H$23:H829)-SUM($I$23:I828),IF(AND(EOMONTH(F829,0)=F829,MONTH(F829)=12),IF(MOD(YEAR(F828),4)=0,IF(F829-'депозитный калькулятор'!$D$7&lt;366,SUM($H$23:H829),SUM(OFFSET(H829,-365,0):H829)),IF(F829-'депозитный калькулятор'!$D$7&lt;365,SUM($H$23:H829),SUM(OFFSET(H829,-364,0):H829))),0))),IF(AND('депозитный калькулятор'!$G$10="в конце срока",'депозитный калькулятор'!$D$8=F829),SUM($H$23:H829),0))))))))))))))))))</f>
        <v xml:space="preserve"> </v>
      </c>
      <c r="J829" s="59" t="str">
        <f>IF(F829&gt;'депозитный калькулятор'!$D$8," ",IF('депозитный калькулятор'!$G$16="нет",0,IF(AND('депозитный калькулятор'!$G$17="разовая (в конце срока)",F829='депозитный калькулятор'!$D$8),'депозитный калькулятор'!$G$18,IF(AND('депозитный калькулятор'!$G$17="ежемесячная",EOMONTH(F828,0)=F828),'депозитный калькулятор'!$G$18,IF(AND('депозитный калькулятор'!$G$17="ежегодная",DAY(F828)=31,MONTH(F828)=12),'депозитный калькулятор'!$G$18,IF(AND('депозитный калькулятор'!$G$17="ежемесячная в зависимости от остатка",EOMONTH(F828,0)=F828,P828&gt;0),'депозитный калькулятор'!$G$18,IF(AND('депозитный калькулятор'!$G$17="ежегодная в зависимости от остатка",DAY(F828)=31,MONTH(F828)=12,P828&gt;0),'депозитный калькулятор'!$G$18,0)))))))</f>
        <v xml:space="preserve"> </v>
      </c>
      <c r="K829" s="135" t="str">
        <f>IF($F829=" "," ",IFERROR(VLOOKUP($F829,'депозитный калькулятор'!$B$26:$F$70,2,0),0))</f>
        <v xml:space="preserve"> </v>
      </c>
      <c r="L829" s="135" t="str">
        <f>IF($F829=" "," ",IFERROR(VLOOKUP($F829,'депозитный калькулятор'!$B$26:$F$70,3,0),0))</f>
        <v xml:space="preserve"> </v>
      </c>
      <c r="M829" s="135" t="str">
        <f>IF($F829=" "," ",IFERROR(VLOOKUP($F829,'депозитный калькулятор'!$B$26:$F$70,4,0),0))</f>
        <v xml:space="preserve"> </v>
      </c>
      <c r="N829" s="135" t="str">
        <f>IF($F829=" "," ",IFERROR(VLOOKUP($F829,'депозитный калькулятор'!$B$26:$F$70,5,0),0))</f>
        <v xml:space="preserve"> </v>
      </c>
      <c r="O829" s="146" t="str">
        <f>IF(F829&gt;'депозитный калькулятор'!$D$8," ",IF(F829='депозитный калькулятор'!$D$8,IF(AND($F$24='депозитный калькулятор'!$D$8,'депозитный калькулятор'!$G$13="нет"),-G829-IF(I829=" ",0,I829)-IF(AND(OR('депозитный калькулятор'!$G$7="30/365",'депозитный калькулятор'!$G$7="30/360"),'депозитный калькулятор'!$G$10="в начале срока"),I828,0)-L829+M829-N829,-G829-IF(I829=" ",0,I829)-L829+M829-N829),IF('депозитный калькулятор'!$G$13="есть",M829-N829+IF('депозитный калькулятор'!$G$14="есть",0,-L829),-IF(I829=" ",0,I829)-IF(AND(OR('депозитный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срока"),I828,0)+M829-N829+IF('депозитный калькулятор'!$G$14="есть",0,-L829))))</f>
        <v xml:space="preserve"> </v>
      </c>
      <c r="P829" s="147" t="str">
        <f>IF(F829&gt;'депозитный калькулятор'!$D$8," ",IF(EOMONTH(F828,0)=F828,0,IF(G829&gt;='депозитный калькулятор'!$G$19,P828,P828+1)))</f>
        <v xml:space="preserve"> </v>
      </c>
      <c r="Q829" s="138" t="str">
        <f>IF(F829=" "," ",IF(AND(OR('депозитный калькулятор'!$G$7="30/365",'депозитный калькулятор'!$G$7="30/360"),AND(MONTH(F829)=2,EOMONTH(F829,0)=F829)),IF(DAY(F829)=28,3,2),1)*IF(G829&gt;='депозитный калькулятор'!$G$11,IF(AND('депозитный калькулятор'!$G$7="факт/факт",MOD(YEAR(F829),4)=0),G829*'депозитный калькулятор'!$D$11/366,G829*'депозитный калькулятор'!$G$8),0))</f>
        <v xml:space="preserve"> </v>
      </c>
      <c r="R829" s="158"/>
      <c r="S829" s="62" t="str">
        <f t="shared" ca="1" si="62"/>
        <v xml:space="preserve"> </v>
      </c>
      <c r="T829" s="149" t="str">
        <f ca="1">IF(S829=" "," ",IF('депозитный калькулятор'!$G$7="30/360",DAYS360(U828,IF(DAY(U829)=31,U829-1,U829))+IF(AND(MONTH(U829)=2,U829=EOMONTH(U829,0)),30-DAY(EOMONTH(U829,0)))+T828,VLOOKUP(S829,$C$22:$F$1023,2,0)))</f>
        <v xml:space="preserve"> </v>
      </c>
      <c r="U829" s="64" t="str">
        <f t="shared" ca="1" si="60"/>
        <v xml:space="preserve"> </v>
      </c>
      <c r="V829" s="150" t="str">
        <f t="shared" ca="1" si="63"/>
        <v xml:space="preserve"> </v>
      </c>
      <c r="W829" s="62" t="str">
        <f t="shared" ca="1" si="64"/>
        <v xml:space="preserve"> </v>
      </c>
      <c r="X829" s="141" t="str">
        <f ca="1">IF(S829=" "," ",IFERROR(VLOOKUP(U829,$F$23:$N$1023,7)+VLOOKUP(U829,$F$23:$N$1023,9)+IF(AND('депозитный калькулятор'!$G$13="нет",U829&lt;&gt;'депозитный калькулятор'!$D$8),VLOOKUP(U829,$F$23:$N$1023,4),0),0)+IF(U829='депозитный калькулятор'!$D$8,VLOOKUP(U829,$F$23:$N$1023,2)+VLOOKUP(U829,$F$23:$N$1023,4),0))</f>
        <v xml:space="preserve"> </v>
      </c>
      <c r="Y829" s="142" t="str">
        <f ca="1">IF(S829=" "," ",W829/(1+'депозитный калькулятор'!$K$8)^(T829/IF('депозитный калькулятор'!$G$7="30/360",360,365)))</f>
        <v xml:space="preserve"> </v>
      </c>
      <c r="Z829" s="142" t="str">
        <f ca="1">IF(S829=" "," ",X829/(1+'депозитный калькулятор'!$K$8)^(T829/IF('депозитный калькулятор'!$G$7="30/360",360,365)))</f>
        <v xml:space="preserve"> </v>
      </c>
      <c r="AA829" s="151"/>
      <c r="AB829" s="151"/>
      <c r="AC829" s="155"/>
      <c r="AD829" s="155"/>
    </row>
    <row r="830" spans="1:30" s="2" customFormat="1" ht="15.5" x14ac:dyDescent="0.35">
      <c r="A830" s="41" t="str">
        <f>IF(F830=" "," ",IF(OR('депозитный калькулятор'!$G$7="30/365",'депозитный калькулятор'!$G$7="30/360"),IF(AND(MONTH(F830)=2,DAY(F830)=DAY(EOMONTH(F830,0))),30-DAY(EOMONTH(F830,0)),IF(DAY(F830)=31,1," "))," "))</f>
        <v xml:space="preserve"> </v>
      </c>
      <c r="B830" s="130" t="str">
        <f t="shared" si="61"/>
        <v xml:space="preserve"> </v>
      </c>
      <c r="C830" s="130" t="str">
        <f>IF(OR(B830=0,B830=" ")," ",SUM($B$23:B830))</f>
        <v xml:space="preserve"> </v>
      </c>
      <c r="D830" s="62" t="str">
        <f>IF(D829=" "," ",IF(OR(F829='депозитный калькулятор'!$D$8,F829=" ")," ",D829+1))</f>
        <v xml:space="preserve"> </v>
      </c>
      <c r="E830" s="130" t="str">
        <f>IF(OR(F829='депозитный калькулятор'!$D$8,F829=" ")," ",IF(EOMONTH(F829,0)=F829,1,E829+1))</f>
        <v xml:space="preserve"> </v>
      </c>
      <c r="F830" s="64" t="str">
        <f>IF(F829=" "," ",IF(F829='депозитный калькулятор'!$D$8," ",F829+1))</f>
        <v xml:space="preserve"> </v>
      </c>
      <c r="G830" s="145" t="str">
        <f xml:space="preserve"> IF(F830&gt;'депозитный калькулятор'!$D$8," ",IF('депозитный калькулятор'!$G$13="есть",IF('депозитный калькулятор'!$G$14="есть",G829+IF(I829=" ",0,I829)-J830-K830+L830+M830-N830,G829+IF(I829=" ",0,I829)-J830-K830+M830-N830),IF('депозитный калькулятор'!$G$14="есть",G829-J830-K830+L830+M830-N830,G829-J830-K830+M830-N830)))</f>
        <v xml:space="preserve"> </v>
      </c>
      <c r="H830" s="133" t="str">
        <f>IF(F830&gt;'депозитный калькулятор'!$D$8," ",IF(AND(OR('депозитный калькулятор'!$G$7="30/365",'депозитный калькулятор'!$G$7="30/360"),AND(MONTH(F830)=2,EOMONTH(F830,0)=F830)),IF(DAY(F830)=28,3*G830*'депозитный калькулятор'!$G$8,2*G830*'депозитный калькулятор'!$G$8),IF(AND(OR('депозитный калькулятор'!$G$7="30/365",'депозитный калькулятор'!$G$7="30/360"),DAY(F830)=31)," ",IF(AND('депозитный калькулятор'!$G$7="факт/факт",MOD(YEAR(F830),4)=0),G830*'депозитный калькулятор'!$D$11/366,G830*'депозитный калькулятор'!$G$8))))</f>
        <v xml:space="preserve"> </v>
      </c>
      <c r="I830" s="134" t="str">
        <f ca="1">IF(F830=" "," ",IF('депозитный калькулятор'!$G$10="ежедневное",H830,IF(AND('депозитный калькулятор'!$G$10="еженедельное",WEEKDAY(F830,2)=7),SUM(OFFSET(H830,-6,0):H830),IF(AND('депозитный калькулятор'!$G$10="еженедельное",F830='депозитный калькулятор'!$D$8),SUM($H$23:H830)-SUM($I$23:I829),IF(AND('депозитный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недели",WEEKDAY(F830,2)=7),MIN(OFFSET(H830,-6,0):H830)*(COUNTIF(OFFSET(H830,-6,0):H830,"&gt;0")+SUMIF(OFFSET(A830,-WEEKDAY(F830,2),0):A830,"=2",OFFSET(A830,-WEEKDAY(F830,2),0):A830)),IF(AND('депозитный калькулятор'!$G$10="еженедельное, на минимальную сумму зафиксированную в течение недели",F830='депозитный калькулятор'!$D$8,WEEKDAY(F830,2)&lt;&gt;7),MIN(OFFSET(H830,-WEEKDAY(F830,2),0):H830)*(COUNTIF(OFFSET(H830,-WEEKDAY(F830,2)+1,0):H830,"&gt;0")+SUM(OFFSET(A830,-WEEKDAY(F830,2),0):A830)),IF(AND('депозитный калькулятор'!$G$10="ежемесячное (в конце месяца)",F830='депозитный калькулятор'!$D$8,EOMONTH(F830,0)&lt;&gt;F830),IF('депозитный калькулятор'!$F$1=1,$H$24,SUM($H$23:H830)-SUM($I$23:I829)),IF(AND('депозитный калькулятор'!$G$10="ежемесячное (в конце месяца)",EOMONTH(F830,0)=F830),SUM($H$23:H830)-SUM($I$23:I829),IF(AND('депозитный калькулятор'!$G$10="ежемесячное (по дням открытия вклада)",F830='депозитный калькулятор'!$D$8,DAY('депозитный калькулятор'!$D$7)&lt;&gt;DAY(F830)),IF('депозитный калькулятор'!$F$1=1,$H$24,SUM($H$23:H830)-SUM($I$23:I829)),IF(AND('депозитный калькулятор'!$G$10="ежемесячное (по дням открытия вклада)",DAY('депозитный калькулятор'!$D$7)=DAY(F830)),SUM($H$23:H830)-SUM($I$23:I829),IF(AND('депозитный калькулятор'!$G$10="ежемесячное, на минимальную сумму зафиксированную в течение месяца",F830='депозитный калькулятор'!$D$8,EOMONTH(F830,0)&lt;&gt;F830),IF('депозитный калькулятор'!$F$1=1,$H$24,IF(AND(OR('депозитный калькулятор'!$G$7="30/365",'депозитный калькулятор'!$G$7="30/360"),DAY(F830)=31),0,MIN(OFFSET(H830,-E830+1,0):H830)*(E830+SUMIF(OFFSET(A830,-E830+1,0):A830,"=2",OFFSET(A830,-E830+1,0):A830)))),IF(AND('депозитный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калькулятор'!$G$7="30/360"),DAY(EOMONTH(F830,0))=31),EOMONTH(F830,0)-1=F830,EOMONTH(F830,0)=F830)),IF(IF(AND(OR('депозитный калькулятор'!$G$7="30/365",'депозитный калькулятор'!$G$7="30/360"),DAY(EOMONTH($F$23,0))=31),F830=EOMONTH($F$23,0)-1,F830=EOMONTH($F$23,0)),MIN(OFFSET(H830,-(DAY(F830)-DAY($F$23)),0):H830)*E830,MIN(OFFSET(H830,-(DAY(F830)-1),0):H830)*IF(AND(OR('депозитный калькулятор'!$G$7="30/365",'депозитный калькулятор'!$G$7="30/360"),DAY(F830)&lt;30),30,DAY(F830))),IF(AND('депозитный калькулятор'!$G$10="ежемесячное, на средний остаток в течение месяца, при условии что остаток больше чем ограничение",F830='депозитный калькулятор'!$D$8,EOMONTH(F830,0)&lt;&gt;F830),IF('депозитный калькулятор'!$F$1=1,$H$24,SUM(OFFSET(Q830,-E830+1,0):Q830)),IF(AND('депозитный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калькулятор'!$G$7="30/360"),DAY(EOMONTH(F830,0))=31),EOMONTH(F830,0)-1=F830,EOMONTH(F830,0)=F830)),IF(IF(AND(OR('депозитный калькулятор'!$G$7="30/365",'депозитный калькулятор'!$G$7="30/360"),DAY(EOMONTH($F$24,0))=31),F830=EOMONTH($F$24,0)-1,F830=EOMONTH($F$24,0)),SUM(OFFSET(Q830,-E830+1,0):Q830),SUM(OFFSET(Q830,-E830+1,0):Q830)),IF('депозитный калькулятор'!$G$10="ежеквартальное",IF(F830&gt;'депозитный калькулятор'!$D$8," ",IF(AND(EOMONTH(F830,0)=F830,OR(MONTH(F830)=3,MONTH(F830)=6,MONTH(F830)=9,MONTH(F830)=12)),IF(EDATE(F830,-3)&lt;'депозитный калькулятор'!$D$7,SUM($H$23:H830),IF(MOD(YEAR(F830),4)=0,IF(AND(EOMONTH(F830,0)=F830,OR(MONTH(F830)=3,MONTH(F830)=6)),SUM(OFFSET(H830,-90,0):H830),IF(AND(EOMONTH(F830,0)=F830,OR(MONTH(F830)=9,MONTH(F830)=12)),SUM(OFFSET(H830,-91,0):H830))),IF(AND(EOMONTH(F830,0)=F830,MONTH(F830)=3),SUM(OFFSET(H830,-89,0):H830),IF(AND(EOMONTH(F830,0)=F830,MONTH(F830)=6),SUM(OFFSET(H830,-90,0):H830),IF(AND(EOMONTH(F830,0)=F830,OR(MONTH(F830)=9,MONTH(F830)=12)),SUM(OFFSET(H830,-91,0):H830)))))),IF(F830='депозитный калькулятор'!$D$8,SUM($H$23:H830)-SUM($I$23:I829),0))),IF('депозитный калькулятор'!$G$10="ежегодное",IF(F830&gt;'депозитный калькулятор'!$D$8," ",IF(F830='депозитный калькулятор'!$D$8,SUM($H$23:H830)-SUM($I$23:I829),IF(AND(EOMONTH(F830,0)=F830,MONTH(F830)=12),IF(MOD(YEAR(F829),4)=0,IF(F830-'депозитный калькулятор'!$D$7&lt;366,SUM($H$23:H830),SUM(OFFSET(H830,-365,0):H830)),IF(F830-'депозитный калькулятор'!$D$7&lt;365,SUM($H$23:H830),SUM(OFFSET(H830,-364,0):H830))),0))),IF(AND('депозитный калькулятор'!$G$10="в конце срока",'депозитный калькулятор'!$D$8=F830),SUM($H$23:H830),0))))))))))))))))))</f>
        <v xml:space="preserve"> </v>
      </c>
      <c r="J830" s="59" t="str">
        <f>IF(F830&gt;'депозитный калькулятор'!$D$8," ",IF('депозитный калькулятор'!$G$16="нет",0,IF(AND('депозитный калькулятор'!$G$17="разовая (в конце срока)",F830='депозитный калькулятор'!$D$8),'депозитный калькулятор'!$G$18,IF(AND('депозитный калькулятор'!$G$17="ежемесячная",EOMONTH(F829,0)=F829),'депозитный калькулятор'!$G$18,IF(AND('депозитный калькулятор'!$G$17="ежегодная",DAY(F829)=31,MONTH(F829)=12),'депозитный калькулятор'!$G$18,IF(AND('депозитный калькулятор'!$G$17="ежемесячная в зависимости от остатка",EOMONTH(F829,0)=F829,P829&gt;0),'депозитный калькулятор'!$G$18,IF(AND('депозитный калькулятор'!$G$17="ежегодная в зависимости от остатка",DAY(F829)=31,MONTH(F829)=12,P829&gt;0),'депозитный калькулятор'!$G$18,0)))))))</f>
        <v xml:space="preserve"> </v>
      </c>
      <c r="K830" s="135" t="str">
        <f>IF($F830=" "," ",IFERROR(VLOOKUP($F830,'депозитный калькулятор'!$B$26:$F$70,2,0),0))</f>
        <v xml:space="preserve"> </v>
      </c>
      <c r="L830" s="135" t="str">
        <f>IF($F830=" "," ",IFERROR(VLOOKUP($F830,'депозитный калькулятор'!$B$26:$F$70,3,0),0))</f>
        <v xml:space="preserve"> </v>
      </c>
      <c r="M830" s="135" t="str">
        <f>IF($F830=" "," ",IFERROR(VLOOKUP($F830,'депозитный калькулятор'!$B$26:$F$70,4,0),0))</f>
        <v xml:space="preserve"> </v>
      </c>
      <c r="N830" s="135" t="str">
        <f>IF($F830=" "," ",IFERROR(VLOOKUP($F830,'депозитный калькулятор'!$B$26:$F$70,5,0),0))</f>
        <v xml:space="preserve"> </v>
      </c>
      <c r="O830" s="146" t="str">
        <f>IF(F830&gt;'депозитный калькулятор'!$D$8," ",IF(F830='депозитный калькулятор'!$D$8,IF(AND($F$24='депозитный калькулятор'!$D$8,'депозитный калькулятор'!$G$13="нет"),-G830-IF(I830=" ",0,I830)-IF(AND(OR('депозитный калькулятор'!$G$7="30/365",'депозитный калькулятор'!$G$7="30/360"),'депозитный калькулятор'!$G$10="в начале срока"),I829,0)-L830+M830-N830,-G830-IF(I830=" ",0,I830)-L830+M830-N830),IF('депозитный калькулятор'!$G$13="есть",M830-N830+IF('депозитный калькулятор'!$G$14="есть",0,-L830),-IF(I830=" ",0,I830)-IF(AND(OR('депозитный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срока"),I829,0)+M830-N830+IF('депозитный калькулятор'!$G$14="есть",0,-L830))))</f>
        <v xml:space="preserve"> </v>
      </c>
      <c r="P830" s="147" t="str">
        <f>IF(F830&gt;'депозитный калькулятор'!$D$8," ",IF(EOMONTH(F829,0)=F829,0,IF(G830&gt;='депозитный калькулятор'!$G$19,P829,P829+1)))</f>
        <v xml:space="preserve"> </v>
      </c>
      <c r="Q830" s="138" t="str">
        <f>IF(F830=" "," ",IF(AND(OR('депозитный калькулятор'!$G$7="30/365",'депозитный калькулятор'!$G$7="30/360"),AND(MONTH(F830)=2,EOMONTH(F830,0)=F830)),IF(DAY(F830)=28,3,2),1)*IF(G830&gt;='депозитный калькулятор'!$G$11,IF(AND('депозитный калькулятор'!$G$7="факт/факт",MOD(YEAR(F830),4)=0),G830*'депозитный калькулятор'!$D$11/366,G830*'депозитный калькулятор'!$G$8),0))</f>
        <v xml:space="preserve"> </v>
      </c>
      <c r="R830" s="158"/>
      <c r="S830" s="62" t="str">
        <f t="shared" ca="1" si="62"/>
        <v xml:space="preserve"> </v>
      </c>
      <c r="T830" s="149" t="str">
        <f ca="1">IF(S830=" "," ",IF('депозитный калькулятор'!$G$7="30/360",DAYS360(U829,IF(DAY(U830)=31,U830-1,U830))+IF(AND(MONTH(U830)=2,U830=EOMONTH(U830,0)),30-DAY(EOMONTH(U830,0)))+T829,VLOOKUP(S830,$C$22:$F$1023,2,0)))</f>
        <v xml:space="preserve"> </v>
      </c>
      <c r="U830" s="64" t="str">
        <f t="shared" ca="1" si="60"/>
        <v xml:space="preserve"> </v>
      </c>
      <c r="V830" s="150" t="str">
        <f t="shared" ca="1" si="63"/>
        <v xml:space="preserve"> </v>
      </c>
      <c r="W830" s="62" t="str">
        <f t="shared" ca="1" si="64"/>
        <v xml:space="preserve"> </v>
      </c>
      <c r="X830" s="141" t="str">
        <f ca="1">IF(S830=" "," ",IFERROR(VLOOKUP(U830,$F$23:$N$1023,7)+VLOOKUP(U830,$F$23:$N$1023,9)+IF(AND('депозитный калькулятор'!$G$13="нет",U830&lt;&gt;'депозитный калькулятор'!$D$8),VLOOKUP(U830,$F$23:$N$1023,4),0),0)+IF(U830='депозитный калькулятор'!$D$8,VLOOKUP(U830,$F$23:$N$1023,2)+VLOOKUP(U830,$F$23:$N$1023,4),0))</f>
        <v xml:space="preserve"> </v>
      </c>
      <c r="Y830" s="142" t="str">
        <f ca="1">IF(S830=" "," ",W830/(1+'депозитный калькулятор'!$K$8)^(T830/IF('депозитный калькулятор'!$G$7="30/360",360,365)))</f>
        <v xml:space="preserve"> </v>
      </c>
      <c r="Z830" s="142" t="str">
        <f ca="1">IF(S830=" "," ",X830/(1+'депозитный калькулятор'!$K$8)^(T830/IF('депозитный калькулятор'!$G$7="30/360",360,365)))</f>
        <v xml:space="preserve"> </v>
      </c>
      <c r="AA830" s="151"/>
      <c r="AB830" s="151"/>
      <c r="AC830" s="155"/>
      <c r="AD830" s="155"/>
    </row>
    <row r="831" spans="1:30" s="2" customFormat="1" ht="15.5" x14ac:dyDescent="0.35">
      <c r="A831" s="41" t="str">
        <f>IF(F831=" "," ",IF(OR('депозитный калькулятор'!$G$7="30/365",'депозитный калькулятор'!$G$7="30/360"),IF(AND(MONTH(F831)=2,DAY(F831)=DAY(EOMONTH(F831,0))),30-DAY(EOMONTH(F831,0)),IF(DAY(F831)=31,1," "))," "))</f>
        <v xml:space="preserve"> </v>
      </c>
      <c r="B831" s="130" t="str">
        <f t="shared" si="61"/>
        <v xml:space="preserve"> </v>
      </c>
      <c r="C831" s="130" t="str">
        <f>IF(OR(B831=0,B831=" ")," ",SUM($B$23:B831))</f>
        <v xml:space="preserve"> </v>
      </c>
      <c r="D831" s="62" t="str">
        <f>IF(D830=" "," ",IF(OR(F830='депозитный калькулятор'!$D$8,F830=" ")," ",D830+1))</f>
        <v xml:space="preserve"> </v>
      </c>
      <c r="E831" s="130" t="str">
        <f>IF(OR(F830='депозитный калькулятор'!$D$8,F830=" ")," ",IF(EOMONTH(F830,0)=F830,1,E830+1))</f>
        <v xml:space="preserve"> </v>
      </c>
      <c r="F831" s="64" t="str">
        <f>IF(F830=" "," ",IF(F830='депозитный калькулятор'!$D$8," ",F830+1))</f>
        <v xml:space="preserve"> </v>
      </c>
      <c r="G831" s="145" t="str">
        <f xml:space="preserve"> IF(F831&gt;'депозитный калькулятор'!$D$8," ",IF('депозитный калькулятор'!$G$13="есть",IF('депозитный калькулятор'!$G$14="есть",G830+IF(I830=" ",0,I830)-J831-K831+L831+M831-N831,G830+IF(I830=" ",0,I830)-J831-K831+M831-N831),IF('депозитный калькулятор'!$G$14="есть",G830-J831-K831+L831+M831-N831,G830-J831-K831+M831-N831)))</f>
        <v xml:space="preserve"> </v>
      </c>
      <c r="H831" s="133" t="str">
        <f>IF(F831&gt;'депозитный калькулятор'!$D$8," ",IF(AND(OR('депозитный калькулятор'!$G$7="30/365",'депозитный калькулятор'!$G$7="30/360"),AND(MONTH(F831)=2,EOMONTH(F831,0)=F831)),IF(DAY(F831)=28,3*G831*'депозитный калькулятор'!$G$8,2*G831*'депозитный калькулятор'!$G$8),IF(AND(OR('депозитный калькулятор'!$G$7="30/365",'депозитный калькулятор'!$G$7="30/360"),DAY(F831)=31)," ",IF(AND('депозитный калькулятор'!$G$7="факт/факт",MOD(YEAR(F831),4)=0),G831*'депозитный калькулятор'!$D$11/366,G831*'депозитный калькулятор'!$G$8))))</f>
        <v xml:space="preserve"> </v>
      </c>
      <c r="I831" s="134" t="str">
        <f ca="1">IF(F831=" "," ",IF('депозитный калькулятор'!$G$10="ежедневное",H831,IF(AND('депозитный калькулятор'!$G$10="еженедельное",WEEKDAY(F831,2)=7),SUM(OFFSET(H831,-6,0):H831),IF(AND('депозитный калькулятор'!$G$10="еженедельное",F831='депозитный калькулятор'!$D$8),SUM($H$23:H831)-SUM($I$23:I830),IF(AND('депозитный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недели",WEEKDAY(F831,2)=7),MIN(OFFSET(H831,-6,0):H831)*(COUNTIF(OFFSET(H831,-6,0):H831,"&gt;0")+SUMIF(OFFSET(A831,-WEEKDAY(F831,2),0):A831,"=2",OFFSET(A831,-WEEKDAY(F831,2),0):A831)),IF(AND('депозитный калькулятор'!$G$10="еженедельное, на минимальную сумму зафиксированную в течение недели",F831='депозитный калькулятор'!$D$8,WEEKDAY(F831,2)&lt;&gt;7),MIN(OFFSET(H831,-WEEKDAY(F831,2),0):H831)*(COUNTIF(OFFSET(H831,-WEEKDAY(F831,2)+1,0):H831,"&gt;0")+SUM(OFFSET(A831,-WEEKDAY(F831,2),0):A831)),IF(AND('депозитный калькулятор'!$G$10="ежемесячное (в конце месяца)",F831='депозитный калькулятор'!$D$8,EOMONTH(F831,0)&lt;&gt;F831),IF('депозитный калькулятор'!$F$1=1,$H$24,SUM($H$23:H831)-SUM($I$23:I830)),IF(AND('депозитный калькулятор'!$G$10="ежемесячное (в конце месяца)",EOMONTH(F831,0)=F831),SUM($H$23:H831)-SUM($I$23:I830),IF(AND('депозитный калькулятор'!$G$10="ежемесячное (по дням открытия вклада)",F831='депозитный калькулятор'!$D$8,DAY('депозитный калькулятор'!$D$7)&lt;&gt;DAY(F831)),IF('депозитный калькулятор'!$F$1=1,$H$24,SUM($H$23:H831)-SUM($I$23:I830)),IF(AND('депозитный калькулятор'!$G$10="ежемесячное (по дням открытия вклада)",DAY('депозитный калькулятор'!$D$7)=DAY(F831)),SUM($H$23:H831)-SUM($I$23:I830),IF(AND('депозитный калькулятор'!$G$10="ежемесячное, на минимальную сумму зафиксированную в течение месяца",F831='депозитный калькулятор'!$D$8,EOMONTH(F831,0)&lt;&gt;F831),IF('депозитный калькулятор'!$F$1=1,$H$24,IF(AND(OR('депозитный калькулятор'!$G$7="30/365",'депозитный калькулятор'!$G$7="30/360"),DAY(F831)=31),0,MIN(OFFSET(H831,-E831+1,0):H831)*(E831+SUMIF(OFFSET(A831,-E831+1,0):A831,"=2",OFFSET(A831,-E831+1,0):A831)))),IF(AND('депозитный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калькулятор'!$G$7="30/360"),DAY(EOMONTH(F831,0))=31),EOMONTH(F831,0)-1=F831,EOMONTH(F831,0)=F831)),IF(IF(AND(OR('депозитный калькулятор'!$G$7="30/365",'депозитный калькулятор'!$G$7="30/360"),DAY(EOMONTH($F$23,0))=31),F831=EOMONTH($F$23,0)-1,F831=EOMONTH($F$23,0)),MIN(OFFSET(H831,-(DAY(F831)-DAY($F$23)),0):H831)*E831,MIN(OFFSET(H831,-(DAY(F831)-1),0):H831)*IF(AND(OR('депозитный калькулятор'!$G$7="30/365",'депозитный калькулятор'!$G$7="30/360"),DAY(F831)&lt;30),30,DAY(F831))),IF(AND('депозитный калькулятор'!$G$10="ежемесячное, на средний остаток в течение месяца, при условии что остаток больше чем ограничение",F831='депозитный калькулятор'!$D$8,EOMONTH(F831,0)&lt;&gt;F831),IF('депозитный калькулятор'!$F$1=1,$H$24,SUM(OFFSET(Q831,-E831+1,0):Q831)),IF(AND('депозитный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калькулятор'!$G$7="30/360"),DAY(EOMONTH(F831,0))=31),EOMONTH(F831,0)-1=F831,EOMONTH(F831,0)=F831)),IF(IF(AND(OR('депозитный калькулятор'!$G$7="30/365",'депозитный калькулятор'!$G$7="30/360"),DAY(EOMONTH($F$24,0))=31),F831=EOMONTH($F$24,0)-1,F831=EOMONTH($F$24,0)),SUM(OFFSET(Q831,-E831+1,0):Q831),SUM(OFFSET(Q831,-E831+1,0):Q831)),IF('депозитный калькулятор'!$G$10="ежеквартальное",IF(F831&gt;'депозитный калькулятор'!$D$8," ",IF(AND(EOMONTH(F831,0)=F831,OR(MONTH(F831)=3,MONTH(F831)=6,MONTH(F831)=9,MONTH(F831)=12)),IF(EDATE(F831,-3)&lt;'депозитный калькулятор'!$D$7,SUM($H$23:H831),IF(MOD(YEAR(F831),4)=0,IF(AND(EOMONTH(F831,0)=F831,OR(MONTH(F831)=3,MONTH(F831)=6)),SUM(OFFSET(H831,-90,0):H831),IF(AND(EOMONTH(F831,0)=F831,OR(MONTH(F831)=9,MONTH(F831)=12)),SUM(OFFSET(H831,-91,0):H831))),IF(AND(EOMONTH(F831,0)=F831,MONTH(F831)=3),SUM(OFFSET(H831,-89,0):H831),IF(AND(EOMONTH(F831,0)=F831,MONTH(F831)=6),SUM(OFFSET(H831,-90,0):H831),IF(AND(EOMONTH(F831,0)=F831,OR(MONTH(F831)=9,MONTH(F831)=12)),SUM(OFFSET(H831,-91,0):H831)))))),IF(F831='депозитный калькулятор'!$D$8,SUM($H$23:H831)-SUM($I$23:I830),0))),IF('депозитный калькулятор'!$G$10="ежегодное",IF(F831&gt;'депозитный калькулятор'!$D$8," ",IF(F831='депозитный калькулятор'!$D$8,SUM($H$23:H831)-SUM($I$23:I830),IF(AND(EOMONTH(F831,0)=F831,MONTH(F831)=12),IF(MOD(YEAR(F830),4)=0,IF(F831-'депозитный калькулятор'!$D$7&lt;366,SUM($H$23:H831),SUM(OFFSET(H831,-365,0):H831)),IF(F831-'депозитный калькулятор'!$D$7&lt;365,SUM($H$23:H831),SUM(OFFSET(H831,-364,0):H831))),0))),IF(AND('депозитный калькулятор'!$G$10="в конце срока",'депозитный калькулятор'!$D$8=F831),SUM($H$23:H831),0))))))))))))))))))</f>
        <v xml:space="preserve"> </v>
      </c>
      <c r="J831" s="59" t="str">
        <f>IF(F831&gt;'депозитный калькулятор'!$D$8," ",IF('депозитный калькулятор'!$G$16="нет",0,IF(AND('депозитный калькулятор'!$G$17="разовая (в конце срока)",F831='депозитный калькулятор'!$D$8),'депозитный калькулятор'!$G$18,IF(AND('депозитный калькулятор'!$G$17="ежемесячная",EOMONTH(F830,0)=F830),'депозитный калькулятор'!$G$18,IF(AND('депозитный калькулятор'!$G$17="ежегодная",DAY(F830)=31,MONTH(F830)=12),'депозитный калькулятор'!$G$18,IF(AND('депозитный калькулятор'!$G$17="ежемесячная в зависимости от остатка",EOMONTH(F830,0)=F830,P830&gt;0),'депозитный калькулятор'!$G$18,IF(AND('депозитный калькулятор'!$G$17="ежегодная в зависимости от остатка",DAY(F830)=31,MONTH(F830)=12,P830&gt;0),'депозитный калькулятор'!$G$18,0)))))))</f>
        <v xml:space="preserve"> </v>
      </c>
      <c r="K831" s="135" t="str">
        <f>IF($F831=" "," ",IFERROR(VLOOKUP($F831,'депозитный калькулятор'!$B$26:$F$70,2,0),0))</f>
        <v xml:space="preserve"> </v>
      </c>
      <c r="L831" s="135" t="str">
        <f>IF($F831=" "," ",IFERROR(VLOOKUP($F831,'депозитный калькулятор'!$B$26:$F$70,3,0),0))</f>
        <v xml:space="preserve"> </v>
      </c>
      <c r="M831" s="135" t="str">
        <f>IF($F831=" "," ",IFERROR(VLOOKUP($F831,'депозитный калькулятор'!$B$26:$F$70,4,0),0))</f>
        <v xml:space="preserve"> </v>
      </c>
      <c r="N831" s="135" t="str">
        <f>IF($F831=" "," ",IFERROR(VLOOKUP($F831,'депозитный калькулятор'!$B$26:$F$70,5,0),0))</f>
        <v xml:space="preserve"> </v>
      </c>
      <c r="O831" s="146" t="str">
        <f>IF(F831&gt;'депозитный калькулятор'!$D$8," ",IF(F831='депозитный калькулятор'!$D$8,IF(AND($F$24='депозитный калькулятор'!$D$8,'депозитный калькулятор'!$G$13="нет"),-G831-IF(I831=" ",0,I831)-IF(AND(OR('депозитный калькулятор'!$G$7="30/365",'депозитный калькулятор'!$G$7="30/360"),'депозитный калькулятор'!$G$10="в начале срока"),I830,0)-L831+M831-N831,-G831-IF(I831=" ",0,I831)-L831+M831-N831),IF('депозитный калькулятор'!$G$13="есть",M831-N831+IF('депозитный калькулятор'!$G$14="есть",0,-L831),-IF(I831=" ",0,I831)-IF(AND(OR('депозитный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срока"),I830,0)+M831-N831+IF('депозитный калькулятор'!$G$14="есть",0,-L831))))</f>
        <v xml:space="preserve"> </v>
      </c>
      <c r="P831" s="147" t="str">
        <f>IF(F831&gt;'депозитный калькулятор'!$D$8," ",IF(EOMONTH(F830,0)=F830,0,IF(G831&gt;='депозитный калькулятор'!$G$19,P830,P830+1)))</f>
        <v xml:space="preserve"> </v>
      </c>
      <c r="Q831" s="138" t="str">
        <f>IF(F831=" "," ",IF(AND(OR('депозитный калькулятор'!$G$7="30/365",'депозитный калькулятор'!$G$7="30/360"),AND(MONTH(F831)=2,EOMONTH(F831,0)=F831)),IF(DAY(F831)=28,3,2),1)*IF(G831&gt;='депозитный калькулятор'!$G$11,IF(AND('депозитный калькулятор'!$G$7="факт/факт",MOD(YEAR(F831),4)=0),G831*'депозитный калькулятор'!$D$11/366,G831*'депозитный калькулятор'!$G$8),0))</f>
        <v xml:space="preserve"> </v>
      </c>
      <c r="R831" s="158"/>
      <c r="S831" s="62" t="str">
        <f t="shared" ca="1" si="62"/>
        <v xml:space="preserve"> </v>
      </c>
      <c r="T831" s="149" t="str">
        <f ca="1">IF(S831=" "," ",IF('депозитный калькулятор'!$G$7="30/360",DAYS360(U830,IF(DAY(U831)=31,U831-1,U831))+IF(AND(MONTH(U831)=2,U831=EOMONTH(U831,0)),30-DAY(EOMONTH(U831,0)))+T830,VLOOKUP(S831,$C$22:$F$1023,2,0)))</f>
        <v xml:space="preserve"> </v>
      </c>
      <c r="U831" s="64" t="str">
        <f t="shared" ca="1" si="60"/>
        <v xml:space="preserve"> </v>
      </c>
      <c r="V831" s="150" t="str">
        <f t="shared" ca="1" si="63"/>
        <v xml:space="preserve"> </v>
      </c>
      <c r="W831" s="62" t="str">
        <f t="shared" ca="1" si="64"/>
        <v xml:space="preserve"> </v>
      </c>
      <c r="X831" s="141" t="str">
        <f ca="1">IF(S831=" "," ",IFERROR(VLOOKUP(U831,$F$23:$N$1023,7)+VLOOKUP(U831,$F$23:$N$1023,9)+IF(AND('депозитный калькулятор'!$G$13="нет",U831&lt;&gt;'депозитный калькулятор'!$D$8),VLOOKUP(U831,$F$23:$N$1023,4),0),0)+IF(U831='депозитный калькулятор'!$D$8,VLOOKUP(U831,$F$23:$N$1023,2)+VLOOKUP(U831,$F$23:$N$1023,4),0))</f>
        <v xml:space="preserve"> </v>
      </c>
      <c r="Y831" s="142" t="str">
        <f ca="1">IF(S831=" "," ",W831/(1+'депозитный калькулятор'!$K$8)^(T831/IF('депозитный калькулятор'!$G$7="30/360",360,365)))</f>
        <v xml:space="preserve"> </v>
      </c>
      <c r="Z831" s="142" t="str">
        <f ca="1">IF(S831=" "," ",X831/(1+'депозитный калькулятор'!$K$8)^(T831/IF('депозитный калькулятор'!$G$7="30/360",360,365)))</f>
        <v xml:space="preserve"> </v>
      </c>
      <c r="AA831" s="151"/>
      <c r="AB831" s="151"/>
      <c r="AC831" s="155"/>
      <c r="AD831" s="155"/>
    </row>
    <row r="832" spans="1:30" s="2" customFormat="1" ht="15.5" x14ac:dyDescent="0.35">
      <c r="A832" s="41" t="str">
        <f>IF(F832=" "," ",IF(OR('депозитный калькулятор'!$G$7="30/365",'депозитный калькулятор'!$G$7="30/360"),IF(AND(MONTH(F832)=2,DAY(F832)=DAY(EOMONTH(F832,0))),30-DAY(EOMONTH(F832,0)),IF(DAY(F832)=31,1," "))," "))</f>
        <v xml:space="preserve"> </v>
      </c>
      <c r="B832" s="130" t="str">
        <f t="shared" si="61"/>
        <v xml:space="preserve"> </v>
      </c>
      <c r="C832" s="130" t="str">
        <f>IF(OR(B832=0,B832=" ")," ",SUM($B$23:B832))</f>
        <v xml:space="preserve"> </v>
      </c>
      <c r="D832" s="62" t="str">
        <f>IF(D831=" "," ",IF(OR(F831='депозитный калькулятор'!$D$8,F831=" ")," ",D831+1))</f>
        <v xml:space="preserve"> </v>
      </c>
      <c r="E832" s="130" t="str">
        <f>IF(OR(F831='депозитный калькулятор'!$D$8,F831=" ")," ",IF(EOMONTH(F831,0)=F831,1,E831+1))</f>
        <v xml:space="preserve"> </v>
      </c>
      <c r="F832" s="64" t="str">
        <f>IF(F831=" "," ",IF(F831='депозитный калькулятор'!$D$8," ",F831+1))</f>
        <v xml:space="preserve"> </v>
      </c>
      <c r="G832" s="145" t="str">
        <f xml:space="preserve"> IF(F832&gt;'депозитный калькулятор'!$D$8," ",IF('депозитный калькулятор'!$G$13="есть",IF('депозитный калькулятор'!$G$14="есть",G831+IF(I831=" ",0,I831)-J832-K832+L832+M832-N832,G831+IF(I831=" ",0,I831)-J832-K832+M832-N832),IF('депозитный калькулятор'!$G$14="есть",G831-J832-K832+L832+M832-N832,G831-J832-K832+M832-N832)))</f>
        <v xml:space="preserve"> </v>
      </c>
      <c r="H832" s="133" t="str">
        <f>IF(F832&gt;'депозитный калькулятор'!$D$8," ",IF(AND(OR('депозитный калькулятор'!$G$7="30/365",'депозитный калькулятор'!$G$7="30/360"),AND(MONTH(F832)=2,EOMONTH(F832,0)=F832)),IF(DAY(F832)=28,3*G832*'депозитный калькулятор'!$G$8,2*G832*'депозитный калькулятор'!$G$8),IF(AND(OR('депозитный калькулятор'!$G$7="30/365",'депозитный калькулятор'!$G$7="30/360"),DAY(F832)=31)," ",IF(AND('депозитный калькулятор'!$G$7="факт/факт",MOD(YEAR(F832),4)=0),G832*'депозитный калькулятор'!$D$11/366,G832*'депозитный калькулятор'!$G$8))))</f>
        <v xml:space="preserve"> </v>
      </c>
      <c r="I832" s="134" t="str">
        <f ca="1">IF(F832=" "," ",IF('депозитный калькулятор'!$G$10="ежедневное",H832,IF(AND('депозитный калькулятор'!$G$10="еженедельное",WEEKDAY(F832,2)=7),SUM(OFFSET(H832,-6,0):H832),IF(AND('депозитный калькулятор'!$G$10="еженедельное",F832='депозитный калькулятор'!$D$8),SUM($H$23:H832)-SUM($I$23:I831),IF(AND('депозитный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недели",WEEKDAY(F832,2)=7),MIN(OFFSET(H832,-6,0):H832)*(COUNTIF(OFFSET(H832,-6,0):H832,"&gt;0")+SUMIF(OFFSET(A832,-WEEKDAY(F832,2),0):A832,"=2",OFFSET(A832,-WEEKDAY(F832,2),0):A832)),IF(AND('депозитный калькулятор'!$G$10="еженедельное, на минимальную сумму зафиксированную в течение недели",F832='депозитный калькулятор'!$D$8,WEEKDAY(F832,2)&lt;&gt;7),MIN(OFFSET(H832,-WEEKDAY(F832,2),0):H832)*(COUNTIF(OFFSET(H832,-WEEKDAY(F832,2)+1,0):H832,"&gt;0")+SUM(OFFSET(A832,-WEEKDAY(F832,2),0):A832)),IF(AND('депозитный калькулятор'!$G$10="ежемесячное (в конце месяца)",F832='депозитный калькулятор'!$D$8,EOMONTH(F832,0)&lt;&gt;F832),IF('депозитный калькулятор'!$F$1=1,$H$24,SUM($H$23:H832)-SUM($I$23:I831)),IF(AND('депозитный калькулятор'!$G$10="ежемесячное (в конце месяца)",EOMONTH(F832,0)=F832),SUM($H$23:H832)-SUM($I$23:I831),IF(AND('депозитный калькулятор'!$G$10="ежемесячное (по дням открытия вклада)",F832='депозитный калькулятор'!$D$8,DAY('депозитный калькулятор'!$D$7)&lt;&gt;DAY(F832)),IF('депозитный калькулятор'!$F$1=1,$H$24,SUM($H$23:H832)-SUM($I$23:I831)),IF(AND('депозитный калькулятор'!$G$10="ежемесячное (по дням открытия вклада)",DAY('депозитный калькулятор'!$D$7)=DAY(F832)),SUM($H$23:H832)-SUM($I$23:I831),IF(AND('депозитный калькулятор'!$G$10="ежемесячное, на минимальную сумму зафиксированную в течение месяца",F832='депозитный калькулятор'!$D$8,EOMONTH(F832,0)&lt;&gt;F832),IF('депозитный калькулятор'!$F$1=1,$H$24,IF(AND(OR('депозитный калькулятор'!$G$7="30/365",'депозитный калькулятор'!$G$7="30/360"),DAY(F832)=31),0,MIN(OFFSET(H832,-E832+1,0):H832)*(E832+SUMIF(OFFSET(A832,-E832+1,0):A832,"=2",OFFSET(A832,-E832+1,0):A832)))),IF(AND('депозитный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калькулятор'!$G$7="30/360"),DAY(EOMONTH(F832,0))=31),EOMONTH(F832,0)-1=F832,EOMONTH(F832,0)=F832)),IF(IF(AND(OR('депозитный калькулятор'!$G$7="30/365",'депозитный калькулятор'!$G$7="30/360"),DAY(EOMONTH($F$23,0))=31),F832=EOMONTH($F$23,0)-1,F832=EOMONTH($F$23,0)),MIN(OFFSET(H832,-(DAY(F832)-DAY($F$23)),0):H832)*E832,MIN(OFFSET(H832,-(DAY(F832)-1),0):H832)*IF(AND(OR('депозитный калькулятор'!$G$7="30/365",'депозитный калькулятор'!$G$7="30/360"),DAY(F832)&lt;30),30,DAY(F832))),IF(AND('депозитный калькулятор'!$G$10="ежемесячное, на средний остаток в течение месяца, при условии что остаток больше чем ограничение",F832='депозитный калькулятор'!$D$8,EOMONTH(F832,0)&lt;&gt;F832),IF('депозитный калькулятор'!$F$1=1,$H$24,SUM(OFFSET(Q832,-E832+1,0):Q832)),IF(AND('депозитный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калькулятор'!$G$7="30/360"),DAY(EOMONTH(F832,0))=31),EOMONTH(F832,0)-1=F832,EOMONTH(F832,0)=F832)),IF(IF(AND(OR('депозитный калькулятор'!$G$7="30/365",'депозитный калькулятор'!$G$7="30/360"),DAY(EOMONTH($F$24,0))=31),F832=EOMONTH($F$24,0)-1,F832=EOMONTH($F$24,0)),SUM(OFFSET(Q832,-E832+1,0):Q832),SUM(OFFSET(Q832,-E832+1,0):Q832)),IF('депозитный калькулятор'!$G$10="ежеквартальное",IF(F832&gt;'депозитный калькулятор'!$D$8," ",IF(AND(EOMONTH(F832,0)=F832,OR(MONTH(F832)=3,MONTH(F832)=6,MONTH(F832)=9,MONTH(F832)=12)),IF(EDATE(F832,-3)&lt;'депозитный калькулятор'!$D$7,SUM($H$23:H832),IF(MOD(YEAR(F832),4)=0,IF(AND(EOMONTH(F832,0)=F832,OR(MONTH(F832)=3,MONTH(F832)=6)),SUM(OFFSET(H832,-90,0):H832),IF(AND(EOMONTH(F832,0)=F832,OR(MONTH(F832)=9,MONTH(F832)=12)),SUM(OFFSET(H832,-91,0):H832))),IF(AND(EOMONTH(F832,0)=F832,MONTH(F832)=3),SUM(OFFSET(H832,-89,0):H832),IF(AND(EOMONTH(F832,0)=F832,MONTH(F832)=6),SUM(OFFSET(H832,-90,0):H832),IF(AND(EOMONTH(F832,0)=F832,OR(MONTH(F832)=9,MONTH(F832)=12)),SUM(OFFSET(H832,-91,0):H832)))))),IF(F832='депозитный калькулятор'!$D$8,SUM($H$23:H832)-SUM($I$23:I831),0))),IF('депозитный калькулятор'!$G$10="ежегодное",IF(F832&gt;'депозитный калькулятор'!$D$8," ",IF(F832='депозитный калькулятор'!$D$8,SUM($H$23:H832)-SUM($I$23:I831),IF(AND(EOMONTH(F832,0)=F832,MONTH(F832)=12),IF(MOD(YEAR(F831),4)=0,IF(F832-'депозитный калькулятор'!$D$7&lt;366,SUM($H$23:H832),SUM(OFFSET(H832,-365,0):H832)),IF(F832-'депозитный калькулятор'!$D$7&lt;365,SUM($H$23:H832),SUM(OFFSET(H832,-364,0):H832))),0))),IF(AND('депозитный калькулятор'!$G$10="в конце срока",'депозитный калькулятор'!$D$8=F832),SUM($H$23:H832),0))))))))))))))))))</f>
        <v xml:space="preserve"> </v>
      </c>
      <c r="J832" s="59" t="str">
        <f>IF(F832&gt;'депозитный калькулятор'!$D$8," ",IF('депозитный калькулятор'!$G$16="нет",0,IF(AND('депозитный калькулятор'!$G$17="разовая (в конце срока)",F832='депозитный калькулятор'!$D$8),'депозитный калькулятор'!$G$18,IF(AND('депозитный калькулятор'!$G$17="ежемесячная",EOMONTH(F831,0)=F831),'депозитный калькулятор'!$G$18,IF(AND('депозитный калькулятор'!$G$17="ежегодная",DAY(F831)=31,MONTH(F831)=12),'депозитный калькулятор'!$G$18,IF(AND('депозитный калькулятор'!$G$17="ежемесячная в зависимости от остатка",EOMONTH(F831,0)=F831,P831&gt;0),'депозитный калькулятор'!$G$18,IF(AND('депозитный калькулятор'!$G$17="ежегодная в зависимости от остатка",DAY(F831)=31,MONTH(F831)=12,P831&gt;0),'депозитный калькулятор'!$G$18,0)))))))</f>
        <v xml:space="preserve"> </v>
      </c>
      <c r="K832" s="135" t="str">
        <f>IF($F832=" "," ",IFERROR(VLOOKUP($F832,'депозитный калькулятор'!$B$26:$F$70,2,0),0))</f>
        <v xml:space="preserve"> </v>
      </c>
      <c r="L832" s="135" t="str">
        <f>IF($F832=" "," ",IFERROR(VLOOKUP($F832,'депозитный калькулятор'!$B$26:$F$70,3,0),0))</f>
        <v xml:space="preserve"> </v>
      </c>
      <c r="M832" s="135" t="str">
        <f>IF($F832=" "," ",IFERROR(VLOOKUP($F832,'депозитный калькулятор'!$B$26:$F$70,4,0),0))</f>
        <v xml:space="preserve"> </v>
      </c>
      <c r="N832" s="135" t="str">
        <f>IF($F832=" "," ",IFERROR(VLOOKUP($F832,'депозитный калькулятор'!$B$26:$F$70,5,0),0))</f>
        <v xml:space="preserve"> </v>
      </c>
      <c r="O832" s="146" t="str">
        <f>IF(F832&gt;'депозитный калькулятор'!$D$8," ",IF(F832='депозитный калькулятор'!$D$8,IF(AND($F$24='депозитный калькулятор'!$D$8,'депозитный калькулятор'!$G$13="нет"),-G832-IF(I832=" ",0,I832)-IF(AND(OR('депозитный калькулятор'!$G$7="30/365",'депозитный калькулятор'!$G$7="30/360"),'депозитный калькулятор'!$G$10="в начале срока"),I831,0)-L832+M832-N832,-G832-IF(I832=" ",0,I832)-L832+M832-N832),IF('депозитный калькулятор'!$G$13="есть",M832-N832+IF('депозитный калькулятор'!$G$14="есть",0,-L832),-IF(I832=" ",0,I832)-IF(AND(OR('депозитный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срока"),I831,0)+M832-N832+IF('депозитный калькулятор'!$G$14="есть",0,-L832))))</f>
        <v xml:space="preserve"> </v>
      </c>
      <c r="P832" s="147" t="str">
        <f>IF(F832&gt;'депозитный калькулятор'!$D$8," ",IF(EOMONTH(F831,0)=F831,0,IF(G832&gt;='депозитный калькулятор'!$G$19,P831,P831+1)))</f>
        <v xml:space="preserve"> </v>
      </c>
      <c r="Q832" s="138" t="str">
        <f>IF(F832=" "," ",IF(AND(OR('депозитный калькулятор'!$G$7="30/365",'депозитный калькулятор'!$G$7="30/360"),AND(MONTH(F832)=2,EOMONTH(F832,0)=F832)),IF(DAY(F832)=28,3,2),1)*IF(G832&gt;='депозитный калькулятор'!$G$11,IF(AND('депозитный калькулятор'!$G$7="факт/факт",MOD(YEAR(F832),4)=0),G832*'депозитный калькулятор'!$D$11/366,G832*'депозитный калькулятор'!$G$8),0))</f>
        <v xml:space="preserve"> </v>
      </c>
      <c r="R832" s="158"/>
      <c r="S832" s="62" t="str">
        <f t="shared" ca="1" si="62"/>
        <v xml:space="preserve"> </v>
      </c>
      <c r="T832" s="149" t="str">
        <f ca="1">IF(S832=" "," ",IF('депозитный калькулятор'!$G$7="30/360",DAYS360(U831,IF(DAY(U832)=31,U832-1,U832))+IF(AND(MONTH(U832)=2,U832=EOMONTH(U832,0)),30-DAY(EOMONTH(U832,0)))+T831,VLOOKUP(S832,$C$22:$F$1023,2,0)))</f>
        <v xml:space="preserve"> </v>
      </c>
      <c r="U832" s="64" t="str">
        <f t="shared" ca="1" si="60"/>
        <v xml:space="preserve"> </v>
      </c>
      <c r="V832" s="150" t="str">
        <f t="shared" ca="1" si="63"/>
        <v xml:space="preserve"> </v>
      </c>
      <c r="W832" s="62" t="str">
        <f t="shared" ca="1" si="64"/>
        <v xml:space="preserve"> </v>
      </c>
      <c r="X832" s="141" t="str">
        <f ca="1">IF(S832=" "," ",IFERROR(VLOOKUP(U832,$F$23:$N$1023,7)+VLOOKUP(U832,$F$23:$N$1023,9)+IF(AND('депозитный калькулятор'!$G$13="нет",U832&lt;&gt;'депозитный калькулятор'!$D$8),VLOOKUP(U832,$F$23:$N$1023,4),0),0)+IF(U832='депозитный калькулятор'!$D$8,VLOOKUP(U832,$F$23:$N$1023,2)+VLOOKUP(U832,$F$23:$N$1023,4),0))</f>
        <v xml:space="preserve"> </v>
      </c>
      <c r="Y832" s="142" t="str">
        <f ca="1">IF(S832=" "," ",W832/(1+'депозитный калькулятор'!$K$8)^(T832/IF('депозитный калькулятор'!$G$7="30/360",360,365)))</f>
        <v xml:space="preserve"> </v>
      </c>
      <c r="Z832" s="142" t="str">
        <f ca="1">IF(S832=" "," ",X832/(1+'депозитный калькулятор'!$K$8)^(T832/IF('депозитный калькулятор'!$G$7="30/360",360,365)))</f>
        <v xml:space="preserve"> </v>
      </c>
      <c r="AA832" s="151"/>
      <c r="AB832" s="151"/>
      <c r="AC832" s="155"/>
      <c r="AD832" s="155"/>
    </row>
    <row r="833" spans="1:30" s="2" customFormat="1" ht="15.5" x14ac:dyDescent="0.35">
      <c r="A833" s="41" t="str">
        <f>IF(F833=" "," ",IF(OR('депозитный калькулятор'!$G$7="30/365",'депозитный калькулятор'!$G$7="30/360"),IF(AND(MONTH(F833)=2,DAY(F833)=DAY(EOMONTH(F833,0))),30-DAY(EOMONTH(F833,0)),IF(DAY(F833)=31,1," "))," "))</f>
        <v xml:space="preserve"> </v>
      </c>
      <c r="B833" s="130" t="str">
        <f t="shared" si="61"/>
        <v xml:space="preserve"> </v>
      </c>
      <c r="C833" s="130" t="str">
        <f>IF(OR(B833=0,B833=" ")," ",SUM($B$23:B833))</f>
        <v xml:space="preserve"> </v>
      </c>
      <c r="D833" s="62" t="str">
        <f>IF(D832=" "," ",IF(OR(F832='депозитный калькулятор'!$D$8,F832=" ")," ",D832+1))</f>
        <v xml:space="preserve"> </v>
      </c>
      <c r="E833" s="130" t="str">
        <f>IF(OR(F832='депозитный калькулятор'!$D$8,F832=" ")," ",IF(EOMONTH(F832,0)=F832,1,E832+1))</f>
        <v xml:space="preserve"> </v>
      </c>
      <c r="F833" s="64" t="str">
        <f>IF(F832=" "," ",IF(F832='депозитный калькулятор'!$D$8," ",F832+1))</f>
        <v xml:space="preserve"> </v>
      </c>
      <c r="G833" s="145" t="str">
        <f xml:space="preserve"> IF(F833&gt;'депозитный калькулятор'!$D$8," ",IF('депозитный калькулятор'!$G$13="есть",IF('депозитный калькулятор'!$G$14="есть",G832+IF(I832=" ",0,I832)-J833-K833+L833+M833-N833,G832+IF(I832=" ",0,I832)-J833-K833+M833-N833),IF('депозитный калькулятор'!$G$14="есть",G832-J833-K833+L833+M833-N833,G832-J833-K833+M833-N833)))</f>
        <v xml:space="preserve"> </v>
      </c>
      <c r="H833" s="133" t="str">
        <f>IF(F833&gt;'депозитный калькулятор'!$D$8," ",IF(AND(OR('депозитный калькулятор'!$G$7="30/365",'депозитный калькулятор'!$G$7="30/360"),AND(MONTH(F833)=2,EOMONTH(F833,0)=F833)),IF(DAY(F833)=28,3*G833*'депозитный калькулятор'!$G$8,2*G833*'депозитный калькулятор'!$G$8),IF(AND(OR('депозитный калькулятор'!$G$7="30/365",'депозитный калькулятор'!$G$7="30/360"),DAY(F833)=31)," ",IF(AND('депозитный калькулятор'!$G$7="факт/факт",MOD(YEAR(F833),4)=0),G833*'депозитный калькулятор'!$D$11/366,G833*'депозитный калькулятор'!$G$8))))</f>
        <v xml:space="preserve"> </v>
      </c>
      <c r="I833" s="134" t="str">
        <f ca="1">IF(F833=" "," ",IF('депозитный калькулятор'!$G$10="ежедневное",H833,IF(AND('депозитный калькулятор'!$G$10="еженедельное",WEEKDAY(F833,2)=7),SUM(OFFSET(H833,-6,0):H833),IF(AND('депозитный калькулятор'!$G$10="еженедельное",F833='депозитный калькулятор'!$D$8),SUM($H$23:H833)-SUM($I$23:I832),IF(AND('депозитный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недели",WEEKDAY(F833,2)=7),MIN(OFFSET(H833,-6,0):H833)*(COUNTIF(OFFSET(H833,-6,0):H833,"&gt;0")+SUMIF(OFFSET(A833,-WEEKDAY(F833,2),0):A833,"=2",OFFSET(A833,-WEEKDAY(F833,2),0):A833)),IF(AND('депозитный калькулятор'!$G$10="еженедельное, на минимальную сумму зафиксированную в течение недели",F833='депозитный калькулятор'!$D$8,WEEKDAY(F833,2)&lt;&gt;7),MIN(OFFSET(H833,-WEEKDAY(F833,2),0):H833)*(COUNTIF(OFFSET(H833,-WEEKDAY(F833,2)+1,0):H833,"&gt;0")+SUM(OFFSET(A833,-WEEKDAY(F833,2),0):A833)),IF(AND('депозитный калькулятор'!$G$10="ежемесячное (в конце месяца)",F833='депозитный калькулятор'!$D$8,EOMONTH(F833,0)&lt;&gt;F833),IF('депозитный калькулятор'!$F$1=1,$H$24,SUM($H$23:H833)-SUM($I$23:I832)),IF(AND('депозитный калькулятор'!$G$10="ежемесячное (в конце месяца)",EOMONTH(F833,0)=F833),SUM($H$23:H833)-SUM($I$23:I832),IF(AND('депозитный калькулятор'!$G$10="ежемесячное (по дням открытия вклада)",F833='депозитный калькулятор'!$D$8,DAY('депозитный калькулятор'!$D$7)&lt;&gt;DAY(F833)),IF('депозитный калькулятор'!$F$1=1,$H$24,SUM($H$23:H833)-SUM($I$23:I832)),IF(AND('депозитный калькулятор'!$G$10="ежемесячное (по дням открытия вклада)",DAY('депозитный калькулятор'!$D$7)=DAY(F833)),SUM($H$23:H833)-SUM($I$23:I832),IF(AND('депозитный калькулятор'!$G$10="ежемесячное, на минимальную сумму зафиксированную в течение месяца",F833='депозитный калькулятор'!$D$8,EOMONTH(F833,0)&lt;&gt;F833),IF('депозитный калькулятор'!$F$1=1,$H$24,IF(AND(OR('депозитный калькулятор'!$G$7="30/365",'депозитный калькулятор'!$G$7="30/360"),DAY(F833)=31),0,MIN(OFFSET(H833,-E833+1,0):H833)*(E833+SUMIF(OFFSET(A833,-E833+1,0):A833,"=2",OFFSET(A833,-E833+1,0):A833)))),IF(AND('депозитный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калькулятор'!$G$7="30/360"),DAY(EOMONTH(F833,0))=31),EOMONTH(F833,0)-1=F833,EOMONTH(F833,0)=F833)),IF(IF(AND(OR('депозитный калькулятор'!$G$7="30/365",'депозитный калькулятор'!$G$7="30/360"),DAY(EOMONTH($F$23,0))=31),F833=EOMONTH($F$23,0)-1,F833=EOMONTH($F$23,0)),MIN(OFFSET(H833,-(DAY(F833)-DAY($F$23)),0):H833)*E833,MIN(OFFSET(H833,-(DAY(F833)-1),0):H833)*IF(AND(OR('депозитный калькулятор'!$G$7="30/365",'депозитный калькулятор'!$G$7="30/360"),DAY(F833)&lt;30),30,DAY(F833))),IF(AND('депозитный калькулятор'!$G$10="ежемесячное, на средний остаток в течение месяца, при условии что остаток больше чем ограничение",F833='депозитный калькулятор'!$D$8,EOMONTH(F833,0)&lt;&gt;F833),IF('депозитный калькулятор'!$F$1=1,$H$24,SUM(OFFSET(Q833,-E833+1,0):Q833)),IF(AND('депозитный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калькулятор'!$G$7="30/360"),DAY(EOMONTH(F833,0))=31),EOMONTH(F833,0)-1=F833,EOMONTH(F833,0)=F833)),IF(IF(AND(OR('депозитный калькулятор'!$G$7="30/365",'депозитный калькулятор'!$G$7="30/360"),DAY(EOMONTH($F$24,0))=31),F833=EOMONTH($F$24,0)-1,F833=EOMONTH($F$24,0)),SUM(OFFSET(Q833,-E833+1,0):Q833),SUM(OFFSET(Q833,-E833+1,0):Q833)),IF('депозитный калькулятор'!$G$10="ежеквартальное",IF(F833&gt;'депозитный калькулятор'!$D$8," ",IF(AND(EOMONTH(F833,0)=F833,OR(MONTH(F833)=3,MONTH(F833)=6,MONTH(F833)=9,MONTH(F833)=12)),IF(EDATE(F833,-3)&lt;'депозитный калькулятор'!$D$7,SUM($H$23:H833),IF(MOD(YEAR(F833),4)=0,IF(AND(EOMONTH(F833,0)=F833,OR(MONTH(F833)=3,MONTH(F833)=6)),SUM(OFFSET(H833,-90,0):H833),IF(AND(EOMONTH(F833,0)=F833,OR(MONTH(F833)=9,MONTH(F833)=12)),SUM(OFFSET(H833,-91,0):H833))),IF(AND(EOMONTH(F833,0)=F833,MONTH(F833)=3),SUM(OFFSET(H833,-89,0):H833),IF(AND(EOMONTH(F833,0)=F833,MONTH(F833)=6),SUM(OFFSET(H833,-90,0):H833),IF(AND(EOMONTH(F833,0)=F833,OR(MONTH(F833)=9,MONTH(F833)=12)),SUM(OFFSET(H833,-91,0):H833)))))),IF(F833='депозитный калькулятор'!$D$8,SUM($H$23:H833)-SUM($I$23:I832),0))),IF('депозитный калькулятор'!$G$10="ежегодное",IF(F833&gt;'депозитный калькулятор'!$D$8," ",IF(F833='депозитный калькулятор'!$D$8,SUM($H$23:H833)-SUM($I$23:I832),IF(AND(EOMONTH(F833,0)=F833,MONTH(F833)=12),IF(MOD(YEAR(F832),4)=0,IF(F833-'депозитный калькулятор'!$D$7&lt;366,SUM($H$23:H833),SUM(OFFSET(H833,-365,0):H833)),IF(F833-'депозитный калькулятор'!$D$7&lt;365,SUM($H$23:H833),SUM(OFFSET(H833,-364,0):H833))),0))),IF(AND('депозитный калькулятор'!$G$10="в конце срока",'депозитный калькулятор'!$D$8=F833),SUM($H$23:H833),0))))))))))))))))))</f>
        <v xml:space="preserve"> </v>
      </c>
      <c r="J833" s="59" t="str">
        <f>IF(F833&gt;'депозитный калькулятор'!$D$8," ",IF('депозитный калькулятор'!$G$16="нет",0,IF(AND('депозитный калькулятор'!$G$17="разовая (в конце срока)",F833='депозитный калькулятор'!$D$8),'депозитный калькулятор'!$G$18,IF(AND('депозитный калькулятор'!$G$17="ежемесячная",EOMONTH(F832,0)=F832),'депозитный калькулятор'!$G$18,IF(AND('депозитный калькулятор'!$G$17="ежегодная",DAY(F832)=31,MONTH(F832)=12),'депозитный калькулятор'!$G$18,IF(AND('депозитный калькулятор'!$G$17="ежемесячная в зависимости от остатка",EOMONTH(F832,0)=F832,P832&gt;0),'депозитный калькулятор'!$G$18,IF(AND('депозитный калькулятор'!$G$17="ежегодная в зависимости от остатка",DAY(F832)=31,MONTH(F832)=12,P832&gt;0),'депозитный калькулятор'!$G$18,0)))))))</f>
        <v xml:space="preserve"> </v>
      </c>
      <c r="K833" s="135" t="str">
        <f>IF($F833=" "," ",IFERROR(VLOOKUP($F833,'депозитный калькулятор'!$B$26:$F$70,2,0),0))</f>
        <v xml:space="preserve"> </v>
      </c>
      <c r="L833" s="135" t="str">
        <f>IF($F833=" "," ",IFERROR(VLOOKUP($F833,'депозитный калькулятор'!$B$26:$F$70,3,0),0))</f>
        <v xml:space="preserve"> </v>
      </c>
      <c r="M833" s="135" t="str">
        <f>IF($F833=" "," ",IFERROR(VLOOKUP($F833,'депозитный калькулятор'!$B$26:$F$70,4,0),0))</f>
        <v xml:space="preserve"> </v>
      </c>
      <c r="N833" s="135" t="str">
        <f>IF($F833=" "," ",IFERROR(VLOOKUP($F833,'депозитный калькулятор'!$B$26:$F$70,5,0),0))</f>
        <v xml:space="preserve"> </v>
      </c>
      <c r="O833" s="146" t="str">
        <f>IF(F833&gt;'депозитный калькулятор'!$D$8," ",IF(F833='депозитный калькулятор'!$D$8,IF(AND($F$24='депозитный калькулятор'!$D$8,'депозитный калькулятор'!$G$13="нет"),-G833-IF(I833=" ",0,I833)-IF(AND(OR('депозитный калькулятор'!$G$7="30/365",'депозитный калькулятор'!$G$7="30/360"),'депозитный калькулятор'!$G$10="в начале срока"),I832,0)-L833+M833-N833,-G833-IF(I833=" ",0,I833)-L833+M833-N833),IF('депозитный калькулятор'!$G$13="есть",M833-N833+IF('депозитный калькулятор'!$G$14="есть",0,-L833),-IF(I833=" ",0,I833)-IF(AND(OR('депозитный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срока"),I832,0)+M833-N833+IF('депозитный калькулятор'!$G$14="есть",0,-L833))))</f>
        <v xml:space="preserve"> </v>
      </c>
      <c r="P833" s="147" t="str">
        <f>IF(F833&gt;'депозитный калькулятор'!$D$8," ",IF(EOMONTH(F832,0)=F832,0,IF(G833&gt;='депозитный калькулятор'!$G$19,P832,P832+1)))</f>
        <v xml:space="preserve"> </v>
      </c>
      <c r="Q833" s="138" t="str">
        <f>IF(F833=" "," ",IF(AND(OR('депозитный калькулятор'!$G$7="30/365",'депозитный калькулятор'!$G$7="30/360"),AND(MONTH(F833)=2,EOMONTH(F833,0)=F833)),IF(DAY(F833)=28,3,2),1)*IF(G833&gt;='депозитный калькулятор'!$G$11,IF(AND('депозитный калькулятор'!$G$7="факт/факт",MOD(YEAR(F833),4)=0),G833*'депозитный калькулятор'!$D$11/366,G833*'депозитный калькулятор'!$G$8),0))</f>
        <v xml:space="preserve"> </v>
      </c>
      <c r="R833" s="158"/>
      <c r="S833" s="62" t="str">
        <f t="shared" ca="1" si="62"/>
        <v xml:space="preserve"> </v>
      </c>
      <c r="T833" s="149" t="str">
        <f ca="1">IF(S833=" "," ",IF('депозитный калькулятор'!$G$7="30/360",DAYS360(U832,IF(DAY(U833)=31,U833-1,U833))+IF(AND(MONTH(U833)=2,U833=EOMONTH(U833,0)),30-DAY(EOMONTH(U833,0)))+T832,VLOOKUP(S833,$C$22:$F$1023,2,0)))</f>
        <v xml:space="preserve"> </v>
      </c>
      <c r="U833" s="64" t="str">
        <f t="shared" ca="1" si="60"/>
        <v xml:space="preserve"> </v>
      </c>
      <c r="V833" s="150" t="str">
        <f t="shared" ca="1" si="63"/>
        <v xml:space="preserve"> </v>
      </c>
      <c r="W833" s="62" t="str">
        <f t="shared" ca="1" si="64"/>
        <v xml:space="preserve"> </v>
      </c>
      <c r="X833" s="141" t="str">
        <f ca="1">IF(S833=" "," ",IFERROR(VLOOKUP(U833,$F$23:$N$1023,7)+VLOOKUP(U833,$F$23:$N$1023,9)+IF(AND('депозитный калькулятор'!$G$13="нет",U833&lt;&gt;'депозитный калькулятор'!$D$8),VLOOKUP(U833,$F$23:$N$1023,4),0),0)+IF(U833='депозитный калькулятор'!$D$8,VLOOKUP(U833,$F$23:$N$1023,2)+VLOOKUP(U833,$F$23:$N$1023,4),0))</f>
        <v xml:space="preserve"> </v>
      </c>
      <c r="Y833" s="142" t="str">
        <f ca="1">IF(S833=" "," ",W833/(1+'депозитный калькулятор'!$K$8)^(T833/IF('депозитный калькулятор'!$G$7="30/360",360,365)))</f>
        <v xml:space="preserve"> </v>
      </c>
      <c r="Z833" s="142" t="str">
        <f ca="1">IF(S833=" "," ",X833/(1+'депозитный калькулятор'!$K$8)^(T833/IF('депозитный калькулятор'!$G$7="30/360",360,365)))</f>
        <v xml:space="preserve"> </v>
      </c>
      <c r="AA833" s="151"/>
      <c r="AB833" s="151"/>
      <c r="AC833" s="155"/>
      <c r="AD833" s="155"/>
    </row>
    <row r="834" spans="1:30" s="2" customFormat="1" ht="15.5" x14ac:dyDescent="0.35">
      <c r="A834" s="41" t="str">
        <f>IF(F834=" "," ",IF(OR('депозитный калькулятор'!$G$7="30/365",'депозитный калькулятор'!$G$7="30/360"),IF(AND(MONTH(F834)=2,DAY(F834)=DAY(EOMONTH(F834,0))),30-DAY(EOMONTH(F834,0)),IF(DAY(F834)=31,1," "))," "))</f>
        <v xml:space="preserve"> </v>
      </c>
      <c r="B834" s="130" t="str">
        <f t="shared" si="61"/>
        <v xml:space="preserve"> </v>
      </c>
      <c r="C834" s="130" t="str">
        <f>IF(OR(B834=0,B834=" ")," ",SUM($B$23:B834))</f>
        <v xml:space="preserve"> </v>
      </c>
      <c r="D834" s="62" t="str">
        <f>IF(D833=" "," ",IF(OR(F833='депозитный калькулятор'!$D$8,F833=" ")," ",D833+1))</f>
        <v xml:space="preserve"> </v>
      </c>
      <c r="E834" s="130" t="str">
        <f>IF(OR(F833='депозитный калькулятор'!$D$8,F833=" ")," ",IF(EOMONTH(F833,0)=F833,1,E833+1))</f>
        <v xml:space="preserve"> </v>
      </c>
      <c r="F834" s="64" t="str">
        <f>IF(F833=" "," ",IF(F833='депозитный калькулятор'!$D$8," ",F833+1))</f>
        <v xml:space="preserve"> </v>
      </c>
      <c r="G834" s="145" t="str">
        <f xml:space="preserve"> IF(F834&gt;'депозитный калькулятор'!$D$8," ",IF('депозитный калькулятор'!$G$13="есть",IF('депозитный калькулятор'!$G$14="есть",G833+IF(I833=" ",0,I833)-J834-K834+L834+M834-N834,G833+IF(I833=" ",0,I833)-J834-K834+M834-N834),IF('депозитный калькулятор'!$G$14="есть",G833-J834-K834+L834+M834-N834,G833-J834-K834+M834-N834)))</f>
        <v xml:space="preserve"> </v>
      </c>
      <c r="H834" s="133" t="str">
        <f>IF(F834&gt;'депозитный калькулятор'!$D$8," ",IF(AND(OR('депозитный калькулятор'!$G$7="30/365",'депозитный калькулятор'!$G$7="30/360"),AND(MONTH(F834)=2,EOMONTH(F834,0)=F834)),IF(DAY(F834)=28,3*G834*'депозитный калькулятор'!$G$8,2*G834*'депозитный калькулятор'!$G$8),IF(AND(OR('депозитный калькулятор'!$G$7="30/365",'депозитный калькулятор'!$G$7="30/360"),DAY(F834)=31)," ",IF(AND('депозитный калькулятор'!$G$7="факт/факт",MOD(YEAR(F834),4)=0),G834*'депозитный калькулятор'!$D$11/366,G834*'депозитный калькулятор'!$G$8))))</f>
        <v xml:space="preserve"> </v>
      </c>
      <c r="I834" s="134" t="str">
        <f ca="1">IF(F834=" "," ",IF('депозитный калькулятор'!$G$10="ежедневное",H834,IF(AND('депозитный калькулятор'!$G$10="еженедельное",WEEKDAY(F834,2)=7),SUM(OFFSET(H834,-6,0):H834),IF(AND('депозитный калькулятор'!$G$10="еженедельное",F834='депозитный калькулятор'!$D$8),SUM($H$23:H834)-SUM($I$23:I833),IF(AND('депозитный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недели",WEEKDAY(F834,2)=7),MIN(OFFSET(H834,-6,0):H834)*(COUNTIF(OFFSET(H834,-6,0):H834,"&gt;0")+SUMIF(OFFSET(A834,-WEEKDAY(F834,2),0):A834,"=2",OFFSET(A834,-WEEKDAY(F834,2),0):A834)),IF(AND('депозитный калькулятор'!$G$10="еженедельное, на минимальную сумму зафиксированную в течение недели",F834='депозитный калькулятор'!$D$8,WEEKDAY(F834,2)&lt;&gt;7),MIN(OFFSET(H834,-WEEKDAY(F834,2),0):H834)*(COUNTIF(OFFSET(H834,-WEEKDAY(F834,2)+1,0):H834,"&gt;0")+SUM(OFFSET(A834,-WEEKDAY(F834,2),0):A834)),IF(AND('депозитный калькулятор'!$G$10="ежемесячное (в конце месяца)",F834='депозитный калькулятор'!$D$8,EOMONTH(F834,0)&lt;&gt;F834),IF('депозитный калькулятор'!$F$1=1,$H$24,SUM($H$23:H834)-SUM($I$23:I833)),IF(AND('депозитный калькулятор'!$G$10="ежемесячное (в конце месяца)",EOMONTH(F834,0)=F834),SUM($H$23:H834)-SUM($I$23:I833),IF(AND('депозитный калькулятор'!$G$10="ежемесячное (по дням открытия вклада)",F834='депозитный калькулятор'!$D$8,DAY('депозитный калькулятор'!$D$7)&lt;&gt;DAY(F834)),IF('депозитный калькулятор'!$F$1=1,$H$24,SUM($H$23:H834)-SUM($I$23:I833)),IF(AND('депозитный калькулятор'!$G$10="ежемесячное (по дням открытия вклада)",DAY('депозитный калькулятор'!$D$7)=DAY(F834)),SUM($H$23:H834)-SUM($I$23:I833),IF(AND('депозитный калькулятор'!$G$10="ежемесячное, на минимальную сумму зафиксированную в течение месяца",F834='депозитный калькулятор'!$D$8,EOMONTH(F834,0)&lt;&gt;F834),IF('депозитный калькулятор'!$F$1=1,$H$24,IF(AND(OR('депозитный калькулятор'!$G$7="30/365",'депозитный калькулятор'!$G$7="30/360"),DAY(F834)=31),0,MIN(OFFSET(H834,-E834+1,0):H834)*(E834+SUMIF(OFFSET(A834,-E834+1,0):A834,"=2",OFFSET(A834,-E834+1,0):A834)))),IF(AND('депозитный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калькулятор'!$G$7="30/360"),DAY(EOMONTH(F834,0))=31),EOMONTH(F834,0)-1=F834,EOMONTH(F834,0)=F834)),IF(IF(AND(OR('депозитный калькулятор'!$G$7="30/365",'депозитный калькулятор'!$G$7="30/360"),DAY(EOMONTH($F$23,0))=31),F834=EOMONTH($F$23,0)-1,F834=EOMONTH($F$23,0)),MIN(OFFSET(H834,-(DAY(F834)-DAY($F$23)),0):H834)*E834,MIN(OFFSET(H834,-(DAY(F834)-1),0):H834)*IF(AND(OR('депозитный калькулятор'!$G$7="30/365",'депозитный калькулятор'!$G$7="30/360"),DAY(F834)&lt;30),30,DAY(F834))),IF(AND('депозитный калькулятор'!$G$10="ежемесячное, на средний остаток в течение месяца, при условии что остаток больше чем ограничение",F834='депозитный калькулятор'!$D$8,EOMONTH(F834,0)&lt;&gt;F834),IF('депозитный калькулятор'!$F$1=1,$H$24,SUM(OFFSET(Q834,-E834+1,0):Q834)),IF(AND('депозитный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калькулятор'!$G$7="30/360"),DAY(EOMONTH(F834,0))=31),EOMONTH(F834,0)-1=F834,EOMONTH(F834,0)=F834)),IF(IF(AND(OR('депозитный калькулятор'!$G$7="30/365",'депозитный калькулятор'!$G$7="30/360"),DAY(EOMONTH($F$24,0))=31),F834=EOMONTH($F$24,0)-1,F834=EOMONTH($F$24,0)),SUM(OFFSET(Q834,-E834+1,0):Q834),SUM(OFFSET(Q834,-E834+1,0):Q834)),IF('депозитный калькулятор'!$G$10="ежеквартальное",IF(F834&gt;'депозитный калькулятор'!$D$8," ",IF(AND(EOMONTH(F834,0)=F834,OR(MONTH(F834)=3,MONTH(F834)=6,MONTH(F834)=9,MONTH(F834)=12)),IF(EDATE(F834,-3)&lt;'депозитный калькулятор'!$D$7,SUM($H$23:H834),IF(MOD(YEAR(F834),4)=0,IF(AND(EOMONTH(F834,0)=F834,OR(MONTH(F834)=3,MONTH(F834)=6)),SUM(OFFSET(H834,-90,0):H834),IF(AND(EOMONTH(F834,0)=F834,OR(MONTH(F834)=9,MONTH(F834)=12)),SUM(OFFSET(H834,-91,0):H834))),IF(AND(EOMONTH(F834,0)=F834,MONTH(F834)=3),SUM(OFFSET(H834,-89,0):H834),IF(AND(EOMONTH(F834,0)=F834,MONTH(F834)=6),SUM(OFFSET(H834,-90,0):H834),IF(AND(EOMONTH(F834,0)=F834,OR(MONTH(F834)=9,MONTH(F834)=12)),SUM(OFFSET(H834,-91,0):H834)))))),IF(F834='депозитный калькулятор'!$D$8,SUM($H$23:H834)-SUM($I$23:I833),0))),IF('депозитный калькулятор'!$G$10="ежегодное",IF(F834&gt;'депозитный калькулятор'!$D$8," ",IF(F834='депозитный калькулятор'!$D$8,SUM($H$23:H834)-SUM($I$23:I833),IF(AND(EOMONTH(F834,0)=F834,MONTH(F834)=12),IF(MOD(YEAR(F833),4)=0,IF(F834-'депозитный калькулятор'!$D$7&lt;366,SUM($H$23:H834),SUM(OFFSET(H834,-365,0):H834)),IF(F834-'депозитный калькулятор'!$D$7&lt;365,SUM($H$23:H834),SUM(OFFSET(H834,-364,0):H834))),0))),IF(AND('депозитный калькулятор'!$G$10="в конце срока",'депозитный калькулятор'!$D$8=F834),SUM($H$23:H834),0))))))))))))))))))</f>
        <v xml:space="preserve"> </v>
      </c>
      <c r="J834" s="59" t="str">
        <f>IF(F834&gt;'депозитный калькулятор'!$D$8," ",IF('депозитный калькулятор'!$G$16="нет",0,IF(AND('депозитный калькулятор'!$G$17="разовая (в конце срока)",F834='депозитный калькулятор'!$D$8),'депозитный калькулятор'!$G$18,IF(AND('депозитный калькулятор'!$G$17="ежемесячная",EOMONTH(F833,0)=F833),'депозитный калькулятор'!$G$18,IF(AND('депозитный калькулятор'!$G$17="ежегодная",DAY(F833)=31,MONTH(F833)=12),'депозитный калькулятор'!$G$18,IF(AND('депозитный калькулятор'!$G$17="ежемесячная в зависимости от остатка",EOMONTH(F833,0)=F833,P833&gt;0),'депозитный калькулятор'!$G$18,IF(AND('депозитный калькулятор'!$G$17="ежегодная в зависимости от остатка",DAY(F833)=31,MONTH(F833)=12,P833&gt;0),'депозитный калькулятор'!$G$18,0)))))))</f>
        <v xml:space="preserve"> </v>
      </c>
      <c r="K834" s="135" t="str">
        <f>IF($F834=" "," ",IFERROR(VLOOKUP($F834,'депозитный калькулятор'!$B$26:$F$70,2,0),0))</f>
        <v xml:space="preserve"> </v>
      </c>
      <c r="L834" s="135" t="str">
        <f>IF($F834=" "," ",IFERROR(VLOOKUP($F834,'депозитный калькулятор'!$B$26:$F$70,3,0),0))</f>
        <v xml:space="preserve"> </v>
      </c>
      <c r="M834" s="135" t="str">
        <f>IF($F834=" "," ",IFERROR(VLOOKUP($F834,'депозитный калькулятор'!$B$26:$F$70,4,0),0))</f>
        <v xml:space="preserve"> </v>
      </c>
      <c r="N834" s="135" t="str">
        <f>IF($F834=" "," ",IFERROR(VLOOKUP($F834,'депозитный калькулятор'!$B$26:$F$70,5,0),0))</f>
        <v xml:space="preserve"> </v>
      </c>
      <c r="O834" s="146" t="str">
        <f>IF(F834&gt;'депозитный калькулятор'!$D$8," ",IF(F834='депозитный калькулятор'!$D$8,IF(AND($F$24='депозитный калькулятор'!$D$8,'депозитный калькулятор'!$G$13="нет"),-G834-IF(I834=" ",0,I834)-IF(AND(OR('депозитный калькулятор'!$G$7="30/365",'депозитный калькулятор'!$G$7="30/360"),'депозитный калькулятор'!$G$10="в начале срока"),I833,0)-L834+M834-N834,-G834-IF(I834=" ",0,I834)-L834+M834-N834),IF('депозитный калькулятор'!$G$13="есть",M834-N834+IF('депозитный калькулятор'!$G$14="есть",0,-L834),-IF(I834=" ",0,I834)-IF(AND(OR('депозитный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срока"),I833,0)+M834-N834+IF('депозитный калькулятор'!$G$14="есть",0,-L834))))</f>
        <v xml:space="preserve"> </v>
      </c>
      <c r="P834" s="147" t="str">
        <f>IF(F834&gt;'депозитный калькулятор'!$D$8," ",IF(EOMONTH(F833,0)=F833,0,IF(G834&gt;='депозитный калькулятор'!$G$19,P833,P833+1)))</f>
        <v xml:space="preserve"> </v>
      </c>
      <c r="Q834" s="138" t="str">
        <f>IF(F834=" "," ",IF(AND(OR('депозитный калькулятор'!$G$7="30/365",'депозитный калькулятор'!$G$7="30/360"),AND(MONTH(F834)=2,EOMONTH(F834,0)=F834)),IF(DAY(F834)=28,3,2),1)*IF(G834&gt;='депозитный калькулятор'!$G$11,IF(AND('депозитный калькулятор'!$G$7="факт/факт",MOD(YEAR(F834),4)=0),G834*'депозитный калькулятор'!$D$11/366,G834*'депозитный калькулятор'!$G$8),0))</f>
        <v xml:space="preserve"> </v>
      </c>
      <c r="R834" s="158"/>
      <c r="S834" s="62" t="str">
        <f t="shared" ca="1" si="62"/>
        <v xml:space="preserve"> </v>
      </c>
      <c r="T834" s="149" t="str">
        <f ca="1">IF(S834=" "," ",IF('депозитный калькулятор'!$G$7="30/360",DAYS360(U833,IF(DAY(U834)=31,U834-1,U834))+IF(AND(MONTH(U834)=2,U834=EOMONTH(U834,0)),30-DAY(EOMONTH(U834,0)))+T833,VLOOKUP(S834,$C$22:$F$1023,2,0)))</f>
        <v xml:space="preserve"> </v>
      </c>
      <c r="U834" s="64" t="str">
        <f t="shared" ca="1" si="60"/>
        <v xml:space="preserve"> </v>
      </c>
      <c r="V834" s="150" t="str">
        <f t="shared" ca="1" si="63"/>
        <v xml:space="preserve"> </v>
      </c>
      <c r="W834" s="62" t="str">
        <f t="shared" ca="1" si="64"/>
        <v xml:space="preserve"> </v>
      </c>
      <c r="X834" s="141" t="str">
        <f ca="1">IF(S834=" "," ",IFERROR(VLOOKUP(U834,$F$23:$N$1023,7)+VLOOKUP(U834,$F$23:$N$1023,9)+IF(AND('депозитный калькулятор'!$G$13="нет",U834&lt;&gt;'депозитный калькулятор'!$D$8),VLOOKUP(U834,$F$23:$N$1023,4),0),0)+IF(U834='депозитный калькулятор'!$D$8,VLOOKUP(U834,$F$23:$N$1023,2)+VLOOKUP(U834,$F$23:$N$1023,4),0))</f>
        <v xml:space="preserve"> </v>
      </c>
      <c r="Y834" s="142" t="str">
        <f ca="1">IF(S834=" "," ",W834/(1+'депозитный калькулятор'!$K$8)^(T834/IF('депозитный калькулятор'!$G$7="30/360",360,365)))</f>
        <v xml:space="preserve"> </v>
      </c>
      <c r="Z834" s="142" t="str">
        <f ca="1">IF(S834=" "," ",X834/(1+'депозитный калькулятор'!$K$8)^(T834/IF('депозитный калькулятор'!$G$7="30/360",360,365)))</f>
        <v xml:space="preserve"> </v>
      </c>
      <c r="AA834" s="151"/>
      <c r="AB834" s="151"/>
      <c r="AC834" s="155"/>
      <c r="AD834" s="155"/>
    </row>
    <row r="835" spans="1:30" s="2" customFormat="1" ht="15.5" x14ac:dyDescent="0.35">
      <c r="A835" s="41" t="str">
        <f>IF(F835=" "," ",IF(OR('депозитный калькулятор'!$G$7="30/365",'депозитный калькулятор'!$G$7="30/360"),IF(AND(MONTH(F835)=2,DAY(F835)=DAY(EOMONTH(F835,0))),30-DAY(EOMONTH(F835,0)),IF(DAY(F835)=31,1," "))," "))</f>
        <v xml:space="preserve"> </v>
      </c>
      <c r="B835" s="130" t="str">
        <f t="shared" si="61"/>
        <v xml:space="preserve"> </v>
      </c>
      <c r="C835" s="130" t="str">
        <f>IF(OR(B835=0,B835=" ")," ",SUM($B$23:B835))</f>
        <v xml:space="preserve"> </v>
      </c>
      <c r="D835" s="62" t="str">
        <f>IF(D834=" "," ",IF(OR(F834='депозитный калькулятор'!$D$8,F834=" ")," ",D834+1))</f>
        <v xml:space="preserve"> </v>
      </c>
      <c r="E835" s="130" t="str">
        <f>IF(OR(F834='депозитный калькулятор'!$D$8,F834=" ")," ",IF(EOMONTH(F834,0)=F834,1,E834+1))</f>
        <v xml:space="preserve"> </v>
      </c>
      <c r="F835" s="64" t="str">
        <f>IF(F834=" "," ",IF(F834='депозитный калькулятор'!$D$8," ",F834+1))</f>
        <v xml:space="preserve"> </v>
      </c>
      <c r="G835" s="145" t="str">
        <f xml:space="preserve"> IF(F835&gt;'депозитный калькулятор'!$D$8," ",IF('депозитный калькулятор'!$G$13="есть",IF('депозитный калькулятор'!$G$14="есть",G834+IF(I834=" ",0,I834)-J835-K835+L835+M835-N835,G834+IF(I834=" ",0,I834)-J835-K835+M835-N835),IF('депозитный калькулятор'!$G$14="есть",G834-J835-K835+L835+M835-N835,G834-J835-K835+M835-N835)))</f>
        <v xml:space="preserve"> </v>
      </c>
      <c r="H835" s="133" t="str">
        <f>IF(F835&gt;'депозитный калькулятор'!$D$8," ",IF(AND(OR('депозитный калькулятор'!$G$7="30/365",'депозитный калькулятор'!$G$7="30/360"),AND(MONTH(F835)=2,EOMONTH(F835,0)=F835)),IF(DAY(F835)=28,3*G835*'депозитный калькулятор'!$G$8,2*G835*'депозитный калькулятор'!$G$8),IF(AND(OR('депозитный калькулятор'!$G$7="30/365",'депозитный калькулятор'!$G$7="30/360"),DAY(F835)=31)," ",IF(AND('депозитный калькулятор'!$G$7="факт/факт",MOD(YEAR(F835),4)=0),G835*'депозитный калькулятор'!$D$11/366,G835*'депозитный калькулятор'!$G$8))))</f>
        <v xml:space="preserve"> </v>
      </c>
      <c r="I835" s="134" t="str">
        <f ca="1">IF(F835=" "," ",IF('депозитный калькулятор'!$G$10="ежедневное",H835,IF(AND('депозитный калькулятор'!$G$10="еженедельное",WEEKDAY(F835,2)=7),SUM(OFFSET(H835,-6,0):H835),IF(AND('депозитный калькулятор'!$G$10="еженедельное",F835='депозитный калькулятор'!$D$8),SUM($H$23:H835)-SUM($I$23:I834),IF(AND('депозитный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недели",WEEKDAY(F835,2)=7),MIN(OFFSET(H835,-6,0):H835)*(COUNTIF(OFFSET(H835,-6,0):H835,"&gt;0")+SUMIF(OFFSET(A835,-WEEKDAY(F835,2),0):A835,"=2",OFFSET(A835,-WEEKDAY(F835,2),0):A835)),IF(AND('депозитный калькулятор'!$G$10="еженедельное, на минимальную сумму зафиксированную в течение недели",F835='депозитный калькулятор'!$D$8,WEEKDAY(F835,2)&lt;&gt;7),MIN(OFFSET(H835,-WEEKDAY(F835,2),0):H835)*(COUNTIF(OFFSET(H835,-WEEKDAY(F835,2)+1,0):H835,"&gt;0")+SUM(OFFSET(A835,-WEEKDAY(F835,2),0):A835)),IF(AND('депозитный калькулятор'!$G$10="ежемесячное (в конце месяца)",F835='депозитный калькулятор'!$D$8,EOMONTH(F835,0)&lt;&gt;F835),IF('депозитный калькулятор'!$F$1=1,$H$24,SUM($H$23:H835)-SUM($I$23:I834)),IF(AND('депозитный калькулятор'!$G$10="ежемесячное (в конце месяца)",EOMONTH(F835,0)=F835),SUM($H$23:H835)-SUM($I$23:I834),IF(AND('депозитный калькулятор'!$G$10="ежемесячное (по дням открытия вклада)",F835='депозитный калькулятор'!$D$8,DAY('депозитный калькулятор'!$D$7)&lt;&gt;DAY(F835)),IF('депозитный калькулятор'!$F$1=1,$H$24,SUM($H$23:H835)-SUM($I$23:I834)),IF(AND('депозитный калькулятор'!$G$10="ежемесячное (по дням открытия вклада)",DAY('депозитный калькулятор'!$D$7)=DAY(F835)),SUM($H$23:H835)-SUM($I$23:I834),IF(AND('депозитный калькулятор'!$G$10="ежемесячное, на минимальную сумму зафиксированную в течение месяца",F835='депозитный калькулятор'!$D$8,EOMONTH(F835,0)&lt;&gt;F835),IF('депозитный калькулятор'!$F$1=1,$H$24,IF(AND(OR('депозитный калькулятор'!$G$7="30/365",'депозитный калькулятор'!$G$7="30/360"),DAY(F835)=31),0,MIN(OFFSET(H835,-E835+1,0):H835)*(E835+SUMIF(OFFSET(A835,-E835+1,0):A835,"=2",OFFSET(A835,-E835+1,0):A835)))),IF(AND('депозитный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калькулятор'!$G$7="30/360"),DAY(EOMONTH(F835,0))=31),EOMONTH(F835,0)-1=F835,EOMONTH(F835,0)=F835)),IF(IF(AND(OR('депозитный калькулятор'!$G$7="30/365",'депозитный калькулятор'!$G$7="30/360"),DAY(EOMONTH($F$23,0))=31),F835=EOMONTH($F$23,0)-1,F835=EOMONTH($F$23,0)),MIN(OFFSET(H835,-(DAY(F835)-DAY($F$23)),0):H835)*E835,MIN(OFFSET(H835,-(DAY(F835)-1),0):H835)*IF(AND(OR('депозитный калькулятор'!$G$7="30/365",'депозитный калькулятор'!$G$7="30/360"),DAY(F835)&lt;30),30,DAY(F835))),IF(AND('депозитный калькулятор'!$G$10="ежемесячное, на средний остаток в течение месяца, при условии что остаток больше чем ограничение",F835='депозитный калькулятор'!$D$8,EOMONTH(F835,0)&lt;&gt;F835),IF('депозитный калькулятор'!$F$1=1,$H$24,SUM(OFFSET(Q835,-E835+1,0):Q835)),IF(AND('депозитный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калькулятор'!$G$7="30/360"),DAY(EOMONTH(F835,0))=31),EOMONTH(F835,0)-1=F835,EOMONTH(F835,0)=F835)),IF(IF(AND(OR('депозитный калькулятор'!$G$7="30/365",'депозитный калькулятор'!$G$7="30/360"),DAY(EOMONTH($F$24,0))=31),F835=EOMONTH($F$24,0)-1,F835=EOMONTH($F$24,0)),SUM(OFFSET(Q835,-E835+1,0):Q835),SUM(OFFSET(Q835,-E835+1,0):Q835)),IF('депозитный калькулятор'!$G$10="ежеквартальное",IF(F835&gt;'депозитный калькулятор'!$D$8," ",IF(AND(EOMONTH(F835,0)=F835,OR(MONTH(F835)=3,MONTH(F835)=6,MONTH(F835)=9,MONTH(F835)=12)),IF(EDATE(F835,-3)&lt;'депозитный калькулятор'!$D$7,SUM($H$23:H835),IF(MOD(YEAR(F835),4)=0,IF(AND(EOMONTH(F835,0)=F835,OR(MONTH(F835)=3,MONTH(F835)=6)),SUM(OFFSET(H835,-90,0):H835),IF(AND(EOMONTH(F835,0)=F835,OR(MONTH(F835)=9,MONTH(F835)=12)),SUM(OFFSET(H835,-91,0):H835))),IF(AND(EOMONTH(F835,0)=F835,MONTH(F835)=3),SUM(OFFSET(H835,-89,0):H835),IF(AND(EOMONTH(F835,0)=F835,MONTH(F835)=6),SUM(OFFSET(H835,-90,0):H835),IF(AND(EOMONTH(F835,0)=F835,OR(MONTH(F835)=9,MONTH(F835)=12)),SUM(OFFSET(H835,-91,0):H835)))))),IF(F835='депозитный калькулятор'!$D$8,SUM($H$23:H835)-SUM($I$23:I834),0))),IF('депозитный калькулятор'!$G$10="ежегодное",IF(F835&gt;'депозитный калькулятор'!$D$8," ",IF(F835='депозитный калькулятор'!$D$8,SUM($H$23:H835)-SUM($I$23:I834),IF(AND(EOMONTH(F835,0)=F835,MONTH(F835)=12),IF(MOD(YEAR(F834),4)=0,IF(F835-'депозитный калькулятор'!$D$7&lt;366,SUM($H$23:H835),SUM(OFFSET(H835,-365,0):H835)),IF(F835-'депозитный калькулятор'!$D$7&lt;365,SUM($H$23:H835),SUM(OFFSET(H835,-364,0):H835))),0))),IF(AND('депозитный калькулятор'!$G$10="в конце срока",'депозитный калькулятор'!$D$8=F835),SUM($H$23:H835),0))))))))))))))))))</f>
        <v xml:space="preserve"> </v>
      </c>
      <c r="J835" s="59" t="str">
        <f>IF(F835&gt;'депозитный калькулятор'!$D$8," ",IF('депозитный калькулятор'!$G$16="нет",0,IF(AND('депозитный калькулятор'!$G$17="разовая (в конце срока)",F835='депозитный калькулятор'!$D$8),'депозитный калькулятор'!$G$18,IF(AND('депозитный калькулятор'!$G$17="ежемесячная",EOMONTH(F834,0)=F834),'депозитный калькулятор'!$G$18,IF(AND('депозитный калькулятор'!$G$17="ежегодная",DAY(F834)=31,MONTH(F834)=12),'депозитный калькулятор'!$G$18,IF(AND('депозитный калькулятор'!$G$17="ежемесячная в зависимости от остатка",EOMONTH(F834,0)=F834,P834&gt;0),'депозитный калькулятор'!$G$18,IF(AND('депозитный калькулятор'!$G$17="ежегодная в зависимости от остатка",DAY(F834)=31,MONTH(F834)=12,P834&gt;0),'депозитный калькулятор'!$G$18,0)))))))</f>
        <v xml:space="preserve"> </v>
      </c>
      <c r="K835" s="135" t="str">
        <f>IF($F835=" "," ",IFERROR(VLOOKUP($F835,'депозитный калькулятор'!$B$26:$F$70,2,0),0))</f>
        <v xml:space="preserve"> </v>
      </c>
      <c r="L835" s="135" t="str">
        <f>IF($F835=" "," ",IFERROR(VLOOKUP($F835,'депозитный калькулятор'!$B$26:$F$70,3,0),0))</f>
        <v xml:space="preserve"> </v>
      </c>
      <c r="M835" s="135" t="str">
        <f>IF($F835=" "," ",IFERROR(VLOOKUP($F835,'депозитный калькулятор'!$B$26:$F$70,4,0),0))</f>
        <v xml:space="preserve"> </v>
      </c>
      <c r="N835" s="135" t="str">
        <f>IF($F835=" "," ",IFERROR(VLOOKUP($F835,'депозитный калькулятор'!$B$26:$F$70,5,0),0))</f>
        <v xml:space="preserve"> </v>
      </c>
      <c r="O835" s="146" t="str">
        <f>IF(F835&gt;'депозитный калькулятор'!$D$8," ",IF(F835='депозитный калькулятор'!$D$8,IF(AND($F$24='депозитный калькулятор'!$D$8,'депозитный калькулятор'!$G$13="нет"),-G835-IF(I835=" ",0,I835)-IF(AND(OR('депозитный калькулятор'!$G$7="30/365",'депозитный калькулятор'!$G$7="30/360"),'депозитный калькулятор'!$G$10="в начале срока"),I834,0)-L835+M835-N835,-G835-IF(I835=" ",0,I835)-L835+M835-N835),IF('депозитный калькулятор'!$G$13="есть",M835-N835+IF('депозитный калькулятор'!$G$14="есть",0,-L835),-IF(I835=" ",0,I835)-IF(AND(OR('депозитный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срока"),I834,0)+M835-N835+IF('депозитный калькулятор'!$G$14="есть",0,-L835))))</f>
        <v xml:space="preserve"> </v>
      </c>
      <c r="P835" s="147" t="str">
        <f>IF(F835&gt;'депозитный калькулятор'!$D$8," ",IF(EOMONTH(F834,0)=F834,0,IF(G835&gt;='депозитный калькулятор'!$G$19,P834,P834+1)))</f>
        <v xml:space="preserve"> </v>
      </c>
      <c r="Q835" s="138" t="str">
        <f>IF(F835=" "," ",IF(AND(OR('депозитный калькулятор'!$G$7="30/365",'депозитный калькулятор'!$G$7="30/360"),AND(MONTH(F835)=2,EOMONTH(F835,0)=F835)),IF(DAY(F835)=28,3,2),1)*IF(G835&gt;='депозитный калькулятор'!$G$11,IF(AND('депозитный калькулятор'!$G$7="факт/факт",MOD(YEAR(F835),4)=0),G835*'депозитный калькулятор'!$D$11/366,G835*'депозитный калькулятор'!$G$8),0))</f>
        <v xml:space="preserve"> </v>
      </c>
      <c r="R835" s="158"/>
      <c r="S835" s="62" t="str">
        <f t="shared" ca="1" si="62"/>
        <v xml:space="preserve"> </v>
      </c>
      <c r="T835" s="149" t="str">
        <f ca="1">IF(S835=" "," ",IF('депозитный калькулятор'!$G$7="30/360",DAYS360(U834,IF(DAY(U835)=31,U835-1,U835))+IF(AND(MONTH(U835)=2,U835=EOMONTH(U835,0)),30-DAY(EOMONTH(U835,0)))+T834,VLOOKUP(S835,$C$22:$F$1023,2,0)))</f>
        <v xml:space="preserve"> </v>
      </c>
      <c r="U835" s="64" t="str">
        <f t="shared" ca="1" si="60"/>
        <v xml:space="preserve"> </v>
      </c>
      <c r="V835" s="150" t="str">
        <f t="shared" ca="1" si="63"/>
        <v xml:space="preserve"> </v>
      </c>
      <c r="W835" s="62" t="str">
        <f t="shared" ca="1" si="64"/>
        <v xml:space="preserve"> </v>
      </c>
      <c r="X835" s="141" t="str">
        <f ca="1">IF(S835=" "," ",IFERROR(VLOOKUP(U835,$F$23:$N$1023,7)+VLOOKUP(U835,$F$23:$N$1023,9)+IF(AND('депозитный калькулятор'!$G$13="нет",U835&lt;&gt;'депозитный калькулятор'!$D$8),VLOOKUP(U835,$F$23:$N$1023,4),0),0)+IF(U835='депозитный калькулятор'!$D$8,VLOOKUP(U835,$F$23:$N$1023,2)+VLOOKUP(U835,$F$23:$N$1023,4),0))</f>
        <v xml:space="preserve"> </v>
      </c>
      <c r="Y835" s="142" t="str">
        <f ca="1">IF(S835=" "," ",W835/(1+'депозитный калькулятор'!$K$8)^(T835/IF('депозитный калькулятор'!$G$7="30/360",360,365)))</f>
        <v xml:space="preserve"> </v>
      </c>
      <c r="Z835" s="142" t="str">
        <f ca="1">IF(S835=" "," ",X835/(1+'депозитный калькулятор'!$K$8)^(T835/IF('депозитный калькулятор'!$G$7="30/360",360,365)))</f>
        <v xml:space="preserve"> </v>
      </c>
      <c r="AA835" s="151"/>
      <c r="AB835" s="151"/>
      <c r="AC835" s="155"/>
      <c r="AD835" s="155"/>
    </row>
    <row r="836" spans="1:30" s="2" customFormat="1" ht="15.5" x14ac:dyDescent="0.35">
      <c r="A836" s="41" t="str">
        <f>IF(F836=" "," ",IF(OR('депозитный калькулятор'!$G$7="30/365",'депозитный калькулятор'!$G$7="30/360"),IF(AND(MONTH(F836)=2,DAY(F836)=DAY(EOMONTH(F836,0))),30-DAY(EOMONTH(F836,0)),IF(DAY(F836)=31,1," "))," "))</f>
        <v xml:space="preserve"> </v>
      </c>
      <c r="B836" s="130" t="str">
        <f t="shared" si="61"/>
        <v xml:space="preserve"> </v>
      </c>
      <c r="C836" s="130" t="str">
        <f>IF(OR(B836=0,B836=" ")," ",SUM($B$23:B836))</f>
        <v xml:space="preserve"> </v>
      </c>
      <c r="D836" s="62" t="str">
        <f>IF(D835=" "," ",IF(OR(F835='депозитный калькулятор'!$D$8,F835=" ")," ",D835+1))</f>
        <v xml:space="preserve"> </v>
      </c>
      <c r="E836" s="130" t="str">
        <f>IF(OR(F835='депозитный калькулятор'!$D$8,F835=" ")," ",IF(EOMONTH(F835,0)=F835,1,E835+1))</f>
        <v xml:space="preserve"> </v>
      </c>
      <c r="F836" s="64" t="str">
        <f>IF(F835=" "," ",IF(F835='депозитный калькулятор'!$D$8," ",F835+1))</f>
        <v xml:space="preserve"> </v>
      </c>
      <c r="G836" s="145" t="str">
        <f xml:space="preserve"> IF(F836&gt;'депозитный калькулятор'!$D$8," ",IF('депозитный калькулятор'!$G$13="есть",IF('депозитный калькулятор'!$G$14="есть",G835+IF(I835=" ",0,I835)-J836-K836+L836+M836-N836,G835+IF(I835=" ",0,I835)-J836-K836+M836-N836),IF('депозитный калькулятор'!$G$14="есть",G835-J836-K836+L836+M836-N836,G835-J836-K836+M836-N836)))</f>
        <v xml:space="preserve"> </v>
      </c>
      <c r="H836" s="133" t="str">
        <f>IF(F836&gt;'депозитный калькулятор'!$D$8," ",IF(AND(OR('депозитный калькулятор'!$G$7="30/365",'депозитный калькулятор'!$G$7="30/360"),AND(MONTH(F836)=2,EOMONTH(F836,0)=F836)),IF(DAY(F836)=28,3*G836*'депозитный калькулятор'!$G$8,2*G836*'депозитный калькулятор'!$G$8),IF(AND(OR('депозитный калькулятор'!$G$7="30/365",'депозитный калькулятор'!$G$7="30/360"),DAY(F836)=31)," ",IF(AND('депозитный калькулятор'!$G$7="факт/факт",MOD(YEAR(F836),4)=0),G836*'депозитный калькулятор'!$D$11/366,G836*'депозитный калькулятор'!$G$8))))</f>
        <v xml:space="preserve"> </v>
      </c>
      <c r="I836" s="134" t="str">
        <f ca="1">IF(F836=" "," ",IF('депозитный калькулятор'!$G$10="ежедневное",H836,IF(AND('депозитный калькулятор'!$G$10="еженедельное",WEEKDAY(F836,2)=7),SUM(OFFSET(H836,-6,0):H836),IF(AND('депозитный калькулятор'!$G$10="еженедельное",F836='депозитный калькулятор'!$D$8),SUM($H$23:H836)-SUM($I$23:I835),IF(AND('депозитный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недели",WEEKDAY(F836,2)=7),MIN(OFFSET(H836,-6,0):H836)*(COUNTIF(OFFSET(H836,-6,0):H836,"&gt;0")+SUMIF(OFFSET(A836,-WEEKDAY(F836,2),0):A836,"=2",OFFSET(A836,-WEEKDAY(F836,2),0):A836)),IF(AND('депозитный калькулятор'!$G$10="еженедельное, на минимальную сумму зафиксированную в течение недели",F836='депозитный калькулятор'!$D$8,WEEKDAY(F836,2)&lt;&gt;7),MIN(OFFSET(H836,-WEEKDAY(F836,2),0):H836)*(COUNTIF(OFFSET(H836,-WEEKDAY(F836,2)+1,0):H836,"&gt;0")+SUM(OFFSET(A836,-WEEKDAY(F836,2),0):A836)),IF(AND('депозитный калькулятор'!$G$10="ежемесячное (в конце месяца)",F836='депозитный калькулятор'!$D$8,EOMONTH(F836,0)&lt;&gt;F836),IF('депозитный калькулятор'!$F$1=1,$H$24,SUM($H$23:H836)-SUM($I$23:I835)),IF(AND('депозитный калькулятор'!$G$10="ежемесячное (в конце месяца)",EOMONTH(F836,0)=F836),SUM($H$23:H836)-SUM($I$23:I835),IF(AND('депозитный калькулятор'!$G$10="ежемесячное (по дням открытия вклада)",F836='депозитный калькулятор'!$D$8,DAY('депозитный калькулятор'!$D$7)&lt;&gt;DAY(F836)),IF('депозитный калькулятор'!$F$1=1,$H$24,SUM($H$23:H836)-SUM($I$23:I835)),IF(AND('депозитный калькулятор'!$G$10="ежемесячное (по дням открытия вклада)",DAY('депозитный калькулятор'!$D$7)=DAY(F836)),SUM($H$23:H836)-SUM($I$23:I835),IF(AND('депозитный калькулятор'!$G$10="ежемесячное, на минимальную сумму зафиксированную в течение месяца",F836='депозитный калькулятор'!$D$8,EOMONTH(F836,0)&lt;&gt;F836),IF('депозитный калькулятор'!$F$1=1,$H$24,IF(AND(OR('депозитный калькулятор'!$G$7="30/365",'депозитный калькулятор'!$G$7="30/360"),DAY(F836)=31),0,MIN(OFFSET(H836,-E836+1,0):H836)*(E836+SUMIF(OFFSET(A836,-E836+1,0):A836,"=2",OFFSET(A836,-E836+1,0):A836)))),IF(AND('депозитный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калькулятор'!$G$7="30/360"),DAY(EOMONTH(F836,0))=31),EOMONTH(F836,0)-1=F836,EOMONTH(F836,0)=F836)),IF(IF(AND(OR('депозитный калькулятор'!$G$7="30/365",'депозитный калькулятор'!$G$7="30/360"),DAY(EOMONTH($F$23,0))=31),F836=EOMONTH($F$23,0)-1,F836=EOMONTH($F$23,0)),MIN(OFFSET(H836,-(DAY(F836)-DAY($F$23)),0):H836)*E836,MIN(OFFSET(H836,-(DAY(F836)-1),0):H836)*IF(AND(OR('депозитный калькулятор'!$G$7="30/365",'депозитный калькулятор'!$G$7="30/360"),DAY(F836)&lt;30),30,DAY(F836))),IF(AND('депозитный калькулятор'!$G$10="ежемесячное, на средний остаток в течение месяца, при условии что остаток больше чем ограничение",F836='депозитный калькулятор'!$D$8,EOMONTH(F836,0)&lt;&gt;F836),IF('депозитный калькулятор'!$F$1=1,$H$24,SUM(OFFSET(Q836,-E836+1,0):Q836)),IF(AND('депозитный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калькулятор'!$G$7="30/360"),DAY(EOMONTH(F836,0))=31),EOMONTH(F836,0)-1=F836,EOMONTH(F836,0)=F836)),IF(IF(AND(OR('депозитный калькулятор'!$G$7="30/365",'депозитный калькулятор'!$G$7="30/360"),DAY(EOMONTH($F$24,0))=31),F836=EOMONTH($F$24,0)-1,F836=EOMONTH($F$24,0)),SUM(OFFSET(Q836,-E836+1,0):Q836),SUM(OFFSET(Q836,-E836+1,0):Q836)),IF('депозитный калькулятор'!$G$10="ежеквартальное",IF(F836&gt;'депозитный калькулятор'!$D$8," ",IF(AND(EOMONTH(F836,0)=F836,OR(MONTH(F836)=3,MONTH(F836)=6,MONTH(F836)=9,MONTH(F836)=12)),IF(EDATE(F836,-3)&lt;'депозитный калькулятор'!$D$7,SUM($H$23:H836),IF(MOD(YEAR(F836),4)=0,IF(AND(EOMONTH(F836,0)=F836,OR(MONTH(F836)=3,MONTH(F836)=6)),SUM(OFFSET(H836,-90,0):H836),IF(AND(EOMONTH(F836,0)=F836,OR(MONTH(F836)=9,MONTH(F836)=12)),SUM(OFFSET(H836,-91,0):H836))),IF(AND(EOMONTH(F836,0)=F836,MONTH(F836)=3),SUM(OFFSET(H836,-89,0):H836),IF(AND(EOMONTH(F836,0)=F836,MONTH(F836)=6),SUM(OFFSET(H836,-90,0):H836),IF(AND(EOMONTH(F836,0)=F836,OR(MONTH(F836)=9,MONTH(F836)=12)),SUM(OFFSET(H836,-91,0):H836)))))),IF(F836='депозитный калькулятор'!$D$8,SUM($H$23:H836)-SUM($I$23:I835),0))),IF('депозитный калькулятор'!$G$10="ежегодное",IF(F836&gt;'депозитный калькулятор'!$D$8," ",IF(F836='депозитный калькулятор'!$D$8,SUM($H$23:H836)-SUM($I$23:I835),IF(AND(EOMONTH(F836,0)=F836,MONTH(F836)=12),IF(MOD(YEAR(F835),4)=0,IF(F836-'депозитный калькулятор'!$D$7&lt;366,SUM($H$23:H836),SUM(OFFSET(H836,-365,0):H836)),IF(F836-'депозитный калькулятор'!$D$7&lt;365,SUM($H$23:H836),SUM(OFFSET(H836,-364,0):H836))),0))),IF(AND('депозитный калькулятор'!$G$10="в конце срока",'депозитный калькулятор'!$D$8=F836),SUM($H$23:H836),0))))))))))))))))))</f>
        <v xml:space="preserve"> </v>
      </c>
      <c r="J836" s="59" t="str">
        <f>IF(F836&gt;'депозитный калькулятор'!$D$8," ",IF('депозитный калькулятор'!$G$16="нет",0,IF(AND('депозитный калькулятор'!$G$17="разовая (в конце срока)",F836='депозитный калькулятор'!$D$8),'депозитный калькулятор'!$G$18,IF(AND('депозитный калькулятор'!$G$17="ежемесячная",EOMONTH(F835,0)=F835),'депозитный калькулятор'!$G$18,IF(AND('депозитный калькулятор'!$G$17="ежегодная",DAY(F835)=31,MONTH(F835)=12),'депозитный калькулятор'!$G$18,IF(AND('депозитный калькулятор'!$G$17="ежемесячная в зависимости от остатка",EOMONTH(F835,0)=F835,P835&gt;0),'депозитный калькулятор'!$G$18,IF(AND('депозитный калькулятор'!$G$17="ежегодная в зависимости от остатка",DAY(F835)=31,MONTH(F835)=12,P835&gt;0),'депозитный калькулятор'!$G$18,0)))))))</f>
        <v xml:space="preserve"> </v>
      </c>
      <c r="K836" s="135" t="str">
        <f>IF($F836=" "," ",IFERROR(VLOOKUP($F836,'депозитный калькулятор'!$B$26:$F$70,2,0),0))</f>
        <v xml:space="preserve"> </v>
      </c>
      <c r="L836" s="135" t="str">
        <f>IF($F836=" "," ",IFERROR(VLOOKUP($F836,'депозитный калькулятор'!$B$26:$F$70,3,0),0))</f>
        <v xml:space="preserve"> </v>
      </c>
      <c r="M836" s="135" t="str">
        <f>IF($F836=" "," ",IFERROR(VLOOKUP($F836,'депозитный калькулятор'!$B$26:$F$70,4,0),0))</f>
        <v xml:space="preserve"> </v>
      </c>
      <c r="N836" s="135" t="str">
        <f>IF($F836=" "," ",IFERROR(VLOOKUP($F836,'депозитный калькулятор'!$B$26:$F$70,5,0),0))</f>
        <v xml:space="preserve"> </v>
      </c>
      <c r="O836" s="146" t="str">
        <f>IF(F836&gt;'депозитный калькулятор'!$D$8," ",IF(F836='депозитный калькулятор'!$D$8,IF(AND($F$24='депозитный калькулятор'!$D$8,'депозитный калькулятор'!$G$13="нет"),-G836-IF(I836=" ",0,I836)-IF(AND(OR('депозитный калькулятор'!$G$7="30/365",'депозитный калькулятор'!$G$7="30/360"),'депозитный калькулятор'!$G$10="в начале срока"),I835,0)-L836+M836-N836,-G836-IF(I836=" ",0,I836)-L836+M836-N836),IF('депозитный калькулятор'!$G$13="есть",M836-N836+IF('депозитный калькулятор'!$G$14="есть",0,-L836),-IF(I836=" ",0,I836)-IF(AND(OR('депозитный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срока"),I835,0)+M836-N836+IF('депозитный калькулятор'!$G$14="есть",0,-L836))))</f>
        <v xml:space="preserve"> </v>
      </c>
      <c r="P836" s="147" t="str">
        <f>IF(F836&gt;'депозитный калькулятор'!$D$8," ",IF(EOMONTH(F835,0)=F835,0,IF(G836&gt;='депозитный калькулятор'!$G$19,P835,P835+1)))</f>
        <v xml:space="preserve"> </v>
      </c>
      <c r="Q836" s="138" t="str">
        <f>IF(F836=" "," ",IF(AND(OR('депозитный калькулятор'!$G$7="30/365",'депозитный калькулятор'!$G$7="30/360"),AND(MONTH(F836)=2,EOMONTH(F836,0)=F836)),IF(DAY(F836)=28,3,2),1)*IF(G836&gt;='депозитный калькулятор'!$G$11,IF(AND('депозитный калькулятор'!$G$7="факт/факт",MOD(YEAR(F836),4)=0),G836*'депозитный калькулятор'!$D$11/366,G836*'депозитный калькулятор'!$G$8),0))</f>
        <v xml:space="preserve"> </v>
      </c>
      <c r="R836" s="158"/>
      <c r="S836" s="62" t="str">
        <f t="shared" ca="1" si="62"/>
        <v xml:space="preserve"> </v>
      </c>
      <c r="T836" s="149" t="str">
        <f ca="1">IF(S836=" "," ",IF('депозитный калькулятор'!$G$7="30/360",DAYS360(U835,IF(DAY(U836)=31,U836-1,U836))+IF(AND(MONTH(U836)=2,U836=EOMONTH(U836,0)),30-DAY(EOMONTH(U836,0)))+T835,VLOOKUP(S836,$C$22:$F$1023,2,0)))</f>
        <v xml:space="preserve"> </v>
      </c>
      <c r="U836" s="64" t="str">
        <f t="shared" ca="1" si="60"/>
        <v xml:space="preserve"> </v>
      </c>
      <c r="V836" s="150" t="str">
        <f t="shared" ca="1" si="63"/>
        <v xml:space="preserve"> </v>
      </c>
      <c r="W836" s="62" t="str">
        <f t="shared" ca="1" si="64"/>
        <v xml:space="preserve"> </v>
      </c>
      <c r="X836" s="141" t="str">
        <f ca="1">IF(S836=" "," ",IFERROR(VLOOKUP(U836,$F$23:$N$1023,7)+VLOOKUP(U836,$F$23:$N$1023,9)+IF(AND('депозитный калькулятор'!$G$13="нет",U836&lt;&gt;'депозитный калькулятор'!$D$8),VLOOKUP(U836,$F$23:$N$1023,4),0),0)+IF(U836='депозитный калькулятор'!$D$8,VLOOKUP(U836,$F$23:$N$1023,2)+VLOOKUP(U836,$F$23:$N$1023,4),0))</f>
        <v xml:space="preserve"> </v>
      </c>
      <c r="Y836" s="142" t="str">
        <f ca="1">IF(S836=" "," ",W836/(1+'депозитный калькулятор'!$K$8)^(T836/IF('депозитный калькулятор'!$G$7="30/360",360,365)))</f>
        <v xml:space="preserve"> </v>
      </c>
      <c r="Z836" s="142" t="str">
        <f ca="1">IF(S836=" "," ",X836/(1+'депозитный калькулятор'!$K$8)^(T836/IF('депозитный калькулятор'!$G$7="30/360",360,365)))</f>
        <v xml:space="preserve"> </v>
      </c>
      <c r="AA836" s="151"/>
      <c r="AB836" s="151"/>
      <c r="AC836" s="155"/>
      <c r="AD836" s="155"/>
    </row>
    <row r="837" spans="1:30" s="2" customFormat="1" ht="15.5" x14ac:dyDescent="0.35">
      <c r="A837" s="41" t="str">
        <f>IF(F837=" "," ",IF(OR('депозитный калькулятор'!$G$7="30/365",'депозитный калькулятор'!$G$7="30/360"),IF(AND(MONTH(F837)=2,DAY(F837)=DAY(EOMONTH(F837,0))),30-DAY(EOMONTH(F837,0)),IF(DAY(F837)=31,1," "))," "))</f>
        <v xml:space="preserve"> </v>
      </c>
      <c r="B837" s="130" t="str">
        <f t="shared" si="61"/>
        <v xml:space="preserve"> </v>
      </c>
      <c r="C837" s="130" t="str">
        <f>IF(OR(B837=0,B837=" ")," ",SUM($B$23:B837))</f>
        <v xml:space="preserve"> </v>
      </c>
      <c r="D837" s="62" t="str">
        <f>IF(D836=" "," ",IF(OR(F836='депозитный калькулятор'!$D$8,F836=" ")," ",D836+1))</f>
        <v xml:space="preserve"> </v>
      </c>
      <c r="E837" s="130" t="str">
        <f>IF(OR(F836='депозитный калькулятор'!$D$8,F836=" ")," ",IF(EOMONTH(F836,0)=F836,1,E836+1))</f>
        <v xml:space="preserve"> </v>
      </c>
      <c r="F837" s="64" t="str">
        <f>IF(F836=" "," ",IF(F836='депозитный калькулятор'!$D$8," ",F836+1))</f>
        <v xml:space="preserve"> </v>
      </c>
      <c r="G837" s="145" t="str">
        <f xml:space="preserve"> IF(F837&gt;'депозитный калькулятор'!$D$8," ",IF('депозитный калькулятор'!$G$13="есть",IF('депозитный калькулятор'!$G$14="есть",G836+IF(I836=" ",0,I836)-J837-K837+L837+M837-N837,G836+IF(I836=" ",0,I836)-J837-K837+M837-N837),IF('депозитный калькулятор'!$G$14="есть",G836-J837-K837+L837+M837-N837,G836-J837-K837+M837-N837)))</f>
        <v xml:space="preserve"> </v>
      </c>
      <c r="H837" s="133" t="str">
        <f>IF(F837&gt;'депозитный калькулятор'!$D$8," ",IF(AND(OR('депозитный калькулятор'!$G$7="30/365",'депозитный калькулятор'!$G$7="30/360"),AND(MONTH(F837)=2,EOMONTH(F837,0)=F837)),IF(DAY(F837)=28,3*G837*'депозитный калькулятор'!$G$8,2*G837*'депозитный калькулятор'!$G$8),IF(AND(OR('депозитный калькулятор'!$G$7="30/365",'депозитный калькулятор'!$G$7="30/360"),DAY(F837)=31)," ",IF(AND('депозитный калькулятор'!$G$7="факт/факт",MOD(YEAR(F837),4)=0),G837*'депозитный калькулятор'!$D$11/366,G837*'депозитный калькулятор'!$G$8))))</f>
        <v xml:space="preserve"> </v>
      </c>
      <c r="I837" s="134" t="str">
        <f ca="1">IF(F837=" "," ",IF('депозитный калькулятор'!$G$10="ежедневное",H837,IF(AND('депозитный калькулятор'!$G$10="еженедельное",WEEKDAY(F837,2)=7),SUM(OFFSET(H837,-6,0):H837),IF(AND('депозитный калькулятор'!$G$10="еженедельное",F837='депозитный калькулятор'!$D$8),SUM($H$23:H837)-SUM($I$23:I836),IF(AND('депозитный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недели",WEEKDAY(F837,2)=7),MIN(OFFSET(H837,-6,0):H837)*(COUNTIF(OFFSET(H837,-6,0):H837,"&gt;0")+SUMIF(OFFSET(A837,-WEEKDAY(F837,2),0):A837,"=2",OFFSET(A837,-WEEKDAY(F837,2),0):A837)),IF(AND('депозитный калькулятор'!$G$10="еженедельное, на минимальную сумму зафиксированную в течение недели",F837='депозитный калькулятор'!$D$8,WEEKDAY(F837,2)&lt;&gt;7),MIN(OFFSET(H837,-WEEKDAY(F837,2),0):H837)*(COUNTIF(OFFSET(H837,-WEEKDAY(F837,2)+1,0):H837,"&gt;0")+SUM(OFFSET(A837,-WEEKDAY(F837,2),0):A837)),IF(AND('депозитный калькулятор'!$G$10="ежемесячное (в конце месяца)",F837='депозитный калькулятор'!$D$8,EOMONTH(F837,0)&lt;&gt;F837),IF('депозитный калькулятор'!$F$1=1,$H$24,SUM($H$23:H837)-SUM($I$23:I836)),IF(AND('депозитный калькулятор'!$G$10="ежемесячное (в конце месяца)",EOMONTH(F837,0)=F837),SUM($H$23:H837)-SUM($I$23:I836),IF(AND('депозитный калькулятор'!$G$10="ежемесячное (по дням открытия вклада)",F837='депозитный калькулятор'!$D$8,DAY('депозитный калькулятор'!$D$7)&lt;&gt;DAY(F837)),IF('депозитный калькулятор'!$F$1=1,$H$24,SUM($H$23:H837)-SUM($I$23:I836)),IF(AND('депозитный калькулятор'!$G$10="ежемесячное (по дням открытия вклада)",DAY('депозитный калькулятор'!$D$7)=DAY(F837)),SUM($H$23:H837)-SUM($I$23:I836),IF(AND('депозитный калькулятор'!$G$10="ежемесячное, на минимальную сумму зафиксированную в течение месяца",F837='депозитный калькулятор'!$D$8,EOMONTH(F837,0)&lt;&gt;F837),IF('депозитный калькулятор'!$F$1=1,$H$24,IF(AND(OR('депозитный калькулятор'!$G$7="30/365",'депозитный калькулятор'!$G$7="30/360"),DAY(F837)=31),0,MIN(OFFSET(H837,-E837+1,0):H837)*(E837+SUMIF(OFFSET(A837,-E837+1,0):A837,"=2",OFFSET(A837,-E837+1,0):A837)))),IF(AND('депозитный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калькулятор'!$G$7="30/360"),DAY(EOMONTH(F837,0))=31),EOMONTH(F837,0)-1=F837,EOMONTH(F837,0)=F837)),IF(IF(AND(OR('депозитный калькулятор'!$G$7="30/365",'депозитный калькулятор'!$G$7="30/360"),DAY(EOMONTH($F$23,0))=31),F837=EOMONTH($F$23,0)-1,F837=EOMONTH($F$23,0)),MIN(OFFSET(H837,-(DAY(F837)-DAY($F$23)),0):H837)*E837,MIN(OFFSET(H837,-(DAY(F837)-1),0):H837)*IF(AND(OR('депозитный калькулятор'!$G$7="30/365",'депозитный калькулятор'!$G$7="30/360"),DAY(F837)&lt;30),30,DAY(F837))),IF(AND('депозитный калькулятор'!$G$10="ежемесячное, на средний остаток в течение месяца, при условии что остаток больше чем ограничение",F837='депозитный калькулятор'!$D$8,EOMONTH(F837,0)&lt;&gt;F837),IF('депозитный калькулятор'!$F$1=1,$H$24,SUM(OFFSET(Q837,-E837+1,0):Q837)),IF(AND('депозитный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калькулятор'!$G$7="30/360"),DAY(EOMONTH(F837,0))=31),EOMONTH(F837,0)-1=F837,EOMONTH(F837,0)=F837)),IF(IF(AND(OR('депозитный калькулятор'!$G$7="30/365",'депозитный калькулятор'!$G$7="30/360"),DAY(EOMONTH($F$24,0))=31),F837=EOMONTH($F$24,0)-1,F837=EOMONTH($F$24,0)),SUM(OFFSET(Q837,-E837+1,0):Q837),SUM(OFFSET(Q837,-E837+1,0):Q837)),IF('депозитный калькулятор'!$G$10="ежеквартальное",IF(F837&gt;'депозитный калькулятор'!$D$8," ",IF(AND(EOMONTH(F837,0)=F837,OR(MONTH(F837)=3,MONTH(F837)=6,MONTH(F837)=9,MONTH(F837)=12)),IF(EDATE(F837,-3)&lt;'депозитный калькулятор'!$D$7,SUM($H$23:H837),IF(MOD(YEAR(F837),4)=0,IF(AND(EOMONTH(F837,0)=F837,OR(MONTH(F837)=3,MONTH(F837)=6)),SUM(OFFSET(H837,-90,0):H837),IF(AND(EOMONTH(F837,0)=F837,OR(MONTH(F837)=9,MONTH(F837)=12)),SUM(OFFSET(H837,-91,0):H837))),IF(AND(EOMONTH(F837,0)=F837,MONTH(F837)=3),SUM(OFFSET(H837,-89,0):H837),IF(AND(EOMONTH(F837,0)=F837,MONTH(F837)=6),SUM(OFFSET(H837,-90,0):H837),IF(AND(EOMONTH(F837,0)=F837,OR(MONTH(F837)=9,MONTH(F837)=12)),SUM(OFFSET(H837,-91,0):H837)))))),IF(F837='депозитный калькулятор'!$D$8,SUM($H$23:H837)-SUM($I$23:I836),0))),IF('депозитный калькулятор'!$G$10="ежегодное",IF(F837&gt;'депозитный калькулятор'!$D$8," ",IF(F837='депозитный калькулятор'!$D$8,SUM($H$23:H837)-SUM($I$23:I836),IF(AND(EOMONTH(F837,0)=F837,MONTH(F837)=12),IF(MOD(YEAR(F836),4)=0,IF(F837-'депозитный калькулятор'!$D$7&lt;366,SUM($H$23:H837),SUM(OFFSET(H837,-365,0):H837)),IF(F837-'депозитный калькулятор'!$D$7&lt;365,SUM($H$23:H837),SUM(OFFSET(H837,-364,0):H837))),0))),IF(AND('депозитный калькулятор'!$G$10="в конце срока",'депозитный калькулятор'!$D$8=F837),SUM($H$23:H837),0))))))))))))))))))</f>
        <v xml:space="preserve"> </v>
      </c>
      <c r="J837" s="59" t="str">
        <f>IF(F837&gt;'депозитный калькулятор'!$D$8," ",IF('депозитный калькулятор'!$G$16="нет",0,IF(AND('депозитный калькулятор'!$G$17="разовая (в конце срока)",F837='депозитный калькулятор'!$D$8),'депозитный калькулятор'!$G$18,IF(AND('депозитный калькулятор'!$G$17="ежемесячная",EOMONTH(F836,0)=F836),'депозитный калькулятор'!$G$18,IF(AND('депозитный калькулятор'!$G$17="ежегодная",DAY(F836)=31,MONTH(F836)=12),'депозитный калькулятор'!$G$18,IF(AND('депозитный калькулятор'!$G$17="ежемесячная в зависимости от остатка",EOMONTH(F836,0)=F836,P836&gt;0),'депозитный калькулятор'!$G$18,IF(AND('депозитный калькулятор'!$G$17="ежегодная в зависимости от остатка",DAY(F836)=31,MONTH(F836)=12,P836&gt;0),'депозитный калькулятор'!$G$18,0)))))))</f>
        <v xml:space="preserve"> </v>
      </c>
      <c r="K837" s="135" t="str">
        <f>IF($F837=" "," ",IFERROR(VLOOKUP($F837,'депозитный калькулятор'!$B$26:$F$70,2,0),0))</f>
        <v xml:space="preserve"> </v>
      </c>
      <c r="L837" s="135" t="str">
        <f>IF($F837=" "," ",IFERROR(VLOOKUP($F837,'депозитный калькулятор'!$B$26:$F$70,3,0),0))</f>
        <v xml:space="preserve"> </v>
      </c>
      <c r="M837" s="135" t="str">
        <f>IF($F837=" "," ",IFERROR(VLOOKUP($F837,'депозитный калькулятор'!$B$26:$F$70,4,0),0))</f>
        <v xml:space="preserve"> </v>
      </c>
      <c r="N837" s="135" t="str">
        <f>IF($F837=" "," ",IFERROR(VLOOKUP($F837,'депозитный калькулятор'!$B$26:$F$70,5,0),0))</f>
        <v xml:space="preserve"> </v>
      </c>
      <c r="O837" s="146" t="str">
        <f>IF(F837&gt;'депозитный калькулятор'!$D$8," ",IF(F837='депозитный калькулятор'!$D$8,IF(AND($F$24='депозитный калькулятор'!$D$8,'депозитный калькулятор'!$G$13="нет"),-G837-IF(I837=" ",0,I837)-IF(AND(OR('депозитный калькулятор'!$G$7="30/365",'депозитный калькулятор'!$G$7="30/360"),'депозитный калькулятор'!$G$10="в начале срока"),I836,0)-L837+M837-N837,-G837-IF(I837=" ",0,I837)-L837+M837-N837),IF('депозитный калькулятор'!$G$13="есть",M837-N837+IF('депозитный калькулятор'!$G$14="есть",0,-L837),-IF(I837=" ",0,I837)-IF(AND(OR('депозитный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срока"),I836,0)+M837-N837+IF('депозитный калькулятор'!$G$14="есть",0,-L837))))</f>
        <v xml:space="preserve"> </v>
      </c>
      <c r="P837" s="147" t="str">
        <f>IF(F837&gt;'депозитный калькулятор'!$D$8," ",IF(EOMONTH(F836,0)=F836,0,IF(G837&gt;='депозитный калькулятор'!$G$19,P836,P836+1)))</f>
        <v xml:space="preserve"> </v>
      </c>
      <c r="Q837" s="138" t="str">
        <f>IF(F837=" "," ",IF(AND(OR('депозитный калькулятор'!$G$7="30/365",'депозитный калькулятор'!$G$7="30/360"),AND(MONTH(F837)=2,EOMONTH(F837,0)=F837)),IF(DAY(F837)=28,3,2),1)*IF(G837&gt;='депозитный калькулятор'!$G$11,IF(AND('депозитный калькулятор'!$G$7="факт/факт",MOD(YEAR(F837),4)=0),G837*'депозитный калькулятор'!$D$11/366,G837*'депозитный калькулятор'!$G$8),0))</f>
        <v xml:space="preserve"> </v>
      </c>
      <c r="R837" s="158"/>
      <c r="S837" s="62" t="str">
        <f t="shared" ca="1" si="62"/>
        <v xml:space="preserve"> </v>
      </c>
      <c r="T837" s="149" t="str">
        <f ca="1">IF(S837=" "," ",IF('депозитный калькулятор'!$G$7="30/360",DAYS360(U836,IF(DAY(U837)=31,U837-1,U837))+IF(AND(MONTH(U837)=2,U837=EOMONTH(U837,0)),30-DAY(EOMONTH(U837,0)))+T836,VLOOKUP(S837,$C$22:$F$1023,2,0)))</f>
        <v xml:space="preserve"> </v>
      </c>
      <c r="U837" s="64" t="str">
        <f t="shared" ca="1" si="60"/>
        <v xml:space="preserve"> </v>
      </c>
      <c r="V837" s="150" t="str">
        <f t="shared" ca="1" si="63"/>
        <v xml:space="preserve"> </v>
      </c>
      <c r="W837" s="62" t="str">
        <f t="shared" ca="1" si="64"/>
        <v xml:space="preserve"> </v>
      </c>
      <c r="X837" s="141" t="str">
        <f ca="1">IF(S837=" "," ",IFERROR(VLOOKUP(U837,$F$23:$N$1023,7)+VLOOKUP(U837,$F$23:$N$1023,9)+IF(AND('депозитный калькулятор'!$G$13="нет",U837&lt;&gt;'депозитный калькулятор'!$D$8),VLOOKUP(U837,$F$23:$N$1023,4),0),0)+IF(U837='депозитный калькулятор'!$D$8,VLOOKUP(U837,$F$23:$N$1023,2)+VLOOKUP(U837,$F$23:$N$1023,4),0))</f>
        <v xml:space="preserve"> </v>
      </c>
      <c r="Y837" s="142" t="str">
        <f ca="1">IF(S837=" "," ",W837/(1+'депозитный калькулятор'!$K$8)^(T837/IF('депозитный калькулятор'!$G$7="30/360",360,365)))</f>
        <v xml:space="preserve"> </v>
      </c>
      <c r="Z837" s="142" t="str">
        <f ca="1">IF(S837=" "," ",X837/(1+'депозитный калькулятор'!$K$8)^(T837/IF('депозитный калькулятор'!$G$7="30/360",360,365)))</f>
        <v xml:space="preserve"> </v>
      </c>
      <c r="AA837" s="151"/>
      <c r="AB837" s="151"/>
      <c r="AC837" s="155"/>
      <c r="AD837" s="155"/>
    </row>
    <row r="838" spans="1:30" s="2" customFormat="1" ht="15.5" x14ac:dyDescent="0.35">
      <c r="A838" s="41" t="str">
        <f>IF(F838=" "," ",IF(OR('депозитный калькулятор'!$G$7="30/365",'депозитный калькулятор'!$G$7="30/360"),IF(AND(MONTH(F838)=2,DAY(F838)=DAY(EOMONTH(F838,0))),30-DAY(EOMONTH(F838,0)),IF(DAY(F838)=31,1," "))," "))</f>
        <v xml:space="preserve"> </v>
      </c>
      <c r="B838" s="130" t="str">
        <f t="shared" si="61"/>
        <v xml:space="preserve"> </v>
      </c>
      <c r="C838" s="130" t="str">
        <f>IF(OR(B838=0,B838=" ")," ",SUM($B$23:B838))</f>
        <v xml:space="preserve"> </v>
      </c>
      <c r="D838" s="62" t="str">
        <f>IF(D837=" "," ",IF(OR(F837='депозитный калькулятор'!$D$8,F837=" ")," ",D837+1))</f>
        <v xml:space="preserve"> </v>
      </c>
      <c r="E838" s="130" t="str">
        <f>IF(OR(F837='депозитный калькулятор'!$D$8,F837=" ")," ",IF(EOMONTH(F837,0)=F837,1,E837+1))</f>
        <v xml:space="preserve"> </v>
      </c>
      <c r="F838" s="64" t="str">
        <f>IF(F837=" "," ",IF(F837='депозитный калькулятор'!$D$8," ",F837+1))</f>
        <v xml:space="preserve"> </v>
      </c>
      <c r="G838" s="145" t="str">
        <f xml:space="preserve"> IF(F838&gt;'депозитный калькулятор'!$D$8," ",IF('депозитный калькулятор'!$G$13="есть",IF('депозитный калькулятор'!$G$14="есть",G837+IF(I837=" ",0,I837)-J838-K838+L838+M838-N838,G837+IF(I837=" ",0,I837)-J838-K838+M838-N838),IF('депозитный калькулятор'!$G$14="есть",G837-J838-K838+L838+M838-N838,G837-J838-K838+M838-N838)))</f>
        <v xml:space="preserve"> </v>
      </c>
      <c r="H838" s="133" t="str">
        <f>IF(F838&gt;'депозитный калькулятор'!$D$8," ",IF(AND(OR('депозитный калькулятор'!$G$7="30/365",'депозитный калькулятор'!$G$7="30/360"),AND(MONTH(F838)=2,EOMONTH(F838,0)=F838)),IF(DAY(F838)=28,3*G838*'депозитный калькулятор'!$G$8,2*G838*'депозитный калькулятор'!$G$8),IF(AND(OR('депозитный калькулятор'!$G$7="30/365",'депозитный калькулятор'!$G$7="30/360"),DAY(F838)=31)," ",IF(AND('депозитный калькулятор'!$G$7="факт/факт",MOD(YEAR(F838),4)=0),G838*'депозитный калькулятор'!$D$11/366,G838*'депозитный калькулятор'!$G$8))))</f>
        <v xml:space="preserve"> </v>
      </c>
      <c r="I838" s="134" t="str">
        <f ca="1">IF(F838=" "," ",IF('депозитный калькулятор'!$G$10="ежедневное",H838,IF(AND('депозитный калькулятор'!$G$10="еженедельное",WEEKDAY(F838,2)=7),SUM(OFFSET(H838,-6,0):H838),IF(AND('депозитный калькулятор'!$G$10="еженедельное",F838='депозитный калькулятор'!$D$8),SUM($H$23:H838)-SUM($I$23:I837),IF(AND('депозитный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недели",WEEKDAY(F838,2)=7),MIN(OFFSET(H838,-6,0):H838)*(COUNTIF(OFFSET(H838,-6,0):H838,"&gt;0")+SUMIF(OFFSET(A838,-WEEKDAY(F838,2),0):A838,"=2",OFFSET(A838,-WEEKDAY(F838,2),0):A838)),IF(AND('депозитный калькулятор'!$G$10="еженедельное, на минимальную сумму зафиксированную в течение недели",F838='депозитный калькулятор'!$D$8,WEEKDAY(F838,2)&lt;&gt;7),MIN(OFFSET(H838,-WEEKDAY(F838,2),0):H838)*(COUNTIF(OFFSET(H838,-WEEKDAY(F838,2)+1,0):H838,"&gt;0")+SUM(OFFSET(A838,-WEEKDAY(F838,2),0):A838)),IF(AND('депозитный калькулятор'!$G$10="ежемесячное (в конце месяца)",F838='депозитный калькулятор'!$D$8,EOMONTH(F838,0)&lt;&gt;F838),IF('депозитный калькулятор'!$F$1=1,$H$24,SUM($H$23:H838)-SUM($I$23:I837)),IF(AND('депозитный калькулятор'!$G$10="ежемесячное (в конце месяца)",EOMONTH(F838,0)=F838),SUM($H$23:H838)-SUM($I$23:I837),IF(AND('депозитный калькулятор'!$G$10="ежемесячное (по дням открытия вклада)",F838='депозитный калькулятор'!$D$8,DAY('депозитный калькулятор'!$D$7)&lt;&gt;DAY(F838)),IF('депозитный калькулятор'!$F$1=1,$H$24,SUM($H$23:H838)-SUM($I$23:I837)),IF(AND('депозитный калькулятор'!$G$10="ежемесячное (по дням открытия вклада)",DAY('депозитный калькулятор'!$D$7)=DAY(F838)),SUM($H$23:H838)-SUM($I$23:I837),IF(AND('депозитный калькулятор'!$G$10="ежемесячное, на минимальную сумму зафиксированную в течение месяца",F838='депозитный калькулятор'!$D$8,EOMONTH(F838,0)&lt;&gt;F838),IF('депозитный калькулятор'!$F$1=1,$H$24,IF(AND(OR('депозитный калькулятор'!$G$7="30/365",'депозитный калькулятор'!$G$7="30/360"),DAY(F838)=31),0,MIN(OFFSET(H838,-E838+1,0):H838)*(E838+SUMIF(OFFSET(A838,-E838+1,0):A838,"=2",OFFSET(A838,-E838+1,0):A838)))),IF(AND('депозитный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калькулятор'!$G$7="30/360"),DAY(EOMONTH(F838,0))=31),EOMONTH(F838,0)-1=F838,EOMONTH(F838,0)=F838)),IF(IF(AND(OR('депозитный калькулятор'!$G$7="30/365",'депозитный калькулятор'!$G$7="30/360"),DAY(EOMONTH($F$23,0))=31),F838=EOMONTH($F$23,0)-1,F838=EOMONTH($F$23,0)),MIN(OFFSET(H838,-(DAY(F838)-DAY($F$23)),0):H838)*E838,MIN(OFFSET(H838,-(DAY(F838)-1),0):H838)*IF(AND(OR('депозитный калькулятор'!$G$7="30/365",'депозитный калькулятор'!$G$7="30/360"),DAY(F838)&lt;30),30,DAY(F838))),IF(AND('депозитный калькулятор'!$G$10="ежемесячное, на средний остаток в течение месяца, при условии что остаток больше чем ограничение",F838='депозитный калькулятор'!$D$8,EOMONTH(F838,0)&lt;&gt;F838),IF('депозитный калькулятор'!$F$1=1,$H$24,SUM(OFFSET(Q838,-E838+1,0):Q838)),IF(AND('депозитный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калькулятор'!$G$7="30/360"),DAY(EOMONTH(F838,0))=31),EOMONTH(F838,0)-1=F838,EOMONTH(F838,0)=F838)),IF(IF(AND(OR('депозитный калькулятор'!$G$7="30/365",'депозитный калькулятор'!$G$7="30/360"),DAY(EOMONTH($F$24,0))=31),F838=EOMONTH($F$24,0)-1,F838=EOMONTH($F$24,0)),SUM(OFFSET(Q838,-E838+1,0):Q838),SUM(OFFSET(Q838,-E838+1,0):Q838)),IF('депозитный калькулятор'!$G$10="ежеквартальное",IF(F838&gt;'депозитный калькулятор'!$D$8," ",IF(AND(EOMONTH(F838,0)=F838,OR(MONTH(F838)=3,MONTH(F838)=6,MONTH(F838)=9,MONTH(F838)=12)),IF(EDATE(F838,-3)&lt;'депозитный калькулятор'!$D$7,SUM($H$23:H838),IF(MOD(YEAR(F838),4)=0,IF(AND(EOMONTH(F838,0)=F838,OR(MONTH(F838)=3,MONTH(F838)=6)),SUM(OFFSET(H838,-90,0):H838),IF(AND(EOMONTH(F838,0)=F838,OR(MONTH(F838)=9,MONTH(F838)=12)),SUM(OFFSET(H838,-91,0):H838))),IF(AND(EOMONTH(F838,0)=F838,MONTH(F838)=3),SUM(OFFSET(H838,-89,0):H838),IF(AND(EOMONTH(F838,0)=F838,MONTH(F838)=6),SUM(OFFSET(H838,-90,0):H838),IF(AND(EOMONTH(F838,0)=F838,OR(MONTH(F838)=9,MONTH(F838)=12)),SUM(OFFSET(H838,-91,0):H838)))))),IF(F838='депозитный калькулятор'!$D$8,SUM($H$23:H838)-SUM($I$23:I837),0))),IF('депозитный калькулятор'!$G$10="ежегодное",IF(F838&gt;'депозитный калькулятор'!$D$8," ",IF(F838='депозитный калькулятор'!$D$8,SUM($H$23:H838)-SUM($I$23:I837),IF(AND(EOMONTH(F838,0)=F838,MONTH(F838)=12),IF(MOD(YEAR(F837),4)=0,IF(F838-'депозитный калькулятор'!$D$7&lt;366,SUM($H$23:H838),SUM(OFFSET(H838,-365,0):H838)),IF(F838-'депозитный калькулятор'!$D$7&lt;365,SUM($H$23:H838),SUM(OFFSET(H838,-364,0):H838))),0))),IF(AND('депозитный калькулятор'!$G$10="в конце срока",'депозитный калькулятор'!$D$8=F838),SUM($H$23:H838),0))))))))))))))))))</f>
        <v xml:space="preserve"> </v>
      </c>
      <c r="J838" s="59" t="str">
        <f>IF(F838&gt;'депозитный калькулятор'!$D$8," ",IF('депозитный калькулятор'!$G$16="нет",0,IF(AND('депозитный калькулятор'!$G$17="разовая (в конце срока)",F838='депозитный калькулятор'!$D$8),'депозитный калькулятор'!$G$18,IF(AND('депозитный калькулятор'!$G$17="ежемесячная",EOMONTH(F837,0)=F837),'депозитный калькулятор'!$G$18,IF(AND('депозитный калькулятор'!$G$17="ежегодная",DAY(F837)=31,MONTH(F837)=12),'депозитный калькулятор'!$G$18,IF(AND('депозитный калькулятор'!$G$17="ежемесячная в зависимости от остатка",EOMONTH(F837,0)=F837,P837&gt;0),'депозитный калькулятор'!$G$18,IF(AND('депозитный калькулятор'!$G$17="ежегодная в зависимости от остатка",DAY(F837)=31,MONTH(F837)=12,P837&gt;0),'депозитный калькулятор'!$G$18,0)))))))</f>
        <v xml:space="preserve"> </v>
      </c>
      <c r="K838" s="135" t="str">
        <f>IF($F838=" "," ",IFERROR(VLOOKUP($F838,'депозитный калькулятор'!$B$26:$F$70,2,0),0))</f>
        <v xml:space="preserve"> </v>
      </c>
      <c r="L838" s="135" t="str">
        <f>IF($F838=" "," ",IFERROR(VLOOKUP($F838,'депозитный калькулятор'!$B$26:$F$70,3,0),0))</f>
        <v xml:space="preserve"> </v>
      </c>
      <c r="M838" s="135" t="str">
        <f>IF($F838=" "," ",IFERROR(VLOOKUP($F838,'депозитный калькулятор'!$B$26:$F$70,4,0),0))</f>
        <v xml:space="preserve"> </v>
      </c>
      <c r="N838" s="135" t="str">
        <f>IF($F838=" "," ",IFERROR(VLOOKUP($F838,'депозитный калькулятор'!$B$26:$F$70,5,0),0))</f>
        <v xml:space="preserve"> </v>
      </c>
      <c r="O838" s="146" t="str">
        <f>IF(F838&gt;'депозитный калькулятор'!$D$8," ",IF(F838='депозитный калькулятор'!$D$8,IF(AND($F$24='депозитный калькулятор'!$D$8,'депозитный калькулятор'!$G$13="нет"),-G838-IF(I838=" ",0,I838)-IF(AND(OR('депозитный калькулятор'!$G$7="30/365",'депозитный калькулятор'!$G$7="30/360"),'депозитный калькулятор'!$G$10="в начале срока"),I837,0)-L838+M838-N838,-G838-IF(I838=" ",0,I838)-L838+M838-N838),IF('депозитный калькулятор'!$G$13="есть",M838-N838+IF('депозитный калькулятор'!$G$14="есть",0,-L838),-IF(I838=" ",0,I838)-IF(AND(OR('депозитный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срока"),I837,0)+M838-N838+IF('депозитный калькулятор'!$G$14="есть",0,-L838))))</f>
        <v xml:space="preserve"> </v>
      </c>
      <c r="P838" s="147" t="str">
        <f>IF(F838&gt;'депозитный калькулятор'!$D$8," ",IF(EOMONTH(F837,0)=F837,0,IF(G838&gt;='депозитный калькулятор'!$G$19,P837,P837+1)))</f>
        <v xml:space="preserve"> </v>
      </c>
      <c r="Q838" s="138" t="str">
        <f>IF(F838=" "," ",IF(AND(OR('депозитный калькулятор'!$G$7="30/365",'депозитный калькулятор'!$G$7="30/360"),AND(MONTH(F838)=2,EOMONTH(F838,0)=F838)),IF(DAY(F838)=28,3,2),1)*IF(G838&gt;='депозитный калькулятор'!$G$11,IF(AND('депозитный калькулятор'!$G$7="факт/факт",MOD(YEAR(F838),4)=0),G838*'депозитный калькулятор'!$D$11/366,G838*'депозитный калькулятор'!$G$8),0))</f>
        <v xml:space="preserve"> </v>
      </c>
      <c r="R838" s="158"/>
      <c r="S838" s="62" t="str">
        <f t="shared" ca="1" si="62"/>
        <v xml:space="preserve"> </v>
      </c>
      <c r="T838" s="149" t="str">
        <f ca="1">IF(S838=" "," ",IF('депозитный калькулятор'!$G$7="30/360",DAYS360(U837,IF(DAY(U838)=31,U838-1,U838))+IF(AND(MONTH(U838)=2,U838=EOMONTH(U838,0)),30-DAY(EOMONTH(U838,0)))+T837,VLOOKUP(S838,$C$22:$F$1023,2,0)))</f>
        <v xml:space="preserve"> </v>
      </c>
      <c r="U838" s="64" t="str">
        <f t="shared" ca="1" si="60"/>
        <v xml:space="preserve"> </v>
      </c>
      <c r="V838" s="150" t="str">
        <f t="shared" ca="1" si="63"/>
        <v xml:space="preserve"> </v>
      </c>
      <c r="W838" s="62" t="str">
        <f t="shared" ca="1" si="64"/>
        <v xml:space="preserve"> </v>
      </c>
      <c r="X838" s="141" t="str">
        <f ca="1">IF(S838=" "," ",IFERROR(VLOOKUP(U838,$F$23:$N$1023,7)+VLOOKUP(U838,$F$23:$N$1023,9)+IF(AND('депозитный калькулятор'!$G$13="нет",U838&lt;&gt;'депозитный калькулятор'!$D$8),VLOOKUP(U838,$F$23:$N$1023,4),0),0)+IF(U838='депозитный калькулятор'!$D$8,VLOOKUP(U838,$F$23:$N$1023,2)+VLOOKUP(U838,$F$23:$N$1023,4),0))</f>
        <v xml:space="preserve"> </v>
      </c>
      <c r="Y838" s="142" t="str">
        <f ca="1">IF(S838=" "," ",W838/(1+'депозитный калькулятор'!$K$8)^(T838/IF('депозитный калькулятор'!$G$7="30/360",360,365)))</f>
        <v xml:space="preserve"> </v>
      </c>
      <c r="Z838" s="142" t="str">
        <f ca="1">IF(S838=" "," ",X838/(1+'депозитный калькулятор'!$K$8)^(T838/IF('депозитный калькулятор'!$G$7="30/360",360,365)))</f>
        <v xml:space="preserve"> </v>
      </c>
      <c r="AA838" s="151"/>
      <c r="AB838" s="151"/>
      <c r="AC838" s="155"/>
      <c r="AD838" s="155"/>
    </row>
    <row r="839" spans="1:30" s="2" customFormat="1" ht="15.5" x14ac:dyDescent="0.35">
      <c r="A839" s="41" t="str">
        <f>IF(F839=" "," ",IF(OR('депозитный калькулятор'!$G$7="30/365",'депозитный калькулятор'!$G$7="30/360"),IF(AND(MONTH(F839)=2,DAY(F839)=DAY(EOMONTH(F839,0))),30-DAY(EOMONTH(F839,0)),IF(DAY(F839)=31,1," "))," "))</f>
        <v xml:space="preserve"> </v>
      </c>
      <c r="B839" s="130" t="str">
        <f t="shared" si="61"/>
        <v xml:space="preserve"> </v>
      </c>
      <c r="C839" s="130" t="str">
        <f>IF(OR(B839=0,B839=" ")," ",SUM($B$23:B839))</f>
        <v xml:space="preserve"> </v>
      </c>
      <c r="D839" s="62" t="str">
        <f>IF(D838=" "," ",IF(OR(F838='депозитный калькулятор'!$D$8,F838=" ")," ",D838+1))</f>
        <v xml:space="preserve"> </v>
      </c>
      <c r="E839" s="130" t="str">
        <f>IF(OR(F838='депозитный калькулятор'!$D$8,F838=" ")," ",IF(EOMONTH(F838,0)=F838,1,E838+1))</f>
        <v xml:space="preserve"> </v>
      </c>
      <c r="F839" s="64" t="str">
        <f>IF(F838=" "," ",IF(F838='депозитный калькулятор'!$D$8," ",F838+1))</f>
        <v xml:space="preserve"> </v>
      </c>
      <c r="G839" s="145" t="str">
        <f xml:space="preserve"> IF(F839&gt;'депозитный калькулятор'!$D$8," ",IF('депозитный калькулятор'!$G$13="есть",IF('депозитный калькулятор'!$G$14="есть",G838+IF(I838=" ",0,I838)-J839-K839+L839+M839-N839,G838+IF(I838=" ",0,I838)-J839-K839+M839-N839),IF('депозитный калькулятор'!$G$14="есть",G838-J839-K839+L839+M839-N839,G838-J839-K839+M839-N839)))</f>
        <v xml:space="preserve"> </v>
      </c>
      <c r="H839" s="133" t="str">
        <f>IF(F839&gt;'депозитный калькулятор'!$D$8," ",IF(AND(OR('депозитный калькулятор'!$G$7="30/365",'депозитный калькулятор'!$G$7="30/360"),AND(MONTH(F839)=2,EOMONTH(F839,0)=F839)),IF(DAY(F839)=28,3*G839*'депозитный калькулятор'!$G$8,2*G839*'депозитный калькулятор'!$G$8),IF(AND(OR('депозитный калькулятор'!$G$7="30/365",'депозитный калькулятор'!$G$7="30/360"),DAY(F839)=31)," ",IF(AND('депозитный калькулятор'!$G$7="факт/факт",MOD(YEAR(F839),4)=0),G839*'депозитный калькулятор'!$D$11/366,G839*'депозитный калькулятор'!$G$8))))</f>
        <v xml:space="preserve"> </v>
      </c>
      <c r="I839" s="134" t="str">
        <f ca="1">IF(F839=" "," ",IF('депозитный калькулятор'!$G$10="ежедневное",H839,IF(AND('депозитный калькулятор'!$G$10="еженедельное",WEEKDAY(F839,2)=7),SUM(OFFSET(H839,-6,0):H839),IF(AND('депозитный калькулятор'!$G$10="еженедельное",F839='депозитный калькулятор'!$D$8),SUM($H$23:H839)-SUM($I$23:I838),IF(AND('депозитный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недели",WEEKDAY(F839,2)=7),MIN(OFFSET(H839,-6,0):H839)*(COUNTIF(OFFSET(H839,-6,0):H839,"&gt;0")+SUMIF(OFFSET(A839,-WEEKDAY(F839,2),0):A839,"=2",OFFSET(A839,-WEEKDAY(F839,2),0):A839)),IF(AND('депозитный калькулятор'!$G$10="еженедельное, на минимальную сумму зафиксированную в течение недели",F839='депозитный калькулятор'!$D$8,WEEKDAY(F839,2)&lt;&gt;7),MIN(OFFSET(H839,-WEEKDAY(F839,2),0):H839)*(COUNTIF(OFFSET(H839,-WEEKDAY(F839,2)+1,0):H839,"&gt;0")+SUM(OFFSET(A839,-WEEKDAY(F839,2),0):A839)),IF(AND('депозитный калькулятор'!$G$10="ежемесячное (в конце месяца)",F839='депозитный калькулятор'!$D$8,EOMONTH(F839,0)&lt;&gt;F839),IF('депозитный калькулятор'!$F$1=1,$H$24,SUM($H$23:H839)-SUM($I$23:I838)),IF(AND('депозитный калькулятор'!$G$10="ежемесячное (в конце месяца)",EOMONTH(F839,0)=F839),SUM($H$23:H839)-SUM($I$23:I838),IF(AND('депозитный калькулятор'!$G$10="ежемесячное (по дням открытия вклада)",F839='депозитный калькулятор'!$D$8,DAY('депозитный калькулятор'!$D$7)&lt;&gt;DAY(F839)),IF('депозитный калькулятор'!$F$1=1,$H$24,SUM($H$23:H839)-SUM($I$23:I838)),IF(AND('депозитный калькулятор'!$G$10="ежемесячное (по дням открытия вклада)",DAY('депозитный калькулятор'!$D$7)=DAY(F839)),SUM($H$23:H839)-SUM($I$23:I838),IF(AND('депозитный калькулятор'!$G$10="ежемесячное, на минимальную сумму зафиксированную в течение месяца",F839='депозитный калькулятор'!$D$8,EOMONTH(F839,0)&lt;&gt;F839),IF('депозитный калькулятор'!$F$1=1,$H$24,IF(AND(OR('депозитный калькулятор'!$G$7="30/365",'депозитный калькулятор'!$G$7="30/360"),DAY(F839)=31),0,MIN(OFFSET(H839,-E839+1,0):H839)*(E839+SUMIF(OFFSET(A839,-E839+1,0):A839,"=2",OFFSET(A839,-E839+1,0):A839)))),IF(AND('депозитный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калькулятор'!$G$7="30/360"),DAY(EOMONTH(F839,0))=31),EOMONTH(F839,0)-1=F839,EOMONTH(F839,0)=F839)),IF(IF(AND(OR('депозитный калькулятор'!$G$7="30/365",'депозитный калькулятор'!$G$7="30/360"),DAY(EOMONTH($F$23,0))=31),F839=EOMONTH($F$23,0)-1,F839=EOMONTH($F$23,0)),MIN(OFFSET(H839,-(DAY(F839)-DAY($F$23)),0):H839)*E839,MIN(OFFSET(H839,-(DAY(F839)-1),0):H839)*IF(AND(OR('депозитный калькулятор'!$G$7="30/365",'депозитный калькулятор'!$G$7="30/360"),DAY(F839)&lt;30),30,DAY(F839))),IF(AND('депозитный калькулятор'!$G$10="ежемесячное, на средний остаток в течение месяца, при условии что остаток больше чем ограничение",F839='депозитный калькулятор'!$D$8,EOMONTH(F839,0)&lt;&gt;F839),IF('депозитный калькулятор'!$F$1=1,$H$24,SUM(OFFSET(Q839,-E839+1,0):Q839)),IF(AND('депозитный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калькулятор'!$G$7="30/360"),DAY(EOMONTH(F839,0))=31),EOMONTH(F839,0)-1=F839,EOMONTH(F839,0)=F839)),IF(IF(AND(OR('депозитный калькулятор'!$G$7="30/365",'депозитный калькулятор'!$G$7="30/360"),DAY(EOMONTH($F$24,0))=31),F839=EOMONTH($F$24,0)-1,F839=EOMONTH($F$24,0)),SUM(OFFSET(Q839,-E839+1,0):Q839),SUM(OFFSET(Q839,-E839+1,0):Q839)),IF('депозитный калькулятор'!$G$10="ежеквартальное",IF(F839&gt;'депозитный калькулятор'!$D$8," ",IF(AND(EOMONTH(F839,0)=F839,OR(MONTH(F839)=3,MONTH(F839)=6,MONTH(F839)=9,MONTH(F839)=12)),IF(EDATE(F839,-3)&lt;'депозитный калькулятор'!$D$7,SUM($H$23:H839),IF(MOD(YEAR(F839),4)=0,IF(AND(EOMONTH(F839,0)=F839,OR(MONTH(F839)=3,MONTH(F839)=6)),SUM(OFFSET(H839,-90,0):H839),IF(AND(EOMONTH(F839,0)=F839,OR(MONTH(F839)=9,MONTH(F839)=12)),SUM(OFFSET(H839,-91,0):H839))),IF(AND(EOMONTH(F839,0)=F839,MONTH(F839)=3),SUM(OFFSET(H839,-89,0):H839),IF(AND(EOMONTH(F839,0)=F839,MONTH(F839)=6),SUM(OFFSET(H839,-90,0):H839),IF(AND(EOMONTH(F839,0)=F839,OR(MONTH(F839)=9,MONTH(F839)=12)),SUM(OFFSET(H839,-91,0):H839)))))),IF(F839='депозитный калькулятор'!$D$8,SUM($H$23:H839)-SUM($I$23:I838),0))),IF('депозитный калькулятор'!$G$10="ежегодное",IF(F839&gt;'депозитный калькулятор'!$D$8," ",IF(F839='депозитный калькулятор'!$D$8,SUM($H$23:H839)-SUM($I$23:I838),IF(AND(EOMONTH(F839,0)=F839,MONTH(F839)=12),IF(MOD(YEAR(F838),4)=0,IF(F839-'депозитный калькулятор'!$D$7&lt;366,SUM($H$23:H839),SUM(OFFSET(H839,-365,0):H839)),IF(F839-'депозитный калькулятор'!$D$7&lt;365,SUM($H$23:H839),SUM(OFFSET(H839,-364,0):H839))),0))),IF(AND('депозитный калькулятор'!$G$10="в конце срока",'депозитный калькулятор'!$D$8=F839),SUM($H$23:H839),0))))))))))))))))))</f>
        <v xml:space="preserve"> </v>
      </c>
      <c r="J839" s="59" t="str">
        <f>IF(F839&gt;'депозитный калькулятор'!$D$8," ",IF('депозитный калькулятор'!$G$16="нет",0,IF(AND('депозитный калькулятор'!$G$17="разовая (в конце срока)",F839='депозитный калькулятор'!$D$8),'депозитный калькулятор'!$G$18,IF(AND('депозитный калькулятор'!$G$17="ежемесячная",EOMONTH(F838,0)=F838),'депозитный калькулятор'!$G$18,IF(AND('депозитный калькулятор'!$G$17="ежегодная",DAY(F838)=31,MONTH(F838)=12),'депозитный калькулятор'!$G$18,IF(AND('депозитный калькулятор'!$G$17="ежемесячная в зависимости от остатка",EOMONTH(F838,0)=F838,P838&gt;0),'депозитный калькулятор'!$G$18,IF(AND('депозитный калькулятор'!$G$17="ежегодная в зависимости от остатка",DAY(F838)=31,MONTH(F838)=12,P838&gt;0),'депозитный калькулятор'!$G$18,0)))))))</f>
        <v xml:space="preserve"> </v>
      </c>
      <c r="K839" s="135" t="str">
        <f>IF($F839=" "," ",IFERROR(VLOOKUP($F839,'депозитный калькулятор'!$B$26:$F$70,2,0),0))</f>
        <v xml:space="preserve"> </v>
      </c>
      <c r="L839" s="135" t="str">
        <f>IF($F839=" "," ",IFERROR(VLOOKUP($F839,'депозитный калькулятор'!$B$26:$F$70,3,0),0))</f>
        <v xml:space="preserve"> </v>
      </c>
      <c r="M839" s="135" t="str">
        <f>IF($F839=" "," ",IFERROR(VLOOKUP($F839,'депозитный калькулятор'!$B$26:$F$70,4,0),0))</f>
        <v xml:space="preserve"> </v>
      </c>
      <c r="N839" s="135" t="str">
        <f>IF($F839=" "," ",IFERROR(VLOOKUP($F839,'депозитный калькулятор'!$B$26:$F$70,5,0),0))</f>
        <v xml:space="preserve"> </v>
      </c>
      <c r="O839" s="146" t="str">
        <f>IF(F839&gt;'депозитный калькулятор'!$D$8," ",IF(F839='депозитный калькулятор'!$D$8,IF(AND($F$24='депозитный калькулятор'!$D$8,'депозитный калькулятор'!$G$13="нет"),-G839-IF(I839=" ",0,I839)-IF(AND(OR('депозитный калькулятор'!$G$7="30/365",'депозитный калькулятор'!$G$7="30/360"),'депозитный калькулятор'!$G$10="в начале срока"),I838,0)-L839+M839-N839,-G839-IF(I839=" ",0,I839)-L839+M839-N839),IF('депозитный калькулятор'!$G$13="есть",M839-N839+IF('депозитный калькулятор'!$G$14="есть",0,-L839),-IF(I839=" ",0,I839)-IF(AND(OR('депозитный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срока"),I838,0)+M839-N839+IF('депозитный калькулятор'!$G$14="есть",0,-L839))))</f>
        <v xml:space="preserve"> </v>
      </c>
      <c r="P839" s="147" t="str">
        <f>IF(F839&gt;'депозитный калькулятор'!$D$8," ",IF(EOMONTH(F838,0)=F838,0,IF(G839&gt;='депозитный калькулятор'!$G$19,P838,P838+1)))</f>
        <v xml:space="preserve"> </v>
      </c>
      <c r="Q839" s="138" t="str">
        <f>IF(F839=" "," ",IF(AND(OR('депозитный калькулятор'!$G$7="30/365",'депозитный калькулятор'!$G$7="30/360"),AND(MONTH(F839)=2,EOMONTH(F839,0)=F839)),IF(DAY(F839)=28,3,2),1)*IF(G839&gt;='депозитный калькулятор'!$G$11,IF(AND('депозитный калькулятор'!$G$7="факт/факт",MOD(YEAR(F839),4)=0),G839*'депозитный калькулятор'!$D$11/366,G839*'депозитный калькулятор'!$G$8),0))</f>
        <v xml:space="preserve"> </v>
      </c>
      <c r="R839" s="158"/>
      <c r="S839" s="62" t="str">
        <f t="shared" ca="1" si="62"/>
        <v xml:space="preserve"> </v>
      </c>
      <c r="T839" s="149" t="str">
        <f ca="1">IF(S839=" "," ",IF('депозитный калькулятор'!$G$7="30/360",DAYS360(U838,IF(DAY(U839)=31,U839-1,U839))+IF(AND(MONTH(U839)=2,U839=EOMONTH(U839,0)),30-DAY(EOMONTH(U839,0)))+T838,VLOOKUP(S839,$C$22:$F$1023,2,0)))</f>
        <v xml:space="preserve"> </v>
      </c>
      <c r="U839" s="64" t="str">
        <f t="shared" ca="1" si="60"/>
        <v xml:space="preserve"> </v>
      </c>
      <c r="V839" s="150" t="str">
        <f t="shared" ca="1" si="63"/>
        <v xml:space="preserve"> </v>
      </c>
      <c r="W839" s="62" t="str">
        <f t="shared" ca="1" si="64"/>
        <v xml:space="preserve"> </v>
      </c>
      <c r="X839" s="141" t="str">
        <f ca="1">IF(S839=" "," ",IFERROR(VLOOKUP(U839,$F$23:$N$1023,7)+VLOOKUP(U839,$F$23:$N$1023,9)+IF(AND('депозитный калькулятор'!$G$13="нет",U839&lt;&gt;'депозитный калькулятор'!$D$8),VLOOKUP(U839,$F$23:$N$1023,4),0),0)+IF(U839='депозитный калькулятор'!$D$8,VLOOKUP(U839,$F$23:$N$1023,2)+VLOOKUP(U839,$F$23:$N$1023,4),0))</f>
        <v xml:space="preserve"> </v>
      </c>
      <c r="Y839" s="142" t="str">
        <f ca="1">IF(S839=" "," ",W839/(1+'депозитный калькулятор'!$K$8)^(T839/IF('депозитный калькулятор'!$G$7="30/360",360,365)))</f>
        <v xml:space="preserve"> </v>
      </c>
      <c r="Z839" s="142" t="str">
        <f ca="1">IF(S839=" "," ",X839/(1+'депозитный калькулятор'!$K$8)^(T839/IF('депозитный калькулятор'!$G$7="30/360",360,365)))</f>
        <v xml:space="preserve"> </v>
      </c>
      <c r="AA839" s="151"/>
      <c r="AB839" s="151"/>
      <c r="AC839" s="155"/>
      <c r="AD839" s="155"/>
    </row>
    <row r="840" spans="1:30" s="2" customFormat="1" ht="15.5" x14ac:dyDescent="0.35">
      <c r="A840" s="41" t="str">
        <f>IF(F840=" "," ",IF(OR('депозитный калькулятор'!$G$7="30/365",'депозитный калькулятор'!$G$7="30/360"),IF(AND(MONTH(F840)=2,DAY(F840)=DAY(EOMONTH(F840,0))),30-DAY(EOMONTH(F840,0)),IF(DAY(F840)=31,1," "))," "))</f>
        <v xml:space="preserve"> </v>
      </c>
      <c r="B840" s="130" t="str">
        <f t="shared" si="61"/>
        <v xml:space="preserve"> </v>
      </c>
      <c r="C840" s="130" t="str">
        <f>IF(OR(B840=0,B840=" ")," ",SUM($B$23:B840))</f>
        <v xml:space="preserve"> </v>
      </c>
      <c r="D840" s="62" t="str">
        <f>IF(D839=" "," ",IF(OR(F839='депозитный калькулятор'!$D$8,F839=" ")," ",D839+1))</f>
        <v xml:space="preserve"> </v>
      </c>
      <c r="E840" s="130" t="str">
        <f>IF(OR(F839='депозитный калькулятор'!$D$8,F839=" ")," ",IF(EOMONTH(F839,0)=F839,1,E839+1))</f>
        <v xml:space="preserve"> </v>
      </c>
      <c r="F840" s="64" t="str">
        <f>IF(F839=" "," ",IF(F839='депозитный калькулятор'!$D$8," ",F839+1))</f>
        <v xml:space="preserve"> </v>
      </c>
      <c r="G840" s="145" t="str">
        <f xml:space="preserve"> IF(F840&gt;'депозитный калькулятор'!$D$8," ",IF('депозитный калькулятор'!$G$13="есть",IF('депозитный калькулятор'!$G$14="есть",G839+IF(I839=" ",0,I839)-J840-K840+L840+M840-N840,G839+IF(I839=" ",0,I839)-J840-K840+M840-N840),IF('депозитный калькулятор'!$G$14="есть",G839-J840-K840+L840+M840-N840,G839-J840-K840+M840-N840)))</f>
        <v xml:space="preserve"> </v>
      </c>
      <c r="H840" s="133" t="str">
        <f>IF(F840&gt;'депозитный калькулятор'!$D$8," ",IF(AND(OR('депозитный калькулятор'!$G$7="30/365",'депозитный калькулятор'!$G$7="30/360"),AND(MONTH(F840)=2,EOMONTH(F840,0)=F840)),IF(DAY(F840)=28,3*G840*'депозитный калькулятор'!$G$8,2*G840*'депозитный калькулятор'!$G$8),IF(AND(OR('депозитный калькулятор'!$G$7="30/365",'депозитный калькулятор'!$G$7="30/360"),DAY(F840)=31)," ",IF(AND('депозитный калькулятор'!$G$7="факт/факт",MOD(YEAR(F840),4)=0),G840*'депозитный калькулятор'!$D$11/366,G840*'депозитный калькулятор'!$G$8))))</f>
        <v xml:space="preserve"> </v>
      </c>
      <c r="I840" s="134" t="str">
        <f ca="1">IF(F840=" "," ",IF('депозитный калькулятор'!$G$10="ежедневное",H840,IF(AND('депозитный калькулятор'!$G$10="еженедельное",WEEKDAY(F840,2)=7),SUM(OFFSET(H840,-6,0):H840),IF(AND('депозитный калькулятор'!$G$10="еженедельное",F840='депозитный калькулятор'!$D$8),SUM($H$23:H840)-SUM($I$23:I839),IF(AND('депозитный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недели",WEEKDAY(F840,2)=7),MIN(OFFSET(H840,-6,0):H840)*(COUNTIF(OFFSET(H840,-6,0):H840,"&gt;0")+SUMIF(OFFSET(A840,-WEEKDAY(F840,2),0):A840,"=2",OFFSET(A840,-WEEKDAY(F840,2),0):A840)),IF(AND('депозитный калькулятор'!$G$10="еженедельное, на минимальную сумму зафиксированную в течение недели",F840='депозитный калькулятор'!$D$8,WEEKDAY(F840,2)&lt;&gt;7),MIN(OFFSET(H840,-WEEKDAY(F840,2),0):H840)*(COUNTIF(OFFSET(H840,-WEEKDAY(F840,2)+1,0):H840,"&gt;0")+SUM(OFFSET(A840,-WEEKDAY(F840,2),0):A840)),IF(AND('депозитный калькулятор'!$G$10="ежемесячное (в конце месяца)",F840='депозитный калькулятор'!$D$8,EOMONTH(F840,0)&lt;&gt;F840),IF('депозитный калькулятор'!$F$1=1,$H$24,SUM($H$23:H840)-SUM($I$23:I839)),IF(AND('депозитный калькулятор'!$G$10="ежемесячное (в конце месяца)",EOMONTH(F840,0)=F840),SUM($H$23:H840)-SUM($I$23:I839),IF(AND('депозитный калькулятор'!$G$10="ежемесячное (по дням открытия вклада)",F840='депозитный калькулятор'!$D$8,DAY('депозитный калькулятор'!$D$7)&lt;&gt;DAY(F840)),IF('депозитный калькулятор'!$F$1=1,$H$24,SUM($H$23:H840)-SUM($I$23:I839)),IF(AND('депозитный калькулятор'!$G$10="ежемесячное (по дням открытия вклада)",DAY('депозитный калькулятор'!$D$7)=DAY(F840)),SUM($H$23:H840)-SUM($I$23:I839),IF(AND('депозитный калькулятор'!$G$10="ежемесячное, на минимальную сумму зафиксированную в течение месяца",F840='депозитный калькулятор'!$D$8,EOMONTH(F840,0)&lt;&gt;F840),IF('депозитный калькулятор'!$F$1=1,$H$24,IF(AND(OR('депозитный калькулятор'!$G$7="30/365",'депозитный калькулятор'!$G$7="30/360"),DAY(F840)=31),0,MIN(OFFSET(H840,-E840+1,0):H840)*(E840+SUMIF(OFFSET(A840,-E840+1,0):A840,"=2",OFFSET(A840,-E840+1,0):A840)))),IF(AND('депозитный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калькулятор'!$G$7="30/360"),DAY(EOMONTH(F840,0))=31),EOMONTH(F840,0)-1=F840,EOMONTH(F840,0)=F840)),IF(IF(AND(OR('депозитный калькулятор'!$G$7="30/365",'депозитный калькулятор'!$G$7="30/360"),DAY(EOMONTH($F$23,0))=31),F840=EOMONTH($F$23,0)-1,F840=EOMONTH($F$23,0)),MIN(OFFSET(H840,-(DAY(F840)-DAY($F$23)),0):H840)*E840,MIN(OFFSET(H840,-(DAY(F840)-1),0):H840)*IF(AND(OR('депозитный калькулятор'!$G$7="30/365",'депозитный калькулятор'!$G$7="30/360"),DAY(F840)&lt;30),30,DAY(F840))),IF(AND('депозитный калькулятор'!$G$10="ежемесячное, на средний остаток в течение месяца, при условии что остаток больше чем ограничение",F840='депозитный калькулятор'!$D$8,EOMONTH(F840,0)&lt;&gt;F840),IF('депозитный калькулятор'!$F$1=1,$H$24,SUM(OFFSET(Q840,-E840+1,0):Q840)),IF(AND('депозитный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калькулятор'!$G$7="30/360"),DAY(EOMONTH(F840,0))=31),EOMONTH(F840,0)-1=F840,EOMONTH(F840,0)=F840)),IF(IF(AND(OR('депозитный калькулятор'!$G$7="30/365",'депозитный калькулятор'!$G$7="30/360"),DAY(EOMONTH($F$24,0))=31),F840=EOMONTH($F$24,0)-1,F840=EOMONTH($F$24,0)),SUM(OFFSET(Q840,-E840+1,0):Q840),SUM(OFFSET(Q840,-E840+1,0):Q840)),IF('депозитный калькулятор'!$G$10="ежеквартальное",IF(F840&gt;'депозитный калькулятор'!$D$8," ",IF(AND(EOMONTH(F840,0)=F840,OR(MONTH(F840)=3,MONTH(F840)=6,MONTH(F840)=9,MONTH(F840)=12)),IF(EDATE(F840,-3)&lt;'депозитный калькулятор'!$D$7,SUM($H$23:H840),IF(MOD(YEAR(F840),4)=0,IF(AND(EOMONTH(F840,0)=F840,OR(MONTH(F840)=3,MONTH(F840)=6)),SUM(OFFSET(H840,-90,0):H840),IF(AND(EOMONTH(F840,0)=F840,OR(MONTH(F840)=9,MONTH(F840)=12)),SUM(OFFSET(H840,-91,0):H840))),IF(AND(EOMONTH(F840,0)=F840,MONTH(F840)=3),SUM(OFFSET(H840,-89,0):H840),IF(AND(EOMONTH(F840,0)=F840,MONTH(F840)=6),SUM(OFFSET(H840,-90,0):H840),IF(AND(EOMONTH(F840,0)=F840,OR(MONTH(F840)=9,MONTH(F840)=12)),SUM(OFFSET(H840,-91,0):H840)))))),IF(F840='депозитный калькулятор'!$D$8,SUM($H$23:H840)-SUM($I$23:I839),0))),IF('депозитный калькулятор'!$G$10="ежегодное",IF(F840&gt;'депозитный калькулятор'!$D$8," ",IF(F840='депозитный калькулятор'!$D$8,SUM($H$23:H840)-SUM($I$23:I839),IF(AND(EOMONTH(F840,0)=F840,MONTH(F840)=12),IF(MOD(YEAR(F839),4)=0,IF(F840-'депозитный калькулятор'!$D$7&lt;366,SUM($H$23:H840),SUM(OFFSET(H840,-365,0):H840)),IF(F840-'депозитный калькулятор'!$D$7&lt;365,SUM($H$23:H840),SUM(OFFSET(H840,-364,0):H840))),0))),IF(AND('депозитный калькулятор'!$G$10="в конце срока",'депозитный калькулятор'!$D$8=F840),SUM($H$23:H840),0))))))))))))))))))</f>
        <v xml:space="preserve"> </v>
      </c>
      <c r="J840" s="59" t="str">
        <f>IF(F840&gt;'депозитный калькулятор'!$D$8," ",IF('депозитный калькулятор'!$G$16="нет",0,IF(AND('депозитный калькулятор'!$G$17="разовая (в конце срока)",F840='депозитный калькулятор'!$D$8),'депозитный калькулятор'!$G$18,IF(AND('депозитный калькулятор'!$G$17="ежемесячная",EOMONTH(F839,0)=F839),'депозитный калькулятор'!$G$18,IF(AND('депозитный калькулятор'!$G$17="ежегодная",DAY(F839)=31,MONTH(F839)=12),'депозитный калькулятор'!$G$18,IF(AND('депозитный калькулятор'!$G$17="ежемесячная в зависимости от остатка",EOMONTH(F839,0)=F839,P839&gt;0),'депозитный калькулятор'!$G$18,IF(AND('депозитный калькулятор'!$G$17="ежегодная в зависимости от остатка",DAY(F839)=31,MONTH(F839)=12,P839&gt;0),'депозитный калькулятор'!$G$18,0)))))))</f>
        <v xml:space="preserve"> </v>
      </c>
      <c r="K840" s="135" t="str">
        <f>IF($F840=" "," ",IFERROR(VLOOKUP($F840,'депозитный калькулятор'!$B$26:$F$70,2,0),0))</f>
        <v xml:space="preserve"> </v>
      </c>
      <c r="L840" s="135" t="str">
        <f>IF($F840=" "," ",IFERROR(VLOOKUP($F840,'депозитный калькулятор'!$B$26:$F$70,3,0),0))</f>
        <v xml:space="preserve"> </v>
      </c>
      <c r="M840" s="135" t="str">
        <f>IF($F840=" "," ",IFERROR(VLOOKUP($F840,'депозитный калькулятор'!$B$26:$F$70,4,0),0))</f>
        <v xml:space="preserve"> </v>
      </c>
      <c r="N840" s="135" t="str">
        <f>IF($F840=" "," ",IFERROR(VLOOKUP($F840,'депозитный калькулятор'!$B$26:$F$70,5,0),0))</f>
        <v xml:space="preserve"> </v>
      </c>
      <c r="O840" s="146" t="str">
        <f>IF(F840&gt;'депозитный калькулятор'!$D$8," ",IF(F840='депозитный калькулятор'!$D$8,IF(AND($F$24='депозитный калькулятор'!$D$8,'депозитный калькулятор'!$G$13="нет"),-G840-IF(I840=" ",0,I840)-IF(AND(OR('депозитный калькулятор'!$G$7="30/365",'депозитный калькулятор'!$G$7="30/360"),'депозитный калькулятор'!$G$10="в начале срока"),I839,0)-L840+M840-N840,-G840-IF(I840=" ",0,I840)-L840+M840-N840),IF('депозитный калькулятор'!$G$13="есть",M840-N840+IF('депозитный калькулятор'!$G$14="есть",0,-L840),-IF(I840=" ",0,I840)-IF(AND(OR('депозитный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срока"),I839,0)+M840-N840+IF('депозитный калькулятор'!$G$14="есть",0,-L840))))</f>
        <v xml:space="preserve"> </v>
      </c>
      <c r="P840" s="147" t="str">
        <f>IF(F840&gt;'депозитный калькулятор'!$D$8," ",IF(EOMONTH(F839,0)=F839,0,IF(G840&gt;='депозитный калькулятор'!$G$19,P839,P839+1)))</f>
        <v xml:space="preserve"> </v>
      </c>
      <c r="Q840" s="138" t="str">
        <f>IF(F840=" "," ",IF(AND(OR('депозитный калькулятор'!$G$7="30/365",'депозитный калькулятор'!$G$7="30/360"),AND(MONTH(F840)=2,EOMONTH(F840,0)=F840)),IF(DAY(F840)=28,3,2),1)*IF(G840&gt;='депозитный калькулятор'!$G$11,IF(AND('депозитный калькулятор'!$G$7="факт/факт",MOD(YEAR(F840),4)=0),G840*'депозитный калькулятор'!$D$11/366,G840*'депозитный калькулятор'!$G$8),0))</f>
        <v xml:space="preserve"> </v>
      </c>
      <c r="R840" s="158"/>
      <c r="S840" s="62" t="str">
        <f t="shared" ca="1" si="62"/>
        <v xml:space="preserve"> </v>
      </c>
      <c r="T840" s="149" t="str">
        <f ca="1">IF(S840=" "," ",IF('депозитный калькулятор'!$G$7="30/360",DAYS360(U839,IF(DAY(U840)=31,U840-1,U840))+IF(AND(MONTH(U840)=2,U840=EOMONTH(U840,0)),30-DAY(EOMONTH(U840,0)))+T839,VLOOKUP(S840,$C$22:$F$1023,2,0)))</f>
        <v xml:space="preserve"> </v>
      </c>
      <c r="U840" s="64" t="str">
        <f t="shared" ca="1" si="60"/>
        <v xml:space="preserve"> </v>
      </c>
      <c r="V840" s="150" t="str">
        <f t="shared" ca="1" si="63"/>
        <v xml:space="preserve"> </v>
      </c>
      <c r="W840" s="62" t="str">
        <f t="shared" ca="1" si="64"/>
        <v xml:space="preserve"> </v>
      </c>
      <c r="X840" s="141" t="str">
        <f ca="1">IF(S840=" "," ",IFERROR(VLOOKUP(U840,$F$23:$N$1023,7)+VLOOKUP(U840,$F$23:$N$1023,9)+IF(AND('депозитный калькулятор'!$G$13="нет",U840&lt;&gt;'депозитный калькулятор'!$D$8),VLOOKUP(U840,$F$23:$N$1023,4),0),0)+IF(U840='депозитный калькулятор'!$D$8,VLOOKUP(U840,$F$23:$N$1023,2)+VLOOKUP(U840,$F$23:$N$1023,4),0))</f>
        <v xml:space="preserve"> </v>
      </c>
      <c r="Y840" s="142" t="str">
        <f ca="1">IF(S840=" "," ",W840/(1+'депозитный калькулятор'!$K$8)^(T840/IF('депозитный калькулятор'!$G$7="30/360",360,365)))</f>
        <v xml:space="preserve"> </v>
      </c>
      <c r="Z840" s="142" t="str">
        <f ca="1">IF(S840=" "," ",X840/(1+'депозитный калькулятор'!$K$8)^(T840/IF('депозитный калькулятор'!$G$7="30/360",360,365)))</f>
        <v xml:space="preserve"> </v>
      </c>
      <c r="AA840" s="151"/>
      <c r="AB840" s="151"/>
      <c r="AC840" s="155"/>
      <c r="AD840" s="155"/>
    </row>
    <row r="841" spans="1:30" s="2" customFormat="1" ht="15.5" x14ac:dyDescent="0.35">
      <c r="A841" s="41" t="str">
        <f>IF(F841=" "," ",IF(OR('депозитный калькулятор'!$G$7="30/365",'депозитный калькулятор'!$G$7="30/360"),IF(AND(MONTH(F841)=2,DAY(F841)=DAY(EOMONTH(F841,0))),30-DAY(EOMONTH(F841,0)),IF(DAY(F841)=31,1," "))," "))</f>
        <v xml:space="preserve"> </v>
      </c>
      <c r="B841" s="130" t="str">
        <f t="shared" si="61"/>
        <v xml:space="preserve"> </v>
      </c>
      <c r="C841" s="130" t="str">
        <f>IF(OR(B841=0,B841=" ")," ",SUM($B$23:B841))</f>
        <v xml:space="preserve"> </v>
      </c>
      <c r="D841" s="62" t="str">
        <f>IF(D840=" "," ",IF(OR(F840='депозитный калькулятор'!$D$8,F840=" ")," ",D840+1))</f>
        <v xml:space="preserve"> </v>
      </c>
      <c r="E841" s="130" t="str">
        <f>IF(OR(F840='депозитный калькулятор'!$D$8,F840=" ")," ",IF(EOMONTH(F840,0)=F840,1,E840+1))</f>
        <v xml:space="preserve"> </v>
      </c>
      <c r="F841" s="64" t="str">
        <f>IF(F840=" "," ",IF(F840='депозитный калькулятор'!$D$8," ",F840+1))</f>
        <v xml:space="preserve"> </v>
      </c>
      <c r="G841" s="145" t="str">
        <f xml:space="preserve"> IF(F841&gt;'депозитный калькулятор'!$D$8," ",IF('депозитный калькулятор'!$G$13="есть",IF('депозитный калькулятор'!$G$14="есть",G840+IF(I840=" ",0,I840)-J841-K841+L841+M841-N841,G840+IF(I840=" ",0,I840)-J841-K841+M841-N841),IF('депозитный калькулятор'!$G$14="есть",G840-J841-K841+L841+M841-N841,G840-J841-K841+M841-N841)))</f>
        <v xml:space="preserve"> </v>
      </c>
      <c r="H841" s="133" t="str">
        <f>IF(F841&gt;'депозитный калькулятор'!$D$8," ",IF(AND(OR('депозитный калькулятор'!$G$7="30/365",'депозитный калькулятор'!$G$7="30/360"),AND(MONTH(F841)=2,EOMONTH(F841,0)=F841)),IF(DAY(F841)=28,3*G841*'депозитный калькулятор'!$G$8,2*G841*'депозитный калькулятор'!$G$8),IF(AND(OR('депозитный калькулятор'!$G$7="30/365",'депозитный калькулятор'!$G$7="30/360"),DAY(F841)=31)," ",IF(AND('депозитный калькулятор'!$G$7="факт/факт",MOD(YEAR(F841),4)=0),G841*'депозитный калькулятор'!$D$11/366,G841*'депозитный калькулятор'!$G$8))))</f>
        <v xml:space="preserve"> </v>
      </c>
      <c r="I841" s="134" t="str">
        <f ca="1">IF(F841=" "," ",IF('депозитный калькулятор'!$G$10="ежедневное",H841,IF(AND('депозитный калькулятор'!$G$10="еженедельное",WEEKDAY(F841,2)=7),SUM(OFFSET(H841,-6,0):H841),IF(AND('депозитный калькулятор'!$G$10="еженедельное",F841='депозитный калькулятор'!$D$8),SUM($H$23:H841)-SUM($I$23:I840),IF(AND('депозитный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недели",WEEKDAY(F841,2)=7),MIN(OFFSET(H841,-6,0):H841)*(COUNTIF(OFFSET(H841,-6,0):H841,"&gt;0")+SUMIF(OFFSET(A841,-WEEKDAY(F841,2),0):A841,"=2",OFFSET(A841,-WEEKDAY(F841,2),0):A841)),IF(AND('депозитный калькулятор'!$G$10="еженедельное, на минимальную сумму зафиксированную в течение недели",F841='депозитный калькулятор'!$D$8,WEEKDAY(F841,2)&lt;&gt;7),MIN(OFFSET(H841,-WEEKDAY(F841,2),0):H841)*(COUNTIF(OFFSET(H841,-WEEKDAY(F841,2)+1,0):H841,"&gt;0")+SUM(OFFSET(A841,-WEEKDAY(F841,2),0):A841)),IF(AND('депозитный калькулятор'!$G$10="ежемесячное (в конце месяца)",F841='депозитный калькулятор'!$D$8,EOMONTH(F841,0)&lt;&gt;F841),IF('депозитный калькулятор'!$F$1=1,$H$24,SUM($H$23:H841)-SUM($I$23:I840)),IF(AND('депозитный калькулятор'!$G$10="ежемесячное (в конце месяца)",EOMONTH(F841,0)=F841),SUM($H$23:H841)-SUM($I$23:I840),IF(AND('депозитный калькулятор'!$G$10="ежемесячное (по дням открытия вклада)",F841='депозитный калькулятор'!$D$8,DAY('депозитный калькулятор'!$D$7)&lt;&gt;DAY(F841)),IF('депозитный калькулятор'!$F$1=1,$H$24,SUM($H$23:H841)-SUM($I$23:I840)),IF(AND('депозитный калькулятор'!$G$10="ежемесячное (по дням открытия вклада)",DAY('депозитный калькулятор'!$D$7)=DAY(F841)),SUM($H$23:H841)-SUM($I$23:I840),IF(AND('депозитный калькулятор'!$G$10="ежемесячное, на минимальную сумму зафиксированную в течение месяца",F841='депозитный калькулятор'!$D$8,EOMONTH(F841,0)&lt;&gt;F841),IF('депозитный калькулятор'!$F$1=1,$H$24,IF(AND(OR('депозитный калькулятор'!$G$7="30/365",'депозитный калькулятор'!$G$7="30/360"),DAY(F841)=31),0,MIN(OFFSET(H841,-E841+1,0):H841)*(E841+SUMIF(OFFSET(A841,-E841+1,0):A841,"=2",OFFSET(A841,-E841+1,0):A841)))),IF(AND('депозитный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калькулятор'!$G$7="30/360"),DAY(EOMONTH(F841,0))=31),EOMONTH(F841,0)-1=F841,EOMONTH(F841,0)=F841)),IF(IF(AND(OR('депозитный калькулятор'!$G$7="30/365",'депозитный калькулятор'!$G$7="30/360"),DAY(EOMONTH($F$23,0))=31),F841=EOMONTH($F$23,0)-1,F841=EOMONTH($F$23,0)),MIN(OFFSET(H841,-(DAY(F841)-DAY($F$23)),0):H841)*E841,MIN(OFFSET(H841,-(DAY(F841)-1),0):H841)*IF(AND(OR('депозитный калькулятор'!$G$7="30/365",'депозитный калькулятор'!$G$7="30/360"),DAY(F841)&lt;30),30,DAY(F841))),IF(AND('депозитный калькулятор'!$G$10="ежемесячное, на средний остаток в течение месяца, при условии что остаток больше чем ограничение",F841='депозитный калькулятор'!$D$8,EOMONTH(F841,0)&lt;&gt;F841),IF('депозитный калькулятор'!$F$1=1,$H$24,SUM(OFFSET(Q841,-E841+1,0):Q841)),IF(AND('депозитный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калькулятор'!$G$7="30/360"),DAY(EOMONTH(F841,0))=31),EOMONTH(F841,0)-1=F841,EOMONTH(F841,0)=F841)),IF(IF(AND(OR('депозитный калькулятор'!$G$7="30/365",'депозитный калькулятор'!$G$7="30/360"),DAY(EOMONTH($F$24,0))=31),F841=EOMONTH($F$24,0)-1,F841=EOMONTH($F$24,0)),SUM(OFFSET(Q841,-E841+1,0):Q841),SUM(OFFSET(Q841,-E841+1,0):Q841)),IF('депозитный калькулятор'!$G$10="ежеквартальное",IF(F841&gt;'депозитный калькулятор'!$D$8," ",IF(AND(EOMONTH(F841,0)=F841,OR(MONTH(F841)=3,MONTH(F841)=6,MONTH(F841)=9,MONTH(F841)=12)),IF(EDATE(F841,-3)&lt;'депозитный калькулятор'!$D$7,SUM($H$23:H841),IF(MOD(YEAR(F841),4)=0,IF(AND(EOMONTH(F841,0)=F841,OR(MONTH(F841)=3,MONTH(F841)=6)),SUM(OFFSET(H841,-90,0):H841),IF(AND(EOMONTH(F841,0)=F841,OR(MONTH(F841)=9,MONTH(F841)=12)),SUM(OFFSET(H841,-91,0):H841))),IF(AND(EOMONTH(F841,0)=F841,MONTH(F841)=3),SUM(OFFSET(H841,-89,0):H841),IF(AND(EOMONTH(F841,0)=F841,MONTH(F841)=6),SUM(OFFSET(H841,-90,0):H841),IF(AND(EOMONTH(F841,0)=F841,OR(MONTH(F841)=9,MONTH(F841)=12)),SUM(OFFSET(H841,-91,0):H841)))))),IF(F841='депозитный калькулятор'!$D$8,SUM($H$23:H841)-SUM($I$23:I840),0))),IF('депозитный калькулятор'!$G$10="ежегодное",IF(F841&gt;'депозитный калькулятор'!$D$8," ",IF(F841='депозитный калькулятор'!$D$8,SUM($H$23:H841)-SUM($I$23:I840),IF(AND(EOMONTH(F841,0)=F841,MONTH(F841)=12),IF(MOD(YEAR(F840),4)=0,IF(F841-'депозитный калькулятор'!$D$7&lt;366,SUM($H$23:H841),SUM(OFFSET(H841,-365,0):H841)),IF(F841-'депозитный калькулятор'!$D$7&lt;365,SUM($H$23:H841),SUM(OFFSET(H841,-364,0):H841))),0))),IF(AND('депозитный калькулятор'!$G$10="в конце срока",'депозитный калькулятор'!$D$8=F841),SUM($H$23:H841),0))))))))))))))))))</f>
        <v xml:space="preserve"> </v>
      </c>
      <c r="J841" s="59" t="str">
        <f>IF(F841&gt;'депозитный калькулятор'!$D$8," ",IF('депозитный калькулятор'!$G$16="нет",0,IF(AND('депозитный калькулятор'!$G$17="разовая (в конце срока)",F841='депозитный калькулятор'!$D$8),'депозитный калькулятор'!$G$18,IF(AND('депозитный калькулятор'!$G$17="ежемесячная",EOMONTH(F840,0)=F840),'депозитный калькулятор'!$G$18,IF(AND('депозитный калькулятор'!$G$17="ежегодная",DAY(F840)=31,MONTH(F840)=12),'депозитный калькулятор'!$G$18,IF(AND('депозитный калькулятор'!$G$17="ежемесячная в зависимости от остатка",EOMONTH(F840,0)=F840,P840&gt;0),'депозитный калькулятор'!$G$18,IF(AND('депозитный калькулятор'!$G$17="ежегодная в зависимости от остатка",DAY(F840)=31,MONTH(F840)=12,P840&gt;0),'депозитный калькулятор'!$G$18,0)))))))</f>
        <v xml:space="preserve"> </v>
      </c>
      <c r="K841" s="135" t="str">
        <f>IF($F841=" "," ",IFERROR(VLOOKUP($F841,'депозитный калькулятор'!$B$26:$F$70,2,0),0))</f>
        <v xml:space="preserve"> </v>
      </c>
      <c r="L841" s="135" t="str">
        <f>IF($F841=" "," ",IFERROR(VLOOKUP($F841,'депозитный калькулятор'!$B$26:$F$70,3,0),0))</f>
        <v xml:space="preserve"> </v>
      </c>
      <c r="M841" s="135" t="str">
        <f>IF($F841=" "," ",IFERROR(VLOOKUP($F841,'депозитный калькулятор'!$B$26:$F$70,4,0),0))</f>
        <v xml:space="preserve"> </v>
      </c>
      <c r="N841" s="135" t="str">
        <f>IF($F841=" "," ",IFERROR(VLOOKUP($F841,'депозитный калькулятор'!$B$26:$F$70,5,0),0))</f>
        <v xml:space="preserve"> </v>
      </c>
      <c r="O841" s="146" t="str">
        <f>IF(F841&gt;'депозитный калькулятор'!$D$8," ",IF(F841='депозитный калькулятор'!$D$8,IF(AND($F$24='депозитный калькулятор'!$D$8,'депозитный калькулятор'!$G$13="нет"),-G841-IF(I841=" ",0,I841)-IF(AND(OR('депозитный калькулятор'!$G$7="30/365",'депозитный калькулятор'!$G$7="30/360"),'депозитный калькулятор'!$G$10="в начале срока"),I840,0)-L841+M841-N841,-G841-IF(I841=" ",0,I841)-L841+M841-N841),IF('депозитный калькулятор'!$G$13="есть",M841-N841+IF('депозитный калькулятор'!$G$14="есть",0,-L841),-IF(I841=" ",0,I841)-IF(AND(OR('депозитный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срока"),I840,0)+M841-N841+IF('депозитный калькулятор'!$G$14="есть",0,-L841))))</f>
        <v xml:space="preserve"> </v>
      </c>
      <c r="P841" s="147" t="str">
        <f>IF(F841&gt;'депозитный калькулятор'!$D$8," ",IF(EOMONTH(F840,0)=F840,0,IF(G841&gt;='депозитный калькулятор'!$G$19,P840,P840+1)))</f>
        <v xml:space="preserve"> </v>
      </c>
      <c r="Q841" s="138" t="str">
        <f>IF(F841=" "," ",IF(AND(OR('депозитный калькулятор'!$G$7="30/365",'депозитный калькулятор'!$G$7="30/360"),AND(MONTH(F841)=2,EOMONTH(F841,0)=F841)),IF(DAY(F841)=28,3,2),1)*IF(G841&gt;='депозитный калькулятор'!$G$11,IF(AND('депозитный калькулятор'!$G$7="факт/факт",MOD(YEAR(F841),4)=0),G841*'депозитный калькулятор'!$D$11/366,G841*'депозитный калькулятор'!$G$8),0))</f>
        <v xml:space="preserve"> </v>
      </c>
      <c r="R841" s="158"/>
      <c r="S841" s="62" t="str">
        <f t="shared" ca="1" si="62"/>
        <v xml:space="preserve"> </v>
      </c>
      <c r="T841" s="149" t="str">
        <f ca="1">IF(S841=" "," ",IF('депозитный калькулятор'!$G$7="30/360",DAYS360(U840,IF(DAY(U841)=31,U841-1,U841))+IF(AND(MONTH(U841)=2,U841=EOMONTH(U841,0)),30-DAY(EOMONTH(U841,0)))+T840,VLOOKUP(S841,$C$22:$F$1023,2,0)))</f>
        <v xml:space="preserve"> </v>
      </c>
      <c r="U841" s="64" t="str">
        <f t="shared" ca="1" si="60"/>
        <v xml:space="preserve"> </v>
      </c>
      <c r="V841" s="150" t="str">
        <f t="shared" ca="1" si="63"/>
        <v xml:space="preserve"> </v>
      </c>
      <c r="W841" s="62" t="str">
        <f t="shared" ca="1" si="64"/>
        <v xml:space="preserve"> </v>
      </c>
      <c r="X841" s="141" t="str">
        <f ca="1">IF(S841=" "," ",IFERROR(VLOOKUP(U841,$F$23:$N$1023,7)+VLOOKUP(U841,$F$23:$N$1023,9)+IF(AND('депозитный калькулятор'!$G$13="нет",U841&lt;&gt;'депозитный калькулятор'!$D$8),VLOOKUP(U841,$F$23:$N$1023,4),0),0)+IF(U841='депозитный калькулятор'!$D$8,VLOOKUP(U841,$F$23:$N$1023,2)+VLOOKUP(U841,$F$23:$N$1023,4),0))</f>
        <v xml:space="preserve"> </v>
      </c>
      <c r="Y841" s="142" t="str">
        <f ca="1">IF(S841=" "," ",W841/(1+'депозитный калькулятор'!$K$8)^(T841/IF('депозитный калькулятор'!$G$7="30/360",360,365)))</f>
        <v xml:space="preserve"> </v>
      </c>
      <c r="Z841" s="142" t="str">
        <f ca="1">IF(S841=" "," ",X841/(1+'депозитный калькулятор'!$K$8)^(T841/IF('депозитный калькулятор'!$G$7="30/360",360,365)))</f>
        <v xml:space="preserve"> </v>
      </c>
      <c r="AA841" s="151"/>
      <c r="AB841" s="151"/>
      <c r="AC841" s="155"/>
      <c r="AD841" s="155"/>
    </row>
    <row r="842" spans="1:30" s="2" customFormat="1" ht="15.5" x14ac:dyDescent="0.35">
      <c r="A842" s="41" t="str">
        <f>IF(F842=" "," ",IF(OR('депозитный калькулятор'!$G$7="30/365",'депозитный калькулятор'!$G$7="30/360"),IF(AND(MONTH(F842)=2,DAY(F842)=DAY(EOMONTH(F842,0))),30-DAY(EOMONTH(F842,0)),IF(DAY(F842)=31,1," "))," "))</f>
        <v xml:space="preserve"> </v>
      </c>
      <c r="B842" s="130" t="str">
        <f t="shared" si="61"/>
        <v xml:space="preserve"> </v>
      </c>
      <c r="C842" s="130" t="str">
        <f>IF(OR(B842=0,B842=" ")," ",SUM($B$23:B842))</f>
        <v xml:space="preserve"> </v>
      </c>
      <c r="D842" s="62" t="str">
        <f>IF(D841=" "," ",IF(OR(F841='депозитный калькулятор'!$D$8,F841=" ")," ",D841+1))</f>
        <v xml:space="preserve"> </v>
      </c>
      <c r="E842" s="130" t="str">
        <f>IF(OR(F841='депозитный калькулятор'!$D$8,F841=" ")," ",IF(EOMONTH(F841,0)=F841,1,E841+1))</f>
        <v xml:space="preserve"> </v>
      </c>
      <c r="F842" s="64" t="str">
        <f>IF(F841=" "," ",IF(F841='депозитный калькулятор'!$D$8," ",F841+1))</f>
        <v xml:space="preserve"> </v>
      </c>
      <c r="G842" s="145" t="str">
        <f xml:space="preserve"> IF(F842&gt;'депозитный калькулятор'!$D$8," ",IF('депозитный калькулятор'!$G$13="есть",IF('депозитный калькулятор'!$G$14="есть",G841+IF(I841=" ",0,I841)-J842-K842+L842+M842-N842,G841+IF(I841=" ",0,I841)-J842-K842+M842-N842),IF('депозитный калькулятор'!$G$14="есть",G841-J842-K842+L842+M842-N842,G841-J842-K842+M842-N842)))</f>
        <v xml:space="preserve"> </v>
      </c>
      <c r="H842" s="133" t="str">
        <f>IF(F842&gt;'депозитный калькулятор'!$D$8," ",IF(AND(OR('депозитный калькулятор'!$G$7="30/365",'депозитный калькулятор'!$G$7="30/360"),AND(MONTH(F842)=2,EOMONTH(F842,0)=F842)),IF(DAY(F842)=28,3*G842*'депозитный калькулятор'!$G$8,2*G842*'депозитный калькулятор'!$G$8),IF(AND(OR('депозитный калькулятор'!$G$7="30/365",'депозитный калькулятор'!$G$7="30/360"),DAY(F842)=31)," ",IF(AND('депозитный калькулятор'!$G$7="факт/факт",MOD(YEAR(F842),4)=0),G842*'депозитный калькулятор'!$D$11/366,G842*'депозитный калькулятор'!$G$8))))</f>
        <v xml:space="preserve"> </v>
      </c>
      <c r="I842" s="134" t="str">
        <f ca="1">IF(F842=" "," ",IF('депозитный калькулятор'!$G$10="ежедневное",H842,IF(AND('депозитный калькулятор'!$G$10="еженедельное",WEEKDAY(F842,2)=7),SUM(OFFSET(H842,-6,0):H842),IF(AND('депозитный калькулятор'!$G$10="еженедельное",F842='депозитный калькулятор'!$D$8),SUM($H$23:H842)-SUM($I$23:I841),IF(AND('депозитный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недели",WEEKDAY(F842,2)=7),MIN(OFFSET(H842,-6,0):H842)*(COUNTIF(OFFSET(H842,-6,0):H842,"&gt;0")+SUMIF(OFFSET(A842,-WEEKDAY(F842,2),0):A842,"=2",OFFSET(A842,-WEEKDAY(F842,2),0):A842)),IF(AND('депозитный калькулятор'!$G$10="еженедельное, на минимальную сумму зафиксированную в течение недели",F842='депозитный калькулятор'!$D$8,WEEKDAY(F842,2)&lt;&gt;7),MIN(OFFSET(H842,-WEEKDAY(F842,2),0):H842)*(COUNTIF(OFFSET(H842,-WEEKDAY(F842,2)+1,0):H842,"&gt;0")+SUM(OFFSET(A842,-WEEKDAY(F842,2),0):A842)),IF(AND('депозитный калькулятор'!$G$10="ежемесячное (в конце месяца)",F842='депозитный калькулятор'!$D$8,EOMONTH(F842,0)&lt;&gt;F842),IF('депозитный калькулятор'!$F$1=1,$H$24,SUM($H$23:H842)-SUM($I$23:I841)),IF(AND('депозитный калькулятор'!$G$10="ежемесячное (в конце месяца)",EOMONTH(F842,0)=F842),SUM($H$23:H842)-SUM($I$23:I841),IF(AND('депозитный калькулятор'!$G$10="ежемесячное (по дням открытия вклада)",F842='депозитный калькулятор'!$D$8,DAY('депозитный калькулятор'!$D$7)&lt;&gt;DAY(F842)),IF('депозитный калькулятор'!$F$1=1,$H$24,SUM($H$23:H842)-SUM($I$23:I841)),IF(AND('депозитный калькулятор'!$G$10="ежемесячное (по дням открытия вклада)",DAY('депозитный калькулятор'!$D$7)=DAY(F842)),SUM($H$23:H842)-SUM($I$23:I841),IF(AND('депозитный калькулятор'!$G$10="ежемесячное, на минимальную сумму зафиксированную в течение месяца",F842='депозитный калькулятор'!$D$8,EOMONTH(F842,0)&lt;&gt;F842),IF('депозитный калькулятор'!$F$1=1,$H$24,IF(AND(OR('депозитный калькулятор'!$G$7="30/365",'депозитный калькулятор'!$G$7="30/360"),DAY(F842)=31),0,MIN(OFFSET(H842,-E842+1,0):H842)*(E842+SUMIF(OFFSET(A842,-E842+1,0):A842,"=2",OFFSET(A842,-E842+1,0):A842)))),IF(AND('депозитный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калькулятор'!$G$7="30/360"),DAY(EOMONTH(F842,0))=31),EOMONTH(F842,0)-1=F842,EOMONTH(F842,0)=F842)),IF(IF(AND(OR('депозитный калькулятор'!$G$7="30/365",'депозитный калькулятор'!$G$7="30/360"),DAY(EOMONTH($F$23,0))=31),F842=EOMONTH($F$23,0)-1,F842=EOMONTH($F$23,0)),MIN(OFFSET(H842,-(DAY(F842)-DAY($F$23)),0):H842)*E842,MIN(OFFSET(H842,-(DAY(F842)-1),0):H842)*IF(AND(OR('депозитный калькулятор'!$G$7="30/365",'депозитный калькулятор'!$G$7="30/360"),DAY(F842)&lt;30),30,DAY(F842))),IF(AND('депозитный калькулятор'!$G$10="ежемесячное, на средний остаток в течение месяца, при условии что остаток больше чем ограничение",F842='депозитный калькулятор'!$D$8,EOMONTH(F842,0)&lt;&gt;F842),IF('депозитный калькулятор'!$F$1=1,$H$24,SUM(OFFSET(Q842,-E842+1,0):Q842)),IF(AND('депозитный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калькулятор'!$G$7="30/360"),DAY(EOMONTH(F842,0))=31),EOMONTH(F842,0)-1=F842,EOMONTH(F842,0)=F842)),IF(IF(AND(OR('депозитный калькулятор'!$G$7="30/365",'депозитный калькулятор'!$G$7="30/360"),DAY(EOMONTH($F$24,0))=31),F842=EOMONTH($F$24,0)-1,F842=EOMONTH($F$24,0)),SUM(OFFSET(Q842,-E842+1,0):Q842),SUM(OFFSET(Q842,-E842+1,0):Q842)),IF('депозитный калькулятор'!$G$10="ежеквартальное",IF(F842&gt;'депозитный калькулятор'!$D$8," ",IF(AND(EOMONTH(F842,0)=F842,OR(MONTH(F842)=3,MONTH(F842)=6,MONTH(F842)=9,MONTH(F842)=12)),IF(EDATE(F842,-3)&lt;'депозитный калькулятор'!$D$7,SUM($H$23:H842),IF(MOD(YEAR(F842),4)=0,IF(AND(EOMONTH(F842,0)=F842,OR(MONTH(F842)=3,MONTH(F842)=6)),SUM(OFFSET(H842,-90,0):H842),IF(AND(EOMONTH(F842,0)=F842,OR(MONTH(F842)=9,MONTH(F842)=12)),SUM(OFFSET(H842,-91,0):H842))),IF(AND(EOMONTH(F842,0)=F842,MONTH(F842)=3),SUM(OFFSET(H842,-89,0):H842),IF(AND(EOMONTH(F842,0)=F842,MONTH(F842)=6),SUM(OFFSET(H842,-90,0):H842),IF(AND(EOMONTH(F842,0)=F842,OR(MONTH(F842)=9,MONTH(F842)=12)),SUM(OFFSET(H842,-91,0):H842)))))),IF(F842='депозитный калькулятор'!$D$8,SUM($H$23:H842)-SUM($I$23:I841),0))),IF('депозитный калькулятор'!$G$10="ежегодное",IF(F842&gt;'депозитный калькулятор'!$D$8," ",IF(F842='депозитный калькулятор'!$D$8,SUM($H$23:H842)-SUM($I$23:I841),IF(AND(EOMONTH(F842,0)=F842,MONTH(F842)=12),IF(MOD(YEAR(F841),4)=0,IF(F842-'депозитный калькулятор'!$D$7&lt;366,SUM($H$23:H842),SUM(OFFSET(H842,-365,0):H842)),IF(F842-'депозитный калькулятор'!$D$7&lt;365,SUM($H$23:H842),SUM(OFFSET(H842,-364,0):H842))),0))),IF(AND('депозитный калькулятор'!$G$10="в конце срока",'депозитный калькулятор'!$D$8=F842),SUM($H$23:H842),0))))))))))))))))))</f>
        <v xml:space="preserve"> </v>
      </c>
      <c r="J842" s="59" t="str">
        <f>IF(F842&gt;'депозитный калькулятор'!$D$8," ",IF('депозитный калькулятор'!$G$16="нет",0,IF(AND('депозитный калькулятор'!$G$17="разовая (в конце срока)",F842='депозитный калькулятор'!$D$8),'депозитный калькулятор'!$G$18,IF(AND('депозитный калькулятор'!$G$17="ежемесячная",EOMONTH(F841,0)=F841),'депозитный калькулятор'!$G$18,IF(AND('депозитный калькулятор'!$G$17="ежегодная",DAY(F841)=31,MONTH(F841)=12),'депозитный калькулятор'!$G$18,IF(AND('депозитный калькулятор'!$G$17="ежемесячная в зависимости от остатка",EOMONTH(F841,0)=F841,P841&gt;0),'депозитный калькулятор'!$G$18,IF(AND('депозитный калькулятор'!$G$17="ежегодная в зависимости от остатка",DAY(F841)=31,MONTH(F841)=12,P841&gt;0),'депозитный калькулятор'!$G$18,0)))))))</f>
        <v xml:space="preserve"> </v>
      </c>
      <c r="K842" s="135" t="str">
        <f>IF($F842=" "," ",IFERROR(VLOOKUP($F842,'депозитный калькулятор'!$B$26:$F$70,2,0),0))</f>
        <v xml:space="preserve"> </v>
      </c>
      <c r="L842" s="135" t="str">
        <f>IF($F842=" "," ",IFERROR(VLOOKUP($F842,'депозитный калькулятор'!$B$26:$F$70,3,0),0))</f>
        <v xml:space="preserve"> </v>
      </c>
      <c r="M842" s="135" t="str">
        <f>IF($F842=" "," ",IFERROR(VLOOKUP($F842,'депозитный калькулятор'!$B$26:$F$70,4,0),0))</f>
        <v xml:space="preserve"> </v>
      </c>
      <c r="N842" s="135" t="str">
        <f>IF($F842=" "," ",IFERROR(VLOOKUP($F842,'депозитный калькулятор'!$B$26:$F$70,5,0),0))</f>
        <v xml:space="preserve"> </v>
      </c>
      <c r="O842" s="146" t="str">
        <f>IF(F842&gt;'депозитный калькулятор'!$D$8," ",IF(F842='депозитный калькулятор'!$D$8,IF(AND($F$24='депозитный калькулятор'!$D$8,'депозитный калькулятор'!$G$13="нет"),-G842-IF(I842=" ",0,I842)-IF(AND(OR('депозитный калькулятор'!$G$7="30/365",'депозитный калькулятор'!$G$7="30/360"),'депозитный калькулятор'!$G$10="в начале срока"),I841,0)-L842+M842-N842,-G842-IF(I842=" ",0,I842)-L842+M842-N842),IF('депозитный калькулятор'!$G$13="есть",M842-N842+IF('депозитный калькулятор'!$G$14="есть",0,-L842),-IF(I842=" ",0,I842)-IF(AND(OR('депозитный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срока"),I841,0)+M842-N842+IF('депозитный калькулятор'!$G$14="есть",0,-L842))))</f>
        <v xml:space="preserve"> </v>
      </c>
      <c r="P842" s="147" t="str">
        <f>IF(F842&gt;'депозитный калькулятор'!$D$8," ",IF(EOMONTH(F841,0)=F841,0,IF(G842&gt;='депозитный калькулятор'!$G$19,P841,P841+1)))</f>
        <v xml:space="preserve"> </v>
      </c>
      <c r="Q842" s="138" t="str">
        <f>IF(F842=" "," ",IF(AND(OR('депозитный калькулятор'!$G$7="30/365",'депозитный калькулятор'!$G$7="30/360"),AND(MONTH(F842)=2,EOMONTH(F842,0)=F842)),IF(DAY(F842)=28,3,2),1)*IF(G842&gt;='депозитный калькулятор'!$G$11,IF(AND('депозитный калькулятор'!$G$7="факт/факт",MOD(YEAR(F842),4)=0),G842*'депозитный калькулятор'!$D$11/366,G842*'депозитный калькулятор'!$G$8),0))</f>
        <v xml:space="preserve"> </v>
      </c>
      <c r="R842" s="158"/>
      <c r="S842" s="62" t="str">
        <f t="shared" ca="1" si="62"/>
        <v xml:space="preserve"> </v>
      </c>
      <c r="T842" s="149" t="str">
        <f ca="1">IF(S842=" "," ",IF('депозитный калькулятор'!$G$7="30/360",DAYS360(U841,IF(DAY(U842)=31,U842-1,U842))+IF(AND(MONTH(U842)=2,U842=EOMONTH(U842,0)),30-DAY(EOMONTH(U842,0)))+T841,VLOOKUP(S842,$C$22:$F$1023,2,0)))</f>
        <v xml:space="preserve"> </v>
      </c>
      <c r="U842" s="64" t="str">
        <f t="shared" ca="1" si="60"/>
        <v xml:space="preserve"> </v>
      </c>
      <c r="V842" s="150" t="str">
        <f t="shared" ca="1" si="63"/>
        <v xml:space="preserve"> </v>
      </c>
      <c r="W842" s="62" t="str">
        <f t="shared" ca="1" si="64"/>
        <v xml:space="preserve"> </v>
      </c>
      <c r="X842" s="141" t="str">
        <f ca="1">IF(S842=" "," ",IFERROR(VLOOKUP(U842,$F$23:$N$1023,7)+VLOOKUP(U842,$F$23:$N$1023,9)+IF(AND('депозитный калькулятор'!$G$13="нет",U842&lt;&gt;'депозитный калькулятор'!$D$8),VLOOKUP(U842,$F$23:$N$1023,4),0),0)+IF(U842='депозитный калькулятор'!$D$8,VLOOKUP(U842,$F$23:$N$1023,2)+VLOOKUP(U842,$F$23:$N$1023,4),0))</f>
        <v xml:space="preserve"> </v>
      </c>
      <c r="Y842" s="142" t="str">
        <f ca="1">IF(S842=" "," ",W842/(1+'депозитный калькулятор'!$K$8)^(T842/IF('депозитный калькулятор'!$G$7="30/360",360,365)))</f>
        <v xml:space="preserve"> </v>
      </c>
      <c r="Z842" s="142" t="str">
        <f ca="1">IF(S842=" "," ",X842/(1+'депозитный калькулятор'!$K$8)^(T842/IF('депозитный калькулятор'!$G$7="30/360",360,365)))</f>
        <v xml:space="preserve"> </v>
      </c>
      <c r="AA842" s="151"/>
      <c r="AB842" s="151"/>
      <c r="AC842" s="155"/>
      <c r="AD842" s="155"/>
    </row>
    <row r="843" spans="1:30" s="2" customFormat="1" ht="15.5" x14ac:dyDescent="0.35">
      <c r="A843" s="41" t="str">
        <f>IF(F843=" "," ",IF(OR('депозитный калькулятор'!$G$7="30/365",'депозитный калькулятор'!$G$7="30/360"),IF(AND(MONTH(F843)=2,DAY(F843)=DAY(EOMONTH(F843,0))),30-DAY(EOMONTH(F843,0)),IF(DAY(F843)=31,1," "))," "))</f>
        <v xml:space="preserve"> </v>
      </c>
      <c r="B843" s="130" t="str">
        <f t="shared" si="61"/>
        <v xml:space="preserve"> </v>
      </c>
      <c r="C843" s="130" t="str">
        <f>IF(OR(B843=0,B843=" ")," ",SUM($B$23:B843))</f>
        <v xml:space="preserve"> </v>
      </c>
      <c r="D843" s="62" t="str">
        <f>IF(D842=" "," ",IF(OR(F842='депозитный калькулятор'!$D$8,F842=" ")," ",D842+1))</f>
        <v xml:space="preserve"> </v>
      </c>
      <c r="E843" s="130" t="str">
        <f>IF(OR(F842='депозитный калькулятор'!$D$8,F842=" ")," ",IF(EOMONTH(F842,0)=F842,1,E842+1))</f>
        <v xml:space="preserve"> </v>
      </c>
      <c r="F843" s="64" t="str">
        <f>IF(F842=" "," ",IF(F842='депозитный калькулятор'!$D$8," ",F842+1))</f>
        <v xml:space="preserve"> </v>
      </c>
      <c r="G843" s="145" t="str">
        <f xml:space="preserve"> IF(F843&gt;'депозитный калькулятор'!$D$8," ",IF('депозитный калькулятор'!$G$13="есть",IF('депозитный калькулятор'!$G$14="есть",G842+IF(I842=" ",0,I842)-J843-K843+L843+M843-N843,G842+IF(I842=" ",0,I842)-J843-K843+M843-N843),IF('депозитный калькулятор'!$G$14="есть",G842-J843-K843+L843+M843-N843,G842-J843-K843+M843-N843)))</f>
        <v xml:space="preserve"> </v>
      </c>
      <c r="H843" s="133" t="str">
        <f>IF(F843&gt;'депозитный калькулятор'!$D$8," ",IF(AND(OR('депозитный калькулятор'!$G$7="30/365",'депозитный калькулятор'!$G$7="30/360"),AND(MONTH(F843)=2,EOMONTH(F843,0)=F843)),IF(DAY(F843)=28,3*G843*'депозитный калькулятор'!$G$8,2*G843*'депозитный калькулятор'!$G$8),IF(AND(OR('депозитный калькулятор'!$G$7="30/365",'депозитный калькулятор'!$G$7="30/360"),DAY(F843)=31)," ",IF(AND('депозитный калькулятор'!$G$7="факт/факт",MOD(YEAR(F843),4)=0),G843*'депозитный калькулятор'!$D$11/366,G843*'депозитный калькулятор'!$G$8))))</f>
        <v xml:space="preserve"> </v>
      </c>
      <c r="I843" s="134" t="str">
        <f ca="1">IF(F843=" "," ",IF('депозитный калькулятор'!$G$10="ежедневное",H843,IF(AND('депозитный калькулятор'!$G$10="еженедельное",WEEKDAY(F843,2)=7),SUM(OFFSET(H843,-6,0):H843),IF(AND('депозитный калькулятор'!$G$10="еженедельное",F843='депозитный калькулятор'!$D$8),SUM($H$23:H843)-SUM($I$23:I842),IF(AND('депозитный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недели",WEEKDAY(F843,2)=7),MIN(OFFSET(H843,-6,0):H843)*(COUNTIF(OFFSET(H843,-6,0):H843,"&gt;0")+SUMIF(OFFSET(A843,-WEEKDAY(F843,2),0):A843,"=2",OFFSET(A843,-WEEKDAY(F843,2),0):A843)),IF(AND('депозитный калькулятор'!$G$10="еженедельное, на минимальную сумму зафиксированную в течение недели",F843='депозитный калькулятор'!$D$8,WEEKDAY(F843,2)&lt;&gt;7),MIN(OFFSET(H843,-WEEKDAY(F843,2),0):H843)*(COUNTIF(OFFSET(H843,-WEEKDAY(F843,2)+1,0):H843,"&gt;0")+SUM(OFFSET(A843,-WEEKDAY(F843,2),0):A843)),IF(AND('депозитный калькулятор'!$G$10="ежемесячное (в конце месяца)",F843='депозитный калькулятор'!$D$8,EOMONTH(F843,0)&lt;&gt;F843),IF('депозитный калькулятор'!$F$1=1,$H$24,SUM($H$23:H843)-SUM($I$23:I842)),IF(AND('депозитный калькулятор'!$G$10="ежемесячное (в конце месяца)",EOMONTH(F843,0)=F843),SUM($H$23:H843)-SUM($I$23:I842),IF(AND('депозитный калькулятор'!$G$10="ежемесячное (по дням открытия вклада)",F843='депозитный калькулятор'!$D$8,DAY('депозитный калькулятор'!$D$7)&lt;&gt;DAY(F843)),IF('депозитный калькулятор'!$F$1=1,$H$24,SUM($H$23:H843)-SUM($I$23:I842)),IF(AND('депозитный калькулятор'!$G$10="ежемесячное (по дням открытия вклада)",DAY('депозитный калькулятор'!$D$7)=DAY(F843)),SUM($H$23:H843)-SUM($I$23:I842),IF(AND('депозитный калькулятор'!$G$10="ежемесячное, на минимальную сумму зафиксированную в течение месяца",F843='депозитный калькулятор'!$D$8,EOMONTH(F843,0)&lt;&gt;F843),IF('депозитный калькулятор'!$F$1=1,$H$24,IF(AND(OR('депозитный калькулятор'!$G$7="30/365",'депозитный калькулятор'!$G$7="30/360"),DAY(F843)=31),0,MIN(OFFSET(H843,-E843+1,0):H843)*(E843+SUMIF(OFFSET(A843,-E843+1,0):A843,"=2",OFFSET(A843,-E843+1,0):A843)))),IF(AND('депозитный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калькулятор'!$G$7="30/360"),DAY(EOMONTH(F843,0))=31),EOMONTH(F843,0)-1=F843,EOMONTH(F843,0)=F843)),IF(IF(AND(OR('депозитный калькулятор'!$G$7="30/365",'депозитный калькулятор'!$G$7="30/360"),DAY(EOMONTH($F$23,0))=31),F843=EOMONTH($F$23,0)-1,F843=EOMONTH($F$23,0)),MIN(OFFSET(H843,-(DAY(F843)-DAY($F$23)),0):H843)*E843,MIN(OFFSET(H843,-(DAY(F843)-1),0):H843)*IF(AND(OR('депозитный калькулятор'!$G$7="30/365",'депозитный калькулятор'!$G$7="30/360"),DAY(F843)&lt;30),30,DAY(F843))),IF(AND('депозитный калькулятор'!$G$10="ежемесячное, на средний остаток в течение месяца, при условии что остаток больше чем ограничение",F843='депозитный калькулятор'!$D$8,EOMONTH(F843,0)&lt;&gt;F843),IF('депозитный калькулятор'!$F$1=1,$H$24,SUM(OFFSET(Q843,-E843+1,0):Q843)),IF(AND('депозитный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калькулятор'!$G$7="30/360"),DAY(EOMONTH(F843,0))=31),EOMONTH(F843,0)-1=F843,EOMONTH(F843,0)=F843)),IF(IF(AND(OR('депозитный калькулятор'!$G$7="30/365",'депозитный калькулятор'!$G$7="30/360"),DAY(EOMONTH($F$24,0))=31),F843=EOMONTH($F$24,0)-1,F843=EOMONTH($F$24,0)),SUM(OFFSET(Q843,-E843+1,0):Q843),SUM(OFFSET(Q843,-E843+1,0):Q843)),IF('депозитный калькулятор'!$G$10="ежеквартальное",IF(F843&gt;'депозитный калькулятор'!$D$8," ",IF(AND(EOMONTH(F843,0)=F843,OR(MONTH(F843)=3,MONTH(F843)=6,MONTH(F843)=9,MONTH(F843)=12)),IF(EDATE(F843,-3)&lt;'депозитный калькулятор'!$D$7,SUM($H$23:H843),IF(MOD(YEAR(F843),4)=0,IF(AND(EOMONTH(F843,0)=F843,OR(MONTH(F843)=3,MONTH(F843)=6)),SUM(OFFSET(H843,-90,0):H843),IF(AND(EOMONTH(F843,0)=F843,OR(MONTH(F843)=9,MONTH(F843)=12)),SUM(OFFSET(H843,-91,0):H843))),IF(AND(EOMONTH(F843,0)=F843,MONTH(F843)=3),SUM(OFFSET(H843,-89,0):H843),IF(AND(EOMONTH(F843,0)=F843,MONTH(F843)=6),SUM(OFFSET(H843,-90,0):H843),IF(AND(EOMONTH(F843,0)=F843,OR(MONTH(F843)=9,MONTH(F843)=12)),SUM(OFFSET(H843,-91,0):H843)))))),IF(F843='депозитный калькулятор'!$D$8,SUM($H$23:H843)-SUM($I$23:I842),0))),IF('депозитный калькулятор'!$G$10="ежегодное",IF(F843&gt;'депозитный калькулятор'!$D$8," ",IF(F843='депозитный калькулятор'!$D$8,SUM($H$23:H843)-SUM($I$23:I842),IF(AND(EOMONTH(F843,0)=F843,MONTH(F843)=12),IF(MOD(YEAR(F842),4)=0,IF(F843-'депозитный калькулятор'!$D$7&lt;366,SUM($H$23:H843),SUM(OFFSET(H843,-365,0):H843)),IF(F843-'депозитный калькулятор'!$D$7&lt;365,SUM($H$23:H843),SUM(OFFSET(H843,-364,0):H843))),0))),IF(AND('депозитный калькулятор'!$G$10="в конце срока",'депозитный калькулятор'!$D$8=F843),SUM($H$23:H843),0))))))))))))))))))</f>
        <v xml:space="preserve"> </v>
      </c>
      <c r="J843" s="59" t="str">
        <f>IF(F843&gt;'депозитный калькулятор'!$D$8," ",IF('депозитный калькулятор'!$G$16="нет",0,IF(AND('депозитный калькулятор'!$G$17="разовая (в конце срока)",F843='депозитный калькулятор'!$D$8),'депозитный калькулятор'!$G$18,IF(AND('депозитный калькулятор'!$G$17="ежемесячная",EOMONTH(F842,0)=F842),'депозитный калькулятор'!$G$18,IF(AND('депозитный калькулятор'!$G$17="ежегодная",DAY(F842)=31,MONTH(F842)=12),'депозитный калькулятор'!$G$18,IF(AND('депозитный калькулятор'!$G$17="ежемесячная в зависимости от остатка",EOMONTH(F842,0)=F842,P842&gt;0),'депозитный калькулятор'!$G$18,IF(AND('депозитный калькулятор'!$G$17="ежегодная в зависимости от остатка",DAY(F842)=31,MONTH(F842)=12,P842&gt;0),'депозитный калькулятор'!$G$18,0)))))))</f>
        <v xml:space="preserve"> </v>
      </c>
      <c r="K843" s="135" t="str">
        <f>IF($F843=" "," ",IFERROR(VLOOKUP($F843,'депозитный калькулятор'!$B$26:$F$70,2,0),0))</f>
        <v xml:space="preserve"> </v>
      </c>
      <c r="L843" s="135" t="str">
        <f>IF($F843=" "," ",IFERROR(VLOOKUP($F843,'депозитный калькулятор'!$B$26:$F$70,3,0),0))</f>
        <v xml:space="preserve"> </v>
      </c>
      <c r="M843" s="135" t="str">
        <f>IF($F843=" "," ",IFERROR(VLOOKUP($F843,'депозитный калькулятор'!$B$26:$F$70,4,0),0))</f>
        <v xml:space="preserve"> </v>
      </c>
      <c r="N843" s="135" t="str">
        <f>IF($F843=" "," ",IFERROR(VLOOKUP($F843,'депозитный калькулятор'!$B$26:$F$70,5,0),0))</f>
        <v xml:space="preserve"> </v>
      </c>
      <c r="O843" s="146" t="str">
        <f>IF(F843&gt;'депозитный калькулятор'!$D$8," ",IF(F843='депозитный калькулятор'!$D$8,IF(AND($F$24='депозитный калькулятор'!$D$8,'депозитный калькулятор'!$G$13="нет"),-G843-IF(I843=" ",0,I843)-IF(AND(OR('депозитный калькулятор'!$G$7="30/365",'депозитный калькулятор'!$G$7="30/360"),'депозитный калькулятор'!$G$10="в начале срока"),I842,0)-L843+M843-N843,-G843-IF(I843=" ",0,I843)-L843+M843-N843),IF('депозитный калькулятор'!$G$13="есть",M843-N843+IF('депозитный калькулятор'!$G$14="есть",0,-L843),-IF(I843=" ",0,I843)-IF(AND(OR('депозитный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срока"),I842,0)+M843-N843+IF('депозитный калькулятор'!$G$14="есть",0,-L843))))</f>
        <v xml:space="preserve"> </v>
      </c>
      <c r="P843" s="147" t="str">
        <f>IF(F843&gt;'депозитный калькулятор'!$D$8," ",IF(EOMONTH(F842,0)=F842,0,IF(G843&gt;='депозитный калькулятор'!$G$19,P842,P842+1)))</f>
        <v xml:space="preserve"> </v>
      </c>
      <c r="Q843" s="138" t="str">
        <f>IF(F843=" "," ",IF(AND(OR('депозитный калькулятор'!$G$7="30/365",'депозитный калькулятор'!$G$7="30/360"),AND(MONTH(F843)=2,EOMONTH(F843,0)=F843)),IF(DAY(F843)=28,3,2),1)*IF(G843&gt;='депозитный калькулятор'!$G$11,IF(AND('депозитный калькулятор'!$G$7="факт/факт",MOD(YEAR(F843),4)=0),G843*'депозитный калькулятор'!$D$11/366,G843*'депозитный калькулятор'!$G$8),0))</f>
        <v xml:space="preserve"> </v>
      </c>
      <c r="R843" s="158"/>
      <c r="S843" s="62" t="str">
        <f t="shared" ca="1" si="62"/>
        <v xml:space="preserve"> </v>
      </c>
      <c r="T843" s="149" t="str">
        <f ca="1">IF(S843=" "," ",IF('депозитный калькулятор'!$G$7="30/360",DAYS360(U842,IF(DAY(U843)=31,U843-1,U843))+IF(AND(MONTH(U843)=2,U843=EOMONTH(U843,0)),30-DAY(EOMONTH(U843,0)))+T842,VLOOKUP(S843,$C$22:$F$1023,2,0)))</f>
        <v xml:space="preserve"> </v>
      </c>
      <c r="U843" s="64" t="str">
        <f t="shared" ca="1" si="60"/>
        <v xml:space="preserve"> </v>
      </c>
      <c r="V843" s="150" t="str">
        <f t="shared" ca="1" si="63"/>
        <v xml:space="preserve"> </v>
      </c>
      <c r="W843" s="62" t="str">
        <f t="shared" ca="1" si="64"/>
        <v xml:space="preserve"> </v>
      </c>
      <c r="X843" s="141" t="str">
        <f ca="1">IF(S843=" "," ",IFERROR(VLOOKUP(U843,$F$23:$N$1023,7)+VLOOKUP(U843,$F$23:$N$1023,9)+IF(AND('депозитный калькулятор'!$G$13="нет",U843&lt;&gt;'депозитный калькулятор'!$D$8),VLOOKUP(U843,$F$23:$N$1023,4),0),0)+IF(U843='депозитный калькулятор'!$D$8,VLOOKUP(U843,$F$23:$N$1023,2)+VLOOKUP(U843,$F$23:$N$1023,4),0))</f>
        <v xml:space="preserve"> </v>
      </c>
      <c r="Y843" s="142" t="str">
        <f ca="1">IF(S843=" "," ",W843/(1+'депозитный калькулятор'!$K$8)^(T843/IF('депозитный калькулятор'!$G$7="30/360",360,365)))</f>
        <v xml:space="preserve"> </v>
      </c>
      <c r="Z843" s="142" t="str">
        <f ca="1">IF(S843=" "," ",X843/(1+'депозитный калькулятор'!$K$8)^(T843/IF('депозитный калькулятор'!$G$7="30/360",360,365)))</f>
        <v xml:space="preserve"> </v>
      </c>
      <c r="AA843" s="151"/>
      <c r="AB843" s="151"/>
      <c r="AC843" s="155"/>
      <c r="AD843" s="155"/>
    </row>
    <row r="844" spans="1:30" s="2" customFormat="1" ht="15.5" x14ac:dyDescent="0.35">
      <c r="A844" s="41" t="str">
        <f>IF(F844=" "," ",IF(OR('депозитный калькулятор'!$G$7="30/365",'депозитный калькулятор'!$G$7="30/360"),IF(AND(MONTH(F844)=2,DAY(F844)=DAY(EOMONTH(F844,0))),30-DAY(EOMONTH(F844,0)),IF(DAY(F844)=31,1," "))," "))</f>
        <v xml:space="preserve"> </v>
      </c>
      <c r="B844" s="130" t="str">
        <f t="shared" si="61"/>
        <v xml:space="preserve"> </v>
      </c>
      <c r="C844" s="130" t="str">
        <f>IF(OR(B844=0,B844=" ")," ",SUM($B$23:B844))</f>
        <v xml:space="preserve"> </v>
      </c>
      <c r="D844" s="62" t="str">
        <f>IF(D843=" "," ",IF(OR(F843='депозитный калькулятор'!$D$8,F843=" ")," ",D843+1))</f>
        <v xml:space="preserve"> </v>
      </c>
      <c r="E844" s="130" t="str">
        <f>IF(OR(F843='депозитный калькулятор'!$D$8,F843=" ")," ",IF(EOMONTH(F843,0)=F843,1,E843+1))</f>
        <v xml:space="preserve"> </v>
      </c>
      <c r="F844" s="64" t="str">
        <f>IF(F843=" "," ",IF(F843='депозитный калькулятор'!$D$8," ",F843+1))</f>
        <v xml:space="preserve"> </v>
      </c>
      <c r="G844" s="145" t="str">
        <f xml:space="preserve"> IF(F844&gt;'депозитный калькулятор'!$D$8," ",IF('депозитный калькулятор'!$G$13="есть",IF('депозитный калькулятор'!$G$14="есть",G843+IF(I843=" ",0,I843)-J844-K844+L844+M844-N844,G843+IF(I843=" ",0,I843)-J844-K844+M844-N844),IF('депозитный калькулятор'!$G$14="есть",G843-J844-K844+L844+M844-N844,G843-J844-K844+M844-N844)))</f>
        <v xml:space="preserve"> </v>
      </c>
      <c r="H844" s="133" t="str">
        <f>IF(F844&gt;'депозитный калькулятор'!$D$8," ",IF(AND(OR('депозитный калькулятор'!$G$7="30/365",'депозитный калькулятор'!$G$7="30/360"),AND(MONTH(F844)=2,EOMONTH(F844,0)=F844)),IF(DAY(F844)=28,3*G844*'депозитный калькулятор'!$G$8,2*G844*'депозитный калькулятор'!$G$8),IF(AND(OR('депозитный калькулятор'!$G$7="30/365",'депозитный калькулятор'!$G$7="30/360"),DAY(F844)=31)," ",IF(AND('депозитный калькулятор'!$G$7="факт/факт",MOD(YEAR(F844),4)=0),G844*'депозитный калькулятор'!$D$11/366,G844*'депозитный калькулятор'!$G$8))))</f>
        <v xml:space="preserve"> </v>
      </c>
      <c r="I844" s="134" t="str">
        <f ca="1">IF(F844=" "," ",IF('депозитный калькулятор'!$G$10="ежедневное",H844,IF(AND('депозитный калькулятор'!$G$10="еженедельное",WEEKDAY(F844,2)=7),SUM(OFFSET(H844,-6,0):H844),IF(AND('депозитный калькулятор'!$G$10="еженедельное",F844='депозитный калькулятор'!$D$8),SUM($H$23:H844)-SUM($I$23:I843),IF(AND('депозитный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недели",WEEKDAY(F844,2)=7),MIN(OFFSET(H844,-6,0):H844)*(COUNTIF(OFFSET(H844,-6,0):H844,"&gt;0")+SUMIF(OFFSET(A844,-WEEKDAY(F844,2),0):A844,"=2",OFFSET(A844,-WEEKDAY(F844,2),0):A844)),IF(AND('депозитный калькулятор'!$G$10="еженедельное, на минимальную сумму зафиксированную в течение недели",F844='депозитный калькулятор'!$D$8,WEEKDAY(F844,2)&lt;&gt;7),MIN(OFFSET(H844,-WEEKDAY(F844,2),0):H844)*(COUNTIF(OFFSET(H844,-WEEKDAY(F844,2)+1,0):H844,"&gt;0")+SUM(OFFSET(A844,-WEEKDAY(F844,2),0):A844)),IF(AND('депозитный калькулятор'!$G$10="ежемесячное (в конце месяца)",F844='депозитный калькулятор'!$D$8,EOMONTH(F844,0)&lt;&gt;F844),IF('депозитный калькулятор'!$F$1=1,$H$24,SUM($H$23:H844)-SUM($I$23:I843)),IF(AND('депозитный калькулятор'!$G$10="ежемесячное (в конце месяца)",EOMONTH(F844,0)=F844),SUM($H$23:H844)-SUM($I$23:I843),IF(AND('депозитный калькулятор'!$G$10="ежемесячное (по дням открытия вклада)",F844='депозитный калькулятор'!$D$8,DAY('депозитный калькулятор'!$D$7)&lt;&gt;DAY(F844)),IF('депозитный калькулятор'!$F$1=1,$H$24,SUM($H$23:H844)-SUM($I$23:I843)),IF(AND('депозитный калькулятор'!$G$10="ежемесячное (по дням открытия вклада)",DAY('депозитный калькулятор'!$D$7)=DAY(F844)),SUM($H$23:H844)-SUM($I$23:I843),IF(AND('депозитный калькулятор'!$G$10="ежемесячное, на минимальную сумму зафиксированную в течение месяца",F844='депозитный калькулятор'!$D$8,EOMONTH(F844,0)&lt;&gt;F844),IF('депозитный калькулятор'!$F$1=1,$H$24,IF(AND(OR('депозитный калькулятор'!$G$7="30/365",'депозитный калькулятор'!$G$7="30/360"),DAY(F844)=31),0,MIN(OFFSET(H844,-E844+1,0):H844)*(E844+SUMIF(OFFSET(A844,-E844+1,0):A844,"=2",OFFSET(A844,-E844+1,0):A844)))),IF(AND('депозитный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калькулятор'!$G$7="30/360"),DAY(EOMONTH(F844,0))=31),EOMONTH(F844,0)-1=F844,EOMONTH(F844,0)=F844)),IF(IF(AND(OR('депозитный калькулятор'!$G$7="30/365",'депозитный калькулятор'!$G$7="30/360"),DAY(EOMONTH($F$23,0))=31),F844=EOMONTH($F$23,0)-1,F844=EOMONTH($F$23,0)),MIN(OFFSET(H844,-(DAY(F844)-DAY($F$23)),0):H844)*E844,MIN(OFFSET(H844,-(DAY(F844)-1),0):H844)*IF(AND(OR('депозитный калькулятор'!$G$7="30/365",'депозитный калькулятор'!$G$7="30/360"),DAY(F844)&lt;30),30,DAY(F844))),IF(AND('депозитный калькулятор'!$G$10="ежемесячное, на средний остаток в течение месяца, при условии что остаток больше чем ограничение",F844='депозитный калькулятор'!$D$8,EOMONTH(F844,0)&lt;&gt;F844),IF('депозитный калькулятор'!$F$1=1,$H$24,SUM(OFFSET(Q844,-E844+1,0):Q844)),IF(AND('депозитный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калькулятор'!$G$7="30/360"),DAY(EOMONTH(F844,0))=31),EOMONTH(F844,0)-1=F844,EOMONTH(F844,0)=F844)),IF(IF(AND(OR('депозитный калькулятор'!$G$7="30/365",'депозитный калькулятор'!$G$7="30/360"),DAY(EOMONTH($F$24,0))=31),F844=EOMONTH($F$24,0)-1,F844=EOMONTH($F$24,0)),SUM(OFFSET(Q844,-E844+1,0):Q844),SUM(OFFSET(Q844,-E844+1,0):Q844)),IF('депозитный калькулятор'!$G$10="ежеквартальное",IF(F844&gt;'депозитный калькулятор'!$D$8," ",IF(AND(EOMONTH(F844,0)=F844,OR(MONTH(F844)=3,MONTH(F844)=6,MONTH(F844)=9,MONTH(F844)=12)),IF(EDATE(F844,-3)&lt;'депозитный калькулятор'!$D$7,SUM($H$23:H844),IF(MOD(YEAR(F844),4)=0,IF(AND(EOMONTH(F844,0)=F844,OR(MONTH(F844)=3,MONTH(F844)=6)),SUM(OFFSET(H844,-90,0):H844),IF(AND(EOMONTH(F844,0)=F844,OR(MONTH(F844)=9,MONTH(F844)=12)),SUM(OFFSET(H844,-91,0):H844))),IF(AND(EOMONTH(F844,0)=F844,MONTH(F844)=3),SUM(OFFSET(H844,-89,0):H844),IF(AND(EOMONTH(F844,0)=F844,MONTH(F844)=6),SUM(OFFSET(H844,-90,0):H844),IF(AND(EOMONTH(F844,0)=F844,OR(MONTH(F844)=9,MONTH(F844)=12)),SUM(OFFSET(H844,-91,0):H844)))))),IF(F844='депозитный калькулятор'!$D$8,SUM($H$23:H844)-SUM($I$23:I843),0))),IF('депозитный калькулятор'!$G$10="ежегодное",IF(F844&gt;'депозитный калькулятор'!$D$8," ",IF(F844='депозитный калькулятор'!$D$8,SUM($H$23:H844)-SUM($I$23:I843),IF(AND(EOMONTH(F844,0)=F844,MONTH(F844)=12),IF(MOD(YEAR(F843),4)=0,IF(F844-'депозитный калькулятор'!$D$7&lt;366,SUM($H$23:H844),SUM(OFFSET(H844,-365,0):H844)),IF(F844-'депозитный калькулятор'!$D$7&lt;365,SUM($H$23:H844),SUM(OFFSET(H844,-364,0):H844))),0))),IF(AND('депозитный калькулятор'!$G$10="в конце срока",'депозитный калькулятор'!$D$8=F844),SUM($H$23:H844),0))))))))))))))))))</f>
        <v xml:space="preserve"> </v>
      </c>
      <c r="J844" s="59" t="str">
        <f>IF(F844&gt;'депозитный калькулятор'!$D$8," ",IF('депозитный калькулятор'!$G$16="нет",0,IF(AND('депозитный калькулятор'!$G$17="разовая (в конце срока)",F844='депозитный калькулятор'!$D$8),'депозитный калькулятор'!$G$18,IF(AND('депозитный калькулятор'!$G$17="ежемесячная",EOMONTH(F843,0)=F843),'депозитный калькулятор'!$G$18,IF(AND('депозитный калькулятор'!$G$17="ежегодная",DAY(F843)=31,MONTH(F843)=12),'депозитный калькулятор'!$G$18,IF(AND('депозитный калькулятор'!$G$17="ежемесячная в зависимости от остатка",EOMONTH(F843,0)=F843,P843&gt;0),'депозитный калькулятор'!$G$18,IF(AND('депозитный калькулятор'!$G$17="ежегодная в зависимости от остатка",DAY(F843)=31,MONTH(F843)=12,P843&gt;0),'депозитный калькулятор'!$G$18,0)))))))</f>
        <v xml:space="preserve"> </v>
      </c>
      <c r="K844" s="135" t="str">
        <f>IF($F844=" "," ",IFERROR(VLOOKUP($F844,'депозитный калькулятор'!$B$26:$F$70,2,0),0))</f>
        <v xml:space="preserve"> </v>
      </c>
      <c r="L844" s="135" t="str">
        <f>IF($F844=" "," ",IFERROR(VLOOKUP($F844,'депозитный калькулятор'!$B$26:$F$70,3,0),0))</f>
        <v xml:space="preserve"> </v>
      </c>
      <c r="M844" s="135" t="str">
        <f>IF($F844=" "," ",IFERROR(VLOOKUP($F844,'депозитный калькулятор'!$B$26:$F$70,4,0),0))</f>
        <v xml:space="preserve"> </v>
      </c>
      <c r="N844" s="135" t="str">
        <f>IF($F844=" "," ",IFERROR(VLOOKUP($F844,'депозитный калькулятор'!$B$26:$F$70,5,0),0))</f>
        <v xml:space="preserve"> </v>
      </c>
      <c r="O844" s="146" t="str">
        <f>IF(F844&gt;'депозитный калькулятор'!$D$8," ",IF(F844='депозитный калькулятор'!$D$8,IF(AND($F$24='депозитный калькулятор'!$D$8,'депозитный калькулятор'!$G$13="нет"),-G844-IF(I844=" ",0,I844)-IF(AND(OR('депозитный калькулятор'!$G$7="30/365",'депозитный калькулятор'!$G$7="30/360"),'депозитный калькулятор'!$G$10="в начале срока"),I843,0)-L844+M844-N844,-G844-IF(I844=" ",0,I844)-L844+M844-N844),IF('депозитный калькулятор'!$G$13="есть",M844-N844+IF('депозитный калькулятор'!$G$14="есть",0,-L844),-IF(I844=" ",0,I844)-IF(AND(OR('депозитный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срока"),I843,0)+M844-N844+IF('депозитный калькулятор'!$G$14="есть",0,-L844))))</f>
        <v xml:space="preserve"> </v>
      </c>
      <c r="P844" s="147" t="str">
        <f>IF(F844&gt;'депозитный калькулятор'!$D$8," ",IF(EOMONTH(F843,0)=F843,0,IF(G844&gt;='депозитный калькулятор'!$G$19,P843,P843+1)))</f>
        <v xml:space="preserve"> </v>
      </c>
      <c r="Q844" s="138" t="str">
        <f>IF(F844=" "," ",IF(AND(OR('депозитный калькулятор'!$G$7="30/365",'депозитный калькулятор'!$G$7="30/360"),AND(MONTH(F844)=2,EOMONTH(F844,0)=F844)),IF(DAY(F844)=28,3,2),1)*IF(G844&gt;='депозитный калькулятор'!$G$11,IF(AND('депозитный калькулятор'!$G$7="факт/факт",MOD(YEAR(F844),4)=0),G844*'депозитный калькулятор'!$D$11/366,G844*'депозитный калькулятор'!$G$8),0))</f>
        <v xml:space="preserve"> </v>
      </c>
      <c r="R844" s="158"/>
      <c r="S844" s="62" t="str">
        <f t="shared" ca="1" si="62"/>
        <v xml:space="preserve"> </v>
      </c>
      <c r="T844" s="149" t="str">
        <f ca="1">IF(S844=" "," ",IF('депозитный калькулятор'!$G$7="30/360",DAYS360(U843,IF(DAY(U844)=31,U844-1,U844))+IF(AND(MONTH(U844)=2,U844=EOMONTH(U844,0)),30-DAY(EOMONTH(U844,0)))+T843,VLOOKUP(S844,$C$22:$F$1023,2,0)))</f>
        <v xml:space="preserve"> </v>
      </c>
      <c r="U844" s="64" t="str">
        <f t="shared" ca="1" si="60"/>
        <v xml:space="preserve"> </v>
      </c>
      <c r="V844" s="150" t="str">
        <f t="shared" ca="1" si="63"/>
        <v xml:space="preserve"> </v>
      </c>
      <c r="W844" s="62" t="str">
        <f t="shared" ca="1" si="64"/>
        <v xml:space="preserve"> </v>
      </c>
      <c r="X844" s="141" t="str">
        <f ca="1">IF(S844=" "," ",IFERROR(VLOOKUP(U844,$F$23:$N$1023,7)+VLOOKUP(U844,$F$23:$N$1023,9)+IF(AND('депозитный калькулятор'!$G$13="нет",U844&lt;&gt;'депозитный калькулятор'!$D$8),VLOOKUP(U844,$F$23:$N$1023,4),0),0)+IF(U844='депозитный калькулятор'!$D$8,VLOOKUP(U844,$F$23:$N$1023,2)+VLOOKUP(U844,$F$23:$N$1023,4),0))</f>
        <v xml:space="preserve"> </v>
      </c>
      <c r="Y844" s="142" t="str">
        <f ca="1">IF(S844=" "," ",W844/(1+'депозитный калькулятор'!$K$8)^(T844/IF('депозитный калькулятор'!$G$7="30/360",360,365)))</f>
        <v xml:space="preserve"> </v>
      </c>
      <c r="Z844" s="142" t="str">
        <f ca="1">IF(S844=" "," ",X844/(1+'депозитный калькулятор'!$K$8)^(T844/IF('депозитный калькулятор'!$G$7="30/360",360,365)))</f>
        <v xml:space="preserve"> </v>
      </c>
      <c r="AA844" s="151"/>
      <c r="AB844" s="151"/>
      <c r="AC844" s="155"/>
      <c r="AD844" s="155"/>
    </row>
    <row r="845" spans="1:30" s="2" customFormat="1" ht="15.5" x14ac:dyDescent="0.35">
      <c r="A845" s="41" t="str">
        <f>IF(F845=" "," ",IF(OR('депозитный калькулятор'!$G$7="30/365",'депозитный калькулятор'!$G$7="30/360"),IF(AND(MONTH(F845)=2,DAY(F845)=DAY(EOMONTH(F845,0))),30-DAY(EOMONTH(F845,0)),IF(DAY(F845)=31,1," "))," "))</f>
        <v xml:space="preserve"> </v>
      </c>
      <c r="B845" s="130" t="str">
        <f t="shared" si="61"/>
        <v xml:space="preserve"> </v>
      </c>
      <c r="C845" s="130" t="str">
        <f>IF(OR(B845=0,B845=" ")," ",SUM($B$23:B845))</f>
        <v xml:space="preserve"> </v>
      </c>
      <c r="D845" s="62" t="str">
        <f>IF(D844=" "," ",IF(OR(F844='депозитный калькулятор'!$D$8,F844=" ")," ",D844+1))</f>
        <v xml:space="preserve"> </v>
      </c>
      <c r="E845" s="130" t="str">
        <f>IF(OR(F844='депозитный калькулятор'!$D$8,F844=" ")," ",IF(EOMONTH(F844,0)=F844,1,E844+1))</f>
        <v xml:space="preserve"> </v>
      </c>
      <c r="F845" s="64" t="str">
        <f>IF(F844=" "," ",IF(F844='депозитный калькулятор'!$D$8," ",F844+1))</f>
        <v xml:space="preserve"> </v>
      </c>
      <c r="G845" s="145" t="str">
        <f xml:space="preserve"> IF(F845&gt;'депозитный калькулятор'!$D$8," ",IF('депозитный калькулятор'!$G$13="есть",IF('депозитный калькулятор'!$G$14="есть",G844+IF(I844=" ",0,I844)-J845-K845+L845+M845-N845,G844+IF(I844=" ",0,I844)-J845-K845+M845-N845),IF('депозитный калькулятор'!$G$14="есть",G844-J845-K845+L845+M845-N845,G844-J845-K845+M845-N845)))</f>
        <v xml:space="preserve"> </v>
      </c>
      <c r="H845" s="133" t="str">
        <f>IF(F845&gt;'депозитный калькулятор'!$D$8," ",IF(AND(OR('депозитный калькулятор'!$G$7="30/365",'депозитный калькулятор'!$G$7="30/360"),AND(MONTH(F845)=2,EOMONTH(F845,0)=F845)),IF(DAY(F845)=28,3*G845*'депозитный калькулятор'!$G$8,2*G845*'депозитный калькулятор'!$G$8),IF(AND(OR('депозитный калькулятор'!$G$7="30/365",'депозитный калькулятор'!$G$7="30/360"),DAY(F845)=31)," ",IF(AND('депозитный калькулятор'!$G$7="факт/факт",MOD(YEAR(F845),4)=0),G845*'депозитный калькулятор'!$D$11/366,G845*'депозитный калькулятор'!$G$8))))</f>
        <v xml:space="preserve"> </v>
      </c>
      <c r="I845" s="134" t="str">
        <f ca="1">IF(F845=" "," ",IF('депозитный калькулятор'!$G$10="ежедневное",H845,IF(AND('депозитный калькулятор'!$G$10="еженедельное",WEEKDAY(F845,2)=7),SUM(OFFSET(H845,-6,0):H845),IF(AND('депозитный калькулятор'!$G$10="еженедельное",F845='депозитный калькулятор'!$D$8),SUM($H$23:H845)-SUM($I$23:I844),IF(AND('депозитный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недели",WEEKDAY(F845,2)=7),MIN(OFFSET(H845,-6,0):H845)*(COUNTIF(OFFSET(H845,-6,0):H845,"&gt;0")+SUMIF(OFFSET(A845,-WEEKDAY(F845,2),0):A845,"=2",OFFSET(A845,-WEEKDAY(F845,2),0):A845)),IF(AND('депозитный калькулятор'!$G$10="еженедельное, на минимальную сумму зафиксированную в течение недели",F845='депозитный калькулятор'!$D$8,WEEKDAY(F845,2)&lt;&gt;7),MIN(OFFSET(H845,-WEEKDAY(F845,2),0):H845)*(COUNTIF(OFFSET(H845,-WEEKDAY(F845,2)+1,0):H845,"&gt;0")+SUM(OFFSET(A845,-WEEKDAY(F845,2),0):A845)),IF(AND('депозитный калькулятор'!$G$10="ежемесячное (в конце месяца)",F845='депозитный калькулятор'!$D$8,EOMONTH(F845,0)&lt;&gt;F845),IF('депозитный калькулятор'!$F$1=1,$H$24,SUM($H$23:H845)-SUM($I$23:I844)),IF(AND('депозитный калькулятор'!$G$10="ежемесячное (в конце месяца)",EOMONTH(F845,0)=F845),SUM($H$23:H845)-SUM($I$23:I844),IF(AND('депозитный калькулятор'!$G$10="ежемесячное (по дням открытия вклада)",F845='депозитный калькулятор'!$D$8,DAY('депозитный калькулятор'!$D$7)&lt;&gt;DAY(F845)),IF('депозитный калькулятор'!$F$1=1,$H$24,SUM($H$23:H845)-SUM($I$23:I844)),IF(AND('депозитный калькулятор'!$G$10="ежемесячное (по дням открытия вклада)",DAY('депозитный калькулятор'!$D$7)=DAY(F845)),SUM($H$23:H845)-SUM($I$23:I844),IF(AND('депозитный калькулятор'!$G$10="ежемесячное, на минимальную сумму зафиксированную в течение месяца",F845='депозитный калькулятор'!$D$8,EOMONTH(F845,0)&lt;&gt;F845),IF('депозитный калькулятор'!$F$1=1,$H$24,IF(AND(OR('депозитный калькулятор'!$G$7="30/365",'депозитный калькулятор'!$G$7="30/360"),DAY(F845)=31),0,MIN(OFFSET(H845,-E845+1,0):H845)*(E845+SUMIF(OFFSET(A845,-E845+1,0):A845,"=2",OFFSET(A845,-E845+1,0):A845)))),IF(AND('депозитный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калькулятор'!$G$7="30/360"),DAY(EOMONTH(F845,0))=31),EOMONTH(F845,0)-1=F845,EOMONTH(F845,0)=F845)),IF(IF(AND(OR('депозитный калькулятор'!$G$7="30/365",'депозитный калькулятор'!$G$7="30/360"),DAY(EOMONTH($F$23,0))=31),F845=EOMONTH($F$23,0)-1,F845=EOMONTH($F$23,0)),MIN(OFFSET(H845,-(DAY(F845)-DAY($F$23)),0):H845)*E845,MIN(OFFSET(H845,-(DAY(F845)-1),0):H845)*IF(AND(OR('депозитный калькулятор'!$G$7="30/365",'депозитный калькулятор'!$G$7="30/360"),DAY(F845)&lt;30),30,DAY(F845))),IF(AND('депозитный калькулятор'!$G$10="ежемесячное, на средний остаток в течение месяца, при условии что остаток больше чем ограничение",F845='депозитный калькулятор'!$D$8,EOMONTH(F845,0)&lt;&gt;F845),IF('депозитный калькулятор'!$F$1=1,$H$24,SUM(OFFSET(Q845,-E845+1,0):Q845)),IF(AND('депозитный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калькулятор'!$G$7="30/360"),DAY(EOMONTH(F845,0))=31),EOMONTH(F845,0)-1=F845,EOMONTH(F845,0)=F845)),IF(IF(AND(OR('депозитный калькулятор'!$G$7="30/365",'депозитный калькулятор'!$G$7="30/360"),DAY(EOMONTH($F$24,0))=31),F845=EOMONTH($F$24,0)-1,F845=EOMONTH($F$24,0)),SUM(OFFSET(Q845,-E845+1,0):Q845),SUM(OFFSET(Q845,-E845+1,0):Q845)),IF('депозитный калькулятор'!$G$10="ежеквартальное",IF(F845&gt;'депозитный калькулятор'!$D$8," ",IF(AND(EOMONTH(F845,0)=F845,OR(MONTH(F845)=3,MONTH(F845)=6,MONTH(F845)=9,MONTH(F845)=12)),IF(EDATE(F845,-3)&lt;'депозитный калькулятор'!$D$7,SUM($H$23:H845),IF(MOD(YEAR(F845),4)=0,IF(AND(EOMONTH(F845,0)=F845,OR(MONTH(F845)=3,MONTH(F845)=6)),SUM(OFFSET(H845,-90,0):H845),IF(AND(EOMONTH(F845,0)=F845,OR(MONTH(F845)=9,MONTH(F845)=12)),SUM(OFFSET(H845,-91,0):H845))),IF(AND(EOMONTH(F845,0)=F845,MONTH(F845)=3),SUM(OFFSET(H845,-89,0):H845),IF(AND(EOMONTH(F845,0)=F845,MONTH(F845)=6),SUM(OFFSET(H845,-90,0):H845),IF(AND(EOMONTH(F845,0)=F845,OR(MONTH(F845)=9,MONTH(F845)=12)),SUM(OFFSET(H845,-91,0):H845)))))),IF(F845='депозитный калькулятор'!$D$8,SUM($H$23:H845)-SUM($I$23:I844),0))),IF('депозитный калькулятор'!$G$10="ежегодное",IF(F845&gt;'депозитный калькулятор'!$D$8," ",IF(F845='депозитный калькулятор'!$D$8,SUM($H$23:H845)-SUM($I$23:I844),IF(AND(EOMONTH(F845,0)=F845,MONTH(F845)=12),IF(MOD(YEAR(F844),4)=0,IF(F845-'депозитный калькулятор'!$D$7&lt;366,SUM($H$23:H845),SUM(OFFSET(H845,-365,0):H845)),IF(F845-'депозитный калькулятор'!$D$7&lt;365,SUM($H$23:H845),SUM(OFFSET(H845,-364,0):H845))),0))),IF(AND('депозитный калькулятор'!$G$10="в конце срока",'депозитный калькулятор'!$D$8=F845),SUM($H$23:H845),0))))))))))))))))))</f>
        <v xml:space="preserve"> </v>
      </c>
      <c r="J845" s="59" t="str">
        <f>IF(F845&gt;'депозитный калькулятор'!$D$8," ",IF('депозитный калькулятор'!$G$16="нет",0,IF(AND('депозитный калькулятор'!$G$17="разовая (в конце срока)",F845='депозитный калькулятор'!$D$8),'депозитный калькулятор'!$G$18,IF(AND('депозитный калькулятор'!$G$17="ежемесячная",EOMONTH(F844,0)=F844),'депозитный калькулятор'!$G$18,IF(AND('депозитный калькулятор'!$G$17="ежегодная",DAY(F844)=31,MONTH(F844)=12),'депозитный калькулятор'!$G$18,IF(AND('депозитный калькулятор'!$G$17="ежемесячная в зависимости от остатка",EOMONTH(F844,0)=F844,P844&gt;0),'депозитный калькулятор'!$G$18,IF(AND('депозитный калькулятор'!$G$17="ежегодная в зависимости от остатка",DAY(F844)=31,MONTH(F844)=12,P844&gt;0),'депозитный калькулятор'!$G$18,0)))))))</f>
        <v xml:space="preserve"> </v>
      </c>
      <c r="K845" s="135" t="str">
        <f>IF($F845=" "," ",IFERROR(VLOOKUP($F845,'депозитный калькулятор'!$B$26:$F$70,2,0),0))</f>
        <v xml:space="preserve"> </v>
      </c>
      <c r="L845" s="135" t="str">
        <f>IF($F845=" "," ",IFERROR(VLOOKUP($F845,'депозитный калькулятор'!$B$26:$F$70,3,0),0))</f>
        <v xml:space="preserve"> </v>
      </c>
      <c r="M845" s="135" t="str">
        <f>IF($F845=" "," ",IFERROR(VLOOKUP($F845,'депозитный калькулятор'!$B$26:$F$70,4,0),0))</f>
        <v xml:space="preserve"> </v>
      </c>
      <c r="N845" s="135" t="str">
        <f>IF($F845=" "," ",IFERROR(VLOOKUP($F845,'депозитный калькулятор'!$B$26:$F$70,5,0),0))</f>
        <v xml:space="preserve"> </v>
      </c>
      <c r="O845" s="146" t="str">
        <f>IF(F845&gt;'депозитный калькулятор'!$D$8," ",IF(F845='депозитный калькулятор'!$D$8,IF(AND($F$24='депозитный калькулятор'!$D$8,'депозитный калькулятор'!$G$13="нет"),-G845-IF(I845=" ",0,I845)-IF(AND(OR('депозитный калькулятор'!$G$7="30/365",'депозитный калькулятор'!$G$7="30/360"),'депозитный калькулятор'!$G$10="в начале срока"),I844,0)-L845+M845-N845,-G845-IF(I845=" ",0,I845)-L845+M845-N845),IF('депозитный калькулятор'!$G$13="есть",M845-N845+IF('депозитный калькулятор'!$G$14="есть",0,-L845),-IF(I845=" ",0,I845)-IF(AND(OR('депозитный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срока"),I844,0)+M845-N845+IF('депозитный калькулятор'!$G$14="есть",0,-L845))))</f>
        <v xml:space="preserve"> </v>
      </c>
      <c r="P845" s="147" t="str">
        <f>IF(F845&gt;'депозитный калькулятор'!$D$8," ",IF(EOMONTH(F844,0)=F844,0,IF(G845&gt;='депозитный калькулятор'!$G$19,P844,P844+1)))</f>
        <v xml:space="preserve"> </v>
      </c>
      <c r="Q845" s="138" t="str">
        <f>IF(F845=" "," ",IF(AND(OR('депозитный калькулятор'!$G$7="30/365",'депозитный калькулятор'!$G$7="30/360"),AND(MONTH(F845)=2,EOMONTH(F845,0)=F845)),IF(DAY(F845)=28,3,2),1)*IF(G845&gt;='депозитный калькулятор'!$G$11,IF(AND('депозитный калькулятор'!$G$7="факт/факт",MOD(YEAR(F845),4)=0),G845*'депозитный калькулятор'!$D$11/366,G845*'депозитный калькулятор'!$G$8),0))</f>
        <v xml:space="preserve"> </v>
      </c>
      <c r="R845" s="158"/>
      <c r="S845" s="62" t="str">
        <f t="shared" ca="1" si="62"/>
        <v xml:space="preserve"> </v>
      </c>
      <c r="T845" s="149" t="str">
        <f ca="1">IF(S845=" "," ",IF('депозитный калькулятор'!$G$7="30/360",DAYS360(U844,IF(DAY(U845)=31,U845-1,U845))+IF(AND(MONTH(U845)=2,U845=EOMONTH(U845,0)),30-DAY(EOMONTH(U845,0)))+T844,VLOOKUP(S845,$C$22:$F$1023,2,0)))</f>
        <v xml:space="preserve"> </v>
      </c>
      <c r="U845" s="64" t="str">
        <f t="shared" ca="1" si="60"/>
        <v xml:space="preserve"> </v>
      </c>
      <c r="V845" s="150" t="str">
        <f t="shared" ca="1" si="63"/>
        <v xml:space="preserve"> </v>
      </c>
      <c r="W845" s="62" t="str">
        <f t="shared" ca="1" si="64"/>
        <v xml:space="preserve"> </v>
      </c>
      <c r="X845" s="141" t="str">
        <f ca="1">IF(S845=" "," ",IFERROR(VLOOKUP(U845,$F$23:$N$1023,7)+VLOOKUP(U845,$F$23:$N$1023,9)+IF(AND('депозитный калькулятор'!$G$13="нет",U845&lt;&gt;'депозитный калькулятор'!$D$8),VLOOKUP(U845,$F$23:$N$1023,4),0),0)+IF(U845='депозитный калькулятор'!$D$8,VLOOKUP(U845,$F$23:$N$1023,2)+VLOOKUP(U845,$F$23:$N$1023,4),0))</f>
        <v xml:space="preserve"> </v>
      </c>
      <c r="Y845" s="142" t="str">
        <f ca="1">IF(S845=" "," ",W845/(1+'депозитный калькулятор'!$K$8)^(T845/IF('депозитный калькулятор'!$G$7="30/360",360,365)))</f>
        <v xml:space="preserve"> </v>
      </c>
      <c r="Z845" s="142" t="str">
        <f ca="1">IF(S845=" "," ",X845/(1+'депозитный калькулятор'!$K$8)^(T845/IF('депозитный калькулятор'!$G$7="30/360",360,365)))</f>
        <v xml:space="preserve"> </v>
      </c>
      <c r="AA845" s="151"/>
      <c r="AB845" s="151"/>
      <c r="AC845" s="155"/>
      <c r="AD845" s="155"/>
    </row>
    <row r="846" spans="1:30" s="2" customFormat="1" ht="15.5" x14ac:dyDescent="0.35">
      <c r="A846" s="41" t="str">
        <f>IF(F846=" "," ",IF(OR('депозитный калькулятор'!$G$7="30/365",'депозитный калькулятор'!$G$7="30/360"),IF(AND(MONTH(F846)=2,DAY(F846)=DAY(EOMONTH(F846,0))),30-DAY(EOMONTH(F846,0)),IF(DAY(F846)=31,1," "))," "))</f>
        <v xml:space="preserve"> </v>
      </c>
      <c r="B846" s="130" t="str">
        <f t="shared" si="61"/>
        <v xml:space="preserve"> </v>
      </c>
      <c r="C846" s="130" t="str">
        <f>IF(OR(B846=0,B846=" ")," ",SUM($B$23:B846))</f>
        <v xml:space="preserve"> </v>
      </c>
      <c r="D846" s="62" t="str">
        <f>IF(D845=" "," ",IF(OR(F845='депозитный калькулятор'!$D$8,F845=" ")," ",D845+1))</f>
        <v xml:space="preserve"> </v>
      </c>
      <c r="E846" s="130" t="str">
        <f>IF(OR(F845='депозитный калькулятор'!$D$8,F845=" ")," ",IF(EOMONTH(F845,0)=F845,1,E845+1))</f>
        <v xml:space="preserve"> </v>
      </c>
      <c r="F846" s="64" t="str">
        <f>IF(F845=" "," ",IF(F845='депозитный калькулятор'!$D$8," ",F845+1))</f>
        <v xml:space="preserve"> </v>
      </c>
      <c r="G846" s="145" t="str">
        <f xml:space="preserve"> IF(F846&gt;'депозитный калькулятор'!$D$8," ",IF('депозитный калькулятор'!$G$13="есть",IF('депозитный калькулятор'!$G$14="есть",G845+IF(I845=" ",0,I845)-J846-K846+L846+M846-N846,G845+IF(I845=" ",0,I845)-J846-K846+M846-N846),IF('депозитный калькулятор'!$G$14="есть",G845-J846-K846+L846+M846-N846,G845-J846-K846+M846-N846)))</f>
        <v xml:space="preserve"> </v>
      </c>
      <c r="H846" s="133" t="str">
        <f>IF(F846&gt;'депозитный калькулятор'!$D$8," ",IF(AND(OR('депозитный калькулятор'!$G$7="30/365",'депозитный калькулятор'!$G$7="30/360"),AND(MONTH(F846)=2,EOMONTH(F846,0)=F846)),IF(DAY(F846)=28,3*G846*'депозитный калькулятор'!$G$8,2*G846*'депозитный калькулятор'!$G$8),IF(AND(OR('депозитный калькулятор'!$G$7="30/365",'депозитный калькулятор'!$G$7="30/360"),DAY(F846)=31)," ",IF(AND('депозитный калькулятор'!$G$7="факт/факт",MOD(YEAR(F846),4)=0),G846*'депозитный калькулятор'!$D$11/366,G846*'депозитный калькулятор'!$G$8))))</f>
        <v xml:space="preserve"> </v>
      </c>
      <c r="I846" s="134" t="str">
        <f ca="1">IF(F846=" "," ",IF('депозитный калькулятор'!$G$10="ежедневное",H846,IF(AND('депозитный калькулятор'!$G$10="еженедельное",WEEKDAY(F846,2)=7),SUM(OFFSET(H846,-6,0):H846),IF(AND('депозитный калькулятор'!$G$10="еженедельное",F846='депозитный калькулятор'!$D$8),SUM($H$23:H846)-SUM($I$23:I845),IF(AND('депозитный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недели",WEEKDAY(F846,2)=7),MIN(OFFSET(H846,-6,0):H846)*(COUNTIF(OFFSET(H846,-6,0):H846,"&gt;0")+SUMIF(OFFSET(A846,-WEEKDAY(F846,2),0):A846,"=2",OFFSET(A846,-WEEKDAY(F846,2),0):A846)),IF(AND('депозитный калькулятор'!$G$10="еженедельное, на минимальную сумму зафиксированную в течение недели",F846='депозитный калькулятор'!$D$8,WEEKDAY(F846,2)&lt;&gt;7),MIN(OFFSET(H846,-WEEKDAY(F846,2),0):H846)*(COUNTIF(OFFSET(H846,-WEEKDAY(F846,2)+1,0):H846,"&gt;0")+SUM(OFFSET(A846,-WEEKDAY(F846,2),0):A846)),IF(AND('депозитный калькулятор'!$G$10="ежемесячное (в конце месяца)",F846='депозитный калькулятор'!$D$8,EOMONTH(F846,0)&lt;&gt;F846),IF('депозитный калькулятор'!$F$1=1,$H$24,SUM($H$23:H846)-SUM($I$23:I845)),IF(AND('депозитный калькулятор'!$G$10="ежемесячное (в конце месяца)",EOMONTH(F846,0)=F846),SUM($H$23:H846)-SUM($I$23:I845),IF(AND('депозитный калькулятор'!$G$10="ежемесячное (по дням открытия вклада)",F846='депозитный калькулятор'!$D$8,DAY('депозитный калькулятор'!$D$7)&lt;&gt;DAY(F846)),IF('депозитный калькулятор'!$F$1=1,$H$24,SUM($H$23:H846)-SUM($I$23:I845)),IF(AND('депозитный калькулятор'!$G$10="ежемесячное (по дням открытия вклада)",DAY('депозитный калькулятор'!$D$7)=DAY(F846)),SUM($H$23:H846)-SUM($I$23:I845),IF(AND('депозитный калькулятор'!$G$10="ежемесячное, на минимальную сумму зафиксированную в течение месяца",F846='депозитный калькулятор'!$D$8,EOMONTH(F846,0)&lt;&gt;F846),IF('депозитный калькулятор'!$F$1=1,$H$24,IF(AND(OR('депозитный калькулятор'!$G$7="30/365",'депозитный калькулятор'!$G$7="30/360"),DAY(F846)=31),0,MIN(OFFSET(H846,-E846+1,0):H846)*(E846+SUMIF(OFFSET(A846,-E846+1,0):A846,"=2",OFFSET(A846,-E846+1,0):A846)))),IF(AND('депозитный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калькулятор'!$G$7="30/360"),DAY(EOMONTH(F846,0))=31),EOMONTH(F846,0)-1=F846,EOMONTH(F846,0)=F846)),IF(IF(AND(OR('депозитный калькулятор'!$G$7="30/365",'депозитный калькулятор'!$G$7="30/360"),DAY(EOMONTH($F$23,0))=31),F846=EOMONTH($F$23,0)-1,F846=EOMONTH($F$23,0)),MIN(OFFSET(H846,-(DAY(F846)-DAY($F$23)),0):H846)*E846,MIN(OFFSET(H846,-(DAY(F846)-1),0):H846)*IF(AND(OR('депозитный калькулятор'!$G$7="30/365",'депозитный калькулятор'!$G$7="30/360"),DAY(F846)&lt;30),30,DAY(F846))),IF(AND('депозитный калькулятор'!$G$10="ежемесячное, на средний остаток в течение месяца, при условии что остаток больше чем ограничение",F846='депозитный калькулятор'!$D$8,EOMONTH(F846,0)&lt;&gt;F846),IF('депозитный калькулятор'!$F$1=1,$H$24,SUM(OFFSET(Q846,-E846+1,0):Q846)),IF(AND('депозитный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калькулятор'!$G$7="30/360"),DAY(EOMONTH(F846,0))=31),EOMONTH(F846,0)-1=F846,EOMONTH(F846,0)=F846)),IF(IF(AND(OR('депозитный калькулятор'!$G$7="30/365",'депозитный калькулятор'!$G$7="30/360"),DAY(EOMONTH($F$24,0))=31),F846=EOMONTH($F$24,0)-1,F846=EOMONTH($F$24,0)),SUM(OFFSET(Q846,-E846+1,0):Q846),SUM(OFFSET(Q846,-E846+1,0):Q846)),IF('депозитный калькулятор'!$G$10="ежеквартальное",IF(F846&gt;'депозитный калькулятор'!$D$8," ",IF(AND(EOMONTH(F846,0)=F846,OR(MONTH(F846)=3,MONTH(F846)=6,MONTH(F846)=9,MONTH(F846)=12)),IF(EDATE(F846,-3)&lt;'депозитный калькулятор'!$D$7,SUM($H$23:H846),IF(MOD(YEAR(F846),4)=0,IF(AND(EOMONTH(F846,0)=F846,OR(MONTH(F846)=3,MONTH(F846)=6)),SUM(OFFSET(H846,-90,0):H846),IF(AND(EOMONTH(F846,0)=F846,OR(MONTH(F846)=9,MONTH(F846)=12)),SUM(OFFSET(H846,-91,0):H846))),IF(AND(EOMONTH(F846,0)=F846,MONTH(F846)=3),SUM(OFFSET(H846,-89,0):H846),IF(AND(EOMONTH(F846,0)=F846,MONTH(F846)=6),SUM(OFFSET(H846,-90,0):H846),IF(AND(EOMONTH(F846,0)=F846,OR(MONTH(F846)=9,MONTH(F846)=12)),SUM(OFFSET(H846,-91,0):H846)))))),IF(F846='депозитный калькулятор'!$D$8,SUM($H$23:H846)-SUM($I$23:I845),0))),IF('депозитный калькулятор'!$G$10="ежегодное",IF(F846&gt;'депозитный калькулятор'!$D$8," ",IF(F846='депозитный калькулятор'!$D$8,SUM($H$23:H846)-SUM($I$23:I845),IF(AND(EOMONTH(F846,0)=F846,MONTH(F846)=12),IF(MOD(YEAR(F845),4)=0,IF(F846-'депозитный калькулятор'!$D$7&lt;366,SUM($H$23:H846),SUM(OFFSET(H846,-365,0):H846)),IF(F846-'депозитный калькулятор'!$D$7&lt;365,SUM($H$23:H846),SUM(OFFSET(H846,-364,0):H846))),0))),IF(AND('депозитный калькулятор'!$G$10="в конце срока",'депозитный калькулятор'!$D$8=F846),SUM($H$23:H846),0))))))))))))))))))</f>
        <v xml:space="preserve"> </v>
      </c>
      <c r="J846" s="59" t="str">
        <f>IF(F846&gt;'депозитный калькулятор'!$D$8," ",IF('депозитный калькулятор'!$G$16="нет",0,IF(AND('депозитный калькулятор'!$G$17="разовая (в конце срока)",F846='депозитный калькулятор'!$D$8),'депозитный калькулятор'!$G$18,IF(AND('депозитный калькулятор'!$G$17="ежемесячная",EOMONTH(F845,0)=F845),'депозитный калькулятор'!$G$18,IF(AND('депозитный калькулятор'!$G$17="ежегодная",DAY(F845)=31,MONTH(F845)=12),'депозитный калькулятор'!$G$18,IF(AND('депозитный калькулятор'!$G$17="ежемесячная в зависимости от остатка",EOMONTH(F845,0)=F845,P845&gt;0),'депозитный калькулятор'!$G$18,IF(AND('депозитный калькулятор'!$G$17="ежегодная в зависимости от остатка",DAY(F845)=31,MONTH(F845)=12,P845&gt;0),'депозитный калькулятор'!$G$18,0)))))))</f>
        <v xml:space="preserve"> </v>
      </c>
      <c r="K846" s="135" t="str">
        <f>IF($F846=" "," ",IFERROR(VLOOKUP($F846,'депозитный калькулятор'!$B$26:$F$70,2,0),0))</f>
        <v xml:space="preserve"> </v>
      </c>
      <c r="L846" s="135" t="str">
        <f>IF($F846=" "," ",IFERROR(VLOOKUP($F846,'депозитный калькулятор'!$B$26:$F$70,3,0),0))</f>
        <v xml:space="preserve"> </v>
      </c>
      <c r="M846" s="135" t="str">
        <f>IF($F846=" "," ",IFERROR(VLOOKUP($F846,'депозитный калькулятор'!$B$26:$F$70,4,0),0))</f>
        <v xml:space="preserve"> </v>
      </c>
      <c r="N846" s="135" t="str">
        <f>IF($F846=" "," ",IFERROR(VLOOKUP($F846,'депозитный калькулятор'!$B$26:$F$70,5,0),0))</f>
        <v xml:space="preserve"> </v>
      </c>
      <c r="O846" s="146" t="str">
        <f>IF(F846&gt;'депозитный калькулятор'!$D$8," ",IF(F846='депозитный калькулятор'!$D$8,IF(AND($F$24='депозитный калькулятор'!$D$8,'депозитный калькулятор'!$G$13="нет"),-G846-IF(I846=" ",0,I846)-IF(AND(OR('депозитный калькулятор'!$G$7="30/365",'депозитный калькулятор'!$G$7="30/360"),'депозитный калькулятор'!$G$10="в начале срока"),I845,0)-L846+M846-N846,-G846-IF(I846=" ",0,I846)-L846+M846-N846),IF('депозитный калькулятор'!$G$13="есть",M846-N846+IF('депозитный калькулятор'!$G$14="есть",0,-L846),-IF(I846=" ",0,I846)-IF(AND(OR('депозитный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срока"),I845,0)+M846-N846+IF('депозитный калькулятор'!$G$14="есть",0,-L846))))</f>
        <v xml:space="preserve"> </v>
      </c>
      <c r="P846" s="147" t="str">
        <f>IF(F846&gt;'депозитный калькулятор'!$D$8," ",IF(EOMONTH(F845,0)=F845,0,IF(G846&gt;='депозитный калькулятор'!$G$19,P845,P845+1)))</f>
        <v xml:space="preserve"> </v>
      </c>
      <c r="Q846" s="138" t="str">
        <f>IF(F846=" "," ",IF(AND(OR('депозитный калькулятор'!$G$7="30/365",'депозитный калькулятор'!$G$7="30/360"),AND(MONTH(F846)=2,EOMONTH(F846,0)=F846)),IF(DAY(F846)=28,3,2),1)*IF(G846&gt;='депозитный калькулятор'!$G$11,IF(AND('депозитный калькулятор'!$G$7="факт/факт",MOD(YEAR(F846),4)=0),G846*'депозитный калькулятор'!$D$11/366,G846*'депозитный калькулятор'!$G$8),0))</f>
        <v xml:space="preserve"> </v>
      </c>
      <c r="S846" s="62" t="str">
        <f t="shared" ca="1" si="62"/>
        <v xml:space="preserve"> </v>
      </c>
      <c r="T846" s="149" t="str">
        <f ca="1">IF(S846=" "," ",IF('депозитный калькулятор'!$G$7="30/360",DAYS360(U845,IF(DAY(U846)=31,U846-1,U846))+IF(AND(MONTH(U846)=2,U846=EOMONTH(U846,0)),30-DAY(EOMONTH(U846,0)))+T845,VLOOKUP(S846,$C$22:$F$1023,2,0)))</f>
        <v xml:space="preserve"> </v>
      </c>
      <c r="U846" s="64" t="str">
        <f t="shared" ca="1" si="60"/>
        <v xml:space="preserve"> </v>
      </c>
      <c r="V846" s="150" t="str">
        <f t="shared" ca="1" si="63"/>
        <v xml:space="preserve"> </v>
      </c>
      <c r="W846" s="62" t="str">
        <f t="shared" ca="1" si="64"/>
        <v xml:space="preserve"> </v>
      </c>
      <c r="X846" s="141" t="str">
        <f ca="1">IF(S846=" "," ",IFERROR(VLOOKUP(U846,$F$23:$N$1023,7)+VLOOKUP(U846,$F$23:$N$1023,9)+IF(AND('депозитный калькулятор'!$G$13="нет",U846&lt;&gt;'депозитный калькулятор'!$D$8),VLOOKUP(U846,$F$23:$N$1023,4),0),0)+IF(U846='депозитный калькулятор'!$D$8,VLOOKUP(U846,$F$23:$N$1023,2)+VLOOKUP(U846,$F$23:$N$1023,4),0))</f>
        <v xml:space="preserve"> </v>
      </c>
      <c r="Y846" s="142" t="str">
        <f ca="1">IF(S846=" "," ",W846/(1+'депозитный калькулятор'!$K$8)^(T846/IF('депозитный калькулятор'!$G$7="30/360",360,365)))</f>
        <v xml:space="preserve"> </v>
      </c>
      <c r="Z846" s="142" t="str">
        <f ca="1">IF(S846=" "," ",X846/(1+'депозитный калькулятор'!$K$8)^(T846/IF('депозитный калькулятор'!$G$7="30/360",360,365)))</f>
        <v xml:space="preserve"> </v>
      </c>
      <c r="AA846" s="151"/>
      <c r="AB846" s="151"/>
      <c r="AC846" s="155"/>
      <c r="AD846" s="155"/>
    </row>
    <row r="847" spans="1:30" s="2" customFormat="1" ht="15.5" x14ac:dyDescent="0.35">
      <c r="A847" s="41" t="str">
        <f>IF(F847=" "," ",IF(OR('депозитный калькулятор'!$G$7="30/365",'депозитный калькулятор'!$G$7="30/360"),IF(AND(MONTH(F847)=2,DAY(F847)=DAY(EOMONTH(F847,0))),30-DAY(EOMONTH(F847,0)),IF(DAY(F847)=31,1," "))," "))</f>
        <v xml:space="preserve"> </v>
      </c>
      <c r="B847" s="130" t="str">
        <f t="shared" si="61"/>
        <v xml:space="preserve"> </v>
      </c>
      <c r="C847" s="130" t="str">
        <f>IF(OR(B847=0,B847=" ")," ",SUM($B$23:B847))</f>
        <v xml:space="preserve"> </v>
      </c>
      <c r="D847" s="62" t="str">
        <f>IF(D846=" "," ",IF(OR(F846='депозитный калькулятор'!$D$8,F846=" ")," ",D846+1))</f>
        <v xml:space="preserve"> </v>
      </c>
      <c r="E847" s="130" t="str">
        <f>IF(OR(F846='депозитный калькулятор'!$D$8,F846=" ")," ",IF(EOMONTH(F846,0)=F846,1,E846+1))</f>
        <v xml:space="preserve"> </v>
      </c>
      <c r="F847" s="64" t="str">
        <f>IF(F846=" "," ",IF(F846='депозитный калькулятор'!$D$8," ",F846+1))</f>
        <v xml:space="preserve"> </v>
      </c>
      <c r="G847" s="145" t="str">
        <f xml:space="preserve"> IF(F847&gt;'депозитный калькулятор'!$D$8," ",IF('депозитный калькулятор'!$G$13="есть",IF('депозитный калькулятор'!$G$14="есть",G846+IF(I846=" ",0,I846)-J847-K847+L847+M847-N847,G846+IF(I846=" ",0,I846)-J847-K847+M847-N847),IF('депозитный калькулятор'!$G$14="есть",G846-J847-K847+L847+M847-N847,G846-J847-K847+M847-N847)))</f>
        <v xml:space="preserve"> </v>
      </c>
      <c r="H847" s="133" t="str">
        <f>IF(F847&gt;'депозитный калькулятор'!$D$8," ",IF(AND(OR('депозитный калькулятор'!$G$7="30/365",'депозитный калькулятор'!$G$7="30/360"),AND(MONTH(F847)=2,EOMONTH(F847,0)=F847)),IF(DAY(F847)=28,3*G847*'депозитный калькулятор'!$G$8,2*G847*'депозитный калькулятор'!$G$8),IF(AND(OR('депозитный калькулятор'!$G$7="30/365",'депозитный калькулятор'!$G$7="30/360"),DAY(F847)=31)," ",IF(AND('депозитный калькулятор'!$G$7="факт/факт",MOD(YEAR(F847),4)=0),G847*'депозитный калькулятор'!$D$11/366,G847*'депозитный калькулятор'!$G$8))))</f>
        <v xml:space="preserve"> </v>
      </c>
      <c r="I847" s="134" t="str">
        <f ca="1">IF(F847=" "," ",IF('депозитный калькулятор'!$G$10="ежедневное",H847,IF(AND('депозитный калькулятор'!$G$10="еженедельное",WEEKDAY(F847,2)=7),SUM(OFFSET(H847,-6,0):H847),IF(AND('депозитный калькулятор'!$G$10="еженедельное",F847='депозитный калькулятор'!$D$8),SUM($H$23:H847)-SUM($I$23:I846),IF(AND('депозитный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недели",WEEKDAY(F847,2)=7),MIN(OFFSET(H847,-6,0):H847)*(COUNTIF(OFFSET(H847,-6,0):H847,"&gt;0")+SUMIF(OFFSET(A847,-WEEKDAY(F847,2),0):A847,"=2",OFFSET(A847,-WEEKDAY(F847,2),0):A847)),IF(AND('депозитный калькулятор'!$G$10="еженедельное, на минимальную сумму зафиксированную в течение недели",F847='депозитный калькулятор'!$D$8,WEEKDAY(F847,2)&lt;&gt;7),MIN(OFFSET(H847,-WEEKDAY(F847,2),0):H847)*(COUNTIF(OFFSET(H847,-WEEKDAY(F847,2)+1,0):H847,"&gt;0")+SUM(OFFSET(A847,-WEEKDAY(F847,2),0):A847)),IF(AND('депозитный калькулятор'!$G$10="ежемесячное (в конце месяца)",F847='депозитный калькулятор'!$D$8,EOMONTH(F847,0)&lt;&gt;F847),IF('депозитный калькулятор'!$F$1=1,$H$24,SUM($H$23:H847)-SUM($I$23:I846)),IF(AND('депозитный калькулятор'!$G$10="ежемесячное (в конце месяца)",EOMONTH(F847,0)=F847),SUM($H$23:H847)-SUM($I$23:I846),IF(AND('депозитный калькулятор'!$G$10="ежемесячное (по дням открытия вклада)",F847='депозитный калькулятор'!$D$8,DAY('депозитный калькулятор'!$D$7)&lt;&gt;DAY(F847)),IF('депозитный калькулятор'!$F$1=1,$H$24,SUM($H$23:H847)-SUM($I$23:I846)),IF(AND('депозитный калькулятор'!$G$10="ежемесячное (по дням открытия вклада)",DAY('депозитный калькулятор'!$D$7)=DAY(F847)),SUM($H$23:H847)-SUM($I$23:I846),IF(AND('депозитный калькулятор'!$G$10="ежемесячное, на минимальную сумму зафиксированную в течение месяца",F847='депозитный калькулятор'!$D$8,EOMONTH(F847,0)&lt;&gt;F847),IF('депозитный калькулятор'!$F$1=1,$H$24,IF(AND(OR('депозитный калькулятор'!$G$7="30/365",'депозитный калькулятор'!$G$7="30/360"),DAY(F847)=31),0,MIN(OFFSET(H847,-E847+1,0):H847)*(E847+SUMIF(OFFSET(A847,-E847+1,0):A847,"=2",OFFSET(A847,-E847+1,0):A847)))),IF(AND('депозитный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калькулятор'!$G$7="30/360"),DAY(EOMONTH(F847,0))=31),EOMONTH(F847,0)-1=F847,EOMONTH(F847,0)=F847)),IF(IF(AND(OR('депозитный калькулятор'!$G$7="30/365",'депозитный калькулятор'!$G$7="30/360"),DAY(EOMONTH($F$23,0))=31),F847=EOMONTH($F$23,0)-1,F847=EOMONTH($F$23,0)),MIN(OFFSET(H847,-(DAY(F847)-DAY($F$23)),0):H847)*E847,MIN(OFFSET(H847,-(DAY(F847)-1),0):H847)*IF(AND(OR('депозитный калькулятор'!$G$7="30/365",'депозитный калькулятор'!$G$7="30/360"),DAY(F847)&lt;30),30,DAY(F847))),IF(AND('депозитный калькулятор'!$G$10="ежемесячное, на средний остаток в течение месяца, при условии что остаток больше чем ограничение",F847='депозитный калькулятор'!$D$8,EOMONTH(F847,0)&lt;&gt;F847),IF('депозитный калькулятор'!$F$1=1,$H$24,SUM(OFFSET(Q847,-E847+1,0):Q847)),IF(AND('депозитный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калькулятор'!$G$7="30/360"),DAY(EOMONTH(F847,0))=31),EOMONTH(F847,0)-1=F847,EOMONTH(F847,0)=F847)),IF(IF(AND(OR('депозитный калькулятор'!$G$7="30/365",'депозитный калькулятор'!$G$7="30/360"),DAY(EOMONTH($F$24,0))=31),F847=EOMONTH($F$24,0)-1,F847=EOMONTH($F$24,0)),SUM(OFFSET(Q847,-E847+1,0):Q847),SUM(OFFSET(Q847,-E847+1,0):Q847)),IF('депозитный калькулятор'!$G$10="ежеквартальное",IF(F847&gt;'депозитный калькулятор'!$D$8," ",IF(AND(EOMONTH(F847,0)=F847,OR(MONTH(F847)=3,MONTH(F847)=6,MONTH(F847)=9,MONTH(F847)=12)),IF(EDATE(F847,-3)&lt;'депозитный калькулятор'!$D$7,SUM($H$23:H847),IF(MOD(YEAR(F847),4)=0,IF(AND(EOMONTH(F847,0)=F847,OR(MONTH(F847)=3,MONTH(F847)=6)),SUM(OFFSET(H847,-90,0):H847),IF(AND(EOMONTH(F847,0)=F847,OR(MONTH(F847)=9,MONTH(F847)=12)),SUM(OFFSET(H847,-91,0):H847))),IF(AND(EOMONTH(F847,0)=F847,MONTH(F847)=3),SUM(OFFSET(H847,-89,0):H847),IF(AND(EOMONTH(F847,0)=F847,MONTH(F847)=6),SUM(OFFSET(H847,-90,0):H847),IF(AND(EOMONTH(F847,0)=F847,OR(MONTH(F847)=9,MONTH(F847)=12)),SUM(OFFSET(H847,-91,0):H847)))))),IF(F847='депозитный калькулятор'!$D$8,SUM($H$23:H847)-SUM($I$23:I846),0))),IF('депозитный калькулятор'!$G$10="ежегодное",IF(F847&gt;'депозитный калькулятор'!$D$8," ",IF(F847='депозитный калькулятор'!$D$8,SUM($H$23:H847)-SUM($I$23:I846),IF(AND(EOMONTH(F847,0)=F847,MONTH(F847)=12),IF(MOD(YEAR(F846),4)=0,IF(F847-'депозитный калькулятор'!$D$7&lt;366,SUM($H$23:H847),SUM(OFFSET(H847,-365,0):H847)),IF(F847-'депозитный калькулятор'!$D$7&lt;365,SUM($H$23:H847),SUM(OFFSET(H847,-364,0):H847))),0))),IF(AND('депозитный калькулятор'!$G$10="в конце срока",'депозитный калькулятор'!$D$8=F847),SUM($H$23:H847),0))))))))))))))))))</f>
        <v xml:space="preserve"> </v>
      </c>
      <c r="J847" s="59" t="str">
        <f>IF(F847&gt;'депозитный калькулятор'!$D$8," ",IF('депозитный калькулятор'!$G$16="нет",0,IF(AND('депозитный калькулятор'!$G$17="разовая (в конце срока)",F847='депозитный калькулятор'!$D$8),'депозитный калькулятор'!$G$18,IF(AND('депозитный калькулятор'!$G$17="ежемесячная",EOMONTH(F846,0)=F846),'депозитный калькулятор'!$G$18,IF(AND('депозитный калькулятор'!$G$17="ежегодная",DAY(F846)=31,MONTH(F846)=12),'депозитный калькулятор'!$G$18,IF(AND('депозитный калькулятор'!$G$17="ежемесячная в зависимости от остатка",EOMONTH(F846,0)=F846,P846&gt;0),'депозитный калькулятор'!$G$18,IF(AND('депозитный калькулятор'!$G$17="ежегодная в зависимости от остатка",DAY(F846)=31,MONTH(F846)=12,P846&gt;0),'депозитный калькулятор'!$G$18,0)))))))</f>
        <v xml:space="preserve"> </v>
      </c>
      <c r="K847" s="135" t="str">
        <f>IF($F847=" "," ",IFERROR(VLOOKUP($F847,'депозитный калькулятор'!$B$26:$F$70,2,0),0))</f>
        <v xml:space="preserve"> </v>
      </c>
      <c r="L847" s="135" t="str">
        <f>IF($F847=" "," ",IFERROR(VLOOKUP($F847,'депозитный калькулятор'!$B$26:$F$70,3,0),0))</f>
        <v xml:space="preserve"> </v>
      </c>
      <c r="M847" s="135" t="str">
        <f>IF($F847=" "," ",IFERROR(VLOOKUP($F847,'депозитный калькулятор'!$B$26:$F$70,4,0),0))</f>
        <v xml:space="preserve"> </v>
      </c>
      <c r="N847" s="135" t="str">
        <f>IF($F847=" "," ",IFERROR(VLOOKUP($F847,'депозитный калькулятор'!$B$26:$F$70,5,0),0))</f>
        <v xml:space="preserve"> </v>
      </c>
      <c r="O847" s="146" t="str">
        <f>IF(F847&gt;'депозитный калькулятор'!$D$8," ",IF(F847='депозитный калькулятор'!$D$8,IF(AND($F$24='депозитный калькулятор'!$D$8,'депозитный калькулятор'!$G$13="нет"),-G847-IF(I847=" ",0,I847)-IF(AND(OR('депозитный калькулятор'!$G$7="30/365",'депозитный калькулятор'!$G$7="30/360"),'депозитный калькулятор'!$G$10="в начале срока"),I846,0)-L847+M847-N847,-G847-IF(I847=" ",0,I847)-L847+M847-N847),IF('депозитный калькулятор'!$G$13="есть",M847-N847+IF('депозитный калькулятор'!$G$14="есть",0,-L847),-IF(I847=" ",0,I847)-IF(AND(OR('депозитный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срока"),I846,0)+M847-N847+IF('депозитный калькулятор'!$G$14="есть",0,-L847))))</f>
        <v xml:space="preserve"> </v>
      </c>
      <c r="P847" s="147" t="str">
        <f>IF(F847&gt;'депозитный калькулятор'!$D$8," ",IF(EOMONTH(F846,0)=F846,0,IF(G847&gt;='депозитный калькулятор'!$G$19,P846,P846+1)))</f>
        <v xml:space="preserve"> </v>
      </c>
      <c r="Q847" s="138" t="str">
        <f>IF(F847=" "," ",IF(AND(OR('депозитный калькулятор'!$G$7="30/365",'депозитный калькулятор'!$G$7="30/360"),AND(MONTH(F847)=2,EOMONTH(F847,0)=F847)),IF(DAY(F847)=28,3,2),1)*IF(G847&gt;='депозитный калькулятор'!$G$11,IF(AND('депозитный калькулятор'!$G$7="факт/факт",MOD(YEAR(F847),4)=0),G847*'депозитный калькулятор'!$D$11/366,G847*'депозитный калькулятор'!$G$8),0))</f>
        <v xml:space="preserve"> </v>
      </c>
      <c r="S847" s="62" t="str">
        <f t="shared" ca="1" si="62"/>
        <v xml:space="preserve"> </v>
      </c>
      <c r="T847" s="149" t="str">
        <f ca="1">IF(S847=" "," ",IF('депозитный калькулятор'!$G$7="30/360",DAYS360(U846,IF(DAY(U847)=31,U847-1,U847))+IF(AND(MONTH(U847)=2,U847=EOMONTH(U847,0)),30-DAY(EOMONTH(U847,0)))+T846,VLOOKUP(S847,$C$22:$F$1023,2,0)))</f>
        <v xml:space="preserve"> </v>
      </c>
      <c r="U847" s="64" t="str">
        <f t="shared" ca="1" si="60"/>
        <v xml:space="preserve"> </v>
      </c>
      <c r="V847" s="150" t="str">
        <f t="shared" ca="1" si="63"/>
        <v xml:space="preserve"> </v>
      </c>
      <c r="W847" s="62" t="str">
        <f t="shared" ca="1" si="64"/>
        <v xml:space="preserve"> </v>
      </c>
      <c r="X847" s="141" t="str">
        <f ca="1">IF(S847=" "," ",IFERROR(VLOOKUP(U847,$F$23:$N$1023,7)+VLOOKUP(U847,$F$23:$N$1023,9)+IF(AND('депозитный калькулятор'!$G$13="нет",U847&lt;&gt;'депозитный калькулятор'!$D$8),VLOOKUP(U847,$F$23:$N$1023,4),0),0)+IF(U847='депозитный калькулятор'!$D$8,VLOOKUP(U847,$F$23:$N$1023,2)+VLOOKUP(U847,$F$23:$N$1023,4),0))</f>
        <v xml:space="preserve"> </v>
      </c>
      <c r="Y847" s="142" t="str">
        <f ca="1">IF(S847=" "," ",W847/(1+'депозитный калькулятор'!$K$8)^(T847/IF('депозитный калькулятор'!$G$7="30/360",360,365)))</f>
        <v xml:space="preserve"> </v>
      </c>
      <c r="Z847" s="142" t="str">
        <f ca="1">IF(S847=" "," ",X847/(1+'депозитный калькулятор'!$K$8)^(T847/IF('депозитный калькулятор'!$G$7="30/360",360,365)))</f>
        <v xml:space="preserve"> </v>
      </c>
      <c r="AA847" s="151"/>
      <c r="AB847" s="151"/>
      <c r="AC847" s="155"/>
      <c r="AD847" s="155"/>
    </row>
    <row r="848" spans="1:30" s="2" customFormat="1" ht="15.5" x14ac:dyDescent="0.35">
      <c r="A848" s="41" t="str">
        <f>IF(F848=" "," ",IF(OR('депозитный калькулятор'!$G$7="30/365",'депозитный калькулятор'!$G$7="30/360"),IF(AND(MONTH(F848)=2,DAY(F848)=DAY(EOMONTH(F848,0))),30-DAY(EOMONTH(F848,0)),IF(DAY(F848)=31,1," "))," "))</f>
        <v xml:space="preserve"> </v>
      </c>
      <c r="B848" s="130" t="str">
        <f t="shared" si="61"/>
        <v xml:space="preserve"> </v>
      </c>
      <c r="C848" s="130" t="str">
        <f>IF(OR(B848=0,B848=" ")," ",SUM($B$23:B848))</f>
        <v xml:space="preserve"> </v>
      </c>
      <c r="D848" s="62" t="str">
        <f>IF(D847=" "," ",IF(OR(F847='депозитный калькулятор'!$D$8,F847=" ")," ",D847+1))</f>
        <v xml:space="preserve"> </v>
      </c>
      <c r="E848" s="130" t="str">
        <f>IF(OR(F847='депозитный калькулятор'!$D$8,F847=" ")," ",IF(EOMONTH(F847,0)=F847,1,E847+1))</f>
        <v xml:space="preserve"> </v>
      </c>
      <c r="F848" s="64" t="str">
        <f>IF(F847=" "," ",IF(F847='депозитный калькулятор'!$D$8," ",F847+1))</f>
        <v xml:space="preserve"> </v>
      </c>
      <c r="G848" s="145" t="str">
        <f xml:space="preserve"> IF(F848&gt;'депозитный калькулятор'!$D$8," ",IF('депозитный калькулятор'!$G$13="есть",IF('депозитный калькулятор'!$G$14="есть",G847+IF(I847=" ",0,I847)-J848-K848+L848+M848-N848,G847+IF(I847=" ",0,I847)-J848-K848+M848-N848),IF('депозитный калькулятор'!$G$14="есть",G847-J848-K848+L848+M848-N848,G847-J848-K848+M848-N848)))</f>
        <v xml:space="preserve"> </v>
      </c>
      <c r="H848" s="133" t="str">
        <f>IF(F848&gt;'депозитный калькулятор'!$D$8," ",IF(AND(OR('депозитный калькулятор'!$G$7="30/365",'депозитный калькулятор'!$G$7="30/360"),AND(MONTH(F848)=2,EOMONTH(F848,0)=F848)),IF(DAY(F848)=28,3*G848*'депозитный калькулятор'!$G$8,2*G848*'депозитный калькулятор'!$G$8),IF(AND(OR('депозитный калькулятор'!$G$7="30/365",'депозитный калькулятор'!$G$7="30/360"),DAY(F848)=31)," ",IF(AND('депозитный калькулятор'!$G$7="факт/факт",MOD(YEAR(F848),4)=0),G848*'депозитный калькулятор'!$D$11/366,G848*'депозитный калькулятор'!$G$8))))</f>
        <v xml:space="preserve"> </v>
      </c>
      <c r="I848" s="134" t="str">
        <f ca="1">IF(F848=" "," ",IF('депозитный калькулятор'!$G$10="ежедневное",H848,IF(AND('депозитный калькулятор'!$G$10="еженедельное",WEEKDAY(F848,2)=7),SUM(OFFSET(H848,-6,0):H848),IF(AND('депозитный калькулятор'!$G$10="еженедельное",F848='депозитный калькулятор'!$D$8),SUM($H$23:H848)-SUM($I$23:I847),IF(AND('депозитный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недели",WEEKDAY(F848,2)=7),MIN(OFFSET(H848,-6,0):H848)*(COUNTIF(OFFSET(H848,-6,0):H848,"&gt;0")+SUMIF(OFFSET(A848,-WEEKDAY(F848,2),0):A848,"=2",OFFSET(A848,-WEEKDAY(F848,2),0):A848)),IF(AND('депозитный калькулятор'!$G$10="еженедельное, на минимальную сумму зафиксированную в течение недели",F848='депозитный калькулятор'!$D$8,WEEKDAY(F848,2)&lt;&gt;7),MIN(OFFSET(H848,-WEEKDAY(F848,2),0):H848)*(COUNTIF(OFFSET(H848,-WEEKDAY(F848,2)+1,0):H848,"&gt;0")+SUM(OFFSET(A848,-WEEKDAY(F848,2),0):A848)),IF(AND('депозитный калькулятор'!$G$10="ежемесячное (в конце месяца)",F848='депозитный калькулятор'!$D$8,EOMONTH(F848,0)&lt;&gt;F848),IF('депозитный калькулятор'!$F$1=1,$H$24,SUM($H$23:H848)-SUM($I$23:I847)),IF(AND('депозитный калькулятор'!$G$10="ежемесячное (в конце месяца)",EOMONTH(F848,0)=F848),SUM($H$23:H848)-SUM($I$23:I847),IF(AND('депозитный калькулятор'!$G$10="ежемесячное (по дням открытия вклада)",F848='депозитный калькулятор'!$D$8,DAY('депозитный калькулятор'!$D$7)&lt;&gt;DAY(F848)),IF('депозитный калькулятор'!$F$1=1,$H$24,SUM($H$23:H848)-SUM($I$23:I847)),IF(AND('депозитный калькулятор'!$G$10="ежемесячное (по дням открытия вклада)",DAY('депозитный калькулятор'!$D$7)=DAY(F848)),SUM($H$23:H848)-SUM($I$23:I847),IF(AND('депозитный калькулятор'!$G$10="ежемесячное, на минимальную сумму зафиксированную в течение месяца",F848='депозитный калькулятор'!$D$8,EOMONTH(F848,0)&lt;&gt;F848),IF('депозитный калькулятор'!$F$1=1,$H$24,IF(AND(OR('депозитный калькулятор'!$G$7="30/365",'депозитный калькулятор'!$G$7="30/360"),DAY(F848)=31),0,MIN(OFFSET(H848,-E848+1,0):H848)*(E848+SUMIF(OFFSET(A848,-E848+1,0):A848,"=2",OFFSET(A848,-E848+1,0):A848)))),IF(AND('депозитный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калькулятор'!$G$7="30/360"),DAY(EOMONTH(F848,0))=31),EOMONTH(F848,0)-1=F848,EOMONTH(F848,0)=F848)),IF(IF(AND(OR('депозитный калькулятор'!$G$7="30/365",'депозитный калькулятор'!$G$7="30/360"),DAY(EOMONTH($F$23,0))=31),F848=EOMONTH($F$23,0)-1,F848=EOMONTH($F$23,0)),MIN(OFFSET(H848,-(DAY(F848)-DAY($F$23)),0):H848)*E848,MIN(OFFSET(H848,-(DAY(F848)-1),0):H848)*IF(AND(OR('депозитный калькулятор'!$G$7="30/365",'депозитный калькулятор'!$G$7="30/360"),DAY(F848)&lt;30),30,DAY(F848))),IF(AND('депозитный калькулятор'!$G$10="ежемесячное, на средний остаток в течение месяца, при условии что остаток больше чем ограничение",F848='депозитный калькулятор'!$D$8,EOMONTH(F848,0)&lt;&gt;F848),IF('депозитный калькулятор'!$F$1=1,$H$24,SUM(OFFSET(Q848,-E848+1,0):Q848)),IF(AND('депозитный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калькулятор'!$G$7="30/360"),DAY(EOMONTH(F848,0))=31),EOMONTH(F848,0)-1=F848,EOMONTH(F848,0)=F848)),IF(IF(AND(OR('депозитный калькулятор'!$G$7="30/365",'депозитный калькулятор'!$G$7="30/360"),DAY(EOMONTH($F$24,0))=31),F848=EOMONTH($F$24,0)-1,F848=EOMONTH($F$24,0)),SUM(OFFSET(Q848,-E848+1,0):Q848),SUM(OFFSET(Q848,-E848+1,0):Q848)),IF('депозитный калькулятор'!$G$10="ежеквартальное",IF(F848&gt;'депозитный калькулятор'!$D$8," ",IF(AND(EOMONTH(F848,0)=F848,OR(MONTH(F848)=3,MONTH(F848)=6,MONTH(F848)=9,MONTH(F848)=12)),IF(EDATE(F848,-3)&lt;'депозитный калькулятор'!$D$7,SUM($H$23:H848),IF(MOD(YEAR(F848),4)=0,IF(AND(EOMONTH(F848,0)=F848,OR(MONTH(F848)=3,MONTH(F848)=6)),SUM(OFFSET(H848,-90,0):H848),IF(AND(EOMONTH(F848,0)=F848,OR(MONTH(F848)=9,MONTH(F848)=12)),SUM(OFFSET(H848,-91,0):H848))),IF(AND(EOMONTH(F848,0)=F848,MONTH(F848)=3),SUM(OFFSET(H848,-89,0):H848),IF(AND(EOMONTH(F848,0)=F848,MONTH(F848)=6),SUM(OFFSET(H848,-90,0):H848),IF(AND(EOMONTH(F848,0)=F848,OR(MONTH(F848)=9,MONTH(F848)=12)),SUM(OFFSET(H848,-91,0):H848)))))),IF(F848='депозитный калькулятор'!$D$8,SUM($H$23:H848)-SUM($I$23:I847),0))),IF('депозитный калькулятор'!$G$10="ежегодное",IF(F848&gt;'депозитный калькулятор'!$D$8," ",IF(F848='депозитный калькулятор'!$D$8,SUM($H$23:H848)-SUM($I$23:I847),IF(AND(EOMONTH(F848,0)=F848,MONTH(F848)=12),IF(MOD(YEAR(F847),4)=0,IF(F848-'депозитный калькулятор'!$D$7&lt;366,SUM($H$23:H848),SUM(OFFSET(H848,-365,0):H848)),IF(F848-'депозитный калькулятор'!$D$7&lt;365,SUM($H$23:H848),SUM(OFFSET(H848,-364,0):H848))),0))),IF(AND('депозитный калькулятор'!$G$10="в конце срока",'депозитный калькулятор'!$D$8=F848),SUM($H$23:H848),0))))))))))))))))))</f>
        <v xml:space="preserve"> </v>
      </c>
      <c r="J848" s="59" t="str">
        <f>IF(F848&gt;'депозитный калькулятор'!$D$8," ",IF('депозитный калькулятор'!$G$16="нет",0,IF(AND('депозитный калькулятор'!$G$17="разовая (в конце срока)",F848='депозитный калькулятор'!$D$8),'депозитный калькулятор'!$G$18,IF(AND('депозитный калькулятор'!$G$17="ежемесячная",EOMONTH(F847,0)=F847),'депозитный калькулятор'!$G$18,IF(AND('депозитный калькулятор'!$G$17="ежегодная",DAY(F847)=31,MONTH(F847)=12),'депозитный калькулятор'!$G$18,IF(AND('депозитный калькулятор'!$G$17="ежемесячная в зависимости от остатка",EOMONTH(F847,0)=F847,P847&gt;0),'депозитный калькулятор'!$G$18,IF(AND('депозитный калькулятор'!$G$17="ежегодная в зависимости от остатка",DAY(F847)=31,MONTH(F847)=12,P847&gt;0),'депозитный калькулятор'!$G$18,0)))))))</f>
        <v xml:space="preserve"> </v>
      </c>
      <c r="K848" s="135" t="str">
        <f>IF($F848=" "," ",IFERROR(VLOOKUP($F848,'депозитный калькулятор'!$B$26:$F$70,2,0),0))</f>
        <v xml:space="preserve"> </v>
      </c>
      <c r="L848" s="135" t="str">
        <f>IF($F848=" "," ",IFERROR(VLOOKUP($F848,'депозитный калькулятор'!$B$26:$F$70,3,0),0))</f>
        <v xml:space="preserve"> </v>
      </c>
      <c r="M848" s="135" t="str">
        <f>IF($F848=" "," ",IFERROR(VLOOKUP($F848,'депозитный калькулятор'!$B$26:$F$70,4,0),0))</f>
        <v xml:space="preserve"> </v>
      </c>
      <c r="N848" s="135" t="str">
        <f>IF($F848=" "," ",IFERROR(VLOOKUP($F848,'депозитный калькулятор'!$B$26:$F$70,5,0),0))</f>
        <v xml:space="preserve"> </v>
      </c>
      <c r="O848" s="146" t="str">
        <f>IF(F848&gt;'депозитный калькулятор'!$D$8," ",IF(F848='депозитный калькулятор'!$D$8,IF(AND($F$24='депозитный калькулятор'!$D$8,'депозитный калькулятор'!$G$13="нет"),-G848-IF(I848=" ",0,I848)-IF(AND(OR('депозитный калькулятор'!$G$7="30/365",'депозитный калькулятор'!$G$7="30/360"),'депозитный калькулятор'!$G$10="в начале срока"),I847,0)-L848+M848-N848,-G848-IF(I848=" ",0,I848)-L848+M848-N848),IF('депозитный калькулятор'!$G$13="есть",M848-N848+IF('депозитный калькулятор'!$G$14="есть",0,-L848),-IF(I848=" ",0,I848)-IF(AND(OR('депозитный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срока"),I847,0)+M848-N848+IF('депозитный калькулятор'!$G$14="есть",0,-L848))))</f>
        <v xml:space="preserve"> </v>
      </c>
      <c r="P848" s="147" t="str">
        <f>IF(F848&gt;'депозитный калькулятор'!$D$8," ",IF(EOMONTH(F847,0)=F847,0,IF(G848&gt;='депозитный калькулятор'!$G$19,P847,P847+1)))</f>
        <v xml:space="preserve"> </v>
      </c>
      <c r="Q848" s="138" t="str">
        <f>IF(F848=" "," ",IF(AND(OR('депозитный калькулятор'!$G$7="30/365",'депозитный калькулятор'!$G$7="30/360"),AND(MONTH(F848)=2,EOMONTH(F848,0)=F848)),IF(DAY(F848)=28,3,2),1)*IF(G848&gt;='депозитный калькулятор'!$G$11,IF(AND('депозитный калькулятор'!$G$7="факт/факт",MOD(YEAR(F848),4)=0),G848*'депозитный калькулятор'!$D$11/366,G848*'депозитный калькулятор'!$G$8),0))</f>
        <v xml:space="preserve"> </v>
      </c>
      <c r="S848" s="62" t="str">
        <f t="shared" ca="1" si="62"/>
        <v xml:space="preserve"> </v>
      </c>
      <c r="T848" s="149" t="str">
        <f ca="1">IF(S848=" "," ",IF('депозитный калькулятор'!$G$7="30/360",DAYS360(U847,IF(DAY(U848)=31,U848-1,U848))+IF(AND(MONTH(U848)=2,U848=EOMONTH(U848,0)),30-DAY(EOMONTH(U848,0)))+T847,VLOOKUP(S848,$C$22:$F$1023,2,0)))</f>
        <v xml:space="preserve"> </v>
      </c>
      <c r="U848" s="64" t="str">
        <f t="shared" ca="1" si="60"/>
        <v xml:space="preserve"> </v>
      </c>
      <c r="V848" s="150" t="str">
        <f t="shared" ca="1" si="63"/>
        <v xml:space="preserve"> </v>
      </c>
      <c r="W848" s="62" t="str">
        <f t="shared" ca="1" si="64"/>
        <v xml:space="preserve"> </v>
      </c>
      <c r="X848" s="141" t="str">
        <f ca="1">IF(S848=" "," ",IFERROR(VLOOKUP(U848,$F$23:$N$1023,7)+VLOOKUP(U848,$F$23:$N$1023,9)+IF(AND('депозитный калькулятор'!$G$13="нет",U848&lt;&gt;'депозитный калькулятор'!$D$8),VLOOKUP(U848,$F$23:$N$1023,4),0),0)+IF(U848='депозитный калькулятор'!$D$8,VLOOKUP(U848,$F$23:$N$1023,2)+VLOOKUP(U848,$F$23:$N$1023,4),0))</f>
        <v xml:space="preserve"> </v>
      </c>
      <c r="Y848" s="142" t="str">
        <f ca="1">IF(S848=" "," ",W848/(1+'депозитный калькулятор'!$K$8)^(T848/IF('депозитный калькулятор'!$G$7="30/360",360,365)))</f>
        <v xml:space="preserve"> </v>
      </c>
      <c r="Z848" s="142" t="str">
        <f ca="1">IF(S848=" "," ",X848/(1+'депозитный калькулятор'!$K$8)^(T848/IF('депозитный калькулятор'!$G$7="30/360",360,365)))</f>
        <v xml:space="preserve"> </v>
      </c>
      <c r="AA848" s="151"/>
      <c r="AB848" s="151"/>
      <c r="AC848" s="155"/>
      <c r="AD848" s="155"/>
    </row>
    <row r="849" spans="1:30" s="2" customFormat="1" ht="15.5" x14ac:dyDescent="0.35">
      <c r="A849" s="41" t="str">
        <f>IF(F849=" "," ",IF(OR('депозитный калькулятор'!$G$7="30/365",'депозитный калькулятор'!$G$7="30/360"),IF(AND(MONTH(F849)=2,DAY(F849)=DAY(EOMONTH(F849,0))),30-DAY(EOMONTH(F849,0)),IF(DAY(F849)=31,1," "))," "))</f>
        <v xml:space="preserve"> </v>
      </c>
      <c r="B849" s="130" t="str">
        <f t="shared" si="61"/>
        <v xml:space="preserve"> </v>
      </c>
      <c r="C849" s="130" t="str">
        <f>IF(OR(B849=0,B849=" ")," ",SUM($B$23:B849))</f>
        <v xml:space="preserve"> </v>
      </c>
      <c r="D849" s="62" t="str">
        <f>IF(D848=" "," ",IF(OR(F848='депозитный калькулятор'!$D$8,F848=" ")," ",D848+1))</f>
        <v xml:space="preserve"> </v>
      </c>
      <c r="E849" s="130" t="str">
        <f>IF(OR(F848='депозитный калькулятор'!$D$8,F848=" ")," ",IF(EOMONTH(F848,0)=F848,1,E848+1))</f>
        <v xml:space="preserve"> </v>
      </c>
      <c r="F849" s="64" t="str">
        <f>IF(F848=" "," ",IF(F848='депозитный калькулятор'!$D$8," ",F848+1))</f>
        <v xml:space="preserve"> </v>
      </c>
      <c r="G849" s="145" t="str">
        <f xml:space="preserve"> IF(F849&gt;'депозитный калькулятор'!$D$8," ",IF('депозитный калькулятор'!$G$13="есть",IF('депозитный калькулятор'!$G$14="есть",G848+IF(I848=" ",0,I848)-J849-K849+L849+M849-N849,G848+IF(I848=" ",0,I848)-J849-K849+M849-N849),IF('депозитный калькулятор'!$G$14="есть",G848-J849-K849+L849+M849-N849,G848-J849-K849+M849-N849)))</f>
        <v xml:space="preserve"> </v>
      </c>
      <c r="H849" s="133" t="str">
        <f>IF(F849&gt;'депозитный калькулятор'!$D$8," ",IF(AND(OR('депозитный калькулятор'!$G$7="30/365",'депозитный калькулятор'!$G$7="30/360"),AND(MONTH(F849)=2,EOMONTH(F849,0)=F849)),IF(DAY(F849)=28,3*G849*'депозитный калькулятор'!$G$8,2*G849*'депозитный калькулятор'!$G$8),IF(AND(OR('депозитный калькулятор'!$G$7="30/365",'депозитный калькулятор'!$G$7="30/360"),DAY(F849)=31)," ",IF(AND('депозитный калькулятор'!$G$7="факт/факт",MOD(YEAR(F849),4)=0),G849*'депозитный калькулятор'!$D$11/366,G849*'депозитный калькулятор'!$G$8))))</f>
        <v xml:space="preserve"> </v>
      </c>
      <c r="I849" s="134" t="str">
        <f ca="1">IF(F849=" "," ",IF('депозитный калькулятор'!$G$10="ежедневное",H849,IF(AND('депозитный калькулятор'!$G$10="еженедельное",WEEKDAY(F849,2)=7),SUM(OFFSET(H849,-6,0):H849),IF(AND('депозитный калькулятор'!$G$10="еженедельное",F849='депозитный калькулятор'!$D$8),SUM($H$23:H849)-SUM($I$23:I848),IF(AND('депозитный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недели",WEEKDAY(F849,2)=7),MIN(OFFSET(H849,-6,0):H849)*(COUNTIF(OFFSET(H849,-6,0):H849,"&gt;0")+SUMIF(OFFSET(A849,-WEEKDAY(F849,2),0):A849,"=2",OFFSET(A849,-WEEKDAY(F849,2),0):A849)),IF(AND('депозитный калькулятор'!$G$10="еженедельное, на минимальную сумму зафиксированную в течение недели",F849='депозитный калькулятор'!$D$8,WEEKDAY(F849,2)&lt;&gt;7),MIN(OFFSET(H849,-WEEKDAY(F849,2),0):H849)*(COUNTIF(OFFSET(H849,-WEEKDAY(F849,2)+1,0):H849,"&gt;0")+SUM(OFFSET(A849,-WEEKDAY(F849,2),0):A849)),IF(AND('депозитный калькулятор'!$G$10="ежемесячное (в конце месяца)",F849='депозитный калькулятор'!$D$8,EOMONTH(F849,0)&lt;&gt;F849),IF('депозитный калькулятор'!$F$1=1,$H$24,SUM($H$23:H849)-SUM($I$23:I848)),IF(AND('депозитный калькулятор'!$G$10="ежемесячное (в конце месяца)",EOMONTH(F849,0)=F849),SUM($H$23:H849)-SUM($I$23:I848),IF(AND('депозитный калькулятор'!$G$10="ежемесячное (по дням открытия вклада)",F849='депозитный калькулятор'!$D$8,DAY('депозитный калькулятор'!$D$7)&lt;&gt;DAY(F849)),IF('депозитный калькулятор'!$F$1=1,$H$24,SUM($H$23:H849)-SUM($I$23:I848)),IF(AND('депозитный калькулятор'!$G$10="ежемесячное (по дням открытия вклада)",DAY('депозитный калькулятор'!$D$7)=DAY(F849)),SUM($H$23:H849)-SUM($I$23:I848),IF(AND('депозитный калькулятор'!$G$10="ежемесячное, на минимальную сумму зафиксированную в течение месяца",F849='депозитный калькулятор'!$D$8,EOMONTH(F849,0)&lt;&gt;F849),IF('депозитный калькулятор'!$F$1=1,$H$24,IF(AND(OR('депозитный калькулятор'!$G$7="30/365",'депозитный калькулятор'!$G$7="30/360"),DAY(F849)=31),0,MIN(OFFSET(H849,-E849+1,0):H849)*(E849+SUMIF(OFFSET(A849,-E849+1,0):A849,"=2",OFFSET(A849,-E849+1,0):A849)))),IF(AND('депозитный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калькулятор'!$G$7="30/360"),DAY(EOMONTH(F849,0))=31),EOMONTH(F849,0)-1=F849,EOMONTH(F849,0)=F849)),IF(IF(AND(OR('депозитный калькулятор'!$G$7="30/365",'депозитный калькулятор'!$G$7="30/360"),DAY(EOMONTH($F$23,0))=31),F849=EOMONTH($F$23,0)-1,F849=EOMONTH($F$23,0)),MIN(OFFSET(H849,-(DAY(F849)-DAY($F$23)),0):H849)*E849,MIN(OFFSET(H849,-(DAY(F849)-1),0):H849)*IF(AND(OR('депозитный калькулятор'!$G$7="30/365",'депозитный калькулятор'!$G$7="30/360"),DAY(F849)&lt;30),30,DAY(F849))),IF(AND('депозитный калькулятор'!$G$10="ежемесячное, на средний остаток в течение месяца, при условии что остаток больше чем ограничение",F849='депозитный калькулятор'!$D$8,EOMONTH(F849,0)&lt;&gt;F849),IF('депозитный калькулятор'!$F$1=1,$H$24,SUM(OFFSET(Q849,-E849+1,0):Q849)),IF(AND('депозитный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калькулятор'!$G$7="30/360"),DAY(EOMONTH(F849,0))=31),EOMONTH(F849,0)-1=F849,EOMONTH(F849,0)=F849)),IF(IF(AND(OR('депозитный калькулятор'!$G$7="30/365",'депозитный калькулятор'!$G$7="30/360"),DAY(EOMONTH($F$24,0))=31),F849=EOMONTH($F$24,0)-1,F849=EOMONTH($F$24,0)),SUM(OFFSET(Q849,-E849+1,0):Q849),SUM(OFFSET(Q849,-E849+1,0):Q849)),IF('депозитный калькулятор'!$G$10="ежеквартальное",IF(F849&gt;'депозитный калькулятор'!$D$8," ",IF(AND(EOMONTH(F849,0)=F849,OR(MONTH(F849)=3,MONTH(F849)=6,MONTH(F849)=9,MONTH(F849)=12)),IF(EDATE(F849,-3)&lt;'депозитный калькулятор'!$D$7,SUM($H$23:H849),IF(MOD(YEAR(F849),4)=0,IF(AND(EOMONTH(F849,0)=F849,OR(MONTH(F849)=3,MONTH(F849)=6)),SUM(OFFSET(H849,-90,0):H849),IF(AND(EOMONTH(F849,0)=F849,OR(MONTH(F849)=9,MONTH(F849)=12)),SUM(OFFSET(H849,-91,0):H849))),IF(AND(EOMONTH(F849,0)=F849,MONTH(F849)=3),SUM(OFFSET(H849,-89,0):H849),IF(AND(EOMONTH(F849,0)=F849,MONTH(F849)=6),SUM(OFFSET(H849,-90,0):H849),IF(AND(EOMONTH(F849,0)=F849,OR(MONTH(F849)=9,MONTH(F849)=12)),SUM(OFFSET(H849,-91,0):H849)))))),IF(F849='депозитный калькулятор'!$D$8,SUM($H$23:H849)-SUM($I$23:I848),0))),IF('депозитный калькулятор'!$G$10="ежегодное",IF(F849&gt;'депозитный калькулятор'!$D$8," ",IF(F849='депозитный калькулятор'!$D$8,SUM($H$23:H849)-SUM($I$23:I848),IF(AND(EOMONTH(F849,0)=F849,MONTH(F849)=12),IF(MOD(YEAR(F848),4)=0,IF(F849-'депозитный калькулятор'!$D$7&lt;366,SUM($H$23:H849),SUM(OFFSET(H849,-365,0):H849)),IF(F849-'депозитный калькулятор'!$D$7&lt;365,SUM($H$23:H849),SUM(OFFSET(H849,-364,0):H849))),0))),IF(AND('депозитный калькулятор'!$G$10="в конце срока",'депозитный калькулятор'!$D$8=F849),SUM($H$23:H849),0))))))))))))))))))</f>
        <v xml:space="preserve"> </v>
      </c>
      <c r="J849" s="59" t="str">
        <f>IF(F849&gt;'депозитный калькулятор'!$D$8," ",IF('депозитный калькулятор'!$G$16="нет",0,IF(AND('депозитный калькулятор'!$G$17="разовая (в конце срока)",F849='депозитный калькулятор'!$D$8),'депозитный калькулятор'!$G$18,IF(AND('депозитный калькулятор'!$G$17="ежемесячная",EOMONTH(F848,0)=F848),'депозитный калькулятор'!$G$18,IF(AND('депозитный калькулятор'!$G$17="ежегодная",DAY(F848)=31,MONTH(F848)=12),'депозитный калькулятор'!$G$18,IF(AND('депозитный калькулятор'!$G$17="ежемесячная в зависимости от остатка",EOMONTH(F848,0)=F848,P848&gt;0),'депозитный калькулятор'!$G$18,IF(AND('депозитный калькулятор'!$G$17="ежегодная в зависимости от остатка",DAY(F848)=31,MONTH(F848)=12,P848&gt;0),'депозитный калькулятор'!$G$18,0)))))))</f>
        <v xml:space="preserve"> </v>
      </c>
      <c r="K849" s="135" t="str">
        <f>IF($F849=" "," ",IFERROR(VLOOKUP($F849,'депозитный калькулятор'!$B$26:$F$70,2,0),0))</f>
        <v xml:space="preserve"> </v>
      </c>
      <c r="L849" s="135" t="str">
        <f>IF($F849=" "," ",IFERROR(VLOOKUP($F849,'депозитный калькулятор'!$B$26:$F$70,3,0),0))</f>
        <v xml:space="preserve"> </v>
      </c>
      <c r="M849" s="135" t="str">
        <f>IF($F849=" "," ",IFERROR(VLOOKUP($F849,'депозитный калькулятор'!$B$26:$F$70,4,0),0))</f>
        <v xml:space="preserve"> </v>
      </c>
      <c r="N849" s="135" t="str">
        <f>IF($F849=" "," ",IFERROR(VLOOKUP($F849,'депозитный калькулятор'!$B$26:$F$70,5,0),0))</f>
        <v xml:space="preserve"> </v>
      </c>
      <c r="O849" s="146" t="str">
        <f>IF(F849&gt;'депозитный калькулятор'!$D$8," ",IF(F849='депозитный калькулятор'!$D$8,IF(AND($F$24='депозитный калькулятор'!$D$8,'депозитный калькулятор'!$G$13="нет"),-G849-IF(I849=" ",0,I849)-IF(AND(OR('депозитный калькулятор'!$G$7="30/365",'депозитный калькулятор'!$G$7="30/360"),'депозитный калькулятор'!$G$10="в начале срока"),I848,0)-L849+M849-N849,-G849-IF(I849=" ",0,I849)-L849+M849-N849),IF('депозитный калькулятор'!$G$13="есть",M849-N849+IF('депозитный калькулятор'!$G$14="есть",0,-L849),-IF(I849=" ",0,I849)-IF(AND(OR('депозитный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срока"),I848,0)+M849-N849+IF('депозитный калькулятор'!$G$14="есть",0,-L849))))</f>
        <v xml:space="preserve"> </v>
      </c>
      <c r="P849" s="147" t="str">
        <f>IF(F849&gt;'депозитный калькулятор'!$D$8," ",IF(EOMONTH(F848,0)=F848,0,IF(G849&gt;='депозитный калькулятор'!$G$19,P848,P848+1)))</f>
        <v xml:space="preserve"> </v>
      </c>
      <c r="Q849" s="138" t="str">
        <f>IF(F849=" "," ",IF(AND(OR('депозитный калькулятор'!$G$7="30/365",'депозитный калькулятор'!$G$7="30/360"),AND(MONTH(F849)=2,EOMONTH(F849,0)=F849)),IF(DAY(F849)=28,3,2),1)*IF(G849&gt;='депозитный калькулятор'!$G$11,IF(AND('депозитный калькулятор'!$G$7="факт/факт",MOD(YEAR(F849),4)=0),G849*'депозитный калькулятор'!$D$11/366,G849*'депозитный калькулятор'!$G$8),0))</f>
        <v xml:space="preserve"> </v>
      </c>
      <c r="S849" s="62" t="str">
        <f t="shared" ca="1" si="62"/>
        <v xml:space="preserve"> </v>
      </c>
      <c r="T849" s="149" t="str">
        <f ca="1">IF(S849=" "," ",IF('депозитный калькулятор'!$G$7="30/360",DAYS360(U848,IF(DAY(U849)=31,U849-1,U849))+IF(AND(MONTH(U849)=2,U849=EOMONTH(U849,0)),30-DAY(EOMONTH(U849,0)))+T848,VLOOKUP(S849,$C$22:$F$1023,2,0)))</f>
        <v xml:space="preserve"> </v>
      </c>
      <c r="U849" s="64" t="str">
        <f t="shared" ca="1" si="60"/>
        <v xml:space="preserve"> </v>
      </c>
      <c r="V849" s="150" t="str">
        <f t="shared" ca="1" si="63"/>
        <v xml:space="preserve"> </v>
      </c>
      <c r="W849" s="62" t="str">
        <f t="shared" ca="1" si="64"/>
        <v xml:space="preserve"> </v>
      </c>
      <c r="X849" s="141" t="str">
        <f ca="1">IF(S849=" "," ",IFERROR(VLOOKUP(U849,$F$23:$N$1023,7)+VLOOKUP(U849,$F$23:$N$1023,9)+IF(AND('депозитный калькулятор'!$G$13="нет",U849&lt;&gt;'депозитный калькулятор'!$D$8),VLOOKUP(U849,$F$23:$N$1023,4),0),0)+IF(U849='депозитный калькулятор'!$D$8,VLOOKUP(U849,$F$23:$N$1023,2)+VLOOKUP(U849,$F$23:$N$1023,4),0))</f>
        <v xml:space="preserve"> </v>
      </c>
      <c r="Y849" s="142" t="str">
        <f ca="1">IF(S849=" "," ",W849/(1+'депозитный калькулятор'!$K$8)^(T849/IF('депозитный калькулятор'!$G$7="30/360",360,365)))</f>
        <v xml:space="preserve"> </v>
      </c>
      <c r="Z849" s="142" t="str">
        <f ca="1">IF(S849=" "," ",X849/(1+'депозитный калькулятор'!$K$8)^(T849/IF('депозитный калькулятор'!$G$7="30/360",360,365)))</f>
        <v xml:space="preserve"> </v>
      </c>
      <c r="AA849" s="151"/>
      <c r="AB849" s="151"/>
      <c r="AC849" s="155"/>
      <c r="AD849" s="155"/>
    </row>
    <row r="850" spans="1:30" s="2" customFormat="1" ht="15.5" x14ac:dyDescent="0.35">
      <c r="A850" s="41" t="str">
        <f>IF(F850=" "," ",IF(OR('депозитный калькулятор'!$G$7="30/365",'депозитный калькулятор'!$G$7="30/360"),IF(AND(MONTH(F850)=2,DAY(F850)=DAY(EOMONTH(F850,0))),30-DAY(EOMONTH(F850,0)),IF(DAY(F850)=31,1," "))," "))</f>
        <v xml:space="preserve"> </v>
      </c>
      <c r="B850" s="130" t="str">
        <f t="shared" si="61"/>
        <v xml:space="preserve"> </v>
      </c>
      <c r="C850" s="130" t="str">
        <f>IF(OR(B850=0,B850=" ")," ",SUM($B$23:B850))</f>
        <v xml:space="preserve"> </v>
      </c>
      <c r="D850" s="62" t="str">
        <f>IF(D849=" "," ",IF(OR(F849='депозитный калькулятор'!$D$8,F849=" ")," ",D849+1))</f>
        <v xml:space="preserve"> </v>
      </c>
      <c r="E850" s="130" t="str">
        <f>IF(OR(F849='депозитный калькулятор'!$D$8,F849=" ")," ",IF(EOMONTH(F849,0)=F849,1,E849+1))</f>
        <v xml:space="preserve"> </v>
      </c>
      <c r="F850" s="64" t="str">
        <f>IF(F849=" "," ",IF(F849='депозитный калькулятор'!$D$8," ",F849+1))</f>
        <v xml:space="preserve"> </v>
      </c>
      <c r="G850" s="145" t="str">
        <f xml:space="preserve"> IF(F850&gt;'депозитный калькулятор'!$D$8," ",IF('депозитный калькулятор'!$G$13="есть",IF('депозитный калькулятор'!$G$14="есть",G849+IF(I849=" ",0,I849)-J850-K850+L850+M850-N850,G849+IF(I849=" ",0,I849)-J850-K850+M850-N850),IF('депозитный калькулятор'!$G$14="есть",G849-J850-K850+L850+M850-N850,G849-J850-K850+M850-N850)))</f>
        <v xml:space="preserve"> </v>
      </c>
      <c r="H850" s="133" t="str">
        <f>IF(F850&gt;'депозитный калькулятор'!$D$8," ",IF(AND(OR('депозитный калькулятор'!$G$7="30/365",'депозитный калькулятор'!$G$7="30/360"),AND(MONTH(F850)=2,EOMONTH(F850,0)=F850)),IF(DAY(F850)=28,3*G850*'депозитный калькулятор'!$G$8,2*G850*'депозитный калькулятор'!$G$8),IF(AND(OR('депозитный калькулятор'!$G$7="30/365",'депозитный калькулятор'!$G$7="30/360"),DAY(F850)=31)," ",IF(AND('депозитный калькулятор'!$G$7="факт/факт",MOD(YEAR(F850),4)=0),G850*'депозитный калькулятор'!$D$11/366,G850*'депозитный калькулятор'!$G$8))))</f>
        <v xml:space="preserve"> </v>
      </c>
      <c r="I850" s="134" t="str">
        <f ca="1">IF(F850=" "," ",IF('депозитный калькулятор'!$G$10="ежедневное",H850,IF(AND('депозитный калькулятор'!$G$10="еженедельное",WEEKDAY(F850,2)=7),SUM(OFFSET(H850,-6,0):H850),IF(AND('депозитный калькулятор'!$G$10="еженедельное",F850='депозитный калькулятор'!$D$8),SUM($H$23:H850)-SUM($I$23:I849),IF(AND('депозитный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недели",WEEKDAY(F850,2)=7),MIN(OFFSET(H850,-6,0):H850)*(COUNTIF(OFFSET(H850,-6,0):H850,"&gt;0")+SUMIF(OFFSET(A850,-WEEKDAY(F850,2),0):A850,"=2",OFFSET(A850,-WEEKDAY(F850,2),0):A850)),IF(AND('депозитный калькулятор'!$G$10="еженедельное, на минимальную сумму зафиксированную в течение недели",F850='депозитный калькулятор'!$D$8,WEEKDAY(F850,2)&lt;&gt;7),MIN(OFFSET(H850,-WEEKDAY(F850,2),0):H850)*(COUNTIF(OFFSET(H850,-WEEKDAY(F850,2)+1,0):H850,"&gt;0")+SUM(OFFSET(A850,-WEEKDAY(F850,2),0):A850)),IF(AND('депозитный калькулятор'!$G$10="ежемесячное (в конце месяца)",F850='депозитный калькулятор'!$D$8,EOMONTH(F850,0)&lt;&gt;F850),IF('депозитный калькулятор'!$F$1=1,$H$24,SUM($H$23:H850)-SUM($I$23:I849)),IF(AND('депозитный калькулятор'!$G$10="ежемесячное (в конце месяца)",EOMONTH(F850,0)=F850),SUM($H$23:H850)-SUM($I$23:I849),IF(AND('депозитный калькулятор'!$G$10="ежемесячное (по дням открытия вклада)",F850='депозитный калькулятор'!$D$8,DAY('депозитный калькулятор'!$D$7)&lt;&gt;DAY(F850)),IF('депозитный калькулятор'!$F$1=1,$H$24,SUM($H$23:H850)-SUM($I$23:I849)),IF(AND('депозитный калькулятор'!$G$10="ежемесячное (по дням открытия вклада)",DAY('депозитный калькулятор'!$D$7)=DAY(F850)),SUM($H$23:H850)-SUM($I$23:I849),IF(AND('депозитный калькулятор'!$G$10="ежемесячное, на минимальную сумму зафиксированную в течение месяца",F850='депозитный калькулятор'!$D$8,EOMONTH(F850,0)&lt;&gt;F850),IF('депозитный калькулятор'!$F$1=1,$H$24,IF(AND(OR('депозитный калькулятор'!$G$7="30/365",'депозитный калькулятор'!$G$7="30/360"),DAY(F850)=31),0,MIN(OFFSET(H850,-E850+1,0):H850)*(E850+SUMIF(OFFSET(A850,-E850+1,0):A850,"=2",OFFSET(A850,-E850+1,0):A850)))),IF(AND('депозитный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калькулятор'!$G$7="30/360"),DAY(EOMONTH(F850,0))=31),EOMONTH(F850,0)-1=F850,EOMONTH(F850,0)=F850)),IF(IF(AND(OR('депозитный калькулятор'!$G$7="30/365",'депозитный калькулятор'!$G$7="30/360"),DAY(EOMONTH($F$23,0))=31),F850=EOMONTH($F$23,0)-1,F850=EOMONTH($F$23,0)),MIN(OFFSET(H850,-(DAY(F850)-DAY($F$23)),0):H850)*E850,MIN(OFFSET(H850,-(DAY(F850)-1),0):H850)*IF(AND(OR('депозитный калькулятор'!$G$7="30/365",'депозитный калькулятор'!$G$7="30/360"),DAY(F850)&lt;30),30,DAY(F850))),IF(AND('депозитный калькулятор'!$G$10="ежемесячное, на средний остаток в течение месяца, при условии что остаток больше чем ограничение",F850='депозитный калькулятор'!$D$8,EOMONTH(F850,0)&lt;&gt;F850),IF('депозитный калькулятор'!$F$1=1,$H$24,SUM(OFFSET(Q850,-E850+1,0):Q850)),IF(AND('депозитный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калькулятор'!$G$7="30/360"),DAY(EOMONTH(F850,0))=31),EOMONTH(F850,0)-1=F850,EOMONTH(F850,0)=F850)),IF(IF(AND(OR('депозитный калькулятор'!$G$7="30/365",'депозитный калькулятор'!$G$7="30/360"),DAY(EOMONTH($F$24,0))=31),F850=EOMONTH($F$24,0)-1,F850=EOMONTH($F$24,0)),SUM(OFFSET(Q850,-E850+1,0):Q850),SUM(OFFSET(Q850,-E850+1,0):Q850)),IF('депозитный калькулятор'!$G$10="ежеквартальное",IF(F850&gt;'депозитный калькулятор'!$D$8," ",IF(AND(EOMONTH(F850,0)=F850,OR(MONTH(F850)=3,MONTH(F850)=6,MONTH(F850)=9,MONTH(F850)=12)),IF(EDATE(F850,-3)&lt;'депозитный калькулятор'!$D$7,SUM($H$23:H850),IF(MOD(YEAR(F850),4)=0,IF(AND(EOMONTH(F850,0)=F850,OR(MONTH(F850)=3,MONTH(F850)=6)),SUM(OFFSET(H850,-90,0):H850),IF(AND(EOMONTH(F850,0)=F850,OR(MONTH(F850)=9,MONTH(F850)=12)),SUM(OFFSET(H850,-91,0):H850))),IF(AND(EOMONTH(F850,0)=F850,MONTH(F850)=3),SUM(OFFSET(H850,-89,0):H850),IF(AND(EOMONTH(F850,0)=F850,MONTH(F850)=6),SUM(OFFSET(H850,-90,0):H850),IF(AND(EOMONTH(F850,0)=F850,OR(MONTH(F850)=9,MONTH(F850)=12)),SUM(OFFSET(H850,-91,0):H850)))))),IF(F850='депозитный калькулятор'!$D$8,SUM($H$23:H850)-SUM($I$23:I849),0))),IF('депозитный калькулятор'!$G$10="ежегодное",IF(F850&gt;'депозитный калькулятор'!$D$8," ",IF(F850='депозитный калькулятор'!$D$8,SUM($H$23:H850)-SUM($I$23:I849),IF(AND(EOMONTH(F850,0)=F850,MONTH(F850)=12),IF(MOD(YEAR(F849),4)=0,IF(F850-'депозитный калькулятор'!$D$7&lt;366,SUM($H$23:H850),SUM(OFFSET(H850,-365,0):H850)),IF(F850-'депозитный калькулятор'!$D$7&lt;365,SUM($H$23:H850),SUM(OFFSET(H850,-364,0):H850))),0))),IF(AND('депозитный калькулятор'!$G$10="в конце срока",'депозитный калькулятор'!$D$8=F850),SUM($H$23:H850),0))))))))))))))))))</f>
        <v xml:space="preserve"> </v>
      </c>
      <c r="J850" s="59" t="str">
        <f>IF(F850&gt;'депозитный калькулятор'!$D$8," ",IF('депозитный калькулятор'!$G$16="нет",0,IF(AND('депозитный калькулятор'!$G$17="разовая (в конце срока)",F850='депозитный калькулятор'!$D$8),'депозитный калькулятор'!$G$18,IF(AND('депозитный калькулятор'!$G$17="ежемесячная",EOMONTH(F849,0)=F849),'депозитный калькулятор'!$G$18,IF(AND('депозитный калькулятор'!$G$17="ежегодная",DAY(F849)=31,MONTH(F849)=12),'депозитный калькулятор'!$G$18,IF(AND('депозитный калькулятор'!$G$17="ежемесячная в зависимости от остатка",EOMONTH(F849,0)=F849,P849&gt;0),'депозитный калькулятор'!$G$18,IF(AND('депозитный калькулятор'!$G$17="ежегодная в зависимости от остатка",DAY(F849)=31,MONTH(F849)=12,P849&gt;0),'депозитный калькулятор'!$G$18,0)))))))</f>
        <v xml:space="preserve"> </v>
      </c>
      <c r="K850" s="135" t="str">
        <f>IF($F850=" "," ",IFERROR(VLOOKUP($F850,'депозитный калькулятор'!$B$26:$F$70,2,0),0))</f>
        <v xml:space="preserve"> </v>
      </c>
      <c r="L850" s="135" t="str">
        <f>IF($F850=" "," ",IFERROR(VLOOKUP($F850,'депозитный калькулятор'!$B$26:$F$70,3,0),0))</f>
        <v xml:space="preserve"> </v>
      </c>
      <c r="M850" s="135" t="str">
        <f>IF($F850=" "," ",IFERROR(VLOOKUP($F850,'депозитный калькулятор'!$B$26:$F$70,4,0),0))</f>
        <v xml:space="preserve"> </v>
      </c>
      <c r="N850" s="135" t="str">
        <f>IF($F850=" "," ",IFERROR(VLOOKUP($F850,'депозитный калькулятор'!$B$26:$F$70,5,0),0))</f>
        <v xml:space="preserve"> </v>
      </c>
      <c r="O850" s="146" t="str">
        <f>IF(F850&gt;'депозитный калькулятор'!$D$8," ",IF(F850='депозитный калькулятор'!$D$8,IF(AND($F$24='депозитный калькулятор'!$D$8,'депозитный калькулятор'!$G$13="нет"),-G850-IF(I850=" ",0,I850)-IF(AND(OR('депозитный калькулятор'!$G$7="30/365",'депозитный калькулятор'!$G$7="30/360"),'депозитный калькулятор'!$G$10="в начале срока"),I849,0)-L850+M850-N850,-G850-IF(I850=" ",0,I850)-L850+M850-N850),IF('депозитный калькулятор'!$G$13="есть",M850-N850+IF('депозитный калькулятор'!$G$14="есть",0,-L850),-IF(I850=" ",0,I850)-IF(AND(OR('депозитный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срока"),I849,0)+M850-N850+IF('депозитный калькулятор'!$G$14="есть",0,-L850))))</f>
        <v xml:space="preserve"> </v>
      </c>
      <c r="P850" s="147" t="str">
        <f>IF(F850&gt;'депозитный калькулятор'!$D$8," ",IF(EOMONTH(F849,0)=F849,0,IF(G850&gt;='депозитный калькулятор'!$G$19,P849,P849+1)))</f>
        <v xml:space="preserve"> </v>
      </c>
      <c r="Q850" s="138" t="str">
        <f>IF(F850=" "," ",IF(AND(OR('депозитный калькулятор'!$G$7="30/365",'депозитный калькулятор'!$G$7="30/360"),AND(MONTH(F850)=2,EOMONTH(F850,0)=F850)),IF(DAY(F850)=28,3,2),1)*IF(G850&gt;='депозитный калькулятор'!$G$11,IF(AND('депозитный калькулятор'!$G$7="факт/факт",MOD(YEAR(F850),4)=0),G850*'депозитный калькулятор'!$D$11/366,G850*'депозитный калькулятор'!$G$8),0))</f>
        <v xml:space="preserve"> </v>
      </c>
      <c r="S850" s="62" t="str">
        <f t="shared" ca="1" si="62"/>
        <v xml:space="preserve"> </v>
      </c>
      <c r="T850" s="149" t="str">
        <f ca="1">IF(S850=" "," ",IF('депозитный калькулятор'!$G$7="30/360",DAYS360(U849,IF(DAY(U850)=31,U850-1,U850))+IF(AND(MONTH(U850)=2,U850=EOMONTH(U850,0)),30-DAY(EOMONTH(U850,0)))+T849,VLOOKUP(S850,$C$22:$F$1023,2,0)))</f>
        <v xml:space="preserve"> </v>
      </c>
      <c r="U850" s="64" t="str">
        <f t="shared" ca="1" si="60"/>
        <v xml:space="preserve"> </v>
      </c>
      <c r="V850" s="150" t="str">
        <f t="shared" ca="1" si="63"/>
        <v xml:space="preserve"> </v>
      </c>
      <c r="W850" s="62" t="str">
        <f t="shared" ca="1" si="64"/>
        <v xml:space="preserve"> </v>
      </c>
      <c r="X850" s="141" t="str">
        <f ca="1">IF(S850=" "," ",IFERROR(VLOOKUP(U850,$F$23:$N$1023,7)+VLOOKUP(U850,$F$23:$N$1023,9)+IF(AND('депозитный калькулятор'!$G$13="нет",U850&lt;&gt;'депозитный калькулятор'!$D$8),VLOOKUP(U850,$F$23:$N$1023,4),0),0)+IF(U850='депозитный калькулятор'!$D$8,VLOOKUP(U850,$F$23:$N$1023,2)+VLOOKUP(U850,$F$23:$N$1023,4),0))</f>
        <v xml:space="preserve"> </v>
      </c>
      <c r="Y850" s="142" t="str">
        <f ca="1">IF(S850=" "," ",W850/(1+'депозитный калькулятор'!$K$8)^(T850/IF('депозитный калькулятор'!$G$7="30/360",360,365)))</f>
        <v xml:space="preserve"> </v>
      </c>
      <c r="Z850" s="142" t="str">
        <f ca="1">IF(S850=" "," ",X850/(1+'депозитный калькулятор'!$K$8)^(T850/IF('депозитный калькулятор'!$G$7="30/360",360,365)))</f>
        <v xml:space="preserve"> </v>
      </c>
      <c r="AA850" s="151"/>
      <c r="AB850" s="151"/>
      <c r="AC850" s="155"/>
      <c r="AD850" s="155"/>
    </row>
    <row r="851" spans="1:30" s="2" customFormat="1" ht="15.5" x14ac:dyDescent="0.35">
      <c r="A851" s="41" t="str">
        <f>IF(F851=" "," ",IF(OR('депозитный калькулятор'!$G$7="30/365",'депозитный калькулятор'!$G$7="30/360"),IF(AND(MONTH(F851)=2,DAY(F851)=DAY(EOMONTH(F851,0))),30-DAY(EOMONTH(F851,0)),IF(DAY(F851)=31,1," "))," "))</f>
        <v xml:space="preserve"> </v>
      </c>
      <c r="B851" s="130" t="str">
        <f t="shared" si="61"/>
        <v xml:space="preserve"> </v>
      </c>
      <c r="C851" s="130" t="str">
        <f>IF(OR(B851=0,B851=" ")," ",SUM($B$23:B851))</f>
        <v xml:space="preserve"> </v>
      </c>
      <c r="D851" s="62" t="str">
        <f>IF(D850=" "," ",IF(OR(F850='депозитный калькулятор'!$D$8,F850=" ")," ",D850+1))</f>
        <v xml:space="preserve"> </v>
      </c>
      <c r="E851" s="130" t="str">
        <f>IF(OR(F850='депозитный калькулятор'!$D$8,F850=" ")," ",IF(EOMONTH(F850,0)=F850,1,E850+1))</f>
        <v xml:space="preserve"> </v>
      </c>
      <c r="F851" s="64" t="str">
        <f>IF(F850=" "," ",IF(F850='депозитный калькулятор'!$D$8," ",F850+1))</f>
        <v xml:space="preserve"> </v>
      </c>
      <c r="G851" s="145" t="str">
        <f xml:space="preserve"> IF(F851&gt;'депозитный калькулятор'!$D$8," ",IF('депозитный калькулятор'!$G$13="есть",IF('депозитный калькулятор'!$G$14="есть",G850+IF(I850=" ",0,I850)-J851-K851+L851+M851-N851,G850+IF(I850=" ",0,I850)-J851-K851+M851-N851),IF('депозитный калькулятор'!$G$14="есть",G850-J851-K851+L851+M851-N851,G850-J851-K851+M851-N851)))</f>
        <v xml:space="preserve"> </v>
      </c>
      <c r="H851" s="133" t="str">
        <f>IF(F851&gt;'депозитный калькулятор'!$D$8," ",IF(AND(OR('депозитный калькулятор'!$G$7="30/365",'депозитный калькулятор'!$G$7="30/360"),AND(MONTH(F851)=2,EOMONTH(F851,0)=F851)),IF(DAY(F851)=28,3*G851*'депозитный калькулятор'!$G$8,2*G851*'депозитный калькулятор'!$G$8),IF(AND(OR('депозитный калькулятор'!$G$7="30/365",'депозитный калькулятор'!$G$7="30/360"),DAY(F851)=31)," ",IF(AND('депозитный калькулятор'!$G$7="факт/факт",MOD(YEAR(F851),4)=0),G851*'депозитный калькулятор'!$D$11/366,G851*'депозитный калькулятор'!$G$8))))</f>
        <v xml:space="preserve"> </v>
      </c>
      <c r="I851" s="134" t="str">
        <f ca="1">IF(F851=" "," ",IF('депозитный калькулятор'!$G$10="ежедневное",H851,IF(AND('депозитный калькулятор'!$G$10="еженедельное",WEEKDAY(F851,2)=7),SUM(OFFSET(H851,-6,0):H851),IF(AND('депозитный калькулятор'!$G$10="еженедельное",F851='депозитный калькулятор'!$D$8),SUM($H$23:H851)-SUM($I$23:I850),IF(AND('депозитный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недели",WEEKDAY(F851,2)=7),MIN(OFFSET(H851,-6,0):H851)*(COUNTIF(OFFSET(H851,-6,0):H851,"&gt;0")+SUMIF(OFFSET(A851,-WEEKDAY(F851,2),0):A851,"=2",OFFSET(A851,-WEEKDAY(F851,2),0):A851)),IF(AND('депозитный калькулятор'!$G$10="еженедельное, на минимальную сумму зафиксированную в течение недели",F851='депозитный калькулятор'!$D$8,WEEKDAY(F851,2)&lt;&gt;7),MIN(OFFSET(H851,-WEEKDAY(F851,2),0):H851)*(COUNTIF(OFFSET(H851,-WEEKDAY(F851,2)+1,0):H851,"&gt;0")+SUM(OFFSET(A851,-WEEKDAY(F851,2),0):A851)),IF(AND('депозитный калькулятор'!$G$10="ежемесячное (в конце месяца)",F851='депозитный калькулятор'!$D$8,EOMONTH(F851,0)&lt;&gt;F851),IF('депозитный калькулятор'!$F$1=1,$H$24,SUM($H$23:H851)-SUM($I$23:I850)),IF(AND('депозитный калькулятор'!$G$10="ежемесячное (в конце месяца)",EOMONTH(F851,0)=F851),SUM($H$23:H851)-SUM($I$23:I850),IF(AND('депозитный калькулятор'!$G$10="ежемесячное (по дням открытия вклада)",F851='депозитный калькулятор'!$D$8,DAY('депозитный калькулятор'!$D$7)&lt;&gt;DAY(F851)),IF('депозитный калькулятор'!$F$1=1,$H$24,SUM($H$23:H851)-SUM($I$23:I850)),IF(AND('депозитный калькулятор'!$G$10="ежемесячное (по дням открытия вклада)",DAY('депозитный калькулятор'!$D$7)=DAY(F851)),SUM($H$23:H851)-SUM($I$23:I850),IF(AND('депозитный калькулятор'!$G$10="ежемесячное, на минимальную сумму зафиксированную в течение месяца",F851='депозитный калькулятор'!$D$8,EOMONTH(F851,0)&lt;&gt;F851),IF('депозитный калькулятор'!$F$1=1,$H$24,IF(AND(OR('депозитный калькулятор'!$G$7="30/365",'депозитный калькулятор'!$G$7="30/360"),DAY(F851)=31),0,MIN(OFFSET(H851,-E851+1,0):H851)*(E851+SUMIF(OFFSET(A851,-E851+1,0):A851,"=2",OFFSET(A851,-E851+1,0):A851)))),IF(AND('депозитный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калькулятор'!$G$7="30/360"),DAY(EOMONTH(F851,0))=31),EOMONTH(F851,0)-1=F851,EOMONTH(F851,0)=F851)),IF(IF(AND(OR('депозитный калькулятор'!$G$7="30/365",'депозитный калькулятор'!$G$7="30/360"),DAY(EOMONTH($F$23,0))=31),F851=EOMONTH($F$23,0)-1,F851=EOMONTH($F$23,0)),MIN(OFFSET(H851,-(DAY(F851)-DAY($F$23)),0):H851)*E851,MIN(OFFSET(H851,-(DAY(F851)-1),0):H851)*IF(AND(OR('депозитный калькулятор'!$G$7="30/365",'депозитный калькулятор'!$G$7="30/360"),DAY(F851)&lt;30),30,DAY(F851))),IF(AND('депозитный калькулятор'!$G$10="ежемесячное, на средний остаток в течение месяца, при условии что остаток больше чем ограничение",F851='депозитный калькулятор'!$D$8,EOMONTH(F851,0)&lt;&gt;F851),IF('депозитный калькулятор'!$F$1=1,$H$24,SUM(OFFSET(Q851,-E851+1,0):Q851)),IF(AND('депозитный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калькулятор'!$G$7="30/360"),DAY(EOMONTH(F851,0))=31),EOMONTH(F851,0)-1=F851,EOMONTH(F851,0)=F851)),IF(IF(AND(OR('депозитный калькулятор'!$G$7="30/365",'депозитный калькулятор'!$G$7="30/360"),DAY(EOMONTH($F$24,0))=31),F851=EOMONTH($F$24,0)-1,F851=EOMONTH($F$24,0)),SUM(OFFSET(Q851,-E851+1,0):Q851),SUM(OFFSET(Q851,-E851+1,0):Q851)),IF('депозитный калькулятор'!$G$10="ежеквартальное",IF(F851&gt;'депозитный калькулятор'!$D$8," ",IF(AND(EOMONTH(F851,0)=F851,OR(MONTH(F851)=3,MONTH(F851)=6,MONTH(F851)=9,MONTH(F851)=12)),IF(EDATE(F851,-3)&lt;'депозитный калькулятор'!$D$7,SUM($H$23:H851),IF(MOD(YEAR(F851),4)=0,IF(AND(EOMONTH(F851,0)=F851,OR(MONTH(F851)=3,MONTH(F851)=6)),SUM(OFFSET(H851,-90,0):H851),IF(AND(EOMONTH(F851,0)=F851,OR(MONTH(F851)=9,MONTH(F851)=12)),SUM(OFFSET(H851,-91,0):H851))),IF(AND(EOMONTH(F851,0)=F851,MONTH(F851)=3),SUM(OFFSET(H851,-89,0):H851),IF(AND(EOMONTH(F851,0)=F851,MONTH(F851)=6),SUM(OFFSET(H851,-90,0):H851),IF(AND(EOMONTH(F851,0)=F851,OR(MONTH(F851)=9,MONTH(F851)=12)),SUM(OFFSET(H851,-91,0):H851)))))),IF(F851='депозитный калькулятор'!$D$8,SUM($H$23:H851)-SUM($I$23:I850),0))),IF('депозитный калькулятор'!$G$10="ежегодное",IF(F851&gt;'депозитный калькулятор'!$D$8," ",IF(F851='депозитный калькулятор'!$D$8,SUM($H$23:H851)-SUM($I$23:I850),IF(AND(EOMONTH(F851,0)=F851,MONTH(F851)=12),IF(MOD(YEAR(F850),4)=0,IF(F851-'депозитный калькулятор'!$D$7&lt;366,SUM($H$23:H851),SUM(OFFSET(H851,-365,0):H851)),IF(F851-'депозитный калькулятор'!$D$7&lt;365,SUM($H$23:H851),SUM(OFFSET(H851,-364,0):H851))),0))),IF(AND('депозитный калькулятор'!$G$10="в конце срока",'депозитный калькулятор'!$D$8=F851),SUM($H$23:H851),0))))))))))))))))))</f>
        <v xml:space="preserve"> </v>
      </c>
      <c r="J851" s="59" t="str">
        <f>IF(F851&gt;'депозитный калькулятор'!$D$8," ",IF('депозитный калькулятор'!$G$16="нет",0,IF(AND('депозитный калькулятор'!$G$17="разовая (в конце срока)",F851='депозитный калькулятор'!$D$8),'депозитный калькулятор'!$G$18,IF(AND('депозитный калькулятор'!$G$17="ежемесячная",EOMONTH(F850,0)=F850),'депозитный калькулятор'!$G$18,IF(AND('депозитный калькулятор'!$G$17="ежегодная",DAY(F850)=31,MONTH(F850)=12),'депозитный калькулятор'!$G$18,IF(AND('депозитный калькулятор'!$G$17="ежемесячная в зависимости от остатка",EOMONTH(F850,0)=F850,P850&gt;0),'депозитный калькулятор'!$G$18,IF(AND('депозитный калькулятор'!$G$17="ежегодная в зависимости от остатка",DAY(F850)=31,MONTH(F850)=12,P850&gt;0),'депозитный калькулятор'!$G$18,0)))))))</f>
        <v xml:space="preserve"> </v>
      </c>
      <c r="K851" s="135" t="str">
        <f>IF($F851=" "," ",IFERROR(VLOOKUP($F851,'депозитный калькулятор'!$B$26:$F$70,2,0),0))</f>
        <v xml:space="preserve"> </v>
      </c>
      <c r="L851" s="135" t="str">
        <f>IF($F851=" "," ",IFERROR(VLOOKUP($F851,'депозитный калькулятор'!$B$26:$F$70,3,0),0))</f>
        <v xml:space="preserve"> </v>
      </c>
      <c r="M851" s="135" t="str">
        <f>IF($F851=" "," ",IFERROR(VLOOKUP($F851,'депозитный калькулятор'!$B$26:$F$70,4,0),0))</f>
        <v xml:space="preserve"> </v>
      </c>
      <c r="N851" s="135" t="str">
        <f>IF($F851=" "," ",IFERROR(VLOOKUP($F851,'депозитный калькулятор'!$B$26:$F$70,5,0),0))</f>
        <v xml:space="preserve"> </v>
      </c>
      <c r="O851" s="146" t="str">
        <f>IF(F851&gt;'депозитный калькулятор'!$D$8," ",IF(F851='депозитный калькулятор'!$D$8,IF(AND($F$24='депозитный калькулятор'!$D$8,'депозитный калькулятор'!$G$13="нет"),-G851-IF(I851=" ",0,I851)-IF(AND(OR('депозитный калькулятор'!$G$7="30/365",'депозитный калькулятор'!$G$7="30/360"),'депозитный калькулятор'!$G$10="в начале срока"),I850,0)-L851+M851-N851,-G851-IF(I851=" ",0,I851)-L851+M851-N851),IF('депозитный калькулятор'!$G$13="есть",M851-N851+IF('депозитный калькулятор'!$G$14="есть",0,-L851),-IF(I851=" ",0,I851)-IF(AND(OR('депозитный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срока"),I850,0)+M851-N851+IF('депозитный калькулятор'!$G$14="есть",0,-L851))))</f>
        <v xml:space="preserve"> </v>
      </c>
      <c r="P851" s="147" t="str">
        <f>IF(F851&gt;'депозитный калькулятор'!$D$8," ",IF(EOMONTH(F850,0)=F850,0,IF(G851&gt;='депозитный калькулятор'!$G$19,P850,P850+1)))</f>
        <v xml:space="preserve"> </v>
      </c>
      <c r="Q851" s="138" t="str">
        <f>IF(F851=" "," ",IF(AND(OR('депозитный калькулятор'!$G$7="30/365",'депозитный калькулятор'!$G$7="30/360"),AND(MONTH(F851)=2,EOMONTH(F851,0)=F851)),IF(DAY(F851)=28,3,2),1)*IF(G851&gt;='депозитный калькулятор'!$G$11,IF(AND('депозитный калькулятор'!$G$7="факт/факт",MOD(YEAR(F851),4)=0),G851*'депозитный калькулятор'!$D$11/366,G851*'депозитный калькулятор'!$G$8),0))</f>
        <v xml:space="preserve"> </v>
      </c>
      <c r="S851" s="62" t="str">
        <f t="shared" ca="1" si="62"/>
        <v xml:space="preserve"> </v>
      </c>
      <c r="T851" s="149" t="str">
        <f ca="1">IF(S851=" "," ",IF('депозитный калькулятор'!$G$7="30/360",DAYS360(U850,IF(DAY(U851)=31,U851-1,U851))+IF(AND(MONTH(U851)=2,U851=EOMONTH(U851,0)),30-DAY(EOMONTH(U851,0)))+T850,VLOOKUP(S851,$C$22:$F$1023,2,0)))</f>
        <v xml:space="preserve"> </v>
      </c>
      <c r="U851" s="64" t="str">
        <f t="shared" ca="1" si="60"/>
        <v xml:space="preserve"> </v>
      </c>
      <c r="V851" s="150" t="str">
        <f t="shared" ca="1" si="63"/>
        <v xml:space="preserve"> </v>
      </c>
      <c r="W851" s="62" t="str">
        <f t="shared" ca="1" si="64"/>
        <v xml:space="preserve"> </v>
      </c>
      <c r="X851" s="141" t="str">
        <f ca="1">IF(S851=" "," ",IFERROR(VLOOKUP(U851,$F$23:$N$1023,7)+VLOOKUP(U851,$F$23:$N$1023,9)+IF(AND('депозитный калькулятор'!$G$13="нет",U851&lt;&gt;'депозитный калькулятор'!$D$8),VLOOKUP(U851,$F$23:$N$1023,4),0),0)+IF(U851='депозитный калькулятор'!$D$8,VLOOKUP(U851,$F$23:$N$1023,2)+VLOOKUP(U851,$F$23:$N$1023,4),0))</f>
        <v xml:space="preserve"> </v>
      </c>
      <c r="Y851" s="142" t="str">
        <f ca="1">IF(S851=" "," ",W851/(1+'депозитный калькулятор'!$K$8)^(T851/IF('депозитный калькулятор'!$G$7="30/360",360,365)))</f>
        <v xml:space="preserve"> </v>
      </c>
      <c r="Z851" s="142" t="str">
        <f ca="1">IF(S851=" "," ",X851/(1+'депозитный калькулятор'!$K$8)^(T851/IF('депозитный калькулятор'!$G$7="30/360",360,365)))</f>
        <v xml:space="preserve"> </v>
      </c>
      <c r="AA851" s="151"/>
      <c r="AB851" s="151"/>
      <c r="AC851" s="155"/>
      <c r="AD851" s="155"/>
    </row>
    <row r="852" spans="1:30" s="2" customFormat="1" ht="15.5" x14ac:dyDescent="0.35">
      <c r="A852" s="41" t="str">
        <f>IF(F852=" "," ",IF(OR('депозитный калькулятор'!$G$7="30/365",'депозитный калькулятор'!$G$7="30/360"),IF(AND(MONTH(F852)=2,DAY(F852)=DAY(EOMONTH(F852,0))),30-DAY(EOMONTH(F852,0)),IF(DAY(F852)=31,1," "))," "))</f>
        <v xml:space="preserve"> </v>
      </c>
      <c r="B852" s="130" t="str">
        <f t="shared" si="61"/>
        <v xml:space="preserve"> </v>
      </c>
      <c r="C852" s="130" t="str">
        <f>IF(OR(B852=0,B852=" ")," ",SUM($B$23:B852))</f>
        <v xml:space="preserve"> </v>
      </c>
      <c r="D852" s="62" t="str">
        <f>IF(D851=" "," ",IF(OR(F851='депозитный калькулятор'!$D$8,F851=" ")," ",D851+1))</f>
        <v xml:space="preserve"> </v>
      </c>
      <c r="E852" s="130" t="str">
        <f>IF(OR(F851='депозитный калькулятор'!$D$8,F851=" ")," ",IF(EOMONTH(F851,0)=F851,1,E851+1))</f>
        <v xml:space="preserve"> </v>
      </c>
      <c r="F852" s="64" t="str">
        <f>IF(F851=" "," ",IF(F851='депозитный калькулятор'!$D$8," ",F851+1))</f>
        <v xml:space="preserve"> </v>
      </c>
      <c r="G852" s="145" t="str">
        <f xml:space="preserve"> IF(F852&gt;'депозитный калькулятор'!$D$8," ",IF('депозитный калькулятор'!$G$13="есть",IF('депозитный калькулятор'!$G$14="есть",G851+IF(I851=" ",0,I851)-J852-K852+L852+M852-N852,G851+IF(I851=" ",0,I851)-J852-K852+M852-N852),IF('депозитный калькулятор'!$G$14="есть",G851-J852-K852+L852+M852-N852,G851-J852-K852+M852-N852)))</f>
        <v xml:space="preserve"> </v>
      </c>
      <c r="H852" s="133" t="str">
        <f>IF(F852&gt;'депозитный калькулятор'!$D$8," ",IF(AND(OR('депозитный калькулятор'!$G$7="30/365",'депозитный калькулятор'!$G$7="30/360"),AND(MONTH(F852)=2,EOMONTH(F852,0)=F852)),IF(DAY(F852)=28,3*G852*'депозитный калькулятор'!$G$8,2*G852*'депозитный калькулятор'!$G$8),IF(AND(OR('депозитный калькулятор'!$G$7="30/365",'депозитный калькулятор'!$G$7="30/360"),DAY(F852)=31)," ",IF(AND('депозитный калькулятор'!$G$7="факт/факт",MOD(YEAR(F852),4)=0),G852*'депозитный калькулятор'!$D$11/366,G852*'депозитный калькулятор'!$G$8))))</f>
        <v xml:space="preserve"> </v>
      </c>
      <c r="I852" s="134" t="str">
        <f ca="1">IF(F852=" "," ",IF('депозитный калькулятор'!$G$10="ежедневное",H852,IF(AND('депозитный калькулятор'!$G$10="еженедельное",WEEKDAY(F852,2)=7),SUM(OFFSET(H852,-6,0):H852),IF(AND('депозитный калькулятор'!$G$10="еженедельное",F852='депозитный калькулятор'!$D$8),SUM($H$23:H852)-SUM($I$23:I851),IF(AND('депозитный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недели",WEEKDAY(F852,2)=7),MIN(OFFSET(H852,-6,0):H852)*(COUNTIF(OFFSET(H852,-6,0):H852,"&gt;0")+SUMIF(OFFSET(A852,-WEEKDAY(F852,2),0):A852,"=2",OFFSET(A852,-WEEKDAY(F852,2),0):A852)),IF(AND('депозитный калькулятор'!$G$10="еженедельное, на минимальную сумму зафиксированную в течение недели",F852='депозитный калькулятор'!$D$8,WEEKDAY(F852,2)&lt;&gt;7),MIN(OFFSET(H852,-WEEKDAY(F852,2),0):H852)*(COUNTIF(OFFSET(H852,-WEEKDAY(F852,2)+1,0):H852,"&gt;0")+SUM(OFFSET(A852,-WEEKDAY(F852,2),0):A852)),IF(AND('депозитный калькулятор'!$G$10="ежемесячное (в конце месяца)",F852='депозитный калькулятор'!$D$8,EOMONTH(F852,0)&lt;&gt;F852),IF('депозитный калькулятор'!$F$1=1,$H$24,SUM($H$23:H852)-SUM($I$23:I851)),IF(AND('депозитный калькулятор'!$G$10="ежемесячное (в конце месяца)",EOMONTH(F852,0)=F852),SUM($H$23:H852)-SUM($I$23:I851),IF(AND('депозитный калькулятор'!$G$10="ежемесячное (по дням открытия вклада)",F852='депозитный калькулятор'!$D$8,DAY('депозитный калькулятор'!$D$7)&lt;&gt;DAY(F852)),IF('депозитный калькулятор'!$F$1=1,$H$24,SUM($H$23:H852)-SUM($I$23:I851)),IF(AND('депозитный калькулятор'!$G$10="ежемесячное (по дням открытия вклада)",DAY('депозитный калькулятор'!$D$7)=DAY(F852)),SUM($H$23:H852)-SUM($I$23:I851),IF(AND('депозитный калькулятор'!$G$10="ежемесячное, на минимальную сумму зафиксированную в течение месяца",F852='депозитный калькулятор'!$D$8,EOMONTH(F852,0)&lt;&gt;F852),IF('депозитный калькулятор'!$F$1=1,$H$24,IF(AND(OR('депозитный калькулятор'!$G$7="30/365",'депозитный калькулятор'!$G$7="30/360"),DAY(F852)=31),0,MIN(OFFSET(H852,-E852+1,0):H852)*(E852+SUMIF(OFFSET(A852,-E852+1,0):A852,"=2",OFFSET(A852,-E852+1,0):A852)))),IF(AND('депозитный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калькулятор'!$G$7="30/360"),DAY(EOMONTH(F852,0))=31),EOMONTH(F852,0)-1=F852,EOMONTH(F852,0)=F852)),IF(IF(AND(OR('депозитный калькулятор'!$G$7="30/365",'депозитный калькулятор'!$G$7="30/360"),DAY(EOMONTH($F$23,0))=31),F852=EOMONTH($F$23,0)-1,F852=EOMONTH($F$23,0)),MIN(OFFSET(H852,-(DAY(F852)-DAY($F$23)),0):H852)*E852,MIN(OFFSET(H852,-(DAY(F852)-1),0):H852)*IF(AND(OR('депозитный калькулятор'!$G$7="30/365",'депозитный калькулятор'!$G$7="30/360"),DAY(F852)&lt;30),30,DAY(F852))),IF(AND('депозитный калькулятор'!$G$10="ежемесячное, на средний остаток в течение месяца, при условии что остаток больше чем ограничение",F852='депозитный калькулятор'!$D$8,EOMONTH(F852,0)&lt;&gt;F852),IF('депозитный калькулятор'!$F$1=1,$H$24,SUM(OFFSET(Q852,-E852+1,0):Q852)),IF(AND('депозитный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калькулятор'!$G$7="30/360"),DAY(EOMONTH(F852,0))=31),EOMONTH(F852,0)-1=F852,EOMONTH(F852,0)=F852)),IF(IF(AND(OR('депозитный калькулятор'!$G$7="30/365",'депозитный калькулятор'!$G$7="30/360"),DAY(EOMONTH($F$24,0))=31),F852=EOMONTH($F$24,0)-1,F852=EOMONTH($F$24,0)),SUM(OFFSET(Q852,-E852+1,0):Q852),SUM(OFFSET(Q852,-E852+1,0):Q852)),IF('депозитный калькулятор'!$G$10="ежеквартальное",IF(F852&gt;'депозитный калькулятор'!$D$8," ",IF(AND(EOMONTH(F852,0)=F852,OR(MONTH(F852)=3,MONTH(F852)=6,MONTH(F852)=9,MONTH(F852)=12)),IF(EDATE(F852,-3)&lt;'депозитный калькулятор'!$D$7,SUM($H$23:H852),IF(MOD(YEAR(F852),4)=0,IF(AND(EOMONTH(F852,0)=F852,OR(MONTH(F852)=3,MONTH(F852)=6)),SUM(OFFSET(H852,-90,0):H852),IF(AND(EOMONTH(F852,0)=F852,OR(MONTH(F852)=9,MONTH(F852)=12)),SUM(OFFSET(H852,-91,0):H852))),IF(AND(EOMONTH(F852,0)=F852,MONTH(F852)=3),SUM(OFFSET(H852,-89,0):H852),IF(AND(EOMONTH(F852,0)=F852,MONTH(F852)=6),SUM(OFFSET(H852,-90,0):H852),IF(AND(EOMONTH(F852,0)=F852,OR(MONTH(F852)=9,MONTH(F852)=12)),SUM(OFFSET(H852,-91,0):H852)))))),IF(F852='депозитный калькулятор'!$D$8,SUM($H$23:H852)-SUM($I$23:I851),0))),IF('депозитный калькулятор'!$G$10="ежегодное",IF(F852&gt;'депозитный калькулятор'!$D$8," ",IF(F852='депозитный калькулятор'!$D$8,SUM($H$23:H852)-SUM($I$23:I851),IF(AND(EOMONTH(F852,0)=F852,MONTH(F852)=12),IF(MOD(YEAR(F851),4)=0,IF(F852-'депозитный калькулятор'!$D$7&lt;366,SUM($H$23:H852),SUM(OFFSET(H852,-365,0):H852)),IF(F852-'депозитный калькулятор'!$D$7&lt;365,SUM($H$23:H852),SUM(OFFSET(H852,-364,0):H852))),0))),IF(AND('депозитный калькулятор'!$G$10="в конце срока",'депозитный калькулятор'!$D$8=F852),SUM($H$23:H852),0))))))))))))))))))</f>
        <v xml:space="preserve"> </v>
      </c>
      <c r="J852" s="59" t="str">
        <f>IF(F852&gt;'депозитный калькулятор'!$D$8," ",IF('депозитный калькулятор'!$G$16="нет",0,IF(AND('депозитный калькулятор'!$G$17="разовая (в конце срока)",F852='депозитный калькулятор'!$D$8),'депозитный калькулятор'!$G$18,IF(AND('депозитный калькулятор'!$G$17="ежемесячная",EOMONTH(F851,0)=F851),'депозитный калькулятор'!$G$18,IF(AND('депозитный калькулятор'!$G$17="ежегодная",DAY(F851)=31,MONTH(F851)=12),'депозитный калькулятор'!$G$18,IF(AND('депозитный калькулятор'!$G$17="ежемесячная в зависимости от остатка",EOMONTH(F851,0)=F851,P851&gt;0),'депозитный калькулятор'!$G$18,IF(AND('депозитный калькулятор'!$G$17="ежегодная в зависимости от остатка",DAY(F851)=31,MONTH(F851)=12,P851&gt;0),'депозитный калькулятор'!$G$18,0)))))))</f>
        <v xml:space="preserve"> </v>
      </c>
      <c r="K852" s="135" t="str">
        <f>IF($F852=" "," ",IFERROR(VLOOKUP($F852,'депозитный калькулятор'!$B$26:$F$70,2,0),0))</f>
        <v xml:space="preserve"> </v>
      </c>
      <c r="L852" s="135" t="str">
        <f>IF($F852=" "," ",IFERROR(VLOOKUP($F852,'депозитный калькулятор'!$B$26:$F$70,3,0),0))</f>
        <v xml:space="preserve"> </v>
      </c>
      <c r="M852" s="135" t="str">
        <f>IF($F852=" "," ",IFERROR(VLOOKUP($F852,'депозитный калькулятор'!$B$26:$F$70,4,0),0))</f>
        <v xml:space="preserve"> </v>
      </c>
      <c r="N852" s="135" t="str">
        <f>IF($F852=" "," ",IFERROR(VLOOKUP($F852,'депозитный калькулятор'!$B$26:$F$70,5,0),0))</f>
        <v xml:space="preserve"> </v>
      </c>
      <c r="O852" s="146" t="str">
        <f>IF(F852&gt;'депозитный калькулятор'!$D$8," ",IF(F852='депозитный калькулятор'!$D$8,IF(AND($F$24='депозитный калькулятор'!$D$8,'депозитный калькулятор'!$G$13="нет"),-G852-IF(I852=" ",0,I852)-IF(AND(OR('депозитный калькулятор'!$G$7="30/365",'депозитный калькулятор'!$G$7="30/360"),'депозитный калькулятор'!$G$10="в начале срока"),I851,0)-L852+M852-N852,-G852-IF(I852=" ",0,I852)-L852+M852-N852),IF('депозитный калькулятор'!$G$13="есть",M852-N852+IF('депозитный калькулятор'!$G$14="есть",0,-L852),-IF(I852=" ",0,I852)-IF(AND(OR('депозитный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срока"),I851,0)+M852-N852+IF('депозитный калькулятор'!$G$14="есть",0,-L852))))</f>
        <v xml:space="preserve"> </v>
      </c>
      <c r="P852" s="147" t="str">
        <f>IF(F852&gt;'депозитный калькулятор'!$D$8," ",IF(EOMONTH(F851,0)=F851,0,IF(G852&gt;='депозитный калькулятор'!$G$19,P851,P851+1)))</f>
        <v xml:space="preserve"> </v>
      </c>
      <c r="Q852" s="138" t="str">
        <f>IF(F852=" "," ",IF(AND(OR('депозитный калькулятор'!$G$7="30/365",'депозитный калькулятор'!$G$7="30/360"),AND(MONTH(F852)=2,EOMONTH(F852,0)=F852)),IF(DAY(F852)=28,3,2),1)*IF(G852&gt;='депозитный калькулятор'!$G$11,IF(AND('депозитный калькулятор'!$G$7="факт/факт",MOD(YEAR(F852),4)=0),G852*'депозитный калькулятор'!$D$11/366,G852*'депозитный калькулятор'!$G$8),0))</f>
        <v xml:space="preserve"> </v>
      </c>
      <c r="S852" s="62" t="str">
        <f t="shared" ca="1" si="62"/>
        <v xml:space="preserve"> </v>
      </c>
      <c r="T852" s="149" t="str">
        <f ca="1">IF(S852=" "," ",IF('депозитный калькулятор'!$G$7="30/360",DAYS360(U851,IF(DAY(U852)=31,U852-1,U852))+IF(AND(MONTH(U852)=2,U852=EOMONTH(U852,0)),30-DAY(EOMONTH(U852,0)))+T851,VLOOKUP(S852,$C$22:$F$1023,2,0)))</f>
        <v xml:space="preserve"> </v>
      </c>
      <c r="U852" s="64" t="str">
        <f t="shared" ca="1" si="60"/>
        <v xml:space="preserve"> </v>
      </c>
      <c r="V852" s="150" t="str">
        <f t="shared" ca="1" si="63"/>
        <v xml:space="preserve"> </v>
      </c>
      <c r="W852" s="62" t="str">
        <f t="shared" ca="1" si="64"/>
        <v xml:space="preserve"> </v>
      </c>
      <c r="X852" s="141" t="str">
        <f ca="1">IF(S852=" "," ",IFERROR(VLOOKUP(U852,$F$23:$N$1023,7)+VLOOKUP(U852,$F$23:$N$1023,9)+IF(AND('депозитный калькулятор'!$G$13="нет",U852&lt;&gt;'депозитный калькулятор'!$D$8),VLOOKUP(U852,$F$23:$N$1023,4),0),0)+IF(U852='депозитный калькулятор'!$D$8,VLOOKUP(U852,$F$23:$N$1023,2)+VLOOKUP(U852,$F$23:$N$1023,4),0))</f>
        <v xml:space="preserve"> </v>
      </c>
      <c r="Y852" s="142" t="str">
        <f ca="1">IF(S852=" "," ",W852/(1+'депозитный калькулятор'!$K$8)^(T852/IF('депозитный калькулятор'!$G$7="30/360",360,365)))</f>
        <v xml:space="preserve"> </v>
      </c>
      <c r="Z852" s="142" t="str">
        <f ca="1">IF(S852=" "," ",X852/(1+'депозитный калькулятор'!$K$8)^(T852/IF('депозитный калькулятор'!$G$7="30/360",360,365)))</f>
        <v xml:space="preserve"> </v>
      </c>
      <c r="AA852" s="151"/>
      <c r="AB852" s="151"/>
      <c r="AC852" s="155"/>
      <c r="AD852" s="155"/>
    </row>
    <row r="853" spans="1:30" s="2" customFormat="1" ht="15.5" x14ac:dyDescent="0.35">
      <c r="A853" s="41" t="str">
        <f>IF(F853=" "," ",IF(OR('депозитный калькулятор'!$G$7="30/365",'депозитный калькулятор'!$G$7="30/360"),IF(AND(MONTH(F853)=2,DAY(F853)=DAY(EOMONTH(F853,0))),30-DAY(EOMONTH(F853,0)),IF(DAY(F853)=31,1," "))," "))</f>
        <v xml:space="preserve"> </v>
      </c>
      <c r="B853" s="130" t="str">
        <f t="shared" si="61"/>
        <v xml:space="preserve"> </v>
      </c>
      <c r="C853" s="130" t="str">
        <f>IF(OR(B853=0,B853=" ")," ",SUM($B$23:B853))</f>
        <v xml:space="preserve"> </v>
      </c>
      <c r="D853" s="62" t="str">
        <f>IF(D852=" "," ",IF(OR(F852='депозитный калькулятор'!$D$8,F852=" ")," ",D852+1))</f>
        <v xml:space="preserve"> </v>
      </c>
      <c r="E853" s="130" t="str">
        <f>IF(OR(F852='депозитный калькулятор'!$D$8,F852=" ")," ",IF(EOMONTH(F852,0)=F852,1,E852+1))</f>
        <v xml:space="preserve"> </v>
      </c>
      <c r="F853" s="64" t="str">
        <f>IF(F852=" "," ",IF(F852='депозитный калькулятор'!$D$8," ",F852+1))</f>
        <v xml:space="preserve"> </v>
      </c>
      <c r="G853" s="145" t="str">
        <f xml:space="preserve"> IF(F853&gt;'депозитный калькулятор'!$D$8," ",IF('депозитный калькулятор'!$G$13="есть",IF('депозитный калькулятор'!$G$14="есть",G852+IF(I852=" ",0,I852)-J853-K853+L853+M853-N853,G852+IF(I852=" ",0,I852)-J853-K853+M853-N853),IF('депозитный калькулятор'!$G$14="есть",G852-J853-K853+L853+M853-N853,G852-J853-K853+M853-N853)))</f>
        <v xml:space="preserve"> </v>
      </c>
      <c r="H853" s="133" t="str">
        <f>IF(F853&gt;'депозитный калькулятор'!$D$8," ",IF(AND(OR('депозитный калькулятор'!$G$7="30/365",'депозитный калькулятор'!$G$7="30/360"),AND(MONTH(F853)=2,EOMONTH(F853,0)=F853)),IF(DAY(F853)=28,3*G853*'депозитный калькулятор'!$G$8,2*G853*'депозитный калькулятор'!$G$8),IF(AND(OR('депозитный калькулятор'!$G$7="30/365",'депозитный калькулятор'!$G$7="30/360"),DAY(F853)=31)," ",IF(AND('депозитный калькулятор'!$G$7="факт/факт",MOD(YEAR(F853),4)=0),G853*'депозитный калькулятор'!$D$11/366,G853*'депозитный калькулятор'!$G$8))))</f>
        <v xml:space="preserve"> </v>
      </c>
      <c r="I853" s="134" t="str">
        <f ca="1">IF(F853=" "," ",IF('депозитный калькулятор'!$G$10="ежедневное",H853,IF(AND('депозитный калькулятор'!$G$10="еженедельное",WEEKDAY(F853,2)=7),SUM(OFFSET(H853,-6,0):H853),IF(AND('депозитный калькулятор'!$G$10="еженедельное",F853='депозитный калькулятор'!$D$8),SUM($H$23:H853)-SUM($I$23:I852),IF(AND('депозитный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недели",WEEKDAY(F853,2)=7),MIN(OFFSET(H853,-6,0):H853)*(COUNTIF(OFFSET(H853,-6,0):H853,"&gt;0")+SUMIF(OFFSET(A853,-WEEKDAY(F853,2),0):A853,"=2",OFFSET(A853,-WEEKDAY(F853,2),0):A853)),IF(AND('депозитный калькулятор'!$G$10="еженедельное, на минимальную сумму зафиксированную в течение недели",F853='депозитный калькулятор'!$D$8,WEEKDAY(F853,2)&lt;&gt;7),MIN(OFFSET(H853,-WEEKDAY(F853,2),0):H853)*(COUNTIF(OFFSET(H853,-WEEKDAY(F853,2)+1,0):H853,"&gt;0")+SUM(OFFSET(A853,-WEEKDAY(F853,2),0):A853)),IF(AND('депозитный калькулятор'!$G$10="ежемесячное (в конце месяца)",F853='депозитный калькулятор'!$D$8,EOMONTH(F853,0)&lt;&gt;F853),IF('депозитный калькулятор'!$F$1=1,$H$24,SUM($H$23:H853)-SUM($I$23:I852)),IF(AND('депозитный калькулятор'!$G$10="ежемесячное (в конце месяца)",EOMONTH(F853,0)=F853),SUM($H$23:H853)-SUM($I$23:I852),IF(AND('депозитный калькулятор'!$G$10="ежемесячное (по дням открытия вклада)",F853='депозитный калькулятор'!$D$8,DAY('депозитный калькулятор'!$D$7)&lt;&gt;DAY(F853)),IF('депозитный калькулятор'!$F$1=1,$H$24,SUM($H$23:H853)-SUM($I$23:I852)),IF(AND('депозитный калькулятор'!$G$10="ежемесячное (по дням открытия вклада)",DAY('депозитный калькулятор'!$D$7)=DAY(F853)),SUM($H$23:H853)-SUM($I$23:I852),IF(AND('депозитный калькулятор'!$G$10="ежемесячное, на минимальную сумму зафиксированную в течение месяца",F853='депозитный калькулятор'!$D$8,EOMONTH(F853,0)&lt;&gt;F853),IF('депозитный калькулятор'!$F$1=1,$H$24,IF(AND(OR('депозитный калькулятор'!$G$7="30/365",'депозитный калькулятор'!$G$7="30/360"),DAY(F853)=31),0,MIN(OFFSET(H853,-E853+1,0):H853)*(E853+SUMIF(OFFSET(A853,-E853+1,0):A853,"=2",OFFSET(A853,-E853+1,0):A853)))),IF(AND('депозитный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калькулятор'!$G$7="30/360"),DAY(EOMONTH(F853,0))=31),EOMONTH(F853,0)-1=F853,EOMONTH(F853,0)=F853)),IF(IF(AND(OR('депозитный калькулятор'!$G$7="30/365",'депозитный калькулятор'!$G$7="30/360"),DAY(EOMONTH($F$23,0))=31),F853=EOMONTH($F$23,0)-1,F853=EOMONTH($F$23,0)),MIN(OFFSET(H853,-(DAY(F853)-DAY($F$23)),0):H853)*E853,MIN(OFFSET(H853,-(DAY(F853)-1),0):H853)*IF(AND(OR('депозитный калькулятор'!$G$7="30/365",'депозитный калькулятор'!$G$7="30/360"),DAY(F853)&lt;30),30,DAY(F853))),IF(AND('депозитный калькулятор'!$G$10="ежемесячное, на средний остаток в течение месяца, при условии что остаток больше чем ограничение",F853='депозитный калькулятор'!$D$8,EOMONTH(F853,0)&lt;&gt;F853),IF('депозитный калькулятор'!$F$1=1,$H$24,SUM(OFFSET(Q853,-E853+1,0):Q853)),IF(AND('депозитный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калькулятор'!$G$7="30/360"),DAY(EOMONTH(F853,0))=31),EOMONTH(F853,0)-1=F853,EOMONTH(F853,0)=F853)),IF(IF(AND(OR('депозитный калькулятор'!$G$7="30/365",'депозитный калькулятор'!$G$7="30/360"),DAY(EOMONTH($F$24,0))=31),F853=EOMONTH($F$24,0)-1,F853=EOMONTH($F$24,0)),SUM(OFFSET(Q853,-E853+1,0):Q853),SUM(OFFSET(Q853,-E853+1,0):Q853)),IF('депозитный калькулятор'!$G$10="ежеквартальное",IF(F853&gt;'депозитный калькулятор'!$D$8," ",IF(AND(EOMONTH(F853,0)=F853,OR(MONTH(F853)=3,MONTH(F853)=6,MONTH(F853)=9,MONTH(F853)=12)),IF(EDATE(F853,-3)&lt;'депозитный калькулятор'!$D$7,SUM($H$23:H853),IF(MOD(YEAR(F853),4)=0,IF(AND(EOMONTH(F853,0)=F853,OR(MONTH(F853)=3,MONTH(F853)=6)),SUM(OFFSET(H853,-90,0):H853),IF(AND(EOMONTH(F853,0)=F853,OR(MONTH(F853)=9,MONTH(F853)=12)),SUM(OFFSET(H853,-91,0):H853))),IF(AND(EOMONTH(F853,0)=F853,MONTH(F853)=3),SUM(OFFSET(H853,-89,0):H853),IF(AND(EOMONTH(F853,0)=F853,MONTH(F853)=6),SUM(OFFSET(H853,-90,0):H853),IF(AND(EOMONTH(F853,0)=F853,OR(MONTH(F853)=9,MONTH(F853)=12)),SUM(OFFSET(H853,-91,0):H853)))))),IF(F853='депозитный калькулятор'!$D$8,SUM($H$23:H853)-SUM($I$23:I852),0))),IF('депозитный калькулятор'!$G$10="ежегодное",IF(F853&gt;'депозитный калькулятор'!$D$8," ",IF(F853='депозитный калькулятор'!$D$8,SUM($H$23:H853)-SUM($I$23:I852),IF(AND(EOMONTH(F853,0)=F853,MONTH(F853)=12),IF(MOD(YEAR(F852),4)=0,IF(F853-'депозитный калькулятор'!$D$7&lt;366,SUM($H$23:H853),SUM(OFFSET(H853,-365,0):H853)),IF(F853-'депозитный калькулятор'!$D$7&lt;365,SUM($H$23:H853),SUM(OFFSET(H853,-364,0):H853))),0))),IF(AND('депозитный калькулятор'!$G$10="в конце срока",'депозитный калькулятор'!$D$8=F853),SUM($H$23:H853),0))))))))))))))))))</f>
        <v xml:space="preserve"> </v>
      </c>
      <c r="J853" s="59" t="str">
        <f>IF(F853&gt;'депозитный калькулятор'!$D$8," ",IF('депозитный калькулятор'!$G$16="нет",0,IF(AND('депозитный калькулятор'!$G$17="разовая (в конце срока)",F853='депозитный калькулятор'!$D$8),'депозитный калькулятор'!$G$18,IF(AND('депозитный калькулятор'!$G$17="ежемесячная",EOMONTH(F852,0)=F852),'депозитный калькулятор'!$G$18,IF(AND('депозитный калькулятор'!$G$17="ежегодная",DAY(F852)=31,MONTH(F852)=12),'депозитный калькулятор'!$G$18,IF(AND('депозитный калькулятор'!$G$17="ежемесячная в зависимости от остатка",EOMONTH(F852,0)=F852,P852&gt;0),'депозитный калькулятор'!$G$18,IF(AND('депозитный калькулятор'!$G$17="ежегодная в зависимости от остатка",DAY(F852)=31,MONTH(F852)=12,P852&gt;0),'депозитный калькулятор'!$G$18,0)))))))</f>
        <v xml:space="preserve"> </v>
      </c>
      <c r="K853" s="135" t="str">
        <f>IF($F853=" "," ",IFERROR(VLOOKUP($F853,'депозитный калькулятор'!$B$26:$F$70,2,0),0))</f>
        <v xml:space="preserve"> </v>
      </c>
      <c r="L853" s="135" t="str">
        <f>IF($F853=" "," ",IFERROR(VLOOKUP($F853,'депозитный калькулятор'!$B$26:$F$70,3,0),0))</f>
        <v xml:space="preserve"> </v>
      </c>
      <c r="M853" s="135" t="str">
        <f>IF($F853=" "," ",IFERROR(VLOOKUP($F853,'депозитный калькулятор'!$B$26:$F$70,4,0),0))</f>
        <v xml:space="preserve"> </v>
      </c>
      <c r="N853" s="135" t="str">
        <f>IF($F853=" "," ",IFERROR(VLOOKUP($F853,'депозитный калькулятор'!$B$26:$F$70,5,0),0))</f>
        <v xml:space="preserve"> </v>
      </c>
      <c r="O853" s="146" t="str">
        <f>IF(F853&gt;'депозитный калькулятор'!$D$8," ",IF(F853='депозитный калькулятор'!$D$8,IF(AND($F$24='депозитный калькулятор'!$D$8,'депозитный калькулятор'!$G$13="нет"),-G853-IF(I853=" ",0,I853)-IF(AND(OR('депозитный калькулятор'!$G$7="30/365",'депозитный калькулятор'!$G$7="30/360"),'депозитный калькулятор'!$G$10="в начале срока"),I852,0)-L853+M853-N853,-G853-IF(I853=" ",0,I853)-L853+M853-N853),IF('депозитный калькулятор'!$G$13="есть",M853-N853+IF('депозитный калькулятор'!$G$14="есть",0,-L853),-IF(I853=" ",0,I853)-IF(AND(OR('депозитный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срока"),I852,0)+M853-N853+IF('депозитный калькулятор'!$G$14="есть",0,-L853))))</f>
        <v xml:space="preserve"> </v>
      </c>
      <c r="P853" s="147" t="str">
        <f>IF(F853&gt;'депозитный калькулятор'!$D$8," ",IF(EOMONTH(F852,0)=F852,0,IF(G853&gt;='депозитный калькулятор'!$G$19,P852,P852+1)))</f>
        <v xml:space="preserve"> </v>
      </c>
      <c r="Q853" s="138" t="str">
        <f>IF(F853=" "," ",IF(AND(OR('депозитный калькулятор'!$G$7="30/365",'депозитный калькулятор'!$G$7="30/360"),AND(MONTH(F853)=2,EOMONTH(F853,0)=F853)),IF(DAY(F853)=28,3,2),1)*IF(G853&gt;='депозитный калькулятор'!$G$11,IF(AND('депозитный калькулятор'!$G$7="факт/факт",MOD(YEAR(F853),4)=0),G853*'депозитный калькулятор'!$D$11/366,G853*'депозитный калькулятор'!$G$8),0))</f>
        <v xml:space="preserve"> </v>
      </c>
      <c r="S853" s="62" t="str">
        <f t="shared" ca="1" si="62"/>
        <v xml:space="preserve"> </v>
      </c>
      <c r="T853" s="149" t="str">
        <f ca="1">IF(S853=" "," ",IF('депозитный калькулятор'!$G$7="30/360",DAYS360(U852,IF(DAY(U853)=31,U853-1,U853))+IF(AND(MONTH(U853)=2,U853=EOMONTH(U853,0)),30-DAY(EOMONTH(U853,0)))+T852,VLOOKUP(S853,$C$22:$F$1023,2,0)))</f>
        <v xml:space="preserve"> </v>
      </c>
      <c r="U853" s="64" t="str">
        <f t="shared" ca="1" si="60"/>
        <v xml:space="preserve"> </v>
      </c>
      <c r="V853" s="150" t="str">
        <f t="shared" ca="1" si="63"/>
        <v xml:space="preserve"> </v>
      </c>
      <c r="W853" s="62" t="str">
        <f t="shared" ca="1" si="64"/>
        <v xml:space="preserve"> </v>
      </c>
      <c r="X853" s="141" t="str">
        <f ca="1">IF(S853=" "," ",IFERROR(VLOOKUP(U853,$F$23:$N$1023,7)+VLOOKUP(U853,$F$23:$N$1023,9)+IF(AND('депозитный калькулятор'!$G$13="нет",U853&lt;&gt;'депозитный калькулятор'!$D$8),VLOOKUP(U853,$F$23:$N$1023,4),0),0)+IF(U853='депозитный калькулятор'!$D$8,VLOOKUP(U853,$F$23:$N$1023,2)+VLOOKUP(U853,$F$23:$N$1023,4),0))</f>
        <v xml:space="preserve"> </v>
      </c>
      <c r="Y853" s="142" t="str">
        <f ca="1">IF(S853=" "," ",W853/(1+'депозитный калькулятор'!$K$8)^(T853/IF('депозитный калькулятор'!$G$7="30/360",360,365)))</f>
        <v xml:space="preserve"> </v>
      </c>
      <c r="Z853" s="142" t="str">
        <f ca="1">IF(S853=" "," ",X853/(1+'депозитный калькулятор'!$K$8)^(T853/IF('депозитный калькулятор'!$G$7="30/360",360,365)))</f>
        <v xml:space="preserve"> </v>
      </c>
      <c r="AA853" s="151"/>
      <c r="AB853" s="151"/>
      <c r="AC853" s="155"/>
      <c r="AD853" s="155"/>
    </row>
    <row r="854" spans="1:30" s="2" customFormat="1" ht="15.5" x14ac:dyDescent="0.35">
      <c r="A854" s="41" t="str">
        <f>IF(F854=" "," ",IF(OR('депозитный калькулятор'!$G$7="30/365",'депозитный калькулятор'!$G$7="30/360"),IF(AND(MONTH(F854)=2,DAY(F854)=DAY(EOMONTH(F854,0))),30-DAY(EOMONTH(F854,0)),IF(DAY(F854)=31,1," "))," "))</f>
        <v xml:space="preserve"> </v>
      </c>
      <c r="B854" s="130" t="str">
        <f t="shared" si="61"/>
        <v xml:space="preserve"> </v>
      </c>
      <c r="C854" s="130" t="str">
        <f>IF(OR(B854=0,B854=" ")," ",SUM($B$23:B854))</f>
        <v xml:space="preserve"> </v>
      </c>
      <c r="D854" s="62" t="str">
        <f>IF(D853=" "," ",IF(OR(F853='депозитный калькулятор'!$D$8,F853=" ")," ",D853+1))</f>
        <v xml:space="preserve"> </v>
      </c>
      <c r="E854" s="130" t="str">
        <f>IF(OR(F853='депозитный калькулятор'!$D$8,F853=" ")," ",IF(EOMONTH(F853,0)=F853,1,E853+1))</f>
        <v xml:space="preserve"> </v>
      </c>
      <c r="F854" s="64" t="str">
        <f>IF(F853=" "," ",IF(F853='депозитный калькулятор'!$D$8," ",F853+1))</f>
        <v xml:space="preserve"> </v>
      </c>
      <c r="G854" s="145" t="str">
        <f xml:space="preserve"> IF(F854&gt;'депозитный калькулятор'!$D$8," ",IF('депозитный калькулятор'!$G$13="есть",IF('депозитный калькулятор'!$G$14="есть",G853+IF(I853=" ",0,I853)-J854-K854+L854+M854-N854,G853+IF(I853=" ",0,I853)-J854-K854+M854-N854),IF('депозитный калькулятор'!$G$14="есть",G853-J854-K854+L854+M854-N854,G853-J854-K854+M854-N854)))</f>
        <v xml:space="preserve"> </v>
      </c>
      <c r="H854" s="133" t="str">
        <f>IF(F854&gt;'депозитный калькулятор'!$D$8," ",IF(AND(OR('депозитный калькулятор'!$G$7="30/365",'депозитный калькулятор'!$G$7="30/360"),AND(MONTH(F854)=2,EOMONTH(F854,0)=F854)),IF(DAY(F854)=28,3*G854*'депозитный калькулятор'!$G$8,2*G854*'депозитный калькулятор'!$G$8),IF(AND(OR('депозитный калькулятор'!$G$7="30/365",'депозитный калькулятор'!$G$7="30/360"),DAY(F854)=31)," ",IF(AND('депозитный калькулятор'!$G$7="факт/факт",MOD(YEAR(F854),4)=0),G854*'депозитный калькулятор'!$D$11/366,G854*'депозитный калькулятор'!$G$8))))</f>
        <v xml:space="preserve"> </v>
      </c>
      <c r="I854" s="134" t="str">
        <f ca="1">IF(F854=" "," ",IF('депозитный калькулятор'!$G$10="ежедневное",H854,IF(AND('депозитный калькулятор'!$G$10="еженедельное",WEEKDAY(F854,2)=7),SUM(OFFSET(H854,-6,0):H854),IF(AND('депозитный калькулятор'!$G$10="еженедельное",F854='депозитный калькулятор'!$D$8),SUM($H$23:H854)-SUM($I$23:I853),IF(AND('депозитный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недели",WEEKDAY(F854,2)=7),MIN(OFFSET(H854,-6,0):H854)*(COUNTIF(OFFSET(H854,-6,0):H854,"&gt;0")+SUMIF(OFFSET(A854,-WEEKDAY(F854,2),0):A854,"=2",OFFSET(A854,-WEEKDAY(F854,2),0):A854)),IF(AND('депозитный калькулятор'!$G$10="еженедельное, на минимальную сумму зафиксированную в течение недели",F854='депозитный калькулятор'!$D$8,WEEKDAY(F854,2)&lt;&gt;7),MIN(OFFSET(H854,-WEEKDAY(F854,2),0):H854)*(COUNTIF(OFFSET(H854,-WEEKDAY(F854,2)+1,0):H854,"&gt;0")+SUM(OFFSET(A854,-WEEKDAY(F854,2),0):A854)),IF(AND('депозитный калькулятор'!$G$10="ежемесячное (в конце месяца)",F854='депозитный калькулятор'!$D$8,EOMONTH(F854,0)&lt;&gt;F854),IF('депозитный калькулятор'!$F$1=1,$H$24,SUM($H$23:H854)-SUM($I$23:I853)),IF(AND('депозитный калькулятор'!$G$10="ежемесячное (в конце месяца)",EOMONTH(F854,0)=F854),SUM($H$23:H854)-SUM($I$23:I853),IF(AND('депозитный калькулятор'!$G$10="ежемесячное (по дням открытия вклада)",F854='депозитный калькулятор'!$D$8,DAY('депозитный калькулятор'!$D$7)&lt;&gt;DAY(F854)),IF('депозитный калькулятор'!$F$1=1,$H$24,SUM($H$23:H854)-SUM($I$23:I853)),IF(AND('депозитный калькулятор'!$G$10="ежемесячное (по дням открытия вклада)",DAY('депозитный калькулятор'!$D$7)=DAY(F854)),SUM($H$23:H854)-SUM($I$23:I853),IF(AND('депозитный калькулятор'!$G$10="ежемесячное, на минимальную сумму зафиксированную в течение месяца",F854='депозитный калькулятор'!$D$8,EOMONTH(F854,0)&lt;&gt;F854),IF('депозитный калькулятор'!$F$1=1,$H$24,IF(AND(OR('депозитный калькулятор'!$G$7="30/365",'депозитный калькулятор'!$G$7="30/360"),DAY(F854)=31),0,MIN(OFFSET(H854,-E854+1,0):H854)*(E854+SUMIF(OFFSET(A854,-E854+1,0):A854,"=2",OFFSET(A854,-E854+1,0):A854)))),IF(AND('депозитный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калькулятор'!$G$7="30/360"),DAY(EOMONTH(F854,0))=31),EOMONTH(F854,0)-1=F854,EOMONTH(F854,0)=F854)),IF(IF(AND(OR('депозитный калькулятор'!$G$7="30/365",'депозитный калькулятор'!$G$7="30/360"),DAY(EOMONTH($F$23,0))=31),F854=EOMONTH($F$23,0)-1,F854=EOMONTH($F$23,0)),MIN(OFFSET(H854,-(DAY(F854)-DAY($F$23)),0):H854)*E854,MIN(OFFSET(H854,-(DAY(F854)-1),0):H854)*IF(AND(OR('депозитный калькулятор'!$G$7="30/365",'депозитный калькулятор'!$G$7="30/360"),DAY(F854)&lt;30),30,DAY(F854))),IF(AND('депозитный калькулятор'!$G$10="ежемесячное, на средний остаток в течение месяца, при условии что остаток больше чем ограничение",F854='депозитный калькулятор'!$D$8,EOMONTH(F854,0)&lt;&gt;F854),IF('депозитный калькулятор'!$F$1=1,$H$24,SUM(OFFSET(Q854,-E854+1,0):Q854)),IF(AND('депозитный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калькулятор'!$G$7="30/360"),DAY(EOMONTH(F854,0))=31),EOMONTH(F854,0)-1=F854,EOMONTH(F854,0)=F854)),IF(IF(AND(OR('депозитный калькулятор'!$G$7="30/365",'депозитный калькулятор'!$G$7="30/360"),DAY(EOMONTH($F$24,0))=31),F854=EOMONTH($F$24,0)-1,F854=EOMONTH($F$24,0)),SUM(OFFSET(Q854,-E854+1,0):Q854),SUM(OFFSET(Q854,-E854+1,0):Q854)),IF('депозитный калькулятор'!$G$10="ежеквартальное",IF(F854&gt;'депозитный калькулятор'!$D$8," ",IF(AND(EOMONTH(F854,0)=F854,OR(MONTH(F854)=3,MONTH(F854)=6,MONTH(F854)=9,MONTH(F854)=12)),IF(EDATE(F854,-3)&lt;'депозитный калькулятор'!$D$7,SUM($H$23:H854),IF(MOD(YEAR(F854),4)=0,IF(AND(EOMONTH(F854,0)=F854,OR(MONTH(F854)=3,MONTH(F854)=6)),SUM(OFFSET(H854,-90,0):H854),IF(AND(EOMONTH(F854,0)=F854,OR(MONTH(F854)=9,MONTH(F854)=12)),SUM(OFFSET(H854,-91,0):H854))),IF(AND(EOMONTH(F854,0)=F854,MONTH(F854)=3),SUM(OFFSET(H854,-89,0):H854),IF(AND(EOMONTH(F854,0)=F854,MONTH(F854)=6),SUM(OFFSET(H854,-90,0):H854),IF(AND(EOMONTH(F854,0)=F854,OR(MONTH(F854)=9,MONTH(F854)=12)),SUM(OFFSET(H854,-91,0):H854)))))),IF(F854='депозитный калькулятор'!$D$8,SUM($H$23:H854)-SUM($I$23:I853),0))),IF('депозитный калькулятор'!$G$10="ежегодное",IF(F854&gt;'депозитный калькулятор'!$D$8," ",IF(F854='депозитный калькулятор'!$D$8,SUM($H$23:H854)-SUM($I$23:I853),IF(AND(EOMONTH(F854,0)=F854,MONTH(F854)=12),IF(MOD(YEAR(F853),4)=0,IF(F854-'депозитный калькулятор'!$D$7&lt;366,SUM($H$23:H854),SUM(OFFSET(H854,-365,0):H854)),IF(F854-'депозитный калькулятор'!$D$7&lt;365,SUM($H$23:H854),SUM(OFFSET(H854,-364,0):H854))),0))),IF(AND('депозитный калькулятор'!$G$10="в конце срока",'депозитный калькулятор'!$D$8=F854),SUM($H$23:H854),0))))))))))))))))))</f>
        <v xml:space="preserve"> </v>
      </c>
      <c r="J854" s="59" t="str">
        <f>IF(F854&gt;'депозитный калькулятор'!$D$8," ",IF('депозитный калькулятор'!$G$16="нет",0,IF(AND('депозитный калькулятор'!$G$17="разовая (в конце срока)",F854='депозитный калькулятор'!$D$8),'депозитный калькулятор'!$G$18,IF(AND('депозитный калькулятор'!$G$17="ежемесячная",EOMONTH(F853,0)=F853),'депозитный калькулятор'!$G$18,IF(AND('депозитный калькулятор'!$G$17="ежегодная",DAY(F853)=31,MONTH(F853)=12),'депозитный калькулятор'!$G$18,IF(AND('депозитный калькулятор'!$G$17="ежемесячная в зависимости от остатка",EOMONTH(F853,0)=F853,P853&gt;0),'депозитный калькулятор'!$G$18,IF(AND('депозитный калькулятор'!$G$17="ежегодная в зависимости от остатка",DAY(F853)=31,MONTH(F853)=12,P853&gt;0),'депозитный калькулятор'!$G$18,0)))))))</f>
        <v xml:space="preserve"> </v>
      </c>
      <c r="K854" s="135" t="str">
        <f>IF($F854=" "," ",IFERROR(VLOOKUP($F854,'депозитный калькулятор'!$B$26:$F$70,2,0),0))</f>
        <v xml:space="preserve"> </v>
      </c>
      <c r="L854" s="135" t="str">
        <f>IF($F854=" "," ",IFERROR(VLOOKUP($F854,'депозитный калькулятор'!$B$26:$F$70,3,0),0))</f>
        <v xml:space="preserve"> </v>
      </c>
      <c r="M854" s="135" t="str">
        <f>IF($F854=" "," ",IFERROR(VLOOKUP($F854,'депозитный калькулятор'!$B$26:$F$70,4,0),0))</f>
        <v xml:space="preserve"> </v>
      </c>
      <c r="N854" s="135" t="str">
        <f>IF($F854=" "," ",IFERROR(VLOOKUP($F854,'депозитный калькулятор'!$B$26:$F$70,5,0),0))</f>
        <v xml:space="preserve"> </v>
      </c>
      <c r="O854" s="146" t="str">
        <f>IF(F854&gt;'депозитный калькулятор'!$D$8," ",IF(F854='депозитный калькулятор'!$D$8,IF(AND($F$24='депозитный калькулятор'!$D$8,'депозитный калькулятор'!$G$13="нет"),-G854-IF(I854=" ",0,I854)-IF(AND(OR('депозитный калькулятор'!$G$7="30/365",'депозитный калькулятор'!$G$7="30/360"),'депозитный калькулятор'!$G$10="в начале срока"),I853,0)-L854+M854-N854,-G854-IF(I854=" ",0,I854)-L854+M854-N854),IF('депозитный калькулятор'!$G$13="есть",M854-N854+IF('депозитный калькулятор'!$G$14="есть",0,-L854),-IF(I854=" ",0,I854)-IF(AND(OR('депозитный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срока"),I853,0)+M854-N854+IF('депозитный калькулятор'!$G$14="есть",0,-L854))))</f>
        <v xml:space="preserve"> </v>
      </c>
      <c r="P854" s="147" t="str">
        <f>IF(F854&gt;'депозитный калькулятор'!$D$8," ",IF(EOMONTH(F853,0)=F853,0,IF(G854&gt;='депозитный калькулятор'!$G$19,P853,P853+1)))</f>
        <v xml:space="preserve"> </v>
      </c>
      <c r="Q854" s="138" t="str">
        <f>IF(F854=" "," ",IF(AND(OR('депозитный калькулятор'!$G$7="30/365",'депозитный калькулятор'!$G$7="30/360"),AND(MONTH(F854)=2,EOMONTH(F854,0)=F854)),IF(DAY(F854)=28,3,2),1)*IF(G854&gt;='депозитный калькулятор'!$G$11,IF(AND('депозитный калькулятор'!$G$7="факт/факт",MOD(YEAR(F854),4)=0),G854*'депозитный калькулятор'!$D$11/366,G854*'депозитный калькулятор'!$G$8),0))</f>
        <v xml:space="preserve"> </v>
      </c>
      <c r="S854" s="62" t="str">
        <f t="shared" ca="1" si="62"/>
        <v xml:space="preserve"> </v>
      </c>
      <c r="T854" s="149" t="str">
        <f ca="1">IF(S854=" "," ",IF('депозитный калькулятор'!$G$7="30/360",DAYS360(U853,IF(DAY(U854)=31,U854-1,U854))+IF(AND(MONTH(U854)=2,U854=EOMONTH(U854,0)),30-DAY(EOMONTH(U854,0)))+T853,VLOOKUP(S854,$C$22:$F$1023,2,0)))</f>
        <v xml:space="preserve"> </v>
      </c>
      <c r="U854" s="64" t="str">
        <f t="shared" ca="1" si="60"/>
        <v xml:space="preserve"> </v>
      </c>
      <c r="V854" s="150" t="str">
        <f t="shared" ca="1" si="63"/>
        <v xml:space="preserve"> </v>
      </c>
      <c r="W854" s="62" t="str">
        <f t="shared" ca="1" si="64"/>
        <v xml:space="preserve"> </v>
      </c>
      <c r="X854" s="141" t="str">
        <f ca="1">IF(S854=" "," ",IFERROR(VLOOKUP(U854,$F$23:$N$1023,7)+VLOOKUP(U854,$F$23:$N$1023,9)+IF(AND('депозитный калькулятор'!$G$13="нет",U854&lt;&gt;'депозитный калькулятор'!$D$8),VLOOKUP(U854,$F$23:$N$1023,4),0),0)+IF(U854='депозитный калькулятор'!$D$8,VLOOKUP(U854,$F$23:$N$1023,2)+VLOOKUP(U854,$F$23:$N$1023,4),0))</f>
        <v xml:space="preserve"> </v>
      </c>
      <c r="Y854" s="142" t="str">
        <f ca="1">IF(S854=" "," ",W854/(1+'депозитный калькулятор'!$K$8)^(T854/IF('депозитный калькулятор'!$G$7="30/360",360,365)))</f>
        <v xml:space="preserve"> </v>
      </c>
      <c r="Z854" s="142" t="str">
        <f ca="1">IF(S854=" "," ",X854/(1+'депозитный калькулятор'!$K$8)^(T854/IF('депозитный калькулятор'!$G$7="30/360",360,365)))</f>
        <v xml:space="preserve"> </v>
      </c>
      <c r="AA854" s="151"/>
      <c r="AB854" s="151"/>
      <c r="AC854" s="155"/>
      <c r="AD854" s="155"/>
    </row>
    <row r="855" spans="1:30" s="2" customFormat="1" ht="15.5" x14ac:dyDescent="0.35">
      <c r="A855" s="41" t="str">
        <f>IF(F855=" "," ",IF(OR('депозитный калькулятор'!$G$7="30/365",'депозитный калькулятор'!$G$7="30/360"),IF(AND(MONTH(F855)=2,DAY(F855)=DAY(EOMONTH(F855,0))),30-DAY(EOMONTH(F855,0)),IF(DAY(F855)=31,1," "))," "))</f>
        <v xml:space="preserve"> </v>
      </c>
      <c r="B855" s="130" t="str">
        <f t="shared" si="61"/>
        <v xml:space="preserve"> </v>
      </c>
      <c r="C855" s="130" t="str">
        <f>IF(OR(B855=0,B855=" ")," ",SUM($B$23:B855))</f>
        <v xml:space="preserve"> </v>
      </c>
      <c r="D855" s="62" t="str">
        <f>IF(D854=" "," ",IF(OR(F854='депозитный калькулятор'!$D$8,F854=" ")," ",D854+1))</f>
        <v xml:space="preserve"> </v>
      </c>
      <c r="E855" s="130" t="str">
        <f>IF(OR(F854='депозитный калькулятор'!$D$8,F854=" ")," ",IF(EOMONTH(F854,0)=F854,1,E854+1))</f>
        <v xml:space="preserve"> </v>
      </c>
      <c r="F855" s="64" t="str">
        <f>IF(F854=" "," ",IF(F854='депозитный калькулятор'!$D$8," ",F854+1))</f>
        <v xml:space="preserve"> </v>
      </c>
      <c r="G855" s="145" t="str">
        <f xml:space="preserve"> IF(F855&gt;'депозитный калькулятор'!$D$8," ",IF('депозитный калькулятор'!$G$13="есть",IF('депозитный калькулятор'!$G$14="есть",G854+IF(I854=" ",0,I854)-J855-K855+L855+M855-N855,G854+IF(I854=" ",0,I854)-J855-K855+M855-N855),IF('депозитный калькулятор'!$G$14="есть",G854-J855-K855+L855+M855-N855,G854-J855-K855+M855-N855)))</f>
        <v xml:space="preserve"> </v>
      </c>
      <c r="H855" s="133" t="str">
        <f>IF(F855&gt;'депозитный калькулятор'!$D$8," ",IF(AND(OR('депозитный калькулятор'!$G$7="30/365",'депозитный калькулятор'!$G$7="30/360"),AND(MONTH(F855)=2,EOMONTH(F855,0)=F855)),IF(DAY(F855)=28,3*G855*'депозитный калькулятор'!$G$8,2*G855*'депозитный калькулятор'!$G$8),IF(AND(OR('депозитный калькулятор'!$G$7="30/365",'депозитный калькулятор'!$G$7="30/360"),DAY(F855)=31)," ",IF(AND('депозитный калькулятор'!$G$7="факт/факт",MOD(YEAR(F855),4)=0),G855*'депозитный калькулятор'!$D$11/366,G855*'депозитный калькулятор'!$G$8))))</f>
        <v xml:space="preserve"> </v>
      </c>
      <c r="I855" s="134" t="str">
        <f ca="1">IF(F855=" "," ",IF('депозитный калькулятор'!$G$10="ежедневное",H855,IF(AND('депозитный калькулятор'!$G$10="еженедельное",WEEKDAY(F855,2)=7),SUM(OFFSET(H855,-6,0):H855),IF(AND('депозитный калькулятор'!$G$10="еженедельное",F855='депозитный калькулятор'!$D$8),SUM($H$23:H855)-SUM($I$23:I854),IF(AND('депозитный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недели",WEEKDAY(F855,2)=7),MIN(OFFSET(H855,-6,0):H855)*(COUNTIF(OFFSET(H855,-6,0):H855,"&gt;0")+SUMIF(OFFSET(A855,-WEEKDAY(F855,2),0):A855,"=2",OFFSET(A855,-WEEKDAY(F855,2),0):A855)),IF(AND('депозитный калькулятор'!$G$10="еженедельное, на минимальную сумму зафиксированную в течение недели",F855='депозитный калькулятор'!$D$8,WEEKDAY(F855,2)&lt;&gt;7),MIN(OFFSET(H855,-WEEKDAY(F855,2),0):H855)*(COUNTIF(OFFSET(H855,-WEEKDAY(F855,2)+1,0):H855,"&gt;0")+SUM(OFFSET(A855,-WEEKDAY(F855,2),0):A855)),IF(AND('депозитный калькулятор'!$G$10="ежемесячное (в конце месяца)",F855='депозитный калькулятор'!$D$8,EOMONTH(F855,0)&lt;&gt;F855),IF('депозитный калькулятор'!$F$1=1,$H$24,SUM($H$23:H855)-SUM($I$23:I854)),IF(AND('депозитный калькулятор'!$G$10="ежемесячное (в конце месяца)",EOMONTH(F855,0)=F855),SUM($H$23:H855)-SUM($I$23:I854),IF(AND('депозитный калькулятор'!$G$10="ежемесячное (по дням открытия вклада)",F855='депозитный калькулятор'!$D$8,DAY('депозитный калькулятор'!$D$7)&lt;&gt;DAY(F855)),IF('депозитный калькулятор'!$F$1=1,$H$24,SUM($H$23:H855)-SUM($I$23:I854)),IF(AND('депозитный калькулятор'!$G$10="ежемесячное (по дням открытия вклада)",DAY('депозитный калькулятор'!$D$7)=DAY(F855)),SUM($H$23:H855)-SUM($I$23:I854),IF(AND('депозитный калькулятор'!$G$10="ежемесячное, на минимальную сумму зафиксированную в течение месяца",F855='депозитный калькулятор'!$D$8,EOMONTH(F855,0)&lt;&gt;F855),IF('депозитный калькулятор'!$F$1=1,$H$24,IF(AND(OR('депозитный калькулятор'!$G$7="30/365",'депозитный калькулятор'!$G$7="30/360"),DAY(F855)=31),0,MIN(OFFSET(H855,-E855+1,0):H855)*(E855+SUMIF(OFFSET(A855,-E855+1,0):A855,"=2",OFFSET(A855,-E855+1,0):A855)))),IF(AND('депозитный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калькулятор'!$G$7="30/360"),DAY(EOMONTH(F855,0))=31),EOMONTH(F855,0)-1=F855,EOMONTH(F855,0)=F855)),IF(IF(AND(OR('депозитный калькулятор'!$G$7="30/365",'депозитный калькулятор'!$G$7="30/360"),DAY(EOMONTH($F$23,0))=31),F855=EOMONTH($F$23,0)-1,F855=EOMONTH($F$23,0)),MIN(OFFSET(H855,-(DAY(F855)-DAY($F$23)),0):H855)*E855,MIN(OFFSET(H855,-(DAY(F855)-1),0):H855)*IF(AND(OR('депозитный калькулятор'!$G$7="30/365",'депозитный калькулятор'!$G$7="30/360"),DAY(F855)&lt;30),30,DAY(F855))),IF(AND('депозитный калькулятор'!$G$10="ежемесячное, на средний остаток в течение месяца, при условии что остаток больше чем ограничение",F855='депозитный калькулятор'!$D$8,EOMONTH(F855,0)&lt;&gt;F855),IF('депозитный калькулятор'!$F$1=1,$H$24,SUM(OFFSET(Q855,-E855+1,0):Q855)),IF(AND('депозитный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калькулятор'!$G$7="30/360"),DAY(EOMONTH(F855,0))=31),EOMONTH(F855,0)-1=F855,EOMONTH(F855,0)=F855)),IF(IF(AND(OR('депозитный калькулятор'!$G$7="30/365",'депозитный калькулятор'!$G$7="30/360"),DAY(EOMONTH($F$24,0))=31),F855=EOMONTH($F$24,0)-1,F855=EOMONTH($F$24,0)),SUM(OFFSET(Q855,-E855+1,0):Q855),SUM(OFFSET(Q855,-E855+1,0):Q855)),IF('депозитный калькулятор'!$G$10="ежеквартальное",IF(F855&gt;'депозитный калькулятор'!$D$8," ",IF(AND(EOMONTH(F855,0)=F855,OR(MONTH(F855)=3,MONTH(F855)=6,MONTH(F855)=9,MONTH(F855)=12)),IF(EDATE(F855,-3)&lt;'депозитный калькулятор'!$D$7,SUM($H$23:H855),IF(MOD(YEAR(F855),4)=0,IF(AND(EOMONTH(F855,0)=F855,OR(MONTH(F855)=3,MONTH(F855)=6)),SUM(OFFSET(H855,-90,0):H855),IF(AND(EOMONTH(F855,0)=F855,OR(MONTH(F855)=9,MONTH(F855)=12)),SUM(OFFSET(H855,-91,0):H855))),IF(AND(EOMONTH(F855,0)=F855,MONTH(F855)=3),SUM(OFFSET(H855,-89,0):H855),IF(AND(EOMONTH(F855,0)=F855,MONTH(F855)=6),SUM(OFFSET(H855,-90,0):H855),IF(AND(EOMONTH(F855,0)=F855,OR(MONTH(F855)=9,MONTH(F855)=12)),SUM(OFFSET(H855,-91,0):H855)))))),IF(F855='депозитный калькулятор'!$D$8,SUM($H$23:H855)-SUM($I$23:I854),0))),IF('депозитный калькулятор'!$G$10="ежегодное",IF(F855&gt;'депозитный калькулятор'!$D$8," ",IF(F855='депозитный калькулятор'!$D$8,SUM($H$23:H855)-SUM($I$23:I854),IF(AND(EOMONTH(F855,0)=F855,MONTH(F855)=12),IF(MOD(YEAR(F854),4)=0,IF(F855-'депозитный калькулятор'!$D$7&lt;366,SUM($H$23:H855),SUM(OFFSET(H855,-365,0):H855)),IF(F855-'депозитный калькулятор'!$D$7&lt;365,SUM($H$23:H855),SUM(OFFSET(H855,-364,0):H855))),0))),IF(AND('депозитный калькулятор'!$G$10="в конце срока",'депозитный калькулятор'!$D$8=F855),SUM($H$23:H855),0))))))))))))))))))</f>
        <v xml:space="preserve"> </v>
      </c>
      <c r="J855" s="59" t="str">
        <f>IF(F855&gt;'депозитный калькулятор'!$D$8," ",IF('депозитный калькулятор'!$G$16="нет",0,IF(AND('депозитный калькулятор'!$G$17="разовая (в конце срока)",F855='депозитный калькулятор'!$D$8),'депозитный калькулятор'!$G$18,IF(AND('депозитный калькулятор'!$G$17="ежемесячная",EOMONTH(F854,0)=F854),'депозитный калькулятор'!$G$18,IF(AND('депозитный калькулятор'!$G$17="ежегодная",DAY(F854)=31,MONTH(F854)=12),'депозитный калькулятор'!$G$18,IF(AND('депозитный калькулятор'!$G$17="ежемесячная в зависимости от остатка",EOMONTH(F854,0)=F854,P854&gt;0),'депозитный калькулятор'!$G$18,IF(AND('депозитный калькулятор'!$G$17="ежегодная в зависимости от остатка",DAY(F854)=31,MONTH(F854)=12,P854&gt;0),'депозитный калькулятор'!$G$18,0)))))))</f>
        <v xml:space="preserve"> </v>
      </c>
      <c r="K855" s="135" t="str">
        <f>IF($F855=" "," ",IFERROR(VLOOKUP($F855,'депозитный калькулятор'!$B$26:$F$70,2,0),0))</f>
        <v xml:space="preserve"> </v>
      </c>
      <c r="L855" s="135" t="str">
        <f>IF($F855=" "," ",IFERROR(VLOOKUP($F855,'депозитный калькулятор'!$B$26:$F$70,3,0),0))</f>
        <v xml:space="preserve"> </v>
      </c>
      <c r="M855" s="135" t="str">
        <f>IF($F855=" "," ",IFERROR(VLOOKUP($F855,'депозитный калькулятор'!$B$26:$F$70,4,0),0))</f>
        <v xml:space="preserve"> </v>
      </c>
      <c r="N855" s="135" t="str">
        <f>IF($F855=" "," ",IFERROR(VLOOKUP($F855,'депозитный калькулятор'!$B$26:$F$70,5,0),0))</f>
        <v xml:space="preserve"> </v>
      </c>
      <c r="O855" s="146" t="str">
        <f>IF(F855&gt;'депозитный калькулятор'!$D$8," ",IF(F855='депозитный калькулятор'!$D$8,IF(AND($F$24='депозитный калькулятор'!$D$8,'депозитный калькулятор'!$G$13="нет"),-G855-IF(I855=" ",0,I855)-IF(AND(OR('депозитный калькулятор'!$G$7="30/365",'депозитный калькулятор'!$G$7="30/360"),'депозитный калькулятор'!$G$10="в начале срока"),I854,0)-L855+M855-N855,-G855-IF(I855=" ",0,I855)-L855+M855-N855),IF('депозитный калькулятор'!$G$13="есть",M855-N855+IF('депозитный калькулятор'!$G$14="есть",0,-L855),-IF(I855=" ",0,I855)-IF(AND(OR('депозитный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срока"),I854,0)+M855-N855+IF('депозитный калькулятор'!$G$14="есть",0,-L855))))</f>
        <v xml:space="preserve"> </v>
      </c>
      <c r="P855" s="147" t="str">
        <f>IF(F855&gt;'депозитный калькулятор'!$D$8," ",IF(EOMONTH(F854,0)=F854,0,IF(G855&gt;='депозитный калькулятор'!$G$19,P854,P854+1)))</f>
        <v xml:space="preserve"> </v>
      </c>
      <c r="Q855" s="138" t="str">
        <f>IF(F855=" "," ",IF(AND(OR('депозитный калькулятор'!$G$7="30/365",'депозитный калькулятор'!$G$7="30/360"),AND(MONTH(F855)=2,EOMONTH(F855,0)=F855)),IF(DAY(F855)=28,3,2),1)*IF(G855&gt;='депозитный калькулятор'!$G$11,IF(AND('депозитный калькулятор'!$G$7="факт/факт",MOD(YEAR(F855),4)=0),G855*'депозитный калькулятор'!$D$11/366,G855*'депозитный калькулятор'!$G$8),0))</f>
        <v xml:space="preserve"> </v>
      </c>
      <c r="S855" s="62" t="str">
        <f t="shared" ca="1" si="62"/>
        <v xml:space="preserve"> </v>
      </c>
      <c r="T855" s="149" t="str">
        <f ca="1">IF(S855=" "," ",IF('депозитный калькулятор'!$G$7="30/360",DAYS360(U854,IF(DAY(U855)=31,U855-1,U855))+IF(AND(MONTH(U855)=2,U855=EOMONTH(U855,0)),30-DAY(EOMONTH(U855,0)))+T854,VLOOKUP(S855,$C$22:$F$1023,2,0)))</f>
        <v xml:space="preserve"> </v>
      </c>
      <c r="U855" s="64" t="str">
        <f t="shared" ref="U855:U918" ca="1" si="65">IF(S855=" "," ",VLOOKUP(S855,$C$22:$F$1023,4,0))</f>
        <v xml:space="preserve"> </v>
      </c>
      <c r="V855" s="150" t="str">
        <f t="shared" ca="1" si="63"/>
        <v xml:space="preserve"> </v>
      </c>
      <c r="W855" s="62" t="str">
        <f t="shared" ca="1" si="64"/>
        <v xml:space="preserve"> </v>
      </c>
      <c r="X855" s="141" t="str">
        <f ca="1">IF(S855=" "," ",IFERROR(VLOOKUP(U855,$F$23:$N$1023,7)+VLOOKUP(U855,$F$23:$N$1023,9)+IF(AND('депозитный калькулятор'!$G$13="нет",U855&lt;&gt;'депозитный калькулятор'!$D$8),VLOOKUP(U855,$F$23:$N$1023,4),0),0)+IF(U855='депозитный калькулятор'!$D$8,VLOOKUP(U855,$F$23:$N$1023,2)+VLOOKUP(U855,$F$23:$N$1023,4),0))</f>
        <v xml:space="preserve"> </v>
      </c>
      <c r="Y855" s="142" t="str">
        <f ca="1">IF(S855=" "," ",W855/(1+'депозитный калькулятор'!$K$8)^(T855/IF('депозитный калькулятор'!$G$7="30/360",360,365)))</f>
        <v xml:space="preserve"> </v>
      </c>
      <c r="Z855" s="142" t="str">
        <f ca="1">IF(S855=" "," ",X855/(1+'депозитный калькулятор'!$K$8)^(T855/IF('депозитный калькулятор'!$G$7="30/360",360,365)))</f>
        <v xml:space="preserve"> </v>
      </c>
      <c r="AA855" s="151"/>
      <c r="AB855" s="151"/>
      <c r="AC855" s="155"/>
      <c r="AD855" s="155"/>
    </row>
    <row r="856" spans="1:30" s="2" customFormat="1" ht="15.5" x14ac:dyDescent="0.35">
      <c r="A856" s="41" t="str">
        <f>IF(F856=" "," ",IF(OR('депозитный калькулятор'!$G$7="30/365",'депозитный калькулятор'!$G$7="30/360"),IF(AND(MONTH(F856)=2,DAY(F856)=DAY(EOMONTH(F856,0))),30-DAY(EOMONTH(F856,0)),IF(DAY(F856)=31,1," "))," "))</f>
        <v xml:space="preserve"> </v>
      </c>
      <c r="B856" s="130" t="str">
        <f t="shared" ref="B856:B919" si="66">IF(F856=" "," ",IF(O856&lt;&gt;0,1,0))</f>
        <v xml:space="preserve"> </v>
      </c>
      <c r="C856" s="130" t="str">
        <f>IF(OR(B856=0,B856=" ")," ",SUM($B$23:B856))</f>
        <v xml:space="preserve"> </v>
      </c>
      <c r="D856" s="62" t="str">
        <f>IF(D855=" "," ",IF(OR(F855='депозитный калькулятор'!$D$8,F855=" ")," ",D855+1))</f>
        <v xml:space="preserve"> </v>
      </c>
      <c r="E856" s="130" t="str">
        <f>IF(OR(F855='депозитный калькулятор'!$D$8,F855=" ")," ",IF(EOMONTH(F855,0)=F855,1,E855+1))</f>
        <v xml:space="preserve"> </v>
      </c>
      <c r="F856" s="64" t="str">
        <f>IF(F855=" "," ",IF(F855='депозитный калькулятор'!$D$8," ",F855+1))</f>
        <v xml:space="preserve"> </v>
      </c>
      <c r="G856" s="145" t="str">
        <f xml:space="preserve"> IF(F856&gt;'депозитный калькулятор'!$D$8," ",IF('депозитный калькулятор'!$G$13="есть",IF('депозитный калькулятор'!$G$14="есть",G855+IF(I855=" ",0,I855)-J856-K856+L856+M856-N856,G855+IF(I855=" ",0,I855)-J856-K856+M856-N856),IF('депозитный калькулятор'!$G$14="есть",G855-J856-K856+L856+M856-N856,G855-J856-K856+M856-N856)))</f>
        <v xml:space="preserve"> </v>
      </c>
      <c r="H856" s="133" t="str">
        <f>IF(F856&gt;'депозитный калькулятор'!$D$8," ",IF(AND(OR('депозитный калькулятор'!$G$7="30/365",'депозитный калькулятор'!$G$7="30/360"),AND(MONTH(F856)=2,EOMONTH(F856,0)=F856)),IF(DAY(F856)=28,3*G856*'депозитный калькулятор'!$G$8,2*G856*'депозитный калькулятор'!$G$8),IF(AND(OR('депозитный калькулятор'!$G$7="30/365",'депозитный калькулятор'!$G$7="30/360"),DAY(F856)=31)," ",IF(AND('депозитный калькулятор'!$G$7="факт/факт",MOD(YEAR(F856),4)=0),G856*'депозитный калькулятор'!$D$11/366,G856*'депозитный калькулятор'!$G$8))))</f>
        <v xml:space="preserve"> </v>
      </c>
      <c r="I856" s="134" t="str">
        <f ca="1">IF(F856=" "," ",IF('депозитный калькулятор'!$G$10="ежедневное",H856,IF(AND('депозитный калькулятор'!$G$10="еженедельное",WEEKDAY(F856,2)=7),SUM(OFFSET(H856,-6,0):H856),IF(AND('депозитный калькулятор'!$G$10="еженедельное",F856='депозитный калькулятор'!$D$8),SUM($H$23:H856)-SUM($I$23:I855),IF(AND('депозитный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недели",WEEKDAY(F856,2)=7),MIN(OFFSET(H856,-6,0):H856)*(COUNTIF(OFFSET(H856,-6,0):H856,"&gt;0")+SUMIF(OFFSET(A856,-WEEKDAY(F856,2),0):A856,"=2",OFFSET(A856,-WEEKDAY(F856,2),0):A856)),IF(AND('депозитный калькулятор'!$G$10="еженедельное, на минимальную сумму зафиксированную в течение недели",F856='депозитный калькулятор'!$D$8,WEEKDAY(F856,2)&lt;&gt;7),MIN(OFFSET(H856,-WEEKDAY(F856,2),0):H856)*(COUNTIF(OFFSET(H856,-WEEKDAY(F856,2)+1,0):H856,"&gt;0")+SUM(OFFSET(A856,-WEEKDAY(F856,2),0):A856)),IF(AND('депозитный калькулятор'!$G$10="ежемесячное (в конце месяца)",F856='депозитный калькулятор'!$D$8,EOMONTH(F856,0)&lt;&gt;F856),IF('депозитный калькулятор'!$F$1=1,$H$24,SUM($H$23:H856)-SUM($I$23:I855)),IF(AND('депозитный калькулятор'!$G$10="ежемесячное (в конце месяца)",EOMONTH(F856,0)=F856),SUM($H$23:H856)-SUM($I$23:I855),IF(AND('депозитный калькулятор'!$G$10="ежемесячное (по дням открытия вклада)",F856='депозитный калькулятор'!$D$8,DAY('депозитный калькулятор'!$D$7)&lt;&gt;DAY(F856)),IF('депозитный калькулятор'!$F$1=1,$H$24,SUM($H$23:H856)-SUM($I$23:I855)),IF(AND('депозитный калькулятор'!$G$10="ежемесячное (по дням открытия вклада)",DAY('депозитный калькулятор'!$D$7)=DAY(F856)),SUM($H$23:H856)-SUM($I$23:I855),IF(AND('депозитный калькулятор'!$G$10="ежемесячное, на минимальную сумму зафиксированную в течение месяца",F856='депозитный калькулятор'!$D$8,EOMONTH(F856,0)&lt;&gt;F856),IF('депозитный калькулятор'!$F$1=1,$H$24,IF(AND(OR('депозитный калькулятор'!$G$7="30/365",'депозитный калькулятор'!$G$7="30/360"),DAY(F856)=31),0,MIN(OFFSET(H856,-E856+1,0):H856)*(E856+SUMIF(OFFSET(A856,-E856+1,0):A856,"=2",OFFSET(A856,-E856+1,0):A856)))),IF(AND('депозитный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калькулятор'!$G$7="30/360"),DAY(EOMONTH(F856,0))=31),EOMONTH(F856,0)-1=F856,EOMONTH(F856,0)=F856)),IF(IF(AND(OR('депозитный калькулятор'!$G$7="30/365",'депозитный калькулятор'!$G$7="30/360"),DAY(EOMONTH($F$23,0))=31),F856=EOMONTH($F$23,0)-1,F856=EOMONTH($F$23,0)),MIN(OFFSET(H856,-(DAY(F856)-DAY($F$23)),0):H856)*E856,MIN(OFFSET(H856,-(DAY(F856)-1),0):H856)*IF(AND(OR('депозитный калькулятор'!$G$7="30/365",'депозитный калькулятор'!$G$7="30/360"),DAY(F856)&lt;30),30,DAY(F856))),IF(AND('депозитный калькулятор'!$G$10="ежемесячное, на средний остаток в течение месяца, при условии что остаток больше чем ограничение",F856='депозитный калькулятор'!$D$8,EOMONTH(F856,0)&lt;&gt;F856),IF('депозитный калькулятор'!$F$1=1,$H$24,SUM(OFFSET(Q856,-E856+1,0):Q856)),IF(AND('депозитный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калькулятор'!$G$7="30/360"),DAY(EOMONTH(F856,0))=31),EOMONTH(F856,0)-1=F856,EOMONTH(F856,0)=F856)),IF(IF(AND(OR('депозитный калькулятор'!$G$7="30/365",'депозитный калькулятор'!$G$7="30/360"),DAY(EOMONTH($F$24,0))=31),F856=EOMONTH($F$24,0)-1,F856=EOMONTH($F$24,0)),SUM(OFFSET(Q856,-E856+1,0):Q856),SUM(OFFSET(Q856,-E856+1,0):Q856)),IF('депозитный калькулятор'!$G$10="ежеквартальное",IF(F856&gt;'депозитный калькулятор'!$D$8," ",IF(AND(EOMONTH(F856,0)=F856,OR(MONTH(F856)=3,MONTH(F856)=6,MONTH(F856)=9,MONTH(F856)=12)),IF(EDATE(F856,-3)&lt;'депозитный калькулятор'!$D$7,SUM($H$23:H856),IF(MOD(YEAR(F856),4)=0,IF(AND(EOMONTH(F856,0)=F856,OR(MONTH(F856)=3,MONTH(F856)=6)),SUM(OFFSET(H856,-90,0):H856),IF(AND(EOMONTH(F856,0)=F856,OR(MONTH(F856)=9,MONTH(F856)=12)),SUM(OFFSET(H856,-91,0):H856))),IF(AND(EOMONTH(F856,0)=F856,MONTH(F856)=3),SUM(OFFSET(H856,-89,0):H856),IF(AND(EOMONTH(F856,0)=F856,MONTH(F856)=6),SUM(OFFSET(H856,-90,0):H856),IF(AND(EOMONTH(F856,0)=F856,OR(MONTH(F856)=9,MONTH(F856)=12)),SUM(OFFSET(H856,-91,0):H856)))))),IF(F856='депозитный калькулятор'!$D$8,SUM($H$23:H856)-SUM($I$23:I855),0))),IF('депозитный калькулятор'!$G$10="ежегодное",IF(F856&gt;'депозитный калькулятор'!$D$8," ",IF(F856='депозитный калькулятор'!$D$8,SUM($H$23:H856)-SUM($I$23:I855),IF(AND(EOMONTH(F856,0)=F856,MONTH(F856)=12),IF(MOD(YEAR(F855),4)=0,IF(F856-'депозитный калькулятор'!$D$7&lt;366,SUM($H$23:H856),SUM(OFFSET(H856,-365,0):H856)),IF(F856-'депозитный калькулятор'!$D$7&lt;365,SUM($H$23:H856),SUM(OFFSET(H856,-364,0):H856))),0))),IF(AND('депозитный калькулятор'!$G$10="в конце срока",'депозитный калькулятор'!$D$8=F856),SUM($H$23:H856),0))))))))))))))))))</f>
        <v xml:space="preserve"> </v>
      </c>
      <c r="J856" s="59" t="str">
        <f>IF(F856&gt;'депозитный калькулятор'!$D$8," ",IF('депозитный калькулятор'!$G$16="нет",0,IF(AND('депозитный калькулятор'!$G$17="разовая (в конце срока)",F856='депозитный калькулятор'!$D$8),'депозитный калькулятор'!$G$18,IF(AND('депозитный калькулятор'!$G$17="ежемесячная",EOMONTH(F855,0)=F855),'депозитный калькулятор'!$G$18,IF(AND('депозитный калькулятор'!$G$17="ежегодная",DAY(F855)=31,MONTH(F855)=12),'депозитный калькулятор'!$G$18,IF(AND('депозитный калькулятор'!$G$17="ежемесячная в зависимости от остатка",EOMONTH(F855,0)=F855,P855&gt;0),'депозитный калькулятор'!$G$18,IF(AND('депозитный калькулятор'!$G$17="ежегодная в зависимости от остатка",DAY(F855)=31,MONTH(F855)=12,P855&gt;0),'депозитный калькулятор'!$G$18,0)))))))</f>
        <v xml:space="preserve"> </v>
      </c>
      <c r="K856" s="135" t="str">
        <f>IF($F856=" "," ",IFERROR(VLOOKUP($F856,'депозитный калькулятор'!$B$26:$F$70,2,0),0))</f>
        <v xml:space="preserve"> </v>
      </c>
      <c r="L856" s="135" t="str">
        <f>IF($F856=" "," ",IFERROR(VLOOKUP($F856,'депозитный калькулятор'!$B$26:$F$70,3,0),0))</f>
        <v xml:space="preserve"> </v>
      </c>
      <c r="M856" s="135" t="str">
        <f>IF($F856=" "," ",IFERROR(VLOOKUP($F856,'депозитный калькулятор'!$B$26:$F$70,4,0),0))</f>
        <v xml:space="preserve"> </v>
      </c>
      <c r="N856" s="135" t="str">
        <f>IF($F856=" "," ",IFERROR(VLOOKUP($F856,'депозитный калькулятор'!$B$26:$F$70,5,0),0))</f>
        <v xml:space="preserve"> </v>
      </c>
      <c r="O856" s="146" t="str">
        <f>IF(F856&gt;'депозитный калькулятор'!$D$8," ",IF(F856='депозитный калькулятор'!$D$8,IF(AND($F$24='депозитный калькулятор'!$D$8,'депозитный калькулятор'!$G$13="нет"),-G856-IF(I856=" ",0,I856)-IF(AND(OR('депозитный калькулятор'!$G$7="30/365",'депозитный калькулятор'!$G$7="30/360"),'депозитный калькулятор'!$G$10="в начале срока"),I855,0)-L856+M856-N856,-G856-IF(I856=" ",0,I856)-L856+M856-N856),IF('депозитный калькулятор'!$G$13="есть",M856-N856+IF('депозитный калькулятор'!$G$14="есть",0,-L856),-IF(I856=" ",0,I856)-IF(AND(OR('депозитный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срока"),I855,0)+M856-N856+IF('депозитный калькулятор'!$G$14="есть",0,-L856))))</f>
        <v xml:space="preserve"> </v>
      </c>
      <c r="P856" s="147" t="str">
        <f>IF(F856&gt;'депозитный калькулятор'!$D$8," ",IF(EOMONTH(F855,0)=F855,0,IF(G856&gt;='депозитный калькулятор'!$G$19,P855,P855+1)))</f>
        <v xml:space="preserve"> </v>
      </c>
      <c r="Q856" s="138" t="str">
        <f>IF(F856=" "," ",IF(AND(OR('депозитный калькулятор'!$G$7="30/365",'депозитный калькулятор'!$G$7="30/360"),AND(MONTH(F856)=2,EOMONTH(F856,0)=F856)),IF(DAY(F856)=28,3,2),1)*IF(G856&gt;='депозитный калькулятор'!$G$11,IF(AND('депозитный калькулятор'!$G$7="факт/факт",MOD(YEAR(F856),4)=0),G856*'депозитный калькулятор'!$D$11/366,G856*'депозитный калькулятор'!$G$8),0))</f>
        <v xml:space="preserve"> </v>
      </c>
      <c r="S856" s="62" t="str">
        <f t="shared" ref="S856:S919" ca="1" si="67">IF(S855&lt;COUNTIFS($B$23:$B$1023,"&gt;0"),S855+1," ")</f>
        <v xml:space="preserve"> </v>
      </c>
      <c r="T856" s="149" t="str">
        <f ca="1">IF(S856=" "," ",IF('депозитный калькулятор'!$G$7="30/360",DAYS360(U855,IF(DAY(U856)=31,U856-1,U856))+IF(AND(MONTH(U856)=2,U856=EOMONTH(U856,0)),30-DAY(EOMONTH(U856,0)))+T855,VLOOKUP(S856,$C$22:$F$1023,2,0)))</f>
        <v xml:space="preserve"> </v>
      </c>
      <c r="U856" s="64" t="str">
        <f t="shared" ca="1" si="65"/>
        <v xml:space="preserve"> </v>
      </c>
      <c r="V856" s="150" t="str">
        <f t="shared" ref="V856:V919" ca="1" si="68">VLOOKUP(U856,$F$24:$O$1023,10)</f>
        <v xml:space="preserve"> </v>
      </c>
      <c r="W856" s="62" t="str">
        <f t="shared" ref="W856:W919" ca="1" si="69">IF(S856=" "," ",VLOOKUP(U856,$F$24:$N$1023,8))</f>
        <v xml:space="preserve"> </v>
      </c>
      <c r="X856" s="141" t="str">
        <f ca="1">IF(S856=" "," ",IFERROR(VLOOKUP(U856,$F$23:$N$1023,7)+VLOOKUP(U856,$F$23:$N$1023,9)+IF(AND('депозитный калькулятор'!$G$13="нет",U856&lt;&gt;'депозитный калькулятор'!$D$8),VLOOKUP(U856,$F$23:$N$1023,4),0),0)+IF(U856='депозитный калькулятор'!$D$8,VLOOKUP(U856,$F$23:$N$1023,2)+VLOOKUP(U856,$F$23:$N$1023,4),0))</f>
        <v xml:space="preserve"> </v>
      </c>
      <c r="Y856" s="142" t="str">
        <f ca="1">IF(S856=" "," ",W856/(1+'депозитный калькулятор'!$K$8)^(T856/IF('депозитный калькулятор'!$G$7="30/360",360,365)))</f>
        <v xml:space="preserve"> </v>
      </c>
      <c r="Z856" s="142" t="str">
        <f ca="1">IF(S856=" "," ",X856/(1+'депозитный калькулятор'!$K$8)^(T856/IF('депозитный калькулятор'!$G$7="30/360",360,365)))</f>
        <v xml:space="preserve"> </v>
      </c>
      <c r="AA856" s="151"/>
      <c r="AB856" s="151"/>
      <c r="AC856" s="155"/>
      <c r="AD856" s="155"/>
    </row>
    <row r="857" spans="1:30" s="2" customFormat="1" ht="15.5" x14ac:dyDescent="0.35">
      <c r="A857" s="41" t="str">
        <f>IF(F857=" "," ",IF(OR('депозитный калькулятор'!$G$7="30/365",'депозитный калькулятор'!$G$7="30/360"),IF(AND(MONTH(F857)=2,DAY(F857)=DAY(EOMONTH(F857,0))),30-DAY(EOMONTH(F857,0)),IF(DAY(F857)=31,1," "))," "))</f>
        <v xml:space="preserve"> </v>
      </c>
      <c r="B857" s="130" t="str">
        <f t="shared" si="66"/>
        <v xml:space="preserve"> </v>
      </c>
      <c r="C857" s="130" t="str">
        <f>IF(OR(B857=0,B857=" ")," ",SUM($B$23:B857))</f>
        <v xml:space="preserve"> </v>
      </c>
      <c r="D857" s="62" t="str">
        <f>IF(D856=" "," ",IF(OR(F856='депозитный калькулятор'!$D$8,F856=" ")," ",D856+1))</f>
        <v xml:space="preserve"> </v>
      </c>
      <c r="E857" s="130" t="str">
        <f>IF(OR(F856='депозитный калькулятор'!$D$8,F856=" ")," ",IF(EOMONTH(F856,0)=F856,1,E856+1))</f>
        <v xml:space="preserve"> </v>
      </c>
      <c r="F857" s="64" t="str">
        <f>IF(F856=" "," ",IF(F856='депозитный калькулятор'!$D$8," ",F856+1))</f>
        <v xml:space="preserve"> </v>
      </c>
      <c r="G857" s="145" t="str">
        <f xml:space="preserve"> IF(F857&gt;'депозитный калькулятор'!$D$8," ",IF('депозитный калькулятор'!$G$13="есть",IF('депозитный калькулятор'!$G$14="есть",G856+IF(I856=" ",0,I856)-J857-K857+L857+M857-N857,G856+IF(I856=" ",0,I856)-J857-K857+M857-N857),IF('депозитный калькулятор'!$G$14="есть",G856-J857-K857+L857+M857-N857,G856-J857-K857+M857-N857)))</f>
        <v xml:space="preserve"> </v>
      </c>
      <c r="H857" s="133" t="str">
        <f>IF(F857&gt;'депозитный калькулятор'!$D$8," ",IF(AND(OR('депозитный калькулятор'!$G$7="30/365",'депозитный калькулятор'!$G$7="30/360"),AND(MONTH(F857)=2,EOMONTH(F857,0)=F857)),IF(DAY(F857)=28,3*G857*'депозитный калькулятор'!$G$8,2*G857*'депозитный калькулятор'!$G$8),IF(AND(OR('депозитный калькулятор'!$G$7="30/365",'депозитный калькулятор'!$G$7="30/360"),DAY(F857)=31)," ",IF(AND('депозитный калькулятор'!$G$7="факт/факт",MOD(YEAR(F857),4)=0),G857*'депозитный калькулятор'!$D$11/366,G857*'депозитный калькулятор'!$G$8))))</f>
        <v xml:space="preserve"> </v>
      </c>
      <c r="I857" s="134" t="str">
        <f ca="1">IF(F857=" "," ",IF('депозитный калькулятор'!$G$10="ежедневное",H857,IF(AND('депозитный калькулятор'!$G$10="еженедельное",WEEKDAY(F857,2)=7),SUM(OFFSET(H857,-6,0):H857),IF(AND('депозитный калькулятор'!$G$10="еженедельное",F857='депозитный калькулятор'!$D$8),SUM($H$23:H857)-SUM($I$23:I856),IF(AND('депозитный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недели",WEEKDAY(F857,2)=7),MIN(OFFSET(H857,-6,0):H857)*(COUNTIF(OFFSET(H857,-6,0):H857,"&gt;0")+SUMIF(OFFSET(A857,-WEEKDAY(F857,2),0):A857,"=2",OFFSET(A857,-WEEKDAY(F857,2),0):A857)),IF(AND('депозитный калькулятор'!$G$10="еженедельное, на минимальную сумму зафиксированную в течение недели",F857='депозитный калькулятор'!$D$8,WEEKDAY(F857,2)&lt;&gt;7),MIN(OFFSET(H857,-WEEKDAY(F857,2),0):H857)*(COUNTIF(OFFSET(H857,-WEEKDAY(F857,2)+1,0):H857,"&gt;0")+SUM(OFFSET(A857,-WEEKDAY(F857,2),0):A857)),IF(AND('депозитный калькулятор'!$G$10="ежемесячное (в конце месяца)",F857='депозитный калькулятор'!$D$8,EOMONTH(F857,0)&lt;&gt;F857),IF('депозитный калькулятор'!$F$1=1,$H$24,SUM($H$23:H857)-SUM($I$23:I856)),IF(AND('депозитный калькулятор'!$G$10="ежемесячное (в конце месяца)",EOMONTH(F857,0)=F857),SUM($H$23:H857)-SUM($I$23:I856),IF(AND('депозитный калькулятор'!$G$10="ежемесячное (по дням открытия вклада)",F857='депозитный калькулятор'!$D$8,DAY('депозитный калькулятор'!$D$7)&lt;&gt;DAY(F857)),IF('депозитный калькулятор'!$F$1=1,$H$24,SUM($H$23:H857)-SUM($I$23:I856)),IF(AND('депозитный калькулятор'!$G$10="ежемесячное (по дням открытия вклада)",DAY('депозитный калькулятор'!$D$7)=DAY(F857)),SUM($H$23:H857)-SUM($I$23:I856),IF(AND('депозитный калькулятор'!$G$10="ежемесячное, на минимальную сумму зафиксированную в течение месяца",F857='депозитный калькулятор'!$D$8,EOMONTH(F857,0)&lt;&gt;F857),IF('депозитный калькулятор'!$F$1=1,$H$24,IF(AND(OR('депозитный калькулятор'!$G$7="30/365",'депозитный калькулятор'!$G$7="30/360"),DAY(F857)=31),0,MIN(OFFSET(H857,-E857+1,0):H857)*(E857+SUMIF(OFFSET(A857,-E857+1,0):A857,"=2",OFFSET(A857,-E857+1,0):A857)))),IF(AND('депозитный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калькулятор'!$G$7="30/360"),DAY(EOMONTH(F857,0))=31),EOMONTH(F857,0)-1=F857,EOMONTH(F857,0)=F857)),IF(IF(AND(OR('депозитный калькулятор'!$G$7="30/365",'депозитный калькулятор'!$G$7="30/360"),DAY(EOMONTH($F$23,0))=31),F857=EOMONTH($F$23,0)-1,F857=EOMONTH($F$23,0)),MIN(OFFSET(H857,-(DAY(F857)-DAY($F$23)),0):H857)*E857,MIN(OFFSET(H857,-(DAY(F857)-1),0):H857)*IF(AND(OR('депозитный калькулятор'!$G$7="30/365",'депозитный калькулятор'!$G$7="30/360"),DAY(F857)&lt;30),30,DAY(F857))),IF(AND('депозитный калькулятор'!$G$10="ежемесячное, на средний остаток в течение месяца, при условии что остаток больше чем ограничение",F857='депозитный калькулятор'!$D$8,EOMONTH(F857,0)&lt;&gt;F857),IF('депозитный калькулятор'!$F$1=1,$H$24,SUM(OFFSET(Q857,-E857+1,0):Q857)),IF(AND('депозитный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калькулятор'!$G$7="30/360"),DAY(EOMONTH(F857,0))=31),EOMONTH(F857,0)-1=F857,EOMONTH(F857,0)=F857)),IF(IF(AND(OR('депозитный калькулятор'!$G$7="30/365",'депозитный калькулятор'!$G$7="30/360"),DAY(EOMONTH($F$24,0))=31),F857=EOMONTH($F$24,0)-1,F857=EOMONTH($F$24,0)),SUM(OFFSET(Q857,-E857+1,0):Q857),SUM(OFFSET(Q857,-E857+1,0):Q857)),IF('депозитный калькулятор'!$G$10="ежеквартальное",IF(F857&gt;'депозитный калькулятор'!$D$8," ",IF(AND(EOMONTH(F857,0)=F857,OR(MONTH(F857)=3,MONTH(F857)=6,MONTH(F857)=9,MONTH(F857)=12)),IF(EDATE(F857,-3)&lt;'депозитный калькулятор'!$D$7,SUM($H$23:H857),IF(MOD(YEAR(F857),4)=0,IF(AND(EOMONTH(F857,0)=F857,OR(MONTH(F857)=3,MONTH(F857)=6)),SUM(OFFSET(H857,-90,0):H857),IF(AND(EOMONTH(F857,0)=F857,OR(MONTH(F857)=9,MONTH(F857)=12)),SUM(OFFSET(H857,-91,0):H857))),IF(AND(EOMONTH(F857,0)=F857,MONTH(F857)=3),SUM(OFFSET(H857,-89,0):H857),IF(AND(EOMONTH(F857,0)=F857,MONTH(F857)=6),SUM(OFFSET(H857,-90,0):H857),IF(AND(EOMONTH(F857,0)=F857,OR(MONTH(F857)=9,MONTH(F857)=12)),SUM(OFFSET(H857,-91,0):H857)))))),IF(F857='депозитный калькулятор'!$D$8,SUM($H$23:H857)-SUM($I$23:I856),0))),IF('депозитный калькулятор'!$G$10="ежегодное",IF(F857&gt;'депозитный калькулятор'!$D$8," ",IF(F857='депозитный калькулятор'!$D$8,SUM($H$23:H857)-SUM($I$23:I856),IF(AND(EOMONTH(F857,0)=F857,MONTH(F857)=12),IF(MOD(YEAR(F856),4)=0,IF(F857-'депозитный калькулятор'!$D$7&lt;366,SUM($H$23:H857),SUM(OFFSET(H857,-365,0):H857)),IF(F857-'депозитный калькулятор'!$D$7&lt;365,SUM($H$23:H857),SUM(OFFSET(H857,-364,0):H857))),0))),IF(AND('депозитный калькулятор'!$G$10="в конце срока",'депозитный калькулятор'!$D$8=F857),SUM($H$23:H857),0))))))))))))))))))</f>
        <v xml:space="preserve"> </v>
      </c>
      <c r="J857" s="59" t="str">
        <f>IF(F857&gt;'депозитный калькулятор'!$D$8," ",IF('депозитный калькулятор'!$G$16="нет",0,IF(AND('депозитный калькулятор'!$G$17="разовая (в конце срока)",F857='депозитный калькулятор'!$D$8),'депозитный калькулятор'!$G$18,IF(AND('депозитный калькулятор'!$G$17="ежемесячная",EOMONTH(F856,0)=F856),'депозитный калькулятор'!$G$18,IF(AND('депозитный калькулятор'!$G$17="ежегодная",DAY(F856)=31,MONTH(F856)=12),'депозитный калькулятор'!$G$18,IF(AND('депозитный калькулятор'!$G$17="ежемесячная в зависимости от остатка",EOMONTH(F856,0)=F856,P856&gt;0),'депозитный калькулятор'!$G$18,IF(AND('депозитный калькулятор'!$G$17="ежегодная в зависимости от остатка",DAY(F856)=31,MONTH(F856)=12,P856&gt;0),'депозитный калькулятор'!$G$18,0)))))))</f>
        <v xml:space="preserve"> </v>
      </c>
      <c r="K857" s="135" t="str">
        <f>IF($F857=" "," ",IFERROR(VLOOKUP($F857,'депозитный калькулятор'!$B$26:$F$70,2,0),0))</f>
        <v xml:space="preserve"> </v>
      </c>
      <c r="L857" s="135" t="str">
        <f>IF($F857=" "," ",IFERROR(VLOOKUP($F857,'депозитный калькулятор'!$B$26:$F$70,3,0),0))</f>
        <v xml:space="preserve"> </v>
      </c>
      <c r="M857" s="135" t="str">
        <f>IF($F857=" "," ",IFERROR(VLOOKUP($F857,'депозитный калькулятор'!$B$26:$F$70,4,0),0))</f>
        <v xml:space="preserve"> </v>
      </c>
      <c r="N857" s="135" t="str">
        <f>IF($F857=" "," ",IFERROR(VLOOKUP($F857,'депозитный калькулятор'!$B$26:$F$70,5,0),0))</f>
        <v xml:space="preserve"> </v>
      </c>
      <c r="O857" s="146" t="str">
        <f>IF(F857&gt;'депозитный калькулятор'!$D$8," ",IF(F857='депозитный калькулятор'!$D$8,IF(AND($F$24='депозитный калькулятор'!$D$8,'депозитный калькулятор'!$G$13="нет"),-G857-IF(I857=" ",0,I857)-IF(AND(OR('депозитный калькулятор'!$G$7="30/365",'депозитный калькулятор'!$G$7="30/360"),'депозитный калькулятор'!$G$10="в начале срока"),I856,0)-L857+M857-N857,-G857-IF(I857=" ",0,I857)-L857+M857-N857),IF('депозитный калькулятор'!$G$13="есть",M857-N857+IF('депозитный калькулятор'!$G$14="есть",0,-L857),-IF(I857=" ",0,I857)-IF(AND(OR('депозитный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срока"),I856,0)+M857-N857+IF('депозитный калькулятор'!$G$14="есть",0,-L857))))</f>
        <v xml:space="preserve"> </v>
      </c>
      <c r="P857" s="147" t="str">
        <f>IF(F857&gt;'депозитный калькулятор'!$D$8," ",IF(EOMONTH(F856,0)=F856,0,IF(G857&gt;='депозитный калькулятор'!$G$19,P856,P856+1)))</f>
        <v xml:space="preserve"> </v>
      </c>
      <c r="Q857" s="138" t="str">
        <f>IF(F857=" "," ",IF(AND(OR('депозитный калькулятор'!$G$7="30/365",'депозитный калькулятор'!$G$7="30/360"),AND(MONTH(F857)=2,EOMONTH(F857,0)=F857)),IF(DAY(F857)=28,3,2),1)*IF(G857&gt;='депозитный калькулятор'!$G$11,IF(AND('депозитный калькулятор'!$G$7="факт/факт",MOD(YEAR(F857),4)=0),G857*'депозитный калькулятор'!$D$11/366,G857*'депозитный калькулятор'!$G$8),0))</f>
        <v xml:space="preserve"> </v>
      </c>
      <c r="S857" s="62" t="str">
        <f t="shared" ca="1" si="67"/>
        <v xml:space="preserve"> </v>
      </c>
      <c r="T857" s="149" t="str">
        <f ca="1">IF(S857=" "," ",IF('депозитный калькулятор'!$G$7="30/360",DAYS360(U856,IF(DAY(U857)=31,U857-1,U857))+IF(AND(MONTH(U857)=2,U857=EOMONTH(U857,0)),30-DAY(EOMONTH(U857,0)))+T856,VLOOKUP(S857,$C$22:$F$1023,2,0)))</f>
        <v xml:space="preserve"> </v>
      </c>
      <c r="U857" s="64" t="str">
        <f t="shared" ca="1" si="65"/>
        <v xml:space="preserve"> </v>
      </c>
      <c r="V857" s="150" t="str">
        <f t="shared" ca="1" si="68"/>
        <v xml:space="preserve"> </v>
      </c>
      <c r="W857" s="62" t="str">
        <f t="shared" ca="1" si="69"/>
        <v xml:space="preserve"> </v>
      </c>
      <c r="X857" s="141" t="str">
        <f ca="1">IF(S857=" "," ",IFERROR(VLOOKUP(U857,$F$23:$N$1023,7)+VLOOKUP(U857,$F$23:$N$1023,9)+IF(AND('депозитный калькулятор'!$G$13="нет",U857&lt;&gt;'депозитный калькулятор'!$D$8),VLOOKUP(U857,$F$23:$N$1023,4),0),0)+IF(U857='депозитный калькулятор'!$D$8,VLOOKUP(U857,$F$23:$N$1023,2)+VLOOKUP(U857,$F$23:$N$1023,4),0))</f>
        <v xml:space="preserve"> </v>
      </c>
      <c r="Y857" s="142" t="str">
        <f ca="1">IF(S857=" "," ",W857/(1+'депозитный калькулятор'!$K$8)^(T857/IF('депозитный калькулятор'!$G$7="30/360",360,365)))</f>
        <v xml:space="preserve"> </v>
      </c>
      <c r="Z857" s="142" t="str">
        <f ca="1">IF(S857=" "," ",X857/(1+'депозитный калькулятор'!$K$8)^(T857/IF('депозитный калькулятор'!$G$7="30/360",360,365)))</f>
        <v xml:space="preserve"> </v>
      </c>
      <c r="AA857" s="151"/>
      <c r="AB857" s="151"/>
      <c r="AC857" s="155"/>
      <c r="AD857" s="155"/>
    </row>
    <row r="858" spans="1:30" s="2" customFormat="1" ht="15.5" x14ac:dyDescent="0.35">
      <c r="A858" s="41" t="str">
        <f>IF(F858=" "," ",IF(OR('депозитный калькулятор'!$G$7="30/365",'депозитный калькулятор'!$G$7="30/360"),IF(AND(MONTH(F858)=2,DAY(F858)=DAY(EOMONTH(F858,0))),30-DAY(EOMONTH(F858,0)),IF(DAY(F858)=31,1," "))," "))</f>
        <v xml:space="preserve"> </v>
      </c>
      <c r="B858" s="130" t="str">
        <f t="shared" si="66"/>
        <v xml:space="preserve"> </v>
      </c>
      <c r="C858" s="130" t="str">
        <f>IF(OR(B858=0,B858=" ")," ",SUM($B$23:B858))</f>
        <v xml:space="preserve"> </v>
      </c>
      <c r="D858" s="62" t="str">
        <f>IF(D857=" "," ",IF(OR(F857='депозитный калькулятор'!$D$8,F857=" ")," ",D857+1))</f>
        <v xml:space="preserve"> </v>
      </c>
      <c r="E858" s="130" t="str">
        <f>IF(OR(F857='депозитный калькулятор'!$D$8,F857=" ")," ",IF(EOMONTH(F857,0)=F857,1,E857+1))</f>
        <v xml:space="preserve"> </v>
      </c>
      <c r="F858" s="64" t="str">
        <f>IF(F857=" "," ",IF(F857='депозитный калькулятор'!$D$8," ",F857+1))</f>
        <v xml:space="preserve"> </v>
      </c>
      <c r="G858" s="145" t="str">
        <f xml:space="preserve"> IF(F858&gt;'депозитный калькулятор'!$D$8," ",IF('депозитный калькулятор'!$G$13="есть",IF('депозитный калькулятор'!$G$14="есть",G857+IF(I857=" ",0,I857)-J858-K858+L858+M858-N858,G857+IF(I857=" ",0,I857)-J858-K858+M858-N858),IF('депозитный калькулятор'!$G$14="есть",G857-J858-K858+L858+M858-N858,G857-J858-K858+M858-N858)))</f>
        <v xml:space="preserve"> </v>
      </c>
      <c r="H858" s="133" t="str">
        <f>IF(F858&gt;'депозитный калькулятор'!$D$8," ",IF(AND(OR('депозитный калькулятор'!$G$7="30/365",'депозитный калькулятор'!$G$7="30/360"),AND(MONTH(F858)=2,EOMONTH(F858,0)=F858)),IF(DAY(F858)=28,3*G858*'депозитный калькулятор'!$G$8,2*G858*'депозитный калькулятор'!$G$8),IF(AND(OR('депозитный калькулятор'!$G$7="30/365",'депозитный калькулятор'!$G$7="30/360"),DAY(F858)=31)," ",IF(AND('депозитный калькулятор'!$G$7="факт/факт",MOD(YEAR(F858),4)=0),G858*'депозитный калькулятор'!$D$11/366,G858*'депозитный калькулятор'!$G$8))))</f>
        <v xml:space="preserve"> </v>
      </c>
      <c r="I858" s="134" t="str">
        <f ca="1">IF(F858=" "," ",IF('депозитный калькулятор'!$G$10="ежедневное",H858,IF(AND('депозитный калькулятор'!$G$10="еженедельное",WEEKDAY(F858,2)=7),SUM(OFFSET(H858,-6,0):H858),IF(AND('депозитный калькулятор'!$G$10="еженедельное",F858='депозитный калькулятор'!$D$8),SUM($H$23:H858)-SUM($I$23:I857),IF(AND('депозитный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недели",WEEKDAY(F858,2)=7),MIN(OFFSET(H858,-6,0):H858)*(COUNTIF(OFFSET(H858,-6,0):H858,"&gt;0")+SUMIF(OFFSET(A858,-WEEKDAY(F858,2),0):A858,"=2",OFFSET(A858,-WEEKDAY(F858,2),0):A858)),IF(AND('депозитный калькулятор'!$G$10="еженедельное, на минимальную сумму зафиксированную в течение недели",F858='депозитный калькулятор'!$D$8,WEEKDAY(F858,2)&lt;&gt;7),MIN(OFFSET(H858,-WEEKDAY(F858,2),0):H858)*(COUNTIF(OFFSET(H858,-WEEKDAY(F858,2)+1,0):H858,"&gt;0")+SUM(OFFSET(A858,-WEEKDAY(F858,2),0):A858)),IF(AND('депозитный калькулятор'!$G$10="ежемесячное (в конце месяца)",F858='депозитный калькулятор'!$D$8,EOMONTH(F858,0)&lt;&gt;F858),IF('депозитный калькулятор'!$F$1=1,$H$24,SUM($H$23:H858)-SUM($I$23:I857)),IF(AND('депозитный калькулятор'!$G$10="ежемесячное (в конце месяца)",EOMONTH(F858,0)=F858),SUM($H$23:H858)-SUM($I$23:I857),IF(AND('депозитный калькулятор'!$G$10="ежемесячное (по дням открытия вклада)",F858='депозитный калькулятор'!$D$8,DAY('депозитный калькулятор'!$D$7)&lt;&gt;DAY(F858)),IF('депозитный калькулятор'!$F$1=1,$H$24,SUM($H$23:H858)-SUM($I$23:I857)),IF(AND('депозитный калькулятор'!$G$10="ежемесячное (по дням открытия вклада)",DAY('депозитный калькулятор'!$D$7)=DAY(F858)),SUM($H$23:H858)-SUM($I$23:I857),IF(AND('депозитный калькулятор'!$G$10="ежемесячное, на минимальную сумму зафиксированную в течение месяца",F858='депозитный калькулятор'!$D$8,EOMONTH(F858,0)&lt;&gt;F858),IF('депозитный калькулятор'!$F$1=1,$H$24,IF(AND(OR('депозитный калькулятор'!$G$7="30/365",'депозитный калькулятор'!$G$7="30/360"),DAY(F858)=31),0,MIN(OFFSET(H858,-E858+1,0):H858)*(E858+SUMIF(OFFSET(A858,-E858+1,0):A858,"=2",OFFSET(A858,-E858+1,0):A858)))),IF(AND('депозитный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калькулятор'!$G$7="30/360"),DAY(EOMONTH(F858,0))=31),EOMONTH(F858,0)-1=F858,EOMONTH(F858,0)=F858)),IF(IF(AND(OR('депозитный калькулятор'!$G$7="30/365",'депозитный калькулятор'!$G$7="30/360"),DAY(EOMONTH($F$23,0))=31),F858=EOMONTH($F$23,0)-1,F858=EOMONTH($F$23,0)),MIN(OFFSET(H858,-(DAY(F858)-DAY($F$23)),0):H858)*E858,MIN(OFFSET(H858,-(DAY(F858)-1),0):H858)*IF(AND(OR('депозитный калькулятор'!$G$7="30/365",'депозитный калькулятор'!$G$7="30/360"),DAY(F858)&lt;30),30,DAY(F858))),IF(AND('депозитный калькулятор'!$G$10="ежемесячное, на средний остаток в течение месяца, при условии что остаток больше чем ограничение",F858='депозитный калькулятор'!$D$8,EOMONTH(F858,0)&lt;&gt;F858),IF('депозитный калькулятор'!$F$1=1,$H$24,SUM(OFFSET(Q858,-E858+1,0):Q858)),IF(AND('депозитный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калькулятор'!$G$7="30/360"),DAY(EOMONTH(F858,0))=31),EOMONTH(F858,0)-1=F858,EOMONTH(F858,0)=F858)),IF(IF(AND(OR('депозитный калькулятор'!$G$7="30/365",'депозитный калькулятор'!$G$7="30/360"),DAY(EOMONTH($F$24,0))=31),F858=EOMONTH($F$24,0)-1,F858=EOMONTH($F$24,0)),SUM(OFFSET(Q858,-E858+1,0):Q858),SUM(OFFSET(Q858,-E858+1,0):Q858)),IF('депозитный калькулятор'!$G$10="ежеквартальное",IF(F858&gt;'депозитный калькулятор'!$D$8," ",IF(AND(EOMONTH(F858,0)=F858,OR(MONTH(F858)=3,MONTH(F858)=6,MONTH(F858)=9,MONTH(F858)=12)),IF(EDATE(F858,-3)&lt;'депозитный калькулятор'!$D$7,SUM($H$23:H858),IF(MOD(YEAR(F858),4)=0,IF(AND(EOMONTH(F858,0)=F858,OR(MONTH(F858)=3,MONTH(F858)=6)),SUM(OFFSET(H858,-90,0):H858),IF(AND(EOMONTH(F858,0)=F858,OR(MONTH(F858)=9,MONTH(F858)=12)),SUM(OFFSET(H858,-91,0):H858))),IF(AND(EOMONTH(F858,0)=F858,MONTH(F858)=3),SUM(OFFSET(H858,-89,0):H858),IF(AND(EOMONTH(F858,0)=F858,MONTH(F858)=6),SUM(OFFSET(H858,-90,0):H858),IF(AND(EOMONTH(F858,0)=F858,OR(MONTH(F858)=9,MONTH(F858)=12)),SUM(OFFSET(H858,-91,0):H858)))))),IF(F858='депозитный калькулятор'!$D$8,SUM($H$23:H858)-SUM($I$23:I857),0))),IF('депозитный калькулятор'!$G$10="ежегодное",IF(F858&gt;'депозитный калькулятор'!$D$8," ",IF(F858='депозитный калькулятор'!$D$8,SUM($H$23:H858)-SUM($I$23:I857),IF(AND(EOMONTH(F858,0)=F858,MONTH(F858)=12),IF(MOD(YEAR(F857),4)=0,IF(F858-'депозитный калькулятор'!$D$7&lt;366,SUM($H$23:H858),SUM(OFFSET(H858,-365,0):H858)),IF(F858-'депозитный калькулятор'!$D$7&lt;365,SUM($H$23:H858),SUM(OFFSET(H858,-364,0):H858))),0))),IF(AND('депозитный калькулятор'!$G$10="в конце срока",'депозитный калькулятор'!$D$8=F858),SUM($H$23:H858),0))))))))))))))))))</f>
        <v xml:space="preserve"> </v>
      </c>
      <c r="J858" s="59" t="str">
        <f>IF(F858&gt;'депозитный калькулятор'!$D$8," ",IF('депозитный калькулятор'!$G$16="нет",0,IF(AND('депозитный калькулятор'!$G$17="разовая (в конце срока)",F858='депозитный калькулятор'!$D$8),'депозитный калькулятор'!$G$18,IF(AND('депозитный калькулятор'!$G$17="ежемесячная",EOMONTH(F857,0)=F857),'депозитный калькулятор'!$G$18,IF(AND('депозитный калькулятор'!$G$17="ежегодная",DAY(F857)=31,MONTH(F857)=12),'депозитный калькулятор'!$G$18,IF(AND('депозитный калькулятор'!$G$17="ежемесячная в зависимости от остатка",EOMONTH(F857,0)=F857,P857&gt;0),'депозитный калькулятор'!$G$18,IF(AND('депозитный калькулятор'!$G$17="ежегодная в зависимости от остатка",DAY(F857)=31,MONTH(F857)=12,P857&gt;0),'депозитный калькулятор'!$G$18,0)))))))</f>
        <v xml:space="preserve"> </v>
      </c>
      <c r="K858" s="135" t="str">
        <f>IF($F858=" "," ",IFERROR(VLOOKUP($F858,'депозитный калькулятор'!$B$26:$F$70,2,0),0))</f>
        <v xml:space="preserve"> </v>
      </c>
      <c r="L858" s="135" t="str">
        <f>IF($F858=" "," ",IFERROR(VLOOKUP($F858,'депозитный калькулятор'!$B$26:$F$70,3,0),0))</f>
        <v xml:space="preserve"> </v>
      </c>
      <c r="M858" s="135" t="str">
        <f>IF($F858=" "," ",IFERROR(VLOOKUP($F858,'депозитный калькулятор'!$B$26:$F$70,4,0),0))</f>
        <v xml:space="preserve"> </v>
      </c>
      <c r="N858" s="135" t="str">
        <f>IF($F858=" "," ",IFERROR(VLOOKUP($F858,'депозитный калькулятор'!$B$26:$F$70,5,0),0))</f>
        <v xml:space="preserve"> </v>
      </c>
      <c r="O858" s="146" t="str">
        <f>IF(F858&gt;'депозитный калькулятор'!$D$8," ",IF(F858='депозитный калькулятор'!$D$8,IF(AND($F$24='депозитный калькулятор'!$D$8,'депозитный калькулятор'!$G$13="нет"),-G858-IF(I858=" ",0,I858)-IF(AND(OR('депозитный калькулятор'!$G$7="30/365",'депозитный калькулятор'!$G$7="30/360"),'депозитный калькулятор'!$G$10="в начале срока"),I857,0)-L858+M858-N858,-G858-IF(I858=" ",0,I858)-L858+M858-N858),IF('депозитный калькулятор'!$G$13="есть",M858-N858+IF('депозитный калькулятор'!$G$14="есть",0,-L858),-IF(I858=" ",0,I858)-IF(AND(OR('депозитный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срока"),I857,0)+M858-N858+IF('депозитный калькулятор'!$G$14="есть",0,-L858))))</f>
        <v xml:space="preserve"> </v>
      </c>
      <c r="P858" s="147" t="str">
        <f>IF(F858&gt;'депозитный калькулятор'!$D$8," ",IF(EOMONTH(F857,0)=F857,0,IF(G858&gt;='депозитный калькулятор'!$G$19,P857,P857+1)))</f>
        <v xml:space="preserve"> </v>
      </c>
      <c r="Q858" s="138" t="str">
        <f>IF(F858=" "," ",IF(AND(OR('депозитный калькулятор'!$G$7="30/365",'депозитный калькулятор'!$G$7="30/360"),AND(MONTH(F858)=2,EOMONTH(F858,0)=F858)),IF(DAY(F858)=28,3,2),1)*IF(G858&gt;='депозитный калькулятор'!$G$11,IF(AND('депозитный калькулятор'!$G$7="факт/факт",MOD(YEAR(F858),4)=0),G858*'депозитный калькулятор'!$D$11/366,G858*'депозитный калькулятор'!$G$8),0))</f>
        <v xml:space="preserve"> </v>
      </c>
      <c r="S858" s="62" t="str">
        <f t="shared" ca="1" si="67"/>
        <v xml:space="preserve"> </v>
      </c>
      <c r="T858" s="149" t="str">
        <f ca="1">IF(S858=" "," ",IF('депозитный калькулятор'!$G$7="30/360",DAYS360(U857,IF(DAY(U858)=31,U858-1,U858))+IF(AND(MONTH(U858)=2,U858=EOMONTH(U858,0)),30-DAY(EOMONTH(U858,0)))+T857,VLOOKUP(S858,$C$22:$F$1023,2,0)))</f>
        <v xml:space="preserve"> </v>
      </c>
      <c r="U858" s="64" t="str">
        <f t="shared" ca="1" si="65"/>
        <v xml:space="preserve"> </v>
      </c>
      <c r="V858" s="150" t="str">
        <f t="shared" ca="1" si="68"/>
        <v xml:space="preserve"> </v>
      </c>
      <c r="W858" s="62" t="str">
        <f t="shared" ca="1" si="69"/>
        <v xml:space="preserve"> </v>
      </c>
      <c r="X858" s="141" t="str">
        <f ca="1">IF(S858=" "," ",IFERROR(VLOOKUP(U858,$F$23:$N$1023,7)+VLOOKUP(U858,$F$23:$N$1023,9)+IF(AND('депозитный калькулятор'!$G$13="нет",U858&lt;&gt;'депозитный калькулятор'!$D$8),VLOOKUP(U858,$F$23:$N$1023,4),0),0)+IF(U858='депозитный калькулятор'!$D$8,VLOOKUP(U858,$F$23:$N$1023,2)+VLOOKUP(U858,$F$23:$N$1023,4),0))</f>
        <v xml:space="preserve"> </v>
      </c>
      <c r="Y858" s="142" t="str">
        <f ca="1">IF(S858=" "," ",W858/(1+'депозитный калькулятор'!$K$8)^(T858/IF('депозитный калькулятор'!$G$7="30/360",360,365)))</f>
        <v xml:space="preserve"> </v>
      </c>
      <c r="Z858" s="142" t="str">
        <f ca="1">IF(S858=" "," ",X858/(1+'депозитный калькулятор'!$K$8)^(T858/IF('депозитный калькулятор'!$G$7="30/360",360,365)))</f>
        <v xml:space="preserve"> </v>
      </c>
      <c r="AA858" s="151"/>
      <c r="AB858" s="151"/>
      <c r="AC858" s="155"/>
      <c r="AD858" s="155"/>
    </row>
    <row r="859" spans="1:30" s="2" customFormat="1" ht="15.5" x14ac:dyDescent="0.35">
      <c r="A859" s="41" t="str">
        <f>IF(F859=" "," ",IF(OR('депозитный калькулятор'!$G$7="30/365",'депозитный калькулятор'!$G$7="30/360"),IF(AND(MONTH(F859)=2,DAY(F859)=DAY(EOMONTH(F859,0))),30-DAY(EOMONTH(F859,0)),IF(DAY(F859)=31,1," "))," "))</f>
        <v xml:space="preserve"> </v>
      </c>
      <c r="B859" s="130" t="str">
        <f t="shared" si="66"/>
        <v xml:space="preserve"> </v>
      </c>
      <c r="C859" s="130" t="str">
        <f>IF(OR(B859=0,B859=" ")," ",SUM($B$23:B859))</f>
        <v xml:space="preserve"> </v>
      </c>
      <c r="D859" s="62" t="str">
        <f>IF(D858=" "," ",IF(OR(F858='депозитный калькулятор'!$D$8,F858=" ")," ",D858+1))</f>
        <v xml:space="preserve"> </v>
      </c>
      <c r="E859" s="130" t="str">
        <f>IF(OR(F858='депозитный калькулятор'!$D$8,F858=" ")," ",IF(EOMONTH(F858,0)=F858,1,E858+1))</f>
        <v xml:space="preserve"> </v>
      </c>
      <c r="F859" s="64" t="str">
        <f>IF(F858=" "," ",IF(F858='депозитный калькулятор'!$D$8," ",F858+1))</f>
        <v xml:space="preserve"> </v>
      </c>
      <c r="G859" s="145" t="str">
        <f xml:space="preserve"> IF(F859&gt;'депозитный калькулятор'!$D$8," ",IF('депозитный калькулятор'!$G$13="есть",IF('депозитный калькулятор'!$G$14="есть",G858+IF(I858=" ",0,I858)-J859-K859+L859+M859-N859,G858+IF(I858=" ",0,I858)-J859-K859+M859-N859),IF('депозитный калькулятор'!$G$14="есть",G858-J859-K859+L859+M859-N859,G858-J859-K859+M859-N859)))</f>
        <v xml:space="preserve"> </v>
      </c>
      <c r="H859" s="133" t="str">
        <f>IF(F859&gt;'депозитный калькулятор'!$D$8," ",IF(AND(OR('депозитный калькулятор'!$G$7="30/365",'депозитный калькулятор'!$G$7="30/360"),AND(MONTH(F859)=2,EOMONTH(F859,0)=F859)),IF(DAY(F859)=28,3*G859*'депозитный калькулятор'!$G$8,2*G859*'депозитный калькулятор'!$G$8),IF(AND(OR('депозитный калькулятор'!$G$7="30/365",'депозитный калькулятор'!$G$7="30/360"),DAY(F859)=31)," ",IF(AND('депозитный калькулятор'!$G$7="факт/факт",MOD(YEAR(F859),4)=0),G859*'депозитный калькулятор'!$D$11/366,G859*'депозитный калькулятор'!$G$8))))</f>
        <v xml:space="preserve"> </v>
      </c>
      <c r="I859" s="134" t="str">
        <f ca="1">IF(F859=" "," ",IF('депозитный калькулятор'!$G$10="ежедневное",H859,IF(AND('депозитный калькулятор'!$G$10="еженедельное",WEEKDAY(F859,2)=7),SUM(OFFSET(H859,-6,0):H859),IF(AND('депозитный калькулятор'!$G$10="еженедельное",F859='депозитный калькулятор'!$D$8),SUM($H$23:H859)-SUM($I$23:I858),IF(AND('депозитный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недели",WEEKDAY(F859,2)=7),MIN(OFFSET(H859,-6,0):H859)*(COUNTIF(OFFSET(H859,-6,0):H859,"&gt;0")+SUMIF(OFFSET(A859,-WEEKDAY(F859,2),0):A859,"=2",OFFSET(A859,-WEEKDAY(F859,2),0):A859)),IF(AND('депозитный калькулятор'!$G$10="еженедельное, на минимальную сумму зафиксированную в течение недели",F859='депозитный калькулятор'!$D$8,WEEKDAY(F859,2)&lt;&gt;7),MIN(OFFSET(H859,-WEEKDAY(F859,2),0):H859)*(COUNTIF(OFFSET(H859,-WEEKDAY(F859,2)+1,0):H859,"&gt;0")+SUM(OFFSET(A859,-WEEKDAY(F859,2),0):A859)),IF(AND('депозитный калькулятор'!$G$10="ежемесячное (в конце месяца)",F859='депозитный калькулятор'!$D$8,EOMONTH(F859,0)&lt;&gt;F859),IF('депозитный калькулятор'!$F$1=1,$H$24,SUM($H$23:H859)-SUM($I$23:I858)),IF(AND('депозитный калькулятор'!$G$10="ежемесячное (в конце месяца)",EOMONTH(F859,0)=F859),SUM($H$23:H859)-SUM($I$23:I858),IF(AND('депозитный калькулятор'!$G$10="ежемесячное (по дням открытия вклада)",F859='депозитный калькулятор'!$D$8,DAY('депозитный калькулятор'!$D$7)&lt;&gt;DAY(F859)),IF('депозитный калькулятор'!$F$1=1,$H$24,SUM($H$23:H859)-SUM($I$23:I858)),IF(AND('депозитный калькулятор'!$G$10="ежемесячное (по дням открытия вклада)",DAY('депозитный калькулятор'!$D$7)=DAY(F859)),SUM($H$23:H859)-SUM($I$23:I858),IF(AND('депозитный калькулятор'!$G$10="ежемесячное, на минимальную сумму зафиксированную в течение месяца",F859='депозитный калькулятор'!$D$8,EOMONTH(F859,0)&lt;&gt;F859),IF('депозитный калькулятор'!$F$1=1,$H$24,IF(AND(OR('депозитный калькулятор'!$G$7="30/365",'депозитный калькулятор'!$G$7="30/360"),DAY(F859)=31),0,MIN(OFFSET(H859,-E859+1,0):H859)*(E859+SUMIF(OFFSET(A859,-E859+1,0):A859,"=2",OFFSET(A859,-E859+1,0):A859)))),IF(AND('депозитный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калькулятор'!$G$7="30/360"),DAY(EOMONTH(F859,0))=31),EOMONTH(F859,0)-1=F859,EOMONTH(F859,0)=F859)),IF(IF(AND(OR('депозитный калькулятор'!$G$7="30/365",'депозитный калькулятор'!$G$7="30/360"),DAY(EOMONTH($F$23,0))=31),F859=EOMONTH($F$23,0)-1,F859=EOMONTH($F$23,0)),MIN(OFFSET(H859,-(DAY(F859)-DAY($F$23)),0):H859)*E859,MIN(OFFSET(H859,-(DAY(F859)-1),0):H859)*IF(AND(OR('депозитный калькулятор'!$G$7="30/365",'депозитный калькулятор'!$G$7="30/360"),DAY(F859)&lt;30),30,DAY(F859))),IF(AND('депозитный калькулятор'!$G$10="ежемесячное, на средний остаток в течение месяца, при условии что остаток больше чем ограничение",F859='депозитный калькулятор'!$D$8,EOMONTH(F859,0)&lt;&gt;F859),IF('депозитный калькулятор'!$F$1=1,$H$24,SUM(OFFSET(Q859,-E859+1,0):Q859)),IF(AND('депозитный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калькулятор'!$G$7="30/360"),DAY(EOMONTH(F859,0))=31),EOMONTH(F859,0)-1=F859,EOMONTH(F859,0)=F859)),IF(IF(AND(OR('депозитный калькулятор'!$G$7="30/365",'депозитный калькулятор'!$G$7="30/360"),DAY(EOMONTH($F$24,0))=31),F859=EOMONTH($F$24,0)-1,F859=EOMONTH($F$24,0)),SUM(OFFSET(Q859,-E859+1,0):Q859),SUM(OFFSET(Q859,-E859+1,0):Q859)),IF('депозитный калькулятор'!$G$10="ежеквартальное",IF(F859&gt;'депозитный калькулятор'!$D$8," ",IF(AND(EOMONTH(F859,0)=F859,OR(MONTH(F859)=3,MONTH(F859)=6,MONTH(F859)=9,MONTH(F859)=12)),IF(EDATE(F859,-3)&lt;'депозитный калькулятор'!$D$7,SUM($H$23:H859),IF(MOD(YEAR(F859),4)=0,IF(AND(EOMONTH(F859,0)=F859,OR(MONTH(F859)=3,MONTH(F859)=6)),SUM(OFFSET(H859,-90,0):H859),IF(AND(EOMONTH(F859,0)=F859,OR(MONTH(F859)=9,MONTH(F859)=12)),SUM(OFFSET(H859,-91,0):H859))),IF(AND(EOMONTH(F859,0)=F859,MONTH(F859)=3),SUM(OFFSET(H859,-89,0):H859),IF(AND(EOMONTH(F859,0)=F859,MONTH(F859)=6),SUM(OFFSET(H859,-90,0):H859),IF(AND(EOMONTH(F859,0)=F859,OR(MONTH(F859)=9,MONTH(F859)=12)),SUM(OFFSET(H859,-91,0):H859)))))),IF(F859='депозитный калькулятор'!$D$8,SUM($H$23:H859)-SUM($I$23:I858),0))),IF('депозитный калькулятор'!$G$10="ежегодное",IF(F859&gt;'депозитный калькулятор'!$D$8," ",IF(F859='депозитный калькулятор'!$D$8,SUM($H$23:H859)-SUM($I$23:I858),IF(AND(EOMONTH(F859,0)=F859,MONTH(F859)=12),IF(MOD(YEAR(F858),4)=0,IF(F859-'депозитный калькулятор'!$D$7&lt;366,SUM($H$23:H859),SUM(OFFSET(H859,-365,0):H859)),IF(F859-'депозитный калькулятор'!$D$7&lt;365,SUM($H$23:H859),SUM(OFFSET(H859,-364,0):H859))),0))),IF(AND('депозитный калькулятор'!$G$10="в конце срока",'депозитный калькулятор'!$D$8=F859),SUM($H$23:H859),0))))))))))))))))))</f>
        <v xml:space="preserve"> </v>
      </c>
      <c r="J859" s="59" t="str">
        <f>IF(F859&gt;'депозитный калькулятор'!$D$8," ",IF('депозитный калькулятор'!$G$16="нет",0,IF(AND('депозитный калькулятор'!$G$17="разовая (в конце срока)",F859='депозитный калькулятор'!$D$8),'депозитный калькулятор'!$G$18,IF(AND('депозитный калькулятор'!$G$17="ежемесячная",EOMONTH(F858,0)=F858),'депозитный калькулятор'!$G$18,IF(AND('депозитный калькулятор'!$G$17="ежегодная",DAY(F858)=31,MONTH(F858)=12),'депозитный калькулятор'!$G$18,IF(AND('депозитный калькулятор'!$G$17="ежемесячная в зависимости от остатка",EOMONTH(F858,0)=F858,P858&gt;0),'депозитный калькулятор'!$G$18,IF(AND('депозитный калькулятор'!$G$17="ежегодная в зависимости от остатка",DAY(F858)=31,MONTH(F858)=12,P858&gt;0),'депозитный калькулятор'!$G$18,0)))))))</f>
        <v xml:space="preserve"> </v>
      </c>
      <c r="K859" s="135" t="str">
        <f>IF($F859=" "," ",IFERROR(VLOOKUP($F859,'депозитный калькулятор'!$B$26:$F$70,2,0),0))</f>
        <v xml:space="preserve"> </v>
      </c>
      <c r="L859" s="135" t="str">
        <f>IF($F859=" "," ",IFERROR(VLOOKUP($F859,'депозитный калькулятор'!$B$26:$F$70,3,0),0))</f>
        <v xml:space="preserve"> </v>
      </c>
      <c r="M859" s="135" t="str">
        <f>IF($F859=" "," ",IFERROR(VLOOKUP($F859,'депозитный калькулятор'!$B$26:$F$70,4,0),0))</f>
        <v xml:space="preserve"> </v>
      </c>
      <c r="N859" s="135" t="str">
        <f>IF($F859=" "," ",IFERROR(VLOOKUP($F859,'депозитный калькулятор'!$B$26:$F$70,5,0),0))</f>
        <v xml:space="preserve"> </v>
      </c>
      <c r="O859" s="146" t="str">
        <f>IF(F859&gt;'депозитный калькулятор'!$D$8," ",IF(F859='депозитный калькулятор'!$D$8,IF(AND($F$24='депозитный калькулятор'!$D$8,'депозитный калькулятор'!$G$13="нет"),-G859-IF(I859=" ",0,I859)-IF(AND(OR('депозитный калькулятор'!$G$7="30/365",'депозитный калькулятор'!$G$7="30/360"),'депозитный калькулятор'!$G$10="в начале срока"),I858,0)-L859+M859-N859,-G859-IF(I859=" ",0,I859)-L859+M859-N859),IF('депозитный калькулятор'!$G$13="есть",M859-N859+IF('депозитный калькулятор'!$G$14="есть",0,-L859),-IF(I859=" ",0,I859)-IF(AND(OR('депозитный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срока"),I858,0)+M859-N859+IF('депозитный калькулятор'!$G$14="есть",0,-L859))))</f>
        <v xml:space="preserve"> </v>
      </c>
      <c r="P859" s="147" t="str">
        <f>IF(F859&gt;'депозитный калькулятор'!$D$8," ",IF(EOMONTH(F858,0)=F858,0,IF(G859&gt;='депозитный калькулятор'!$G$19,P858,P858+1)))</f>
        <v xml:space="preserve"> </v>
      </c>
      <c r="Q859" s="138" t="str">
        <f>IF(F859=" "," ",IF(AND(OR('депозитный калькулятор'!$G$7="30/365",'депозитный калькулятор'!$G$7="30/360"),AND(MONTH(F859)=2,EOMONTH(F859,0)=F859)),IF(DAY(F859)=28,3,2),1)*IF(G859&gt;='депозитный калькулятор'!$G$11,IF(AND('депозитный калькулятор'!$G$7="факт/факт",MOD(YEAR(F859),4)=0),G859*'депозитный калькулятор'!$D$11/366,G859*'депозитный калькулятор'!$G$8),0))</f>
        <v xml:space="preserve"> </v>
      </c>
      <c r="S859" s="62" t="str">
        <f t="shared" ca="1" si="67"/>
        <v xml:space="preserve"> </v>
      </c>
      <c r="T859" s="149" t="str">
        <f ca="1">IF(S859=" "," ",IF('депозитный калькулятор'!$G$7="30/360",DAYS360(U858,IF(DAY(U859)=31,U859-1,U859))+IF(AND(MONTH(U859)=2,U859=EOMONTH(U859,0)),30-DAY(EOMONTH(U859,0)))+T858,VLOOKUP(S859,$C$22:$F$1023,2,0)))</f>
        <v xml:space="preserve"> </v>
      </c>
      <c r="U859" s="64" t="str">
        <f t="shared" ca="1" si="65"/>
        <v xml:space="preserve"> </v>
      </c>
      <c r="V859" s="150" t="str">
        <f t="shared" ca="1" si="68"/>
        <v xml:space="preserve"> </v>
      </c>
      <c r="W859" s="62" t="str">
        <f t="shared" ca="1" si="69"/>
        <v xml:space="preserve"> </v>
      </c>
      <c r="X859" s="141" t="str">
        <f ca="1">IF(S859=" "," ",IFERROR(VLOOKUP(U859,$F$23:$N$1023,7)+VLOOKUP(U859,$F$23:$N$1023,9)+IF(AND('депозитный калькулятор'!$G$13="нет",U859&lt;&gt;'депозитный калькулятор'!$D$8),VLOOKUP(U859,$F$23:$N$1023,4),0),0)+IF(U859='депозитный калькулятор'!$D$8,VLOOKUP(U859,$F$23:$N$1023,2)+VLOOKUP(U859,$F$23:$N$1023,4),0))</f>
        <v xml:space="preserve"> </v>
      </c>
      <c r="Y859" s="142" t="str">
        <f ca="1">IF(S859=" "," ",W859/(1+'депозитный калькулятор'!$K$8)^(T859/IF('депозитный калькулятор'!$G$7="30/360",360,365)))</f>
        <v xml:space="preserve"> </v>
      </c>
      <c r="Z859" s="142" t="str">
        <f ca="1">IF(S859=" "," ",X859/(1+'депозитный калькулятор'!$K$8)^(T859/IF('депозитный калькулятор'!$G$7="30/360",360,365)))</f>
        <v xml:space="preserve"> </v>
      </c>
      <c r="AA859" s="151"/>
      <c r="AB859" s="151"/>
      <c r="AC859" s="155"/>
      <c r="AD859" s="155"/>
    </row>
    <row r="860" spans="1:30" s="2" customFormat="1" ht="15.5" x14ac:dyDescent="0.35">
      <c r="A860" s="41" t="str">
        <f>IF(F860=" "," ",IF(OR('депозитный калькулятор'!$G$7="30/365",'депозитный калькулятор'!$G$7="30/360"),IF(AND(MONTH(F860)=2,DAY(F860)=DAY(EOMONTH(F860,0))),30-DAY(EOMONTH(F860,0)),IF(DAY(F860)=31,1," "))," "))</f>
        <v xml:space="preserve"> </v>
      </c>
      <c r="B860" s="130" t="str">
        <f t="shared" si="66"/>
        <v xml:space="preserve"> </v>
      </c>
      <c r="C860" s="130" t="str">
        <f>IF(OR(B860=0,B860=" ")," ",SUM($B$23:B860))</f>
        <v xml:space="preserve"> </v>
      </c>
      <c r="D860" s="62" t="str">
        <f>IF(D859=" "," ",IF(OR(F859='депозитный калькулятор'!$D$8,F859=" ")," ",D859+1))</f>
        <v xml:space="preserve"> </v>
      </c>
      <c r="E860" s="130" t="str">
        <f>IF(OR(F859='депозитный калькулятор'!$D$8,F859=" ")," ",IF(EOMONTH(F859,0)=F859,1,E859+1))</f>
        <v xml:space="preserve"> </v>
      </c>
      <c r="F860" s="64" t="str">
        <f>IF(F859=" "," ",IF(F859='депозитный калькулятор'!$D$8," ",F859+1))</f>
        <v xml:space="preserve"> </v>
      </c>
      <c r="G860" s="145" t="str">
        <f xml:space="preserve"> IF(F860&gt;'депозитный калькулятор'!$D$8," ",IF('депозитный калькулятор'!$G$13="есть",IF('депозитный калькулятор'!$G$14="есть",G859+IF(I859=" ",0,I859)-J860-K860+L860+M860-N860,G859+IF(I859=" ",0,I859)-J860-K860+M860-N860),IF('депозитный калькулятор'!$G$14="есть",G859-J860-K860+L860+M860-N860,G859-J860-K860+M860-N860)))</f>
        <v xml:space="preserve"> </v>
      </c>
      <c r="H860" s="133" t="str">
        <f>IF(F860&gt;'депозитный калькулятор'!$D$8," ",IF(AND(OR('депозитный калькулятор'!$G$7="30/365",'депозитный калькулятор'!$G$7="30/360"),AND(MONTH(F860)=2,EOMONTH(F860,0)=F860)),IF(DAY(F860)=28,3*G860*'депозитный калькулятор'!$G$8,2*G860*'депозитный калькулятор'!$G$8),IF(AND(OR('депозитный калькулятор'!$G$7="30/365",'депозитный калькулятор'!$G$7="30/360"),DAY(F860)=31)," ",IF(AND('депозитный калькулятор'!$G$7="факт/факт",MOD(YEAR(F860),4)=0),G860*'депозитный калькулятор'!$D$11/366,G860*'депозитный калькулятор'!$G$8))))</f>
        <v xml:space="preserve"> </v>
      </c>
      <c r="I860" s="134" t="str">
        <f ca="1">IF(F860=" "," ",IF('депозитный калькулятор'!$G$10="ежедневное",H860,IF(AND('депозитный калькулятор'!$G$10="еженедельное",WEEKDAY(F860,2)=7),SUM(OFFSET(H860,-6,0):H860),IF(AND('депозитный калькулятор'!$G$10="еженедельное",F860='депозитный калькулятор'!$D$8),SUM($H$23:H860)-SUM($I$23:I859),IF(AND('депозитный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недели",WEEKDAY(F860,2)=7),MIN(OFFSET(H860,-6,0):H860)*(COUNTIF(OFFSET(H860,-6,0):H860,"&gt;0")+SUMIF(OFFSET(A860,-WEEKDAY(F860,2),0):A860,"=2",OFFSET(A860,-WEEKDAY(F860,2),0):A860)),IF(AND('депозитный калькулятор'!$G$10="еженедельное, на минимальную сумму зафиксированную в течение недели",F860='депозитный калькулятор'!$D$8,WEEKDAY(F860,2)&lt;&gt;7),MIN(OFFSET(H860,-WEEKDAY(F860,2),0):H860)*(COUNTIF(OFFSET(H860,-WEEKDAY(F860,2)+1,0):H860,"&gt;0")+SUM(OFFSET(A860,-WEEKDAY(F860,2),0):A860)),IF(AND('депозитный калькулятор'!$G$10="ежемесячное (в конце месяца)",F860='депозитный калькулятор'!$D$8,EOMONTH(F860,0)&lt;&gt;F860),IF('депозитный калькулятор'!$F$1=1,$H$24,SUM($H$23:H860)-SUM($I$23:I859)),IF(AND('депозитный калькулятор'!$G$10="ежемесячное (в конце месяца)",EOMONTH(F860,0)=F860),SUM($H$23:H860)-SUM($I$23:I859),IF(AND('депозитный калькулятор'!$G$10="ежемесячное (по дням открытия вклада)",F860='депозитный калькулятор'!$D$8,DAY('депозитный калькулятор'!$D$7)&lt;&gt;DAY(F860)),IF('депозитный калькулятор'!$F$1=1,$H$24,SUM($H$23:H860)-SUM($I$23:I859)),IF(AND('депозитный калькулятор'!$G$10="ежемесячное (по дням открытия вклада)",DAY('депозитный калькулятор'!$D$7)=DAY(F860)),SUM($H$23:H860)-SUM($I$23:I859),IF(AND('депозитный калькулятор'!$G$10="ежемесячное, на минимальную сумму зафиксированную в течение месяца",F860='депозитный калькулятор'!$D$8,EOMONTH(F860,0)&lt;&gt;F860),IF('депозитный калькулятор'!$F$1=1,$H$24,IF(AND(OR('депозитный калькулятор'!$G$7="30/365",'депозитный калькулятор'!$G$7="30/360"),DAY(F860)=31),0,MIN(OFFSET(H860,-E860+1,0):H860)*(E860+SUMIF(OFFSET(A860,-E860+1,0):A860,"=2",OFFSET(A860,-E860+1,0):A860)))),IF(AND('депозитный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калькулятор'!$G$7="30/360"),DAY(EOMONTH(F860,0))=31),EOMONTH(F860,0)-1=F860,EOMONTH(F860,0)=F860)),IF(IF(AND(OR('депозитный калькулятор'!$G$7="30/365",'депозитный калькулятор'!$G$7="30/360"),DAY(EOMONTH($F$23,0))=31),F860=EOMONTH($F$23,0)-1,F860=EOMONTH($F$23,0)),MIN(OFFSET(H860,-(DAY(F860)-DAY($F$23)),0):H860)*E860,MIN(OFFSET(H860,-(DAY(F860)-1),0):H860)*IF(AND(OR('депозитный калькулятор'!$G$7="30/365",'депозитный калькулятор'!$G$7="30/360"),DAY(F860)&lt;30),30,DAY(F860))),IF(AND('депозитный калькулятор'!$G$10="ежемесячное, на средний остаток в течение месяца, при условии что остаток больше чем ограничение",F860='депозитный калькулятор'!$D$8,EOMONTH(F860,0)&lt;&gt;F860),IF('депозитный калькулятор'!$F$1=1,$H$24,SUM(OFFSET(Q860,-E860+1,0):Q860)),IF(AND('депозитный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калькулятор'!$G$7="30/360"),DAY(EOMONTH(F860,0))=31),EOMONTH(F860,0)-1=F860,EOMONTH(F860,0)=F860)),IF(IF(AND(OR('депозитный калькулятор'!$G$7="30/365",'депозитный калькулятор'!$G$7="30/360"),DAY(EOMONTH($F$24,0))=31),F860=EOMONTH($F$24,0)-1,F860=EOMONTH($F$24,0)),SUM(OFFSET(Q860,-E860+1,0):Q860),SUM(OFFSET(Q860,-E860+1,0):Q860)),IF('депозитный калькулятор'!$G$10="ежеквартальное",IF(F860&gt;'депозитный калькулятор'!$D$8," ",IF(AND(EOMONTH(F860,0)=F860,OR(MONTH(F860)=3,MONTH(F860)=6,MONTH(F860)=9,MONTH(F860)=12)),IF(EDATE(F860,-3)&lt;'депозитный калькулятор'!$D$7,SUM($H$23:H860),IF(MOD(YEAR(F860),4)=0,IF(AND(EOMONTH(F860,0)=F860,OR(MONTH(F860)=3,MONTH(F860)=6)),SUM(OFFSET(H860,-90,0):H860),IF(AND(EOMONTH(F860,0)=F860,OR(MONTH(F860)=9,MONTH(F860)=12)),SUM(OFFSET(H860,-91,0):H860))),IF(AND(EOMONTH(F860,0)=F860,MONTH(F860)=3),SUM(OFFSET(H860,-89,0):H860),IF(AND(EOMONTH(F860,0)=F860,MONTH(F860)=6),SUM(OFFSET(H860,-90,0):H860),IF(AND(EOMONTH(F860,0)=F860,OR(MONTH(F860)=9,MONTH(F860)=12)),SUM(OFFSET(H860,-91,0):H860)))))),IF(F860='депозитный калькулятор'!$D$8,SUM($H$23:H860)-SUM($I$23:I859),0))),IF('депозитный калькулятор'!$G$10="ежегодное",IF(F860&gt;'депозитный калькулятор'!$D$8," ",IF(F860='депозитный калькулятор'!$D$8,SUM($H$23:H860)-SUM($I$23:I859),IF(AND(EOMONTH(F860,0)=F860,MONTH(F860)=12),IF(MOD(YEAR(F859),4)=0,IF(F860-'депозитный калькулятор'!$D$7&lt;366,SUM($H$23:H860),SUM(OFFSET(H860,-365,0):H860)),IF(F860-'депозитный калькулятор'!$D$7&lt;365,SUM($H$23:H860),SUM(OFFSET(H860,-364,0):H860))),0))),IF(AND('депозитный калькулятор'!$G$10="в конце срока",'депозитный калькулятор'!$D$8=F860),SUM($H$23:H860),0))))))))))))))))))</f>
        <v xml:space="preserve"> </v>
      </c>
      <c r="J860" s="59" t="str">
        <f>IF(F860&gt;'депозитный калькулятор'!$D$8," ",IF('депозитный калькулятор'!$G$16="нет",0,IF(AND('депозитный калькулятор'!$G$17="разовая (в конце срока)",F860='депозитный калькулятор'!$D$8),'депозитный калькулятор'!$G$18,IF(AND('депозитный калькулятор'!$G$17="ежемесячная",EOMONTH(F859,0)=F859),'депозитный калькулятор'!$G$18,IF(AND('депозитный калькулятор'!$G$17="ежегодная",DAY(F859)=31,MONTH(F859)=12),'депозитный калькулятор'!$G$18,IF(AND('депозитный калькулятор'!$G$17="ежемесячная в зависимости от остатка",EOMONTH(F859,0)=F859,P859&gt;0),'депозитный калькулятор'!$G$18,IF(AND('депозитный калькулятор'!$G$17="ежегодная в зависимости от остатка",DAY(F859)=31,MONTH(F859)=12,P859&gt;0),'депозитный калькулятор'!$G$18,0)))))))</f>
        <v xml:space="preserve"> </v>
      </c>
      <c r="K860" s="135" t="str">
        <f>IF($F860=" "," ",IFERROR(VLOOKUP($F860,'депозитный калькулятор'!$B$26:$F$70,2,0),0))</f>
        <v xml:space="preserve"> </v>
      </c>
      <c r="L860" s="135" t="str">
        <f>IF($F860=" "," ",IFERROR(VLOOKUP($F860,'депозитный калькулятор'!$B$26:$F$70,3,0),0))</f>
        <v xml:space="preserve"> </v>
      </c>
      <c r="M860" s="135" t="str">
        <f>IF($F860=" "," ",IFERROR(VLOOKUP($F860,'депозитный калькулятор'!$B$26:$F$70,4,0),0))</f>
        <v xml:space="preserve"> </v>
      </c>
      <c r="N860" s="135" t="str">
        <f>IF($F860=" "," ",IFERROR(VLOOKUP($F860,'депозитный калькулятор'!$B$26:$F$70,5,0),0))</f>
        <v xml:space="preserve"> </v>
      </c>
      <c r="O860" s="146" t="str">
        <f>IF(F860&gt;'депозитный калькулятор'!$D$8," ",IF(F860='депозитный калькулятор'!$D$8,IF(AND($F$24='депозитный калькулятор'!$D$8,'депозитный калькулятор'!$G$13="нет"),-G860-IF(I860=" ",0,I860)-IF(AND(OR('депозитный калькулятор'!$G$7="30/365",'депозитный калькулятор'!$G$7="30/360"),'депозитный калькулятор'!$G$10="в начале срока"),I859,0)-L860+M860-N860,-G860-IF(I860=" ",0,I860)-L860+M860-N860),IF('депозитный калькулятор'!$G$13="есть",M860-N860+IF('депозитный калькулятор'!$G$14="есть",0,-L860),-IF(I860=" ",0,I860)-IF(AND(OR('депозитный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срока"),I859,0)+M860-N860+IF('депозитный калькулятор'!$G$14="есть",0,-L860))))</f>
        <v xml:space="preserve"> </v>
      </c>
      <c r="P860" s="147" t="str">
        <f>IF(F860&gt;'депозитный калькулятор'!$D$8," ",IF(EOMONTH(F859,0)=F859,0,IF(G860&gt;='депозитный калькулятор'!$G$19,P859,P859+1)))</f>
        <v xml:space="preserve"> </v>
      </c>
      <c r="Q860" s="138" t="str">
        <f>IF(F860=" "," ",IF(AND(OR('депозитный калькулятор'!$G$7="30/365",'депозитный калькулятор'!$G$7="30/360"),AND(MONTH(F860)=2,EOMONTH(F860,0)=F860)),IF(DAY(F860)=28,3,2),1)*IF(G860&gt;='депозитный калькулятор'!$G$11,IF(AND('депозитный калькулятор'!$G$7="факт/факт",MOD(YEAR(F860),4)=0),G860*'депозитный калькулятор'!$D$11/366,G860*'депозитный калькулятор'!$G$8),0))</f>
        <v xml:space="preserve"> </v>
      </c>
      <c r="S860" s="62" t="str">
        <f t="shared" ca="1" si="67"/>
        <v xml:space="preserve"> </v>
      </c>
      <c r="T860" s="149" t="str">
        <f ca="1">IF(S860=" "," ",IF('депозитный калькулятор'!$G$7="30/360",DAYS360(U859,IF(DAY(U860)=31,U860-1,U860))+IF(AND(MONTH(U860)=2,U860=EOMONTH(U860,0)),30-DAY(EOMONTH(U860,0)))+T859,VLOOKUP(S860,$C$22:$F$1023,2,0)))</f>
        <v xml:space="preserve"> </v>
      </c>
      <c r="U860" s="64" t="str">
        <f t="shared" ca="1" si="65"/>
        <v xml:space="preserve"> </v>
      </c>
      <c r="V860" s="150" t="str">
        <f t="shared" ca="1" si="68"/>
        <v xml:space="preserve"> </v>
      </c>
      <c r="W860" s="62" t="str">
        <f t="shared" ca="1" si="69"/>
        <v xml:space="preserve"> </v>
      </c>
      <c r="X860" s="141" t="str">
        <f ca="1">IF(S860=" "," ",IFERROR(VLOOKUP(U860,$F$23:$N$1023,7)+VLOOKUP(U860,$F$23:$N$1023,9)+IF(AND('депозитный калькулятор'!$G$13="нет",U860&lt;&gt;'депозитный калькулятор'!$D$8),VLOOKUP(U860,$F$23:$N$1023,4),0),0)+IF(U860='депозитный калькулятор'!$D$8,VLOOKUP(U860,$F$23:$N$1023,2)+VLOOKUP(U860,$F$23:$N$1023,4),0))</f>
        <v xml:space="preserve"> </v>
      </c>
      <c r="Y860" s="142" t="str">
        <f ca="1">IF(S860=" "," ",W860/(1+'депозитный калькулятор'!$K$8)^(T860/IF('депозитный калькулятор'!$G$7="30/360",360,365)))</f>
        <v xml:space="preserve"> </v>
      </c>
      <c r="Z860" s="142" t="str">
        <f ca="1">IF(S860=" "," ",X860/(1+'депозитный калькулятор'!$K$8)^(T860/IF('депозитный калькулятор'!$G$7="30/360",360,365)))</f>
        <v xml:space="preserve"> </v>
      </c>
      <c r="AA860" s="151"/>
      <c r="AB860" s="151"/>
      <c r="AC860" s="155"/>
      <c r="AD860" s="155"/>
    </row>
    <row r="861" spans="1:30" s="2" customFormat="1" ht="15.5" x14ac:dyDescent="0.35">
      <c r="A861" s="41" t="str">
        <f>IF(F861=" "," ",IF(OR('депозитный калькулятор'!$G$7="30/365",'депозитный калькулятор'!$G$7="30/360"),IF(AND(MONTH(F861)=2,DAY(F861)=DAY(EOMONTH(F861,0))),30-DAY(EOMONTH(F861,0)),IF(DAY(F861)=31,1," "))," "))</f>
        <v xml:space="preserve"> </v>
      </c>
      <c r="B861" s="130" t="str">
        <f t="shared" si="66"/>
        <v xml:space="preserve"> </v>
      </c>
      <c r="C861" s="130" t="str">
        <f>IF(OR(B861=0,B861=" ")," ",SUM($B$23:B861))</f>
        <v xml:space="preserve"> </v>
      </c>
      <c r="D861" s="62" t="str">
        <f>IF(D860=" "," ",IF(OR(F860='депозитный калькулятор'!$D$8,F860=" ")," ",D860+1))</f>
        <v xml:space="preserve"> </v>
      </c>
      <c r="E861" s="130" t="str">
        <f>IF(OR(F860='депозитный калькулятор'!$D$8,F860=" ")," ",IF(EOMONTH(F860,0)=F860,1,E860+1))</f>
        <v xml:space="preserve"> </v>
      </c>
      <c r="F861" s="64" t="str">
        <f>IF(F860=" "," ",IF(F860='депозитный калькулятор'!$D$8," ",F860+1))</f>
        <v xml:space="preserve"> </v>
      </c>
      <c r="G861" s="145" t="str">
        <f xml:space="preserve"> IF(F861&gt;'депозитный калькулятор'!$D$8," ",IF('депозитный калькулятор'!$G$13="есть",IF('депозитный калькулятор'!$G$14="есть",G860+IF(I860=" ",0,I860)-J861-K861+L861+M861-N861,G860+IF(I860=" ",0,I860)-J861-K861+M861-N861),IF('депозитный калькулятор'!$G$14="есть",G860-J861-K861+L861+M861-N861,G860-J861-K861+M861-N861)))</f>
        <v xml:space="preserve"> </v>
      </c>
      <c r="H861" s="133" t="str">
        <f>IF(F861&gt;'депозитный калькулятор'!$D$8," ",IF(AND(OR('депозитный калькулятор'!$G$7="30/365",'депозитный калькулятор'!$G$7="30/360"),AND(MONTH(F861)=2,EOMONTH(F861,0)=F861)),IF(DAY(F861)=28,3*G861*'депозитный калькулятор'!$G$8,2*G861*'депозитный калькулятор'!$G$8),IF(AND(OR('депозитный калькулятор'!$G$7="30/365",'депозитный калькулятор'!$G$7="30/360"),DAY(F861)=31)," ",IF(AND('депозитный калькулятор'!$G$7="факт/факт",MOD(YEAR(F861),4)=0),G861*'депозитный калькулятор'!$D$11/366,G861*'депозитный калькулятор'!$G$8))))</f>
        <v xml:space="preserve"> </v>
      </c>
      <c r="I861" s="134" t="str">
        <f ca="1">IF(F861=" "," ",IF('депозитный калькулятор'!$G$10="ежедневное",H861,IF(AND('депозитный калькулятор'!$G$10="еженедельное",WEEKDAY(F861,2)=7),SUM(OFFSET(H861,-6,0):H861),IF(AND('депозитный калькулятор'!$G$10="еженедельное",F861='депозитный калькулятор'!$D$8),SUM($H$23:H861)-SUM($I$23:I860),IF(AND('депозитный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недели",WEEKDAY(F861,2)=7),MIN(OFFSET(H861,-6,0):H861)*(COUNTIF(OFFSET(H861,-6,0):H861,"&gt;0")+SUMIF(OFFSET(A861,-WEEKDAY(F861,2),0):A861,"=2",OFFSET(A861,-WEEKDAY(F861,2),0):A861)),IF(AND('депозитный калькулятор'!$G$10="еженедельное, на минимальную сумму зафиксированную в течение недели",F861='депозитный калькулятор'!$D$8,WEEKDAY(F861,2)&lt;&gt;7),MIN(OFFSET(H861,-WEEKDAY(F861,2),0):H861)*(COUNTIF(OFFSET(H861,-WEEKDAY(F861,2)+1,0):H861,"&gt;0")+SUM(OFFSET(A861,-WEEKDAY(F861,2),0):A861)),IF(AND('депозитный калькулятор'!$G$10="ежемесячное (в конце месяца)",F861='депозитный калькулятор'!$D$8,EOMONTH(F861,0)&lt;&gt;F861),IF('депозитный калькулятор'!$F$1=1,$H$24,SUM($H$23:H861)-SUM($I$23:I860)),IF(AND('депозитный калькулятор'!$G$10="ежемесячное (в конце месяца)",EOMONTH(F861,0)=F861),SUM($H$23:H861)-SUM($I$23:I860),IF(AND('депозитный калькулятор'!$G$10="ежемесячное (по дням открытия вклада)",F861='депозитный калькулятор'!$D$8,DAY('депозитный калькулятор'!$D$7)&lt;&gt;DAY(F861)),IF('депозитный калькулятор'!$F$1=1,$H$24,SUM($H$23:H861)-SUM($I$23:I860)),IF(AND('депозитный калькулятор'!$G$10="ежемесячное (по дням открытия вклада)",DAY('депозитный калькулятор'!$D$7)=DAY(F861)),SUM($H$23:H861)-SUM($I$23:I860),IF(AND('депозитный калькулятор'!$G$10="ежемесячное, на минимальную сумму зафиксированную в течение месяца",F861='депозитный калькулятор'!$D$8,EOMONTH(F861,0)&lt;&gt;F861),IF('депозитный калькулятор'!$F$1=1,$H$24,IF(AND(OR('депозитный калькулятор'!$G$7="30/365",'депозитный калькулятор'!$G$7="30/360"),DAY(F861)=31),0,MIN(OFFSET(H861,-E861+1,0):H861)*(E861+SUMIF(OFFSET(A861,-E861+1,0):A861,"=2",OFFSET(A861,-E861+1,0):A861)))),IF(AND('депозитный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калькулятор'!$G$7="30/360"),DAY(EOMONTH(F861,0))=31),EOMONTH(F861,0)-1=F861,EOMONTH(F861,0)=F861)),IF(IF(AND(OR('депозитный калькулятор'!$G$7="30/365",'депозитный калькулятор'!$G$7="30/360"),DAY(EOMONTH($F$23,0))=31),F861=EOMONTH($F$23,0)-1,F861=EOMONTH($F$23,0)),MIN(OFFSET(H861,-(DAY(F861)-DAY($F$23)),0):H861)*E861,MIN(OFFSET(H861,-(DAY(F861)-1),0):H861)*IF(AND(OR('депозитный калькулятор'!$G$7="30/365",'депозитный калькулятор'!$G$7="30/360"),DAY(F861)&lt;30),30,DAY(F861))),IF(AND('депозитный калькулятор'!$G$10="ежемесячное, на средний остаток в течение месяца, при условии что остаток больше чем ограничение",F861='депозитный калькулятор'!$D$8,EOMONTH(F861,0)&lt;&gt;F861),IF('депозитный калькулятор'!$F$1=1,$H$24,SUM(OFFSET(Q861,-E861+1,0):Q861)),IF(AND('депозитный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калькулятор'!$G$7="30/360"),DAY(EOMONTH(F861,0))=31),EOMONTH(F861,0)-1=F861,EOMONTH(F861,0)=F861)),IF(IF(AND(OR('депозитный калькулятор'!$G$7="30/365",'депозитный калькулятор'!$G$7="30/360"),DAY(EOMONTH($F$24,0))=31),F861=EOMONTH($F$24,0)-1,F861=EOMONTH($F$24,0)),SUM(OFFSET(Q861,-E861+1,0):Q861),SUM(OFFSET(Q861,-E861+1,0):Q861)),IF('депозитный калькулятор'!$G$10="ежеквартальное",IF(F861&gt;'депозитный калькулятор'!$D$8," ",IF(AND(EOMONTH(F861,0)=F861,OR(MONTH(F861)=3,MONTH(F861)=6,MONTH(F861)=9,MONTH(F861)=12)),IF(EDATE(F861,-3)&lt;'депозитный калькулятор'!$D$7,SUM($H$23:H861),IF(MOD(YEAR(F861),4)=0,IF(AND(EOMONTH(F861,0)=F861,OR(MONTH(F861)=3,MONTH(F861)=6)),SUM(OFFSET(H861,-90,0):H861),IF(AND(EOMONTH(F861,0)=F861,OR(MONTH(F861)=9,MONTH(F861)=12)),SUM(OFFSET(H861,-91,0):H861))),IF(AND(EOMONTH(F861,0)=F861,MONTH(F861)=3),SUM(OFFSET(H861,-89,0):H861),IF(AND(EOMONTH(F861,0)=F861,MONTH(F861)=6),SUM(OFFSET(H861,-90,0):H861),IF(AND(EOMONTH(F861,0)=F861,OR(MONTH(F861)=9,MONTH(F861)=12)),SUM(OFFSET(H861,-91,0):H861)))))),IF(F861='депозитный калькулятор'!$D$8,SUM($H$23:H861)-SUM($I$23:I860),0))),IF('депозитный калькулятор'!$G$10="ежегодное",IF(F861&gt;'депозитный калькулятор'!$D$8," ",IF(F861='депозитный калькулятор'!$D$8,SUM($H$23:H861)-SUM($I$23:I860),IF(AND(EOMONTH(F861,0)=F861,MONTH(F861)=12),IF(MOD(YEAR(F860),4)=0,IF(F861-'депозитный калькулятор'!$D$7&lt;366,SUM($H$23:H861),SUM(OFFSET(H861,-365,0):H861)),IF(F861-'депозитный калькулятор'!$D$7&lt;365,SUM($H$23:H861),SUM(OFFSET(H861,-364,0):H861))),0))),IF(AND('депозитный калькулятор'!$G$10="в конце срока",'депозитный калькулятор'!$D$8=F861),SUM($H$23:H861),0))))))))))))))))))</f>
        <v xml:space="preserve"> </v>
      </c>
      <c r="J861" s="59" t="str">
        <f>IF(F861&gt;'депозитный калькулятор'!$D$8," ",IF('депозитный калькулятор'!$G$16="нет",0,IF(AND('депозитный калькулятор'!$G$17="разовая (в конце срока)",F861='депозитный калькулятор'!$D$8),'депозитный калькулятор'!$G$18,IF(AND('депозитный калькулятор'!$G$17="ежемесячная",EOMONTH(F860,0)=F860),'депозитный калькулятор'!$G$18,IF(AND('депозитный калькулятор'!$G$17="ежегодная",DAY(F860)=31,MONTH(F860)=12),'депозитный калькулятор'!$G$18,IF(AND('депозитный калькулятор'!$G$17="ежемесячная в зависимости от остатка",EOMONTH(F860,0)=F860,P860&gt;0),'депозитный калькулятор'!$G$18,IF(AND('депозитный калькулятор'!$G$17="ежегодная в зависимости от остатка",DAY(F860)=31,MONTH(F860)=12,P860&gt;0),'депозитный калькулятор'!$G$18,0)))))))</f>
        <v xml:space="preserve"> </v>
      </c>
      <c r="K861" s="135" t="str">
        <f>IF($F861=" "," ",IFERROR(VLOOKUP($F861,'депозитный калькулятор'!$B$26:$F$70,2,0),0))</f>
        <v xml:space="preserve"> </v>
      </c>
      <c r="L861" s="135" t="str">
        <f>IF($F861=" "," ",IFERROR(VLOOKUP($F861,'депозитный калькулятор'!$B$26:$F$70,3,0),0))</f>
        <v xml:space="preserve"> </v>
      </c>
      <c r="M861" s="135" t="str">
        <f>IF($F861=" "," ",IFERROR(VLOOKUP($F861,'депозитный калькулятор'!$B$26:$F$70,4,0),0))</f>
        <v xml:space="preserve"> </v>
      </c>
      <c r="N861" s="135" t="str">
        <f>IF($F861=" "," ",IFERROR(VLOOKUP($F861,'депозитный калькулятор'!$B$26:$F$70,5,0),0))</f>
        <v xml:space="preserve"> </v>
      </c>
      <c r="O861" s="146" t="str">
        <f>IF(F861&gt;'депозитный калькулятор'!$D$8," ",IF(F861='депозитный калькулятор'!$D$8,IF(AND($F$24='депозитный калькулятор'!$D$8,'депозитный калькулятор'!$G$13="нет"),-G861-IF(I861=" ",0,I861)-IF(AND(OR('депозитный калькулятор'!$G$7="30/365",'депозитный калькулятор'!$G$7="30/360"),'депозитный калькулятор'!$G$10="в начале срока"),I860,0)-L861+M861-N861,-G861-IF(I861=" ",0,I861)-L861+M861-N861),IF('депозитный калькулятор'!$G$13="есть",M861-N861+IF('депозитный калькулятор'!$G$14="есть",0,-L861),-IF(I861=" ",0,I861)-IF(AND(OR('депозитный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срока"),I860,0)+M861-N861+IF('депозитный калькулятор'!$G$14="есть",0,-L861))))</f>
        <v xml:space="preserve"> </v>
      </c>
      <c r="P861" s="147" t="str">
        <f>IF(F861&gt;'депозитный калькулятор'!$D$8," ",IF(EOMONTH(F860,0)=F860,0,IF(G861&gt;='депозитный калькулятор'!$G$19,P860,P860+1)))</f>
        <v xml:space="preserve"> </v>
      </c>
      <c r="Q861" s="138" t="str">
        <f>IF(F861=" "," ",IF(AND(OR('депозитный калькулятор'!$G$7="30/365",'депозитный калькулятор'!$G$7="30/360"),AND(MONTH(F861)=2,EOMONTH(F861,0)=F861)),IF(DAY(F861)=28,3,2),1)*IF(G861&gt;='депозитный калькулятор'!$G$11,IF(AND('депозитный калькулятор'!$G$7="факт/факт",MOD(YEAR(F861),4)=0),G861*'депозитный калькулятор'!$D$11/366,G861*'депозитный калькулятор'!$G$8),0))</f>
        <v xml:space="preserve"> </v>
      </c>
      <c r="S861" s="62" t="str">
        <f t="shared" ca="1" si="67"/>
        <v xml:space="preserve"> </v>
      </c>
      <c r="T861" s="149" t="str">
        <f ca="1">IF(S861=" "," ",IF('депозитный калькулятор'!$G$7="30/360",DAYS360(U860,IF(DAY(U861)=31,U861-1,U861))+IF(AND(MONTH(U861)=2,U861=EOMONTH(U861,0)),30-DAY(EOMONTH(U861,0)))+T860,VLOOKUP(S861,$C$22:$F$1023,2,0)))</f>
        <v xml:space="preserve"> </v>
      </c>
      <c r="U861" s="64" t="str">
        <f t="shared" ca="1" si="65"/>
        <v xml:space="preserve"> </v>
      </c>
      <c r="V861" s="150" t="str">
        <f t="shared" ca="1" si="68"/>
        <v xml:space="preserve"> </v>
      </c>
      <c r="W861" s="62" t="str">
        <f t="shared" ca="1" si="69"/>
        <v xml:space="preserve"> </v>
      </c>
      <c r="X861" s="141" t="str">
        <f ca="1">IF(S861=" "," ",IFERROR(VLOOKUP(U861,$F$23:$N$1023,7)+VLOOKUP(U861,$F$23:$N$1023,9)+IF(AND('депозитный калькулятор'!$G$13="нет",U861&lt;&gt;'депозитный калькулятор'!$D$8),VLOOKUP(U861,$F$23:$N$1023,4),0),0)+IF(U861='депозитный калькулятор'!$D$8,VLOOKUP(U861,$F$23:$N$1023,2)+VLOOKUP(U861,$F$23:$N$1023,4),0))</f>
        <v xml:space="preserve"> </v>
      </c>
      <c r="Y861" s="142" t="str">
        <f ca="1">IF(S861=" "," ",W861/(1+'депозитный калькулятор'!$K$8)^(T861/IF('депозитный калькулятор'!$G$7="30/360",360,365)))</f>
        <v xml:space="preserve"> </v>
      </c>
      <c r="Z861" s="142" t="str">
        <f ca="1">IF(S861=" "," ",X861/(1+'депозитный калькулятор'!$K$8)^(T861/IF('депозитный калькулятор'!$G$7="30/360",360,365)))</f>
        <v xml:space="preserve"> </v>
      </c>
      <c r="AA861" s="151"/>
      <c r="AB861" s="151"/>
      <c r="AC861" s="155"/>
      <c r="AD861" s="155"/>
    </row>
    <row r="862" spans="1:30" s="2" customFormat="1" ht="15.5" x14ac:dyDescent="0.35">
      <c r="A862" s="41" t="str">
        <f>IF(F862=" "," ",IF(OR('депозитный калькулятор'!$G$7="30/365",'депозитный калькулятор'!$G$7="30/360"),IF(AND(MONTH(F862)=2,DAY(F862)=DAY(EOMONTH(F862,0))),30-DAY(EOMONTH(F862,0)),IF(DAY(F862)=31,1," "))," "))</f>
        <v xml:space="preserve"> </v>
      </c>
      <c r="B862" s="130" t="str">
        <f t="shared" si="66"/>
        <v xml:space="preserve"> </v>
      </c>
      <c r="C862" s="130" t="str">
        <f>IF(OR(B862=0,B862=" ")," ",SUM($B$23:B862))</f>
        <v xml:space="preserve"> </v>
      </c>
      <c r="D862" s="62" t="str">
        <f>IF(D861=" "," ",IF(OR(F861='депозитный калькулятор'!$D$8,F861=" ")," ",D861+1))</f>
        <v xml:space="preserve"> </v>
      </c>
      <c r="E862" s="130" t="str">
        <f>IF(OR(F861='депозитный калькулятор'!$D$8,F861=" ")," ",IF(EOMONTH(F861,0)=F861,1,E861+1))</f>
        <v xml:space="preserve"> </v>
      </c>
      <c r="F862" s="64" t="str">
        <f>IF(F861=" "," ",IF(F861='депозитный калькулятор'!$D$8," ",F861+1))</f>
        <v xml:space="preserve"> </v>
      </c>
      <c r="G862" s="145" t="str">
        <f xml:space="preserve"> IF(F862&gt;'депозитный калькулятор'!$D$8," ",IF('депозитный калькулятор'!$G$13="есть",IF('депозитный калькулятор'!$G$14="есть",G861+IF(I861=" ",0,I861)-J862-K862+L862+M862-N862,G861+IF(I861=" ",0,I861)-J862-K862+M862-N862),IF('депозитный калькулятор'!$G$14="есть",G861-J862-K862+L862+M862-N862,G861-J862-K862+M862-N862)))</f>
        <v xml:space="preserve"> </v>
      </c>
      <c r="H862" s="133" t="str">
        <f>IF(F862&gt;'депозитный калькулятор'!$D$8," ",IF(AND(OR('депозитный калькулятор'!$G$7="30/365",'депозитный калькулятор'!$G$7="30/360"),AND(MONTH(F862)=2,EOMONTH(F862,0)=F862)),IF(DAY(F862)=28,3*G862*'депозитный калькулятор'!$G$8,2*G862*'депозитный калькулятор'!$G$8),IF(AND(OR('депозитный калькулятор'!$G$7="30/365",'депозитный калькулятор'!$G$7="30/360"),DAY(F862)=31)," ",IF(AND('депозитный калькулятор'!$G$7="факт/факт",MOD(YEAR(F862),4)=0),G862*'депозитный калькулятор'!$D$11/366,G862*'депозитный калькулятор'!$G$8))))</f>
        <v xml:space="preserve"> </v>
      </c>
      <c r="I862" s="134" t="str">
        <f ca="1">IF(F862=" "," ",IF('депозитный калькулятор'!$G$10="ежедневное",H862,IF(AND('депозитный калькулятор'!$G$10="еженедельное",WEEKDAY(F862,2)=7),SUM(OFFSET(H862,-6,0):H862),IF(AND('депозитный калькулятор'!$G$10="еженедельное",F862='депозитный калькулятор'!$D$8),SUM($H$23:H862)-SUM($I$23:I861),IF(AND('депозитный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недели",WEEKDAY(F862,2)=7),MIN(OFFSET(H862,-6,0):H862)*(COUNTIF(OFFSET(H862,-6,0):H862,"&gt;0")+SUMIF(OFFSET(A862,-WEEKDAY(F862,2),0):A862,"=2",OFFSET(A862,-WEEKDAY(F862,2),0):A862)),IF(AND('депозитный калькулятор'!$G$10="еженедельное, на минимальную сумму зафиксированную в течение недели",F862='депозитный калькулятор'!$D$8,WEEKDAY(F862,2)&lt;&gt;7),MIN(OFFSET(H862,-WEEKDAY(F862,2),0):H862)*(COUNTIF(OFFSET(H862,-WEEKDAY(F862,2)+1,0):H862,"&gt;0")+SUM(OFFSET(A862,-WEEKDAY(F862,2),0):A862)),IF(AND('депозитный калькулятор'!$G$10="ежемесячное (в конце месяца)",F862='депозитный калькулятор'!$D$8,EOMONTH(F862,0)&lt;&gt;F862),IF('депозитный калькулятор'!$F$1=1,$H$24,SUM($H$23:H862)-SUM($I$23:I861)),IF(AND('депозитный калькулятор'!$G$10="ежемесячное (в конце месяца)",EOMONTH(F862,0)=F862),SUM($H$23:H862)-SUM($I$23:I861),IF(AND('депозитный калькулятор'!$G$10="ежемесячное (по дням открытия вклада)",F862='депозитный калькулятор'!$D$8,DAY('депозитный калькулятор'!$D$7)&lt;&gt;DAY(F862)),IF('депозитный калькулятор'!$F$1=1,$H$24,SUM($H$23:H862)-SUM($I$23:I861)),IF(AND('депозитный калькулятор'!$G$10="ежемесячное (по дням открытия вклада)",DAY('депозитный калькулятор'!$D$7)=DAY(F862)),SUM($H$23:H862)-SUM($I$23:I861),IF(AND('депозитный калькулятор'!$G$10="ежемесячное, на минимальную сумму зафиксированную в течение месяца",F862='депозитный калькулятор'!$D$8,EOMONTH(F862,0)&lt;&gt;F862),IF('депозитный калькулятор'!$F$1=1,$H$24,IF(AND(OR('депозитный калькулятор'!$G$7="30/365",'депозитный калькулятор'!$G$7="30/360"),DAY(F862)=31),0,MIN(OFFSET(H862,-E862+1,0):H862)*(E862+SUMIF(OFFSET(A862,-E862+1,0):A862,"=2",OFFSET(A862,-E862+1,0):A862)))),IF(AND('депозитный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калькулятор'!$G$7="30/360"),DAY(EOMONTH(F862,0))=31),EOMONTH(F862,0)-1=F862,EOMONTH(F862,0)=F862)),IF(IF(AND(OR('депозитный калькулятор'!$G$7="30/365",'депозитный калькулятор'!$G$7="30/360"),DAY(EOMONTH($F$23,0))=31),F862=EOMONTH($F$23,0)-1,F862=EOMONTH($F$23,0)),MIN(OFFSET(H862,-(DAY(F862)-DAY($F$23)),0):H862)*E862,MIN(OFFSET(H862,-(DAY(F862)-1),0):H862)*IF(AND(OR('депозитный калькулятор'!$G$7="30/365",'депозитный калькулятор'!$G$7="30/360"),DAY(F862)&lt;30),30,DAY(F862))),IF(AND('депозитный калькулятор'!$G$10="ежемесячное, на средний остаток в течение месяца, при условии что остаток больше чем ограничение",F862='депозитный калькулятор'!$D$8,EOMONTH(F862,0)&lt;&gt;F862),IF('депозитный калькулятор'!$F$1=1,$H$24,SUM(OFFSET(Q862,-E862+1,0):Q862)),IF(AND('депозитный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калькулятор'!$G$7="30/360"),DAY(EOMONTH(F862,0))=31),EOMONTH(F862,0)-1=F862,EOMONTH(F862,0)=F862)),IF(IF(AND(OR('депозитный калькулятор'!$G$7="30/365",'депозитный калькулятор'!$G$7="30/360"),DAY(EOMONTH($F$24,0))=31),F862=EOMONTH($F$24,0)-1,F862=EOMONTH($F$24,0)),SUM(OFFSET(Q862,-E862+1,0):Q862),SUM(OFFSET(Q862,-E862+1,0):Q862)),IF('депозитный калькулятор'!$G$10="ежеквартальное",IF(F862&gt;'депозитный калькулятор'!$D$8," ",IF(AND(EOMONTH(F862,0)=F862,OR(MONTH(F862)=3,MONTH(F862)=6,MONTH(F862)=9,MONTH(F862)=12)),IF(EDATE(F862,-3)&lt;'депозитный калькулятор'!$D$7,SUM($H$23:H862),IF(MOD(YEAR(F862),4)=0,IF(AND(EOMONTH(F862,0)=F862,OR(MONTH(F862)=3,MONTH(F862)=6)),SUM(OFFSET(H862,-90,0):H862),IF(AND(EOMONTH(F862,0)=F862,OR(MONTH(F862)=9,MONTH(F862)=12)),SUM(OFFSET(H862,-91,0):H862))),IF(AND(EOMONTH(F862,0)=F862,MONTH(F862)=3),SUM(OFFSET(H862,-89,0):H862),IF(AND(EOMONTH(F862,0)=F862,MONTH(F862)=6),SUM(OFFSET(H862,-90,0):H862),IF(AND(EOMONTH(F862,0)=F862,OR(MONTH(F862)=9,MONTH(F862)=12)),SUM(OFFSET(H862,-91,0):H862)))))),IF(F862='депозитный калькулятор'!$D$8,SUM($H$23:H862)-SUM($I$23:I861),0))),IF('депозитный калькулятор'!$G$10="ежегодное",IF(F862&gt;'депозитный калькулятор'!$D$8," ",IF(F862='депозитный калькулятор'!$D$8,SUM($H$23:H862)-SUM($I$23:I861),IF(AND(EOMONTH(F862,0)=F862,MONTH(F862)=12),IF(MOD(YEAR(F861),4)=0,IF(F862-'депозитный калькулятор'!$D$7&lt;366,SUM($H$23:H862),SUM(OFFSET(H862,-365,0):H862)),IF(F862-'депозитный калькулятор'!$D$7&lt;365,SUM($H$23:H862),SUM(OFFSET(H862,-364,0):H862))),0))),IF(AND('депозитный калькулятор'!$G$10="в конце срока",'депозитный калькулятор'!$D$8=F862),SUM($H$23:H862),0))))))))))))))))))</f>
        <v xml:space="preserve"> </v>
      </c>
      <c r="J862" s="59" t="str">
        <f>IF(F862&gt;'депозитный калькулятор'!$D$8," ",IF('депозитный калькулятор'!$G$16="нет",0,IF(AND('депозитный калькулятор'!$G$17="разовая (в конце срока)",F862='депозитный калькулятор'!$D$8),'депозитный калькулятор'!$G$18,IF(AND('депозитный калькулятор'!$G$17="ежемесячная",EOMONTH(F861,0)=F861),'депозитный калькулятор'!$G$18,IF(AND('депозитный калькулятор'!$G$17="ежегодная",DAY(F861)=31,MONTH(F861)=12),'депозитный калькулятор'!$G$18,IF(AND('депозитный калькулятор'!$G$17="ежемесячная в зависимости от остатка",EOMONTH(F861,0)=F861,P861&gt;0),'депозитный калькулятор'!$G$18,IF(AND('депозитный калькулятор'!$G$17="ежегодная в зависимости от остатка",DAY(F861)=31,MONTH(F861)=12,P861&gt;0),'депозитный калькулятор'!$G$18,0)))))))</f>
        <v xml:space="preserve"> </v>
      </c>
      <c r="K862" s="135" t="str">
        <f>IF($F862=" "," ",IFERROR(VLOOKUP($F862,'депозитный калькулятор'!$B$26:$F$70,2,0),0))</f>
        <v xml:space="preserve"> </v>
      </c>
      <c r="L862" s="135" t="str">
        <f>IF($F862=" "," ",IFERROR(VLOOKUP($F862,'депозитный калькулятор'!$B$26:$F$70,3,0),0))</f>
        <v xml:space="preserve"> </v>
      </c>
      <c r="M862" s="135" t="str">
        <f>IF($F862=" "," ",IFERROR(VLOOKUP($F862,'депозитный калькулятор'!$B$26:$F$70,4,0),0))</f>
        <v xml:space="preserve"> </v>
      </c>
      <c r="N862" s="135" t="str">
        <f>IF($F862=" "," ",IFERROR(VLOOKUP($F862,'депозитный калькулятор'!$B$26:$F$70,5,0),0))</f>
        <v xml:space="preserve"> </v>
      </c>
      <c r="O862" s="146" t="str">
        <f>IF(F862&gt;'депозитный калькулятор'!$D$8," ",IF(F862='депозитный калькулятор'!$D$8,IF(AND($F$24='депозитный калькулятор'!$D$8,'депозитный калькулятор'!$G$13="нет"),-G862-IF(I862=" ",0,I862)-IF(AND(OR('депозитный калькулятор'!$G$7="30/365",'депозитный калькулятор'!$G$7="30/360"),'депозитный калькулятор'!$G$10="в начале срока"),I861,0)-L862+M862-N862,-G862-IF(I862=" ",0,I862)-L862+M862-N862),IF('депозитный калькулятор'!$G$13="есть",M862-N862+IF('депозитный калькулятор'!$G$14="есть",0,-L862),-IF(I862=" ",0,I862)-IF(AND(OR('депозитный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срока"),I861,0)+M862-N862+IF('депозитный калькулятор'!$G$14="есть",0,-L862))))</f>
        <v xml:space="preserve"> </v>
      </c>
      <c r="P862" s="147" t="str">
        <f>IF(F862&gt;'депозитный калькулятор'!$D$8," ",IF(EOMONTH(F861,0)=F861,0,IF(G862&gt;='депозитный калькулятор'!$G$19,P861,P861+1)))</f>
        <v xml:space="preserve"> </v>
      </c>
      <c r="Q862" s="138" t="str">
        <f>IF(F862=" "," ",IF(AND(OR('депозитный калькулятор'!$G$7="30/365",'депозитный калькулятор'!$G$7="30/360"),AND(MONTH(F862)=2,EOMONTH(F862,0)=F862)),IF(DAY(F862)=28,3,2),1)*IF(G862&gt;='депозитный калькулятор'!$G$11,IF(AND('депозитный калькулятор'!$G$7="факт/факт",MOD(YEAR(F862),4)=0),G862*'депозитный калькулятор'!$D$11/366,G862*'депозитный калькулятор'!$G$8),0))</f>
        <v xml:space="preserve"> </v>
      </c>
      <c r="S862" s="62" t="str">
        <f t="shared" ca="1" si="67"/>
        <v xml:space="preserve"> </v>
      </c>
      <c r="T862" s="149" t="str">
        <f ca="1">IF(S862=" "," ",IF('депозитный калькулятор'!$G$7="30/360",DAYS360(U861,IF(DAY(U862)=31,U862-1,U862))+IF(AND(MONTH(U862)=2,U862=EOMONTH(U862,0)),30-DAY(EOMONTH(U862,0)))+T861,VLOOKUP(S862,$C$22:$F$1023,2,0)))</f>
        <v xml:space="preserve"> </v>
      </c>
      <c r="U862" s="64" t="str">
        <f t="shared" ca="1" si="65"/>
        <v xml:space="preserve"> </v>
      </c>
      <c r="V862" s="150" t="str">
        <f t="shared" ca="1" si="68"/>
        <v xml:space="preserve"> </v>
      </c>
      <c r="W862" s="62" t="str">
        <f t="shared" ca="1" si="69"/>
        <v xml:space="preserve"> </v>
      </c>
      <c r="X862" s="141" t="str">
        <f ca="1">IF(S862=" "," ",IFERROR(VLOOKUP(U862,$F$23:$N$1023,7)+VLOOKUP(U862,$F$23:$N$1023,9)+IF(AND('депозитный калькулятор'!$G$13="нет",U862&lt;&gt;'депозитный калькулятор'!$D$8),VLOOKUP(U862,$F$23:$N$1023,4),0),0)+IF(U862='депозитный калькулятор'!$D$8,VLOOKUP(U862,$F$23:$N$1023,2)+VLOOKUP(U862,$F$23:$N$1023,4),0))</f>
        <v xml:space="preserve"> </v>
      </c>
      <c r="Y862" s="142" t="str">
        <f ca="1">IF(S862=" "," ",W862/(1+'депозитный калькулятор'!$K$8)^(T862/IF('депозитный калькулятор'!$G$7="30/360",360,365)))</f>
        <v xml:space="preserve"> </v>
      </c>
      <c r="Z862" s="142" t="str">
        <f ca="1">IF(S862=" "," ",X862/(1+'депозитный калькулятор'!$K$8)^(T862/IF('депозитный калькулятор'!$G$7="30/360",360,365)))</f>
        <v xml:space="preserve"> </v>
      </c>
      <c r="AA862" s="151"/>
      <c r="AB862" s="151"/>
      <c r="AC862" s="155"/>
      <c r="AD862" s="155"/>
    </row>
    <row r="863" spans="1:30" s="2" customFormat="1" ht="15.5" x14ac:dyDescent="0.35">
      <c r="A863" s="41" t="str">
        <f>IF(F863=" "," ",IF(OR('депозитный калькулятор'!$G$7="30/365",'депозитный калькулятор'!$G$7="30/360"),IF(AND(MONTH(F863)=2,DAY(F863)=DAY(EOMONTH(F863,0))),30-DAY(EOMONTH(F863,0)),IF(DAY(F863)=31,1," "))," "))</f>
        <v xml:space="preserve"> </v>
      </c>
      <c r="B863" s="130" t="str">
        <f t="shared" si="66"/>
        <v xml:space="preserve"> </v>
      </c>
      <c r="C863" s="130" t="str">
        <f>IF(OR(B863=0,B863=" ")," ",SUM($B$23:B863))</f>
        <v xml:space="preserve"> </v>
      </c>
      <c r="D863" s="62" t="str">
        <f>IF(D862=" "," ",IF(OR(F862='депозитный калькулятор'!$D$8,F862=" ")," ",D862+1))</f>
        <v xml:space="preserve"> </v>
      </c>
      <c r="E863" s="130" t="str">
        <f>IF(OR(F862='депозитный калькулятор'!$D$8,F862=" ")," ",IF(EOMONTH(F862,0)=F862,1,E862+1))</f>
        <v xml:space="preserve"> </v>
      </c>
      <c r="F863" s="64" t="str">
        <f>IF(F862=" "," ",IF(F862='депозитный калькулятор'!$D$8," ",F862+1))</f>
        <v xml:space="preserve"> </v>
      </c>
      <c r="G863" s="145" t="str">
        <f xml:space="preserve"> IF(F863&gt;'депозитный калькулятор'!$D$8," ",IF('депозитный калькулятор'!$G$13="есть",IF('депозитный калькулятор'!$G$14="есть",G862+IF(I862=" ",0,I862)-J863-K863+L863+M863-N863,G862+IF(I862=" ",0,I862)-J863-K863+M863-N863),IF('депозитный калькулятор'!$G$14="есть",G862-J863-K863+L863+M863-N863,G862-J863-K863+M863-N863)))</f>
        <v xml:space="preserve"> </v>
      </c>
      <c r="H863" s="133" t="str">
        <f>IF(F863&gt;'депозитный калькулятор'!$D$8," ",IF(AND(OR('депозитный калькулятор'!$G$7="30/365",'депозитный калькулятор'!$G$7="30/360"),AND(MONTH(F863)=2,EOMONTH(F863,0)=F863)),IF(DAY(F863)=28,3*G863*'депозитный калькулятор'!$G$8,2*G863*'депозитный калькулятор'!$G$8),IF(AND(OR('депозитный калькулятор'!$G$7="30/365",'депозитный калькулятор'!$G$7="30/360"),DAY(F863)=31)," ",IF(AND('депозитный калькулятор'!$G$7="факт/факт",MOD(YEAR(F863),4)=0),G863*'депозитный калькулятор'!$D$11/366,G863*'депозитный калькулятор'!$G$8))))</f>
        <v xml:space="preserve"> </v>
      </c>
      <c r="I863" s="134" t="str">
        <f ca="1">IF(F863=" "," ",IF('депозитный калькулятор'!$G$10="ежедневное",H863,IF(AND('депозитный калькулятор'!$G$10="еженедельное",WEEKDAY(F863,2)=7),SUM(OFFSET(H863,-6,0):H863),IF(AND('депозитный калькулятор'!$G$10="еженедельное",F863='депозитный калькулятор'!$D$8),SUM($H$23:H863)-SUM($I$23:I862),IF(AND('депозитный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недели",WEEKDAY(F863,2)=7),MIN(OFFSET(H863,-6,0):H863)*(COUNTIF(OFFSET(H863,-6,0):H863,"&gt;0")+SUMIF(OFFSET(A863,-WEEKDAY(F863,2),0):A863,"=2",OFFSET(A863,-WEEKDAY(F863,2),0):A863)),IF(AND('депозитный калькулятор'!$G$10="еженедельное, на минимальную сумму зафиксированную в течение недели",F863='депозитный калькулятор'!$D$8,WEEKDAY(F863,2)&lt;&gt;7),MIN(OFFSET(H863,-WEEKDAY(F863,2),0):H863)*(COUNTIF(OFFSET(H863,-WEEKDAY(F863,2)+1,0):H863,"&gt;0")+SUM(OFFSET(A863,-WEEKDAY(F863,2),0):A863)),IF(AND('депозитный калькулятор'!$G$10="ежемесячное (в конце месяца)",F863='депозитный калькулятор'!$D$8,EOMONTH(F863,0)&lt;&gt;F863),IF('депозитный калькулятор'!$F$1=1,$H$24,SUM($H$23:H863)-SUM($I$23:I862)),IF(AND('депозитный калькулятор'!$G$10="ежемесячное (в конце месяца)",EOMONTH(F863,0)=F863),SUM($H$23:H863)-SUM($I$23:I862),IF(AND('депозитный калькулятор'!$G$10="ежемесячное (по дням открытия вклада)",F863='депозитный калькулятор'!$D$8,DAY('депозитный калькулятор'!$D$7)&lt;&gt;DAY(F863)),IF('депозитный калькулятор'!$F$1=1,$H$24,SUM($H$23:H863)-SUM($I$23:I862)),IF(AND('депозитный калькулятор'!$G$10="ежемесячное (по дням открытия вклада)",DAY('депозитный калькулятор'!$D$7)=DAY(F863)),SUM($H$23:H863)-SUM($I$23:I862),IF(AND('депозитный калькулятор'!$G$10="ежемесячное, на минимальную сумму зафиксированную в течение месяца",F863='депозитный калькулятор'!$D$8,EOMONTH(F863,0)&lt;&gt;F863),IF('депозитный калькулятор'!$F$1=1,$H$24,IF(AND(OR('депозитный калькулятор'!$G$7="30/365",'депозитный калькулятор'!$G$7="30/360"),DAY(F863)=31),0,MIN(OFFSET(H863,-E863+1,0):H863)*(E863+SUMIF(OFFSET(A863,-E863+1,0):A863,"=2",OFFSET(A863,-E863+1,0):A863)))),IF(AND('депозитный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калькулятор'!$G$7="30/360"),DAY(EOMONTH(F863,0))=31),EOMONTH(F863,0)-1=F863,EOMONTH(F863,0)=F863)),IF(IF(AND(OR('депозитный калькулятор'!$G$7="30/365",'депозитный калькулятор'!$G$7="30/360"),DAY(EOMONTH($F$23,0))=31),F863=EOMONTH($F$23,0)-1,F863=EOMONTH($F$23,0)),MIN(OFFSET(H863,-(DAY(F863)-DAY($F$23)),0):H863)*E863,MIN(OFFSET(H863,-(DAY(F863)-1),0):H863)*IF(AND(OR('депозитный калькулятор'!$G$7="30/365",'депозитный калькулятор'!$G$7="30/360"),DAY(F863)&lt;30),30,DAY(F863))),IF(AND('депозитный калькулятор'!$G$10="ежемесячное, на средний остаток в течение месяца, при условии что остаток больше чем ограничение",F863='депозитный калькулятор'!$D$8,EOMONTH(F863,0)&lt;&gt;F863),IF('депозитный калькулятор'!$F$1=1,$H$24,SUM(OFFSET(Q863,-E863+1,0):Q863)),IF(AND('депозитный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калькулятор'!$G$7="30/360"),DAY(EOMONTH(F863,0))=31),EOMONTH(F863,0)-1=F863,EOMONTH(F863,0)=F863)),IF(IF(AND(OR('депозитный калькулятор'!$G$7="30/365",'депозитный калькулятор'!$G$7="30/360"),DAY(EOMONTH($F$24,0))=31),F863=EOMONTH($F$24,0)-1,F863=EOMONTH($F$24,0)),SUM(OFFSET(Q863,-E863+1,0):Q863),SUM(OFFSET(Q863,-E863+1,0):Q863)),IF('депозитный калькулятор'!$G$10="ежеквартальное",IF(F863&gt;'депозитный калькулятор'!$D$8," ",IF(AND(EOMONTH(F863,0)=F863,OR(MONTH(F863)=3,MONTH(F863)=6,MONTH(F863)=9,MONTH(F863)=12)),IF(EDATE(F863,-3)&lt;'депозитный калькулятор'!$D$7,SUM($H$23:H863),IF(MOD(YEAR(F863),4)=0,IF(AND(EOMONTH(F863,0)=F863,OR(MONTH(F863)=3,MONTH(F863)=6)),SUM(OFFSET(H863,-90,0):H863),IF(AND(EOMONTH(F863,0)=F863,OR(MONTH(F863)=9,MONTH(F863)=12)),SUM(OFFSET(H863,-91,0):H863))),IF(AND(EOMONTH(F863,0)=F863,MONTH(F863)=3),SUM(OFFSET(H863,-89,0):H863),IF(AND(EOMONTH(F863,0)=F863,MONTH(F863)=6),SUM(OFFSET(H863,-90,0):H863),IF(AND(EOMONTH(F863,0)=F863,OR(MONTH(F863)=9,MONTH(F863)=12)),SUM(OFFSET(H863,-91,0):H863)))))),IF(F863='депозитный калькулятор'!$D$8,SUM($H$23:H863)-SUM($I$23:I862),0))),IF('депозитный калькулятор'!$G$10="ежегодное",IF(F863&gt;'депозитный калькулятор'!$D$8," ",IF(F863='депозитный калькулятор'!$D$8,SUM($H$23:H863)-SUM($I$23:I862),IF(AND(EOMONTH(F863,0)=F863,MONTH(F863)=12),IF(MOD(YEAR(F862),4)=0,IF(F863-'депозитный калькулятор'!$D$7&lt;366,SUM($H$23:H863),SUM(OFFSET(H863,-365,0):H863)),IF(F863-'депозитный калькулятор'!$D$7&lt;365,SUM($H$23:H863),SUM(OFFSET(H863,-364,0):H863))),0))),IF(AND('депозитный калькулятор'!$G$10="в конце срока",'депозитный калькулятор'!$D$8=F863),SUM($H$23:H863),0))))))))))))))))))</f>
        <v xml:space="preserve"> </v>
      </c>
      <c r="J863" s="59" t="str">
        <f>IF(F863&gt;'депозитный калькулятор'!$D$8," ",IF('депозитный калькулятор'!$G$16="нет",0,IF(AND('депозитный калькулятор'!$G$17="разовая (в конце срока)",F863='депозитный калькулятор'!$D$8),'депозитный калькулятор'!$G$18,IF(AND('депозитный калькулятор'!$G$17="ежемесячная",EOMONTH(F862,0)=F862),'депозитный калькулятор'!$G$18,IF(AND('депозитный калькулятор'!$G$17="ежегодная",DAY(F862)=31,MONTH(F862)=12),'депозитный калькулятор'!$G$18,IF(AND('депозитный калькулятор'!$G$17="ежемесячная в зависимости от остатка",EOMONTH(F862,0)=F862,P862&gt;0),'депозитный калькулятор'!$G$18,IF(AND('депозитный калькулятор'!$G$17="ежегодная в зависимости от остатка",DAY(F862)=31,MONTH(F862)=12,P862&gt;0),'депозитный калькулятор'!$G$18,0)))))))</f>
        <v xml:space="preserve"> </v>
      </c>
      <c r="K863" s="135" t="str">
        <f>IF($F863=" "," ",IFERROR(VLOOKUP($F863,'депозитный калькулятор'!$B$26:$F$70,2,0),0))</f>
        <v xml:space="preserve"> </v>
      </c>
      <c r="L863" s="135" t="str">
        <f>IF($F863=" "," ",IFERROR(VLOOKUP($F863,'депозитный калькулятор'!$B$26:$F$70,3,0),0))</f>
        <v xml:space="preserve"> </v>
      </c>
      <c r="M863" s="135" t="str">
        <f>IF($F863=" "," ",IFERROR(VLOOKUP($F863,'депозитный калькулятор'!$B$26:$F$70,4,0),0))</f>
        <v xml:space="preserve"> </v>
      </c>
      <c r="N863" s="135" t="str">
        <f>IF($F863=" "," ",IFERROR(VLOOKUP($F863,'депозитный калькулятор'!$B$26:$F$70,5,0),0))</f>
        <v xml:space="preserve"> </v>
      </c>
      <c r="O863" s="146" t="str">
        <f>IF(F863&gt;'депозитный калькулятор'!$D$8," ",IF(F863='депозитный калькулятор'!$D$8,IF(AND($F$24='депозитный калькулятор'!$D$8,'депозитный калькулятор'!$G$13="нет"),-G863-IF(I863=" ",0,I863)-IF(AND(OR('депозитный калькулятор'!$G$7="30/365",'депозитный калькулятор'!$G$7="30/360"),'депозитный калькулятор'!$G$10="в начале срока"),I862,0)-L863+M863-N863,-G863-IF(I863=" ",0,I863)-L863+M863-N863),IF('депозитный калькулятор'!$G$13="есть",M863-N863+IF('депозитный калькулятор'!$G$14="есть",0,-L863),-IF(I863=" ",0,I863)-IF(AND(OR('депозитный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срока"),I862,0)+M863-N863+IF('депозитный калькулятор'!$G$14="есть",0,-L863))))</f>
        <v xml:space="preserve"> </v>
      </c>
      <c r="P863" s="147" t="str">
        <f>IF(F863&gt;'депозитный калькулятор'!$D$8," ",IF(EOMONTH(F862,0)=F862,0,IF(G863&gt;='депозитный калькулятор'!$G$19,P862,P862+1)))</f>
        <v xml:space="preserve"> </v>
      </c>
      <c r="Q863" s="138" t="str">
        <f>IF(F863=" "," ",IF(AND(OR('депозитный калькулятор'!$G$7="30/365",'депозитный калькулятор'!$G$7="30/360"),AND(MONTH(F863)=2,EOMONTH(F863,0)=F863)),IF(DAY(F863)=28,3,2),1)*IF(G863&gt;='депозитный калькулятор'!$G$11,IF(AND('депозитный калькулятор'!$G$7="факт/факт",MOD(YEAR(F863),4)=0),G863*'депозитный калькулятор'!$D$11/366,G863*'депозитный калькулятор'!$G$8),0))</f>
        <v xml:space="preserve"> </v>
      </c>
      <c r="S863" s="62" t="str">
        <f t="shared" ca="1" si="67"/>
        <v xml:space="preserve"> </v>
      </c>
      <c r="T863" s="149" t="str">
        <f ca="1">IF(S863=" "," ",IF('депозитный калькулятор'!$G$7="30/360",DAYS360(U862,IF(DAY(U863)=31,U863-1,U863))+IF(AND(MONTH(U863)=2,U863=EOMONTH(U863,0)),30-DAY(EOMONTH(U863,0)))+T862,VLOOKUP(S863,$C$22:$F$1023,2,0)))</f>
        <v xml:space="preserve"> </v>
      </c>
      <c r="U863" s="64" t="str">
        <f t="shared" ca="1" si="65"/>
        <v xml:space="preserve"> </v>
      </c>
      <c r="V863" s="150" t="str">
        <f t="shared" ca="1" si="68"/>
        <v xml:space="preserve"> </v>
      </c>
      <c r="W863" s="62" t="str">
        <f t="shared" ca="1" si="69"/>
        <v xml:space="preserve"> </v>
      </c>
      <c r="X863" s="141" t="str">
        <f ca="1">IF(S863=" "," ",IFERROR(VLOOKUP(U863,$F$23:$N$1023,7)+VLOOKUP(U863,$F$23:$N$1023,9)+IF(AND('депозитный калькулятор'!$G$13="нет",U863&lt;&gt;'депозитный калькулятор'!$D$8),VLOOKUP(U863,$F$23:$N$1023,4),0),0)+IF(U863='депозитный калькулятор'!$D$8,VLOOKUP(U863,$F$23:$N$1023,2)+VLOOKUP(U863,$F$23:$N$1023,4),0))</f>
        <v xml:space="preserve"> </v>
      </c>
      <c r="Y863" s="142" t="str">
        <f ca="1">IF(S863=" "," ",W863/(1+'депозитный калькулятор'!$K$8)^(T863/IF('депозитный калькулятор'!$G$7="30/360",360,365)))</f>
        <v xml:space="preserve"> </v>
      </c>
      <c r="Z863" s="142" t="str">
        <f ca="1">IF(S863=" "," ",X863/(1+'депозитный калькулятор'!$K$8)^(T863/IF('депозитный калькулятор'!$G$7="30/360",360,365)))</f>
        <v xml:space="preserve"> </v>
      </c>
      <c r="AA863" s="151"/>
      <c r="AB863" s="151"/>
      <c r="AC863" s="155"/>
      <c r="AD863" s="155"/>
    </row>
    <row r="864" spans="1:30" s="2" customFormat="1" ht="15.5" x14ac:dyDescent="0.35">
      <c r="A864" s="41" t="str">
        <f>IF(F864=" "," ",IF(OR('депозитный калькулятор'!$G$7="30/365",'депозитный калькулятор'!$G$7="30/360"),IF(AND(MONTH(F864)=2,DAY(F864)=DAY(EOMONTH(F864,0))),30-DAY(EOMONTH(F864,0)),IF(DAY(F864)=31,1," "))," "))</f>
        <v xml:space="preserve"> </v>
      </c>
      <c r="B864" s="130" t="str">
        <f t="shared" si="66"/>
        <v xml:space="preserve"> </v>
      </c>
      <c r="C864" s="130" t="str">
        <f>IF(OR(B864=0,B864=" ")," ",SUM($B$23:B864))</f>
        <v xml:space="preserve"> </v>
      </c>
      <c r="D864" s="62" t="str">
        <f>IF(D863=" "," ",IF(OR(F863='депозитный калькулятор'!$D$8,F863=" ")," ",D863+1))</f>
        <v xml:space="preserve"> </v>
      </c>
      <c r="E864" s="130" t="str">
        <f>IF(OR(F863='депозитный калькулятор'!$D$8,F863=" ")," ",IF(EOMONTH(F863,0)=F863,1,E863+1))</f>
        <v xml:space="preserve"> </v>
      </c>
      <c r="F864" s="64" t="str">
        <f>IF(F863=" "," ",IF(F863='депозитный калькулятор'!$D$8," ",F863+1))</f>
        <v xml:space="preserve"> </v>
      </c>
      <c r="G864" s="145" t="str">
        <f xml:space="preserve"> IF(F864&gt;'депозитный калькулятор'!$D$8," ",IF('депозитный калькулятор'!$G$13="есть",IF('депозитный калькулятор'!$G$14="есть",G863+IF(I863=" ",0,I863)-J864-K864+L864+M864-N864,G863+IF(I863=" ",0,I863)-J864-K864+M864-N864),IF('депозитный калькулятор'!$G$14="есть",G863-J864-K864+L864+M864-N864,G863-J864-K864+M864-N864)))</f>
        <v xml:space="preserve"> </v>
      </c>
      <c r="H864" s="133" t="str">
        <f>IF(F864&gt;'депозитный калькулятор'!$D$8," ",IF(AND(OR('депозитный калькулятор'!$G$7="30/365",'депозитный калькулятор'!$G$7="30/360"),AND(MONTH(F864)=2,EOMONTH(F864,0)=F864)),IF(DAY(F864)=28,3*G864*'депозитный калькулятор'!$G$8,2*G864*'депозитный калькулятор'!$G$8),IF(AND(OR('депозитный калькулятор'!$G$7="30/365",'депозитный калькулятор'!$G$7="30/360"),DAY(F864)=31)," ",IF(AND('депозитный калькулятор'!$G$7="факт/факт",MOD(YEAR(F864),4)=0),G864*'депозитный калькулятор'!$D$11/366,G864*'депозитный калькулятор'!$G$8))))</f>
        <v xml:space="preserve"> </v>
      </c>
      <c r="I864" s="134" t="str">
        <f ca="1">IF(F864=" "," ",IF('депозитный калькулятор'!$G$10="ежедневное",H864,IF(AND('депозитный калькулятор'!$G$10="еженедельное",WEEKDAY(F864,2)=7),SUM(OFFSET(H864,-6,0):H864),IF(AND('депозитный калькулятор'!$G$10="еженедельное",F864='депозитный калькулятор'!$D$8),SUM($H$23:H864)-SUM($I$23:I863),IF(AND('депозитный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недели",WEEKDAY(F864,2)=7),MIN(OFFSET(H864,-6,0):H864)*(COUNTIF(OFFSET(H864,-6,0):H864,"&gt;0")+SUMIF(OFFSET(A864,-WEEKDAY(F864,2),0):A864,"=2",OFFSET(A864,-WEEKDAY(F864,2),0):A864)),IF(AND('депозитный калькулятор'!$G$10="еженедельное, на минимальную сумму зафиксированную в течение недели",F864='депозитный калькулятор'!$D$8,WEEKDAY(F864,2)&lt;&gt;7),MIN(OFFSET(H864,-WEEKDAY(F864,2),0):H864)*(COUNTIF(OFFSET(H864,-WEEKDAY(F864,2)+1,0):H864,"&gt;0")+SUM(OFFSET(A864,-WEEKDAY(F864,2),0):A864)),IF(AND('депозитный калькулятор'!$G$10="ежемесячное (в конце месяца)",F864='депозитный калькулятор'!$D$8,EOMONTH(F864,0)&lt;&gt;F864),IF('депозитный калькулятор'!$F$1=1,$H$24,SUM($H$23:H864)-SUM($I$23:I863)),IF(AND('депозитный калькулятор'!$G$10="ежемесячное (в конце месяца)",EOMONTH(F864,0)=F864),SUM($H$23:H864)-SUM($I$23:I863),IF(AND('депозитный калькулятор'!$G$10="ежемесячное (по дням открытия вклада)",F864='депозитный калькулятор'!$D$8,DAY('депозитный калькулятор'!$D$7)&lt;&gt;DAY(F864)),IF('депозитный калькулятор'!$F$1=1,$H$24,SUM($H$23:H864)-SUM($I$23:I863)),IF(AND('депозитный калькулятор'!$G$10="ежемесячное (по дням открытия вклада)",DAY('депозитный калькулятор'!$D$7)=DAY(F864)),SUM($H$23:H864)-SUM($I$23:I863),IF(AND('депозитный калькулятор'!$G$10="ежемесячное, на минимальную сумму зафиксированную в течение месяца",F864='депозитный калькулятор'!$D$8,EOMONTH(F864,0)&lt;&gt;F864),IF('депозитный калькулятор'!$F$1=1,$H$24,IF(AND(OR('депозитный калькулятор'!$G$7="30/365",'депозитный калькулятор'!$G$7="30/360"),DAY(F864)=31),0,MIN(OFFSET(H864,-E864+1,0):H864)*(E864+SUMIF(OFFSET(A864,-E864+1,0):A864,"=2",OFFSET(A864,-E864+1,0):A864)))),IF(AND('депозитный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калькулятор'!$G$7="30/360"),DAY(EOMONTH(F864,0))=31),EOMONTH(F864,0)-1=F864,EOMONTH(F864,0)=F864)),IF(IF(AND(OR('депозитный калькулятор'!$G$7="30/365",'депозитный калькулятор'!$G$7="30/360"),DAY(EOMONTH($F$23,0))=31),F864=EOMONTH($F$23,0)-1,F864=EOMONTH($F$23,0)),MIN(OFFSET(H864,-(DAY(F864)-DAY($F$23)),0):H864)*E864,MIN(OFFSET(H864,-(DAY(F864)-1),0):H864)*IF(AND(OR('депозитный калькулятор'!$G$7="30/365",'депозитный калькулятор'!$G$7="30/360"),DAY(F864)&lt;30),30,DAY(F864))),IF(AND('депозитный калькулятор'!$G$10="ежемесячное, на средний остаток в течение месяца, при условии что остаток больше чем ограничение",F864='депозитный калькулятор'!$D$8,EOMONTH(F864,0)&lt;&gt;F864),IF('депозитный калькулятор'!$F$1=1,$H$24,SUM(OFFSET(Q864,-E864+1,0):Q864)),IF(AND('депозитный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калькулятор'!$G$7="30/360"),DAY(EOMONTH(F864,0))=31),EOMONTH(F864,0)-1=F864,EOMONTH(F864,0)=F864)),IF(IF(AND(OR('депозитный калькулятор'!$G$7="30/365",'депозитный калькулятор'!$G$7="30/360"),DAY(EOMONTH($F$24,0))=31),F864=EOMONTH($F$24,0)-1,F864=EOMONTH($F$24,0)),SUM(OFFSET(Q864,-E864+1,0):Q864),SUM(OFFSET(Q864,-E864+1,0):Q864)),IF('депозитный калькулятор'!$G$10="ежеквартальное",IF(F864&gt;'депозитный калькулятор'!$D$8," ",IF(AND(EOMONTH(F864,0)=F864,OR(MONTH(F864)=3,MONTH(F864)=6,MONTH(F864)=9,MONTH(F864)=12)),IF(EDATE(F864,-3)&lt;'депозитный калькулятор'!$D$7,SUM($H$23:H864),IF(MOD(YEAR(F864),4)=0,IF(AND(EOMONTH(F864,0)=F864,OR(MONTH(F864)=3,MONTH(F864)=6)),SUM(OFFSET(H864,-90,0):H864),IF(AND(EOMONTH(F864,0)=F864,OR(MONTH(F864)=9,MONTH(F864)=12)),SUM(OFFSET(H864,-91,0):H864))),IF(AND(EOMONTH(F864,0)=F864,MONTH(F864)=3),SUM(OFFSET(H864,-89,0):H864),IF(AND(EOMONTH(F864,0)=F864,MONTH(F864)=6),SUM(OFFSET(H864,-90,0):H864),IF(AND(EOMONTH(F864,0)=F864,OR(MONTH(F864)=9,MONTH(F864)=12)),SUM(OFFSET(H864,-91,0):H864)))))),IF(F864='депозитный калькулятор'!$D$8,SUM($H$23:H864)-SUM($I$23:I863),0))),IF('депозитный калькулятор'!$G$10="ежегодное",IF(F864&gt;'депозитный калькулятор'!$D$8," ",IF(F864='депозитный калькулятор'!$D$8,SUM($H$23:H864)-SUM($I$23:I863),IF(AND(EOMONTH(F864,0)=F864,MONTH(F864)=12),IF(MOD(YEAR(F863),4)=0,IF(F864-'депозитный калькулятор'!$D$7&lt;366,SUM($H$23:H864),SUM(OFFSET(H864,-365,0):H864)),IF(F864-'депозитный калькулятор'!$D$7&lt;365,SUM($H$23:H864),SUM(OFFSET(H864,-364,0):H864))),0))),IF(AND('депозитный калькулятор'!$G$10="в конце срока",'депозитный калькулятор'!$D$8=F864),SUM($H$23:H864),0))))))))))))))))))</f>
        <v xml:space="preserve"> </v>
      </c>
      <c r="J864" s="59" t="str">
        <f>IF(F864&gt;'депозитный калькулятор'!$D$8," ",IF('депозитный калькулятор'!$G$16="нет",0,IF(AND('депозитный калькулятор'!$G$17="разовая (в конце срока)",F864='депозитный калькулятор'!$D$8),'депозитный калькулятор'!$G$18,IF(AND('депозитный калькулятор'!$G$17="ежемесячная",EOMONTH(F863,0)=F863),'депозитный калькулятор'!$G$18,IF(AND('депозитный калькулятор'!$G$17="ежегодная",DAY(F863)=31,MONTH(F863)=12),'депозитный калькулятор'!$G$18,IF(AND('депозитный калькулятор'!$G$17="ежемесячная в зависимости от остатка",EOMONTH(F863,0)=F863,P863&gt;0),'депозитный калькулятор'!$G$18,IF(AND('депозитный калькулятор'!$G$17="ежегодная в зависимости от остатка",DAY(F863)=31,MONTH(F863)=12,P863&gt;0),'депозитный калькулятор'!$G$18,0)))))))</f>
        <v xml:space="preserve"> </v>
      </c>
      <c r="K864" s="135" t="str">
        <f>IF($F864=" "," ",IFERROR(VLOOKUP($F864,'депозитный калькулятор'!$B$26:$F$70,2,0),0))</f>
        <v xml:space="preserve"> </v>
      </c>
      <c r="L864" s="135" t="str">
        <f>IF($F864=" "," ",IFERROR(VLOOKUP($F864,'депозитный калькулятор'!$B$26:$F$70,3,0),0))</f>
        <v xml:space="preserve"> </v>
      </c>
      <c r="M864" s="135" t="str">
        <f>IF($F864=" "," ",IFERROR(VLOOKUP($F864,'депозитный калькулятор'!$B$26:$F$70,4,0),0))</f>
        <v xml:space="preserve"> </v>
      </c>
      <c r="N864" s="135" t="str">
        <f>IF($F864=" "," ",IFERROR(VLOOKUP($F864,'депозитный калькулятор'!$B$26:$F$70,5,0),0))</f>
        <v xml:space="preserve"> </v>
      </c>
      <c r="O864" s="146" t="str">
        <f>IF(F864&gt;'депозитный калькулятор'!$D$8," ",IF(F864='депозитный калькулятор'!$D$8,IF(AND($F$24='депозитный калькулятор'!$D$8,'депозитный калькулятор'!$G$13="нет"),-G864-IF(I864=" ",0,I864)-IF(AND(OR('депозитный калькулятор'!$G$7="30/365",'депозитный калькулятор'!$G$7="30/360"),'депозитный калькулятор'!$G$10="в начале срока"),I863,0)-L864+M864-N864,-G864-IF(I864=" ",0,I864)-L864+M864-N864),IF('депозитный калькулятор'!$G$13="есть",M864-N864+IF('депозитный калькулятор'!$G$14="есть",0,-L864),-IF(I864=" ",0,I864)-IF(AND(OR('депозитный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срока"),I863,0)+M864-N864+IF('депозитный калькулятор'!$G$14="есть",0,-L864))))</f>
        <v xml:space="preserve"> </v>
      </c>
      <c r="P864" s="147" t="str">
        <f>IF(F864&gt;'депозитный калькулятор'!$D$8," ",IF(EOMONTH(F863,0)=F863,0,IF(G864&gt;='депозитный калькулятор'!$G$19,P863,P863+1)))</f>
        <v xml:space="preserve"> </v>
      </c>
      <c r="Q864" s="138" t="str">
        <f>IF(F864=" "," ",IF(AND(OR('депозитный калькулятор'!$G$7="30/365",'депозитный калькулятор'!$G$7="30/360"),AND(MONTH(F864)=2,EOMONTH(F864,0)=F864)),IF(DAY(F864)=28,3,2),1)*IF(G864&gt;='депозитный калькулятор'!$G$11,IF(AND('депозитный калькулятор'!$G$7="факт/факт",MOD(YEAR(F864),4)=0),G864*'депозитный калькулятор'!$D$11/366,G864*'депозитный калькулятор'!$G$8),0))</f>
        <v xml:space="preserve"> </v>
      </c>
      <c r="S864" s="62" t="str">
        <f t="shared" ca="1" si="67"/>
        <v xml:space="preserve"> </v>
      </c>
      <c r="T864" s="149" t="str">
        <f ca="1">IF(S864=" "," ",IF('депозитный калькулятор'!$G$7="30/360",DAYS360(U863,IF(DAY(U864)=31,U864-1,U864))+IF(AND(MONTH(U864)=2,U864=EOMONTH(U864,0)),30-DAY(EOMONTH(U864,0)))+T863,VLOOKUP(S864,$C$22:$F$1023,2,0)))</f>
        <v xml:space="preserve"> </v>
      </c>
      <c r="U864" s="64" t="str">
        <f t="shared" ca="1" si="65"/>
        <v xml:space="preserve"> </v>
      </c>
      <c r="V864" s="150" t="str">
        <f t="shared" ca="1" si="68"/>
        <v xml:space="preserve"> </v>
      </c>
      <c r="W864" s="62" t="str">
        <f t="shared" ca="1" si="69"/>
        <v xml:space="preserve"> </v>
      </c>
      <c r="X864" s="141" t="str">
        <f ca="1">IF(S864=" "," ",IFERROR(VLOOKUP(U864,$F$23:$N$1023,7)+VLOOKUP(U864,$F$23:$N$1023,9)+IF(AND('депозитный калькулятор'!$G$13="нет",U864&lt;&gt;'депозитный калькулятор'!$D$8),VLOOKUP(U864,$F$23:$N$1023,4),0),0)+IF(U864='депозитный калькулятор'!$D$8,VLOOKUP(U864,$F$23:$N$1023,2)+VLOOKUP(U864,$F$23:$N$1023,4),0))</f>
        <v xml:space="preserve"> </v>
      </c>
      <c r="Y864" s="142" t="str">
        <f ca="1">IF(S864=" "," ",W864/(1+'депозитный калькулятор'!$K$8)^(T864/IF('депозитный калькулятор'!$G$7="30/360",360,365)))</f>
        <v xml:space="preserve"> </v>
      </c>
      <c r="Z864" s="142" t="str">
        <f ca="1">IF(S864=" "," ",X864/(1+'депозитный калькулятор'!$K$8)^(T864/IF('депозитный калькулятор'!$G$7="30/360",360,365)))</f>
        <v xml:space="preserve"> </v>
      </c>
      <c r="AA864" s="151"/>
      <c r="AB864" s="151"/>
      <c r="AC864" s="155"/>
      <c r="AD864" s="155"/>
    </row>
    <row r="865" spans="1:30" s="2" customFormat="1" ht="15.5" x14ac:dyDescent="0.35">
      <c r="A865" s="41" t="str">
        <f>IF(F865=" "," ",IF(OR('депозитный калькулятор'!$G$7="30/365",'депозитный калькулятор'!$G$7="30/360"),IF(AND(MONTH(F865)=2,DAY(F865)=DAY(EOMONTH(F865,0))),30-DAY(EOMONTH(F865,0)),IF(DAY(F865)=31,1," "))," "))</f>
        <v xml:space="preserve"> </v>
      </c>
      <c r="B865" s="130" t="str">
        <f t="shared" si="66"/>
        <v xml:space="preserve"> </v>
      </c>
      <c r="C865" s="130" t="str">
        <f>IF(OR(B865=0,B865=" ")," ",SUM($B$23:B865))</f>
        <v xml:space="preserve"> </v>
      </c>
      <c r="D865" s="62" t="str">
        <f>IF(D864=" "," ",IF(OR(F864='депозитный калькулятор'!$D$8,F864=" ")," ",D864+1))</f>
        <v xml:space="preserve"> </v>
      </c>
      <c r="E865" s="130" t="str">
        <f>IF(OR(F864='депозитный калькулятор'!$D$8,F864=" ")," ",IF(EOMONTH(F864,0)=F864,1,E864+1))</f>
        <v xml:space="preserve"> </v>
      </c>
      <c r="F865" s="64" t="str">
        <f>IF(F864=" "," ",IF(F864='депозитный калькулятор'!$D$8," ",F864+1))</f>
        <v xml:space="preserve"> </v>
      </c>
      <c r="G865" s="145" t="str">
        <f xml:space="preserve"> IF(F865&gt;'депозитный калькулятор'!$D$8," ",IF('депозитный калькулятор'!$G$13="есть",IF('депозитный калькулятор'!$G$14="есть",G864+IF(I864=" ",0,I864)-J865-K865+L865+M865-N865,G864+IF(I864=" ",0,I864)-J865-K865+M865-N865),IF('депозитный калькулятор'!$G$14="есть",G864-J865-K865+L865+M865-N865,G864-J865-K865+M865-N865)))</f>
        <v xml:space="preserve"> </v>
      </c>
      <c r="H865" s="133" t="str">
        <f>IF(F865&gt;'депозитный калькулятор'!$D$8," ",IF(AND(OR('депозитный калькулятор'!$G$7="30/365",'депозитный калькулятор'!$G$7="30/360"),AND(MONTH(F865)=2,EOMONTH(F865,0)=F865)),IF(DAY(F865)=28,3*G865*'депозитный калькулятор'!$G$8,2*G865*'депозитный калькулятор'!$G$8),IF(AND(OR('депозитный калькулятор'!$G$7="30/365",'депозитный калькулятор'!$G$7="30/360"),DAY(F865)=31)," ",IF(AND('депозитный калькулятор'!$G$7="факт/факт",MOD(YEAR(F865),4)=0),G865*'депозитный калькулятор'!$D$11/366,G865*'депозитный калькулятор'!$G$8))))</f>
        <v xml:space="preserve"> </v>
      </c>
      <c r="I865" s="134" t="str">
        <f ca="1">IF(F865=" "," ",IF('депозитный калькулятор'!$G$10="ежедневное",H865,IF(AND('депозитный калькулятор'!$G$10="еженедельное",WEEKDAY(F865,2)=7),SUM(OFFSET(H865,-6,0):H865),IF(AND('депозитный калькулятор'!$G$10="еженедельное",F865='депозитный калькулятор'!$D$8),SUM($H$23:H865)-SUM($I$23:I864),IF(AND('депозитный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недели",WEEKDAY(F865,2)=7),MIN(OFFSET(H865,-6,0):H865)*(COUNTIF(OFFSET(H865,-6,0):H865,"&gt;0")+SUMIF(OFFSET(A865,-WEEKDAY(F865,2),0):A865,"=2",OFFSET(A865,-WEEKDAY(F865,2),0):A865)),IF(AND('депозитный калькулятор'!$G$10="еженедельное, на минимальную сумму зафиксированную в течение недели",F865='депозитный калькулятор'!$D$8,WEEKDAY(F865,2)&lt;&gt;7),MIN(OFFSET(H865,-WEEKDAY(F865,2),0):H865)*(COUNTIF(OFFSET(H865,-WEEKDAY(F865,2)+1,0):H865,"&gt;0")+SUM(OFFSET(A865,-WEEKDAY(F865,2),0):A865)),IF(AND('депозитный калькулятор'!$G$10="ежемесячное (в конце месяца)",F865='депозитный калькулятор'!$D$8,EOMONTH(F865,0)&lt;&gt;F865),IF('депозитный калькулятор'!$F$1=1,$H$24,SUM($H$23:H865)-SUM($I$23:I864)),IF(AND('депозитный калькулятор'!$G$10="ежемесячное (в конце месяца)",EOMONTH(F865,0)=F865),SUM($H$23:H865)-SUM($I$23:I864),IF(AND('депозитный калькулятор'!$G$10="ежемесячное (по дням открытия вклада)",F865='депозитный калькулятор'!$D$8,DAY('депозитный калькулятор'!$D$7)&lt;&gt;DAY(F865)),IF('депозитный калькулятор'!$F$1=1,$H$24,SUM($H$23:H865)-SUM($I$23:I864)),IF(AND('депозитный калькулятор'!$G$10="ежемесячное (по дням открытия вклада)",DAY('депозитный калькулятор'!$D$7)=DAY(F865)),SUM($H$23:H865)-SUM($I$23:I864),IF(AND('депозитный калькулятор'!$G$10="ежемесячное, на минимальную сумму зафиксированную в течение месяца",F865='депозитный калькулятор'!$D$8,EOMONTH(F865,0)&lt;&gt;F865),IF('депозитный калькулятор'!$F$1=1,$H$24,IF(AND(OR('депозитный калькулятор'!$G$7="30/365",'депозитный калькулятор'!$G$7="30/360"),DAY(F865)=31),0,MIN(OFFSET(H865,-E865+1,0):H865)*(E865+SUMIF(OFFSET(A865,-E865+1,0):A865,"=2",OFFSET(A865,-E865+1,0):A865)))),IF(AND('депозитный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калькулятор'!$G$7="30/360"),DAY(EOMONTH(F865,0))=31),EOMONTH(F865,0)-1=F865,EOMONTH(F865,0)=F865)),IF(IF(AND(OR('депозитный калькулятор'!$G$7="30/365",'депозитный калькулятор'!$G$7="30/360"),DAY(EOMONTH($F$23,0))=31),F865=EOMONTH($F$23,0)-1,F865=EOMONTH($F$23,0)),MIN(OFFSET(H865,-(DAY(F865)-DAY($F$23)),0):H865)*E865,MIN(OFFSET(H865,-(DAY(F865)-1),0):H865)*IF(AND(OR('депозитный калькулятор'!$G$7="30/365",'депозитный калькулятор'!$G$7="30/360"),DAY(F865)&lt;30),30,DAY(F865))),IF(AND('депозитный калькулятор'!$G$10="ежемесячное, на средний остаток в течение месяца, при условии что остаток больше чем ограничение",F865='депозитный калькулятор'!$D$8,EOMONTH(F865,0)&lt;&gt;F865),IF('депозитный калькулятор'!$F$1=1,$H$24,SUM(OFFSET(Q865,-E865+1,0):Q865)),IF(AND('депозитный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калькулятор'!$G$7="30/360"),DAY(EOMONTH(F865,0))=31),EOMONTH(F865,0)-1=F865,EOMONTH(F865,0)=F865)),IF(IF(AND(OR('депозитный калькулятор'!$G$7="30/365",'депозитный калькулятор'!$G$7="30/360"),DAY(EOMONTH($F$24,0))=31),F865=EOMONTH($F$24,0)-1,F865=EOMONTH($F$24,0)),SUM(OFFSET(Q865,-E865+1,0):Q865),SUM(OFFSET(Q865,-E865+1,0):Q865)),IF('депозитный калькулятор'!$G$10="ежеквартальное",IF(F865&gt;'депозитный калькулятор'!$D$8," ",IF(AND(EOMONTH(F865,0)=F865,OR(MONTH(F865)=3,MONTH(F865)=6,MONTH(F865)=9,MONTH(F865)=12)),IF(EDATE(F865,-3)&lt;'депозитный калькулятор'!$D$7,SUM($H$23:H865),IF(MOD(YEAR(F865),4)=0,IF(AND(EOMONTH(F865,0)=F865,OR(MONTH(F865)=3,MONTH(F865)=6)),SUM(OFFSET(H865,-90,0):H865),IF(AND(EOMONTH(F865,0)=F865,OR(MONTH(F865)=9,MONTH(F865)=12)),SUM(OFFSET(H865,-91,0):H865))),IF(AND(EOMONTH(F865,0)=F865,MONTH(F865)=3),SUM(OFFSET(H865,-89,0):H865),IF(AND(EOMONTH(F865,0)=F865,MONTH(F865)=6),SUM(OFFSET(H865,-90,0):H865),IF(AND(EOMONTH(F865,0)=F865,OR(MONTH(F865)=9,MONTH(F865)=12)),SUM(OFFSET(H865,-91,0):H865)))))),IF(F865='депозитный калькулятор'!$D$8,SUM($H$23:H865)-SUM($I$23:I864),0))),IF('депозитный калькулятор'!$G$10="ежегодное",IF(F865&gt;'депозитный калькулятор'!$D$8," ",IF(F865='депозитный калькулятор'!$D$8,SUM($H$23:H865)-SUM($I$23:I864),IF(AND(EOMONTH(F865,0)=F865,MONTH(F865)=12),IF(MOD(YEAR(F864),4)=0,IF(F865-'депозитный калькулятор'!$D$7&lt;366,SUM($H$23:H865),SUM(OFFSET(H865,-365,0):H865)),IF(F865-'депозитный калькулятор'!$D$7&lt;365,SUM($H$23:H865),SUM(OFFSET(H865,-364,0):H865))),0))),IF(AND('депозитный калькулятор'!$G$10="в конце срока",'депозитный калькулятор'!$D$8=F865),SUM($H$23:H865),0))))))))))))))))))</f>
        <v xml:space="preserve"> </v>
      </c>
      <c r="J865" s="59" t="str">
        <f>IF(F865&gt;'депозитный калькулятор'!$D$8," ",IF('депозитный калькулятор'!$G$16="нет",0,IF(AND('депозитный калькулятор'!$G$17="разовая (в конце срока)",F865='депозитный калькулятор'!$D$8),'депозитный калькулятор'!$G$18,IF(AND('депозитный калькулятор'!$G$17="ежемесячная",EOMONTH(F864,0)=F864),'депозитный калькулятор'!$G$18,IF(AND('депозитный калькулятор'!$G$17="ежегодная",DAY(F864)=31,MONTH(F864)=12),'депозитный калькулятор'!$G$18,IF(AND('депозитный калькулятор'!$G$17="ежемесячная в зависимости от остатка",EOMONTH(F864,0)=F864,P864&gt;0),'депозитный калькулятор'!$G$18,IF(AND('депозитный калькулятор'!$G$17="ежегодная в зависимости от остатка",DAY(F864)=31,MONTH(F864)=12,P864&gt;0),'депозитный калькулятор'!$G$18,0)))))))</f>
        <v xml:space="preserve"> </v>
      </c>
      <c r="K865" s="135" t="str">
        <f>IF($F865=" "," ",IFERROR(VLOOKUP($F865,'депозитный калькулятор'!$B$26:$F$70,2,0),0))</f>
        <v xml:space="preserve"> </v>
      </c>
      <c r="L865" s="135" t="str">
        <f>IF($F865=" "," ",IFERROR(VLOOKUP($F865,'депозитный калькулятор'!$B$26:$F$70,3,0),0))</f>
        <v xml:space="preserve"> </v>
      </c>
      <c r="M865" s="135" t="str">
        <f>IF($F865=" "," ",IFERROR(VLOOKUP($F865,'депозитный калькулятор'!$B$26:$F$70,4,0),0))</f>
        <v xml:space="preserve"> </v>
      </c>
      <c r="N865" s="135" t="str">
        <f>IF($F865=" "," ",IFERROR(VLOOKUP($F865,'депозитный калькулятор'!$B$26:$F$70,5,0),0))</f>
        <v xml:space="preserve"> </v>
      </c>
      <c r="O865" s="146" t="str">
        <f>IF(F865&gt;'депозитный калькулятор'!$D$8," ",IF(F865='депозитный калькулятор'!$D$8,IF(AND($F$24='депозитный калькулятор'!$D$8,'депозитный калькулятор'!$G$13="нет"),-G865-IF(I865=" ",0,I865)-IF(AND(OR('депозитный калькулятор'!$G$7="30/365",'депозитный калькулятор'!$G$7="30/360"),'депозитный калькулятор'!$G$10="в начале срока"),I864,0)-L865+M865-N865,-G865-IF(I865=" ",0,I865)-L865+M865-N865),IF('депозитный калькулятор'!$G$13="есть",M865-N865+IF('депозитный калькулятор'!$G$14="есть",0,-L865),-IF(I865=" ",0,I865)-IF(AND(OR('депозитный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срока"),I864,0)+M865-N865+IF('депозитный калькулятор'!$G$14="есть",0,-L865))))</f>
        <v xml:space="preserve"> </v>
      </c>
      <c r="P865" s="147" t="str">
        <f>IF(F865&gt;'депозитный калькулятор'!$D$8," ",IF(EOMONTH(F864,0)=F864,0,IF(G865&gt;='депозитный калькулятор'!$G$19,P864,P864+1)))</f>
        <v xml:space="preserve"> </v>
      </c>
      <c r="Q865" s="138" t="str">
        <f>IF(F865=" "," ",IF(AND(OR('депозитный калькулятор'!$G$7="30/365",'депозитный калькулятор'!$G$7="30/360"),AND(MONTH(F865)=2,EOMONTH(F865,0)=F865)),IF(DAY(F865)=28,3,2),1)*IF(G865&gt;='депозитный калькулятор'!$G$11,IF(AND('депозитный калькулятор'!$G$7="факт/факт",MOD(YEAR(F865),4)=0),G865*'депозитный калькулятор'!$D$11/366,G865*'депозитный калькулятор'!$G$8),0))</f>
        <v xml:space="preserve"> </v>
      </c>
      <c r="S865" s="62" t="str">
        <f t="shared" ca="1" si="67"/>
        <v xml:space="preserve"> </v>
      </c>
      <c r="T865" s="149" t="str">
        <f ca="1">IF(S865=" "," ",IF('депозитный калькулятор'!$G$7="30/360",DAYS360(U864,IF(DAY(U865)=31,U865-1,U865))+IF(AND(MONTH(U865)=2,U865=EOMONTH(U865,0)),30-DAY(EOMONTH(U865,0)))+T864,VLOOKUP(S865,$C$22:$F$1023,2,0)))</f>
        <v xml:space="preserve"> </v>
      </c>
      <c r="U865" s="64" t="str">
        <f t="shared" ca="1" si="65"/>
        <v xml:space="preserve"> </v>
      </c>
      <c r="V865" s="150" t="str">
        <f t="shared" ca="1" si="68"/>
        <v xml:space="preserve"> </v>
      </c>
      <c r="W865" s="62" t="str">
        <f t="shared" ca="1" si="69"/>
        <v xml:space="preserve"> </v>
      </c>
      <c r="X865" s="141" t="str">
        <f ca="1">IF(S865=" "," ",IFERROR(VLOOKUP(U865,$F$23:$N$1023,7)+VLOOKUP(U865,$F$23:$N$1023,9)+IF(AND('депозитный калькулятор'!$G$13="нет",U865&lt;&gt;'депозитный калькулятор'!$D$8),VLOOKUP(U865,$F$23:$N$1023,4),0),0)+IF(U865='депозитный калькулятор'!$D$8,VLOOKUP(U865,$F$23:$N$1023,2)+VLOOKUP(U865,$F$23:$N$1023,4),0))</f>
        <v xml:space="preserve"> </v>
      </c>
      <c r="Y865" s="142" t="str">
        <f ca="1">IF(S865=" "," ",W865/(1+'депозитный калькулятор'!$K$8)^(T865/IF('депозитный калькулятор'!$G$7="30/360",360,365)))</f>
        <v xml:space="preserve"> </v>
      </c>
      <c r="Z865" s="142" t="str">
        <f ca="1">IF(S865=" "," ",X865/(1+'депозитный калькулятор'!$K$8)^(T865/IF('депозитный калькулятор'!$G$7="30/360",360,365)))</f>
        <v xml:space="preserve"> </v>
      </c>
      <c r="AA865" s="151"/>
      <c r="AB865" s="151"/>
      <c r="AC865" s="155"/>
      <c r="AD865" s="155"/>
    </row>
    <row r="866" spans="1:30" s="2" customFormat="1" ht="15.5" x14ac:dyDescent="0.35">
      <c r="A866" s="41" t="str">
        <f>IF(F866=" "," ",IF(OR('депозитный калькулятор'!$G$7="30/365",'депозитный калькулятор'!$G$7="30/360"),IF(AND(MONTH(F866)=2,DAY(F866)=DAY(EOMONTH(F866,0))),30-DAY(EOMONTH(F866,0)),IF(DAY(F866)=31,1," "))," "))</f>
        <v xml:space="preserve"> </v>
      </c>
      <c r="B866" s="130" t="str">
        <f t="shared" si="66"/>
        <v xml:space="preserve"> </v>
      </c>
      <c r="C866" s="130" t="str">
        <f>IF(OR(B866=0,B866=" ")," ",SUM($B$23:B866))</f>
        <v xml:space="preserve"> </v>
      </c>
      <c r="D866" s="62" t="str">
        <f>IF(D865=" "," ",IF(OR(F865='депозитный калькулятор'!$D$8,F865=" ")," ",D865+1))</f>
        <v xml:space="preserve"> </v>
      </c>
      <c r="E866" s="130" t="str">
        <f>IF(OR(F865='депозитный калькулятор'!$D$8,F865=" ")," ",IF(EOMONTH(F865,0)=F865,1,E865+1))</f>
        <v xml:space="preserve"> </v>
      </c>
      <c r="F866" s="64" t="str">
        <f>IF(F865=" "," ",IF(F865='депозитный калькулятор'!$D$8," ",F865+1))</f>
        <v xml:space="preserve"> </v>
      </c>
      <c r="G866" s="145" t="str">
        <f xml:space="preserve"> IF(F866&gt;'депозитный калькулятор'!$D$8," ",IF('депозитный калькулятор'!$G$13="есть",IF('депозитный калькулятор'!$G$14="есть",G865+IF(I865=" ",0,I865)-J866-K866+L866+M866-N866,G865+IF(I865=" ",0,I865)-J866-K866+M866-N866),IF('депозитный калькулятор'!$G$14="есть",G865-J866-K866+L866+M866-N866,G865-J866-K866+M866-N866)))</f>
        <v xml:space="preserve"> </v>
      </c>
      <c r="H866" s="133" t="str">
        <f>IF(F866&gt;'депозитный калькулятор'!$D$8," ",IF(AND(OR('депозитный калькулятор'!$G$7="30/365",'депозитный калькулятор'!$G$7="30/360"),AND(MONTH(F866)=2,EOMONTH(F866,0)=F866)),IF(DAY(F866)=28,3*G866*'депозитный калькулятор'!$G$8,2*G866*'депозитный калькулятор'!$G$8),IF(AND(OR('депозитный калькулятор'!$G$7="30/365",'депозитный калькулятор'!$G$7="30/360"),DAY(F866)=31)," ",IF(AND('депозитный калькулятор'!$G$7="факт/факт",MOD(YEAR(F866),4)=0),G866*'депозитный калькулятор'!$D$11/366,G866*'депозитный калькулятор'!$G$8))))</f>
        <v xml:space="preserve"> </v>
      </c>
      <c r="I866" s="134" t="str">
        <f ca="1">IF(F866=" "," ",IF('депозитный калькулятор'!$G$10="ежедневное",H866,IF(AND('депозитный калькулятор'!$G$10="еженедельное",WEEKDAY(F866,2)=7),SUM(OFFSET(H866,-6,0):H866),IF(AND('депозитный калькулятор'!$G$10="еженедельное",F866='депозитный калькулятор'!$D$8),SUM($H$23:H866)-SUM($I$23:I865),IF(AND('депозитный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недели",WEEKDAY(F866,2)=7),MIN(OFFSET(H866,-6,0):H866)*(COUNTIF(OFFSET(H866,-6,0):H866,"&gt;0")+SUMIF(OFFSET(A866,-WEEKDAY(F866,2),0):A866,"=2",OFFSET(A866,-WEEKDAY(F866,2),0):A866)),IF(AND('депозитный калькулятор'!$G$10="еженедельное, на минимальную сумму зафиксированную в течение недели",F866='депозитный калькулятор'!$D$8,WEEKDAY(F866,2)&lt;&gt;7),MIN(OFFSET(H866,-WEEKDAY(F866,2),0):H866)*(COUNTIF(OFFSET(H866,-WEEKDAY(F866,2)+1,0):H866,"&gt;0")+SUM(OFFSET(A866,-WEEKDAY(F866,2),0):A866)),IF(AND('депозитный калькулятор'!$G$10="ежемесячное (в конце месяца)",F866='депозитный калькулятор'!$D$8,EOMONTH(F866,0)&lt;&gt;F866),IF('депозитный калькулятор'!$F$1=1,$H$24,SUM($H$23:H866)-SUM($I$23:I865)),IF(AND('депозитный калькулятор'!$G$10="ежемесячное (в конце месяца)",EOMONTH(F866,0)=F866),SUM($H$23:H866)-SUM($I$23:I865),IF(AND('депозитный калькулятор'!$G$10="ежемесячное (по дням открытия вклада)",F866='депозитный калькулятор'!$D$8,DAY('депозитный калькулятор'!$D$7)&lt;&gt;DAY(F866)),IF('депозитный калькулятор'!$F$1=1,$H$24,SUM($H$23:H866)-SUM($I$23:I865)),IF(AND('депозитный калькулятор'!$G$10="ежемесячное (по дням открытия вклада)",DAY('депозитный калькулятор'!$D$7)=DAY(F866)),SUM($H$23:H866)-SUM($I$23:I865),IF(AND('депозитный калькулятор'!$G$10="ежемесячное, на минимальную сумму зафиксированную в течение месяца",F866='депозитный калькулятор'!$D$8,EOMONTH(F866,0)&lt;&gt;F866),IF('депозитный калькулятор'!$F$1=1,$H$24,IF(AND(OR('депозитный калькулятор'!$G$7="30/365",'депозитный калькулятор'!$G$7="30/360"),DAY(F866)=31),0,MIN(OFFSET(H866,-E866+1,0):H866)*(E866+SUMIF(OFFSET(A866,-E866+1,0):A866,"=2",OFFSET(A866,-E866+1,0):A866)))),IF(AND('депозитный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калькулятор'!$G$7="30/360"),DAY(EOMONTH(F866,0))=31),EOMONTH(F866,0)-1=F866,EOMONTH(F866,0)=F866)),IF(IF(AND(OR('депозитный калькулятор'!$G$7="30/365",'депозитный калькулятор'!$G$7="30/360"),DAY(EOMONTH($F$23,0))=31),F866=EOMONTH($F$23,0)-1,F866=EOMONTH($F$23,0)),MIN(OFFSET(H866,-(DAY(F866)-DAY($F$23)),0):H866)*E866,MIN(OFFSET(H866,-(DAY(F866)-1),0):H866)*IF(AND(OR('депозитный калькулятор'!$G$7="30/365",'депозитный калькулятор'!$G$7="30/360"),DAY(F866)&lt;30),30,DAY(F866))),IF(AND('депозитный калькулятор'!$G$10="ежемесячное, на средний остаток в течение месяца, при условии что остаток больше чем ограничение",F866='депозитный калькулятор'!$D$8,EOMONTH(F866,0)&lt;&gt;F866),IF('депозитный калькулятор'!$F$1=1,$H$24,SUM(OFFSET(Q866,-E866+1,0):Q866)),IF(AND('депозитный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калькулятор'!$G$7="30/360"),DAY(EOMONTH(F866,0))=31),EOMONTH(F866,0)-1=F866,EOMONTH(F866,0)=F866)),IF(IF(AND(OR('депозитный калькулятор'!$G$7="30/365",'депозитный калькулятор'!$G$7="30/360"),DAY(EOMONTH($F$24,0))=31),F866=EOMONTH($F$24,0)-1,F866=EOMONTH($F$24,0)),SUM(OFFSET(Q866,-E866+1,0):Q866),SUM(OFFSET(Q866,-E866+1,0):Q866)),IF('депозитный калькулятор'!$G$10="ежеквартальное",IF(F866&gt;'депозитный калькулятор'!$D$8," ",IF(AND(EOMONTH(F866,0)=F866,OR(MONTH(F866)=3,MONTH(F866)=6,MONTH(F866)=9,MONTH(F866)=12)),IF(EDATE(F866,-3)&lt;'депозитный калькулятор'!$D$7,SUM($H$23:H866),IF(MOD(YEAR(F866),4)=0,IF(AND(EOMONTH(F866,0)=F866,OR(MONTH(F866)=3,MONTH(F866)=6)),SUM(OFFSET(H866,-90,0):H866),IF(AND(EOMONTH(F866,0)=F866,OR(MONTH(F866)=9,MONTH(F866)=12)),SUM(OFFSET(H866,-91,0):H866))),IF(AND(EOMONTH(F866,0)=F866,MONTH(F866)=3),SUM(OFFSET(H866,-89,0):H866),IF(AND(EOMONTH(F866,0)=F866,MONTH(F866)=6),SUM(OFFSET(H866,-90,0):H866),IF(AND(EOMONTH(F866,0)=F866,OR(MONTH(F866)=9,MONTH(F866)=12)),SUM(OFFSET(H866,-91,0):H866)))))),IF(F866='депозитный калькулятор'!$D$8,SUM($H$23:H866)-SUM($I$23:I865),0))),IF('депозитный калькулятор'!$G$10="ежегодное",IF(F866&gt;'депозитный калькулятор'!$D$8," ",IF(F866='депозитный калькулятор'!$D$8,SUM($H$23:H866)-SUM($I$23:I865),IF(AND(EOMONTH(F866,0)=F866,MONTH(F866)=12),IF(MOD(YEAR(F865),4)=0,IF(F866-'депозитный калькулятор'!$D$7&lt;366,SUM($H$23:H866),SUM(OFFSET(H866,-365,0):H866)),IF(F866-'депозитный калькулятор'!$D$7&lt;365,SUM($H$23:H866),SUM(OFFSET(H866,-364,0):H866))),0))),IF(AND('депозитный калькулятор'!$G$10="в конце срока",'депозитный калькулятор'!$D$8=F866),SUM($H$23:H866),0))))))))))))))))))</f>
        <v xml:space="preserve"> </v>
      </c>
      <c r="J866" s="59" t="str">
        <f>IF(F866&gt;'депозитный калькулятор'!$D$8," ",IF('депозитный калькулятор'!$G$16="нет",0,IF(AND('депозитный калькулятор'!$G$17="разовая (в конце срока)",F866='депозитный калькулятор'!$D$8),'депозитный калькулятор'!$G$18,IF(AND('депозитный калькулятор'!$G$17="ежемесячная",EOMONTH(F865,0)=F865),'депозитный калькулятор'!$G$18,IF(AND('депозитный калькулятор'!$G$17="ежегодная",DAY(F865)=31,MONTH(F865)=12),'депозитный калькулятор'!$G$18,IF(AND('депозитный калькулятор'!$G$17="ежемесячная в зависимости от остатка",EOMONTH(F865,0)=F865,P865&gt;0),'депозитный калькулятор'!$G$18,IF(AND('депозитный калькулятор'!$G$17="ежегодная в зависимости от остатка",DAY(F865)=31,MONTH(F865)=12,P865&gt;0),'депозитный калькулятор'!$G$18,0)))))))</f>
        <v xml:space="preserve"> </v>
      </c>
      <c r="K866" s="135" t="str">
        <f>IF($F866=" "," ",IFERROR(VLOOKUP($F866,'депозитный калькулятор'!$B$26:$F$70,2,0),0))</f>
        <v xml:space="preserve"> </v>
      </c>
      <c r="L866" s="135" t="str">
        <f>IF($F866=" "," ",IFERROR(VLOOKUP($F866,'депозитный калькулятор'!$B$26:$F$70,3,0),0))</f>
        <v xml:space="preserve"> </v>
      </c>
      <c r="M866" s="135" t="str">
        <f>IF($F866=" "," ",IFERROR(VLOOKUP($F866,'депозитный калькулятор'!$B$26:$F$70,4,0),0))</f>
        <v xml:space="preserve"> </v>
      </c>
      <c r="N866" s="135" t="str">
        <f>IF($F866=" "," ",IFERROR(VLOOKUP($F866,'депозитный калькулятор'!$B$26:$F$70,5,0),0))</f>
        <v xml:space="preserve"> </v>
      </c>
      <c r="O866" s="146" t="str">
        <f>IF(F866&gt;'депозитный калькулятор'!$D$8," ",IF(F866='депозитный калькулятор'!$D$8,IF(AND($F$24='депозитный калькулятор'!$D$8,'депозитный калькулятор'!$G$13="нет"),-G866-IF(I866=" ",0,I866)-IF(AND(OR('депозитный калькулятор'!$G$7="30/365",'депозитный калькулятор'!$G$7="30/360"),'депозитный калькулятор'!$G$10="в начале срока"),I865,0)-L866+M866-N866,-G866-IF(I866=" ",0,I866)-L866+M866-N866),IF('депозитный калькулятор'!$G$13="есть",M866-N866+IF('депозитный калькулятор'!$G$14="есть",0,-L866),-IF(I866=" ",0,I866)-IF(AND(OR('депозитный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срока"),I865,0)+M866-N866+IF('депозитный калькулятор'!$G$14="есть",0,-L866))))</f>
        <v xml:space="preserve"> </v>
      </c>
      <c r="P866" s="147" t="str">
        <f>IF(F866&gt;'депозитный калькулятор'!$D$8," ",IF(EOMONTH(F865,0)=F865,0,IF(G866&gt;='депозитный калькулятор'!$G$19,P865,P865+1)))</f>
        <v xml:space="preserve"> </v>
      </c>
      <c r="Q866" s="138" t="str">
        <f>IF(F866=" "," ",IF(AND(OR('депозитный калькулятор'!$G$7="30/365",'депозитный калькулятор'!$G$7="30/360"),AND(MONTH(F866)=2,EOMONTH(F866,0)=F866)),IF(DAY(F866)=28,3,2),1)*IF(G866&gt;='депозитный калькулятор'!$G$11,IF(AND('депозитный калькулятор'!$G$7="факт/факт",MOD(YEAR(F866),4)=0),G866*'депозитный калькулятор'!$D$11/366,G866*'депозитный калькулятор'!$G$8),0))</f>
        <v xml:space="preserve"> </v>
      </c>
      <c r="S866" s="62" t="str">
        <f t="shared" ca="1" si="67"/>
        <v xml:space="preserve"> </v>
      </c>
      <c r="T866" s="149" t="str">
        <f ca="1">IF(S866=" "," ",IF('депозитный калькулятор'!$G$7="30/360",DAYS360(U865,IF(DAY(U866)=31,U866-1,U866))+IF(AND(MONTH(U866)=2,U866=EOMONTH(U866,0)),30-DAY(EOMONTH(U866,0)))+T865,VLOOKUP(S866,$C$22:$F$1023,2,0)))</f>
        <v xml:space="preserve"> </v>
      </c>
      <c r="U866" s="64" t="str">
        <f t="shared" ca="1" si="65"/>
        <v xml:space="preserve"> </v>
      </c>
      <c r="V866" s="150" t="str">
        <f t="shared" ca="1" si="68"/>
        <v xml:space="preserve"> </v>
      </c>
      <c r="W866" s="62" t="str">
        <f t="shared" ca="1" si="69"/>
        <v xml:space="preserve"> </v>
      </c>
      <c r="X866" s="141" t="str">
        <f ca="1">IF(S866=" "," ",IFERROR(VLOOKUP(U866,$F$23:$N$1023,7)+VLOOKUP(U866,$F$23:$N$1023,9)+IF(AND('депозитный калькулятор'!$G$13="нет",U866&lt;&gt;'депозитный калькулятор'!$D$8),VLOOKUP(U866,$F$23:$N$1023,4),0),0)+IF(U866='депозитный калькулятор'!$D$8,VLOOKUP(U866,$F$23:$N$1023,2)+VLOOKUP(U866,$F$23:$N$1023,4),0))</f>
        <v xml:space="preserve"> </v>
      </c>
      <c r="Y866" s="142" t="str">
        <f ca="1">IF(S866=" "," ",W866/(1+'депозитный калькулятор'!$K$8)^(T866/IF('депозитный калькулятор'!$G$7="30/360",360,365)))</f>
        <v xml:space="preserve"> </v>
      </c>
      <c r="Z866" s="142" t="str">
        <f ca="1">IF(S866=" "," ",X866/(1+'депозитный калькулятор'!$K$8)^(T866/IF('депозитный калькулятор'!$G$7="30/360",360,365)))</f>
        <v xml:space="preserve"> </v>
      </c>
      <c r="AA866" s="151"/>
      <c r="AB866" s="151"/>
      <c r="AC866" s="155"/>
      <c r="AD866" s="155"/>
    </row>
    <row r="867" spans="1:30" s="2" customFormat="1" ht="15.5" x14ac:dyDescent="0.35">
      <c r="A867" s="41" t="str">
        <f>IF(F867=" "," ",IF(OR('депозитный калькулятор'!$G$7="30/365",'депозитный калькулятор'!$G$7="30/360"),IF(AND(MONTH(F867)=2,DAY(F867)=DAY(EOMONTH(F867,0))),30-DAY(EOMONTH(F867,0)),IF(DAY(F867)=31,1," "))," "))</f>
        <v xml:space="preserve"> </v>
      </c>
      <c r="B867" s="130" t="str">
        <f t="shared" si="66"/>
        <v xml:space="preserve"> </v>
      </c>
      <c r="C867" s="130" t="str">
        <f>IF(OR(B867=0,B867=" ")," ",SUM($B$23:B867))</f>
        <v xml:space="preserve"> </v>
      </c>
      <c r="D867" s="62" t="str">
        <f>IF(D866=" "," ",IF(OR(F866='депозитный калькулятор'!$D$8,F866=" ")," ",D866+1))</f>
        <v xml:space="preserve"> </v>
      </c>
      <c r="E867" s="130" t="str">
        <f>IF(OR(F866='депозитный калькулятор'!$D$8,F866=" ")," ",IF(EOMONTH(F866,0)=F866,1,E866+1))</f>
        <v xml:space="preserve"> </v>
      </c>
      <c r="F867" s="64" t="str">
        <f>IF(F866=" "," ",IF(F866='депозитный калькулятор'!$D$8," ",F866+1))</f>
        <v xml:space="preserve"> </v>
      </c>
      <c r="G867" s="145" t="str">
        <f xml:space="preserve"> IF(F867&gt;'депозитный калькулятор'!$D$8," ",IF('депозитный калькулятор'!$G$13="есть",IF('депозитный калькулятор'!$G$14="есть",G866+IF(I866=" ",0,I866)-J867-K867+L867+M867-N867,G866+IF(I866=" ",0,I866)-J867-K867+M867-N867),IF('депозитный калькулятор'!$G$14="есть",G866-J867-K867+L867+M867-N867,G866-J867-K867+M867-N867)))</f>
        <v xml:space="preserve"> </v>
      </c>
      <c r="H867" s="133" t="str">
        <f>IF(F867&gt;'депозитный калькулятор'!$D$8," ",IF(AND(OR('депозитный калькулятор'!$G$7="30/365",'депозитный калькулятор'!$G$7="30/360"),AND(MONTH(F867)=2,EOMONTH(F867,0)=F867)),IF(DAY(F867)=28,3*G867*'депозитный калькулятор'!$G$8,2*G867*'депозитный калькулятор'!$G$8),IF(AND(OR('депозитный калькулятор'!$G$7="30/365",'депозитный калькулятор'!$G$7="30/360"),DAY(F867)=31)," ",IF(AND('депозитный калькулятор'!$G$7="факт/факт",MOD(YEAR(F867),4)=0),G867*'депозитный калькулятор'!$D$11/366,G867*'депозитный калькулятор'!$G$8))))</f>
        <v xml:space="preserve"> </v>
      </c>
      <c r="I867" s="134" t="str">
        <f ca="1">IF(F867=" "," ",IF('депозитный калькулятор'!$G$10="ежедневное",H867,IF(AND('депозитный калькулятор'!$G$10="еженедельное",WEEKDAY(F867,2)=7),SUM(OFFSET(H867,-6,0):H867),IF(AND('депозитный калькулятор'!$G$10="еженедельное",F867='депозитный калькулятор'!$D$8),SUM($H$23:H867)-SUM($I$23:I866),IF(AND('депозитный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недели",WEEKDAY(F867,2)=7),MIN(OFFSET(H867,-6,0):H867)*(COUNTIF(OFFSET(H867,-6,0):H867,"&gt;0")+SUMIF(OFFSET(A867,-WEEKDAY(F867,2),0):A867,"=2",OFFSET(A867,-WEEKDAY(F867,2),0):A867)),IF(AND('депозитный калькулятор'!$G$10="еженедельное, на минимальную сумму зафиксированную в течение недели",F867='депозитный калькулятор'!$D$8,WEEKDAY(F867,2)&lt;&gt;7),MIN(OFFSET(H867,-WEEKDAY(F867,2),0):H867)*(COUNTIF(OFFSET(H867,-WEEKDAY(F867,2)+1,0):H867,"&gt;0")+SUM(OFFSET(A867,-WEEKDAY(F867,2),0):A867)),IF(AND('депозитный калькулятор'!$G$10="ежемесячное (в конце месяца)",F867='депозитный калькулятор'!$D$8,EOMONTH(F867,0)&lt;&gt;F867),IF('депозитный калькулятор'!$F$1=1,$H$24,SUM($H$23:H867)-SUM($I$23:I866)),IF(AND('депозитный калькулятор'!$G$10="ежемесячное (в конце месяца)",EOMONTH(F867,0)=F867),SUM($H$23:H867)-SUM($I$23:I866),IF(AND('депозитный калькулятор'!$G$10="ежемесячное (по дням открытия вклада)",F867='депозитный калькулятор'!$D$8,DAY('депозитный калькулятор'!$D$7)&lt;&gt;DAY(F867)),IF('депозитный калькулятор'!$F$1=1,$H$24,SUM($H$23:H867)-SUM($I$23:I866)),IF(AND('депозитный калькулятор'!$G$10="ежемесячное (по дням открытия вклада)",DAY('депозитный калькулятор'!$D$7)=DAY(F867)),SUM($H$23:H867)-SUM($I$23:I866),IF(AND('депозитный калькулятор'!$G$10="ежемесячное, на минимальную сумму зафиксированную в течение месяца",F867='депозитный калькулятор'!$D$8,EOMONTH(F867,0)&lt;&gt;F867),IF('депозитный калькулятор'!$F$1=1,$H$24,IF(AND(OR('депозитный калькулятор'!$G$7="30/365",'депозитный калькулятор'!$G$7="30/360"),DAY(F867)=31),0,MIN(OFFSET(H867,-E867+1,0):H867)*(E867+SUMIF(OFFSET(A867,-E867+1,0):A867,"=2",OFFSET(A867,-E867+1,0):A867)))),IF(AND('депозитный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калькулятор'!$G$7="30/360"),DAY(EOMONTH(F867,0))=31),EOMONTH(F867,0)-1=F867,EOMONTH(F867,0)=F867)),IF(IF(AND(OR('депозитный калькулятор'!$G$7="30/365",'депозитный калькулятор'!$G$7="30/360"),DAY(EOMONTH($F$23,0))=31),F867=EOMONTH($F$23,0)-1,F867=EOMONTH($F$23,0)),MIN(OFFSET(H867,-(DAY(F867)-DAY($F$23)),0):H867)*E867,MIN(OFFSET(H867,-(DAY(F867)-1),0):H867)*IF(AND(OR('депозитный калькулятор'!$G$7="30/365",'депозитный калькулятор'!$G$7="30/360"),DAY(F867)&lt;30),30,DAY(F867))),IF(AND('депозитный калькулятор'!$G$10="ежемесячное, на средний остаток в течение месяца, при условии что остаток больше чем ограничение",F867='депозитный калькулятор'!$D$8,EOMONTH(F867,0)&lt;&gt;F867),IF('депозитный калькулятор'!$F$1=1,$H$24,SUM(OFFSET(Q867,-E867+1,0):Q867)),IF(AND('депозитный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калькулятор'!$G$7="30/360"),DAY(EOMONTH(F867,0))=31),EOMONTH(F867,0)-1=F867,EOMONTH(F867,0)=F867)),IF(IF(AND(OR('депозитный калькулятор'!$G$7="30/365",'депозитный калькулятор'!$G$7="30/360"),DAY(EOMONTH($F$24,0))=31),F867=EOMONTH($F$24,0)-1,F867=EOMONTH($F$24,0)),SUM(OFFSET(Q867,-E867+1,0):Q867),SUM(OFFSET(Q867,-E867+1,0):Q867)),IF('депозитный калькулятор'!$G$10="ежеквартальное",IF(F867&gt;'депозитный калькулятор'!$D$8," ",IF(AND(EOMONTH(F867,0)=F867,OR(MONTH(F867)=3,MONTH(F867)=6,MONTH(F867)=9,MONTH(F867)=12)),IF(EDATE(F867,-3)&lt;'депозитный калькулятор'!$D$7,SUM($H$23:H867),IF(MOD(YEAR(F867),4)=0,IF(AND(EOMONTH(F867,0)=F867,OR(MONTH(F867)=3,MONTH(F867)=6)),SUM(OFFSET(H867,-90,0):H867),IF(AND(EOMONTH(F867,0)=F867,OR(MONTH(F867)=9,MONTH(F867)=12)),SUM(OFFSET(H867,-91,0):H867))),IF(AND(EOMONTH(F867,0)=F867,MONTH(F867)=3),SUM(OFFSET(H867,-89,0):H867),IF(AND(EOMONTH(F867,0)=F867,MONTH(F867)=6),SUM(OFFSET(H867,-90,0):H867),IF(AND(EOMONTH(F867,0)=F867,OR(MONTH(F867)=9,MONTH(F867)=12)),SUM(OFFSET(H867,-91,0):H867)))))),IF(F867='депозитный калькулятор'!$D$8,SUM($H$23:H867)-SUM($I$23:I866),0))),IF('депозитный калькулятор'!$G$10="ежегодное",IF(F867&gt;'депозитный калькулятор'!$D$8," ",IF(F867='депозитный калькулятор'!$D$8,SUM($H$23:H867)-SUM($I$23:I866),IF(AND(EOMONTH(F867,0)=F867,MONTH(F867)=12),IF(MOD(YEAR(F866),4)=0,IF(F867-'депозитный калькулятор'!$D$7&lt;366,SUM($H$23:H867),SUM(OFFSET(H867,-365,0):H867)),IF(F867-'депозитный калькулятор'!$D$7&lt;365,SUM($H$23:H867),SUM(OFFSET(H867,-364,0):H867))),0))),IF(AND('депозитный калькулятор'!$G$10="в конце срока",'депозитный калькулятор'!$D$8=F867),SUM($H$23:H867),0))))))))))))))))))</f>
        <v xml:space="preserve"> </v>
      </c>
      <c r="J867" s="59" t="str">
        <f>IF(F867&gt;'депозитный калькулятор'!$D$8," ",IF('депозитный калькулятор'!$G$16="нет",0,IF(AND('депозитный калькулятор'!$G$17="разовая (в конце срока)",F867='депозитный калькулятор'!$D$8),'депозитный калькулятор'!$G$18,IF(AND('депозитный калькулятор'!$G$17="ежемесячная",EOMONTH(F866,0)=F866),'депозитный калькулятор'!$G$18,IF(AND('депозитный калькулятор'!$G$17="ежегодная",DAY(F866)=31,MONTH(F866)=12),'депозитный калькулятор'!$G$18,IF(AND('депозитный калькулятор'!$G$17="ежемесячная в зависимости от остатка",EOMONTH(F866,0)=F866,P866&gt;0),'депозитный калькулятор'!$G$18,IF(AND('депозитный калькулятор'!$G$17="ежегодная в зависимости от остатка",DAY(F866)=31,MONTH(F866)=12,P866&gt;0),'депозитный калькулятор'!$G$18,0)))))))</f>
        <v xml:space="preserve"> </v>
      </c>
      <c r="K867" s="135" t="str">
        <f>IF($F867=" "," ",IFERROR(VLOOKUP($F867,'депозитный калькулятор'!$B$26:$F$70,2,0),0))</f>
        <v xml:space="preserve"> </v>
      </c>
      <c r="L867" s="135" t="str">
        <f>IF($F867=" "," ",IFERROR(VLOOKUP($F867,'депозитный калькулятор'!$B$26:$F$70,3,0),0))</f>
        <v xml:space="preserve"> </v>
      </c>
      <c r="M867" s="135" t="str">
        <f>IF($F867=" "," ",IFERROR(VLOOKUP($F867,'депозитный калькулятор'!$B$26:$F$70,4,0),0))</f>
        <v xml:space="preserve"> </v>
      </c>
      <c r="N867" s="135" t="str">
        <f>IF($F867=" "," ",IFERROR(VLOOKUP($F867,'депозитный калькулятор'!$B$26:$F$70,5,0),0))</f>
        <v xml:space="preserve"> </v>
      </c>
      <c r="O867" s="146" t="str">
        <f>IF(F867&gt;'депозитный калькулятор'!$D$8," ",IF(F867='депозитный калькулятор'!$D$8,IF(AND($F$24='депозитный калькулятор'!$D$8,'депозитный калькулятор'!$G$13="нет"),-G867-IF(I867=" ",0,I867)-IF(AND(OR('депозитный калькулятор'!$G$7="30/365",'депозитный калькулятор'!$G$7="30/360"),'депозитный калькулятор'!$G$10="в начале срока"),I866,0)-L867+M867-N867,-G867-IF(I867=" ",0,I867)-L867+M867-N867),IF('депозитный калькулятор'!$G$13="есть",M867-N867+IF('депозитный калькулятор'!$G$14="есть",0,-L867),-IF(I867=" ",0,I867)-IF(AND(OR('депозитный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срока"),I866,0)+M867-N867+IF('депозитный калькулятор'!$G$14="есть",0,-L867))))</f>
        <v xml:space="preserve"> </v>
      </c>
      <c r="P867" s="147" t="str">
        <f>IF(F867&gt;'депозитный калькулятор'!$D$8," ",IF(EOMONTH(F866,0)=F866,0,IF(G867&gt;='депозитный калькулятор'!$G$19,P866,P866+1)))</f>
        <v xml:space="preserve"> </v>
      </c>
      <c r="Q867" s="138" t="str">
        <f>IF(F867=" "," ",IF(AND(OR('депозитный калькулятор'!$G$7="30/365",'депозитный калькулятор'!$G$7="30/360"),AND(MONTH(F867)=2,EOMONTH(F867,0)=F867)),IF(DAY(F867)=28,3,2),1)*IF(G867&gt;='депозитный калькулятор'!$G$11,IF(AND('депозитный калькулятор'!$G$7="факт/факт",MOD(YEAR(F867),4)=0),G867*'депозитный калькулятор'!$D$11/366,G867*'депозитный калькулятор'!$G$8),0))</f>
        <v xml:space="preserve"> </v>
      </c>
      <c r="S867" s="62" t="str">
        <f t="shared" ca="1" si="67"/>
        <v xml:space="preserve"> </v>
      </c>
      <c r="T867" s="149" t="str">
        <f ca="1">IF(S867=" "," ",IF('депозитный калькулятор'!$G$7="30/360",DAYS360(U866,IF(DAY(U867)=31,U867-1,U867))+IF(AND(MONTH(U867)=2,U867=EOMONTH(U867,0)),30-DAY(EOMONTH(U867,0)))+T866,VLOOKUP(S867,$C$22:$F$1023,2,0)))</f>
        <v xml:space="preserve"> </v>
      </c>
      <c r="U867" s="64" t="str">
        <f t="shared" ca="1" si="65"/>
        <v xml:space="preserve"> </v>
      </c>
      <c r="V867" s="150" t="str">
        <f t="shared" ca="1" si="68"/>
        <v xml:space="preserve"> </v>
      </c>
      <c r="W867" s="62" t="str">
        <f t="shared" ca="1" si="69"/>
        <v xml:space="preserve"> </v>
      </c>
      <c r="X867" s="141" t="str">
        <f ca="1">IF(S867=" "," ",IFERROR(VLOOKUP(U867,$F$23:$N$1023,7)+VLOOKUP(U867,$F$23:$N$1023,9)+IF(AND('депозитный калькулятор'!$G$13="нет",U867&lt;&gt;'депозитный калькулятор'!$D$8),VLOOKUP(U867,$F$23:$N$1023,4),0),0)+IF(U867='депозитный калькулятор'!$D$8,VLOOKUP(U867,$F$23:$N$1023,2)+VLOOKUP(U867,$F$23:$N$1023,4),0))</f>
        <v xml:space="preserve"> </v>
      </c>
      <c r="Y867" s="142" t="str">
        <f ca="1">IF(S867=" "," ",W867/(1+'депозитный калькулятор'!$K$8)^(T867/IF('депозитный калькулятор'!$G$7="30/360",360,365)))</f>
        <v xml:space="preserve"> </v>
      </c>
      <c r="Z867" s="142" t="str">
        <f ca="1">IF(S867=" "," ",X867/(1+'депозитный калькулятор'!$K$8)^(T867/IF('депозитный калькулятор'!$G$7="30/360",360,365)))</f>
        <v xml:space="preserve"> </v>
      </c>
      <c r="AA867" s="151"/>
      <c r="AB867" s="151"/>
      <c r="AC867" s="155"/>
      <c r="AD867" s="155"/>
    </row>
    <row r="868" spans="1:30" s="2" customFormat="1" ht="15.5" x14ac:dyDescent="0.35">
      <c r="A868" s="41" t="str">
        <f>IF(F868=" "," ",IF(OR('депозитный калькулятор'!$G$7="30/365",'депозитный калькулятор'!$G$7="30/360"),IF(AND(MONTH(F868)=2,DAY(F868)=DAY(EOMONTH(F868,0))),30-DAY(EOMONTH(F868,0)),IF(DAY(F868)=31,1," "))," "))</f>
        <v xml:space="preserve"> </v>
      </c>
      <c r="B868" s="130" t="str">
        <f t="shared" si="66"/>
        <v xml:space="preserve"> </v>
      </c>
      <c r="C868" s="130" t="str">
        <f>IF(OR(B868=0,B868=" ")," ",SUM($B$23:B868))</f>
        <v xml:space="preserve"> </v>
      </c>
      <c r="D868" s="62" t="str">
        <f>IF(D867=" "," ",IF(OR(F867='депозитный калькулятор'!$D$8,F867=" ")," ",D867+1))</f>
        <v xml:space="preserve"> </v>
      </c>
      <c r="E868" s="130" t="str">
        <f>IF(OR(F867='депозитный калькулятор'!$D$8,F867=" ")," ",IF(EOMONTH(F867,0)=F867,1,E867+1))</f>
        <v xml:space="preserve"> </v>
      </c>
      <c r="F868" s="64" t="str">
        <f>IF(F867=" "," ",IF(F867='депозитный калькулятор'!$D$8," ",F867+1))</f>
        <v xml:space="preserve"> </v>
      </c>
      <c r="G868" s="145" t="str">
        <f xml:space="preserve"> IF(F868&gt;'депозитный калькулятор'!$D$8," ",IF('депозитный калькулятор'!$G$13="есть",IF('депозитный калькулятор'!$G$14="есть",G867+IF(I867=" ",0,I867)-J868-K868+L868+M868-N868,G867+IF(I867=" ",0,I867)-J868-K868+M868-N868),IF('депозитный калькулятор'!$G$14="есть",G867-J868-K868+L868+M868-N868,G867-J868-K868+M868-N868)))</f>
        <v xml:space="preserve"> </v>
      </c>
      <c r="H868" s="133" t="str">
        <f>IF(F868&gt;'депозитный калькулятор'!$D$8," ",IF(AND(OR('депозитный калькулятор'!$G$7="30/365",'депозитный калькулятор'!$G$7="30/360"),AND(MONTH(F868)=2,EOMONTH(F868,0)=F868)),IF(DAY(F868)=28,3*G868*'депозитный калькулятор'!$G$8,2*G868*'депозитный калькулятор'!$G$8),IF(AND(OR('депозитный калькулятор'!$G$7="30/365",'депозитный калькулятор'!$G$7="30/360"),DAY(F868)=31)," ",IF(AND('депозитный калькулятор'!$G$7="факт/факт",MOD(YEAR(F868),4)=0),G868*'депозитный калькулятор'!$D$11/366,G868*'депозитный калькулятор'!$G$8))))</f>
        <v xml:space="preserve"> </v>
      </c>
      <c r="I868" s="134" t="str">
        <f ca="1">IF(F868=" "," ",IF('депозитный калькулятор'!$G$10="ежедневное",H868,IF(AND('депозитный калькулятор'!$G$10="еженедельное",WEEKDAY(F868,2)=7),SUM(OFFSET(H868,-6,0):H868),IF(AND('депозитный калькулятор'!$G$10="еженедельное",F868='депозитный калькулятор'!$D$8),SUM($H$23:H868)-SUM($I$23:I867),IF(AND('депозитный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недели",WEEKDAY(F868,2)=7),MIN(OFFSET(H868,-6,0):H868)*(COUNTIF(OFFSET(H868,-6,0):H868,"&gt;0")+SUMIF(OFFSET(A868,-WEEKDAY(F868,2),0):A868,"=2",OFFSET(A868,-WEEKDAY(F868,2),0):A868)),IF(AND('депозитный калькулятор'!$G$10="еженедельное, на минимальную сумму зафиксированную в течение недели",F868='депозитный калькулятор'!$D$8,WEEKDAY(F868,2)&lt;&gt;7),MIN(OFFSET(H868,-WEEKDAY(F868,2),0):H868)*(COUNTIF(OFFSET(H868,-WEEKDAY(F868,2)+1,0):H868,"&gt;0")+SUM(OFFSET(A868,-WEEKDAY(F868,2),0):A868)),IF(AND('депозитный калькулятор'!$G$10="ежемесячное (в конце месяца)",F868='депозитный калькулятор'!$D$8,EOMONTH(F868,0)&lt;&gt;F868),IF('депозитный калькулятор'!$F$1=1,$H$24,SUM($H$23:H868)-SUM($I$23:I867)),IF(AND('депозитный калькулятор'!$G$10="ежемесячное (в конце месяца)",EOMONTH(F868,0)=F868),SUM($H$23:H868)-SUM($I$23:I867),IF(AND('депозитный калькулятор'!$G$10="ежемесячное (по дням открытия вклада)",F868='депозитный калькулятор'!$D$8,DAY('депозитный калькулятор'!$D$7)&lt;&gt;DAY(F868)),IF('депозитный калькулятор'!$F$1=1,$H$24,SUM($H$23:H868)-SUM($I$23:I867)),IF(AND('депозитный калькулятор'!$G$10="ежемесячное (по дням открытия вклада)",DAY('депозитный калькулятор'!$D$7)=DAY(F868)),SUM($H$23:H868)-SUM($I$23:I867),IF(AND('депозитный калькулятор'!$G$10="ежемесячное, на минимальную сумму зафиксированную в течение месяца",F868='депозитный калькулятор'!$D$8,EOMONTH(F868,0)&lt;&gt;F868),IF('депозитный калькулятор'!$F$1=1,$H$24,IF(AND(OR('депозитный калькулятор'!$G$7="30/365",'депозитный калькулятор'!$G$7="30/360"),DAY(F868)=31),0,MIN(OFFSET(H868,-E868+1,0):H868)*(E868+SUMIF(OFFSET(A868,-E868+1,0):A868,"=2",OFFSET(A868,-E868+1,0):A868)))),IF(AND('депозитный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калькулятор'!$G$7="30/360"),DAY(EOMONTH(F868,0))=31),EOMONTH(F868,0)-1=F868,EOMONTH(F868,0)=F868)),IF(IF(AND(OR('депозитный калькулятор'!$G$7="30/365",'депозитный калькулятор'!$G$7="30/360"),DAY(EOMONTH($F$23,0))=31),F868=EOMONTH($F$23,0)-1,F868=EOMONTH($F$23,0)),MIN(OFFSET(H868,-(DAY(F868)-DAY($F$23)),0):H868)*E868,MIN(OFFSET(H868,-(DAY(F868)-1),0):H868)*IF(AND(OR('депозитный калькулятор'!$G$7="30/365",'депозитный калькулятор'!$G$7="30/360"),DAY(F868)&lt;30),30,DAY(F868))),IF(AND('депозитный калькулятор'!$G$10="ежемесячное, на средний остаток в течение месяца, при условии что остаток больше чем ограничение",F868='депозитный калькулятор'!$D$8,EOMONTH(F868,0)&lt;&gt;F868),IF('депозитный калькулятор'!$F$1=1,$H$24,SUM(OFFSET(Q868,-E868+1,0):Q868)),IF(AND('депозитный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калькулятор'!$G$7="30/360"),DAY(EOMONTH(F868,0))=31),EOMONTH(F868,0)-1=F868,EOMONTH(F868,0)=F868)),IF(IF(AND(OR('депозитный калькулятор'!$G$7="30/365",'депозитный калькулятор'!$G$7="30/360"),DAY(EOMONTH($F$24,0))=31),F868=EOMONTH($F$24,0)-1,F868=EOMONTH($F$24,0)),SUM(OFFSET(Q868,-E868+1,0):Q868),SUM(OFFSET(Q868,-E868+1,0):Q868)),IF('депозитный калькулятор'!$G$10="ежеквартальное",IF(F868&gt;'депозитный калькулятор'!$D$8," ",IF(AND(EOMONTH(F868,0)=F868,OR(MONTH(F868)=3,MONTH(F868)=6,MONTH(F868)=9,MONTH(F868)=12)),IF(EDATE(F868,-3)&lt;'депозитный калькулятор'!$D$7,SUM($H$23:H868),IF(MOD(YEAR(F868),4)=0,IF(AND(EOMONTH(F868,0)=F868,OR(MONTH(F868)=3,MONTH(F868)=6)),SUM(OFFSET(H868,-90,0):H868),IF(AND(EOMONTH(F868,0)=F868,OR(MONTH(F868)=9,MONTH(F868)=12)),SUM(OFFSET(H868,-91,0):H868))),IF(AND(EOMONTH(F868,0)=F868,MONTH(F868)=3),SUM(OFFSET(H868,-89,0):H868),IF(AND(EOMONTH(F868,0)=F868,MONTH(F868)=6),SUM(OFFSET(H868,-90,0):H868),IF(AND(EOMONTH(F868,0)=F868,OR(MONTH(F868)=9,MONTH(F868)=12)),SUM(OFFSET(H868,-91,0):H868)))))),IF(F868='депозитный калькулятор'!$D$8,SUM($H$23:H868)-SUM($I$23:I867),0))),IF('депозитный калькулятор'!$G$10="ежегодное",IF(F868&gt;'депозитный калькулятор'!$D$8," ",IF(F868='депозитный калькулятор'!$D$8,SUM($H$23:H868)-SUM($I$23:I867),IF(AND(EOMONTH(F868,0)=F868,MONTH(F868)=12),IF(MOD(YEAR(F867),4)=0,IF(F868-'депозитный калькулятор'!$D$7&lt;366,SUM($H$23:H868),SUM(OFFSET(H868,-365,0):H868)),IF(F868-'депозитный калькулятор'!$D$7&lt;365,SUM($H$23:H868),SUM(OFFSET(H868,-364,0):H868))),0))),IF(AND('депозитный калькулятор'!$G$10="в конце срока",'депозитный калькулятор'!$D$8=F868),SUM($H$23:H868),0))))))))))))))))))</f>
        <v xml:space="preserve"> </v>
      </c>
      <c r="J868" s="59" t="str">
        <f>IF(F868&gt;'депозитный калькулятор'!$D$8," ",IF('депозитный калькулятор'!$G$16="нет",0,IF(AND('депозитный калькулятор'!$G$17="разовая (в конце срока)",F868='депозитный калькулятор'!$D$8),'депозитный калькулятор'!$G$18,IF(AND('депозитный калькулятор'!$G$17="ежемесячная",EOMONTH(F867,0)=F867),'депозитный калькулятор'!$G$18,IF(AND('депозитный калькулятор'!$G$17="ежегодная",DAY(F867)=31,MONTH(F867)=12),'депозитный калькулятор'!$G$18,IF(AND('депозитный калькулятор'!$G$17="ежемесячная в зависимости от остатка",EOMONTH(F867,0)=F867,P867&gt;0),'депозитный калькулятор'!$G$18,IF(AND('депозитный калькулятор'!$G$17="ежегодная в зависимости от остатка",DAY(F867)=31,MONTH(F867)=12,P867&gt;0),'депозитный калькулятор'!$G$18,0)))))))</f>
        <v xml:space="preserve"> </v>
      </c>
      <c r="K868" s="135" t="str">
        <f>IF($F868=" "," ",IFERROR(VLOOKUP($F868,'депозитный калькулятор'!$B$26:$F$70,2,0),0))</f>
        <v xml:space="preserve"> </v>
      </c>
      <c r="L868" s="135" t="str">
        <f>IF($F868=" "," ",IFERROR(VLOOKUP($F868,'депозитный калькулятор'!$B$26:$F$70,3,0),0))</f>
        <v xml:space="preserve"> </v>
      </c>
      <c r="M868" s="135" t="str">
        <f>IF($F868=" "," ",IFERROR(VLOOKUP($F868,'депозитный калькулятор'!$B$26:$F$70,4,0),0))</f>
        <v xml:space="preserve"> </v>
      </c>
      <c r="N868" s="135" t="str">
        <f>IF($F868=" "," ",IFERROR(VLOOKUP($F868,'депозитный калькулятор'!$B$26:$F$70,5,0),0))</f>
        <v xml:space="preserve"> </v>
      </c>
      <c r="O868" s="146" t="str">
        <f>IF(F868&gt;'депозитный калькулятор'!$D$8," ",IF(F868='депозитный калькулятор'!$D$8,IF(AND($F$24='депозитный калькулятор'!$D$8,'депозитный калькулятор'!$G$13="нет"),-G868-IF(I868=" ",0,I868)-IF(AND(OR('депозитный калькулятор'!$G$7="30/365",'депозитный калькулятор'!$G$7="30/360"),'депозитный калькулятор'!$G$10="в начале срока"),I867,0)-L868+M868-N868,-G868-IF(I868=" ",0,I868)-L868+M868-N868),IF('депозитный калькулятор'!$G$13="есть",M868-N868+IF('депозитный калькулятор'!$G$14="есть",0,-L868),-IF(I868=" ",0,I868)-IF(AND(OR('депозитный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срока"),I867,0)+M868-N868+IF('депозитный калькулятор'!$G$14="есть",0,-L868))))</f>
        <v xml:space="preserve"> </v>
      </c>
      <c r="P868" s="147" t="str">
        <f>IF(F868&gt;'депозитный калькулятор'!$D$8," ",IF(EOMONTH(F867,0)=F867,0,IF(G868&gt;='депозитный калькулятор'!$G$19,P867,P867+1)))</f>
        <v xml:space="preserve"> </v>
      </c>
      <c r="Q868" s="138" t="str">
        <f>IF(F868=" "," ",IF(AND(OR('депозитный калькулятор'!$G$7="30/365",'депозитный калькулятор'!$G$7="30/360"),AND(MONTH(F868)=2,EOMONTH(F868,0)=F868)),IF(DAY(F868)=28,3,2),1)*IF(G868&gt;='депозитный калькулятор'!$G$11,IF(AND('депозитный калькулятор'!$G$7="факт/факт",MOD(YEAR(F868),4)=0),G868*'депозитный калькулятор'!$D$11/366,G868*'депозитный калькулятор'!$G$8),0))</f>
        <v xml:space="preserve"> </v>
      </c>
      <c r="S868" s="62" t="str">
        <f t="shared" ca="1" si="67"/>
        <v xml:space="preserve"> </v>
      </c>
      <c r="T868" s="149" t="str">
        <f ca="1">IF(S868=" "," ",IF('депозитный калькулятор'!$G$7="30/360",DAYS360(U867,IF(DAY(U868)=31,U868-1,U868))+IF(AND(MONTH(U868)=2,U868=EOMONTH(U868,0)),30-DAY(EOMONTH(U868,0)))+T867,VLOOKUP(S868,$C$22:$F$1023,2,0)))</f>
        <v xml:space="preserve"> </v>
      </c>
      <c r="U868" s="64" t="str">
        <f t="shared" ca="1" si="65"/>
        <v xml:space="preserve"> </v>
      </c>
      <c r="V868" s="150" t="str">
        <f t="shared" ca="1" si="68"/>
        <v xml:space="preserve"> </v>
      </c>
      <c r="W868" s="62" t="str">
        <f t="shared" ca="1" si="69"/>
        <v xml:space="preserve"> </v>
      </c>
      <c r="X868" s="141" t="str">
        <f ca="1">IF(S868=" "," ",IFERROR(VLOOKUP(U868,$F$23:$N$1023,7)+VLOOKUP(U868,$F$23:$N$1023,9)+IF(AND('депозитный калькулятор'!$G$13="нет",U868&lt;&gt;'депозитный калькулятор'!$D$8),VLOOKUP(U868,$F$23:$N$1023,4),0),0)+IF(U868='депозитный калькулятор'!$D$8,VLOOKUP(U868,$F$23:$N$1023,2)+VLOOKUP(U868,$F$23:$N$1023,4),0))</f>
        <v xml:space="preserve"> </v>
      </c>
      <c r="Y868" s="142" t="str">
        <f ca="1">IF(S868=" "," ",W868/(1+'депозитный калькулятор'!$K$8)^(T868/IF('депозитный калькулятор'!$G$7="30/360",360,365)))</f>
        <v xml:space="preserve"> </v>
      </c>
      <c r="Z868" s="142" t="str">
        <f ca="1">IF(S868=" "," ",X868/(1+'депозитный калькулятор'!$K$8)^(T868/IF('депозитный калькулятор'!$G$7="30/360",360,365)))</f>
        <v xml:space="preserve"> </v>
      </c>
      <c r="AA868" s="151"/>
      <c r="AB868" s="151"/>
      <c r="AC868" s="155"/>
      <c r="AD868" s="155"/>
    </row>
    <row r="869" spans="1:30" s="2" customFormat="1" ht="15.5" x14ac:dyDescent="0.35">
      <c r="A869" s="41" t="str">
        <f>IF(F869=" "," ",IF(OR('депозитный калькулятор'!$G$7="30/365",'депозитный калькулятор'!$G$7="30/360"),IF(AND(MONTH(F869)=2,DAY(F869)=DAY(EOMONTH(F869,0))),30-DAY(EOMONTH(F869,0)),IF(DAY(F869)=31,1," "))," "))</f>
        <v xml:space="preserve"> </v>
      </c>
      <c r="B869" s="130" t="str">
        <f t="shared" si="66"/>
        <v xml:space="preserve"> </v>
      </c>
      <c r="C869" s="130" t="str">
        <f>IF(OR(B869=0,B869=" ")," ",SUM($B$23:B869))</f>
        <v xml:space="preserve"> </v>
      </c>
      <c r="D869" s="62" t="str">
        <f>IF(D868=" "," ",IF(OR(F868='депозитный калькулятор'!$D$8,F868=" ")," ",D868+1))</f>
        <v xml:space="preserve"> </v>
      </c>
      <c r="E869" s="130" t="str">
        <f>IF(OR(F868='депозитный калькулятор'!$D$8,F868=" ")," ",IF(EOMONTH(F868,0)=F868,1,E868+1))</f>
        <v xml:space="preserve"> </v>
      </c>
      <c r="F869" s="64" t="str">
        <f>IF(F868=" "," ",IF(F868='депозитный калькулятор'!$D$8," ",F868+1))</f>
        <v xml:space="preserve"> </v>
      </c>
      <c r="G869" s="145" t="str">
        <f xml:space="preserve"> IF(F869&gt;'депозитный калькулятор'!$D$8," ",IF('депозитный калькулятор'!$G$13="есть",IF('депозитный калькулятор'!$G$14="есть",G868+IF(I868=" ",0,I868)-J869-K869+L869+M869-N869,G868+IF(I868=" ",0,I868)-J869-K869+M869-N869),IF('депозитный калькулятор'!$G$14="есть",G868-J869-K869+L869+M869-N869,G868-J869-K869+M869-N869)))</f>
        <v xml:space="preserve"> </v>
      </c>
      <c r="H869" s="133" t="str">
        <f>IF(F869&gt;'депозитный калькулятор'!$D$8," ",IF(AND(OR('депозитный калькулятор'!$G$7="30/365",'депозитный калькулятор'!$G$7="30/360"),AND(MONTH(F869)=2,EOMONTH(F869,0)=F869)),IF(DAY(F869)=28,3*G869*'депозитный калькулятор'!$G$8,2*G869*'депозитный калькулятор'!$G$8),IF(AND(OR('депозитный калькулятор'!$G$7="30/365",'депозитный калькулятор'!$G$7="30/360"),DAY(F869)=31)," ",IF(AND('депозитный калькулятор'!$G$7="факт/факт",MOD(YEAR(F869),4)=0),G869*'депозитный калькулятор'!$D$11/366,G869*'депозитный калькулятор'!$G$8))))</f>
        <v xml:space="preserve"> </v>
      </c>
      <c r="I869" s="134" t="str">
        <f ca="1">IF(F869=" "," ",IF('депозитный калькулятор'!$G$10="ежедневное",H869,IF(AND('депозитный калькулятор'!$G$10="еженедельное",WEEKDAY(F869,2)=7),SUM(OFFSET(H869,-6,0):H869),IF(AND('депозитный калькулятор'!$G$10="еженедельное",F869='депозитный калькулятор'!$D$8),SUM($H$23:H869)-SUM($I$23:I868),IF(AND('депозитный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недели",WEEKDAY(F869,2)=7),MIN(OFFSET(H869,-6,0):H869)*(COUNTIF(OFFSET(H869,-6,0):H869,"&gt;0")+SUMIF(OFFSET(A869,-WEEKDAY(F869,2),0):A869,"=2",OFFSET(A869,-WEEKDAY(F869,2),0):A869)),IF(AND('депозитный калькулятор'!$G$10="еженедельное, на минимальную сумму зафиксированную в течение недели",F869='депозитный калькулятор'!$D$8,WEEKDAY(F869,2)&lt;&gt;7),MIN(OFFSET(H869,-WEEKDAY(F869,2),0):H869)*(COUNTIF(OFFSET(H869,-WEEKDAY(F869,2)+1,0):H869,"&gt;0")+SUM(OFFSET(A869,-WEEKDAY(F869,2),0):A869)),IF(AND('депозитный калькулятор'!$G$10="ежемесячное (в конце месяца)",F869='депозитный калькулятор'!$D$8,EOMONTH(F869,0)&lt;&gt;F869),IF('депозитный калькулятор'!$F$1=1,$H$24,SUM($H$23:H869)-SUM($I$23:I868)),IF(AND('депозитный калькулятор'!$G$10="ежемесячное (в конце месяца)",EOMONTH(F869,0)=F869),SUM($H$23:H869)-SUM($I$23:I868),IF(AND('депозитный калькулятор'!$G$10="ежемесячное (по дням открытия вклада)",F869='депозитный калькулятор'!$D$8,DAY('депозитный калькулятор'!$D$7)&lt;&gt;DAY(F869)),IF('депозитный калькулятор'!$F$1=1,$H$24,SUM($H$23:H869)-SUM($I$23:I868)),IF(AND('депозитный калькулятор'!$G$10="ежемесячное (по дням открытия вклада)",DAY('депозитный калькулятор'!$D$7)=DAY(F869)),SUM($H$23:H869)-SUM($I$23:I868),IF(AND('депозитный калькулятор'!$G$10="ежемесячное, на минимальную сумму зафиксированную в течение месяца",F869='депозитный калькулятор'!$D$8,EOMONTH(F869,0)&lt;&gt;F869),IF('депозитный калькулятор'!$F$1=1,$H$24,IF(AND(OR('депозитный калькулятор'!$G$7="30/365",'депозитный калькулятор'!$G$7="30/360"),DAY(F869)=31),0,MIN(OFFSET(H869,-E869+1,0):H869)*(E869+SUMIF(OFFSET(A869,-E869+1,0):A869,"=2",OFFSET(A869,-E869+1,0):A869)))),IF(AND('депозитный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калькулятор'!$G$7="30/360"),DAY(EOMONTH(F869,0))=31),EOMONTH(F869,0)-1=F869,EOMONTH(F869,0)=F869)),IF(IF(AND(OR('депозитный калькулятор'!$G$7="30/365",'депозитный калькулятор'!$G$7="30/360"),DAY(EOMONTH($F$23,0))=31),F869=EOMONTH($F$23,0)-1,F869=EOMONTH($F$23,0)),MIN(OFFSET(H869,-(DAY(F869)-DAY($F$23)),0):H869)*E869,MIN(OFFSET(H869,-(DAY(F869)-1),0):H869)*IF(AND(OR('депозитный калькулятор'!$G$7="30/365",'депозитный калькулятор'!$G$7="30/360"),DAY(F869)&lt;30),30,DAY(F869))),IF(AND('депозитный калькулятор'!$G$10="ежемесячное, на средний остаток в течение месяца, при условии что остаток больше чем ограничение",F869='депозитный калькулятор'!$D$8,EOMONTH(F869,0)&lt;&gt;F869),IF('депозитный калькулятор'!$F$1=1,$H$24,SUM(OFFSET(Q869,-E869+1,0):Q869)),IF(AND('депозитный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калькулятор'!$G$7="30/360"),DAY(EOMONTH(F869,0))=31),EOMONTH(F869,0)-1=F869,EOMONTH(F869,0)=F869)),IF(IF(AND(OR('депозитный калькулятор'!$G$7="30/365",'депозитный калькулятор'!$G$7="30/360"),DAY(EOMONTH($F$24,0))=31),F869=EOMONTH($F$24,0)-1,F869=EOMONTH($F$24,0)),SUM(OFFSET(Q869,-E869+1,0):Q869),SUM(OFFSET(Q869,-E869+1,0):Q869)),IF('депозитный калькулятор'!$G$10="ежеквартальное",IF(F869&gt;'депозитный калькулятор'!$D$8," ",IF(AND(EOMONTH(F869,0)=F869,OR(MONTH(F869)=3,MONTH(F869)=6,MONTH(F869)=9,MONTH(F869)=12)),IF(EDATE(F869,-3)&lt;'депозитный калькулятор'!$D$7,SUM($H$23:H869),IF(MOD(YEAR(F869),4)=0,IF(AND(EOMONTH(F869,0)=F869,OR(MONTH(F869)=3,MONTH(F869)=6)),SUM(OFFSET(H869,-90,0):H869),IF(AND(EOMONTH(F869,0)=F869,OR(MONTH(F869)=9,MONTH(F869)=12)),SUM(OFFSET(H869,-91,0):H869))),IF(AND(EOMONTH(F869,0)=F869,MONTH(F869)=3),SUM(OFFSET(H869,-89,0):H869),IF(AND(EOMONTH(F869,0)=F869,MONTH(F869)=6),SUM(OFFSET(H869,-90,0):H869),IF(AND(EOMONTH(F869,0)=F869,OR(MONTH(F869)=9,MONTH(F869)=12)),SUM(OFFSET(H869,-91,0):H869)))))),IF(F869='депозитный калькулятор'!$D$8,SUM($H$23:H869)-SUM($I$23:I868),0))),IF('депозитный калькулятор'!$G$10="ежегодное",IF(F869&gt;'депозитный калькулятор'!$D$8," ",IF(F869='депозитный калькулятор'!$D$8,SUM($H$23:H869)-SUM($I$23:I868),IF(AND(EOMONTH(F869,0)=F869,MONTH(F869)=12),IF(MOD(YEAR(F868),4)=0,IF(F869-'депозитный калькулятор'!$D$7&lt;366,SUM($H$23:H869),SUM(OFFSET(H869,-365,0):H869)),IF(F869-'депозитный калькулятор'!$D$7&lt;365,SUM($H$23:H869),SUM(OFFSET(H869,-364,0):H869))),0))),IF(AND('депозитный калькулятор'!$G$10="в конце срока",'депозитный калькулятор'!$D$8=F869),SUM($H$23:H869),0))))))))))))))))))</f>
        <v xml:space="preserve"> </v>
      </c>
      <c r="J869" s="59" t="str">
        <f>IF(F869&gt;'депозитный калькулятор'!$D$8," ",IF('депозитный калькулятор'!$G$16="нет",0,IF(AND('депозитный калькулятор'!$G$17="разовая (в конце срока)",F869='депозитный калькулятор'!$D$8),'депозитный калькулятор'!$G$18,IF(AND('депозитный калькулятор'!$G$17="ежемесячная",EOMONTH(F868,0)=F868),'депозитный калькулятор'!$G$18,IF(AND('депозитный калькулятор'!$G$17="ежегодная",DAY(F868)=31,MONTH(F868)=12),'депозитный калькулятор'!$G$18,IF(AND('депозитный калькулятор'!$G$17="ежемесячная в зависимости от остатка",EOMONTH(F868,0)=F868,P868&gt;0),'депозитный калькулятор'!$G$18,IF(AND('депозитный калькулятор'!$G$17="ежегодная в зависимости от остатка",DAY(F868)=31,MONTH(F868)=12,P868&gt;0),'депозитный калькулятор'!$G$18,0)))))))</f>
        <v xml:space="preserve"> </v>
      </c>
      <c r="K869" s="135" t="str">
        <f>IF($F869=" "," ",IFERROR(VLOOKUP($F869,'депозитный калькулятор'!$B$26:$F$70,2,0),0))</f>
        <v xml:space="preserve"> </v>
      </c>
      <c r="L869" s="135" t="str">
        <f>IF($F869=" "," ",IFERROR(VLOOKUP($F869,'депозитный калькулятор'!$B$26:$F$70,3,0),0))</f>
        <v xml:space="preserve"> </v>
      </c>
      <c r="M869" s="135" t="str">
        <f>IF($F869=" "," ",IFERROR(VLOOKUP($F869,'депозитный калькулятор'!$B$26:$F$70,4,0),0))</f>
        <v xml:space="preserve"> </v>
      </c>
      <c r="N869" s="135" t="str">
        <f>IF($F869=" "," ",IFERROR(VLOOKUP($F869,'депозитный калькулятор'!$B$26:$F$70,5,0),0))</f>
        <v xml:space="preserve"> </v>
      </c>
      <c r="O869" s="146" t="str">
        <f>IF(F869&gt;'депозитный калькулятор'!$D$8," ",IF(F869='депозитный калькулятор'!$D$8,IF(AND($F$24='депозитный калькулятор'!$D$8,'депозитный калькулятор'!$G$13="нет"),-G869-IF(I869=" ",0,I869)-IF(AND(OR('депозитный калькулятор'!$G$7="30/365",'депозитный калькулятор'!$G$7="30/360"),'депозитный калькулятор'!$G$10="в начале срока"),I868,0)-L869+M869-N869,-G869-IF(I869=" ",0,I869)-L869+M869-N869),IF('депозитный калькулятор'!$G$13="есть",M869-N869+IF('депозитный калькулятор'!$G$14="есть",0,-L869),-IF(I869=" ",0,I869)-IF(AND(OR('депозитный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срока"),I868,0)+M869-N869+IF('депозитный калькулятор'!$G$14="есть",0,-L869))))</f>
        <v xml:space="preserve"> </v>
      </c>
      <c r="P869" s="147" t="str">
        <f>IF(F869&gt;'депозитный калькулятор'!$D$8," ",IF(EOMONTH(F868,0)=F868,0,IF(G869&gt;='депозитный калькулятор'!$G$19,P868,P868+1)))</f>
        <v xml:space="preserve"> </v>
      </c>
      <c r="Q869" s="138" t="str">
        <f>IF(F869=" "," ",IF(AND(OR('депозитный калькулятор'!$G$7="30/365",'депозитный калькулятор'!$G$7="30/360"),AND(MONTH(F869)=2,EOMONTH(F869,0)=F869)),IF(DAY(F869)=28,3,2),1)*IF(G869&gt;='депозитный калькулятор'!$G$11,IF(AND('депозитный калькулятор'!$G$7="факт/факт",MOD(YEAR(F869),4)=0),G869*'депозитный калькулятор'!$D$11/366,G869*'депозитный калькулятор'!$G$8),0))</f>
        <v xml:space="preserve"> </v>
      </c>
      <c r="S869" s="62" t="str">
        <f t="shared" ca="1" si="67"/>
        <v xml:space="preserve"> </v>
      </c>
      <c r="T869" s="149" t="str">
        <f ca="1">IF(S869=" "," ",IF('депозитный калькулятор'!$G$7="30/360",DAYS360(U868,IF(DAY(U869)=31,U869-1,U869))+IF(AND(MONTH(U869)=2,U869=EOMONTH(U869,0)),30-DAY(EOMONTH(U869,0)))+T868,VLOOKUP(S869,$C$22:$F$1023,2,0)))</f>
        <v xml:space="preserve"> </v>
      </c>
      <c r="U869" s="64" t="str">
        <f t="shared" ca="1" si="65"/>
        <v xml:space="preserve"> </v>
      </c>
      <c r="V869" s="150" t="str">
        <f t="shared" ca="1" si="68"/>
        <v xml:space="preserve"> </v>
      </c>
      <c r="W869" s="62" t="str">
        <f t="shared" ca="1" si="69"/>
        <v xml:space="preserve"> </v>
      </c>
      <c r="X869" s="141" t="str">
        <f ca="1">IF(S869=" "," ",IFERROR(VLOOKUP(U869,$F$23:$N$1023,7)+VLOOKUP(U869,$F$23:$N$1023,9)+IF(AND('депозитный калькулятор'!$G$13="нет",U869&lt;&gt;'депозитный калькулятор'!$D$8),VLOOKUP(U869,$F$23:$N$1023,4),0),0)+IF(U869='депозитный калькулятор'!$D$8,VLOOKUP(U869,$F$23:$N$1023,2)+VLOOKUP(U869,$F$23:$N$1023,4),0))</f>
        <v xml:space="preserve"> </v>
      </c>
      <c r="Y869" s="142" t="str">
        <f ca="1">IF(S869=" "," ",W869/(1+'депозитный калькулятор'!$K$8)^(T869/IF('депозитный калькулятор'!$G$7="30/360",360,365)))</f>
        <v xml:space="preserve"> </v>
      </c>
      <c r="Z869" s="142" t="str">
        <f ca="1">IF(S869=" "," ",X869/(1+'депозитный калькулятор'!$K$8)^(T869/IF('депозитный калькулятор'!$G$7="30/360",360,365)))</f>
        <v xml:space="preserve"> </v>
      </c>
      <c r="AA869" s="151"/>
      <c r="AB869" s="151"/>
      <c r="AC869" s="155"/>
      <c r="AD869" s="155"/>
    </row>
    <row r="870" spans="1:30" s="2" customFormat="1" ht="15.5" x14ac:dyDescent="0.35">
      <c r="A870" s="41" t="str">
        <f>IF(F870=" "," ",IF(OR('депозитный калькулятор'!$G$7="30/365",'депозитный калькулятор'!$G$7="30/360"),IF(AND(MONTH(F870)=2,DAY(F870)=DAY(EOMONTH(F870,0))),30-DAY(EOMONTH(F870,0)),IF(DAY(F870)=31,1," "))," "))</f>
        <v xml:space="preserve"> </v>
      </c>
      <c r="B870" s="130" t="str">
        <f t="shared" si="66"/>
        <v xml:space="preserve"> </v>
      </c>
      <c r="C870" s="130" t="str">
        <f>IF(OR(B870=0,B870=" ")," ",SUM($B$23:B870))</f>
        <v xml:space="preserve"> </v>
      </c>
      <c r="D870" s="62" t="str">
        <f>IF(D869=" "," ",IF(OR(F869='депозитный калькулятор'!$D$8,F869=" ")," ",D869+1))</f>
        <v xml:space="preserve"> </v>
      </c>
      <c r="E870" s="130" t="str">
        <f>IF(OR(F869='депозитный калькулятор'!$D$8,F869=" ")," ",IF(EOMONTH(F869,0)=F869,1,E869+1))</f>
        <v xml:space="preserve"> </v>
      </c>
      <c r="F870" s="64" t="str">
        <f>IF(F869=" "," ",IF(F869='депозитный калькулятор'!$D$8," ",F869+1))</f>
        <v xml:space="preserve"> </v>
      </c>
      <c r="G870" s="145" t="str">
        <f xml:space="preserve"> IF(F870&gt;'депозитный калькулятор'!$D$8," ",IF('депозитный калькулятор'!$G$13="есть",IF('депозитный калькулятор'!$G$14="есть",G869+IF(I869=" ",0,I869)-J870-K870+L870+M870-N870,G869+IF(I869=" ",0,I869)-J870-K870+M870-N870),IF('депозитный калькулятор'!$G$14="есть",G869-J870-K870+L870+M870-N870,G869-J870-K870+M870-N870)))</f>
        <v xml:space="preserve"> </v>
      </c>
      <c r="H870" s="133" t="str">
        <f>IF(F870&gt;'депозитный калькулятор'!$D$8," ",IF(AND(OR('депозитный калькулятор'!$G$7="30/365",'депозитный калькулятор'!$G$7="30/360"),AND(MONTH(F870)=2,EOMONTH(F870,0)=F870)),IF(DAY(F870)=28,3*G870*'депозитный калькулятор'!$G$8,2*G870*'депозитный калькулятор'!$G$8),IF(AND(OR('депозитный калькулятор'!$G$7="30/365",'депозитный калькулятор'!$G$7="30/360"),DAY(F870)=31)," ",IF(AND('депозитный калькулятор'!$G$7="факт/факт",MOD(YEAR(F870),4)=0),G870*'депозитный калькулятор'!$D$11/366,G870*'депозитный калькулятор'!$G$8))))</f>
        <v xml:space="preserve"> </v>
      </c>
      <c r="I870" s="134" t="str">
        <f ca="1">IF(F870=" "," ",IF('депозитный калькулятор'!$G$10="ежедневное",H870,IF(AND('депозитный калькулятор'!$G$10="еженедельное",WEEKDAY(F870,2)=7),SUM(OFFSET(H870,-6,0):H870),IF(AND('депозитный калькулятор'!$G$10="еженедельное",F870='депозитный калькулятор'!$D$8),SUM($H$23:H870)-SUM($I$23:I869),IF(AND('депозитный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недели",WEEKDAY(F870,2)=7),MIN(OFFSET(H870,-6,0):H870)*(COUNTIF(OFFSET(H870,-6,0):H870,"&gt;0")+SUMIF(OFFSET(A870,-WEEKDAY(F870,2),0):A870,"=2",OFFSET(A870,-WEEKDAY(F870,2),0):A870)),IF(AND('депозитный калькулятор'!$G$10="еженедельное, на минимальную сумму зафиксированную в течение недели",F870='депозитный калькулятор'!$D$8,WEEKDAY(F870,2)&lt;&gt;7),MIN(OFFSET(H870,-WEEKDAY(F870,2),0):H870)*(COUNTIF(OFFSET(H870,-WEEKDAY(F870,2)+1,0):H870,"&gt;0")+SUM(OFFSET(A870,-WEEKDAY(F870,2),0):A870)),IF(AND('депозитный калькулятор'!$G$10="ежемесячное (в конце месяца)",F870='депозитный калькулятор'!$D$8,EOMONTH(F870,0)&lt;&gt;F870),IF('депозитный калькулятор'!$F$1=1,$H$24,SUM($H$23:H870)-SUM($I$23:I869)),IF(AND('депозитный калькулятор'!$G$10="ежемесячное (в конце месяца)",EOMONTH(F870,0)=F870),SUM($H$23:H870)-SUM($I$23:I869),IF(AND('депозитный калькулятор'!$G$10="ежемесячное (по дням открытия вклада)",F870='депозитный калькулятор'!$D$8,DAY('депозитный калькулятор'!$D$7)&lt;&gt;DAY(F870)),IF('депозитный калькулятор'!$F$1=1,$H$24,SUM($H$23:H870)-SUM($I$23:I869)),IF(AND('депозитный калькулятор'!$G$10="ежемесячное (по дням открытия вклада)",DAY('депозитный калькулятор'!$D$7)=DAY(F870)),SUM($H$23:H870)-SUM($I$23:I869),IF(AND('депозитный калькулятор'!$G$10="ежемесячное, на минимальную сумму зафиксированную в течение месяца",F870='депозитный калькулятор'!$D$8,EOMONTH(F870,0)&lt;&gt;F870),IF('депозитный калькулятор'!$F$1=1,$H$24,IF(AND(OR('депозитный калькулятор'!$G$7="30/365",'депозитный калькулятор'!$G$7="30/360"),DAY(F870)=31),0,MIN(OFFSET(H870,-E870+1,0):H870)*(E870+SUMIF(OFFSET(A870,-E870+1,0):A870,"=2",OFFSET(A870,-E870+1,0):A870)))),IF(AND('депозитный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калькулятор'!$G$7="30/360"),DAY(EOMONTH(F870,0))=31),EOMONTH(F870,0)-1=F870,EOMONTH(F870,0)=F870)),IF(IF(AND(OR('депозитный калькулятор'!$G$7="30/365",'депозитный калькулятор'!$G$7="30/360"),DAY(EOMONTH($F$23,0))=31),F870=EOMONTH($F$23,0)-1,F870=EOMONTH($F$23,0)),MIN(OFFSET(H870,-(DAY(F870)-DAY($F$23)),0):H870)*E870,MIN(OFFSET(H870,-(DAY(F870)-1),0):H870)*IF(AND(OR('депозитный калькулятор'!$G$7="30/365",'депозитный калькулятор'!$G$7="30/360"),DAY(F870)&lt;30),30,DAY(F870))),IF(AND('депозитный калькулятор'!$G$10="ежемесячное, на средний остаток в течение месяца, при условии что остаток больше чем ограничение",F870='депозитный калькулятор'!$D$8,EOMONTH(F870,0)&lt;&gt;F870),IF('депозитный калькулятор'!$F$1=1,$H$24,SUM(OFFSET(Q870,-E870+1,0):Q870)),IF(AND('депозитный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калькулятор'!$G$7="30/360"),DAY(EOMONTH(F870,0))=31),EOMONTH(F870,0)-1=F870,EOMONTH(F870,0)=F870)),IF(IF(AND(OR('депозитный калькулятор'!$G$7="30/365",'депозитный калькулятор'!$G$7="30/360"),DAY(EOMONTH($F$24,0))=31),F870=EOMONTH($F$24,0)-1,F870=EOMONTH($F$24,0)),SUM(OFFSET(Q870,-E870+1,0):Q870),SUM(OFFSET(Q870,-E870+1,0):Q870)),IF('депозитный калькулятор'!$G$10="ежеквартальное",IF(F870&gt;'депозитный калькулятор'!$D$8," ",IF(AND(EOMONTH(F870,0)=F870,OR(MONTH(F870)=3,MONTH(F870)=6,MONTH(F870)=9,MONTH(F870)=12)),IF(EDATE(F870,-3)&lt;'депозитный калькулятор'!$D$7,SUM($H$23:H870),IF(MOD(YEAR(F870),4)=0,IF(AND(EOMONTH(F870,0)=F870,OR(MONTH(F870)=3,MONTH(F870)=6)),SUM(OFFSET(H870,-90,0):H870),IF(AND(EOMONTH(F870,0)=F870,OR(MONTH(F870)=9,MONTH(F870)=12)),SUM(OFFSET(H870,-91,0):H870))),IF(AND(EOMONTH(F870,0)=F870,MONTH(F870)=3),SUM(OFFSET(H870,-89,0):H870),IF(AND(EOMONTH(F870,0)=F870,MONTH(F870)=6),SUM(OFFSET(H870,-90,0):H870),IF(AND(EOMONTH(F870,0)=F870,OR(MONTH(F870)=9,MONTH(F870)=12)),SUM(OFFSET(H870,-91,0):H870)))))),IF(F870='депозитный калькулятор'!$D$8,SUM($H$23:H870)-SUM($I$23:I869),0))),IF('депозитный калькулятор'!$G$10="ежегодное",IF(F870&gt;'депозитный калькулятор'!$D$8," ",IF(F870='депозитный калькулятор'!$D$8,SUM($H$23:H870)-SUM($I$23:I869),IF(AND(EOMONTH(F870,0)=F870,MONTH(F870)=12),IF(MOD(YEAR(F869),4)=0,IF(F870-'депозитный калькулятор'!$D$7&lt;366,SUM($H$23:H870),SUM(OFFSET(H870,-365,0):H870)),IF(F870-'депозитный калькулятор'!$D$7&lt;365,SUM($H$23:H870),SUM(OFFSET(H870,-364,0):H870))),0))),IF(AND('депозитный калькулятор'!$G$10="в конце срока",'депозитный калькулятор'!$D$8=F870),SUM($H$23:H870),0))))))))))))))))))</f>
        <v xml:space="preserve"> </v>
      </c>
      <c r="J870" s="59" t="str">
        <f>IF(F870&gt;'депозитный калькулятор'!$D$8," ",IF('депозитный калькулятор'!$G$16="нет",0,IF(AND('депозитный калькулятор'!$G$17="разовая (в конце срока)",F870='депозитный калькулятор'!$D$8),'депозитный калькулятор'!$G$18,IF(AND('депозитный калькулятор'!$G$17="ежемесячная",EOMONTH(F869,0)=F869),'депозитный калькулятор'!$G$18,IF(AND('депозитный калькулятор'!$G$17="ежегодная",DAY(F869)=31,MONTH(F869)=12),'депозитный калькулятор'!$G$18,IF(AND('депозитный калькулятор'!$G$17="ежемесячная в зависимости от остатка",EOMONTH(F869,0)=F869,P869&gt;0),'депозитный калькулятор'!$G$18,IF(AND('депозитный калькулятор'!$G$17="ежегодная в зависимости от остатка",DAY(F869)=31,MONTH(F869)=12,P869&gt;0),'депозитный калькулятор'!$G$18,0)))))))</f>
        <v xml:space="preserve"> </v>
      </c>
      <c r="K870" s="135" t="str">
        <f>IF($F870=" "," ",IFERROR(VLOOKUP($F870,'депозитный калькулятор'!$B$26:$F$70,2,0),0))</f>
        <v xml:space="preserve"> </v>
      </c>
      <c r="L870" s="135" t="str">
        <f>IF($F870=" "," ",IFERROR(VLOOKUP($F870,'депозитный калькулятор'!$B$26:$F$70,3,0),0))</f>
        <v xml:space="preserve"> </v>
      </c>
      <c r="M870" s="135" t="str">
        <f>IF($F870=" "," ",IFERROR(VLOOKUP($F870,'депозитный калькулятор'!$B$26:$F$70,4,0),0))</f>
        <v xml:space="preserve"> </v>
      </c>
      <c r="N870" s="135" t="str">
        <f>IF($F870=" "," ",IFERROR(VLOOKUP($F870,'депозитный калькулятор'!$B$26:$F$70,5,0),0))</f>
        <v xml:space="preserve"> </v>
      </c>
      <c r="O870" s="146" t="str">
        <f>IF(F870&gt;'депозитный калькулятор'!$D$8," ",IF(F870='депозитный калькулятор'!$D$8,IF(AND($F$24='депозитный калькулятор'!$D$8,'депозитный калькулятор'!$G$13="нет"),-G870-IF(I870=" ",0,I870)-IF(AND(OR('депозитный калькулятор'!$G$7="30/365",'депозитный калькулятор'!$G$7="30/360"),'депозитный калькулятор'!$G$10="в начале срока"),I869,0)-L870+M870-N870,-G870-IF(I870=" ",0,I870)-L870+M870-N870),IF('депозитный калькулятор'!$G$13="есть",M870-N870+IF('депозитный калькулятор'!$G$14="есть",0,-L870),-IF(I870=" ",0,I870)-IF(AND(OR('депозитный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срока"),I869,0)+M870-N870+IF('депозитный калькулятор'!$G$14="есть",0,-L870))))</f>
        <v xml:space="preserve"> </v>
      </c>
      <c r="P870" s="147" t="str">
        <f>IF(F870&gt;'депозитный калькулятор'!$D$8," ",IF(EOMONTH(F869,0)=F869,0,IF(G870&gt;='депозитный калькулятор'!$G$19,P869,P869+1)))</f>
        <v xml:space="preserve"> </v>
      </c>
      <c r="Q870" s="138" t="str">
        <f>IF(F870=" "," ",IF(AND(OR('депозитный калькулятор'!$G$7="30/365",'депозитный калькулятор'!$G$7="30/360"),AND(MONTH(F870)=2,EOMONTH(F870,0)=F870)),IF(DAY(F870)=28,3,2),1)*IF(G870&gt;='депозитный калькулятор'!$G$11,IF(AND('депозитный калькулятор'!$G$7="факт/факт",MOD(YEAR(F870),4)=0),G870*'депозитный калькулятор'!$D$11/366,G870*'депозитный калькулятор'!$G$8),0))</f>
        <v xml:space="preserve"> </v>
      </c>
      <c r="S870" s="62" t="str">
        <f t="shared" ca="1" si="67"/>
        <v xml:space="preserve"> </v>
      </c>
      <c r="T870" s="149" t="str">
        <f ca="1">IF(S870=" "," ",IF('депозитный калькулятор'!$G$7="30/360",DAYS360(U869,IF(DAY(U870)=31,U870-1,U870))+IF(AND(MONTH(U870)=2,U870=EOMONTH(U870,0)),30-DAY(EOMONTH(U870,0)))+T869,VLOOKUP(S870,$C$22:$F$1023,2,0)))</f>
        <v xml:space="preserve"> </v>
      </c>
      <c r="U870" s="64" t="str">
        <f t="shared" ca="1" si="65"/>
        <v xml:space="preserve"> </v>
      </c>
      <c r="V870" s="150" t="str">
        <f t="shared" ca="1" si="68"/>
        <v xml:space="preserve"> </v>
      </c>
      <c r="W870" s="62" t="str">
        <f t="shared" ca="1" si="69"/>
        <v xml:space="preserve"> </v>
      </c>
      <c r="X870" s="141" t="str">
        <f ca="1">IF(S870=" "," ",IFERROR(VLOOKUP(U870,$F$23:$N$1023,7)+VLOOKUP(U870,$F$23:$N$1023,9)+IF(AND('депозитный калькулятор'!$G$13="нет",U870&lt;&gt;'депозитный калькулятор'!$D$8),VLOOKUP(U870,$F$23:$N$1023,4),0),0)+IF(U870='депозитный калькулятор'!$D$8,VLOOKUP(U870,$F$23:$N$1023,2)+VLOOKUP(U870,$F$23:$N$1023,4),0))</f>
        <v xml:space="preserve"> </v>
      </c>
      <c r="Y870" s="142" t="str">
        <f ca="1">IF(S870=" "," ",W870/(1+'депозитный калькулятор'!$K$8)^(T870/IF('депозитный калькулятор'!$G$7="30/360",360,365)))</f>
        <v xml:space="preserve"> </v>
      </c>
      <c r="Z870" s="142" t="str">
        <f ca="1">IF(S870=" "," ",X870/(1+'депозитный калькулятор'!$K$8)^(T870/IF('депозитный калькулятор'!$G$7="30/360",360,365)))</f>
        <v xml:space="preserve"> </v>
      </c>
      <c r="AA870" s="151"/>
      <c r="AB870" s="151"/>
      <c r="AC870" s="155"/>
      <c r="AD870" s="155"/>
    </row>
    <row r="871" spans="1:30" s="2" customFormat="1" ht="15.5" x14ac:dyDescent="0.35">
      <c r="A871" s="41" t="str">
        <f>IF(F871=" "," ",IF(OR('депозитный калькулятор'!$G$7="30/365",'депозитный калькулятор'!$G$7="30/360"),IF(AND(MONTH(F871)=2,DAY(F871)=DAY(EOMONTH(F871,0))),30-DAY(EOMONTH(F871,0)),IF(DAY(F871)=31,1," "))," "))</f>
        <v xml:space="preserve"> </v>
      </c>
      <c r="B871" s="130" t="str">
        <f t="shared" si="66"/>
        <v xml:space="preserve"> </v>
      </c>
      <c r="C871" s="130" t="str">
        <f>IF(OR(B871=0,B871=" ")," ",SUM($B$23:B871))</f>
        <v xml:space="preserve"> </v>
      </c>
      <c r="D871" s="62" t="str">
        <f>IF(D870=" "," ",IF(OR(F870='депозитный калькулятор'!$D$8,F870=" ")," ",D870+1))</f>
        <v xml:space="preserve"> </v>
      </c>
      <c r="E871" s="130" t="str">
        <f>IF(OR(F870='депозитный калькулятор'!$D$8,F870=" ")," ",IF(EOMONTH(F870,0)=F870,1,E870+1))</f>
        <v xml:space="preserve"> </v>
      </c>
      <c r="F871" s="64" t="str">
        <f>IF(F870=" "," ",IF(F870='депозитный калькулятор'!$D$8," ",F870+1))</f>
        <v xml:space="preserve"> </v>
      </c>
      <c r="G871" s="145" t="str">
        <f xml:space="preserve"> IF(F871&gt;'депозитный калькулятор'!$D$8," ",IF('депозитный калькулятор'!$G$13="есть",IF('депозитный калькулятор'!$G$14="есть",G870+IF(I870=" ",0,I870)-J871-K871+L871+M871-N871,G870+IF(I870=" ",0,I870)-J871-K871+M871-N871),IF('депозитный калькулятор'!$G$14="есть",G870-J871-K871+L871+M871-N871,G870-J871-K871+M871-N871)))</f>
        <v xml:space="preserve"> </v>
      </c>
      <c r="H871" s="133" t="str">
        <f>IF(F871&gt;'депозитный калькулятор'!$D$8," ",IF(AND(OR('депозитный калькулятор'!$G$7="30/365",'депозитный калькулятор'!$G$7="30/360"),AND(MONTH(F871)=2,EOMONTH(F871,0)=F871)),IF(DAY(F871)=28,3*G871*'депозитный калькулятор'!$G$8,2*G871*'депозитный калькулятор'!$G$8),IF(AND(OR('депозитный калькулятор'!$G$7="30/365",'депозитный калькулятор'!$G$7="30/360"),DAY(F871)=31)," ",IF(AND('депозитный калькулятор'!$G$7="факт/факт",MOD(YEAR(F871),4)=0),G871*'депозитный калькулятор'!$D$11/366,G871*'депозитный калькулятор'!$G$8))))</f>
        <v xml:space="preserve"> </v>
      </c>
      <c r="I871" s="134" t="str">
        <f ca="1">IF(F871=" "," ",IF('депозитный калькулятор'!$G$10="ежедневное",H871,IF(AND('депозитный калькулятор'!$G$10="еженедельное",WEEKDAY(F871,2)=7),SUM(OFFSET(H871,-6,0):H871),IF(AND('депозитный калькулятор'!$G$10="еженедельное",F871='депозитный калькулятор'!$D$8),SUM($H$23:H871)-SUM($I$23:I870),IF(AND('депозитный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недели",WEEKDAY(F871,2)=7),MIN(OFFSET(H871,-6,0):H871)*(COUNTIF(OFFSET(H871,-6,0):H871,"&gt;0")+SUMIF(OFFSET(A871,-WEEKDAY(F871,2),0):A871,"=2",OFFSET(A871,-WEEKDAY(F871,2),0):A871)),IF(AND('депозитный калькулятор'!$G$10="еженедельное, на минимальную сумму зафиксированную в течение недели",F871='депозитный калькулятор'!$D$8,WEEKDAY(F871,2)&lt;&gt;7),MIN(OFFSET(H871,-WEEKDAY(F871,2),0):H871)*(COUNTIF(OFFSET(H871,-WEEKDAY(F871,2)+1,0):H871,"&gt;0")+SUM(OFFSET(A871,-WEEKDAY(F871,2),0):A871)),IF(AND('депозитный калькулятор'!$G$10="ежемесячное (в конце месяца)",F871='депозитный калькулятор'!$D$8,EOMONTH(F871,0)&lt;&gt;F871),IF('депозитный калькулятор'!$F$1=1,$H$24,SUM($H$23:H871)-SUM($I$23:I870)),IF(AND('депозитный калькулятор'!$G$10="ежемесячное (в конце месяца)",EOMONTH(F871,0)=F871),SUM($H$23:H871)-SUM($I$23:I870),IF(AND('депозитный калькулятор'!$G$10="ежемесячное (по дням открытия вклада)",F871='депозитный калькулятор'!$D$8,DAY('депозитный калькулятор'!$D$7)&lt;&gt;DAY(F871)),IF('депозитный калькулятор'!$F$1=1,$H$24,SUM($H$23:H871)-SUM($I$23:I870)),IF(AND('депозитный калькулятор'!$G$10="ежемесячное (по дням открытия вклада)",DAY('депозитный калькулятор'!$D$7)=DAY(F871)),SUM($H$23:H871)-SUM($I$23:I870),IF(AND('депозитный калькулятор'!$G$10="ежемесячное, на минимальную сумму зафиксированную в течение месяца",F871='депозитный калькулятор'!$D$8,EOMONTH(F871,0)&lt;&gt;F871),IF('депозитный калькулятор'!$F$1=1,$H$24,IF(AND(OR('депозитный калькулятор'!$G$7="30/365",'депозитный калькулятор'!$G$7="30/360"),DAY(F871)=31),0,MIN(OFFSET(H871,-E871+1,0):H871)*(E871+SUMIF(OFFSET(A871,-E871+1,0):A871,"=2",OFFSET(A871,-E871+1,0):A871)))),IF(AND('депозитный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калькулятор'!$G$7="30/360"),DAY(EOMONTH(F871,0))=31),EOMONTH(F871,0)-1=F871,EOMONTH(F871,0)=F871)),IF(IF(AND(OR('депозитный калькулятор'!$G$7="30/365",'депозитный калькулятор'!$G$7="30/360"),DAY(EOMONTH($F$23,0))=31),F871=EOMONTH($F$23,0)-1,F871=EOMONTH($F$23,0)),MIN(OFFSET(H871,-(DAY(F871)-DAY($F$23)),0):H871)*E871,MIN(OFFSET(H871,-(DAY(F871)-1),0):H871)*IF(AND(OR('депозитный калькулятор'!$G$7="30/365",'депозитный калькулятор'!$G$7="30/360"),DAY(F871)&lt;30),30,DAY(F871))),IF(AND('депозитный калькулятор'!$G$10="ежемесячное, на средний остаток в течение месяца, при условии что остаток больше чем ограничение",F871='депозитный калькулятор'!$D$8,EOMONTH(F871,0)&lt;&gt;F871),IF('депозитный калькулятор'!$F$1=1,$H$24,SUM(OFFSET(Q871,-E871+1,0):Q871)),IF(AND('депозитный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калькулятор'!$G$7="30/360"),DAY(EOMONTH(F871,0))=31),EOMONTH(F871,0)-1=F871,EOMONTH(F871,0)=F871)),IF(IF(AND(OR('депозитный калькулятор'!$G$7="30/365",'депозитный калькулятор'!$G$7="30/360"),DAY(EOMONTH($F$24,0))=31),F871=EOMONTH($F$24,0)-1,F871=EOMONTH($F$24,0)),SUM(OFFSET(Q871,-E871+1,0):Q871),SUM(OFFSET(Q871,-E871+1,0):Q871)),IF('депозитный калькулятор'!$G$10="ежеквартальное",IF(F871&gt;'депозитный калькулятор'!$D$8," ",IF(AND(EOMONTH(F871,0)=F871,OR(MONTH(F871)=3,MONTH(F871)=6,MONTH(F871)=9,MONTH(F871)=12)),IF(EDATE(F871,-3)&lt;'депозитный калькулятор'!$D$7,SUM($H$23:H871),IF(MOD(YEAR(F871),4)=0,IF(AND(EOMONTH(F871,0)=F871,OR(MONTH(F871)=3,MONTH(F871)=6)),SUM(OFFSET(H871,-90,0):H871),IF(AND(EOMONTH(F871,0)=F871,OR(MONTH(F871)=9,MONTH(F871)=12)),SUM(OFFSET(H871,-91,0):H871))),IF(AND(EOMONTH(F871,0)=F871,MONTH(F871)=3),SUM(OFFSET(H871,-89,0):H871),IF(AND(EOMONTH(F871,0)=F871,MONTH(F871)=6),SUM(OFFSET(H871,-90,0):H871),IF(AND(EOMONTH(F871,0)=F871,OR(MONTH(F871)=9,MONTH(F871)=12)),SUM(OFFSET(H871,-91,0):H871)))))),IF(F871='депозитный калькулятор'!$D$8,SUM($H$23:H871)-SUM($I$23:I870),0))),IF('депозитный калькулятор'!$G$10="ежегодное",IF(F871&gt;'депозитный калькулятор'!$D$8," ",IF(F871='депозитный калькулятор'!$D$8,SUM($H$23:H871)-SUM($I$23:I870),IF(AND(EOMONTH(F871,0)=F871,MONTH(F871)=12),IF(MOD(YEAR(F870),4)=0,IF(F871-'депозитный калькулятор'!$D$7&lt;366,SUM($H$23:H871),SUM(OFFSET(H871,-365,0):H871)),IF(F871-'депозитный калькулятор'!$D$7&lt;365,SUM($H$23:H871),SUM(OFFSET(H871,-364,0):H871))),0))),IF(AND('депозитный калькулятор'!$G$10="в конце срока",'депозитный калькулятор'!$D$8=F871),SUM($H$23:H871),0))))))))))))))))))</f>
        <v xml:space="preserve"> </v>
      </c>
      <c r="J871" s="59" t="str">
        <f>IF(F871&gt;'депозитный калькулятор'!$D$8," ",IF('депозитный калькулятор'!$G$16="нет",0,IF(AND('депозитный калькулятор'!$G$17="разовая (в конце срока)",F871='депозитный калькулятор'!$D$8),'депозитный калькулятор'!$G$18,IF(AND('депозитный калькулятор'!$G$17="ежемесячная",EOMONTH(F870,0)=F870),'депозитный калькулятор'!$G$18,IF(AND('депозитный калькулятор'!$G$17="ежегодная",DAY(F870)=31,MONTH(F870)=12),'депозитный калькулятор'!$G$18,IF(AND('депозитный калькулятор'!$G$17="ежемесячная в зависимости от остатка",EOMONTH(F870,0)=F870,P870&gt;0),'депозитный калькулятор'!$G$18,IF(AND('депозитный калькулятор'!$G$17="ежегодная в зависимости от остатка",DAY(F870)=31,MONTH(F870)=12,P870&gt;0),'депозитный калькулятор'!$G$18,0)))))))</f>
        <v xml:space="preserve"> </v>
      </c>
      <c r="K871" s="135" t="str">
        <f>IF($F871=" "," ",IFERROR(VLOOKUP($F871,'депозитный калькулятор'!$B$26:$F$70,2,0),0))</f>
        <v xml:space="preserve"> </v>
      </c>
      <c r="L871" s="135" t="str">
        <f>IF($F871=" "," ",IFERROR(VLOOKUP($F871,'депозитный калькулятор'!$B$26:$F$70,3,0),0))</f>
        <v xml:space="preserve"> </v>
      </c>
      <c r="M871" s="135" t="str">
        <f>IF($F871=" "," ",IFERROR(VLOOKUP($F871,'депозитный калькулятор'!$B$26:$F$70,4,0),0))</f>
        <v xml:space="preserve"> </v>
      </c>
      <c r="N871" s="135" t="str">
        <f>IF($F871=" "," ",IFERROR(VLOOKUP($F871,'депозитный калькулятор'!$B$26:$F$70,5,0),0))</f>
        <v xml:space="preserve"> </v>
      </c>
      <c r="O871" s="146" t="str">
        <f>IF(F871&gt;'депозитный калькулятор'!$D$8," ",IF(F871='депозитный калькулятор'!$D$8,IF(AND($F$24='депозитный калькулятор'!$D$8,'депозитный калькулятор'!$G$13="нет"),-G871-IF(I871=" ",0,I871)-IF(AND(OR('депозитный калькулятор'!$G$7="30/365",'депозитный калькулятор'!$G$7="30/360"),'депозитный калькулятор'!$G$10="в начале срока"),I870,0)-L871+M871-N871,-G871-IF(I871=" ",0,I871)-L871+M871-N871),IF('депозитный калькулятор'!$G$13="есть",M871-N871+IF('депозитный калькулятор'!$G$14="есть",0,-L871),-IF(I871=" ",0,I871)-IF(AND(OR('депозитный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срока"),I870,0)+M871-N871+IF('депозитный калькулятор'!$G$14="есть",0,-L871))))</f>
        <v xml:space="preserve"> </v>
      </c>
      <c r="P871" s="147" t="str">
        <f>IF(F871&gt;'депозитный калькулятор'!$D$8," ",IF(EOMONTH(F870,0)=F870,0,IF(G871&gt;='депозитный калькулятор'!$G$19,P870,P870+1)))</f>
        <v xml:space="preserve"> </v>
      </c>
      <c r="Q871" s="138" t="str">
        <f>IF(F871=" "," ",IF(AND(OR('депозитный калькулятор'!$G$7="30/365",'депозитный калькулятор'!$G$7="30/360"),AND(MONTH(F871)=2,EOMONTH(F871,0)=F871)),IF(DAY(F871)=28,3,2),1)*IF(G871&gt;='депозитный калькулятор'!$G$11,IF(AND('депозитный калькулятор'!$G$7="факт/факт",MOD(YEAR(F871),4)=0),G871*'депозитный калькулятор'!$D$11/366,G871*'депозитный калькулятор'!$G$8),0))</f>
        <v xml:space="preserve"> </v>
      </c>
      <c r="S871" s="62" t="str">
        <f t="shared" ca="1" si="67"/>
        <v xml:space="preserve"> </v>
      </c>
      <c r="T871" s="149" t="str">
        <f ca="1">IF(S871=" "," ",IF('депозитный калькулятор'!$G$7="30/360",DAYS360(U870,IF(DAY(U871)=31,U871-1,U871))+IF(AND(MONTH(U871)=2,U871=EOMONTH(U871,0)),30-DAY(EOMONTH(U871,0)))+T870,VLOOKUP(S871,$C$22:$F$1023,2,0)))</f>
        <v xml:space="preserve"> </v>
      </c>
      <c r="U871" s="64" t="str">
        <f t="shared" ca="1" si="65"/>
        <v xml:space="preserve"> </v>
      </c>
      <c r="V871" s="150" t="str">
        <f t="shared" ca="1" si="68"/>
        <v xml:space="preserve"> </v>
      </c>
      <c r="W871" s="62" t="str">
        <f t="shared" ca="1" si="69"/>
        <v xml:space="preserve"> </v>
      </c>
      <c r="X871" s="141" t="str">
        <f ca="1">IF(S871=" "," ",IFERROR(VLOOKUP(U871,$F$23:$N$1023,7)+VLOOKUP(U871,$F$23:$N$1023,9)+IF(AND('депозитный калькулятор'!$G$13="нет",U871&lt;&gt;'депозитный калькулятор'!$D$8),VLOOKUP(U871,$F$23:$N$1023,4),0),0)+IF(U871='депозитный калькулятор'!$D$8,VLOOKUP(U871,$F$23:$N$1023,2)+VLOOKUP(U871,$F$23:$N$1023,4),0))</f>
        <v xml:space="preserve"> </v>
      </c>
      <c r="Y871" s="142" t="str">
        <f ca="1">IF(S871=" "," ",W871/(1+'депозитный калькулятор'!$K$8)^(T871/IF('депозитный калькулятор'!$G$7="30/360",360,365)))</f>
        <v xml:space="preserve"> </v>
      </c>
      <c r="Z871" s="142" t="str">
        <f ca="1">IF(S871=" "," ",X871/(1+'депозитный калькулятор'!$K$8)^(T871/IF('депозитный калькулятор'!$G$7="30/360",360,365)))</f>
        <v xml:space="preserve"> </v>
      </c>
      <c r="AA871" s="151"/>
      <c r="AB871" s="151"/>
      <c r="AC871" s="155"/>
      <c r="AD871" s="155"/>
    </row>
    <row r="872" spans="1:30" s="2" customFormat="1" ht="15.5" x14ac:dyDescent="0.35">
      <c r="A872" s="41" t="str">
        <f>IF(F872=" "," ",IF(OR('депозитный калькулятор'!$G$7="30/365",'депозитный калькулятор'!$G$7="30/360"),IF(AND(MONTH(F872)=2,DAY(F872)=DAY(EOMONTH(F872,0))),30-DAY(EOMONTH(F872,0)),IF(DAY(F872)=31,1," "))," "))</f>
        <v xml:space="preserve"> </v>
      </c>
      <c r="B872" s="130" t="str">
        <f t="shared" si="66"/>
        <v xml:space="preserve"> </v>
      </c>
      <c r="C872" s="130" t="str">
        <f>IF(OR(B872=0,B872=" ")," ",SUM($B$23:B872))</f>
        <v xml:space="preserve"> </v>
      </c>
      <c r="D872" s="62" t="str">
        <f>IF(D871=" "," ",IF(OR(F871='депозитный калькулятор'!$D$8,F871=" ")," ",D871+1))</f>
        <v xml:space="preserve"> </v>
      </c>
      <c r="E872" s="130" t="str">
        <f>IF(OR(F871='депозитный калькулятор'!$D$8,F871=" ")," ",IF(EOMONTH(F871,0)=F871,1,E871+1))</f>
        <v xml:space="preserve"> </v>
      </c>
      <c r="F872" s="64" t="str">
        <f>IF(F871=" "," ",IF(F871='депозитный калькулятор'!$D$8," ",F871+1))</f>
        <v xml:space="preserve"> </v>
      </c>
      <c r="G872" s="145" t="str">
        <f xml:space="preserve"> IF(F872&gt;'депозитный калькулятор'!$D$8," ",IF('депозитный калькулятор'!$G$13="есть",IF('депозитный калькулятор'!$G$14="есть",G871+IF(I871=" ",0,I871)-J872-K872+L872+M872-N872,G871+IF(I871=" ",0,I871)-J872-K872+M872-N872),IF('депозитный калькулятор'!$G$14="есть",G871-J872-K872+L872+M872-N872,G871-J872-K872+M872-N872)))</f>
        <v xml:space="preserve"> </v>
      </c>
      <c r="H872" s="133" t="str">
        <f>IF(F872&gt;'депозитный калькулятор'!$D$8," ",IF(AND(OR('депозитный калькулятор'!$G$7="30/365",'депозитный калькулятор'!$G$7="30/360"),AND(MONTH(F872)=2,EOMONTH(F872,0)=F872)),IF(DAY(F872)=28,3*G872*'депозитный калькулятор'!$G$8,2*G872*'депозитный калькулятор'!$G$8),IF(AND(OR('депозитный калькулятор'!$G$7="30/365",'депозитный калькулятор'!$G$7="30/360"),DAY(F872)=31)," ",IF(AND('депозитный калькулятор'!$G$7="факт/факт",MOD(YEAR(F872),4)=0),G872*'депозитный калькулятор'!$D$11/366,G872*'депозитный калькулятор'!$G$8))))</f>
        <v xml:space="preserve"> </v>
      </c>
      <c r="I872" s="134" t="str">
        <f ca="1">IF(F872=" "," ",IF('депозитный калькулятор'!$G$10="ежедневное",H872,IF(AND('депозитный калькулятор'!$G$10="еженедельное",WEEKDAY(F872,2)=7),SUM(OFFSET(H872,-6,0):H872),IF(AND('депозитный калькулятор'!$G$10="еженедельное",F872='депозитный калькулятор'!$D$8),SUM($H$23:H872)-SUM($I$23:I871),IF(AND('депозитный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недели",WEEKDAY(F872,2)=7),MIN(OFFSET(H872,-6,0):H872)*(COUNTIF(OFFSET(H872,-6,0):H872,"&gt;0")+SUMIF(OFFSET(A872,-WEEKDAY(F872,2),0):A872,"=2",OFFSET(A872,-WEEKDAY(F872,2),0):A872)),IF(AND('депозитный калькулятор'!$G$10="еженедельное, на минимальную сумму зафиксированную в течение недели",F872='депозитный калькулятор'!$D$8,WEEKDAY(F872,2)&lt;&gt;7),MIN(OFFSET(H872,-WEEKDAY(F872,2),0):H872)*(COUNTIF(OFFSET(H872,-WEEKDAY(F872,2)+1,0):H872,"&gt;0")+SUM(OFFSET(A872,-WEEKDAY(F872,2),0):A872)),IF(AND('депозитный калькулятор'!$G$10="ежемесячное (в конце месяца)",F872='депозитный калькулятор'!$D$8,EOMONTH(F872,0)&lt;&gt;F872),IF('депозитный калькулятор'!$F$1=1,$H$24,SUM($H$23:H872)-SUM($I$23:I871)),IF(AND('депозитный калькулятор'!$G$10="ежемесячное (в конце месяца)",EOMONTH(F872,0)=F872),SUM($H$23:H872)-SUM($I$23:I871),IF(AND('депозитный калькулятор'!$G$10="ежемесячное (по дням открытия вклада)",F872='депозитный калькулятор'!$D$8,DAY('депозитный калькулятор'!$D$7)&lt;&gt;DAY(F872)),IF('депозитный калькулятор'!$F$1=1,$H$24,SUM($H$23:H872)-SUM($I$23:I871)),IF(AND('депозитный калькулятор'!$G$10="ежемесячное (по дням открытия вклада)",DAY('депозитный калькулятор'!$D$7)=DAY(F872)),SUM($H$23:H872)-SUM($I$23:I871),IF(AND('депозитный калькулятор'!$G$10="ежемесячное, на минимальную сумму зафиксированную в течение месяца",F872='депозитный калькулятор'!$D$8,EOMONTH(F872,0)&lt;&gt;F872),IF('депозитный калькулятор'!$F$1=1,$H$24,IF(AND(OR('депозитный калькулятор'!$G$7="30/365",'депозитный калькулятор'!$G$7="30/360"),DAY(F872)=31),0,MIN(OFFSET(H872,-E872+1,0):H872)*(E872+SUMIF(OFFSET(A872,-E872+1,0):A872,"=2",OFFSET(A872,-E872+1,0):A872)))),IF(AND('депозитный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калькулятор'!$G$7="30/360"),DAY(EOMONTH(F872,0))=31),EOMONTH(F872,0)-1=F872,EOMONTH(F872,0)=F872)),IF(IF(AND(OR('депозитный калькулятор'!$G$7="30/365",'депозитный калькулятор'!$G$7="30/360"),DAY(EOMONTH($F$23,0))=31),F872=EOMONTH($F$23,0)-1,F872=EOMONTH($F$23,0)),MIN(OFFSET(H872,-(DAY(F872)-DAY($F$23)),0):H872)*E872,MIN(OFFSET(H872,-(DAY(F872)-1),0):H872)*IF(AND(OR('депозитный калькулятор'!$G$7="30/365",'депозитный калькулятор'!$G$7="30/360"),DAY(F872)&lt;30),30,DAY(F872))),IF(AND('депозитный калькулятор'!$G$10="ежемесячное, на средний остаток в течение месяца, при условии что остаток больше чем ограничение",F872='депозитный калькулятор'!$D$8,EOMONTH(F872,0)&lt;&gt;F872),IF('депозитный калькулятор'!$F$1=1,$H$24,SUM(OFFSET(Q872,-E872+1,0):Q872)),IF(AND('депозитный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калькулятор'!$G$7="30/360"),DAY(EOMONTH(F872,0))=31),EOMONTH(F872,0)-1=F872,EOMONTH(F872,0)=F872)),IF(IF(AND(OR('депозитный калькулятор'!$G$7="30/365",'депозитный калькулятор'!$G$7="30/360"),DAY(EOMONTH($F$24,0))=31),F872=EOMONTH($F$24,0)-1,F872=EOMONTH($F$24,0)),SUM(OFFSET(Q872,-E872+1,0):Q872),SUM(OFFSET(Q872,-E872+1,0):Q872)),IF('депозитный калькулятор'!$G$10="ежеквартальное",IF(F872&gt;'депозитный калькулятор'!$D$8," ",IF(AND(EOMONTH(F872,0)=F872,OR(MONTH(F872)=3,MONTH(F872)=6,MONTH(F872)=9,MONTH(F872)=12)),IF(EDATE(F872,-3)&lt;'депозитный калькулятор'!$D$7,SUM($H$23:H872),IF(MOD(YEAR(F872),4)=0,IF(AND(EOMONTH(F872,0)=F872,OR(MONTH(F872)=3,MONTH(F872)=6)),SUM(OFFSET(H872,-90,0):H872),IF(AND(EOMONTH(F872,0)=F872,OR(MONTH(F872)=9,MONTH(F872)=12)),SUM(OFFSET(H872,-91,0):H872))),IF(AND(EOMONTH(F872,0)=F872,MONTH(F872)=3),SUM(OFFSET(H872,-89,0):H872),IF(AND(EOMONTH(F872,0)=F872,MONTH(F872)=6),SUM(OFFSET(H872,-90,0):H872),IF(AND(EOMONTH(F872,0)=F872,OR(MONTH(F872)=9,MONTH(F872)=12)),SUM(OFFSET(H872,-91,0):H872)))))),IF(F872='депозитный калькулятор'!$D$8,SUM($H$23:H872)-SUM($I$23:I871),0))),IF('депозитный калькулятор'!$G$10="ежегодное",IF(F872&gt;'депозитный калькулятор'!$D$8," ",IF(F872='депозитный калькулятор'!$D$8,SUM($H$23:H872)-SUM($I$23:I871),IF(AND(EOMONTH(F872,0)=F872,MONTH(F872)=12),IF(MOD(YEAR(F871),4)=0,IF(F872-'депозитный калькулятор'!$D$7&lt;366,SUM($H$23:H872),SUM(OFFSET(H872,-365,0):H872)),IF(F872-'депозитный калькулятор'!$D$7&lt;365,SUM($H$23:H872),SUM(OFFSET(H872,-364,0):H872))),0))),IF(AND('депозитный калькулятор'!$G$10="в конце срока",'депозитный калькулятор'!$D$8=F872),SUM($H$23:H872),0))))))))))))))))))</f>
        <v xml:space="preserve"> </v>
      </c>
      <c r="J872" s="59" t="str">
        <f>IF(F872&gt;'депозитный калькулятор'!$D$8," ",IF('депозитный калькулятор'!$G$16="нет",0,IF(AND('депозитный калькулятор'!$G$17="разовая (в конце срока)",F872='депозитный калькулятор'!$D$8),'депозитный калькулятор'!$G$18,IF(AND('депозитный калькулятор'!$G$17="ежемесячная",EOMONTH(F871,0)=F871),'депозитный калькулятор'!$G$18,IF(AND('депозитный калькулятор'!$G$17="ежегодная",DAY(F871)=31,MONTH(F871)=12),'депозитный калькулятор'!$G$18,IF(AND('депозитный калькулятор'!$G$17="ежемесячная в зависимости от остатка",EOMONTH(F871,0)=F871,P871&gt;0),'депозитный калькулятор'!$G$18,IF(AND('депозитный калькулятор'!$G$17="ежегодная в зависимости от остатка",DAY(F871)=31,MONTH(F871)=12,P871&gt;0),'депозитный калькулятор'!$G$18,0)))))))</f>
        <v xml:space="preserve"> </v>
      </c>
      <c r="K872" s="135" t="str">
        <f>IF($F872=" "," ",IFERROR(VLOOKUP($F872,'депозитный калькулятор'!$B$26:$F$70,2,0),0))</f>
        <v xml:space="preserve"> </v>
      </c>
      <c r="L872" s="135" t="str">
        <f>IF($F872=" "," ",IFERROR(VLOOKUP($F872,'депозитный калькулятор'!$B$26:$F$70,3,0),0))</f>
        <v xml:space="preserve"> </v>
      </c>
      <c r="M872" s="135" t="str">
        <f>IF($F872=" "," ",IFERROR(VLOOKUP($F872,'депозитный калькулятор'!$B$26:$F$70,4,0),0))</f>
        <v xml:space="preserve"> </v>
      </c>
      <c r="N872" s="135" t="str">
        <f>IF($F872=" "," ",IFERROR(VLOOKUP($F872,'депозитный калькулятор'!$B$26:$F$70,5,0),0))</f>
        <v xml:space="preserve"> </v>
      </c>
      <c r="O872" s="146" t="str">
        <f>IF(F872&gt;'депозитный калькулятор'!$D$8," ",IF(F872='депозитный калькулятор'!$D$8,IF(AND($F$24='депозитный калькулятор'!$D$8,'депозитный калькулятор'!$G$13="нет"),-G872-IF(I872=" ",0,I872)-IF(AND(OR('депозитный калькулятор'!$G$7="30/365",'депозитный калькулятор'!$G$7="30/360"),'депозитный калькулятор'!$G$10="в начале срока"),I871,0)-L872+M872-N872,-G872-IF(I872=" ",0,I872)-L872+M872-N872),IF('депозитный калькулятор'!$G$13="есть",M872-N872+IF('депозитный калькулятор'!$G$14="есть",0,-L872),-IF(I872=" ",0,I872)-IF(AND(OR('депозитный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срока"),I871,0)+M872-N872+IF('депозитный калькулятор'!$G$14="есть",0,-L872))))</f>
        <v xml:space="preserve"> </v>
      </c>
      <c r="P872" s="147" t="str">
        <f>IF(F872&gt;'депозитный калькулятор'!$D$8," ",IF(EOMONTH(F871,0)=F871,0,IF(G872&gt;='депозитный калькулятор'!$G$19,P871,P871+1)))</f>
        <v xml:space="preserve"> </v>
      </c>
      <c r="Q872" s="138" t="str">
        <f>IF(F872=" "," ",IF(AND(OR('депозитный калькулятор'!$G$7="30/365",'депозитный калькулятор'!$G$7="30/360"),AND(MONTH(F872)=2,EOMONTH(F872,0)=F872)),IF(DAY(F872)=28,3,2),1)*IF(G872&gt;='депозитный калькулятор'!$G$11,IF(AND('депозитный калькулятор'!$G$7="факт/факт",MOD(YEAR(F872),4)=0),G872*'депозитный калькулятор'!$D$11/366,G872*'депозитный калькулятор'!$G$8),0))</f>
        <v xml:space="preserve"> </v>
      </c>
      <c r="S872" s="62" t="str">
        <f t="shared" ca="1" si="67"/>
        <v xml:space="preserve"> </v>
      </c>
      <c r="T872" s="149" t="str">
        <f ca="1">IF(S872=" "," ",IF('депозитный калькулятор'!$G$7="30/360",DAYS360(U871,IF(DAY(U872)=31,U872-1,U872))+IF(AND(MONTH(U872)=2,U872=EOMONTH(U872,0)),30-DAY(EOMONTH(U872,0)))+T871,VLOOKUP(S872,$C$22:$F$1023,2,0)))</f>
        <v xml:space="preserve"> </v>
      </c>
      <c r="U872" s="64" t="str">
        <f t="shared" ca="1" si="65"/>
        <v xml:space="preserve"> </v>
      </c>
      <c r="V872" s="150" t="str">
        <f t="shared" ca="1" si="68"/>
        <v xml:space="preserve"> </v>
      </c>
      <c r="W872" s="62" t="str">
        <f t="shared" ca="1" si="69"/>
        <v xml:space="preserve"> </v>
      </c>
      <c r="X872" s="141" t="str">
        <f ca="1">IF(S872=" "," ",IFERROR(VLOOKUP(U872,$F$23:$N$1023,7)+VLOOKUP(U872,$F$23:$N$1023,9)+IF(AND('депозитный калькулятор'!$G$13="нет",U872&lt;&gt;'депозитный калькулятор'!$D$8),VLOOKUP(U872,$F$23:$N$1023,4),0),0)+IF(U872='депозитный калькулятор'!$D$8,VLOOKUP(U872,$F$23:$N$1023,2)+VLOOKUP(U872,$F$23:$N$1023,4),0))</f>
        <v xml:space="preserve"> </v>
      </c>
      <c r="Y872" s="142" t="str">
        <f ca="1">IF(S872=" "," ",W872/(1+'депозитный калькулятор'!$K$8)^(T872/IF('депозитный калькулятор'!$G$7="30/360",360,365)))</f>
        <v xml:space="preserve"> </v>
      </c>
      <c r="Z872" s="142" t="str">
        <f ca="1">IF(S872=" "," ",X872/(1+'депозитный калькулятор'!$K$8)^(T872/IF('депозитный калькулятор'!$G$7="30/360",360,365)))</f>
        <v xml:space="preserve"> </v>
      </c>
      <c r="AA872" s="151"/>
      <c r="AB872" s="151"/>
      <c r="AC872" s="155"/>
      <c r="AD872" s="155"/>
    </row>
    <row r="873" spans="1:30" s="2" customFormat="1" ht="15.5" x14ac:dyDescent="0.35">
      <c r="A873" s="41" t="str">
        <f>IF(F873=" "," ",IF(OR('депозитный калькулятор'!$G$7="30/365",'депозитный калькулятор'!$G$7="30/360"),IF(AND(MONTH(F873)=2,DAY(F873)=DAY(EOMONTH(F873,0))),30-DAY(EOMONTH(F873,0)),IF(DAY(F873)=31,1," "))," "))</f>
        <v xml:space="preserve"> </v>
      </c>
      <c r="B873" s="130" t="str">
        <f t="shared" si="66"/>
        <v xml:space="preserve"> </v>
      </c>
      <c r="C873" s="130" t="str">
        <f>IF(OR(B873=0,B873=" ")," ",SUM($B$23:B873))</f>
        <v xml:space="preserve"> </v>
      </c>
      <c r="D873" s="62" t="str">
        <f>IF(D872=" "," ",IF(OR(F872='депозитный калькулятор'!$D$8,F872=" ")," ",D872+1))</f>
        <v xml:space="preserve"> </v>
      </c>
      <c r="E873" s="130" t="str">
        <f>IF(OR(F872='депозитный калькулятор'!$D$8,F872=" ")," ",IF(EOMONTH(F872,0)=F872,1,E872+1))</f>
        <v xml:space="preserve"> </v>
      </c>
      <c r="F873" s="64" t="str">
        <f>IF(F872=" "," ",IF(F872='депозитный калькулятор'!$D$8," ",F872+1))</f>
        <v xml:space="preserve"> </v>
      </c>
      <c r="G873" s="145" t="str">
        <f xml:space="preserve"> IF(F873&gt;'депозитный калькулятор'!$D$8," ",IF('депозитный калькулятор'!$G$13="есть",IF('депозитный калькулятор'!$G$14="есть",G872+IF(I872=" ",0,I872)-J873-K873+L873+M873-N873,G872+IF(I872=" ",0,I872)-J873-K873+M873-N873),IF('депозитный калькулятор'!$G$14="есть",G872-J873-K873+L873+M873-N873,G872-J873-K873+M873-N873)))</f>
        <v xml:space="preserve"> </v>
      </c>
      <c r="H873" s="133" t="str">
        <f>IF(F873&gt;'депозитный калькулятор'!$D$8," ",IF(AND(OR('депозитный калькулятор'!$G$7="30/365",'депозитный калькулятор'!$G$7="30/360"),AND(MONTH(F873)=2,EOMONTH(F873,0)=F873)),IF(DAY(F873)=28,3*G873*'депозитный калькулятор'!$G$8,2*G873*'депозитный калькулятор'!$G$8),IF(AND(OR('депозитный калькулятор'!$G$7="30/365",'депозитный калькулятор'!$G$7="30/360"),DAY(F873)=31)," ",IF(AND('депозитный калькулятор'!$G$7="факт/факт",MOD(YEAR(F873),4)=0),G873*'депозитный калькулятор'!$D$11/366,G873*'депозитный калькулятор'!$G$8))))</f>
        <v xml:space="preserve"> </v>
      </c>
      <c r="I873" s="134" t="str">
        <f ca="1">IF(F873=" "," ",IF('депозитный калькулятор'!$G$10="ежедневное",H873,IF(AND('депозитный калькулятор'!$G$10="еженедельное",WEEKDAY(F873,2)=7),SUM(OFFSET(H873,-6,0):H873),IF(AND('депозитный калькулятор'!$G$10="еженедельное",F873='депозитный калькулятор'!$D$8),SUM($H$23:H873)-SUM($I$23:I872),IF(AND('депозитный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недели",WEEKDAY(F873,2)=7),MIN(OFFSET(H873,-6,0):H873)*(COUNTIF(OFFSET(H873,-6,0):H873,"&gt;0")+SUMIF(OFFSET(A873,-WEEKDAY(F873,2),0):A873,"=2",OFFSET(A873,-WEEKDAY(F873,2),0):A873)),IF(AND('депозитный калькулятор'!$G$10="еженедельное, на минимальную сумму зафиксированную в течение недели",F873='депозитный калькулятор'!$D$8,WEEKDAY(F873,2)&lt;&gt;7),MIN(OFFSET(H873,-WEEKDAY(F873,2),0):H873)*(COUNTIF(OFFSET(H873,-WEEKDAY(F873,2)+1,0):H873,"&gt;0")+SUM(OFFSET(A873,-WEEKDAY(F873,2),0):A873)),IF(AND('депозитный калькулятор'!$G$10="ежемесячное (в конце месяца)",F873='депозитный калькулятор'!$D$8,EOMONTH(F873,0)&lt;&gt;F873),IF('депозитный калькулятор'!$F$1=1,$H$24,SUM($H$23:H873)-SUM($I$23:I872)),IF(AND('депозитный калькулятор'!$G$10="ежемесячное (в конце месяца)",EOMONTH(F873,0)=F873),SUM($H$23:H873)-SUM($I$23:I872),IF(AND('депозитный калькулятор'!$G$10="ежемесячное (по дням открытия вклада)",F873='депозитный калькулятор'!$D$8,DAY('депозитный калькулятор'!$D$7)&lt;&gt;DAY(F873)),IF('депозитный калькулятор'!$F$1=1,$H$24,SUM($H$23:H873)-SUM($I$23:I872)),IF(AND('депозитный калькулятор'!$G$10="ежемесячное (по дням открытия вклада)",DAY('депозитный калькулятор'!$D$7)=DAY(F873)),SUM($H$23:H873)-SUM($I$23:I872),IF(AND('депозитный калькулятор'!$G$10="ежемесячное, на минимальную сумму зафиксированную в течение месяца",F873='депозитный калькулятор'!$D$8,EOMONTH(F873,0)&lt;&gt;F873),IF('депозитный калькулятор'!$F$1=1,$H$24,IF(AND(OR('депозитный калькулятор'!$G$7="30/365",'депозитный калькулятор'!$G$7="30/360"),DAY(F873)=31),0,MIN(OFFSET(H873,-E873+1,0):H873)*(E873+SUMIF(OFFSET(A873,-E873+1,0):A873,"=2",OFFSET(A873,-E873+1,0):A873)))),IF(AND('депозитный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калькулятор'!$G$7="30/360"),DAY(EOMONTH(F873,0))=31),EOMONTH(F873,0)-1=F873,EOMONTH(F873,0)=F873)),IF(IF(AND(OR('депозитный калькулятор'!$G$7="30/365",'депозитный калькулятор'!$G$7="30/360"),DAY(EOMONTH($F$23,0))=31),F873=EOMONTH($F$23,0)-1,F873=EOMONTH($F$23,0)),MIN(OFFSET(H873,-(DAY(F873)-DAY($F$23)),0):H873)*E873,MIN(OFFSET(H873,-(DAY(F873)-1),0):H873)*IF(AND(OR('депозитный калькулятор'!$G$7="30/365",'депозитный калькулятор'!$G$7="30/360"),DAY(F873)&lt;30),30,DAY(F873))),IF(AND('депозитный калькулятор'!$G$10="ежемесячное, на средний остаток в течение месяца, при условии что остаток больше чем ограничение",F873='депозитный калькулятор'!$D$8,EOMONTH(F873,0)&lt;&gt;F873),IF('депозитный калькулятор'!$F$1=1,$H$24,SUM(OFFSET(Q873,-E873+1,0):Q873)),IF(AND('депозитный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калькулятор'!$G$7="30/360"),DAY(EOMONTH(F873,0))=31),EOMONTH(F873,0)-1=F873,EOMONTH(F873,0)=F873)),IF(IF(AND(OR('депозитный калькулятор'!$G$7="30/365",'депозитный калькулятор'!$G$7="30/360"),DAY(EOMONTH($F$24,0))=31),F873=EOMONTH($F$24,0)-1,F873=EOMONTH($F$24,0)),SUM(OFFSET(Q873,-E873+1,0):Q873),SUM(OFFSET(Q873,-E873+1,0):Q873)),IF('депозитный калькулятор'!$G$10="ежеквартальное",IF(F873&gt;'депозитный калькулятор'!$D$8," ",IF(AND(EOMONTH(F873,0)=F873,OR(MONTH(F873)=3,MONTH(F873)=6,MONTH(F873)=9,MONTH(F873)=12)),IF(EDATE(F873,-3)&lt;'депозитный калькулятор'!$D$7,SUM($H$23:H873),IF(MOD(YEAR(F873),4)=0,IF(AND(EOMONTH(F873,0)=F873,OR(MONTH(F873)=3,MONTH(F873)=6)),SUM(OFFSET(H873,-90,0):H873),IF(AND(EOMONTH(F873,0)=F873,OR(MONTH(F873)=9,MONTH(F873)=12)),SUM(OFFSET(H873,-91,0):H873))),IF(AND(EOMONTH(F873,0)=F873,MONTH(F873)=3),SUM(OFFSET(H873,-89,0):H873),IF(AND(EOMONTH(F873,0)=F873,MONTH(F873)=6),SUM(OFFSET(H873,-90,0):H873),IF(AND(EOMONTH(F873,0)=F873,OR(MONTH(F873)=9,MONTH(F873)=12)),SUM(OFFSET(H873,-91,0):H873)))))),IF(F873='депозитный калькулятор'!$D$8,SUM($H$23:H873)-SUM($I$23:I872),0))),IF('депозитный калькулятор'!$G$10="ежегодное",IF(F873&gt;'депозитный калькулятор'!$D$8," ",IF(F873='депозитный калькулятор'!$D$8,SUM($H$23:H873)-SUM($I$23:I872),IF(AND(EOMONTH(F873,0)=F873,MONTH(F873)=12),IF(MOD(YEAR(F872),4)=0,IF(F873-'депозитный калькулятор'!$D$7&lt;366,SUM($H$23:H873),SUM(OFFSET(H873,-365,0):H873)),IF(F873-'депозитный калькулятор'!$D$7&lt;365,SUM($H$23:H873),SUM(OFFSET(H873,-364,0):H873))),0))),IF(AND('депозитный калькулятор'!$G$10="в конце срока",'депозитный калькулятор'!$D$8=F873),SUM($H$23:H873),0))))))))))))))))))</f>
        <v xml:space="preserve"> </v>
      </c>
      <c r="J873" s="59" t="str">
        <f>IF(F873&gt;'депозитный калькулятор'!$D$8," ",IF('депозитный калькулятор'!$G$16="нет",0,IF(AND('депозитный калькулятор'!$G$17="разовая (в конце срока)",F873='депозитный калькулятор'!$D$8),'депозитный калькулятор'!$G$18,IF(AND('депозитный калькулятор'!$G$17="ежемесячная",EOMONTH(F872,0)=F872),'депозитный калькулятор'!$G$18,IF(AND('депозитный калькулятор'!$G$17="ежегодная",DAY(F872)=31,MONTH(F872)=12),'депозитный калькулятор'!$G$18,IF(AND('депозитный калькулятор'!$G$17="ежемесячная в зависимости от остатка",EOMONTH(F872,0)=F872,P872&gt;0),'депозитный калькулятор'!$G$18,IF(AND('депозитный калькулятор'!$G$17="ежегодная в зависимости от остатка",DAY(F872)=31,MONTH(F872)=12,P872&gt;0),'депозитный калькулятор'!$G$18,0)))))))</f>
        <v xml:space="preserve"> </v>
      </c>
      <c r="K873" s="135" t="str">
        <f>IF($F873=" "," ",IFERROR(VLOOKUP($F873,'депозитный калькулятор'!$B$26:$F$70,2,0),0))</f>
        <v xml:space="preserve"> </v>
      </c>
      <c r="L873" s="135" t="str">
        <f>IF($F873=" "," ",IFERROR(VLOOKUP($F873,'депозитный калькулятор'!$B$26:$F$70,3,0),0))</f>
        <v xml:space="preserve"> </v>
      </c>
      <c r="M873" s="135" t="str">
        <f>IF($F873=" "," ",IFERROR(VLOOKUP($F873,'депозитный калькулятор'!$B$26:$F$70,4,0),0))</f>
        <v xml:space="preserve"> </v>
      </c>
      <c r="N873" s="135" t="str">
        <f>IF($F873=" "," ",IFERROR(VLOOKUP($F873,'депозитный калькулятор'!$B$26:$F$70,5,0),0))</f>
        <v xml:space="preserve"> </v>
      </c>
      <c r="O873" s="146" t="str">
        <f>IF(F873&gt;'депозитный калькулятор'!$D$8," ",IF(F873='депозитный калькулятор'!$D$8,IF(AND($F$24='депозитный калькулятор'!$D$8,'депозитный калькулятор'!$G$13="нет"),-G873-IF(I873=" ",0,I873)-IF(AND(OR('депозитный калькулятор'!$G$7="30/365",'депозитный калькулятор'!$G$7="30/360"),'депозитный калькулятор'!$G$10="в начале срока"),I872,0)-L873+M873-N873,-G873-IF(I873=" ",0,I873)-L873+M873-N873),IF('депозитный калькулятор'!$G$13="есть",M873-N873+IF('депозитный калькулятор'!$G$14="есть",0,-L873),-IF(I873=" ",0,I873)-IF(AND(OR('депозитный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срока"),I872,0)+M873-N873+IF('депозитный калькулятор'!$G$14="есть",0,-L873))))</f>
        <v xml:space="preserve"> </v>
      </c>
      <c r="P873" s="147" t="str">
        <f>IF(F873&gt;'депозитный калькулятор'!$D$8," ",IF(EOMONTH(F872,0)=F872,0,IF(G873&gt;='депозитный калькулятор'!$G$19,P872,P872+1)))</f>
        <v xml:space="preserve"> </v>
      </c>
      <c r="Q873" s="138" t="str">
        <f>IF(F873=" "," ",IF(AND(OR('депозитный калькулятор'!$G$7="30/365",'депозитный калькулятор'!$G$7="30/360"),AND(MONTH(F873)=2,EOMONTH(F873,0)=F873)),IF(DAY(F873)=28,3,2),1)*IF(G873&gt;='депозитный калькулятор'!$G$11,IF(AND('депозитный калькулятор'!$G$7="факт/факт",MOD(YEAR(F873),4)=0),G873*'депозитный калькулятор'!$D$11/366,G873*'депозитный калькулятор'!$G$8),0))</f>
        <v xml:space="preserve"> </v>
      </c>
      <c r="S873" s="62" t="str">
        <f t="shared" ca="1" si="67"/>
        <v xml:space="preserve"> </v>
      </c>
      <c r="T873" s="149" t="str">
        <f ca="1">IF(S873=" "," ",IF('депозитный калькулятор'!$G$7="30/360",DAYS360(U872,IF(DAY(U873)=31,U873-1,U873))+IF(AND(MONTH(U873)=2,U873=EOMONTH(U873,0)),30-DAY(EOMONTH(U873,0)))+T872,VLOOKUP(S873,$C$22:$F$1023,2,0)))</f>
        <v xml:space="preserve"> </v>
      </c>
      <c r="U873" s="64" t="str">
        <f t="shared" ca="1" si="65"/>
        <v xml:space="preserve"> </v>
      </c>
      <c r="V873" s="150" t="str">
        <f t="shared" ca="1" si="68"/>
        <v xml:space="preserve"> </v>
      </c>
      <c r="W873" s="62" t="str">
        <f t="shared" ca="1" si="69"/>
        <v xml:space="preserve"> </v>
      </c>
      <c r="X873" s="141" t="str">
        <f ca="1">IF(S873=" "," ",IFERROR(VLOOKUP(U873,$F$23:$N$1023,7)+VLOOKUP(U873,$F$23:$N$1023,9)+IF(AND('депозитный калькулятор'!$G$13="нет",U873&lt;&gt;'депозитный калькулятор'!$D$8),VLOOKUP(U873,$F$23:$N$1023,4),0),0)+IF(U873='депозитный калькулятор'!$D$8,VLOOKUP(U873,$F$23:$N$1023,2)+VLOOKUP(U873,$F$23:$N$1023,4),0))</f>
        <v xml:space="preserve"> </v>
      </c>
      <c r="Y873" s="142" t="str">
        <f ca="1">IF(S873=" "," ",W873/(1+'депозитный калькулятор'!$K$8)^(T873/IF('депозитный калькулятор'!$G$7="30/360",360,365)))</f>
        <v xml:space="preserve"> </v>
      </c>
      <c r="Z873" s="142" t="str">
        <f ca="1">IF(S873=" "," ",X873/(1+'депозитный калькулятор'!$K$8)^(T873/IF('депозитный калькулятор'!$G$7="30/360",360,365)))</f>
        <v xml:space="preserve"> </v>
      </c>
      <c r="AA873" s="151"/>
      <c r="AB873" s="151"/>
      <c r="AC873" s="155"/>
      <c r="AD873" s="155"/>
    </row>
    <row r="874" spans="1:30" s="2" customFormat="1" ht="15.5" x14ac:dyDescent="0.35">
      <c r="A874" s="41" t="str">
        <f>IF(F874=" "," ",IF(OR('депозитный калькулятор'!$G$7="30/365",'депозитный калькулятор'!$G$7="30/360"),IF(AND(MONTH(F874)=2,DAY(F874)=DAY(EOMONTH(F874,0))),30-DAY(EOMONTH(F874,0)),IF(DAY(F874)=31,1," "))," "))</f>
        <v xml:space="preserve"> </v>
      </c>
      <c r="B874" s="130" t="str">
        <f t="shared" si="66"/>
        <v xml:space="preserve"> </v>
      </c>
      <c r="C874" s="130" t="str">
        <f>IF(OR(B874=0,B874=" ")," ",SUM($B$23:B874))</f>
        <v xml:space="preserve"> </v>
      </c>
      <c r="D874" s="62" t="str">
        <f>IF(D873=" "," ",IF(OR(F873='депозитный калькулятор'!$D$8,F873=" ")," ",D873+1))</f>
        <v xml:space="preserve"> </v>
      </c>
      <c r="E874" s="130" t="str">
        <f>IF(OR(F873='депозитный калькулятор'!$D$8,F873=" ")," ",IF(EOMONTH(F873,0)=F873,1,E873+1))</f>
        <v xml:space="preserve"> </v>
      </c>
      <c r="F874" s="64" t="str">
        <f>IF(F873=" "," ",IF(F873='депозитный калькулятор'!$D$8," ",F873+1))</f>
        <v xml:space="preserve"> </v>
      </c>
      <c r="G874" s="145" t="str">
        <f xml:space="preserve"> IF(F874&gt;'депозитный калькулятор'!$D$8," ",IF('депозитный калькулятор'!$G$13="есть",IF('депозитный калькулятор'!$G$14="есть",G873+IF(I873=" ",0,I873)-J874-K874+L874+M874-N874,G873+IF(I873=" ",0,I873)-J874-K874+M874-N874),IF('депозитный калькулятор'!$G$14="есть",G873-J874-K874+L874+M874-N874,G873-J874-K874+M874-N874)))</f>
        <v xml:space="preserve"> </v>
      </c>
      <c r="H874" s="133" t="str">
        <f>IF(F874&gt;'депозитный калькулятор'!$D$8," ",IF(AND(OR('депозитный калькулятор'!$G$7="30/365",'депозитный калькулятор'!$G$7="30/360"),AND(MONTH(F874)=2,EOMONTH(F874,0)=F874)),IF(DAY(F874)=28,3*G874*'депозитный калькулятор'!$G$8,2*G874*'депозитный калькулятор'!$G$8),IF(AND(OR('депозитный калькулятор'!$G$7="30/365",'депозитный калькулятор'!$G$7="30/360"),DAY(F874)=31)," ",IF(AND('депозитный калькулятор'!$G$7="факт/факт",MOD(YEAR(F874),4)=0),G874*'депозитный калькулятор'!$D$11/366,G874*'депозитный калькулятор'!$G$8))))</f>
        <v xml:space="preserve"> </v>
      </c>
      <c r="I874" s="134" t="str">
        <f ca="1">IF(F874=" "," ",IF('депозитный калькулятор'!$G$10="ежедневное",H874,IF(AND('депозитный калькулятор'!$G$10="еженедельное",WEEKDAY(F874,2)=7),SUM(OFFSET(H874,-6,0):H874),IF(AND('депозитный калькулятор'!$G$10="еженедельное",F874='депозитный калькулятор'!$D$8),SUM($H$23:H874)-SUM($I$23:I873),IF(AND('депозитный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недели",WEEKDAY(F874,2)=7),MIN(OFFSET(H874,-6,0):H874)*(COUNTIF(OFFSET(H874,-6,0):H874,"&gt;0")+SUMIF(OFFSET(A874,-WEEKDAY(F874,2),0):A874,"=2",OFFSET(A874,-WEEKDAY(F874,2),0):A874)),IF(AND('депозитный калькулятор'!$G$10="еженедельное, на минимальную сумму зафиксированную в течение недели",F874='депозитный калькулятор'!$D$8,WEEKDAY(F874,2)&lt;&gt;7),MIN(OFFSET(H874,-WEEKDAY(F874,2),0):H874)*(COUNTIF(OFFSET(H874,-WEEKDAY(F874,2)+1,0):H874,"&gt;0")+SUM(OFFSET(A874,-WEEKDAY(F874,2),0):A874)),IF(AND('депозитный калькулятор'!$G$10="ежемесячное (в конце месяца)",F874='депозитный калькулятор'!$D$8,EOMONTH(F874,0)&lt;&gt;F874),IF('депозитный калькулятор'!$F$1=1,$H$24,SUM($H$23:H874)-SUM($I$23:I873)),IF(AND('депозитный калькулятор'!$G$10="ежемесячное (в конце месяца)",EOMONTH(F874,0)=F874),SUM($H$23:H874)-SUM($I$23:I873),IF(AND('депозитный калькулятор'!$G$10="ежемесячное (по дням открытия вклада)",F874='депозитный калькулятор'!$D$8,DAY('депозитный калькулятор'!$D$7)&lt;&gt;DAY(F874)),IF('депозитный калькулятор'!$F$1=1,$H$24,SUM($H$23:H874)-SUM($I$23:I873)),IF(AND('депозитный калькулятор'!$G$10="ежемесячное (по дням открытия вклада)",DAY('депозитный калькулятор'!$D$7)=DAY(F874)),SUM($H$23:H874)-SUM($I$23:I873),IF(AND('депозитный калькулятор'!$G$10="ежемесячное, на минимальную сумму зафиксированную в течение месяца",F874='депозитный калькулятор'!$D$8,EOMONTH(F874,0)&lt;&gt;F874),IF('депозитный калькулятор'!$F$1=1,$H$24,IF(AND(OR('депозитный калькулятор'!$G$7="30/365",'депозитный калькулятор'!$G$7="30/360"),DAY(F874)=31),0,MIN(OFFSET(H874,-E874+1,0):H874)*(E874+SUMIF(OFFSET(A874,-E874+1,0):A874,"=2",OFFSET(A874,-E874+1,0):A874)))),IF(AND('депозитный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калькулятор'!$G$7="30/360"),DAY(EOMONTH(F874,0))=31),EOMONTH(F874,0)-1=F874,EOMONTH(F874,0)=F874)),IF(IF(AND(OR('депозитный калькулятор'!$G$7="30/365",'депозитный калькулятор'!$G$7="30/360"),DAY(EOMONTH($F$23,0))=31),F874=EOMONTH($F$23,0)-1,F874=EOMONTH($F$23,0)),MIN(OFFSET(H874,-(DAY(F874)-DAY($F$23)),0):H874)*E874,MIN(OFFSET(H874,-(DAY(F874)-1),0):H874)*IF(AND(OR('депозитный калькулятор'!$G$7="30/365",'депозитный калькулятор'!$G$7="30/360"),DAY(F874)&lt;30),30,DAY(F874))),IF(AND('депозитный калькулятор'!$G$10="ежемесячное, на средний остаток в течение месяца, при условии что остаток больше чем ограничение",F874='депозитный калькулятор'!$D$8,EOMONTH(F874,0)&lt;&gt;F874),IF('депозитный калькулятор'!$F$1=1,$H$24,SUM(OFFSET(Q874,-E874+1,0):Q874)),IF(AND('депозитный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калькулятор'!$G$7="30/360"),DAY(EOMONTH(F874,0))=31),EOMONTH(F874,0)-1=F874,EOMONTH(F874,0)=F874)),IF(IF(AND(OR('депозитный калькулятор'!$G$7="30/365",'депозитный калькулятор'!$G$7="30/360"),DAY(EOMONTH($F$24,0))=31),F874=EOMONTH($F$24,0)-1,F874=EOMONTH($F$24,0)),SUM(OFFSET(Q874,-E874+1,0):Q874),SUM(OFFSET(Q874,-E874+1,0):Q874)),IF('депозитный калькулятор'!$G$10="ежеквартальное",IF(F874&gt;'депозитный калькулятор'!$D$8," ",IF(AND(EOMONTH(F874,0)=F874,OR(MONTH(F874)=3,MONTH(F874)=6,MONTH(F874)=9,MONTH(F874)=12)),IF(EDATE(F874,-3)&lt;'депозитный калькулятор'!$D$7,SUM($H$23:H874),IF(MOD(YEAR(F874),4)=0,IF(AND(EOMONTH(F874,0)=F874,OR(MONTH(F874)=3,MONTH(F874)=6)),SUM(OFFSET(H874,-90,0):H874),IF(AND(EOMONTH(F874,0)=F874,OR(MONTH(F874)=9,MONTH(F874)=12)),SUM(OFFSET(H874,-91,0):H874))),IF(AND(EOMONTH(F874,0)=F874,MONTH(F874)=3),SUM(OFFSET(H874,-89,0):H874),IF(AND(EOMONTH(F874,0)=F874,MONTH(F874)=6),SUM(OFFSET(H874,-90,0):H874),IF(AND(EOMONTH(F874,0)=F874,OR(MONTH(F874)=9,MONTH(F874)=12)),SUM(OFFSET(H874,-91,0):H874)))))),IF(F874='депозитный калькулятор'!$D$8,SUM($H$23:H874)-SUM($I$23:I873),0))),IF('депозитный калькулятор'!$G$10="ежегодное",IF(F874&gt;'депозитный калькулятор'!$D$8," ",IF(F874='депозитный калькулятор'!$D$8,SUM($H$23:H874)-SUM($I$23:I873),IF(AND(EOMONTH(F874,0)=F874,MONTH(F874)=12),IF(MOD(YEAR(F873),4)=0,IF(F874-'депозитный калькулятор'!$D$7&lt;366,SUM($H$23:H874),SUM(OFFSET(H874,-365,0):H874)),IF(F874-'депозитный калькулятор'!$D$7&lt;365,SUM($H$23:H874),SUM(OFFSET(H874,-364,0):H874))),0))),IF(AND('депозитный калькулятор'!$G$10="в конце срока",'депозитный калькулятор'!$D$8=F874),SUM($H$23:H874),0))))))))))))))))))</f>
        <v xml:space="preserve"> </v>
      </c>
      <c r="J874" s="59" t="str">
        <f>IF(F874&gt;'депозитный калькулятор'!$D$8," ",IF('депозитный калькулятор'!$G$16="нет",0,IF(AND('депозитный калькулятор'!$G$17="разовая (в конце срока)",F874='депозитный калькулятор'!$D$8),'депозитный калькулятор'!$G$18,IF(AND('депозитный калькулятор'!$G$17="ежемесячная",EOMONTH(F873,0)=F873),'депозитный калькулятор'!$G$18,IF(AND('депозитный калькулятор'!$G$17="ежегодная",DAY(F873)=31,MONTH(F873)=12),'депозитный калькулятор'!$G$18,IF(AND('депозитный калькулятор'!$G$17="ежемесячная в зависимости от остатка",EOMONTH(F873,0)=F873,P873&gt;0),'депозитный калькулятор'!$G$18,IF(AND('депозитный калькулятор'!$G$17="ежегодная в зависимости от остатка",DAY(F873)=31,MONTH(F873)=12,P873&gt;0),'депозитный калькулятор'!$G$18,0)))))))</f>
        <v xml:space="preserve"> </v>
      </c>
      <c r="K874" s="135" t="str">
        <f>IF($F874=" "," ",IFERROR(VLOOKUP($F874,'депозитный калькулятор'!$B$26:$F$70,2,0),0))</f>
        <v xml:space="preserve"> </v>
      </c>
      <c r="L874" s="135" t="str">
        <f>IF($F874=" "," ",IFERROR(VLOOKUP($F874,'депозитный калькулятор'!$B$26:$F$70,3,0),0))</f>
        <v xml:space="preserve"> </v>
      </c>
      <c r="M874" s="135" t="str">
        <f>IF($F874=" "," ",IFERROR(VLOOKUP($F874,'депозитный калькулятор'!$B$26:$F$70,4,0),0))</f>
        <v xml:space="preserve"> </v>
      </c>
      <c r="N874" s="135" t="str">
        <f>IF($F874=" "," ",IFERROR(VLOOKUP($F874,'депозитный калькулятор'!$B$26:$F$70,5,0),0))</f>
        <v xml:space="preserve"> </v>
      </c>
      <c r="O874" s="146" t="str">
        <f>IF(F874&gt;'депозитный калькулятор'!$D$8," ",IF(F874='депозитный калькулятор'!$D$8,IF(AND($F$24='депозитный калькулятор'!$D$8,'депозитный калькулятор'!$G$13="нет"),-G874-IF(I874=" ",0,I874)-IF(AND(OR('депозитный калькулятор'!$G$7="30/365",'депозитный калькулятор'!$G$7="30/360"),'депозитный калькулятор'!$G$10="в начале срока"),I873,0)-L874+M874-N874,-G874-IF(I874=" ",0,I874)-L874+M874-N874),IF('депозитный калькулятор'!$G$13="есть",M874-N874+IF('депозитный калькулятор'!$G$14="есть",0,-L874),-IF(I874=" ",0,I874)-IF(AND(OR('депозитный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срока"),I873,0)+M874-N874+IF('депозитный калькулятор'!$G$14="есть",0,-L874))))</f>
        <v xml:space="preserve"> </v>
      </c>
      <c r="P874" s="147" t="str">
        <f>IF(F874&gt;'депозитный калькулятор'!$D$8," ",IF(EOMONTH(F873,0)=F873,0,IF(G874&gt;='депозитный калькулятор'!$G$19,P873,P873+1)))</f>
        <v xml:space="preserve"> </v>
      </c>
      <c r="Q874" s="138" t="str">
        <f>IF(F874=" "," ",IF(AND(OR('депозитный калькулятор'!$G$7="30/365",'депозитный калькулятор'!$G$7="30/360"),AND(MONTH(F874)=2,EOMONTH(F874,0)=F874)),IF(DAY(F874)=28,3,2),1)*IF(G874&gt;='депозитный калькулятор'!$G$11,IF(AND('депозитный калькулятор'!$G$7="факт/факт",MOD(YEAR(F874),4)=0),G874*'депозитный калькулятор'!$D$11/366,G874*'депозитный калькулятор'!$G$8),0))</f>
        <v xml:space="preserve"> </v>
      </c>
      <c r="S874" s="62" t="str">
        <f t="shared" ca="1" si="67"/>
        <v xml:space="preserve"> </v>
      </c>
      <c r="T874" s="149" t="str">
        <f ca="1">IF(S874=" "," ",IF('депозитный калькулятор'!$G$7="30/360",DAYS360(U873,IF(DAY(U874)=31,U874-1,U874))+IF(AND(MONTH(U874)=2,U874=EOMONTH(U874,0)),30-DAY(EOMONTH(U874,0)))+T873,VLOOKUP(S874,$C$22:$F$1023,2,0)))</f>
        <v xml:space="preserve"> </v>
      </c>
      <c r="U874" s="64" t="str">
        <f t="shared" ca="1" si="65"/>
        <v xml:space="preserve"> </v>
      </c>
      <c r="V874" s="150" t="str">
        <f t="shared" ca="1" si="68"/>
        <v xml:space="preserve"> </v>
      </c>
      <c r="W874" s="62" t="str">
        <f t="shared" ca="1" si="69"/>
        <v xml:space="preserve"> </v>
      </c>
      <c r="X874" s="141" t="str">
        <f ca="1">IF(S874=" "," ",IFERROR(VLOOKUP(U874,$F$23:$N$1023,7)+VLOOKUP(U874,$F$23:$N$1023,9)+IF(AND('депозитный калькулятор'!$G$13="нет",U874&lt;&gt;'депозитный калькулятор'!$D$8),VLOOKUP(U874,$F$23:$N$1023,4),0),0)+IF(U874='депозитный калькулятор'!$D$8,VLOOKUP(U874,$F$23:$N$1023,2)+VLOOKUP(U874,$F$23:$N$1023,4),0))</f>
        <v xml:space="preserve"> </v>
      </c>
      <c r="Y874" s="142" t="str">
        <f ca="1">IF(S874=" "," ",W874/(1+'депозитный калькулятор'!$K$8)^(T874/IF('депозитный калькулятор'!$G$7="30/360",360,365)))</f>
        <v xml:space="preserve"> </v>
      </c>
      <c r="Z874" s="142" t="str">
        <f ca="1">IF(S874=" "," ",X874/(1+'депозитный калькулятор'!$K$8)^(T874/IF('депозитный калькулятор'!$G$7="30/360",360,365)))</f>
        <v xml:space="preserve"> </v>
      </c>
      <c r="AA874" s="151"/>
      <c r="AB874" s="151"/>
      <c r="AC874" s="155"/>
      <c r="AD874" s="155"/>
    </row>
    <row r="875" spans="1:30" s="2" customFormat="1" ht="15.5" x14ac:dyDescent="0.35">
      <c r="A875" s="41" t="str">
        <f>IF(F875=" "," ",IF(OR('депозитный калькулятор'!$G$7="30/365",'депозитный калькулятор'!$G$7="30/360"),IF(AND(MONTH(F875)=2,DAY(F875)=DAY(EOMONTH(F875,0))),30-DAY(EOMONTH(F875,0)),IF(DAY(F875)=31,1," "))," "))</f>
        <v xml:space="preserve"> </v>
      </c>
      <c r="B875" s="130" t="str">
        <f t="shared" si="66"/>
        <v xml:space="preserve"> </v>
      </c>
      <c r="C875" s="130" t="str">
        <f>IF(OR(B875=0,B875=" ")," ",SUM($B$23:B875))</f>
        <v xml:space="preserve"> </v>
      </c>
      <c r="D875" s="62" t="str">
        <f>IF(D874=" "," ",IF(OR(F874='депозитный калькулятор'!$D$8,F874=" ")," ",D874+1))</f>
        <v xml:space="preserve"> </v>
      </c>
      <c r="E875" s="130" t="str">
        <f>IF(OR(F874='депозитный калькулятор'!$D$8,F874=" ")," ",IF(EOMONTH(F874,0)=F874,1,E874+1))</f>
        <v xml:space="preserve"> </v>
      </c>
      <c r="F875" s="64" t="str">
        <f>IF(F874=" "," ",IF(F874='депозитный калькулятор'!$D$8," ",F874+1))</f>
        <v xml:space="preserve"> </v>
      </c>
      <c r="G875" s="145" t="str">
        <f xml:space="preserve"> IF(F875&gt;'депозитный калькулятор'!$D$8," ",IF('депозитный калькулятор'!$G$13="есть",IF('депозитный калькулятор'!$G$14="есть",G874+IF(I874=" ",0,I874)-J875-K875+L875+M875-N875,G874+IF(I874=" ",0,I874)-J875-K875+M875-N875),IF('депозитный калькулятор'!$G$14="есть",G874-J875-K875+L875+M875-N875,G874-J875-K875+M875-N875)))</f>
        <v xml:space="preserve"> </v>
      </c>
      <c r="H875" s="133" t="str">
        <f>IF(F875&gt;'депозитный калькулятор'!$D$8," ",IF(AND(OR('депозитный калькулятор'!$G$7="30/365",'депозитный калькулятор'!$G$7="30/360"),AND(MONTH(F875)=2,EOMONTH(F875,0)=F875)),IF(DAY(F875)=28,3*G875*'депозитный калькулятор'!$G$8,2*G875*'депозитный калькулятор'!$G$8),IF(AND(OR('депозитный калькулятор'!$G$7="30/365",'депозитный калькулятор'!$G$7="30/360"),DAY(F875)=31)," ",IF(AND('депозитный калькулятор'!$G$7="факт/факт",MOD(YEAR(F875),4)=0),G875*'депозитный калькулятор'!$D$11/366,G875*'депозитный калькулятор'!$G$8))))</f>
        <v xml:space="preserve"> </v>
      </c>
      <c r="I875" s="134" t="str">
        <f ca="1">IF(F875=" "," ",IF('депозитный калькулятор'!$G$10="ежедневное",H875,IF(AND('депозитный калькулятор'!$G$10="еженедельное",WEEKDAY(F875,2)=7),SUM(OFFSET(H875,-6,0):H875),IF(AND('депозитный калькулятор'!$G$10="еженедельное",F875='депозитный калькулятор'!$D$8),SUM($H$23:H875)-SUM($I$23:I874),IF(AND('депозитный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недели",WEEKDAY(F875,2)=7),MIN(OFFSET(H875,-6,0):H875)*(COUNTIF(OFFSET(H875,-6,0):H875,"&gt;0")+SUMIF(OFFSET(A875,-WEEKDAY(F875,2),0):A875,"=2",OFFSET(A875,-WEEKDAY(F875,2),0):A875)),IF(AND('депозитный калькулятор'!$G$10="еженедельное, на минимальную сумму зафиксированную в течение недели",F875='депозитный калькулятор'!$D$8,WEEKDAY(F875,2)&lt;&gt;7),MIN(OFFSET(H875,-WEEKDAY(F875,2),0):H875)*(COUNTIF(OFFSET(H875,-WEEKDAY(F875,2)+1,0):H875,"&gt;0")+SUM(OFFSET(A875,-WEEKDAY(F875,2),0):A875)),IF(AND('депозитный калькулятор'!$G$10="ежемесячное (в конце месяца)",F875='депозитный калькулятор'!$D$8,EOMONTH(F875,0)&lt;&gt;F875),IF('депозитный калькулятор'!$F$1=1,$H$24,SUM($H$23:H875)-SUM($I$23:I874)),IF(AND('депозитный калькулятор'!$G$10="ежемесячное (в конце месяца)",EOMONTH(F875,0)=F875),SUM($H$23:H875)-SUM($I$23:I874),IF(AND('депозитный калькулятор'!$G$10="ежемесячное (по дням открытия вклада)",F875='депозитный калькулятор'!$D$8,DAY('депозитный калькулятор'!$D$7)&lt;&gt;DAY(F875)),IF('депозитный калькулятор'!$F$1=1,$H$24,SUM($H$23:H875)-SUM($I$23:I874)),IF(AND('депозитный калькулятор'!$G$10="ежемесячное (по дням открытия вклада)",DAY('депозитный калькулятор'!$D$7)=DAY(F875)),SUM($H$23:H875)-SUM($I$23:I874),IF(AND('депозитный калькулятор'!$G$10="ежемесячное, на минимальную сумму зафиксированную в течение месяца",F875='депозитный калькулятор'!$D$8,EOMONTH(F875,0)&lt;&gt;F875),IF('депозитный калькулятор'!$F$1=1,$H$24,IF(AND(OR('депозитный калькулятор'!$G$7="30/365",'депозитный калькулятор'!$G$7="30/360"),DAY(F875)=31),0,MIN(OFFSET(H875,-E875+1,0):H875)*(E875+SUMIF(OFFSET(A875,-E875+1,0):A875,"=2",OFFSET(A875,-E875+1,0):A875)))),IF(AND('депозитный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калькулятор'!$G$7="30/360"),DAY(EOMONTH(F875,0))=31),EOMONTH(F875,0)-1=F875,EOMONTH(F875,0)=F875)),IF(IF(AND(OR('депозитный калькулятор'!$G$7="30/365",'депозитный калькулятор'!$G$7="30/360"),DAY(EOMONTH($F$23,0))=31),F875=EOMONTH($F$23,0)-1,F875=EOMONTH($F$23,0)),MIN(OFFSET(H875,-(DAY(F875)-DAY($F$23)),0):H875)*E875,MIN(OFFSET(H875,-(DAY(F875)-1),0):H875)*IF(AND(OR('депозитный калькулятор'!$G$7="30/365",'депозитный калькулятор'!$G$7="30/360"),DAY(F875)&lt;30),30,DAY(F875))),IF(AND('депозитный калькулятор'!$G$10="ежемесячное, на средний остаток в течение месяца, при условии что остаток больше чем ограничение",F875='депозитный калькулятор'!$D$8,EOMONTH(F875,0)&lt;&gt;F875),IF('депозитный калькулятор'!$F$1=1,$H$24,SUM(OFFSET(Q875,-E875+1,0):Q875)),IF(AND('депозитный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калькулятор'!$G$7="30/360"),DAY(EOMONTH(F875,0))=31),EOMONTH(F875,0)-1=F875,EOMONTH(F875,0)=F875)),IF(IF(AND(OR('депозитный калькулятор'!$G$7="30/365",'депозитный калькулятор'!$G$7="30/360"),DAY(EOMONTH($F$24,0))=31),F875=EOMONTH($F$24,0)-1,F875=EOMONTH($F$24,0)),SUM(OFFSET(Q875,-E875+1,0):Q875),SUM(OFFSET(Q875,-E875+1,0):Q875)),IF('депозитный калькулятор'!$G$10="ежеквартальное",IF(F875&gt;'депозитный калькулятор'!$D$8," ",IF(AND(EOMONTH(F875,0)=F875,OR(MONTH(F875)=3,MONTH(F875)=6,MONTH(F875)=9,MONTH(F875)=12)),IF(EDATE(F875,-3)&lt;'депозитный калькулятор'!$D$7,SUM($H$23:H875),IF(MOD(YEAR(F875),4)=0,IF(AND(EOMONTH(F875,0)=F875,OR(MONTH(F875)=3,MONTH(F875)=6)),SUM(OFFSET(H875,-90,0):H875),IF(AND(EOMONTH(F875,0)=F875,OR(MONTH(F875)=9,MONTH(F875)=12)),SUM(OFFSET(H875,-91,0):H875))),IF(AND(EOMONTH(F875,0)=F875,MONTH(F875)=3),SUM(OFFSET(H875,-89,0):H875),IF(AND(EOMONTH(F875,0)=F875,MONTH(F875)=6),SUM(OFFSET(H875,-90,0):H875),IF(AND(EOMONTH(F875,0)=F875,OR(MONTH(F875)=9,MONTH(F875)=12)),SUM(OFFSET(H875,-91,0):H875)))))),IF(F875='депозитный калькулятор'!$D$8,SUM($H$23:H875)-SUM($I$23:I874),0))),IF('депозитный калькулятор'!$G$10="ежегодное",IF(F875&gt;'депозитный калькулятор'!$D$8," ",IF(F875='депозитный калькулятор'!$D$8,SUM($H$23:H875)-SUM($I$23:I874),IF(AND(EOMONTH(F875,0)=F875,MONTH(F875)=12),IF(MOD(YEAR(F874),4)=0,IF(F875-'депозитный калькулятор'!$D$7&lt;366,SUM($H$23:H875),SUM(OFFSET(H875,-365,0):H875)),IF(F875-'депозитный калькулятор'!$D$7&lt;365,SUM($H$23:H875),SUM(OFFSET(H875,-364,0):H875))),0))),IF(AND('депозитный калькулятор'!$G$10="в конце срока",'депозитный калькулятор'!$D$8=F875),SUM($H$23:H875),0))))))))))))))))))</f>
        <v xml:space="preserve"> </v>
      </c>
      <c r="J875" s="59" t="str">
        <f>IF(F875&gt;'депозитный калькулятор'!$D$8," ",IF('депозитный калькулятор'!$G$16="нет",0,IF(AND('депозитный калькулятор'!$G$17="разовая (в конце срока)",F875='депозитный калькулятор'!$D$8),'депозитный калькулятор'!$G$18,IF(AND('депозитный калькулятор'!$G$17="ежемесячная",EOMONTH(F874,0)=F874),'депозитный калькулятор'!$G$18,IF(AND('депозитный калькулятор'!$G$17="ежегодная",DAY(F874)=31,MONTH(F874)=12),'депозитный калькулятор'!$G$18,IF(AND('депозитный калькулятор'!$G$17="ежемесячная в зависимости от остатка",EOMONTH(F874,0)=F874,P874&gt;0),'депозитный калькулятор'!$G$18,IF(AND('депозитный калькулятор'!$G$17="ежегодная в зависимости от остатка",DAY(F874)=31,MONTH(F874)=12,P874&gt;0),'депозитный калькулятор'!$G$18,0)))))))</f>
        <v xml:space="preserve"> </v>
      </c>
      <c r="K875" s="135" t="str">
        <f>IF($F875=" "," ",IFERROR(VLOOKUP($F875,'депозитный калькулятор'!$B$26:$F$70,2,0),0))</f>
        <v xml:space="preserve"> </v>
      </c>
      <c r="L875" s="135" t="str">
        <f>IF($F875=" "," ",IFERROR(VLOOKUP($F875,'депозитный калькулятор'!$B$26:$F$70,3,0),0))</f>
        <v xml:space="preserve"> </v>
      </c>
      <c r="M875" s="135" t="str">
        <f>IF($F875=" "," ",IFERROR(VLOOKUP($F875,'депозитный калькулятор'!$B$26:$F$70,4,0),0))</f>
        <v xml:space="preserve"> </v>
      </c>
      <c r="N875" s="135" t="str">
        <f>IF($F875=" "," ",IFERROR(VLOOKUP($F875,'депозитный калькулятор'!$B$26:$F$70,5,0),0))</f>
        <v xml:space="preserve"> </v>
      </c>
      <c r="O875" s="146" t="str">
        <f>IF(F875&gt;'депозитный калькулятор'!$D$8," ",IF(F875='депозитный калькулятор'!$D$8,IF(AND($F$24='депозитный калькулятор'!$D$8,'депозитный калькулятор'!$G$13="нет"),-G875-IF(I875=" ",0,I875)-IF(AND(OR('депозитный калькулятор'!$G$7="30/365",'депозитный калькулятор'!$G$7="30/360"),'депозитный калькулятор'!$G$10="в начале срока"),I874,0)-L875+M875-N875,-G875-IF(I875=" ",0,I875)-L875+M875-N875),IF('депозитный калькулятор'!$G$13="есть",M875-N875+IF('депозитный калькулятор'!$G$14="есть",0,-L875),-IF(I875=" ",0,I875)-IF(AND(OR('депозитный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срока"),I874,0)+M875-N875+IF('депозитный калькулятор'!$G$14="есть",0,-L875))))</f>
        <v xml:space="preserve"> </v>
      </c>
      <c r="P875" s="147" t="str">
        <f>IF(F875&gt;'депозитный калькулятор'!$D$8," ",IF(EOMONTH(F874,0)=F874,0,IF(G875&gt;='депозитный калькулятор'!$G$19,P874,P874+1)))</f>
        <v xml:space="preserve"> </v>
      </c>
      <c r="Q875" s="138" t="str">
        <f>IF(F875=" "," ",IF(AND(OR('депозитный калькулятор'!$G$7="30/365",'депозитный калькулятор'!$G$7="30/360"),AND(MONTH(F875)=2,EOMONTH(F875,0)=F875)),IF(DAY(F875)=28,3,2),1)*IF(G875&gt;='депозитный калькулятор'!$G$11,IF(AND('депозитный калькулятор'!$G$7="факт/факт",MOD(YEAR(F875),4)=0),G875*'депозитный калькулятор'!$D$11/366,G875*'депозитный калькулятор'!$G$8),0))</f>
        <v xml:space="preserve"> </v>
      </c>
      <c r="S875" s="62" t="str">
        <f t="shared" ca="1" si="67"/>
        <v xml:space="preserve"> </v>
      </c>
      <c r="T875" s="149" t="str">
        <f ca="1">IF(S875=" "," ",IF('депозитный калькулятор'!$G$7="30/360",DAYS360(U874,IF(DAY(U875)=31,U875-1,U875))+IF(AND(MONTH(U875)=2,U875=EOMONTH(U875,0)),30-DAY(EOMONTH(U875,0)))+T874,VLOOKUP(S875,$C$22:$F$1023,2,0)))</f>
        <v xml:space="preserve"> </v>
      </c>
      <c r="U875" s="64" t="str">
        <f t="shared" ca="1" si="65"/>
        <v xml:space="preserve"> </v>
      </c>
      <c r="V875" s="150" t="str">
        <f t="shared" ca="1" si="68"/>
        <v xml:space="preserve"> </v>
      </c>
      <c r="W875" s="62" t="str">
        <f t="shared" ca="1" si="69"/>
        <v xml:space="preserve"> </v>
      </c>
      <c r="X875" s="141" t="str">
        <f ca="1">IF(S875=" "," ",IFERROR(VLOOKUP(U875,$F$23:$N$1023,7)+VLOOKUP(U875,$F$23:$N$1023,9)+IF(AND('депозитный калькулятор'!$G$13="нет",U875&lt;&gt;'депозитный калькулятор'!$D$8),VLOOKUP(U875,$F$23:$N$1023,4),0),0)+IF(U875='депозитный калькулятор'!$D$8,VLOOKUP(U875,$F$23:$N$1023,2)+VLOOKUP(U875,$F$23:$N$1023,4),0))</f>
        <v xml:space="preserve"> </v>
      </c>
      <c r="Y875" s="142" t="str">
        <f ca="1">IF(S875=" "," ",W875/(1+'депозитный калькулятор'!$K$8)^(T875/IF('депозитный калькулятор'!$G$7="30/360",360,365)))</f>
        <v xml:space="preserve"> </v>
      </c>
      <c r="Z875" s="142" t="str">
        <f ca="1">IF(S875=" "," ",X875/(1+'депозитный калькулятор'!$K$8)^(T875/IF('депозитный калькулятор'!$G$7="30/360",360,365)))</f>
        <v xml:space="preserve"> </v>
      </c>
      <c r="AA875" s="151"/>
      <c r="AB875" s="151"/>
      <c r="AC875" s="155"/>
      <c r="AD875" s="155"/>
    </row>
    <row r="876" spans="1:30" s="2" customFormat="1" ht="15.5" x14ac:dyDescent="0.35">
      <c r="A876" s="41" t="str">
        <f>IF(F876=" "," ",IF(OR('депозитный калькулятор'!$G$7="30/365",'депозитный калькулятор'!$G$7="30/360"),IF(AND(MONTH(F876)=2,DAY(F876)=DAY(EOMONTH(F876,0))),30-DAY(EOMONTH(F876,0)),IF(DAY(F876)=31,1," "))," "))</f>
        <v xml:space="preserve"> </v>
      </c>
      <c r="B876" s="130" t="str">
        <f t="shared" si="66"/>
        <v xml:space="preserve"> </v>
      </c>
      <c r="C876" s="130" t="str">
        <f>IF(OR(B876=0,B876=" ")," ",SUM($B$23:B876))</f>
        <v xml:space="preserve"> </v>
      </c>
      <c r="D876" s="62" t="str">
        <f>IF(D875=" "," ",IF(OR(F875='депозитный калькулятор'!$D$8,F875=" ")," ",D875+1))</f>
        <v xml:space="preserve"> </v>
      </c>
      <c r="E876" s="130" t="str">
        <f>IF(OR(F875='депозитный калькулятор'!$D$8,F875=" ")," ",IF(EOMONTH(F875,0)=F875,1,E875+1))</f>
        <v xml:space="preserve"> </v>
      </c>
      <c r="F876" s="64" t="str">
        <f>IF(F875=" "," ",IF(F875='депозитный калькулятор'!$D$8," ",F875+1))</f>
        <v xml:space="preserve"> </v>
      </c>
      <c r="G876" s="145" t="str">
        <f xml:space="preserve"> IF(F876&gt;'депозитный калькулятор'!$D$8," ",IF('депозитный калькулятор'!$G$13="есть",IF('депозитный калькулятор'!$G$14="есть",G875+IF(I875=" ",0,I875)-J876-K876+L876+M876-N876,G875+IF(I875=" ",0,I875)-J876-K876+M876-N876),IF('депозитный калькулятор'!$G$14="есть",G875-J876-K876+L876+M876-N876,G875-J876-K876+M876-N876)))</f>
        <v xml:space="preserve"> </v>
      </c>
      <c r="H876" s="133" t="str">
        <f>IF(F876&gt;'депозитный калькулятор'!$D$8," ",IF(AND(OR('депозитный калькулятор'!$G$7="30/365",'депозитный калькулятор'!$G$7="30/360"),AND(MONTH(F876)=2,EOMONTH(F876,0)=F876)),IF(DAY(F876)=28,3*G876*'депозитный калькулятор'!$G$8,2*G876*'депозитный калькулятор'!$G$8),IF(AND(OR('депозитный калькулятор'!$G$7="30/365",'депозитный калькулятор'!$G$7="30/360"),DAY(F876)=31)," ",IF(AND('депозитный калькулятор'!$G$7="факт/факт",MOD(YEAR(F876),4)=0),G876*'депозитный калькулятор'!$D$11/366,G876*'депозитный калькулятор'!$G$8))))</f>
        <v xml:space="preserve"> </v>
      </c>
      <c r="I876" s="134" t="str">
        <f ca="1">IF(F876=" "," ",IF('депозитный калькулятор'!$G$10="ежедневное",H876,IF(AND('депозитный калькулятор'!$G$10="еженедельное",WEEKDAY(F876,2)=7),SUM(OFFSET(H876,-6,0):H876),IF(AND('депозитный калькулятор'!$G$10="еженедельное",F876='депозитный калькулятор'!$D$8),SUM($H$23:H876)-SUM($I$23:I875),IF(AND('депозитный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недели",WEEKDAY(F876,2)=7),MIN(OFFSET(H876,-6,0):H876)*(COUNTIF(OFFSET(H876,-6,0):H876,"&gt;0")+SUMIF(OFFSET(A876,-WEEKDAY(F876,2),0):A876,"=2",OFFSET(A876,-WEEKDAY(F876,2),0):A876)),IF(AND('депозитный калькулятор'!$G$10="еженедельное, на минимальную сумму зафиксированную в течение недели",F876='депозитный калькулятор'!$D$8,WEEKDAY(F876,2)&lt;&gt;7),MIN(OFFSET(H876,-WEEKDAY(F876,2),0):H876)*(COUNTIF(OFFSET(H876,-WEEKDAY(F876,2)+1,0):H876,"&gt;0")+SUM(OFFSET(A876,-WEEKDAY(F876,2),0):A876)),IF(AND('депозитный калькулятор'!$G$10="ежемесячное (в конце месяца)",F876='депозитный калькулятор'!$D$8,EOMONTH(F876,0)&lt;&gt;F876),IF('депозитный калькулятор'!$F$1=1,$H$24,SUM($H$23:H876)-SUM($I$23:I875)),IF(AND('депозитный калькулятор'!$G$10="ежемесячное (в конце месяца)",EOMONTH(F876,0)=F876),SUM($H$23:H876)-SUM($I$23:I875),IF(AND('депозитный калькулятор'!$G$10="ежемесячное (по дням открытия вклада)",F876='депозитный калькулятор'!$D$8,DAY('депозитный калькулятор'!$D$7)&lt;&gt;DAY(F876)),IF('депозитный калькулятор'!$F$1=1,$H$24,SUM($H$23:H876)-SUM($I$23:I875)),IF(AND('депозитный калькулятор'!$G$10="ежемесячное (по дням открытия вклада)",DAY('депозитный калькулятор'!$D$7)=DAY(F876)),SUM($H$23:H876)-SUM($I$23:I875),IF(AND('депозитный калькулятор'!$G$10="ежемесячное, на минимальную сумму зафиксированную в течение месяца",F876='депозитный калькулятор'!$D$8,EOMONTH(F876,0)&lt;&gt;F876),IF('депозитный калькулятор'!$F$1=1,$H$24,IF(AND(OR('депозитный калькулятор'!$G$7="30/365",'депозитный калькулятор'!$G$7="30/360"),DAY(F876)=31),0,MIN(OFFSET(H876,-E876+1,0):H876)*(E876+SUMIF(OFFSET(A876,-E876+1,0):A876,"=2",OFFSET(A876,-E876+1,0):A876)))),IF(AND('депозитный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калькулятор'!$G$7="30/360"),DAY(EOMONTH(F876,0))=31),EOMONTH(F876,0)-1=F876,EOMONTH(F876,0)=F876)),IF(IF(AND(OR('депозитный калькулятор'!$G$7="30/365",'депозитный калькулятор'!$G$7="30/360"),DAY(EOMONTH($F$23,0))=31),F876=EOMONTH($F$23,0)-1,F876=EOMONTH($F$23,0)),MIN(OFFSET(H876,-(DAY(F876)-DAY($F$23)),0):H876)*E876,MIN(OFFSET(H876,-(DAY(F876)-1),0):H876)*IF(AND(OR('депозитный калькулятор'!$G$7="30/365",'депозитный калькулятор'!$G$7="30/360"),DAY(F876)&lt;30),30,DAY(F876))),IF(AND('депозитный калькулятор'!$G$10="ежемесячное, на средний остаток в течение месяца, при условии что остаток больше чем ограничение",F876='депозитный калькулятор'!$D$8,EOMONTH(F876,0)&lt;&gt;F876),IF('депозитный калькулятор'!$F$1=1,$H$24,SUM(OFFSET(Q876,-E876+1,0):Q876)),IF(AND('депозитный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калькулятор'!$G$7="30/360"),DAY(EOMONTH(F876,0))=31),EOMONTH(F876,0)-1=F876,EOMONTH(F876,0)=F876)),IF(IF(AND(OR('депозитный калькулятор'!$G$7="30/365",'депозитный калькулятор'!$G$7="30/360"),DAY(EOMONTH($F$24,0))=31),F876=EOMONTH($F$24,0)-1,F876=EOMONTH($F$24,0)),SUM(OFFSET(Q876,-E876+1,0):Q876),SUM(OFFSET(Q876,-E876+1,0):Q876)),IF('депозитный калькулятор'!$G$10="ежеквартальное",IF(F876&gt;'депозитный калькулятор'!$D$8," ",IF(AND(EOMONTH(F876,0)=F876,OR(MONTH(F876)=3,MONTH(F876)=6,MONTH(F876)=9,MONTH(F876)=12)),IF(EDATE(F876,-3)&lt;'депозитный калькулятор'!$D$7,SUM($H$23:H876),IF(MOD(YEAR(F876),4)=0,IF(AND(EOMONTH(F876,0)=F876,OR(MONTH(F876)=3,MONTH(F876)=6)),SUM(OFFSET(H876,-90,0):H876),IF(AND(EOMONTH(F876,0)=F876,OR(MONTH(F876)=9,MONTH(F876)=12)),SUM(OFFSET(H876,-91,0):H876))),IF(AND(EOMONTH(F876,0)=F876,MONTH(F876)=3),SUM(OFFSET(H876,-89,0):H876),IF(AND(EOMONTH(F876,0)=F876,MONTH(F876)=6),SUM(OFFSET(H876,-90,0):H876),IF(AND(EOMONTH(F876,0)=F876,OR(MONTH(F876)=9,MONTH(F876)=12)),SUM(OFFSET(H876,-91,0):H876)))))),IF(F876='депозитный калькулятор'!$D$8,SUM($H$23:H876)-SUM($I$23:I875),0))),IF('депозитный калькулятор'!$G$10="ежегодное",IF(F876&gt;'депозитный калькулятор'!$D$8," ",IF(F876='депозитный калькулятор'!$D$8,SUM($H$23:H876)-SUM($I$23:I875),IF(AND(EOMONTH(F876,0)=F876,MONTH(F876)=12),IF(MOD(YEAR(F875),4)=0,IF(F876-'депозитный калькулятор'!$D$7&lt;366,SUM($H$23:H876),SUM(OFFSET(H876,-365,0):H876)),IF(F876-'депозитный калькулятор'!$D$7&lt;365,SUM($H$23:H876),SUM(OFFSET(H876,-364,0):H876))),0))),IF(AND('депозитный калькулятор'!$G$10="в конце срока",'депозитный калькулятор'!$D$8=F876),SUM($H$23:H876),0))))))))))))))))))</f>
        <v xml:space="preserve"> </v>
      </c>
      <c r="J876" s="59" t="str">
        <f>IF(F876&gt;'депозитный калькулятор'!$D$8," ",IF('депозитный калькулятор'!$G$16="нет",0,IF(AND('депозитный калькулятор'!$G$17="разовая (в конце срока)",F876='депозитный калькулятор'!$D$8),'депозитный калькулятор'!$G$18,IF(AND('депозитный калькулятор'!$G$17="ежемесячная",EOMONTH(F875,0)=F875),'депозитный калькулятор'!$G$18,IF(AND('депозитный калькулятор'!$G$17="ежегодная",DAY(F875)=31,MONTH(F875)=12),'депозитный калькулятор'!$G$18,IF(AND('депозитный калькулятор'!$G$17="ежемесячная в зависимости от остатка",EOMONTH(F875,0)=F875,P875&gt;0),'депозитный калькулятор'!$G$18,IF(AND('депозитный калькулятор'!$G$17="ежегодная в зависимости от остатка",DAY(F875)=31,MONTH(F875)=12,P875&gt;0),'депозитный калькулятор'!$G$18,0)))))))</f>
        <v xml:space="preserve"> </v>
      </c>
      <c r="K876" s="135" t="str">
        <f>IF($F876=" "," ",IFERROR(VLOOKUP($F876,'депозитный калькулятор'!$B$26:$F$70,2,0),0))</f>
        <v xml:space="preserve"> </v>
      </c>
      <c r="L876" s="135" t="str">
        <f>IF($F876=" "," ",IFERROR(VLOOKUP($F876,'депозитный калькулятор'!$B$26:$F$70,3,0),0))</f>
        <v xml:space="preserve"> </v>
      </c>
      <c r="M876" s="135" t="str">
        <f>IF($F876=" "," ",IFERROR(VLOOKUP($F876,'депозитный калькулятор'!$B$26:$F$70,4,0),0))</f>
        <v xml:space="preserve"> </v>
      </c>
      <c r="N876" s="135" t="str">
        <f>IF($F876=" "," ",IFERROR(VLOOKUP($F876,'депозитный калькулятор'!$B$26:$F$70,5,0),0))</f>
        <v xml:space="preserve"> </v>
      </c>
      <c r="O876" s="146" t="str">
        <f>IF(F876&gt;'депозитный калькулятор'!$D$8," ",IF(F876='депозитный калькулятор'!$D$8,IF(AND($F$24='депозитный калькулятор'!$D$8,'депозитный калькулятор'!$G$13="нет"),-G876-IF(I876=" ",0,I876)-IF(AND(OR('депозитный калькулятор'!$G$7="30/365",'депозитный калькулятор'!$G$7="30/360"),'депозитный калькулятор'!$G$10="в начале срока"),I875,0)-L876+M876-N876,-G876-IF(I876=" ",0,I876)-L876+M876-N876),IF('депозитный калькулятор'!$G$13="есть",M876-N876+IF('депозитный калькулятор'!$G$14="есть",0,-L876),-IF(I876=" ",0,I876)-IF(AND(OR('депозитный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срока"),I875,0)+M876-N876+IF('депозитный калькулятор'!$G$14="есть",0,-L876))))</f>
        <v xml:space="preserve"> </v>
      </c>
      <c r="P876" s="147" t="str">
        <f>IF(F876&gt;'депозитный калькулятор'!$D$8," ",IF(EOMONTH(F875,0)=F875,0,IF(G876&gt;='депозитный калькулятор'!$G$19,P875,P875+1)))</f>
        <v xml:space="preserve"> </v>
      </c>
      <c r="Q876" s="138" t="str">
        <f>IF(F876=" "," ",IF(AND(OR('депозитный калькулятор'!$G$7="30/365",'депозитный калькулятор'!$G$7="30/360"),AND(MONTH(F876)=2,EOMONTH(F876,0)=F876)),IF(DAY(F876)=28,3,2),1)*IF(G876&gt;='депозитный калькулятор'!$G$11,IF(AND('депозитный калькулятор'!$G$7="факт/факт",MOD(YEAR(F876),4)=0),G876*'депозитный калькулятор'!$D$11/366,G876*'депозитный калькулятор'!$G$8),0))</f>
        <v xml:space="preserve"> </v>
      </c>
      <c r="S876" s="62" t="str">
        <f t="shared" ca="1" si="67"/>
        <v xml:space="preserve"> </v>
      </c>
      <c r="T876" s="149" t="str">
        <f ca="1">IF(S876=" "," ",IF('депозитный калькулятор'!$G$7="30/360",DAYS360(U875,IF(DAY(U876)=31,U876-1,U876))+IF(AND(MONTH(U876)=2,U876=EOMONTH(U876,0)),30-DAY(EOMONTH(U876,0)))+T875,VLOOKUP(S876,$C$22:$F$1023,2,0)))</f>
        <v xml:space="preserve"> </v>
      </c>
      <c r="U876" s="64" t="str">
        <f t="shared" ca="1" si="65"/>
        <v xml:space="preserve"> </v>
      </c>
      <c r="V876" s="150" t="str">
        <f t="shared" ca="1" si="68"/>
        <v xml:space="preserve"> </v>
      </c>
      <c r="W876" s="62" t="str">
        <f t="shared" ca="1" si="69"/>
        <v xml:space="preserve"> </v>
      </c>
      <c r="X876" s="141" t="str">
        <f ca="1">IF(S876=" "," ",IFERROR(VLOOKUP(U876,$F$23:$N$1023,7)+VLOOKUP(U876,$F$23:$N$1023,9)+IF(AND('депозитный калькулятор'!$G$13="нет",U876&lt;&gt;'депозитный калькулятор'!$D$8),VLOOKUP(U876,$F$23:$N$1023,4),0),0)+IF(U876='депозитный калькулятор'!$D$8,VLOOKUP(U876,$F$23:$N$1023,2)+VLOOKUP(U876,$F$23:$N$1023,4),0))</f>
        <v xml:space="preserve"> </v>
      </c>
      <c r="Y876" s="142" t="str">
        <f ca="1">IF(S876=" "," ",W876/(1+'депозитный калькулятор'!$K$8)^(T876/IF('депозитный калькулятор'!$G$7="30/360",360,365)))</f>
        <v xml:space="preserve"> </v>
      </c>
      <c r="Z876" s="142" t="str">
        <f ca="1">IF(S876=" "," ",X876/(1+'депозитный калькулятор'!$K$8)^(T876/IF('депозитный калькулятор'!$G$7="30/360",360,365)))</f>
        <v xml:space="preserve"> </v>
      </c>
      <c r="AA876" s="151"/>
      <c r="AB876" s="151"/>
      <c r="AC876" s="155"/>
      <c r="AD876" s="155"/>
    </row>
    <row r="877" spans="1:30" s="2" customFormat="1" ht="15.5" x14ac:dyDescent="0.35">
      <c r="A877" s="41" t="str">
        <f>IF(F877=" "," ",IF(OR('депозитный калькулятор'!$G$7="30/365",'депозитный калькулятор'!$G$7="30/360"),IF(AND(MONTH(F877)=2,DAY(F877)=DAY(EOMONTH(F877,0))),30-DAY(EOMONTH(F877,0)),IF(DAY(F877)=31,1," "))," "))</f>
        <v xml:space="preserve"> </v>
      </c>
      <c r="B877" s="130" t="str">
        <f t="shared" si="66"/>
        <v xml:space="preserve"> </v>
      </c>
      <c r="C877" s="130" t="str">
        <f>IF(OR(B877=0,B877=" ")," ",SUM($B$23:B877))</f>
        <v xml:space="preserve"> </v>
      </c>
      <c r="D877" s="62" t="str">
        <f>IF(D876=" "," ",IF(OR(F876='депозитный калькулятор'!$D$8,F876=" ")," ",D876+1))</f>
        <v xml:space="preserve"> </v>
      </c>
      <c r="E877" s="130" t="str">
        <f>IF(OR(F876='депозитный калькулятор'!$D$8,F876=" ")," ",IF(EOMONTH(F876,0)=F876,1,E876+1))</f>
        <v xml:space="preserve"> </v>
      </c>
      <c r="F877" s="64" t="str">
        <f>IF(F876=" "," ",IF(F876='депозитный калькулятор'!$D$8," ",F876+1))</f>
        <v xml:space="preserve"> </v>
      </c>
      <c r="G877" s="145" t="str">
        <f xml:space="preserve"> IF(F877&gt;'депозитный калькулятор'!$D$8," ",IF('депозитный калькулятор'!$G$13="есть",IF('депозитный калькулятор'!$G$14="есть",G876+IF(I876=" ",0,I876)-J877-K877+L877+M877-N877,G876+IF(I876=" ",0,I876)-J877-K877+M877-N877),IF('депозитный калькулятор'!$G$14="есть",G876-J877-K877+L877+M877-N877,G876-J877-K877+M877-N877)))</f>
        <v xml:space="preserve"> </v>
      </c>
      <c r="H877" s="133" t="str">
        <f>IF(F877&gt;'депозитный калькулятор'!$D$8," ",IF(AND(OR('депозитный калькулятор'!$G$7="30/365",'депозитный калькулятор'!$G$7="30/360"),AND(MONTH(F877)=2,EOMONTH(F877,0)=F877)),IF(DAY(F877)=28,3*G877*'депозитный калькулятор'!$G$8,2*G877*'депозитный калькулятор'!$G$8),IF(AND(OR('депозитный калькулятор'!$G$7="30/365",'депозитный калькулятор'!$G$7="30/360"),DAY(F877)=31)," ",IF(AND('депозитный калькулятор'!$G$7="факт/факт",MOD(YEAR(F877),4)=0),G877*'депозитный калькулятор'!$D$11/366,G877*'депозитный калькулятор'!$G$8))))</f>
        <v xml:space="preserve"> </v>
      </c>
      <c r="I877" s="134" t="str">
        <f ca="1">IF(F877=" "," ",IF('депозитный калькулятор'!$G$10="ежедневное",H877,IF(AND('депозитный калькулятор'!$G$10="еженедельное",WEEKDAY(F877,2)=7),SUM(OFFSET(H877,-6,0):H877),IF(AND('депозитный калькулятор'!$G$10="еженедельное",F877='депозитный калькулятор'!$D$8),SUM($H$23:H877)-SUM($I$23:I876),IF(AND('депозитный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недели",WEEKDAY(F877,2)=7),MIN(OFFSET(H877,-6,0):H877)*(COUNTIF(OFFSET(H877,-6,0):H877,"&gt;0")+SUMIF(OFFSET(A877,-WEEKDAY(F877,2),0):A877,"=2",OFFSET(A877,-WEEKDAY(F877,2),0):A877)),IF(AND('депозитный калькулятор'!$G$10="еженедельное, на минимальную сумму зафиксированную в течение недели",F877='депозитный калькулятор'!$D$8,WEEKDAY(F877,2)&lt;&gt;7),MIN(OFFSET(H877,-WEEKDAY(F877,2),0):H877)*(COUNTIF(OFFSET(H877,-WEEKDAY(F877,2)+1,0):H877,"&gt;0")+SUM(OFFSET(A877,-WEEKDAY(F877,2),0):A877)),IF(AND('депозитный калькулятор'!$G$10="ежемесячное (в конце месяца)",F877='депозитный калькулятор'!$D$8,EOMONTH(F877,0)&lt;&gt;F877),IF('депозитный калькулятор'!$F$1=1,$H$24,SUM($H$23:H877)-SUM($I$23:I876)),IF(AND('депозитный калькулятор'!$G$10="ежемесячное (в конце месяца)",EOMONTH(F877,0)=F877),SUM($H$23:H877)-SUM($I$23:I876),IF(AND('депозитный калькулятор'!$G$10="ежемесячное (по дням открытия вклада)",F877='депозитный калькулятор'!$D$8,DAY('депозитный калькулятор'!$D$7)&lt;&gt;DAY(F877)),IF('депозитный калькулятор'!$F$1=1,$H$24,SUM($H$23:H877)-SUM($I$23:I876)),IF(AND('депозитный калькулятор'!$G$10="ежемесячное (по дням открытия вклада)",DAY('депозитный калькулятор'!$D$7)=DAY(F877)),SUM($H$23:H877)-SUM($I$23:I876),IF(AND('депозитный калькулятор'!$G$10="ежемесячное, на минимальную сумму зафиксированную в течение месяца",F877='депозитный калькулятор'!$D$8,EOMONTH(F877,0)&lt;&gt;F877),IF('депозитный калькулятор'!$F$1=1,$H$24,IF(AND(OR('депозитный калькулятор'!$G$7="30/365",'депозитный калькулятор'!$G$7="30/360"),DAY(F877)=31),0,MIN(OFFSET(H877,-E877+1,0):H877)*(E877+SUMIF(OFFSET(A877,-E877+1,0):A877,"=2",OFFSET(A877,-E877+1,0):A877)))),IF(AND('депозитный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калькулятор'!$G$7="30/360"),DAY(EOMONTH(F877,0))=31),EOMONTH(F877,0)-1=F877,EOMONTH(F877,0)=F877)),IF(IF(AND(OR('депозитный калькулятор'!$G$7="30/365",'депозитный калькулятор'!$G$7="30/360"),DAY(EOMONTH($F$23,0))=31),F877=EOMONTH($F$23,0)-1,F877=EOMONTH($F$23,0)),MIN(OFFSET(H877,-(DAY(F877)-DAY($F$23)),0):H877)*E877,MIN(OFFSET(H877,-(DAY(F877)-1),0):H877)*IF(AND(OR('депозитный калькулятор'!$G$7="30/365",'депозитный калькулятор'!$G$7="30/360"),DAY(F877)&lt;30),30,DAY(F877))),IF(AND('депозитный калькулятор'!$G$10="ежемесячное, на средний остаток в течение месяца, при условии что остаток больше чем ограничение",F877='депозитный калькулятор'!$D$8,EOMONTH(F877,0)&lt;&gt;F877),IF('депозитный калькулятор'!$F$1=1,$H$24,SUM(OFFSET(Q877,-E877+1,0):Q877)),IF(AND('депозитный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калькулятор'!$G$7="30/360"),DAY(EOMONTH(F877,0))=31),EOMONTH(F877,0)-1=F877,EOMONTH(F877,0)=F877)),IF(IF(AND(OR('депозитный калькулятор'!$G$7="30/365",'депозитный калькулятор'!$G$7="30/360"),DAY(EOMONTH($F$24,0))=31),F877=EOMONTH($F$24,0)-1,F877=EOMONTH($F$24,0)),SUM(OFFSET(Q877,-E877+1,0):Q877),SUM(OFFSET(Q877,-E877+1,0):Q877)),IF('депозитный калькулятор'!$G$10="ежеквартальное",IF(F877&gt;'депозитный калькулятор'!$D$8," ",IF(AND(EOMONTH(F877,0)=F877,OR(MONTH(F877)=3,MONTH(F877)=6,MONTH(F877)=9,MONTH(F877)=12)),IF(EDATE(F877,-3)&lt;'депозитный калькулятор'!$D$7,SUM($H$23:H877),IF(MOD(YEAR(F877),4)=0,IF(AND(EOMONTH(F877,0)=F877,OR(MONTH(F877)=3,MONTH(F877)=6)),SUM(OFFSET(H877,-90,0):H877),IF(AND(EOMONTH(F877,0)=F877,OR(MONTH(F877)=9,MONTH(F877)=12)),SUM(OFFSET(H877,-91,0):H877))),IF(AND(EOMONTH(F877,0)=F877,MONTH(F877)=3),SUM(OFFSET(H877,-89,0):H877),IF(AND(EOMONTH(F877,0)=F877,MONTH(F877)=6),SUM(OFFSET(H877,-90,0):H877),IF(AND(EOMONTH(F877,0)=F877,OR(MONTH(F877)=9,MONTH(F877)=12)),SUM(OFFSET(H877,-91,0):H877)))))),IF(F877='депозитный калькулятор'!$D$8,SUM($H$23:H877)-SUM($I$23:I876),0))),IF('депозитный калькулятор'!$G$10="ежегодное",IF(F877&gt;'депозитный калькулятор'!$D$8," ",IF(F877='депозитный калькулятор'!$D$8,SUM($H$23:H877)-SUM($I$23:I876),IF(AND(EOMONTH(F877,0)=F877,MONTH(F877)=12),IF(MOD(YEAR(F876),4)=0,IF(F877-'депозитный калькулятор'!$D$7&lt;366,SUM($H$23:H877),SUM(OFFSET(H877,-365,0):H877)),IF(F877-'депозитный калькулятор'!$D$7&lt;365,SUM($H$23:H877),SUM(OFFSET(H877,-364,0):H877))),0))),IF(AND('депозитный калькулятор'!$G$10="в конце срока",'депозитный калькулятор'!$D$8=F877),SUM($H$23:H877),0))))))))))))))))))</f>
        <v xml:space="preserve"> </v>
      </c>
      <c r="J877" s="59" t="str">
        <f>IF(F877&gt;'депозитный калькулятор'!$D$8," ",IF('депозитный калькулятор'!$G$16="нет",0,IF(AND('депозитный калькулятор'!$G$17="разовая (в конце срока)",F877='депозитный калькулятор'!$D$8),'депозитный калькулятор'!$G$18,IF(AND('депозитный калькулятор'!$G$17="ежемесячная",EOMONTH(F876,0)=F876),'депозитный калькулятор'!$G$18,IF(AND('депозитный калькулятор'!$G$17="ежегодная",DAY(F876)=31,MONTH(F876)=12),'депозитный калькулятор'!$G$18,IF(AND('депозитный калькулятор'!$G$17="ежемесячная в зависимости от остатка",EOMONTH(F876,0)=F876,P876&gt;0),'депозитный калькулятор'!$G$18,IF(AND('депозитный калькулятор'!$G$17="ежегодная в зависимости от остатка",DAY(F876)=31,MONTH(F876)=12,P876&gt;0),'депозитный калькулятор'!$G$18,0)))))))</f>
        <v xml:space="preserve"> </v>
      </c>
      <c r="K877" s="135" t="str">
        <f>IF($F877=" "," ",IFERROR(VLOOKUP($F877,'депозитный калькулятор'!$B$26:$F$70,2,0),0))</f>
        <v xml:space="preserve"> </v>
      </c>
      <c r="L877" s="135" t="str">
        <f>IF($F877=" "," ",IFERROR(VLOOKUP($F877,'депозитный калькулятор'!$B$26:$F$70,3,0),0))</f>
        <v xml:space="preserve"> </v>
      </c>
      <c r="M877" s="135" t="str">
        <f>IF($F877=" "," ",IFERROR(VLOOKUP($F877,'депозитный калькулятор'!$B$26:$F$70,4,0),0))</f>
        <v xml:space="preserve"> </v>
      </c>
      <c r="N877" s="135" t="str">
        <f>IF($F877=" "," ",IFERROR(VLOOKUP($F877,'депозитный калькулятор'!$B$26:$F$70,5,0),0))</f>
        <v xml:space="preserve"> </v>
      </c>
      <c r="O877" s="146" t="str">
        <f>IF(F877&gt;'депозитный калькулятор'!$D$8," ",IF(F877='депозитный калькулятор'!$D$8,IF(AND($F$24='депозитный калькулятор'!$D$8,'депозитный калькулятор'!$G$13="нет"),-G877-IF(I877=" ",0,I877)-IF(AND(OR('депозитный калькулятор'!$G$7="30/365",'депозитный калькулятор'!$G$7="30/360"),'депозитный калькулятор'!$G$10="в начале срока"),I876,0)-L877+M877-N877,-G877-IF(I877=" ",0,I877)-L877+M877-N877),IF('депозитный калькулятор'!$G$13="есть",M877-N877+IF('депозитный калькулятор'!$G$14="есть",0,-L877),-IF(I877=" ",0,I877)-IF(AND(OR('депозитный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срока"),I876,0)+M877-N877+IF('депозитный калькулятор'!$G$14="есть",0,-L877))))</f>
        <v xml:space="preserve"> </v>
      </c>
      <c r="P877" s="147" t="str">
        <f>IF(F877&gt;'депозитный калькулятор'!$D$8," ",IF(EOMONTH(F876,0)=F876,0,IF(G877&gt;='депозитный калькулятор'!$G$19,P876,P876+1)))</f>
        <v xml:space="preserve"> </v>
      </c>
      <c r="Q877" s="138" t="str">
        <f>IF(F877=" "," ",IF(AND(OR('депозитный калькулятор'!$G$7="30/365",'депозитный калькулятор'!$G$7="30/360"),AND(MONTH(F877)=2,EOMONTH(F877,0)=F877)),IF(DAY(F877)=28,3,2),1)*IF(G877&gt;='депозитный калькулятор'!$G$11,IF(AND('депозитный калькулятор'!$G$7="факт/факт",MOD(YEAR(F877),4)=0),G877*'депозитный калькулятор'!$D$11/366,G877*'депозитный калькулятор'!$G$8),0))</f>
        <v xml:space="preserve"> </v>
      </c>
      <c r="S877" s="62" t="str">
        <f t="shared" ca="1" si="67"/>
        <v xml:space="preserve"> </v>
      </c>
      <c r="T877" s="149" t="str">
        <f ca="1">IF(S877=" "," ",IF('депозитный калькулятор'!$G$7="30/360",DAYS360(U876,IF(DAY(U877)=31,U877-1,U877))+IF(AND(MONTH(U877)=2,U877=EOMONTH(U877,0)),30-DAY(EOMONTH(U877,0)))+T876,VLOOKUP(S877,$C$22:$F$1023,2,0)))</f>
        <v xml:space="preserve"> </v>
      </c>
      <c r="U877" s="64" t="str">
        <f t="shared" ca="1" si="65"/>
        <v xml:space="preserve"> </v>
      </c>
      <c r="V877" s="150" t="str">
        <f t="shared" ca="1" si="68"/>
        <v xml:space="preserve"> </v>
      </c>
      <c r="W877" s="62" t="str">
        <f t="shared" ca="1" si="69"/>
        <v xml:space="preserve"> </v>
      </c>
      <c r="X877" s="141" t="str">
        <f ca="1">IF(S877=" "," ",IFERROR(VLOOKUP(U877,$F$23:$N$1023,7)+VLOOKUP(U877,$F$23:$N$1023,9)+IF(AND('депозитный калькулятор'!$G$13="нет",U877&lt;&gt;'депозитный калькулятор'!$D$8),VLOOKUP(U877,$F$23:$N$1023,4),0),0)+IF(U877='депозитный калькулятор'!$D$8,VLOOKUP(U877,$F$23:$N$1023,2)+VLOOKUP(U877,$F$23:$N$1023,4),0))</f>
        <v xml:space="preserve"> </v>
      </c>
      <c r="Y877" s="142" t="str">
        <f ca="1">IF(S877=" "," ",W877/(1+'депозитный калькулятор'!$K$8)^(T877/IF('депозитный калькулятор'!$G$7="30/360",360,365)))</f>
        <v xml:space="preserve"> </v>
      </c>
      <c r="Z877" s="142" t="str">
        <f ca="1">IF(S877=" "," ",X877/(1+'депозитный калькулятор'!$K$8)^(T877/IF('депозитный калькулятор'!$G$7="30/360",360,365)))</f>
        <v xml:space="preserve"> </v>
      </c>
      <c r="AA877" s="151"/>
      <c r="AB877" s="151"/>
      <c r="AC877" s="155"/>
      <c r="AD877" s="155"/>
    </row>
    <row r="878" spans="1:30" s="2" customFormat="1" ht="15.5" x14ac:dyDescent="0.35">
      <c r="A878" s="41" t="str">
        <f>IF(F878=" "," ",IF(OR('депозитный калькулятор'!$G$7="30/365",'депозитный калькулятор'!$G$7="30/360"),IF(AND(MONTH(F878)=2,DAY(F878)=DAY(EOMONTH(F878,0))),30-DAY(EOMONTH(F878,0)),IF(DAY(F878)=31,1," "))," "))</f>
        <v xml:space="preserve"> </v>
      </c>
      <c r="B878" s="130" t="str">
        <f t="shared" si="66"/>
        <v xml:space="preserve"> </v>
      </c>
      <c r="C878" s="130" t="str">
        <f>IF(OR(B878=0,B878=" ")," ",SUM($B$23:B878))</f>
        <v xml:space="preserve"> </v>
      </c>
      <c r="D878" s="62" t="str">
        <f>IF(D877=" "," ",IF(OR(F877='депозитный калькулятор'!$D$8,F877=" ")," ",D877+1))</f>
        <v xml:space="preserve"> </v>
      </c>
      <c r="E878" s="130" t="str">
        <f>IF(OR(F877='депозитный калькулятор'!$D$8,F877=" ")," ",IF(EOMONTH(F877,0)=F877,1,E877+1))</f>
        <v xml:space="preserve"> </v>
      </c>
      <c r="F878" s="64" t="str">
        <f>IF(F877=" "," ",IF(F877='депозитный калькулятор'!$D$8," ",F877+1))</f>
        <v xml:space="preserve"> </v>
      </c>
      <c r="G878" s="145" t="str">
        <f xml:space="preserve"> IF(F878&gt;'депозитный калькулятор'!$D$8," ",IF('депозитный калькулятор'!$G$13="есть",IF('депозитный калькулятор'!$G$14="есть",G877+IF(I877=" ",0,I877)-J878-K878+L878+M878-N878,G877+IF(I877=" ",0,I877)-J878-K878+M878-N878),IF('депозитный калькулятор'!$G$14="есть",G877-J878-K878+L878+M878-N878,G877-J878-K878+M878-N878)))</f>
        <v xml:space="preserve"> </v>
      </c>
      <c r="H878" s="133" t="str">
        <f>IF(F878&gt;'депозитный калькулятор'!$D$8," ",IF(AND(OR('депозитный калькулятор'!$G$7="30/365",'депозитный калькулятор'!$G$7="30/360"),AND(MONTH(F878)=2,EOMONTH(F878,0)=F878)),IF(DAY(F878)=28,3*G878*'депозитный калькулятор'!$G$8,2*G878*'депозитный калькулятор'!$G$8),IF(AND(OR('депозитный калькулятор'!$G$7="30/365",'депозитный калькулятор'!$G$7="30/360"),DAY(F878)=31)," ",IF(AND('депозитный калькулятор'!$G$7="факт/факт",MOD(YEAR(F878),4)=0),G878*'депозитный калькулятор'!$D$11/366,G878*'депозитный калькулятор'!$G$8))))</f>
        <v xml:space="preserve"> </v>
      </c>
      <c r="I878" s="134" t="str">
        <f ca="1">IF(F878=" "," ",IF('депозитный калькулятор'!$G$10="ежедневное",H878,IF(AND('депозитный калькулятор'!$G$10="еженедельное",WEEKDAY(F878,2)=7),SUM(OFFSET(H878,-6,0):H878),IF(AND('депозитный калькулятор'!$G$10="еженедельное",F878='депозитный калькулятор'!$D$8),SUM($H$23:H878)-SUM($I$23:I877),IF(AND('депозитный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недели",WEEKDAY(F878,2)=7),MIN(OFFSET(H878,-6,0):H878)*(COUNTIF(OFFSET(H878,-6,0):H878,"&gt;0")+SUMIF(OFFSET(A878,-WEEKDAY(F878,2),0):A878,"=2",OFFSET(A878,-WEEKDAY(F878,2),0):A878)),IF(AND('депозитный калькулятор'!$G$10="еженедельное, на минимальную сумму зафиксированную в течение недели",F878='депозитный калькулятор'!$D$8,WEEKDAY(F878,2)&lt;&gt;7),MIN(OFFSET(H878,-WEEKDAY(F878,2),0):H878)*(COUNTIF(OFFSET(H878,-WEEKDAY(F878,2)+1,0):H878,"&gt;0")+SUM(OFFSET(A878,-WEEKDAY(F878,2),0):A878)),IF(AND('депозитный калькулятор'!$G$10="ежемесячное (в конце месяца)",F878='депозитный калькулятор'!$D$8,EOMONTH(F878,0)&lt;&gt;F878),IF('депозитный калькулятор'!$F$1=1,$H$24,SUM($H$23:H878)-SUM($I$23:I877)),IF(AND('депозитный калькулятор'!$G$10="ежемесячное (в конце месяца)",EOMONTH(F878,0)=F878),SUM($H$23:H878)-SUM($I$23:I877),IF(AND('депозитный калькулятор'!$G$10="ежемесячное (по дням открытия вклада)",F878='депозитный калькулятор'!$D$8,DAY('депозитный калькулятор'!$D$7)&lt;&gt;DAY(F878)),IF('депозитный калькулятор'!$F$1=1,$H$24,SUM($H$23:H878)-SUM($I$23:I877)),IF(AND('депозитный калькулятор'!$G$10="ежемесячное (по дням открытия вклада)",DAY('депозитный калькулятор'!$D$7)=DAY(F878)),SUM($H$23:H878)-SUM($I$23:I877),IF(AND('депозитный калькулятор'!$G$10="ежемесячное, на минимальную сумму зафиксированную в течение месяца",F878='депозитный калькулятор'!$D$8,EOMONTH(F878,0)&lt;&gt;F878),IF('депозитный калькулятор'!$F$1=1,$H$24,IF(AND(OR('депозитный калькулятор'!$G$7="30/365",'депозитный калькулятор'!$G$7="30/360"),DAY(F878)=31),0,MIN(OFFSET(H878,-E878+1,0):H878)*(E878+SUMIF(OFFSET(A878,-E878+1,0):A878,"=2",OFFSET(A878,-E878+1,0):A878)))),IF(AND('депозитный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калькулятор'!$G$7="30/360"),DAY(EOMONTH(F878,0))=31),EOMONTH(F878,0)-1=F878,EOMONTH(F878,0)=F878)),IF(IF(AND(OR('депозитный калькулятор'!$G$7="30/365",'депозитный калькулятор'!$G$7="30/360"),DAY(EOMONTH($F$23,0))=31),F878=EOMONTH($F$23,0)-1,F878=EOMONTH($F$23,0)),MIN(OFFSET(H878,-(DAY(F878)-DAY($F$23)),0):H878)*E878,MIN(OFFSET(H878,-(DAY(F878)-1),0):H878)*IF(AND(OR('депозитный калькулятор'!$G$7="30/365",'депозитный калькулятор'!$G$7="30/360"),DAY(F878)&lt;30),30,DAY(F878))),IF(AND('депозитный калькулятор'!$G$10="ежемесячное, на средний остаток в течение месяца, при условии что остаток больше чем ограничение",F878='депозитный калькулятор'!$D$8,EOMONTH(F878,0)&lt;&gt;F878),IF('депозитный калькулятор'!$F$1=1,$H$24,SUM(OFFSET(Q878,-E878+1,0):Q878)),IF(AND('депозитный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калькулятор'!$G$7="30/360"),DAY(EOMONTH(F878,0))=31),EOMONTH(F878,0)-1=F878,EOMONTH(F878,0)=F878)),IF(IF(AND(OR('депозитный калькулятор'!$G$7="30/365",'депозитный калькулятор'!$G$7="30/360"),DAY(EOMONTH($F$24,0))=31),F878=EOMONTH($F$24,0)-1,F878=EOMONTH($F$24,0)),SUM(OFFSET(Q878,-E878+1,0):Q878),SUM(OFFSET(Q878,-E878+1,0):Q878)),IF('депозитный калькулятор'!$G$10="ежеквартальное",IF(F878&gt;'депозитный калькулятор'!$D$8," ",IF(AND(EOMONTH(F878,0)=F878,OR(MONTH(F878)=3,MONTH(F878)=6,MONTH(F878)=9,MONTH(F878)=12)),IF(EDATE(F878,-3)&lt;'депозитный калькулятор'!$D$7,SUM($H$23:H878),IF(MOD(YEAR(F878),4)=0,IF(AND(EOMONTH(F878,0)=F878,OR(MONTH(F878)=3,MONTH(F878)=6)),SUM(OFFSET(H878,-90,0):H878),IF(AND(EOMONTH(F878,0)=F878,OR(MONTH(F878)=9,MONTH(F878)=12)),SUM(OFFSET(H878,-91,0):H878))),IF(AND(EOMONTH(F878,0)=F878,MONTH(F878)=3),SUM(OFFSET(H878,-89,0):H878),IF(AND(EOMONTH(F878,0)=F878,MONTH(F878)=6),SUM(OFFSET(H878,-90,0):H878),IF(AND(EOMONTH(F878,0)=F878,OR(MONTH(F878)=9,MONTH(F878)=12)),SUM(OFFSET(H878,-91,0):H878)))))),IF(F878='депозитный калькулятор'!$D$8,SUM($H$23:H878)-SUM($I$23:I877),0))),IF('депозитный калькулятор'!$G$10="ежегодное",IF(F878&gt;'депозитный калькулятор'!$D$8," ",IF(F878='депозитный калькулятор'!$D$8,SUM($H$23:H878)-SUM($I$23:I877),IF(AND(EOMONTH(F878,0)=F878,MONTH(F878)=12),IF(MOD(YEAR(F877),4)=0,IF(F878-'депозитный калькулятор'!$D$7&lt;366,SUM($H$23:H878),SUM(OFFSET(H878,-365,0):H878)),IF(F878-'депозитный калькулятор'!$D$7&lt;365,SUM($H$23:H878),SUM(OFFSET(H878,-364,0):H878))),0))),IF(AND('депозитный калькулятор'!$G$10="в конце срока",'депозитный калькулятор'!$D$8=F878),SUM($H$23:H878),0))))))))))))))))))</f>
        <v xml:space="preserve"> </v>
      </c>
      <c r="J878" s="59" t="str">
        <f>IF(F878&gt;'депозитный калькулятор'!$D$8," ",IF('депозитный калькулятор'!$G$16="нет",0,IF(AND('депозитный калькулятор'!$G$17="разовая (в конце срока)",F878='депозитный калькулятор'!$D$8),'депозитный калькулятор'!$G$18,IF(AND('депозитный калькулятор'!$G$17="ежемесячная",EOMONTH(F877,0)=F877),'депозитный калькулятор'!$G$18,IF(AND('депозитный калькулятор'!$G$17="ежегодная",DAY(F877)=31,MONTH(F877)=12),'депозитный калькулятор'!$G$18,IF(AND('депозитный калькулятор'!$G$17="ежемесячная в зависимости от остатка",EOMONTH(F877,0)=F877,P877&gt;0),'депозитный калькулятор'!$G$18,IF(AND('депозитный калькулятор'!$G$17="ежегодная в зависимости от остатка",DAY(F877)=31,MONTH(F877)=12,P877&gt;0),'депозитный калькулятор'!$G$18,0)))))))</f>
        <v xml:space="preserve"> </v>
      </c>
      <c r="K878" s="135" t="str">
        <f>IF($F878=" "," ",IFERROR(VLOOKUP($F878,'депозитный калькулятор'!$B$26:$F$70,2,0),0))</f>
        <v xml:space="preserve"> </v>
      </c>
      <c r="L878" s="135" t="str">
        <f>IF($F878=" "," ",IFERROR(VLOOKUP($F878,'депозитный калькулятор'!$B$26:$F$70,3,0),0))</f>
        <v xml:space="preserve"> </v>
      </c>
      <c r="M878" s="135" t="str">
        <f>IF($F878=" "," ",IFERROR(VLOOKUP($F878,'депозитный калькулятор'!$B$26:$F$70,4,0),0))</f>
        <v xml:space="preserve"> </v>
      </c>
      <c r="N878" s="135" t="str">
        <f>IF($F878=" "," ",IFERROR(VLOOKUP($F878,'депозитный калькулятор'!$B$26:$F$70,5,0),0))</f>
        <v xml:space="preserve"> </v>
      </c>
      <c r="O878" s="146" t="str">
        <f>IF(F878&gt;'депозитный калькулятор'!$D$8," ",IF(F878='депозитный калькулятор'!$D$8,IF(AND($F$24='депозитный калькулятор'!$D$8,'депозитный калькулятор'!$G$13="нет"),-G878-IF(I878=" ",0,I878)-IF(AND(OR('депозитный калькулятор'!$G$7="30/365",'депозитный калькулятор'!$G$7="30/360"),'депозитный калькулятор'!$G$10="в начале срока"),I877,0)-L878+M878-N878,-G878-IF(I878=" ",0,I878)-L878+M878-N878),IF('депозитный калькулятор'!$G$13="есть",M878-N878+IF('депозитный калькулятор'!$G$14="есть",0,-L878),-IF(I878=" ",0,I878)-IF(AND(OR('депозитный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срока"),I877,0)+M878-N878+IF('депозитный калькулятор'!$G$14="есть",0,-L878))))</f>
        <v xml:space="preserve"> </v>
      </c>
      <c r="P878" s="147" t="str">
        <f>IF(F878&gt;'депозитный калькулятор'!$D$8," ",IF(EOMONTH(F877,0)=F877,0,IF(G878&gt;='депозитный калькулятор'!$G$19,P877,P877+1)))</f>
        <v xml:space="preserve"> </v>
      </c>
      <c r="Q878" s="138" t="str">
        <f>IF(F878=" "," ",IF(AND(OR('депозитный калькулятор'!$G$7="30/365",'депозитный калькулятор'!$G$7="30/360"),AND(MONTH(F878)=2,EOMONTH(F878,0)=F878)),IF(DAY(F878)=28,3,2),1)*IF(G878&gt;='депозитный калькулятор'!$G$11,IF(AND('депозитный калькулятор'!$G$7="факт/факт",MOD(YEAR(F878),4)=0),G878*'депозитный калькулятор'!$D$11/366,G878*'депозитный калькулятор'!$G$8),0))</f>
        <v xml:space="preserve"> </v>
      </c>
      <c r="S878" s="62" t="str">
        <f t="shared" ca="1" si="67"/>
        <v xml:space="preserve"> </v>
      </c>
      <c r="T878" s="149" t="str">
        <f ca="1">IF(S878=" "," ",IF('депозитный калькулятор'!$G$7="30/360",DAYS360(U877,IF(DAY(U878)=31,U878-1,U878))+IF(AND(MONTH(U878)=2,U878=EOMONTH(U878,0)),30-DAY(EOMONTH(U878,0)))+T877,VLOOKUP(S878,$C$22:$F$1023,2,0)))</f>
        <v xml:space="preserve"> </v>
      </c>
      <c r="U878" s="64" t="str">
        <f t="shared" ca="1" si="65"/>
        <v xml:space="preserve"> </v>
      </c>
      <c r="V878" s="150" t="str">
        <f t="shared" ca="1" si="68"/>
        <v xml:space="preserve"> </v>
      </c>
      <c r="W878" s="62" t="str">
        <f t="shared" ca="1" si="69"/>
        <v xml:space="preserve"> </v>
      </c>
      <c r="X878" s="141" t="str">
        <f ca="1">IF(S878=" "," ",IFERROR(VLOOKUP(U878,$F$23:$N$1023,7)+VLOOKUP(U878,$F$23:$N$1023,9)+IF(AND('депозитный калькулятор'!$G$13="нет",U878&lt;&gt;'депозитный калькулятор'!$D$8),VLOOKUP(U878,$F$23:$N$1023,4),0),0)+IF(U878='депозитный калькулятор'!$D$8,VLOOKUP(U878,$F$23:$N$1023,2)+VLOOKUP(U878,$F$23:$N$1023,4),0))</f>
        <v xml:space="preserve"> </v>
      </c>
      <c r="Y878" s="142" t="str">
        <f ca="1">IF(S878=" "," ",W878/(1+'депозитный калькулятор'!$K$8)^(T878/IF('депозитный калькулятор'!$G$7="30/360",360,365)))</f>
        <v xml:space="preserve"> </v>
      </c>
      <c r="Z878" s="142" t="str">
        <f ca="1">IF(S878=" "," ",X878/(1+'депозитный калькулятор'!$K$8)^(T878/IF('депозитный калькулятор'!$G$7="30/360",360,365)))</f>
        <v xml:space="preserve"> </v>
      </c>
      <c r="AA878" s="151"/>
      <c r="AB878" s="151"/>
      <c r="AC878" s="155"/>
      <c r="AD878" s="155"/>
    </row>
    <row r="879" spans="1:30" s="2" customFormat="1" ht="15.5" x14ac:dyDescent="0.35">
      <c r="A879" s="41" t="str">
        <f>IF(F879=" "," ",IF(OR('депозитный калькулятор'!$G$7="30/365",'депозитный калькулятор'!$G$7="30/360"),IF(AND(MONTH(F879)=2,DAY(F879)=DAY(EOMONTH(F879,0))),30-DAY(EOMONTH(F879,0)),IF(DAY(F879)=31,1," "))," "))</f>
        <v xml:space="preserve"> </v>
      </c>
      <c r="B879" s="130" t="str">
        <f t="shared" si="66"/>
        <v xml:space="preserve"> </v>
      </c>
      <c r="C879" s="130" t="str">
        <f>IF(OR(B879=0,B879=" ")," ",SUM($B$23:B879))</f>
        <v xml:space="preserve"> </v>
      </c>
      <c r="D879" s="62" t="str">
        <f>IF(D878=" "," ",IF(OR(F878='депозитный калькулятор'!$D$8,F878=" ")," ",D878+1))</f>
        <v xml:space="preserve"> </v>
      </c>
      <c r="E879" s="130" t="str">
        <f>IF(OR(F878='депозитный калькулятор'!$D$8,F878=" ")," ",IF(EOMONTH(F878,0)=F878,1,E878+1))</f>
        <v xml:space="preserve"> </v>
      </c>
      <c r="F879" s="64" t="str">
        <f>IF(F878=" "," ",IF(F878='депозитный калькулятор'!$D$8," ",F878+1))</f>
        <v xml:space="preserve"> </v>
      </c>
      <c r="G879" s="145" t="str">
        <f xml:space="preserve"> IF(F879&gt;'депозитный калькулятор'!$D$8," ",IF('депозитный калькулятор'!$G$13="есть",IF('депозитный калькулятор'!$G$14="есть",G878+IF(I878=" ",0,I878)-J879-K879+L879+M879-N879,G878+IF(I878=" ",0,I878)-J879-K879+M879-N879),IF('депозитный калькулятор'!$G$14="есть",G878-J879-K879+L879+M879-N879,G878-J879-K879+M879-N879)))</f>
        <v xml:space="preserve"> </v>
      </c>
      <c r="H879" s="133" t="str">
        <f>IF(F879&gt;'депозитный калькулятор'!$D$8," ",IF(AND(OR('депозитный калькулятор'!$G$7="30/365",'депозитный калькулятор'!$G$7="30/360"),AND(MONTH(F879)=2,EOMONTH(F879,0)=F879)),IF(DAY(F879)=28,3*G879*'депозитный калькулятор'!$G$8,2*G879*'депозитный калькулятор'!$G$8),IF(AND(OR('депозитный калькулятор'!$G$7="30/365",'депозитный калькулятор'!$G$7="30/360"),DAY(F879)=31)," ",IF(AND('депозитный калькулятор'!$G$7="факт/факт",MOD(YEAR(F879),4)=0),G879*'депозитный калькулятор'!$D$11/366,G879*'депозитный калькулятор'!$G$8))))</f>
        <v xml:space="preserve"> </v>
      </c>
      <c r="I879" s="134" t="str">
        <f ca="1">IF(F879=" "," ",IF('депозитный калькулятор'!$G$10="ежедневное",H879,IF(AND('депозитный калькулятор'!$G$10="еженедельное",WEEKDAY(F879,2)=7),SUM(OFFSET(H879,-6,0):H879),IF(AND('депозитный калькулятор'!$G$10="еженедельное",F879='депозитный калькулятор'!$D$8),SUM($H$23:H879)-SUM($I$23:I878),IF(AND('депозитный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недели",WEEKDAY(F879,2)=7),MIN(OFFSET(H879,-6,0):H879)*(COUNTIF(OFFSET(H879,-6,0):H879,"&gt;0")+SUMIF(OFFSET(A879,-WEEKDAY(F879,2),0):A879,"=2",OFFSET(A879,-WEEKDAY(F879,2),0):A879)),IF(AND('депозитный калькулятор'!$G$10="еженедельное, на минимальную сумму зафиксированную в течение недели",F879='депозитный калькулятор'!$D$8,WEEKDAY(F879,2)&lt;&gt;7),MIN(OFFSET(H879,-WEEKDAY(F879,2),0):H879)*(COUNTIF(OFFSET(H879,-WEEKDAY(F879,2)+1,0):H879,"&gt;0")+SUM(OFFSET(A879,-WEEKDAY(F879,2),0):A879)),IF(AND('депозитный калькулятор'!$G$10="ежемесячное (в конце месяца)",F879='депозитный калькулятор'!$D$8,EOMONTH(F879,0)&lt;&gt;F879),IF('депозитный калькулятор'!$F$1=1,$H$24,SUM($H$23:H879)-SUM($I$23:I878)),IF(AND('депозитный калькулятор'!$G$10="ежемесячное (в конце месяца)",EOMONTH(F879,0)=F879),SUM($H$23:H879)-SUM($I$23:I878),IF(AND('депозитный калькулятор'!$G$10="ежемесячное (по дням открытия вклада)",F879='депозитный калькулятор'!$D$8,DAY('депозитный калькулятор'!$D$7)&lt;&gt;DAY(F879)),IF('депозитный калькулятор'!$F$1=1,$H$24,SUM($H$23:H879)-SUM($I$23:I878)),IF(AND('депозитный калькулятор'!$G$10="ежемесячное (по дням открытия вклада)",DAY('депозитный калькулятор'!$D$7)=DAY(F879)),SUM($H$23:H879)-SUM($I$23:I878),IF(AND('депозитный калькулятор'!$G$10="ежемесячное, на минимальную сумму зафиксированную в течение месяца",F879='депозитный калькулятор'!$D$8,EOMONTH(F879,0)&lt;&gt;F879),IF('депозитный калькулятор'!$F$1=1,$H$24,IF(AND(OR('депозитный калькулятор'!$G$7="30/365",'депозитный калькулятор'!$G$7="30/360"),DAY(F879)=31),0,MIN(OFFSET(H879,-E879+1,0):H879)*(E879+SUMIF(OFFSET(A879,-E879+1,0):A879,"=2",OFFSET(A879,-E879+1,0):A879)))),IF(AND('депозитный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калькулятор'!$G$7="30/360"),DAY(EOMONTH(F879,0))=31),EOMONTH(F879,0)-1=F879,EOMONTH(F879,0)=F879)),IF(IF(AND(OR('депозитный калькулятор'!$G$7="30/365",'депозитный калькулятор'!$G$7="30/360"),DAY(EOMONTH($F$23,0))=31),F879=EOMONTH($F$23,0)-1,F879=EOMONTH($F$23,0)),MIN(OFFSET(H879,-(DAY(F879)-DAY($F$23)),0):H879)*E879,MIN(OFFSET(H879,-(DAY(F879)-1),0):H879)*IF(AND(OR('депозитный калькулятор'!$G$7="30/365",'депозитный калькулятор'!$G$7="30/360"),DAY(F879)&lt;30),30,DAY(F879))),IF(AND('депозитный калькулятор'!$G$10="ежемесячное, на средний остаток в течение месяца, при условии что остаток больше чем ограничение",F879='депозитный калькулятор'!$D$8,EOMONTH(F879,0)&lt;&gt;F879),IF('депозитный калькулятор'!$F$1=1,$H$24,SUM(OFFSET(Q879,-E879+1,0):Q879)),IF(AND('депозитный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калькулятор'!$G$7="30/360"),DAY(EOMONTH(F879,0))=31),EOMONTH(F879,0)-1=F879,EOMONTH(F879,0)=F879)),IF(IF(AND(OR('депозитный калькулятор'!$G$7="30/365",'депозитный калькулятор'!$G$7="30/360"),DAY(EOMONTH($F$24,0))=31),F879=EOMONTH($F$24,0)-1,F879=EOMONTH($F$24,0)),SUM(OFFSET(Q879,-E879+1,0):Q879),SUM(OFFSET(Q879,-E879+1,0):Q879)),IF('депозитный калькулятор'!$G$10="ежеквартальное",IF(F879&gt;'депозитный калькулятор'!$D$8," ",IF(AND(EOMONTH(F879,0)=F879,OR(MONTH(F879)=3,MONTH(F879)=6,MONTH(F879)=9,MONTH(F879)=12)),IF(EDATE(F879,-3)&lt;'депозитный калькулятор'!$D$7,SUM($H$23:H879),IF(MOD(YEAR(F879),4)=0,IF(AND(EOMONTH(F879,0)=F879,OR(MONTH(F879)=3,MONTH(F879)=6)),SUM(OFFSET(H879,-90,0):H879),IF(AND(EOMONTH(F879,0)=F879,OR(MONTH(F879)=9,MONTH(F879)=12)),SUM(OFFSET(H879,-91,0):H879))),IF(AND(EOMONTH(F879,0)=F879,MONTH(F879)=3),SUM(OFFSET(H879,-89,0):H879),IF(AND(EOMONTH(F879,0)=F879,MONTH(F879)=6),SUM(OFFSET(H879,-90,0):H879),IF(AND(EOMONTH(F879,0)=F879,OR(MONTH(F879)=9,MONTH(F879)=12)),SUM(OFFSET(H879,-91,0):H879)))))),IF(F879='депозитный калькулятор'!$D$8,SUM($H$23:H879)-SUM($I$23:I878),0))),IF('депозитный калькулятор'!$G$10="ежегодное",IF(F879&gt;'депозитный калькулятор'!$D$8," ",IF(F879='депозитный калькулятор'!$D$8,SUM($H$23:H879)-SUM($I$23:I878),IF(AND(EOMONTH(F879,0)=F879,MONTH(F879)=12),IF(MOD(YEAR(F878),4)=0,IF(F879-'депозитный калькулятор'!$D$7&lt;366,SUM($H$23:H879),SUM(OFFSET(H879,-365,0):H879)),IF(F879-'депозитный калькулятор'!$D$7&lt;365,SUM($H$23:H879),SUM(OFFSET(H879,-364,0):H879))),0))),IF(AND('депозитный калькулятор'!$G$10="в конце срока",'депозитный калькулятор'!$D$8=F879),SUM($H$23:H879),0))))))))))))))))))</f>
        <v xml:space="preserve"> </v>
      </c>
      <c r="J879" s="59" t="str">
        <f>IF(F879&gt;'депозитный калькулятор'!$D$8," ",IF('депозитный калькулятор'!$G$16="нет",0,IF(AND('депозитный калькулятор'!$G$17="разовая (в конце срока)",F879='депозитный калькулятор'!$D$8),'депозитный калькулятор'!$G$18,IF(AND('депозитный калькулятор'!$G$17="ежемесячная",EOMONTH(F878,0)=F878),'депозитный калькулятор'!$G$18,IF(AND('депозитный калькулятор'!$G$17="ежегодная",DAY(F878)=31,MONTH(F878)=12),'депозитный калькулятор'!$G$18,IF(AND('депозитный калькулятор'!$G$17="ежемесячная в зависимости от остатка",EOMONTH(F878,0)=F878,P878&gt;0),'депозитный калькулятор'!$G$18,IF(AND('депозитный калькулятор'!$G$17="ежегодная в зависимости от остатка",DAY(F878)=31,MONTH(F878)=12,P878&gt;0),'депозитный калькулятор'!$G$18,0)))))))</f>
        <v xml:space="preserve"> </v>
      </c>
      <c r="K879" s="135" t="str">
        <f>IF($F879=" "," ",IFERROR(VLOOKUP($F879,'депозитный калькулятор'!$B$26:$F$70,2,0),0))</f>
        <v xml:space="preserve"> </v>
      </c>
      <c r="L879" s="135" t="str">
        <f>IF($F879=" "," ",IFERROR(VLOOKUP($F879,'депозитный калькулятор'!$B$26:$F$70,3,0),0))</f>
        <v xml:space="preserve"> </v>
      </c>
      <c r="M879" s="135" t="str">
        <f>IF($F879=" "," ",IFERROR(VLOOKUP($F879,'депозитный калькулятор'!$B$26:$F$70,4,0),0))</f>
        <v xml:space="preserve"> </v>
      </c>
      <c r="N879" s="135" t="str">
        <f>IF($F879=" "," ",IFERROR(VLOOKUP($F879,'депозитный калькулятор'!$B$26:$F$70,5,0),0))</f>
        <v xml:space="preserve"> </v>
      </c>
      <c r="O879" s="146" t="str">
        <f>IF(F879&gt;'депозитный калькулятор'!$D$8," ",IF(F879='депозитный калькулятор'!$D$8,IF(AND($F$24='депозитный калькулятор'!$D$8,'депозитный калькулятор'!$G$13="нет"),-G879-IF(I879=" ",0,I879)-IF(AND(OR('депозитный калькулятор'!$G$7="30/365",'депозитный калькулятор'!$G$7="30/360"),'депозитный калькулятор'!$G$10="в начале срока"),I878,0)-L879+M879-N879,-G879-IF(I879=" ",0,I879)-L879+M879-N879),IF('депозитный калькулятор'!$G$13="есть",M879-N879+IF('депозитный калькулятор'!$G$14="есть",0,-L879),-IF(I879=" ",0,I879)-IF(AND(OR('депозитный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срока"),I878,0)+M879-N879+IF('депозитный калькулятор'!$G$14="есть",0,-L879))))</f>
        <v xml:space="preserve"> </v>
      </c>
      <c r="P879" s="147" t="str">
        <f>IF(F879&gt;'депозитный калькулятор'!$D$8," ",IF(EOMONTH(F878,0)=F878,0,IF(G879&gt;='депозитный калькулятор'!$G$19,P878,P878+1)))</f>
        <v xml:space="preserve"> </v>
      </c>
      <c r="Q879" s="138" t="str">
        <f>IF(F879=" "," ",IF(AND(OR('депозитный калькулятор'!$G$7="30/365",'депозитный калькулятор'!$G$7="30/360"),AND(MONTH(F879)=2,EOMONTH(F879,0)=F879)),IF(DAY(F879)=28,3,2),1)*IF(G879&gt;='депозитный калькулятор'!$G$11,IF(AND('депозитный калькулятор'!$G$7="факт/факт",MOD(YEAR(F879),4)=0),G879*'депозитный калькулятор'!$D$11/366,G879*'депозитный калькулятор'!$G$8),0))</f>
        <v xml:space="preserve"> </v>
      </c>
      <c r="S879" s="62" t="str">
        <f t="shared" ca="1" si="67"/>
        <v xml:space="preserve"> </v>
      </c>
      <c r="T879" s="149" t="str">
        <f ca="1">IF(S879=" "," ",IF('депозитный калькулятор'!$G$7="30/360",DAYS360(U878,IF(DAY(U879)=31,U879-1,U879))+IF(AND(MONTH(U879)=2,U879=EOMONTH(U879,0)),30-DAY(EOMONTH(U879,0)))+T878,VLOOKUP(S879,$C$22:$F$1023,2,0)))</f>
        <v xml:space="preserve"> </v>
      </c>
      <c r="U879" s="64" t="str">
        <f t="shared" ca="1" si="65"/>
        <v xml:space="preserve"> </v>
      </c>
      <c r="V879" s="150" t="str">
        <f t="shared" ca="1" si="68"/>
        <v xml:space="preserve"> </v>
      </c>
      <c r="W879" s="62" t="str">
        <f t="shared" ca="1" si="69"/>
        <v xml:space="preserve"> </v>
      </c>
      <c r="X879" s="141" t="str">
        <f ca="1">IF(S879=" "," ",IFERROR(VLOOKUP(U879,$F$23:$N$1023,7)+VLOOKUP(U879,$F$23:$N$1023,9)+IF(AND('депозитный калькулятор'!$G$13="нет",U879&lt;&gt;'депозитный калькулятор'!$D$8),VLOOKUP(U879,$F$23:$N$1023,4),0),0)+IF(U879='депозитный калькулятор'!$D$8,VLOOKUP(U879,$F$23:$N$1023,2)+VLOOKUP(U879,$F$23:$N$1023,4),0))</f>
        <v xml:space="preserve"> </v>
      </c>
      <c r="Y879" s="142" t="str">
        <f ca="1">IF(S879=" "," ",W879/(1+'депозитный калькулятор'!$K$8)^(T879/IF('депозитный калькулятор'!$G$7="30/360",360,365)))</f>
        <v xml:space="preserve"> </v>
      </c>
      <c r="Z879" s="142" t="str">
        <f ca="1">IF(S879=" "," ",X879/(1+'депозитный калькулятор'!$K$8)^(T879/IF('депозитный калькулятор'!$G$7="30/360",360,365)))</f>
        <v xml:space="preserve"> </v>
      </c>
      <c r="AA879" s="151"/>
      <c r="AB879" s="151"/>
      <c r="AC879" s="155"/>
      <c r="AD879" s="155"/>
    </row>
    <row r="880" spans="1:30" s="2" customFormat="1" ht="15.5" x14ac:dyDescent="0.35">
      <c r="A880" s="41" t="str">
        <f>IF(F880=" "," ",IF(OR('депозитный калькулятор'!$G$7="30/365",'депозитный калькулятор'!$G$7="30/360"),IF(AND(MONTH(F880)=2,DAY(F880)=DAY(EOMONTH(F880,0))),30-DAY(EOMONTH(F880,0)),IF(DAY(F880)=31,1," "))," "))</f>
        <v xml:space="preserve"> </v>
      </c>
      <c r="B880" s="130" t="str">
        <f t="shared" si="66"/>
        <v xml:space="preserve"> </v>
      </c>
      <c r="C880" s="130" t="str">
        <f>IF(OR(B880=0,B880=" ")," ",SUM($B$23:B880))</f>
        <v xml:space="preserve"> </v>
      </c>
      <c r="D880" s="62" t="str">
        <f>IF(D879=" "," ",IF(OR(F879='депозитный калькулятор'!$D$8,F879=" ")," ",D879+1))</f>
        <v xml:space="preserve"> </v>
      </c>
      <c r="E880" s="130" t="str">
        <f>IF(OR(F879='депозитный калькулятор'!$D$8,F879=" ")," ",IF(EOMONTH(F879,0)=F879,1,E879+1))</f>
        <v xml:space="preserve"> </v>
      </c>
      <c r="F880" s="64" t="str">
        <f>IF(F879=" "," ",IF(F879='депозитный калькулятор'!$D$8," ",F879+1))</f>
        <v xml:space="preserve"> </v>
      </c>
      <c r="G880" s="145" t="str">
        <f xml:space="preserve"> IF(F880&gt;'депозитный калькулятор'!$D$8," ",IF('депозитный калькулятор'!$G$13="есть",IF('депозитный калькулятор'!$G$14="есть",G879+IF(I879=" ",0,I879)-J880-K880+L880+M880-N880,G879+IF(I879=" ",0,I879)-J880-K880+M880-N880),IF('депозитный калькулятор'!$G$14="есть",G879-J880-K880+L880+M880-N880,G879-J880-K880+M880-N880)))</f>
        <v xml:space="preserve"> </v>
      </c>
      <c r="H880" s="133" t="str">
        <f>IF(F880&gt;'депозитный калькулятор'!$D$8," ",IF(AND(OR('депозитный калькулятор'!$G$7="30/365",'депозитный калькулятор'!$G$7="30/360"),AND(MONTH(F880)=2,EOMONTH(F880,0)=F880)),IF(DAY(F880)=28,3*G880*'депозитный калькулятор'!$G$8,2*G880*'депозитный калькулятор'!$G$8),IF(AND(OR('депозитный калькулятор'!$G$7="30/365",'депозитный калькулятор'!$G$7="30/360"),DAY(F880)=31)," ",IF(AND('депозитный калькулятор'!$G$7="факт/факт",MOD(YEAR(F880),4)=0),G880*'депозитный калькулятор'!$D$11/366,G880*'депозитный калькулятор'!$G$8))))</f>
        <v xml:space="preserve"> </v>
      </c>
      <c r="I880" s="134" t="str">
        <f ca="1">IF(F880=" "," ",IF('депозитный калькулятор'!$G$10="ежедневное",H880,IF(AND('депозитный калькулятор'!$G$10="еженедельное",WEEKDAY(F880,2)=7),SUM(OFFSET(H880,-6,0):H880),IF(AND('депозитный калькулятор'!$G$10="еженедельное",F880='депозитный калькулятор'!$D$8),SUM($H$23:H880)-SUM($I$23:I879),IF(AND('депозитный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недели",WEEKDAY(F880,2)=7),MIN(OFFSET(H880,-6,0):H880)*(COUNTIF(OFFSET(H880,-6,0):H880,"&gt;0")+SUMIF(OFFSET(A880,-WEEKDAY(F880,2),0):A880,"=2",OFFSET(A880,-WEEKDAY(F880,2),0):A880)),IF(AND('депозитный калькулятор'!$G$10="еженедельное, на минимальную сумму зафиксированную в течение недели",F880='депозитный калькулятор'!$D$8,WEEKDAY(F880,2)&lt;&gt;7),MIN(OFFSET(H880,-WEEKDAY(F880,2),0):H880)*(COUNTIF(OFFSET(H880,-WEEKDAY(F880,2)+1,0):H880,"&gt;0")+SUM(OFFSET(A880,-WEEKDAY(F880,2),0):A880)),IF(AND('депозитный калькулятор'!$G$10="ежемесячное (в конце месяца)",F880='депозитный калькулятор'!$D$8,EOMONTH(F880,0)&lt;&gt;F880),IF('депозитный калькулятор'!$F$1=1,$H$24,SUM($H$23:H880)-SUM($I$23:I879)),IF(AND('депозитный калькулятор'!$G$10="ежемесячное (в конце месяца)",EOMONTH(F880,0)=F880),SUM($H$23:H880)-SUM($I$23:I879),IF(AND('депозитный калькулятор'!$G$10="ежемесячное (по дням открытия вклада)",F880='депозитный калькулятор'!$D$8,DAY('депозитный калькулятор'!$D$7)&lt;&gt;DAY(F880)),IF('депозитный калькулятор'!$F$1=1,$H$24,SUM($H$23:H880)-SUM($I$23:I879)),IF(AND('депозитный калькулятор'!$G$10="ежемесячное (по дням открытия вклада)",DAY('депозитный калькулятор'!$D$7)=DAY(F880)),SUM($H$23:H880)-SUM($I$23:I879),IF(AND('депозитный калькулятор'!$G$10="ежемесячное, на минимальную сумму зафиксированную в течение месяца",F880='депозитный калькулятор'!$D$8,EOMONTH(F880,0)&lt;&gt;F880),IF('депозитный калькулятор'!$F$1=1,$H$24,IF(AND(OR('депозитный калькулятор'!$G$7="30/365",'депозитный калькулятор'!$G$7="30/360"),DAY(F880)=31),0,MIN(OFFSET(H880,-E880+1,0):H880)*(E880+SUMIF(OFFSET(A880,-E880+1,0):A880,"=2",OFFSET(A880,-E880+1,0):A880)))),IF(AND('депозитный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калькулятор'!$G$7="30/360"),DAY(EOMONTH(F880,0))=31),EOMONTH(F880,0)-1=F880,EOMONTH(F880,0)=F880)),IF(IF(AND(OR('депозитный калькулятор'!$G$7="30/365",'депозитный калькулятор'!$G$7="30/360"),DAY(EOMONTH($F$23,0))=31),F880=EOMONTH($F$23,0)-1,F880=EOMONTH($F$23,0)),MIN(OFFSET(H880,-(DAY(F880)-DAY($F$23)),0):H880)*E880,MIN(OFFSET(H880,-(DAY(F880)-1),0):H880)*IF(AND(OR('депозитный калькулятор'!$G$7="30/365",'депозитный калькулятор'!$G$7="30/360"),DAY(F880)&lt;30),30,DAY(F880))),IF(AND('депозитный калькулятор'!$G$10="ежемесячное, на средний остаток в течение месяца, при условии что остаток больше чем ограничение",F880='депозитный калькулятор'!$D$8,EOMONTH(F880,0)&lt;&gt;F880),IF('депозитный калькулятор'!$F$1=1,$H$24,SUM(OFFSET(Q880,-E880+1,0):Q880)),IF(AND('депозитный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калькулятор'!$G$7="30/360"),DAY(EOMONTH(F880,0))=31),EOMONTH(F880,0)-1=F880,EOMONTH(F880,0)=F880)),IF(IF(AND(OR('депозитный калькулятор'!$G$7="30/365",'депозитный калькулятор'!$G$7="30/360"),DAY(EOMONTH($F$24,0))=31),F880=EOMONTH($F$24,0)-1,F880=EOMONTH($F$24,0)),SUM(OFFSET(Q880,-E880+1,0):Q880),SUM(OFFSET(Q880,-E880+1,0):Q880)),IF('депозитный калькулятор'!$G$10="ежеквартальное",IF(F880&gt;'депозитный калькулятор'!$D$8," ",IF(AND(EOMONTH(F880,0)=F880,OR(MONTH(F880)=3,MONTH(F880)=6,MONTH(F880)=9,MONTH(F880)=12)),IF(EDATE(F880,-3)&lt;'депозитный калькулятор'!$D$7,SUM($H$23:H880),IF(MOD(YEAR(F880),4)=0,IF(AND(EOMONTH(F880,0)=F880,OR(MONTH(F880)=3,MONTH(F880)=6)),SUM(OFFSET(H880,-90,0):H880),IF(AND(EOMONTH(F880,0)=F880,OR(MONTH(F880)=9,MONTH(F880)=12)),SUM(OFFSET(H880,-91,0):H880))),IF(AND(EOMONTH(F880,0)=F880,MONTH(F880)=3),SUM(OFFSET(H880,-89,0):H880),IF(AND(EOMONTH(F880,0)=F880,MONTH(F880)=6),SUM(OFFSET(H880,-90,0):H880),IF(AND(EOMONTH(F880,0)=F880,OR(MONTH(F880)=9,MONTH(F880)=12)),SUM(OFFSET(H880,-91,0):H880)))))),IF(F880='депозитный калькулятор'!$D$8,SUM($H$23:H880)-SUM($I$23:I879),0))),IF('депозитный калькулятор'!$G$10="ежегодное",IF(F880&gt;'депозитный калькулятор'!$D$8," ",IF(F880='депозитный калькулятор'!$D$8,SUM($H$23:H880)-SUM($I$23:I879),IF(AND(EOMONTH(F880,0)=F880,MONTH(F880)=12),IF(MOD(YEAR(F879),4)=0,IF(F880-'депозитный калькулятор'!$D$7&lt;366,SUM($H$23:H880),SUM(OFFSET(H880,-365,0):H880)),IF(F880-'депозитный калькулятор'!$D$7&lt;365,SUM($H$23:H880),SUM(OFFSET(H880,-364,0):H880))),0))),IF(AND('депозитный калькулятор'!$G$10="в конце срока",'депозитный калькулятор'!$D$8=F880),SUM($H$23:H880),0))))))))))))))))))</f>
        <v xml:space="preserve"> </v>
      </c>
      <c r="J880" s="59" t="str">
        <f>IF(F880&gt;'депозитный калькулятор'!$D$8," ",IF('депозитный калькулятор'!$G$16="нет",0,IF(AND('депозитный калькулятор'!$G$17="разовая (в конце срока)",F880='депозитный калькулятор'!$D$8),'депозитный калькулятор'!$G$18,IF(AND('депозитный калькулятор'!$G$17="ежемесячная",EOMONTH(F879,0)=F879),'депозитный калькулятор'!$G$18,IF(AND('депозитный калькулятор'!$G$17="ежегодная",DAY(F879)=31,MONTH(F879)=12),'депозитный калькулятор'!$G$18,IF(AND('депозитный калькулятор'!$G$17="ежемесячная в зависимости от остатка",EOMONTH(F879,0)=F879,P879&gt;0),'депозитный калькулятор'!$G$18,IF(AND('депозитный калькулятор'!$G$17="ежегодная в зависимости от остатка",DAY(F879)=31,MONTH(F879)=12,P879&gt;0),'депозитный калькулятор'!$G$18,0)))))))</f>
        <v xml:space="preserve"> </v>
      </c>
      <c r="K880" s="135" t="str">
        <f>IF($F880=" "," ",IFERROR(VLOOKUP($F880,'депозитный калькулятор'!$B$26:$F$70,2,0),0))</f>
        <v xml:space="preserve"> </v>
      </c>
      <c r="L880" s="135" t="str">
        <f>IF($F880=" "," ",IFERROR(VLOOKUP($F880,'депозитный калькулятор'!$B$26:$F$70,3,0),0))</f>
        <v xml:space="preserve"> </v>
      </c>
      <c r="M880" s="135" t="str">
        <f>IF($F880=" "," ",IFERROR(VLOOKUP($F880,'депозитный калькулятор'!$B$26:$F$70,4,0),0))</f>
        <v xml:space="preserve"> </v>
      </c>
      <c r="N880" s="135" t="str">
        <f>IF($F880=" "," ",IFERROR(VLOOKUP($F880,'депозитный калькулятор'!$B$26:$F$70,5,0),0))</f>
        <v xml:space="preserve"> </v>
      </c>
      <c r="O880" s="146" t="str">
        <f>IF(F880&gt;'депозитный калькулятор'!$D$8," ",IF(F880='депозитный калькулятор'!$D$8,IF(AND($F$24='депозитный калькулятор'!$D$8,'депозитный калькулятор'!$G$13="нет"),-G880-IF(I880=" ",0,I880)-IF(AND(OR('депозитный калькулятор'!$G$7="30/365",'депозитный калькулятор'!$G$7="30/360"),'депозитный калькулятор'!$G$10="в начале срока"),I879,0)-L880+M880-N880,-G880-IF(I880=" ",0,I880)-L880+M880-N880),IF('депозитный калькулятор'!$G$13="есть",M880-N880+IF('депозитный калькулятор'!$G$14="есть",0,-L880),-IF(I880=" ",0,I880)-IF(AND(OR('депозитный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срока"),I879,0)+M880-N880+IF('депозитный калькулятор'!$G$14="есть",0,-L880))))</f>
        <v xml:space="preserve"> </v>
      </c>
      <c r="P880" s="147" t="str">
        <f>IF(F880&gt;'депозитный калькулятор'!$D$8," ",IF(EOMONTH(F879,0)=F879,0,IF(G880&gt;='депозитный калькулятор'!$G$19,P879,P879+1)))</f>
        <v xml:space="preserve"> </v>
      </c>
      <c r="Q880" s="138" t="str">
        <f>IF(F880=" "," ",IF(AND(OR('депозитный калькулятор'!$G$7="30/365",'депозитный калькулятор'!$G$7="30/360"),AND(MONTH(F880)=2,EOMONTH(F880,0)=F880)),IF(DAY(F880)=28,3,2),1)*IF(G880&gt;='депозитный калькулятор'!$G$11,IF(AND('депозитный калькулятор'!$G$7="факт/факт",MOD(YEAR(F880),4)=0),G880*'депозитный калькулятор'!$D$11/366,G880*'депозитный калькулятор'!$G$8),0))</f>
        <v xml:space="preserve"> </v>
      </c>
      <c r="S880" s="62" t="str">
        <f t="shared" ca="1" si="67"/>
        <v xml:space="preserve"> </v>
      </c>
      <c r="T880" s="149" t="str">
        <f ca="1">IF(S880=" "," ",IF('депозитный калькулятор'!$G$7="30/360",DAYS360(U879,IF(DAY(U880)=31,U880-1,U880))+IF(AND(MONTH(U880)=2,U880=EOMONTH(U880,0)),30-DAY(EOMONTH(U880,0)))+T879,VLOOKUP(S880,$C$22:$F$1023,2,0)))</f>
        <v xml:space="preserve"> </v>
      </c>
      <c r="U880" s="64" t="str">
        <f t="shared" ca="1" si="65"/>
        <v xml:space="preserve"> </v>
      </c>
      <c r="V880" s="150" t="str">
        <f t="shared" ca="1" si="68"/>
        <v xml:space="preserve"> </v>
      </c>
      <c r="W880" s="62" t="str">
        <f t="shared" ca="1" si="69"/>
        <v xml:space="preserve"> </v>
      </c>
      <c r="X880" s="141" t="str">
        <f ca="1">IF(S880=" "," ",IFERROR(VLOOKUP(U880,$F$23:$N$1023,7)+VLOOKUP(U880,$F$23:$N$1023,9)+IF(AND('депозитный калькулятор'!$G$13="нет",U880&lt;&gt;'депозитный калькулятор'!$D$8),VLOOKUP(U880,$F$23:$N$1023,4),0),0)+IF(U880='депозитный калькулятор'!$D$8,VLOOKUP(U880,$F$23:$N$1023,2)+VLOOKUP(U880,$F$23:$N$1023,4),0))</f>
        <v xml:space="preserve"> </v>
      </c>
      <c r="Y880" s="142" t="str">
        <f ca="1">IF(S880=" "," ",W880/(1+'депозитный калькулятор'!$K$8)^(T880/IF('депозитный калькулятор'!$G$7="30/360",360,365)))</f>
        <v xml:space="preserve"> </v>
      </c>
      <c r="Z880" s="142" t="str">
        <f ca="1">IF(S880=" "," ",X880/(1+'депозитный калькулятор'!$K$8)^(T880/IF('депозитный калькулятор'!$G$7="30/360",360,365)))</f>
        <v xml:space="preserve"> </v>
      </c>
      <c r="AA880" s="151"/>
      <c r="AB880" s="151"/>
      <c r="AC880" s="155"/>
      <c r="AD880" s="155"/>
    </row>
    <row r="881" spans="1:30" s="2" customFormat="1" ht="15.5" x14ac:dyDescent="0.35">
      <c r="A881" s="41" t="str">
        <f>IF(F881=" "," ",IF(OR('депозитный калькулятор'!$G$7="30/365",'депозитный калькулятор'!$G$7="30/360"),IF(AND(MONTH(F881)=2,DAY(F881)=DAY(EOMONTH(F881,0))),30-DAY(EOMONTH(F881,0)),IF(DAY(F881)=31,1," "))," "))</f>
        <v xml:space="preserve"> </v>
      </c>
      <c r="B881" s="130" t="str">
        <f t="shared" si="66"/>
        <v xml:space="preserve"> </v>
      </c>
      <c r="C881" s="130" t="str">
        <f>IF(OR(B881=0,B881=" ")," ",SUM($B$23:B881))</f>
        <v xml:space="preserve"> </v>
      </c>
      <c r="D881" s="62" t="str">
        <f>IF(D880=" "," ",IF(OR(F880='депозитный калькулятор'!$D$8,F880=" ")," ",D880+1))</f>
        <v xml:space="preserve"> </v>
      </c>
      <c r="E881" s="130" t="str">
        <f>IF(OR(F880='депозитный калькулятор'!$D$8,F880=" ")," ",IF(EOMONTH(F880,0)=F880,1,E880+1))</f>
        <v xml:space="preserve"> </v>
      </c>
      <c r="F881" s="64" t="str">
        <f>IF(F880=" "," ",IF(F880='депозитный калькулятор'!$D$8," ",F880+1))</f>
        <v xml:space="preserve"> </v>
      </c>
      <c r="G881" s="145" t="str">
        <f xml:space="preserve"> IF(F881&gt;'депозитный калькулятор'!$D$8," ",IF('депозитный калькулятор'!$G$13="есть",IF('депозитный калькулятор'!$G$14="есть",G880+IF(I880=" ",0,I880)-J881-K881+L881+M881-N881,G880+IF(I880=" ",0,I880)-J881-K881+M881-N881),IF('депозитный калькулятор'!$G$14="есть",G880-J881-K881+L881+M881-N881,G880-J881-K881+M881-N881)))</f>
        <v xml:space="preserve"> </v>
      </c>
      <c r="H881" s="133" t="str">
        <f>IF(F881&gt;'депозитный калькулятор'!$D$8," ",IF(AND(OR('депозитный калькулятор'!$G$7="30/365",'депозитный калькулятор'!$G$7="30/360"),AND(MONTH(F881)=2,EOMONTH(F881,0)=F881)),IF(DAY(F881)=28,3*G881*'депозитный калькулятор'!$G$8,2*G881*'депозитный калькулятор'!$G$8),IF(AND(OR('депозитный калькулятор'!$G$7="30/365",'депозитный калькулятор'!$G$7="30/360"),DAY(F881)=31)," ",IF(AND('депозитный калькулятор'!$G$7="факт/факт",MOD(YEAR(F881),4)=0),G881*'депозитный калькулятор'!$D$11/366,G881*'депозитный калькулятор'!$G$8))))</f>
        <v xml:space="preserve"> </v>
      </c>
      <c r="I881" s="134" t="str">
        <f ca="1">IF(F881=" "," ",IF('депозитный калькулятор'!$G$10="ежедневное",H881,IF(AND('депозитный калькулятор'!$G$10="еженедельное",WEEKDAY(F881,2)=7),SUM(OFFSET(H881,-6,0):H881),IF(AND('депозитный калькулятор'!$G$10="еженедельное",F881='депозитный калькулятор'!$D$8),SUM($H$23:H881)-SUM($I$23:I880),IF(AND('депозитный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недели",WEEKDAY(F881,2)=7),MIN(OFFSET(H881,-6,0):H881)*(COUNTIF(OFFSET(H881,-6,0):H881,"&gt;0")+SUMIF(OFFSET(A881,-WEEKDAY(F881,2),0):A881,"=2",OFFSET(A881,-WEEKDAY(F881,2),0):A881)),IF(AND('депозитный калькулятор'!$G$10="еженедельное, на минимальную сумму зафиксированную в течение недели",F881='депозитный калькулятор'!$D$8,WEEKDAY(F881,2)&lt;&gt;7),MIN(OFFSET(H881,-WEEKDAY(F881,2),0):H881)*(COUNTIF(OFFSET(H881,-WEEKDAY(F881,2)+1,0):H881,"&gt;0")+SUM(OFFSET(A881,-WEEKDAY(F881,2),0):A881)),IF(AND('депозитный калькулятор'!$G$10="ежемесячное (в конце месяца)",F881='депозитный калькулятор'!$D$8,EOMONTH(F881,0)&lt;&gt;F881),IF('депозитный калькулятор'!$F$1=1,$H$24,SUM($H$23:H881)-SUM($I$23:I880)),IF(AND('депозитный калькулятор'!$G$10="ежемесячное (в конце месяца)",EOMONTH(F881,0)=F881),SUM($H$23:H881)-SUM($I$23:I880),IF(AND('депозитный калькулятор'!$G$10="ежемесячное (по дням открытия вклада)",F881='депозитный калькулятор'!$D$8,DAY('депозитный калькулятор'!$D$7)&lt;&gt;DAY(F881)),IF('депозитный калькулятор'!$F$1=1,$H$24,SUM($H$23:H881)-SUM($I$23:I880)),IF(AND('депозитный калькулятор'!$G$10="ежемесячное (по дням открытия вклада)",DAY('депозитный калькулятор'!$D$7)=DAY(F881)),SUM($H$23:H881)-SUM($I$23:I880),IF(AND('депозитный калькулятор'!$G$10="ежемесячное, на минимальную сумму зафиксированную в течение месяца",F881='депозитный калькулятор'!$D$8,EOMONTH(F881,0)&lt;&gt;F881),IF('депозитный калькулятор'!$F$1=1,$H$24,IF(AND(OR('депозитный калькулятор'!$G$7="30/365",'депозитный калькулятор'!$G$7="30/360"),DAY(F881)=31),0,MIN(OFFSET(H881,-E881+1,0):H881)*(E881+SUMIF(OFFSET(A881,-E881+1,0):A881,"=2",OFFSET(A881,-E881+1,0):A881)))),IF(AND('депозитный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калькулятор'!$G$7="30/360"),DAY(EOMONTH(F881,0))=31),EOMONTH(F881,0)-1=F881,EOMONTH(F881,0)=F881)),IF(IF(AND(OR('депозитный калькулятор'!$G$7="30/365",'депозитный калькулятор'!$G$7="30/360"),DAY(EOMONTH($F$23,0))=31),F881=EOMONTH($F$23,0)-1,F881=EOMONTH($F$23,0)),MIN(OFFSET(H881,-(DAY(F881)-DAY($F$23)),0):H881)*E881,MIN(OFFSET(H881,-(DAY(F881)-1),0):H881)*IF(AND(OR('депозитный калькулятор'!$G$7="30/365",'депозитный калькулятор'!$G$7="30/360"),DAY(F881)&lt;30),30,DAY(F881))),IF(AND('депозитный калькулятор'!$G$10="ежемесячное, на средний остаток в течение месяца, при условии что остаток больше чем ограничение",F881='депозитный калькулятор'!$D$8,EOMONTH(F881,0)&lt;&gt;F881),IF('депозитный калькулятор'!$F$1=1,$H$24,SUM(OFFSET(Q881,-E881+1,0):Q881)),IF(AND('депозитный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калькулятор'!$G$7="30/360"),DAY(EOMONTH(F881,0))=31),EOMONTH(F881,0)-1=F881,EOMONTH(F881,0)=F881)),IF(IF(AND(OR('депозитный калькулятор'!$G$7="30/365",'депозитный калькулятор'!$G$7="30/360"),DAY(EOMONTH($F$24,0))=31),F881=EOMONTH($F$24,0)-1,F881=EOMONTH($F$24,0)),SUM(OFFSET(Q881,-E881+1,0):Q881),SUM(OFFSET(Q881,-E881+1,0):Q881)),IF('депозитный калькулятор'!$G$10="ежеквартальное",IF(F881&gt;'депозитный калькулятор'!$D$8," ",IF(AND(EOMONTH(F881,0)=F881,OR(MONTH(F881)=3,MONTH(F881)=6,MONTH(F881)=9,MONTH(F881)=12)),IF(EDATE(F881,-3)&lt;'депозитный калькулятор'!$D$7,SUM($H$23:H881),IF(MOD(YEAR(F881),4)=0,IF(AND(EOMONTH(F881,0)=F881,OR(MONTH(F881)=3,MONTH(F881)=6)),SUM(OFFSET(H881,-90,0):H881),IF(AND(EOMONTH(F881,0)=F881,OR(MONTH(F881)=9,MONTH(F881)=12)),SUM(OFFSET(H881,-91,0):H881))),IF(AND(EOMONTH(F881,0)=F881,MONTH(F881)=3),SUM(OFFSET(H881,-89,0):H881),IF(AND(EOMONTH(F881,0)=F881,MONTH(F881)=6),SUM(OFFSET(H881,-90,0):H881),IF(AND(EOMONTH(F881,0)=F881,OR(MONTH(F881)=9,MONTH(F881)=12)),SUM(OFFSET(H881,-91,0):H881)))))),IF(F881='депозитный калькулятор'!$D$8,SUM($H$23:H881)-SUM($I$23:I880),0))),IF('депозитный калькулятор'!$G$10="ежегодное",IF(F881&gt;'депозитный калькулятор'!$D$8," ",IF(F881='депозитный калькулятор'!$D$8,SUM($H$23:H881)-SUM($I$23:I880),IF(AND(EOMONTH(F881,0)=F881,MONTH(F881)=12),IF(MOD(YEAR(F880),4)=0,IF(F881-'депозитный калькулятор'!$D$7&lt;366,SUM($H$23:H881),SUM(OFFSET(H881,-365,0):H881)),IF(F881-'депозитный калькулятор'!$D$7&lt;365,SUM($H$23:H881),SUM(OFFSET(H881,-364,0):H881))),0))),IF(AND('депозитный калькулятор'!$G$10="в конце срока",'депозитный калькулятор'!$D$8=F881),SUM($H$23:H881),0))))))))))))))))))</f>
        <v xml:space="preserve"> </v>
      </c>
      <c r="J881" s="59" t="str">
        <f>IF(F881&gt;'депозитный калькулятор'!$D$8," ",IF('депозитный калькулятор'!$G$16="нет",0,IF(AND('депозитный калькулятор'!$G$17="разовая (в конце срока)",F881='депозитный калькулятор'!$D$8),'депозитный калькулятор'!$G$18,IF(AND('депозитный калькулятор'!$G$17="ежемесячная",EOMONTH(F880,0)=F880),'депозитный калькулятор'!$G$18,IF(AND('депозитный калькулятор'!$G$17="ежегодная",DAY(F880)=31,MONTH(F880)=12),'депозитный калькулятор'!$G$18,IF(AND('депозитный калькулятор'!$G$17="ежемесячная в зависимости от остатка",EOMONTH(F880,0)=F880,P880&gt;0),'депозитный калькулятор'!$G$18,IF(AND('депозитный калькулятор'!$G$17="ежегодная в зависимости от остатка",DAY(F880)=31,MONTH(F880)=12,P880&gt;0),'депозитный калькулятор'!$G$18,0)))))))</f>
        <v xml:space="preserve"> </v>
      </c>
      <c r="K881" s="135" t="str">
        <f>IF($F881=" "," ",IFERROR(VLOOKUP($F881,'депозитный калькулятор'!$B$26:$F$70,2,0),0))</f>
        <v xml:space="preserve"> </v>
      </c>
      <c r="L881" s="135" t="str">
        <f>IF($F881=" "," ",IFERROR(VLOOKUP($F881,'депозитный калькулятор'!$B$26:$F$70,3,0),0))</f>
        <v xml:space="preserve"> </v>
      </c>
      <c r="M881" s="135" t="str">
        <f>IF($F881=" "," ",IFERROR(VLOOKUP($F881,'депозитный калькулятор'!$B$26:$F$70,4,0),0))</f>
        <v xml:space="preserve"> </v>
      </c>
      <c r="N881" s="135" t="str">
        <f>IF($F881=" "," ",IFERROR(VLOOKUP($F881,'депозитный калькулятор'!$B$26:$F$70,5,0),0))</f>
        <v xml:space="preserve"> </v>
      </c>
      <c r="O881" s="146" t="str">
        <f>IF(F881&gt;'депозитный калькулятор'!$D$8," ",IF(F881='депозитный калькулятор'!$D$8,IF(AND($F$24='депозитный калькулятор'!$D$8,'депозитный калькулятор'!$G$13="нет"),-G881-IF(I881=" ",0,I881)-IF(AND(OR('депозитный калькулятор'!$G$7="30/365",'депозитный калькулятор'!$G$7="30/360"),'депозитный калькулятор'!$G$10="в начале срока"),I880,0)-L881+M881-N881,-G881-IF(I881=" ",0,I881)-L881+M881-N881),IF('депозитный калькулятор'!$G$13="есть",M881-N881+IF('депозитный калькулятор'!$G$14="есть",0,-L881),-IF(I881=" ",0,I881)-IF(AND(OR('депозитный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срока"),I880,0)+M881-N881+IF('депозитный калькулятор'!$G$14="есть",0,-L881))))</f>
        <v xml:space="preserve"> </v>
      </c>
      <c r="P881" s="147" t="str">
        <f>IF(F881&gt;'депозитный калькулятор'!$D$8," ",IF(EOMONTH(F880,0)=F880,0,IF(G881&gt;='депозитный калькулятор'!$G$19,P880,P880+1)))</f>
        <v xml:space="preserve"> </v>
      </c>
      <c r="Q881" s="138" t="str">
        <f>IF(F881=" "," ",IF(AND(OR('депозитный калькулятор'!$G$7="30/365",'депозитный калькулятор'!$G$7="30/360"),AND(MONTH(F881)=2,EOMONTH(F881,0)=F881)),IF(DAY(F881)=28,3,2),1)*IF(G881&gt;='депозитный калькулятор'!$G$11,IF(AND('депозитный калькулятор'!$G$7="факт/факт",MOD(YEAR(F881),4)=0),G881*'депозитный калькулятор'!$D$11/366,G881*'депозитный калькулятор'!$G$8),0))</f>
        <v xml:space="preserve"> </v>
      </c>
      <c r="S881" s="62" t="str">
        <f t="shared" ca="1" si="67"/>
        <v xml:space="preserve"> </v>
      </c>
      <c r="T881" s="149" t="str">
        <f ca="1">IF(S881=" "," ",IF('депозитный калькулятор'!$G$7="30/360",DAYS360(U880,IF(DAY(U881)=31,U881-1,U881))+IF(AND(MONTH(U881)=2,U881=EOMONTH(U881,0)),30-DAY(EOMONTH(U881,0)))+T880,VLOOKUP(S881,$C$22:$F$1023,2,0)))</f>
        <v xml:space="preserve"> </v>
      </c>
      <c r="U881" s="64" t="str">
        <f t="shared" ca="1" si="65"/>
        <v xml:space="preserve"> </v>
      </c>
      <c r="V881" s="150" t="str">
        <f t="shared" ca="1" si="68"/>
        <v xml:space="preserve"> </v>
      </c>
      <c r="W881" s="62" t="str">
        <f t="shared" ca="1" si="69"/>
        <v xml:space="preserve"> </v>
      </c>
      <c r="X881" s="141" t="str">
        <f ca="1">IF(S881=" "," ",IFERROR(VLOOKUP(U881,$F$23:$N$1023,7)+VLOOKUP(U881,$F$23:$N$1023,9)+IF(AND('депозитный калькулятор'!$G$13="нет",U881&lt;&gt;'депозитный калькулятор'!$D$8),VLOOKUP(U881,$F$23:$N$1023,4),0),0)+IF(U881='депозитный калькулятор'!$D$8,VLOOKUP(U881,$F$23:$N$1023,2)+VLOOKUP(U881,$F$23:$N$1023,4),0))</f>
        <v xml:space="preserve"> </v>
      </c>
      <c r="Y881" s="142" t="str">
        <f ca="1">IF(S881=" "," ",W881/(1+'депозитный калькулятор'!$K$8)^(T881/IF('депозитный калькулятор'!$G$7="30/360",360,365)))</f>
        <v xml:space="preserve"> </v>
      </c>
      <c r="Z881" s="142" t="str">
        <f ca="1">IF(S881=" "," ",X881/(1+'депозитный калькулятор'!$K$8)^(T881/IF('депозитный калькулятор'!$G$7="30/360",360,365)))</f>
        <v xml:space="preserve"> </v>
      </c>
      <c r="AA881" s="151"/>
      <c r="AB881" s="151"/>
      <c r="AC881" s="155"/>
      <c r="AD881" s="155"/>
    </row>
    <row r="882" spans="1:30" s="2" customFormat="1" ht="15.5" x14ac:dyDescent="0.35">
      <c r="A882" s="41" t="str">
        <f>IF(F882=" "," ",IF(OR('депозитный калькулятор'!$G$7="30/365",'депозитный калькулятор'!$G$7="30/360"),IF(AND(MONTH(F882)=2,DAY(F882)=DAY(EOMONTH(F882,0))),30-DAY(EOMONTH(F882,0)),IF(DAY(F882)=31,1," "))," "))</f>
        <v xml:space="preserve"> </v>
      </c>
      <c r="B882" s="130" t="str">
        <f t="shared" si="66"/>
        <v xml:space="preserve"> </v>
      </c>
      <c r="C882" s="130" t="str">
        <f>IF(OR(B882=0,B882=" ")," ",SUM($B$23:B882))</f>
        <v xml:space="preserve"> </v>
      </c>
      <c r="D882" s="62" t="str">
        <f>IF(D881=" "," ",IF(OR(F881='депозитный калькулятор'!$D$8,F881=" ")," ",D881+1))</f>
        <v xml:space="preserve"> </v>
      </c>
      <c r="E882" s="130" t="str">
        <f>IF(OR(F881='депозитный калькулятор'!$D$8,F881=" ")," ",IF(EOMONTH(F881,0)=F881,1,E881+1))</f>
        <v xml:space="preserve"> </v>
      </c>
      <c r="F882" s="64" t="str">
        <f>IF(F881=" "," ",IF(F881='депозитный калькулятор'!$D$8," ",F881+1))</f>
        <v xml:space="preserve"> </v>
      </c>
      <c r="G882" s="145" t="str">
        <f xml:space="preserve"> IF(F882&gt;'депозитный калькулятор'!$D$8," ",IF('депозитный калькулятор'!$G$13="есть",IF('депозитный калькулятор'!$G$14="есть",G881+IF(I881=" ",0,I881)-J882-K882+L882+M882-N882,G881+IF(I881=" ",0,I881)-J882-K882+M882-N882),IF('депозитный калькулятор'!$G$14="есть",G881-J882-K882+L882+M882-N882,G881-J882-K882+M882-N882)))</f>
        <v xml:space="preserve"> </v>
      </c>
      <c r="H882" s="133" t="str">
        <f>IF(F882&gt;'депозитный калькулятор'!$D$8," ",IF(AND(OR('депозитный калькулятор'!$G$7="30/365",'депозитный калькулятор'!$G$7="30/360"),AND(MONTH(F882)=2,EOMONTH(F882,0)=F882)),IF(DAY(F882)=28,3*G882*'депозитный калькулятор'!$G$8,2*G882*'депозитный калькулятор'!$G$8),IF(AND(OR('депозитный калькулятор'!$G$7="30/365",'депозитный калькулятор'!$G$7="30/360"),DAY(F882)=31)," ",IF(AND('депозитный калькулятор'!$G$7="факт/факт",MOD(YEAR(F882),4)=0),G882*'депозитный калькулятор'!$D$11/366,G882*'депозитный калькулятор'!$G$8))))</f>
        <v xml:space="preserve"> </v>
      </c>
      <c r="I882" s="134" t="str">
        <f ca="1">IF(F882=" "," ",IF('депозитный калькулятор'!$G$10="ежедневное",H882,IF(AND('депозитный калькулятор'!$G$10="еженедельное",WEEKDAY(F882,2)=7),SUM(OFFSET(H882,-6,0):H882),IF(AND('депозитный калькулятор'!$G$10="еженедельное",F882='депозитный калькулятор'!$D$8),SUM($H$23:H882)-SUM($I$23:I881),IF(AND('депозитный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недели",WEEKDAY(F882,2)=7),MIN(OFFSET(H882,-6,0):H882)*(COUNTIF(OFFSET(H882,-6,0):H882,"&gt;0")+SUMIF(OFFSET(A882,-WEEKDAY(F882,2),0):A882,"=2",OFFSET(A882,-WEEKDAY(F882,2),0):A882)),IF(AND('депозитный калькулятор'!$G$10="еженедельное, на минимальную сумму зафиксированную в течение недели",F882='депозитный калькулятор'!$D$8,WEEKDAY(F882,2)&lt;&gt;7),MIN(OFFSET(H882,-WEEKDAY(F882,2),0):H882)*(COUNTIF(OFFSET(H882,-WEEKDAY(F882,2)+1,0):H882,"&gt;0")+SUM(OFFSET(A882,-WEEKDAY(F882,2),0):A882)),IF(AND('депозитный калькулятор'!$G$10="ежемесячное (в конце месяца)",F882='депозитный калькулятор'!$D$8,EOMONTH(F882,0)&lt;&gt;F882),IF('депозитный калькулятор'!$F$1=1,$H$24,SUM($H$23:H882)-SUM($I$23:I881)),IF(AND('депозитный калькулятор'!$G$10="ежемесячное (в конце месяца)",EOMONTH(F882,0)=F882),SUM($H$23:H882)-SUM($I$23:I881),IF(AND('депозитный калькулятор'!$G$10="ежемесячное (по дням открытия вклада)",F882='депозитный калькулятор'!$D$8,DAY('депозитный калькулятор'!$D$7)&lt;&gt;DAY(F882)),IF('депозитный калькулятор'!$F$1=1,$H$24,SUM($H$23:H882)-SUM($I$23:I881)),IF(AND('депозитный калькулятор'!$G$10="ежемесячное (по дням открытия вклада)",DAY('депозитный калькулятор'!$D$7)=DAY(F882)),SUM($H$23:H882)-SUM($I$23:I881),IF(AND('депозитный калькулятор'!$G$10="ежемесячное, на минимальную сумму зафиксированную в течение месяца",F882='депозитный калькулятор'!$D$8,EOMONTH(F882,0)&lt;&gt;F882),IF('депозитный калькулятор'!$F$1=1,$H$24,IF(AND(OR('депозитный калькулятор'!$G$7="30/365",'депозитный калькулятор'!$G$7="30/360"),DAY(F882)=31),0,MIN(OFFSET(H882,-E882+1,0):H882)*(E882+SUMIF(OFFSET(A882,-E882+1,0):A882,"=2",OFFSET(A882,-E882+1,0):A882)))),IF(AND('депозитный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калькулятор'!$G$7="30/360"),DAY(EOMONTH(F882,0))=31),EOMONTH(F882,0)-1=F882,EOMONTH(F882,0)=F882)),IF(IF(AND(OR('депозитный калькулятор'!$G$7="30/365",'депозитный калькулятор'!$G$7="30/360"),DAY(EOMONTH($F$23,0))=31),F882=EOMONTH($F$23,0)-1,F882=EOMONTH($F$23,0)),MIN(OFFSET(H882,-(DAY(F882)-DAY($F$23)),0):H882)*E882,MIN(OFFSET(H882,-(DAY(F882)-1),0):H882)*IF(AND(OR('депозитный калькулятор'!$G$7="30/365",'депозитный калькулятор'!$G$7="30/360"),DAY(F882)&lt;30),30,DAY(F882))),IF(AND('депозитный калькулятор'!$G$10="ежемесячное, на средний остаток в течение месяца, при условии что остаток больше чем ограничение",F882='депозитный калькулятор'!$D$8,EOMONTH(F882,0)&lt;&gt;F882),IF('депозитный калькулятор'!$F$1=1,$H$24,SUM(OFFSET(Q882,-E882+1,0):Q882)),IF(AND('депозитный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калькулятор'!$G$7="30/360"),DAY(EOMONTH(F882,0))=31),EOMONTH(F882,0)-1=F882,EOMONTH(F882,0)=F882)),IF(IF(AND(OR('депозитный калькулятор'!$G$7="30/365",'депозитный калькулятор'!$G$7="30/360"),DAY(EOMONTH($F$24,0))=31),F882=EOMONTH($F$24,0)-1,F882=EOMONTH($F$24,0)),SUM(OFFSET(Q882,-E882+1,0):Q882),SUM(OFFSET(Q882,-E882+1,0):Q882)),IF('депозитный калькулятор'!$G$10="ежеквартальное",IF(F882&gt;'депозитный калькулятор'!$D$8," ",IF(AND(EOMONTH(F882,0)=F882,OR(MONTH(F882)=3,MONTH(F882)=6,MONTH(F882)=9,MONTH(F882)=12)),IF(EDATE(F882,-3)&lt;'депозитный калькулятор'!$D$7,SUM($H$23:H882),IF(MOD(YEAR(F882),4)=0,IF(AND(EOMONTH(F882,0)=F882,OR(MONTH(F882)=3,MONTH(F882)=6)),SUM(OFFSET(H882,-90,0):H882),IF(AND(EOMONTH(F882,0)=F882,OR(MONTH(F882)=9,MONTH(F882)=12)),SUM(OFFSET(H882,-91,0):H882))),IF(AND(EOMONTH(F882,0)=F882,MONTH(F882)=3),SUM(OFFSET(H882,-89,0):H882),IF(AND(EOMONTH(F882,0)=F882,MONTH(F882)=6),SUM(OFFSET(H882,-90,0):H882),IF(AND(EOMONTH(F882,0)=F882,OR(MONTH(F882)=9,MONTH(F882)=12)),SUM(OFFSET(H882,-91,0):H882)))))),IF(F882='депозитный калькулятор'!$D$8,SUM($H$23:H882)-SUM($I$23:I881),0))),IF('депозитный калькулятор'!$G$10="ежегодное",IF(F882&gt;'депозитный калькулятор'!$D$8," ",IF(F882='депозитный калькулятор'!$D$8,SUM($H$23:H882)-SUM($I$23:I881),IF(AND(EOMONTH(F882,0)=F882,MONTH(F882)=12),IF(MOD(YEAR(F881),4)=0,IF(F882-'депозитный калькулятор'!$D$7&lt;366,SUM($H$23:H882),SUM(OFFSET(H882,-365,0):H882)),IF(F882-'депозитный калькулятор'!$D$7&lt;365,SUM($H$23:H882),SUM(OFFSET(H882,-364,0):H882))),0))),IF(AND('депозитный калькулятор'!$G$10="в конце срока",'депозитный калькулятор'!$D$8=F882),SUM($H$23:H882),0))))))))))))))))))</f>
        <v xml:space="preserve"> </v>
      </c>
      <c r="J882" s="59" t="str">
        <f>IF(F882&gt;'депозитный калькулятор'!$D$8," ",IF('депозитный калькулятор'!$G$16="нет",0,IF(AND('депозитный калькулятор'!$G$17="разовая (в конце срока)",F882='депозитный калькулятор'!$D$8),'депозитный калькулятор'!$G$18,IF(AND('депозитный калькулятор'!$G$17="ежемесячная",EOMONTH(F881,0)=F881),'депозитный калькулятор'!$G$18,IF(AND('депозитный калькулятор'!$G$17="ежегодная",DAY(F881)=31,MONTH(F881)=12),'депозитный калькулятор'!$G$18,IF(AND('депозитный калькулятор'!$G$17="ежемесячная в зависимости от остатка",EOMONTH(F881,0)=F881,P881&gt;0),'депозитный калькулятор'!$G$18,IF(AND('депозитный калькулятор'!$G$17="ежегодная в зависимости от остатка",DAY(F881)=31,MONTH(F881)=12,P881&gt;0),'депозитный калькулятор'!$G$18,0)))))))</f>
        <v xml:space="preserve"> </v>
      </c>
      <c r="K882" s="135" t="str">
        <f>IF($F882=" "," ",IFERROR(VLOOKUP($F882,'депозитный калькулятор'!$B$26:$F$70,2,0),0))</f>
        <v xml:space="preserve"> </v>
      </c>
      <c r="L882" s="135" t="str">
        <f>IF($F882=" "," ",IFERROR(VLOOKUP($F882,'депозитный калькулятор'!$B$26:$F$70,3,0),0))</f>
        <v xml:space="preserve"> </v>
      </c>
      <c r="M882" s="135" t="str">
        <f>IF($F882=" "," ",IFERROR(VLOOKUP($F882,'депозитный калькулятор'!$B$26:$F$70,4,0),0))</f>
        <v xml:space="preserve"> </v>
      </c>
      <c r="N882" s="135" t="str">
        <f>IF($F882=" "," ",IFERROR(VLOOKUP($F882,'депозитный калькулятор'!$B$26:$F$70,5,0),0))</f>
        <v xml:space="preserve"> </v>
      </c>
      <c r="O882" s="146" t="str">
        <f>IF(F882&gt;'депозитный калькулятор'!$D$8," ",IF(F882='депозитный калькулятор'!$D$8,IF(AND($F$24='депозитный калькулятор'!$D$8,'депозитный калькулятор'!$G$13="нет"),-G882-IF(I882=" ",0,I882)-IF(AND(OR('депозитный калькулятор'!$G$7="30/365",'депозитный калькулятор'!$G$7="30/360"),'депозитный калькулятор'!$G$10="в начале срока"),I881,0)-L882+M882-N882,-G882-IF(I882=" ",0,I882)-L882+M882-N882),IF('депозитный калькулятор'!$G$13="есть",M882-N882+IF('депозитный калькулятор'!$G$14="есть",0,-L882),-IF(I882=" ",0,I882)-IF(AND(OR('депозитный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срока"),I881,0)+M882-N882+IF('депозитный калькулятор'!$G$14="есть",0,-L882))))</f>
        <v xml:space="preserve"> </v>
      </c>
      <c r="P882" s="147" t="str">
        <f>IF(F882&gt;'депозитный калькулятор'!$D$8," ",IF(EOMONTH(F881,0)=F881,0,IF(G882&gt;='депозитный калькулятор'!$G$19,P881,P881+1)))</f>
        <v xml:space="preserve"> </v>
      </c>
      <c r="Q882" s="138" t="str">
        <f>IF(F882=" "," ",IF(AND(OR('депозитный калькулятор'!$G$7="30/365",'депозитный калькулятор'!$G$7="30/360"),AND(MONTH(F882)=2,EOMONTH(F882,0)=F882)),IF(DAY(F882)=28,3,2),1)*IF(G882&gt;='депозитный калькулятор'!$G$11,IF(AND('депозитный калькулятор'!$G$7="факт/факт",MOD(YEAR(F882),4)=0),G882*'депозитный калькулятор'!$D$11/366,G882*'депозитный калькулятор'!$G$8),0))</f>
        <v xml:space="preserve"> </v>
      </c>
      <c r="S882" s="62" t="str">
        <f t="shared" ca="1" si="67"/>
        <v xml:space="preserve"> </v>
      </c>
      <c r="T882" s="149" t="str">
        <f ca="1">IF(S882=" "," ",IF('депозитный калькулятор'!$G$7="30/360",DAYS360(U881,IF(DAY(U882)=31,U882-1,U882))+IF(AND(MONTH(U882)=2,U882=EOMONTH(U882,0)),30-DAY(EOMONTH(U882,0)))+T881,VLOOKUP(S882,$C$22:$F$1023,2,0)))</f>
        <v xml:space="preserve"> </v>
      </c>
      <c r="U882" s="64" t="str">
        <f t="shared" ca="1" si="65"/>
        <v xml:space="preserve"> </v>
      </c>
      <c r="V882" s="150" t="str">
        <f t="shared" ca="1" si="68"/>
        <v xml:space="preserve"> </v>
      </c>
      <c r="W882" s="62" t="str">
        <f t="shared" ca="1" si="69"/>
        <v xml:space="preserve"> </v>
      </c>
      <c r="X882" s="141" t="str">
        <f ca="1">IF(S882=" "," ",IFERROR(VLOOKUP(U882,$F$23:$N$1023,7)+VLOOKUP(U882,$F$23:$N$1023,9)+IF(AND('депозитный калькулятор'!$G$13="нет",U882&lt;&gt;'депозитный калькулятор'!$D$8),VLOOKUP(U882,$F$23:$N$1023,4),0),0)+IF(U882='депозитный калькулятор'!$D$8,VLOOKUP(U882,$F$23:$N$1023,2)+VLOOKUP(U882,$F$23:$N$1023,4),0))</f>
        <v xml:space="preserve"> </v>
      </c>
      <c r="Y882" s="142" t="str">
        <f ca="1">IF(S882=" "," ",W882/(1+'депозитный калькулятор'!$K$8)^(T882/IF('депозитный калькулятор'!$G$7="30/360",360,365)))</f>
        <v xml:space="preserve"> </v>
      </c>
      <c r="Z882" s="142" t="str">
        <f ca="1">IF(S882=" "," ",X882/(1+'депозитный калькулятор'!$K$8)^(T882/IF('депозитный калькулятор'!$G$7="30/360",360,365)))</f>
        <v xml:space="preserve"> </v>
      </c>
      <c r="AA882" s="151"/>
      <c r="AB882" s="151"/>
      <c r="AC882" s="155"/>
      <c r="AD882" s="155"/>
    </row>
    <row r="883" spans="1:30" s="2" customFormat="1" ht="15.5" x14ac:dyDescent="0.35">
      <c r="A883" s="41" t="str">
        <f>IF(F883=" "," ",IF(OR('депозитный калькулятор'!$G$7="30/365",'депозитный калькулятор'!$G$7="30/360"),IF(AND(MONTH(F883)=2,DAY(F883)=DAY(EOMONTH(F883,0))),30-DAY(EOMONTH(F883,0)),IF(DAY(F883)=31,1," "))," "))</f>
        <v xml:space="preserve"> </v>
      </c>
      <c r="B883" s="130" t="str">
        <f t="shared" si="66"/>
        <v xml:space="preserve"> </v>
      </c>
      <c r="C883" s="130" t="str">
        <f>IF(OR(B883=0,B883=" ")," ",SUM($B$23:B883))</f>
        <v xml:space="preserve"> </v>
      </c>
      <c r="D883" s="62" t="str">
        <f>IF(D882=" "," ",IF(OR(F882='депозитный калькулятор'!$D$8,F882=" ")," ",D882+1))</f>
        <v xml:space="preserve"> </v>
      </c>
      <c r="E883" s="130" t="str">
        <f>IF(OR(F882='депозитный калькулятор'!$D$8,F882=" ")," ",IF(EOMONTH(F882,0)=F882,1,E882+1))</f>
        <v xml:space="preserve"> </v>
      </c>
      <c r="F883" s="64" t="str">
        <f>IF(F882=" "," ",IF(F882='депозитный калькулятор'!$D$8," ",F882+1))</f>
        <v xml:space="preserve"> </v>
      </c>
      <c r="G883" s="145" t="str">
        <f xml:space="preserve"> IF(F883&gt;'депозитный калькулятор'!$D$8," ",IF('депозитный калькулятор'!$G$13="есть",IF('депозитный калькулятор'!$G$14="есть",G882+IF(I882=" ",0,I882)-J883-K883+L883+M883-N883,G882+IF(I882=" ",0,I882)-J883-K883+M883-N883),IF('депозитный калькулятор'!$G$14="есть",G882-J883-K883+L883+M883-N883,G882-J883-K883+M883-N883)))</f>
        <v xml:space="preserve"> </v>
      </c>
      <c r="H883" s="133" t="str">
        <f>IF(F883&gt;'депозитный калькулятор'!$D$8," ",IF(AND(OR('депозитный калькулятор'!$G$7="30/365",'депозитный калькулятор'!$G$7="30/360"),AND(MONTH(F883)=2,EOMONTH(F883,0)=F883)),IF(DAY(F883)=28,3*G883*'депозитный калькулятор'!$G$8,2*G883*'депозитный калькулятор'!$G$8),IF(AND(OR('депозитный калькулятор'!$G$7="30/365",'депозитный калькулятор'!$G$7="30/360"),DAY(F883)=31)," ",IF(AND('депозитный калькулятор'!$G$7="факт/факт",MOD(YEAR(F883),4)=0),G883*'депозитный калькулятор'!$D$11/366,G883*'депозитный калькулятор'!$G$8))))</f>
        <v xml:space="preserve"> </v>
      </c>
      <c r="I883" s="134" t="str">
        <f ca="1">IF(F883=" "," ",IF('депозитный калькулятор'!$G$10="ежедневное",H883,IF(AND('депозитный калькулятор'!$G$10="еженедельное",WEEKDAY(F883,2)=7),SUM(OFFSET(H883,-6,0):H883),IF(AND('депозитный калькулятор'!$G$10="еженедельное",F883='депозитный калькулятор'!$D$8),SUM($H$23:H883)-SUM($I$23:I882),IF(AND('депозитный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недели",WEEKDAY(F883,2)=7),MIN(OFFSET(H883,-6,0):H883)*(COUNTIF(OFFSET(H883,-6,0):H883,"&gt;0")+SUMIF(OFFSET(A883,-WEEKDAY(F883,2),0):A883,"=2",OFFSET(A883,-WEEKDAY(F883,2),0):A883)),IF(AND('депозитный калькулятор'!$G$10="еженедельное, на минимальную сумму зафиксированную в течение недели",F883='депозитный калькулятор'!$D$8,WEEKDAY(F883,2)&lt;&gt;7),MIN(OFFSET(H883,-WEEKDAY(F883,2),0):H883)*(COUNTIF(OFFSET(H883,-WEEKDAY(F883,2)+1,0):H883,"&gt;0")+SUM(OFFSET(A883,-WEEKDAY(F883,2),0):A883)),IF(AND('депозитный калькулятор'!$G$10="ежемесячное (в конце месяца)",F883='депозитный калькулятор'!$D$8,EOMONTH(F883,0)&lt;&gt;F883),IF('депозитный калькулятор'!$F$1=1,$H$24,SUM($H$23:H883)-SUM($I$23:I882)),IF(AND('депозитный калькулятор'!$G$10="ежемесячное (в конце месяца)",EOMONTH(F883,0)=F883),SUM($H$23:H883)-SUM($I$23:I882),IF(AND('депозитный калькулятор'!$G$10="ежемесячное (по дням открытия вклада)",F883='депозитный калькулятор'!$D$8,DAY('депозитный калькулятор'!$D$7)&lt;&gt;DAY(F883)),IF('депозитный калькулятор'!$F$1=1,$H$24,SUM($H$23:H883)-SUM($I$23:I882)),IF(AND('депозитный калькулятор'!$G$10="ежемесячное (по дням открытия вклада)",DAY('депозитный калькулятор'!$D$7)=DAY(F883)),SUM($H$23:H883)-SUM($I$23:I882),IF(AND('депозитный калькулятор'!$G$10="ежемесячное, на минимальную сумму зафиксированную в течение месяца",F883='депозитный калькулятор'!$D$8,EOMONTH(F883,0)&lt;&gt;F883),IF('депозитный калькулятор'!$F$1=1,$H$24,IF(AND(OR('депозитный калькулятор'!$G$7="30/365",'депозитный калькулятор'!$G$7="30/360"),DAY(F883)=31),0,MIN(OFFSET(H883,-E883+1,0):H883)*(E883+SUMIF(OFFSET(A883,-E883+1,0):A883,"=2",OFFSET(A883,-E883+1,0):A883)))),IF(AND('депозитный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калькулятор'!$G$7="30/360"),DAY(EOMONTH(F883,0))=31),EOMONTH(F883,0)-1=F883,EOMONTH(F883,0)=F883)),IF(IF(AND(OR('депозитный калькулятор'!$G$7="30/365",'депозитный калькулятор'!$G$7="30/360"),DAY(EOMONTH($F$23,0))=31),F883=EOMONTH($F$23,0)-1,F883=EOMONTH($F$23,0)),MIN(OFFSET(H883,-(DAY(F883)-DAY($F$23)),0):H883)*E883,MIN(OFFSET(H883,-(DAY(F883)-1),0):H883)*IF(AND(OR('депозитный калькулятор'!$G$7="30/365",'депозитный калькулятор'!$G$7="30/360"),DAY(F883)&lt;30),30,DAY(F883))),IF(AND('депозитный калькулятор'!$G$10="ежемесячное, на средний остаток в течение месяца, при условии что остаток больше чем ограничение",F883='депозитный калькулятор'!$D$8,EOMONTH(F883,0)&lt;&gt;F883),IF('депозитный калькулятор'!$F$1=1,$H$24,SUM(OFFSET(Q883,-E883+1,0):Q883)),IF(AND('депозитный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калькулятор'!$G$7="30/360"),DAY(EOMONTH(F883,0))=31),EOMONTH(F883,0)-1=F883,EOMONTH(F883,0)=F883)),IF(IF(AND(OR('депозитный калькулятор'!$G$7="30/365",'депозитный калькулятор'!$G$7="30/360"),DAY(EOMONTH($F$24,0))=31),F883=EOMONTH($F$24,0)-1,F883=EOMONTH($F$24,0)),SUM(OFFSET(Q883,-E883+1,0):Q883),SUM(OFFSET(Q883,-E883+1,0):Q883)),IF('депозитный калькулятор'!$G$10="ежеквартальное",IF(F883&gt;'депозитный калькулятор'!$D$8," ",IF(AND(EOMONTH(F883,0)=F883,OR(MONTH(F883)=3,MONTH(F883)=6,MONTH(F883)=9,MONTH(F883)=12)),IF(EDATE(F883,-3)&lt;'депозитный калькулятор'!$D$7,SUM($H$23:H883),IF(MOD(YEAR(F883),4)=0,IF(AND(EOMONTH(F883,0)=F883,OR(MONTH(F883)=3,MONTH(F883)=6)),SUM(OFFSET(H883,-90,0):H883),IF(AND(EOMONTH(F883,0)=F883,OR(MONTH(F883)=9,MONTH(F883)=12)),SUM(OFFSET(H883,-91,0):H883))),IF(AND(EOMONTH(F883,0)=F883,MONTH(F883)=3),SUM(OFFSET(H883,-89,0):H883),IF(AND(EOMONTH(F883,0)=F883,MONTH(F883)=6),SUM(OFFSET(H883,-90,0):H883),IF(AND(EOMONTH(F883,0)=F883,OR(MONTH(F883)=9,MONTH(F883)=12)),SUM(OFFSET(H883,-91,0):H883)))))),IF(F883='депозитный калькулятор'!$D$8,SUM($H$23:H883)-SUM($I$23:I882),0))),IF('депозитный калькулятор'!$G$10="ежегодное",IF(F883&gt;'депозитный калькулятор'!$D$8," ",IF(F883='депозитный калькулятор'!$D$8,SUM($H$23:H883)-SUM($I$23:I882),IF(AND(EOMONTH(F883,0)=F883,MONTH(F883)=12),IF(MOD(YEAR(F882),4)=0,IF(F883-'депозитный калькулятор'!$D$7&lt;366,SUM($H$23:H883),SUM(OFFSET(H883,-365,0):H883)),IF(F883-'депозитный калькулятор'!$D$7&lt;365,SUM($H$23:H883),SUM(OFFSET(H883,-364,0):H883))),0))),IF(AND('депозитный калькулятор'!$G$10="в конце срока",'депозитный калькулятор'!$D$8=F883),SUM($H$23:H883),0))))))))))))))))))</f>
        <v xml:space="preserve"> </v>
      </c>
      <c r="J883" s="59" t="str">
        <f>IF(F883&gt;'депозитный калькулятор'!$D$8," ",IF('депозитный калькулятор'!$G$16="нет",0,IF(AND('депозитный калькулятор'!$G$17="разовая (в конце срока)",F883='депозитный калькулятор'!$D$8),'депозитный калькулятор'!$G$18,IF(AND('депозитный калькулятор'!$G$17="ежемесячная",EOMONTH(F882,0)=F882),'депозитный калькулятор'!$G$18,IF(AND('депозитный калькулятор'!$G$17="ежегодная",DAY(F882)=31,MONTH(F882)=12),'депозитный калькулятор'!$G$18,IF(AND('депозитный калькулятор'!$G$17="ежемесячная в зависимости от остатка",EOMONTH(F882,0)=F882,P882&gt;0),'депозитный калькулятор'!$G$18,IF(AND('депозитный калькулятор'!$G$17="ежегодная в зависимости от остатка",DAY(F882)=31,MONTH(F882)=12,P882&gt;0),'депозитный калькулятор'!$G$18,0)))))))</f>
        <v xml:space="preserve"> </v>
      </c>
      <c r="K883" s="135" t="str">
        <f>IF($F883=" "," ",IFERROR(VLOOKUP($F883,'депозитный калькулятор'!$B$26:$F$70,2,0),0))</f>
        <v xml:space="preserve"> </v>
      </c>
      <c r="L883" s="135" t="str">
        <f>IF($F883=" "," ",IFERROR(VLOOKUP($F883,'депозитный калькулятор'!$B$26:$F$70,3,0),0))</f>
        <v xml:space="preserve"> </v>
      </c>
      <c r="M883" s="135" t="str">
        <f>IF($F883=" "," ",IFERROR(VLOOKUP($F883,'депозитный калькулятор'!$B$26:$F$70,4,0),0))</f>
        <v xml:space="preserve"> </v>
      </c>
      <c r="N883" s="135" t="str">
        <f>IF($F883=" "," ",IFERROR(VLOOKUP($F883,'депозитный калькулятор'!$B$26:$F$70,5,0),0))</f>
        <v xml:space="preserve"> </v>
      </c>
      <c r="O883" s="146" t="str">
        <f>IF(F883&gt;'депозитный калькулятор'!$D$8," ",IF(F883='депозитный калькулятор'!$D$8,IF(AND($F$24='депозитный калькулятор'!$D$8,'депозитный калькулятор'!$G$13="нет"),-G883-IF(I883=" ",0,I883)-IF(AND(OR('депозитный калькулятор'!$G$7="30/365",'депозитный калькулятор'!$G$7="30/360"),'депозитный калькулятор'!$G$10="в начале срока"),I882,0)-L883+M883-N883,-G883-IF(I883=" ",0,I883)-L883+M883-N883),IF('депозитный калькулятор'!$G$13="есть",M883-N883+IF('депозитный калькулятор'!$G$14="есть",0,-L883),-IF(I883=" ",0,I883)-IF(AND(OR('депозитный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срока"),I882,0)+M883-N883+IF('депозитный калькулятор'!$G$14="есть",0,-L883))))</f>
        <v xml:space="preserve"> </v>
      </c>
      <c r="P883" s="147" t="str">
        <f>IF(F883&gt;'депозитный калькулятор'!$D$8," ",IF(EOMONTH(F882,0)=F882,0,IF(G883&gt;='депозитный калькулятор'!$G$19,P882,P882+1)))</f>
        <v xml:space="preserve"> </v>
      </c>
      <c r="Q883" s="138" t="str">
        <f>IF(F883=" "," ",IF(AND(OR('депозитный калькулятор'!$G$7="30/365",'депозитный калькулятор'!$G$7="30/360"),AND(MONTH(F883)=2,EOMONTH(F883,0)=F883)),IF(DAY(F883)=28,3,2),1)*IF(G883&gt;='депозитный калькулятор'!$G$11,IF(AND('депозитный калькулятор'!$G$7="факт/факт",MOD(YEAR(F883),4)=0),G883*'депозитный калькулятор'!$D$11/366,G883*'депозитный калькулятор'!$G$8),0))</f>
        <v xml:space="preserve"> </v>
      </c>
      <c r="S883" s="62" t="str">
        <f t="shared" ca="1" si="67"/>
        <v xml:space="preserve"> </v>
      </c>
      <c r="T883" s="149" t="str">
        <f ca="1">IF(S883=" "," ",IF('депозитный калькулятор'!$G$7="30/360",DAYS360(U882,IF(DAY(U883)=31,U883-1,U883))+IF(AND(MONTH(U883)=2,U883=EOMONTH(U883,0)),30-DAY(EOMONTH(U883,0)))+T882,VLOOKUP(S883,$C$22:$F$1023,2,0)))</f>
        <v xml:space="preserve"> </v>
      </c>
      <c r="U883" s="64" t="str">
        <f t="shared" ca="1" si="65"/>
        <v xml:space="preserve"> </v>
      </c>
      <c r="V883" s="150" t="str">
        <f t="shared" ca="1" si="68"/>
        <v xml:space="preserve"> </v>
      </c>
      <c r="W883" s="62" t="str">
        <f t="shared" ca="1" si="69"/>
        <v xml:space="preserve"> </v>
      </c>
      <c r="X883" s="141" t="str">
        <f ca="1">IF(S883=" "," ",IFERROR(VLOOKUP(U883,$F$23:$N$1023,7)+VLOOKUP(U883,$F$23:$N$1023,9)+IF(AND('депозитный калькулятор'!$G$13="нет",U883&lt;&gt;'депозитный калькулятор'!$D$8),VLOOKUP(U883,$F$23:$N$1023,4),0),0)+IF(U883='депозитный калькулятор'!$D$8,VLOOKUP(U883,$F$23:$N$1023,2)+VLOOKUP(U883,$F$23:$N$1023,4),0))</f>
        <v xml:space="preserve"> </v>
      </c>
      <c r="Y883" s="142" t="str">
        <f ca="1">IF(S883=" "," ",W883/(1+'депозитный калькулятор'!$K$8)^(T883/IF('депозитный калькулятор'!$G$7="30/360",360,365)))</f>
        <v xml:space="preserve"> </v>
      </c>
      <c r="Z883" s="142" t="str">
        <f ca="1">IF(S883=" "," ",X883/(1+'депозитный калькулятор'!$K$8)^(T883/IF('депозитный калькулятор'!$G$7="30/360",360,365)))</f>
        <v xml:space="preserve"> </v>
      </c>
      <c r="AA883" s="151"/>
      <c r="AB883" s="151"/>
      <c r="AC883" s="155"/>
      <c r="AD883" s="155"/>
    </row>
    <row r="884" spans="1:30" s="2" customFormat="1" ht="15.5" x14ac:dyDescent="0.35">
      <c r="A884" s="41" t="str">
        <f>IF(F884=" "," ",IF(OR('депозитный калькулятор'!$G$7="30/365",'депозитный калькулятор'!$G$7="30/360"),IF(AND(MONTH(F884)=2,DAY(F884)=DAY(EOMONTH(F884,0))),30-DAY(EOMONTH(F884,0)),IF(DAY(F884)=31,1," "))," "))</f>
        <v xml:space="preserve"> </v>
      </c>
      <c r="B884" s="130" t="str">
        <f t="shared" si="66"/>
        <v xml:space="preserve"> </v>
      </c>
      <c r="C884" s="130" t="str">
        <f>IF(OR(B884=0,B884=" ")," ",SUM($B$23:B884))</f>
        <v xml:space="preserve"> </v>
      </c>
      <c r="D884" s="62" t="str">
        <f>IF(D883=" "," ",IF(OR(F883='депозитный калькулятор'!$D$8,F883=" ")," ",D883+1))</f>
        <v xml:space="preserve"> </v>
      </c>
      <c r="E884" s="130" t="str">
        <f>IF(OR(F883='депозитный калькулятор'!$D$8,F883=" ")," ",IF(EOMONTH(F883,0)=F883,1,E883+1))</f>
        <v xml:space="preserve"> </v>
      </c>
      <c r="F884" s="64" t="str">
        <f>IF(F883=" "," ",IF(F883='депозитный калькулятор'!$D$8," ",F883+1))</f>
        <v xml:space="preserve"> </v>
      </c>
      <c r="G884" s="145" t="str">
        <f xml:space="preserve"> IF(F884&gt;'депозитный калькулятор'!$D$8," ",IF('депозитный калькулятор'!$G$13="есть",IF('депозитный калькулятор'!$G$14="есть",G883+IF(I883=" ",0,I883)-J884-K884+L884+M884-N884,G883+IF(I883=" ",0,I883)-J884-K884+M884-N884),IF('депозитный калькулятор'!$G$14="есть",G883-J884-K884+L884+M884-N884,G883-J884-K884+M884-N884)))</f>
        <v xml:space="preserve"> </v>
      </c>
      <c r="H884" s="133" t="str">
        <f>IF(F884&gt;'депозитный калькулятор'!$D$8," ",IF(AND(OR('депозитный калькулятор'!$G$7="30/365",'депозитный калькулятор'!$G$7="30/360"),AND(MONTH(F884)=2,EOMONTH(F884,0)=F884)),IF(DAY(F884)=28,3*G884*'депозитный калькулятор'!$G$8,2*G884*'депозитный калькулятор'!$G$8),IF(AND(OR('депозитный калькулятор'!$G$7="30/365",'депозитный калькулятор'!$G$7="30/360"),DAY(F884)=31)," ",IF(AND('депозитный калькулятор'!$G$7="факт/факт",MOD(YEAR(F884),4)=0),G884*'депозитный калькулятор'!$D$11/366,G884*'депозитный калькулятор'!$G$8))))</f>
        <v xml:space="preserve"> </v>
      </c>
      <c r="I884" s="134" t="str">
        <f ca="1">IF(F884=" "," ",IF('депозитный калькулятор'!$G$10="ежедневное",H884,IF(AND('депозитный калькулятор'!$G$10="еженедельное",WEEKDAY(F884,2)=7),SUM(OFFSET(H884,-6,0):H884),IF(AND('депозитный калькулятор'!$G$10="еженедельное",F884='депозитный калькулятор'!$D$8),SUM($H$23:H884)-SUM($I$23:I883),IF(AND('депозитный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недели",WEEKDAY(F884,2)=7),MIN(OFFSET(H884,-6,0):H884)*(COUNTIF(OFFSET(H884,-6,0):H884,"&gt;0")+SUMIF(OFFSET(A884,-WEEKDAY(F884,2),0):A884,"=2",OFFSET(A884,-WEEKDAY(F884,2),0):A884)),IF(AND('депозитный калькулятор'!$G$10="еженедельное, на минимальную сумму зафиксированную в течение недели",F884='депозитный калькулятор'!$D$8,WEEKDAY(F884,2)&lt;&gt;7),MIN(OFFSET(H884,-WEEKDAY(F884,2),0):H884)*(COUNTIF(OFFSET(H884,-WEEKDAY(F884,2)+1,0):H884,"&gt;0")+SUM(OFFSET(A884,-WEEKDAY(F884,2),0):A884)),IF(AND('депозитный калькулятор'!$G$10="ежемесячное (в конце месяца)",F884='депозитный калькулятор'!$D$8,EOMONTH(F884,0)&lt;&gt;F884),IF('депозитный калькулятор'!$F$1=1,$H$24,SUM($H$23:H884)-SUM($I$23:I883)),IF(AND('депозитный калькулятор'!$G$10="ежемесячное (в конце месяца)",EOMONTH(F884,0)=F884),SUM($H$23:H884)-SUM($I$23:I883),IF(AND('депозитный калькулятор'!$G$10="ежемесячное (по дням открытия вклада)",F884='депозитный калькулятор'!$D$8,DAY('депозитный калькулятор'!$D$7)&lt;&gt;DAY(F884)),IF('депозитный калькулятор'!$F$1=1,$H$24,SUM($H$23:H884)-SUM($I$23:I883)),IF(AND('депозитный калькулятор'!$G$10="ежемесячное (по дням открытия вклада)",DAY('депозитный калькулятор'!$D$7)=DAY(F884)),SUM($H$23:H884)-SUM($I$23:I883),IF(AND('депозитный калькулятор'!$G$10="ежемесячное, на минимальную сумму зафиксированную в течение месяца",F884='депозитный калькулятор'!$D$8,EOMONTH(F884,0)&lt;&gt;F884),IF('депозитный калькулятор'!$F$1=1,$H$24,IF(AND(OR('депозитный калькулятор'!$G$7="30/365",'депозитный калькулятор'!$G$7="30/360"),DAY(F884)=31),0,MIN(OFFSET(H884,-E884+1,0):H884)*(E884+SUMIF(OFFSET(A884,-E884+1,0):A884,"=2",OFFSET(A884,-E884+1,0):A884)))),IF(AND('депозитный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калькулятор'!$G$7="30/360"),DAY(EOMONTH(F884,0))=31),EOMONTH(F884,0)-1=F884,EOMONTH(F884,0)=F884)),IF(IF(AND(OR('депозитный калькулятор'!$G$7="30/365",'депозитный калькулятор'!$G$7="30/360"),DAY(EOMONTH($F$23,0))=31),F884=EOMONTH($F$23,0)-1,F884=EOMONTH($F$23,0)),MIN(OFFSET(H884,-(DAY(F884)-DAY($F$23)),0):H884)*E884,MIN(OFFSET(H884,-(DAY(F884)-1),0):H884)*IF(AND(OR('депозитный калькулятор'!$G$7="30/365",'депозитный калькулятор'!$G$7="30/360"),DAY(F884)&lt;30),30,DAY(F884))),IF(AND('депозитный калькулятор'!$G$10="ежемесячное, на средний остаток в течение месяца, при условии что остаток больше чем ограничение",F884='депозитный калькулятор'!$D$8,EOMONTH(F884,0)&lt;&gt;F884),IF('депозитный калькулятор'!$F$1=1,$H$24,SUM(OFFSET(Q884,-E884+1,0):Q884)),IF(AND('депозитный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калькулятор'!$G$7="30/360"),DAY(EOMONTH(F884,0))=31),EOMONTH(F884,0)-1=F884,EOMONTH(F884,0)=F884)),IF(IF(AND(OR('депозитный калькулятор'!$G$7="30/365",'депозитный калькулятор'!$G$7="30/360"),DAY(EOMONTH($F$24,0))=31),F884=EOMONTH($F$24,0)-1,F884=EOMONTH($F$24,0)),SUM(OFFSET(Q884,-E884+1,0):Q884),SUM(OFFSET(Q884,-E884+1,0):Q884)),IF('депозитный калькулятор'!$G$10="ежеквартальное",IF(F884&gt;'депозитный калькулятор'!$D$8," ",IF(AND(EOMONTH(F884,0)=F884,OR(MONTH(F884)=3,MONTH(F884)=6,MONTH(F884)=9,MONTH(F884)=12)),IF(EDATE(F884,-3)&lt;'депозитный калькулятор'!$D$7,SUM($H$23:H884),IF(MOD(YEAR(F884),4)=0,IF(AND(EOMONTH(F884,0)=F884,OR(MONTH(F884)=3,MONTH(F884)=6)),SUM(OFFSET(H884,-90,0):H884),IF(AND(EOMONTH(F884,0)=F884,OR(MONTH(F884)=9,MONTH(F884)=12)),SUM(OFFSET(H884,-91,0):H884))),IF(AND(EOMONTH(F884,0)=F884,MONTH(F884)=3),SUM(OFFSET(H884,-89,0):H884),IF(AND(EOMONTH(F884,0)=F884,MONTH(F884)=6),SUM(OFFSET(H884,-90,0):H884),IF(AND(EOMONTH(F884,0)=F884,OR(MONTH(F884)=9,MONTH(F884)=12)),SUM(OFFSET(H884,-91,0):H884)))))),IF(F884='депозитный калькулятор'!$D$8,SUM($H$23:H884)-SUM($I$23:I883),0))),IF('депозитный калькулятор'!$G$10="ежегодное",IF(F884&gt;'депозитный калькулятор'!$D$8," ",IF(F884='депозитный калькулятор'!$D$8,SUM($H$23:H884)-SUM($I$23:I883),IF(AND(EOMONTH(F884,0)=F884,MONTH(F884)=12),IF(MOD(YEAR(F883),4)=0,IF(F884-'депозитный калькулятор'!$D$7&lt;366,SUM($H$23:H884),SUM(OFFSET(H884,-365,0):H884)),IF(F884-'депозитный калькулятор'!$D$7&lt;365,SUM($H$23:H884),SUM(OFFSET(H884,-364,0):H884))),0))),IF(AND('депозитный калькулятор'!$G$10="в конце срока",'депозитный калькулятор'!$D$8=F884),SUM($H$23:H884),0))))))))))))))))))</f>
        <v xml:space="preserve"> </v>
      </c>
      <c r="J884" s="59" t="str">
        <f>IF(F884&gt;'депозитный калькулятор'!$D$8," ",IF('депозитный калькулятор'!$G$16="нет",0,IF(AND('депозитный калькулятор'!$G$17="разовая (в конце срока)",F884='депозитный калькулятор'!$D$8),'депозитный калькулятор'!$G$18,IF(AND('депозитный калькулятор'!$G$17="ежемесячная",EOMONTH(F883,0)=F883),'депозитный калькулятор'!$G$18,IF(AND('депозитный калькулятор'!$G$17="ежегодная",DAY(F883)=31,MONTH(F883)=12),'депозитный калькулятор'!$G$18,IF(AND('депозитный калькулятор'!$G$17="ежемесячная в зависимости от остатка",EOMONTH(F883,0)=F883,P883&gt;0),'депозитный калькулятор'!$G$18,IF(AND('депозитный калькулятор'!$G$17="ежегодная в зависимости от остатка",DAY(F883)=31,MONTH(F883)=12,P883&gt;0),'депозитный калькулятор'!$G$18,0)))))))</f>
        <v xml:space="preserve"> </v>
      </c>
      <c r="K884" s="135" t="str">
        <f>IF($F884=" "," ",IFERROR(VLOOKUP($F884,'депозитный калькулятор'!$B$26:$F$70,2,0),0))</f>
        <v xml:space="preserve"> </v>
      </c>
      <c r="L884" s="135" t="str">
        <f>IF($F884=" "," ",IFERROR(VLOOKUP($F884,'депозитный калькулятор'!$B$26:$F$70,3,0),0))</f>
        <v xml:space="preserve"> </v>
      </c>
      <c r="M884" s="135" t="str">
        <f>IF($F884=" "," ",IFERROR(VLOOKUP($F884,'депозитный калькулятор'!$B$26:$F$70,4,0),0))</f>
        <v xml:space="preserve"> </v>
      </c>
      <c r="N884" s="135" t="str">
        <f>IF($F884=" "," ",IFERROR(VLOOKUP($F884,'депозитный калькулятор'!$B$26:$F$70,5,0),0))</f>
        <v xml:space="preserve"> </v>
      </c>
      <c r="O884" s="146" t="str">
        <f>IF(F884&gt;'депозитный калькулятор'!$D$8," ",IF(F884='депозитный калькулятор'!$D$8,IF(AND($F$24='депозитный калькулятор'!$D$8,'депозитный калькулятор'!$G$13="нет"),-G884-IF(I884=" ",0,I884)-IF(AND(OR('депозитный калькулятор'!$G$7="30/365",'депозитный калькулятор'!$G$7="30/360"),'депозитный калькулятор'!$G$10="в начале срока"),I883,0)-L884+M884-N884,-G884-IF(I884=" ",0,I884)-L884+M884-N884),IF('депозитный калькулятор'!$G$13="есть",M884-N884+IF('депозитный калькулятор'!$G$14="есть",0,-L884),-IF(I884=" ",0,I884)-IF(AND(OR('депозитный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срока"),I883,0)+M884-N884+IF('депозитный калькулятор'!$G$14="есть",0,-L884))))</f>
        <v xml:space="preserve"> </v>
      </c>
      <c r="P884" s="147" t="str">
        <f>IF(F884&gt;'депозитный калькулятор'!$D$8," ",IF(EOMONTH(F883,0)=F883,0,IF(G884&gt;='депозитный калькулятор'!$G$19,P883,P883+1)))</f>
        <v xml:space="preserve"> </v>
      </c>
      <c r="Q884" s="138" t="str">
        <f>IF(F884=" "," ",IF(AND(OR('депозитный калькулятор'!$G$7="30/365",'депозитный калькулятор'!$G$7="30/360"),AND(MONTH(F884)=2,EOMONTH(F884,0)=F884)),IF(DAY(F884)=28,3,2),1)*IF(G884&gt;='депозитный калькулятор'!$G$11,IF(AND('депозитный калькулятор'!$G$7="факт/факт",MOD(YEAR(F884),4)=0),G884*'депозитный калькулятор'!$D$11/366,G884*'депозитный калькулятор'!$G$8),0))</f>
        <v xml:space="preserve"> </v>
      </c>
      <c r="S884" s="62" t="str">
        <f t="shared" ca="1" si="67"/>
        <v xml:space="preserve"> </v>
      </c>
      <c r="T884" s="149" t="str">
        <f ca="1">IF(S884=" "," ",IF('депозитный калькулятор'!$G$7="30/360",DAYS360(U883,IF(DAY(U884)=31,U884-1,U884))+IF(AND(MONTH(U884)=2,U884=EOMONTH(U884,0)),30-DAY(EOMONTH(U884,0)))+T883,VLOOKUP(S884,$C$22:$F$1023,2,0)))</f>
        <v xml:space="preserve"> </v>
      </c>
      <c r="U884" s="64" t="str">
        <f t="shared" ca="1" si="65"/>
        <v xml:space="preserve"> </v>
      </c>
      <c r="V884" s="150" t="str">
        <f t="shared" ca="1" si="68"/>
        <v xml:space="preserve"> </v>
      </c>
      <c r="W884" s="62" t="str">
        <f t="shared" ca="1" si="69"/>
        <v xml:space="preserve"> </v>
      </c>
      <c r="X884" s="141" t="str">
        <f ca="1">IF(S884=" "," ",IFERROR(VLOOKUP(U884,$F$23:$N$1023,7)+VLOOKUP(U884,$F$23:$N$1023,9)+IF(AND('депозитный калькулятор'!$G$13="нет",U884&lt;&gt;'депозитный калькулятор'!$D$8),VLOOKUP(U884,$F$23:$N$1023,4),0),0)+IF(U884='депозитный калькулятор'!$D$8,VLOOKUP(U884,$F$23:$N$1023,2)+VLOOKUP(U884,$F$23:$N$1023,4),0))</f>
        <v xml:space="preserve"> </v>
      </c>
      <c r="Y884" s="142" t="str">
        <f ca="1">IF(S884=" "," ",W884/(1+'депозитный калькулятор'!$K$8)^(T884/IF('депозитный калькулятор'!$G$7="30/360",360,365)))</f>
        <v xml:space="preserve"> </v>
      </c>
      <c r="Z884" s="142" t="str">
        <f ca="1">IF(S884=" "," ",X884/(1+'депозитный калькулятор'!$K$8)^(T884/IF('депозитный калькулятор'!$G$7="30/360",360,365)))</f>
        <v xml:space="preserve"> </v>
      </c>
      <c r="AA884" s="151"/>
      <c r="AB884" s="151"/>
      <c r="AC884" s="155"/>
      <c r="AD884" s="155"/>
    </row>
    <row r="885" spans="1:30" s="2" customFormat="1" ht="15.5" x14ac:dyDescent="0.35">
      <c r="A885" s="41" t="str">
        <f>IF(F885=" "," ",IF(OR('депозитный калькулятор'!$G$7="30/365",'депозитный калькулятор'!$G$7="30/360"),IF(AND(MONTH(F885)=2,DAY(F885)=DAY(EOMONTH(F885,0))),30-DAY(EOMONTH(F885,0)),IF(DAY(F885)=31,1," "))," "))</f>
        <v xml:space="preserve"> </v>
      </c>
      <c r="B885" s="130" t="str">
        <f t="shared" si="66"/>
        <v xml:space="preserve"> </v>
      </c>
      <c r="C885" s="130" t="str">
        <f>IF(OR(B885=0,B885=" ")," ",SUM($B$23:B885))</f>
        <v xml:space="preserve"> </v>
      </c>
      <c r="D885" s="62" t="str">
        <f>IF(D884=" "," ",IF(OR(F884='депозитный калькулятор'!$D$8,F884=" ")," ",D884+1))</f>
        <v xml:space="preserve"> </v>
      </c>
      <c r="E885" s="130" t="str">
        <f>IF(OR(F884='депозитный калькулятор'!$D$8,F884=" ")," ",IF(EOMONTH(F884,0)=F884,1,E884+1))</f>
        <v xml:space="preserve"> </v>
      </c>
      <c r="F885" s="64" t="str">
        <f>IF(F884=" "," ",IF(F884='депозитный калькулятор'!$D$8," ",F884+1))</f>
        <v xml:space="preserve"> </v>
      </c>
      <c r="G885" s="145" t="str">
        <f xml:space="preserve"> IF(F885&gt;'депозитный калькулятор'!$D$8," ",IF('депозитный калькулятор'!$G$13="есть",IF('депозитный калькулятор'!$G$14="есть",G884+IF(I884=" ",0,I884)-J885-K885+L885+M885-N885,G884+IF(I884=" ",0,I884)-J885-K885+M885-N885),IF('депозитный калькулятор'!$G$14="есть",G884-J885-K885+L885+M885-N885,G884-J885-K885+M885-N885)))</f>
        <v xml:space="preserve"> </v>
      </c>
      <c r="H885" s="133" t="str">
        <f>IF(F885&gt;'депозитный калькулятор'!$D$8," ",IF(AND(OR('депозитный калькулятор'!$G$7="30/365",'депозитный калькулятор'!$G$7="30/360"),AND(MONTH(F885)=2,EOMONTH(F885,0)=F885)),IF(DAY(F885)=28,3*G885*'депозитный калькулятор'!$G$8,2*G885*'депозитный калькулятор'!$G$8),IF(AND(OR('депозитный калькулятор'!$G$7="30/365",'депозитный калькулятор'!$G$7="30/360"),DAY(F885)=31)," ",IF(AND('депозитный калькулятор'!$G$7="факт/факт",MOD(YEAR(F885),4)=0),G885*'депозитный калькулятор'!$D$11/366,G885*'депозитный калькулятор'!$G$8))))</f>
        <v xml:space="preserve"> </v>
      </c>
      <c r="I885" s="134" t="str">
        <f ca="1">IF(F885=" "," ",IF('депозитный калькулятор'!$G$10="ежедневное",H885,IF(AND('депозитный калькулятор'!$G$10="еженедельное",WEEKDAY(F885,2)=7),SUM(OFFSET(H885,-6,0):H885),IF(AND('депозитный калькулятор'!$G$10="еженедельное",F885='депозитный калькулятор'!$D$8),SUM($H$23:H885)-SUM($I$23:I884),IF(AND('депозитный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недели",WEEKDAY(F885,2)=7),MIN(OFFSET(H885,-6,0):H885)*(COUNTIF(OFFSET(H885,-6,0):H885,"&gt;0")+SUMIF(OFFSET(A885,-WEEKDAY(F885,2),0):A885,"=2",OFFSET(A885,-WEEKDAY(F885,2),0):A885)),IF(AND('депозитный калькулятор'!$G$10="еженедельное, на минимальную сумму зафиксированную в течение недели",F885='депозитный калькулятор'!$D$8,WEEKDAY(F885,2)&lt;&gt;7),MIN(OFFSET(H885,-WEEKDAY(F885,2),0):H885)*(COUNTIF(OFFSET(H885,-WEEKDAY(F885,2)+1,0):H885,"&gt;0")+SUM(OFFSET(A885,-WEEKDAY(F885,2),0):A885)),IF(AND('депозитный калькулятор'!$G$10="ежемесячное (в конце месяца)",F885='депозитный калькулятор'!$D$8,EOMONTH(F885,0)&lt;&gt;F885),IF('депозитный калькулятор'!$F$1=1,$H$24,SUM($H$23:H885)-SUM($I$23:I884)),IF(AND('депозитный калькулятор'!$G$10="ежемесячное (в конце месяца)",EOMONTH(F885,0)=F885),SUM($H$23:H885)-SUM($I$23:I884),IF(AND('депозитный калькулятор'!$G$10="ежемесячное (по дням открытия вклада)",F885='депозитный калькулятор'!$D$8,DAY('депозитный калькулятор'!$D$7)&lt;&gt;DAY(F885)),IF('депозитный калькулятор'!$F$1=1,$H$24,SUM($H$23:H885)-SUM($I$23:I884)),IF(AND('депозитный калькулятор'!$G$10="ежемесячное (по дням открытия вклада)",DAY('депозитный калькулятор'!$D$7)=DAY(F885)),SUM($H$23:H885)-SUM($I$23:I884),IF(AND('депозитный калькулятор'!$G$10="ежемесячное, на минимальную сумму зафиксированную в течение месяца",F885='депозитный калькулятор'!$D$8,EOMONTH(F885,0)&lt;&gt;F885),IF('депозитный калькулятор'!$F$1=1,$H$24,IF(AND(OR('депозитный калькулятор'!$G$7="30/365",'депозитный калькулятор'!$G$7="30/360"),DAY(F885)=31),0,MIN(OFFSET(H885,-E885+1,0):H885)*(E885+SUMIF(OFFSET(A885,-E885+1,0):A885,"=2",OFFSET(A885,-E885+1,0):A885)))),IF(AND('депозитный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калькулятор'!$G$7="30/360"),DAY(EOMONTH(F885,0))=31),EOMONTH(F885,0)-1=F885,EOMONTH(F885,0)=F885)),IF(IF(AND(OR('депозитный калькулятор'!$G$7="30/365",'депозитный калькулятор'!$G$7="30/360"),DAY(EOMONTH($F$23,0))=31),F885=EOMONTH($F$23,0)-1,F885=EOMONTH($F$23,0)),MIN(OFFSET(H885,-(DAY(F885)-DAY($F$23)),0):H885)*E885,MIN(OFFSET(H885,-(DAY(F885)-1),0):H885)*IF(AND(OR('депозитный калькулятор'!$G$7="30/365",'депозитный калькулятор'!$G$7="30/360"),DAY(F885)&lt;30),30,DAY(F885))),IF(AND('депозитный калькулятор'!$G$10="ежемесячное, на средний остаток в течение месяца, при условии что остаток больше чем ограничение",F885='депозитный калькулятор'!$D$8,EOMONTH(F885,0)&lt;&gt;F885),IF('депозитный калькулятор'!$F$1=1,$H$24,SUM(OFFSET(Q885,-E885+1,0):Q885)),IF(AND('депозитный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калькулятор'!$G$7="30/360"),DAY(EOMONTH(F885,0))=31),EOMONTH(F885,0)-1=F885,EOMONTH(F885,0)=F885)),IF(IF(AND(OR('депозитный калькулятор'!$G$7="30/365",'депозитный калькулятор'!$G$7="30/360"),DAY(EOMONTH($F$24,0))=31),F885=EOMONTH($F$24,0)-1,F885=EOMONTH($F$24,0)),SUM(OFFSET(Q885,-E885+1,0):Q885),SUM(OFFSET(Q885,-E885+1,0):Q885)),IF('депозитный калькулятор'!$G$10="ежеквартальное",IF(F885&gt;'депозитный калькулятор'!$D$8," ",IF(AND(EOMONTH(F885,0)=F885,OR(MONTH(F885)=3,MONTH(F885)=6,MONTH(F885)=9,MONTH(F885)=12)),IF(EDATE(F885,-3)&lt;'депозитный калькулятор'!$D$7,SUM($H$23:H885),IF(MOD(YEAR(F885),4)=0,IF(AND(EOMONTH(F885,0)=F885,OR(MONTH(F885)=3,MONTH(F885)=6)),SUM(OFFSET(H885,-90,0):H885),IF(AND(EOMONTH(F885,0)=F885,OR(MONTH(F885)=9,MONTH(F885)=12)),SUM(OFFSET(H885,-91,0):H885))),IF(AND(EOMONTH(F885,0)=F885,MONTH(F885)=3),SUM(OFFSET(H885,-89,0):H885),IF(AND(EOMONTH(F885,0)=F885,MONTH(F885)=6),SUM(OFFSET(H885,-90,0):H885),IF(AND(EOMONTH(F885,0)=F885,OR(MONTH(F885)=9,MONTH(F885)=12)),SUM(OFFSET(H885,-91,0):H885)))))),IF(F885='депозитный калькулятор'!$D$8,SUM($H$23:H885)-SUM($I$23:I884),0))),IF('депозитный калькулятор'!$G$10="ежегодное",IF(F885&gt;'депозитный калькулятор'!$D$8," ",IF(F885='депозитный калькулятор'!$D$8,SUM($H$23:H885)-SUM($I$23:I884),IF(AND(EOMONTH(F885,0)=F885,MONTH(F885)=12),IF(MOD(YEAR(F884),4)=0,IF(F885-'депозитный калькулятор'!$D$7&lt;366,SUM($H$23:H885),SUM(OFFSET(H885,-365,0):H885)),IF(F885-'депозитный калькулятор'!$D$7&lt;365,SUM($H$23:H885),SUM(OFFSET(H885,-364,0):H885))),0))),IF(AND('депозитный калькулятор'!$G$10="в конце срока",'депозитный калькулятор'!$D$8=F885),SUM($H$23:H885),0))))))))))))))))))</f>
        <v xml:space="preserve"> </v>
      </c>
      <c r="J885" s="59" t="str">
        <f>IF(F885&gt;'депозитный калькулятор'!$D$8," ",IF('депозитный калькулятор'!$G$16="нет",0,IF(AND('депозитный калькулятор'!$G$17="разовая (в конце срока)",F885='депозитный калькулятор'!$D$8),'депозитный калькулятор'!$G$18,IF(AND('депозитный калькулятор'!$G$17="ежемесячная",EOMONTH(F884,0)=F884),'депозитный калькулятор'!$G$18,IF(AND('депозитный калькулятор'!$G$17="ежегодная",DAY(F884)=31,MONTH(F884)=12),'депозитный калькулятор'!$G$18,IF(AND('депозитный калькулятор'!$G$17="ежемесячная в зависимости от остатка",EOMONTH(F884,0)=F884,P884&gt;0),'депозитный калькулятор'!$G$18,IF(AND('депозитный калькулятор'!$G$17="ежегодная в зависимости от остатка",DAY(F884)=31,MONTH(F884)=12,P884&gt;0),'депозитный калькулятор'!$G$18,0)))))))</f>
        <v xml:space="preserve"> </v>
      </c>
      <c r="K885" s="135" t="str">
        <f>IF($F885=" "," ",IFERROR(VLOOKUP($F885,'депозитный калькулятор'!$B$26:$F$70,2,0),0))</f>
        <v xml:space="preserve"> </v>
      </c>
      <c r="L885" s="135" t="str">
        <f>IF($F885=" "," ",IFERROR(VLOOKUP($F885,'депозитный калькулятор'!$B$26:$F$70,3,0),0))</f>
        <v xml:space="preserve"> </v>
      </c>
      <c r="M885" s="135" t="str">
        <f>IF($F885=" "," ",IFERROR(VLOOKUP($F885,'депозитный калькулятор'!$B$26:$F$70,4,0),0))</f>
        <v xml:space="preserve"> </v>
      </c>
      <c r="N885" s="135" t="str">
        <f>IF($F885=" "," ",IFERROR(VLOOKUP($F885,'депозитный калькулятор'!$B$26:$F$70,5,0),0))</f>
        <v xml:space="preserve"> </v>
      </c>
      <c r="O885" s="146" t="str">
        <f>IF(F885&gt;'депозитный калькулятор'!$D$8," ",IF(F885='депозитный калькулятор'!$D$8,IF(AND($F$24='депозитный калькулятор'!$D$8,'депозитный калькулятор'!$G$13="нет"),-G885-IF(I885=" ",0,I885)-IF(AND(OR('депозитный калькулятор'!$G$7="30/365",'депозитный калькулятор'!$G$7="30/360"),'депозитный калькулятор'!$G$10="в начале срока"),I884,0)-L885+M885-N885,-G885-IF(I885=" ",0,I885)-L885+M885-N885),IF('депозитный калькулятор'!$G$13="есть",M885-N885+IF('депозитный калькулятор'!$G$14="есть",0,-L885),-IF(I885=" ",0,I885)-IF(AND(OR('депозитный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срока"),I884,0)+M885-N885+IF('депозитный калькулятор'!$G$14="есть",0,-L885))))</f>
        <v xml:space="preserve"> </v>
      </c>
      <c r="P885" s="147" t="str">
        <f>IF(F885&gt;'депозитный калькулятор'!$D$8," ",IF(EOMONTH(F884,0)=F884,0,IF(G885&gt;='депозитный калькулятор'!$G$19,P884,P884+1)))</f>
        <v xml:space="preserve"> </v>
      </c>
      <c r="Q885" s="138" t="str">
        <f>IF(F885=" "," ",IF(AND(OR('депозитный калькулятор'!$G$7="30/365",'депозитный калькулятор'!$G$7="30/360"),AND(MONTH(F885)=2,EOMONTH(F885,0)=F885)),IF(DAY(F885)=28,3,2),1)*IF(G885&gt;='депозитный калькулятор'!$G$11,IF(AND('депозитный калькулятор'!$G$7="факт/факт",MOD(YEAR(F885),4)=0),G885*'депозитный калькулятор'!$D$11/366,G885*'депозитный калькулятор'!$G$8),0))</f>
        <v xml:space="preserve"> </v>
      </c>
      <c r="S885" s="62" t="str">
        <f t="shared" ca="1" si="67"/>
        <v xml:space="preserve"> </v>
      </c>
      <c r="T885" s="149" t="str">
        <f ca="1">IF(S885=" "," ",IF('депозитный калькулятор'!$G$7="30/360",DAYS360(U884,IF(DAY(U885)=31,U885-1,U885))+IF(AND(MONTH(U885)=2,U885=EOMONTH(U885,0)),30-DAY(EOMONTH(U885,0)))+T884,VLOOKUP(S885,$C$22:$F$1023,2,0)))</f>
        <v xml:space="preserve"> </v>
      </c>
      <c r="U885" s="64" t="str">
        <f t="shared" ca="1" si="65"/>
        <v xml:space="preserve"> </v>
      </c>
      <c r="V885" s="150" t="str">
        <f t="shared" ca="1" si="68"/>
        <v xml:space="preserve"> </v>
      </c>
      <c r="W885" s="62" t="str">
        <f t="shared" ca="1" si="69"/>
        <v xml:space="preserve"> </v>
      </c>
      <c r="X885" s="141" t="str">
        <f ca="1">IF(S885=" "," ",IFERROR(VLOOKUP(U885,$F$23:$N$1023,7)+VLOOKUP(U885,$F$23:$N$1023,9)+IF(AND('депозитный калькулятор'!$G$13="нет",U885&lt;&gt;'депозитный калькулятор'!$D$8),VLOOKUP(U885,$F$23:$N$1023,4),0),0)+IF(U885='депозитный калькулятор'!$D$8,VLOOKUP(U885,$F$23:$N$1023,2)+VLOOKUP(U885,$F$23:$N$1023,4),0))</f>
        <v xml:space="preserve"> </v>
      </c>
      <c r="Y885" s="142" t="str">
        <f ca="1">IF(S885=" "," ",W885/(1+'депозитный калькулятор'!$K$8)^(T885/IF('депозитный калькулятор'!$G$7="30/360",360,365)))</f>
        <v xml:space="preserve"> </v>
      </c>
      <c r="Z885" s="142" t="str">
        <f ca="1">IF(S885=" "," ",X885/(1+'депозитный калькулятор'!$K$8)^(T885/IF('депозитный калькулятор'!$G$7="30/360",360,365)))</f>
        <v xml:space="preserve"> </v>
      </c>
      <c r="AA885" s="151"/>
      <c r="AB885" s="151"/>
      <c r="AC885" s="155"/>
      <c r="AD885" s="155"/>
    </row>
    <row r="886" spans="1:30" s="2" customFormat="1" ht="15.5" x14ac:dyDescent="0.35">
      <c r="A886" s="41" t="str">
        <f>IF(F886=" "," ",IF(OR('депозитный калькулятор'!$G$7="30/365",'депозитный калькулятор'!$G$7="30/360"),IF(AND(MONTH(F886)=2,DAY(F886)=DAY(EOMONTH(F886,0))),30-DAY(EOMONTH(F886,0)),IF(DAY(F886)=31,1," "))," "))</f>
        <v xml:space="preserve"> </v>
      </c>
      <c r="B886" s="130" t="str">
        <f t="shared" si="66"/>
        <v xml:space="preserve"> </v>
      </c>
      <c r="C886" s="130" t="str">
        <f>IF(OR(B886=0,B886=" ")," ",SUM($B$23:B886))</f>
        <v xml:space="preserve"> </v>
      </c>
      <c r="D886" s="62" t="str">
        <f>IF(D885=" "," ",IF(OR(F885='депозитный калькулятор'!$D$8,F885=" ")," ",D885+1))</f>
        <v xml:space="preserve"> </v>
      </c>
      <c r="E886" s="130" t="str">
        <f>IF(OR(F885='депозитный калькулятор'!$D$8,F885=" ")," ",IF(EOMONTH(F885,0)=F885,1,E885+1))</f>
        <v xml:space="preserve"> </v>
      </c>
      <c r="F886" s="64" t="str">
        <f>IF(F885=" "," ",IF(F885='депозитный калькулятор'!$D$8," ",F885+1))</f>
        <v xml:space="preserve"> </v>
      </c>
      <c r="G886" s="145" t="str">
        <f xml:space="preserve"> IF(F886&gt;'депозитный калькулятор'!$D$8," ",IF('депозитный калькулятор'!$G$13="есть",IF('депозитный калькулятор'!$G$14="есть",G885+IF(I885=" ",0,I885)-J886-K886+L886+M886-N886,G885+IF(I885=" ",0,I885)-J886-K886+M886-N886),IF('депозитный калькулятор'!$G$14="есть",G885-J886-K886+L886+M886-N886,G885-J886-K886+M886-N886)))</f>
        <v xml:space="preserve"> </v>
      </c>
      <c r="H886" s="133" t="str">
        <f>IF(F886&gt;'депозитный калькулятор'!$D$8," ",IF(AND(OR('депозитный калькулятор'!$G$7="30/365",'депозитный калькулятор'!$G$7="30/360"),AND(MONTH(F886)=2,EOMONTH(F886,0)=F886)),IF(DAY(F886)=28,3*G886*'депозитный калькулятор'!$G$8,2*G886*'депозитный калькулятор'!$G$8),IF(AND(OR('депозитный калькулятор'!$G$7="30/365",'депозитный калькулятор'!$G$7="30/360"),DAY(F886)=31)," ",IF(AND('депозитный калькулятор'!$G$7="факт/факт",MOD(YEAR(F886),4)=0),G886*'депозитный калькулятор'!$D$11/366,G886*'депозитный калькулятор'!$G$8))))</f>
        <v xml:space="preserve"> </v>
      </c>
      <c r="I886" s="134" t="str">
        <f ca="1">IF(F886=" "," ",IF('депозитный калькулятор'!$G$10="ежедневное",H886,IF(AND('депозитный калькулятор'!$G$10="еженедельное",WEEKDAY(F886,2)=7),SUM(OFFSET(H886,-6,0):H886),IF(AND('депозитный калькулятор'!$G$10="еженедельное",F886='депозитный калькулятор'!$D$8),SUM($H$23:H886)-SUM($I$23:I885),IF(AND('депозитный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недели",WEEKDAY(F886,2)=7),MIN(OFFSET(H886,-6,0):H886)*(COUNTIF(OFFSET(H886,-6,0):H886,"&gt;0")+SUMIF(OFFSET(A886,-WEEKDAY(F886,2),0):A886,"=2",OFFSET(A886,-WEEKDAY(F886,2),0):A886)),IF(AND('депозитный калькулятор'!$G$10="еженедельное, на минимальную сумму зафиксированную в течение недели",F886='депозитный калькулятор'!$D$8,WEEKDAY(F886,2)&lt;&gt;7),MIN(OFFSET(H886,-WEEKDAY(F886,2),0):H886)*(COUNTIF(OFFSET(H886,-WEEKDAY(F886,2)+1,0):H886,"&gt;0")+SUM(OFFSET(A886,-WEEKDAY(F886,2),0):A886)),IF(AND('депозитный калькулятор'!$G$10="ежемесячное (в конце месяца)",F886='депозитный калькулятор'!$D$8,EOMONTH(F886,0)&lt;&gt;F886),IF('депозитный калькулятор'!$F$1=1,$H$24,SUM($H$23:H886)-SUM($I$23:I885)),IF(AND('депозитный калькулятор'!$G$10="ежемесячное (в конце месяца)",EOMONTH(F886,0)=F886),SUM($H$23:H886)-SUM($I$23:I885),IF(AND('депозитный калькулятор'!$G$10="ежемесячное (по дням открытия вклада)",F886='депозитный калькулятор'!$D$8,DAY('депозитный калькулятор'!$D$7)&lt;&gt;DAY(F886)),IF('депозитный калькулятор'!$F$1=1,$H$24,SUM($H$23:H886)-SUM($I$23:I885)),IF(AND('депозитный калькулятор'!$G$10="ежемесячное (по дням открытия вклада)",DAY('депозитный калькулятор'!$D$7)=DAY(F886)),SUM($H$23:H886)-SUM($I$23:I885),IF(AND('депозитный калькулятор'!$G$10="ежемесячное, на минимальную сумму зафиксированную в течение месяца",F886='депозитный калькулятор'!$D$8,EOMONTH(F886,0)&lt;&gt;F886),IF('депозитный калькулятор'!$F$1=1,$H$24,IF(AND(OR('депозитный калькулятор'!$G$7="30/365",'депозитный калькулятор'!$G$7="30/360"),DAY(F886)=31),0,MIN(OFFSET(H886,-E886+1,0):H886)*(E886+SUMIF(OFFSET(A886,-E886+1,0):A886,"=2",OFFSET(A886,-E886+1,0):A886)))),IF(AND('депозитный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калькулятор'!$G$7="30/360"),DAY(EOMONTH(F886,0))=31),EOMONTH(F886,0)-1=F886,EOMONTH(F886,0)=F886)),IF(IF(AND(OR('депозитный калькулятор'!$G$7="30/365",'депозитный калькулятор'!$G$7="30/360"),DAY(EOMONTH($F$23,0))=31),F886=EOMONTH($F$23,0)-1,F886=EOMONTH($F$23,0)),MIN(OFFSET(H886,-(DAY(F886)-DAY($F$23)),0):H886)*E886,MIN(OFFSET(H886,-(DAY(F886)-1),0):H886)*IF(AND(OR('депозитный калькулятор'!$G$7="30/365",'депозитный калькулятор'!$G$7="30/360"),DAY(F886)&lt;30),30,DAY(F886))),IF(AND('депозитный калькулятор'!$G$10="ежемесячное, на средний остаток в течение месяца, при условии что остаток больше чем ограничение",F886='депозитный калькулятор'!$D$8,EOMONTH(F886,0)&lt;&gt;F886),IF('депозитный калькулятор'!$F$1=1,$H$24,SUM(OFFSET(Q886,-E886+1,0):Q886)),IF(AND('депозитный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калькулятор'!$G$7="30/360"),DAY(EOMONTH(F886,0))=31),EOMONTH(F886,0)-1=F886,EOMONTH(F886,0)=F886)),IF(IF(AND(OR('депозитный калькулятор'!$G$7="30/365",'депозитный калькулятор'!$G$7="30/360"),DAY(EOMONTH($F$24,0))=31),F886=EOMONTH($F$24,0)-1,F886=EOMONTH($F$24,0)),SUM(OFFSET(Q886,-E886+1,0):Q886),SUM(OFFSET(Q886,-E886+1,0):Q886)),IF('депозитный калькулятор'!$G$10="ежеквартальное",IF(F886&gt;'депозитный калькулятор'!$D$8," ",IF(AND(EOMONTH(F886,0)=F886,OR(MONTH(F886)=3,MONTH(F886)=6,MONTH(F886)=9,MONTH(F886)=12)),IF(EDATE(F886,-3)&lt;'депозитный калькулятор'!$D$7,SUM($H$23:H886),IF(MOD(YEAR(F886),4)=0,IF(AND(EOMONTH(F886,0)=F886,OR(MONTH(F886)=3,MONTH(F886)=6)),SUM(OFFSET(H886,-90,0):H886),IF(AND(EOMONTH(F886,0)=F886,OR(MONTH(F886)=9,MONTH(F886)=12)),SUM(OFFSET(H886,-91,0):H886))),IF(AND(EOMONTH(F886,0)=F886,MONTH(F886)=3),SUM(OFFSET(H886,-89,0):H886),IF(AND(EOMONTH(F886,0)=F886,MONTH(F886)=6),SUM(OFFSET(H886,-90,0):H886),IF(AND(EOMONTH(F886,0)=F886,OR(MONTH(F886)=9,MONTH(F886)=12)),SUM(OFFSET(H886,-91,0):H886)))))),IF(F886='депозитный калькулятор'!$D$8,SUM($H$23:H886)-SUM($I$23:I885),0))),IF('депозитный калькулятор'!$G$10="ежегодное",IF(F886&gt;'депозитный калькулятор'!$D$8," ",IF(F886='депозитный калькулятор'!$D$8,SUM($H$23:H886)-SUM($I$23:I885),IF(AND(EOMONTH(F886,0)=F886,MONTH(F886)=12),IF(MOD(YEAR(F885),4)=0,IF(F886-'депозитный калькулятор'!$D$7&lt;366,SUM($H$23:H886),SUM(OFFSET(H886,-365,0):H886)),IF(F886-'депозитный калькулятор'!$D$7&lt;365,SUM($H$23:H886),SUM(OFFSET(H886,-364,0):H886))),0))),IF(AND('депозитный калькулятор'!$G$10="в конце срока",'депозитный калькулятор'!$D$8=F886),SUM($H$23:H886),0))))))))))))))))))</f>
        <v xml:space="preserve"> </v>
      </c>
      <c r="J886" s="59" t="str">
        <f>IF(F886&gt;'депозитный калькулятор'!$D$8," ",IF('депозитный калькулятор'!$G$16="нет",0,IF(AND('депозитный калькулятор'!$G$17="разовая (в конце срока)",F886='депозитный калькулятор'!$D$8),'депозитный калькулятор'!$G$18,IF(AND('депозитный калькулятор'!$G$17="ежемесячная",EOMONTH(F885,0)=F885),'депозитный калькулятор'!$G$18,IF(AND('депозитный калькулятор'!$G$17="ежегодная",DAY(F885)=31,MONTH(F885)=12),'депозитный калькулятор'!$G$18,IF(AND('депозитный калькулятор'!$G$17="ежемесячная в зависимости от остатка",EOMONTH(F885,0)=F885,P885&gt;0),'депозитный калькулятор'!$G$18,IF(AND('депозитный калькулятор'!$G$17="ежегодная в зависимости от остатка",DAY(F885)=31,MONTH(F885)=12,P885&gt;0),'депозитный калькулятор'!$G$18,0)))))))</f>
        <v xml:space="preserve"> </v>
      </c>
      <c r="K886" s="135" t="str">
        <f>IF($F886=" "," ",IFERROR(VLOOKUP($F886,'депозитный калькулятор'!$B$26:$F$70,2,0),0))</f>
        <v xml:space="preserve"> </v>
      </c>
      <c r="L886" s="135" t="str">
        <f>IF($F886=" "," ",IFERROR(VLOOKUP($F886,'депозитный калькулятор'!$B$26:$F$70,3,0),0))</f>
        <v xml:space="preserve"> </v>
      </c>
      <c r="M886" s="135" t="str">
        <f>IF($F886=" "," ",IFERROR(VLOOKUP($F886,'депозитный калькулятор'!$B$26:$F$70,4,0),0))</f>
        <v xml:space="preserve"> </v>
      </c>
      <c r="N886" s="135" t="str">
        <f>IF($F886=" "," ",IFERROR(VLOOKUP($F886,'депозитный калькулятор'!$B$26:$F$70,5,0),0))</f>
        <v xml:space="preserve"> </v>
      </c>
      <c r="O886" s="146" t="str">
        <f>IF(F886&gt;'депозитный калькулятор'!$D$8," ",IF(F886='депозитный калькулятор'!$D$8,IF(AND($F$24='депозитный калькулятор'!$D$8,'депозитный калькулятор'!$G$13="нет"),-G886-IF(I886=" ",0,I886)-IF(AND(OR('депозитный калькулятор'!$G$7="30/365",'депозитный калькулятор'!$G$7="30/360"),'депозитный калькулятор'!$G$10="в начале срока"),I885,0)-L886+M886-N886,-G886-IF(I886=" ",0,I886)-L886+M886-N886),IF('депозитный калькулятор'!$G$13="есть",M886-N886+IF('депозитный калькулятор'!$G$14="есть",0,-L886),-IF(I886=" ",0,I886)-IF(AND(OR('депозитный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срока"),I885,0)+M886-N886+IF('депозитный калькулятор'!$G$14="есть",0,-L886))))</f>
        <v xml:space="preserve"> </v>
      </c>
      <c r="P886" s="147" t="str">
        <f>IF(F886&gt;'депозитный калькулятор'!$D$8," ",IF(EOMONTH(F885,0)=F885,0,IF(G886&gt;='депозитный калькулятор'!$G$19,P885,P885+1)))</f>
        <v xml:space="preserve"> </v>
      </c>
      <c r="Q886" s="138" t="str">
        <f>IF(F886=" "," ",IF(AND(OR('депозитный калькулятор'!$G$7="30/365",'депозитный калькулятор'!$G$7="30/360"),AND(MONTH(F886)=2,EOMONTH(F886,0)=F886)),IF(DAY(F886)=28,3,2),1)*IF(G886&gt;='депозитный калькулятор'!$G$11,IF(AND('депозитный калькулятор'!$G$7="факт/факт",MOD(YEAR(F886),4)=0),G886*'депозитный калькулятор'!$D$11/366,G886*'депозитный калькулятор'!$G$8),0))</f>
        <v xml:space="preserve"> </v>
      </c>
      <c r="S886" s="62" t="str">
        <f t="shared" ca="1" si="67"/>
        <v xml:space="preserve"> </v>
      </c>
      <c r="T886" s="149" t="str">
        <f ca="1">IF(S886=" "," ",IF('депозитный калькулятор'!$G$7="30/360",DAYS360(U885,IF(DAY(U886)=31,U886-1,U886))+IF(AND(MONTH(U886)=2,U886=EOMONTH(U886,0)),30-DAY(EOMONTH(U886,0)))+T885,VLOOKUP(S886,$C$22:$F$1023,2,0)))</f>
        <v xml:space="preserve"> </v>
      </c>
      <c r="U886" s="64" t="str">
        <f t="shared" ca="1" si="65"/>
        <v xml:space="preserve"> </v>
      </c>
      <c r="V886" s="150" t="str">
        <f t="shared" ca="1" si="68"/>
        <v xml:space="preserve"> </v>
      </c>
      <c r="W886" s="62" t="str">
        <f t="shared" ca="1" si="69"/>
        <v xml:space="preserve"> </v>
      </c>
      <c r="X886" s="141" t="str">
        <f ca="1">IF(S886=" "," ",IFERROR(VLOOKUP(U886,$F$23:$N$1023,7)+VLOOKUP(U886,$F$23:$N$1023,9)+IF(AND('депозитный калькулятор'!$G$13="нет",U886&lt;&gt;'депозитный калькулятор'!$D$8),VLOOKUP(U886,$F$23:$N$1023,4),0),0)+IF(U886='депозитный калькулятор'!$D$8,VLOOKUP(U886,$F$23:$N$1023,2)+VLOOKUP(U886,$F$23:$N$1023,4),0))</f>
        <v xml:space="preserve"> </v>
      </c>
      <c r="Y886" s="142" t="str">
        <f ca="1">IF(S886=" "," ",W886/(1+'депозитный калькулятор'!$K$8)^(T886/IF('депозитный калькулятор'!$G$7="30/360",360,365)))</f>
        <v xml:space="preserve"> </v>
      </c>
      <c r="Z886" s="142" t="str">
        <f ca="1">IF(S886=" "," ",X886/(1+'депозитный калькулятор'!$K$8)^(T886/IF('депозитный калькулятор'!$G$7="30/360",360,365)))</f>
        <v xml:space="preserve"> </v>
      </c>
      <c r="AA886" s="151"/>
      <c r="AB886" s="151"/>
      <c r="AC886" s="155"/>
      <c r="AD886" s="155"/>
    </row>
    <row r="887" spans="1:30" s="2" customFormat="1" ht="15.5" x14ac:dyDescent="0.35">
      <c r="A887" s="41" t="str">
        <f>IF(F887=" "," ",IF(OR('депозитный калькулятор'!$G$7="30/365",'депозитный калькулятор'!$G$7="30/360"),IF(AND(MONTH(F887)=2,DAY(F887)=DAY(EOMONTH(F887,0))),30-DAY(EOMONTH(F887,0)),IF(DAY(F887)=31,1," "))," "))</f>
        <v xml:space="preserve"> </v>
      </c>
      <c r="B887" s="130" t="str">
        <f t="shared" si="66"/>
        <v xml:space="preserve"> </v>
      </c>
      <c r="C887" s="130" t="str">
        <f>IF(OR(B887=0,B887=" ")," ",SUM($B$23:B887))</f>
        <v xml:space="preserve"> </v>
      </c>
      <c r="D887" s="62" t="str">
        <f>IF(D886=" "," ",IF(OR(F886='депозитный калькулятор'!$D$8,F886=" ")," ",D886+1))</f>
        <v xml:space="preserve"> </v>
      </c>
      <c r="E887" s="130" t="str">
        <f>IF(OR(F886='депозитный калькулятор'!$D$8,F886=" ")," ",IF(EOMONTH(F886,0)=F886,1,E886+1))</f>
        <v xml:space="preserve"> </v>
      </c>
      <c r="F887" s="64" t="str">
        <f>IF(F886=" "," ",IF(F886='депозитный калькулятор'!$D$8," ",F886+1))</f>
        <v xml:space="preserve"> </v>
      </c>
      <c r="G887" s="145" t="str">
        <f xml:space="preserve"> IF(F887&gt;'депозитный калькулятор'!$D$8," ",IF('депозитный калькулятор'!$G$13="есть",IF('депозитный калькулятор'!$G$14="есть",G886+IF(I886=" ",0,I886)-J887-K887+L887+M887-N887,G886+IF(I886=" ",0,I886)-J887-K887+M887-N887),IF('депозитный калькулятор'!$G$14="есть",G886-J887-K887+L887+M887-N887,G886-J887-K887+M887-N887)))</f>
        <v xml:space="preserve"> </v>
      </c>
      <c r="H887" s="133" t="str">
        <f>IF(F887&gt;'депозитный калькулятор'!$D$8," ",IF(AND(OR('депозитный калькулятор'!$G$7="30/365",'депозитный калькулятор'!$G$7="30/360"),AND(MONTH(F887)=2,EOMONTH(F887,0)=F887)),IF(DAY(F887)=28,3*G887*'депозитный калькулятор'!$G$8,2*G887*'депозитный калькулятор'!$G$8),IF(AND(OR('депозитный калькулятор'!$G$7="30/365",'депозитный калькулятор'!$G$7="30/360"),DAY(F887)=31)," ",IF(AND('депозитный калькулятор'!$G$7="факт/факт",MOD(YEAR(F887),4)=0),G887*'депозитный калькулятор'!$D$11/366,G887*'депозитный калькулятор'!$G$8))))</f>
        <v xml:space="preserve"> </v>
      </c>
      <c r="I887" s="134" t="str">
        <f ca="1">IF(F887=" "," ",IF('депозитный калькулятор'!$G$10="ежедневное",H887,IF(AND('депозитный калькулятор'!$G$10="еженедельное",WEEKDAY(F887,2)=7),SUM(OFFSET(H887,-6,0):H887),IF(AND('депозитный калькулятор'!$G$10="еженедельное",F887='депозитный калькулятор'!$D$8),SUM($H$23:H887)-SUM($I$23:I886),IF(AND('депозитный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недели",WEEKDAY(F887,2)=7),MIN(OFFSET(H887,-6,0):H887)*(COUNTIF(OFFSET(H887,-6,0):H887,"&gt;0")+SUMIF(OFFSET(A887,-WEEKDAY(F887,2),0):A887,"=2",OFFSET(A887,-WEEKDAY(F887,2),0):A887)),IF(AND('депозитный калькулятор'!$G$10="еженедельное, на минимальную сумму зафиксированную в течение недели",F887='депозитный калькулятор'!$D$8,WEEKDAY(F887,2)&lt;&gt;7),MIN(OFFSET(H887,-WEEKDAY(F887,2),0):H887)*(COUNTIF(OFFSET(H887,-WEEKDAY(F887,2)+1,0):H887,"&gt;0")+SUM(OFFSET(A887,-WEEKDAY(F887,2),0):A887)),IF(AND('депозитный калькулятор'!$G$10="ежемесячное (в конце месяца)",F887='депозитный калькулятор'!$D$8,EOMONTH(F887,0)&lt;&gt;F887),IF('депозитный калькулятор'!$F$1=1,$H$24,SUM($H$23:H887)-SUM($I$23:I886)),IF(AND('депозитный калькулятор'!$G$10="ежемесячное (в конце месяца)",EOMONTH(F887,0)=F887),SUM($H$23:H887)-SUM($I$23:I886),IF(AND('депозитный калькулятор'!$G$10="ежемесячное (по дням открытия вклада)",F887='депозитный калькулятор'!$D$8,DAY('депозитный калькулятор'!$D$7)&lt;&gt;DAY(F887)),IF('депозитный калькулятор'!$F$1=1,$H$24,SUM($H$23:H887)-SUM($I$23:I886)),IF(AND('депозитный калькулятор'!$G$10="ежемесячное (по дням открытия вклада)",DAY('депозитный калькулятор'!$D$7)=DAY(F887)),SUM($H$23:H887)-SUM($I$23:I886),IF(AND('депозитный калькулятор'!$G$10="ежемесячное, на минимальную сумму зафиксированную в течение месяца",F887='депозитный калькулятор'!$D$8,EOMONTH(F887,0)&lt;&gt;F887),IF('депозитный калькулятор'!$F$1=1,$H$24,IF(AND(OR('депозитный калькулятор'!$G$7="30/365",'депозитный калькулятор'!$G$7="30/360"),DAY(F887)=31),0,MIN(OFFSET(H887,-E887+1,0):H887)*(E887+SUMIF(OFFSET(A887,-E887+1,0):A887,"=2",OFFSET(A887,-E887+1,0):A887)))),IF(AND('депозитный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калькулятор'!$G$7="30/360"),DAY(EOMONTH(F887,0))=31),EOMONTH(F887,0)-1=F887,EOMONTH(F887,0)=F887)),IF(IF(AND(OR('депозитный калькулятор'!$G$7="30/365",'депозитный калькулятор'!$G$7="30/360"),DAY(EOMONTH($F$23,0))=31),F887=EOMONTH($F$23,0)-1,F887=EOMONTH($F$23,0)),MIN(OFFSET(H887,-(DAY(F887)-DAY($F$23)),0):H887)*E887,MIN(OFFSET(H887,-(DAY(F887)-1),0):H887)*IF(AND(OR('депозитный калькулятор'!$G$7="30/365",'депозитный калькулятор'!$G$7="30/360"),DAY(F887)&lt;30),30,DAY(F887))),IF(AND('депозитный калькулятор'!$G$10="ежемесячное, на средний остаток в течение месяца, при условии что остаток больше чем ограничение",F887='депозитный калькулятор'!$D$8,EOMONTH(F887,0)&lt;&gt;F887),IF('депозитный калькулятор'!$F$1=1,$H$24,SUM(OFFSET(Q887,-E887+1,0):Q887)),IF(AND('депозитный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калькулятор'!$G$7="30/360"),DAY(EOMONTH(F887,0))=31),EOMONTH(F887,0)-1=F887,EOMONTH(F887,0)=F887)),IF(IF(AND(OR('депозитный калькулятор'!$G$7="30/365",'депозитный калькулятор'!$G$7="30/360"),DAY(EOMONTH($F$24,0))=31),F887=EOMONTH($F$24,0)-1,F887=EOMONTH($F$24,0)),SUM(OFFSET(Q887,-E887+1,0):Q887),SUM(OFFSET(Q887,-E887+1,0):Q887)),IF('депозитный калькулятор'!$G$10="ежеквартальное",IF(F887&gt;'депозитный калькулятор'!$D$8," ",IF(AND(EOMONTH(F887,0)=F887,OR(MONTH(F887)=3,MONTH(F887)=6,MONTH(F887)=9,MONTH(F887)=12)),IF(EDATE(F887,-3)&lt;'депозитный калькулятор'!$D$7,SUM($H$23:H887),IF(MOD(YEAR(F887),4)=0,IF(AND(EOMONTH(F887,0)=F887,OR(MONTH(F887)=3,MONTH(F887)=6)),SUM(OFFSET(H887,-90,0):H887),IF(AND(EOMONTH(F887,0)=F887,OR(MONTH(F887)=9,MONTH(F887)=12)),SUM(OFFSET(H887,-91,0):H887))),IF(AND(EOMONTH(F887,0)=F887,MONTH(F887)=3),SUM(OFFSET(H887,-89,0):H887),IF(AND(EOMONTH(F887,0)=F887,MONTH(F887)=6),SUM(OFFSET(H887,-90,0):H887),IF(AND(EOMONTH(F887,0)=F887,OR(MONTH(F887)=9,MONTH(F887)=12)),SUM(OFFSET(H887,-91,0):H887)))))),IF(F887='депозитный калькулятор'!$D$8,SUM($H$23:H887)-SUM($I$23:I886),0))),IF('депозитный калькулятор'!$G$10="ежегодное",IF(F887&gt;'депозитный калькулятор'!$D$8," ",IF(F887='депозитный калькулятор'!$D$8,SUM($H$23:H887)-SUM($I$23:I886),IF(AND(EOMONTH(F887,0)=F887,MONTH(F887)=12),IF(MOD(YEAR(F886),4)=0,IF(F887-'депозитный калькулятор'!$D$7&lt;366,SUM($H$23:H887),SUM(OFFSET(H887,-365,0):H887)),IF(F887-'депозитный калькулятор'!$D$7&lt;365,SUM($H$23:H887),SUM(OFFSET(H887,-364,0):H887))),0))),IF(AND('депозитный калькулятор'!$G$10="в конце срока",'депозитный калькулятор'!$D$8=F887),SUM($H$23:H887),0))))))))))))))))))</f>
        <v xml:space="preserve"> </v>
      </c>
      <c r="J887" s="59" t="str">
        <f>IF(F887&gt;'депозитный калькулятор'!$D$8," ",IF('депозитный калькулятор'!$G$16="нет",0,IF(AND('депозитный калькулятор'!$G$17="разовая (в конце срока)",F887='депозитный калькулятор'!$D$8),'депозитный калькулятор'!$G$18,IF(AND('депозитный калькулятор'!$G$17="ежемесячная",EOMONTH(F886,0)=F886),'депозитный калькулятор'!$G$18,IF(AND('депозитный калькулятор'!$G$17="ежегодная",DAY(F886)=31,MONTH(F886)=12),'депозитный калькулятор'!$G$18,IF(AND('депозитный калькулятор'!$G$17="ежемесячная в зависимости от остатка",EOMONTH(F886,0)=F886,P886&gt;0),'депозитный калькулятор'!$G$18,IF(AND('депозитный калькулятор'!$G$17="ежегодная в зависимости от остатка",DAY(F886)=31,MONTH(F886)=12,P886&gt;0),'депозитный калькулятор'!$G$18,0)))))))</f>
        <v xml:space="preserve"> </v>
      </c>
      <c r="K887" s="135" t="str">
        <f>IF($F887=" "," ",IFERROR(VLOOKUP($F887,'депозитный калькулятор'!$B$26:$F$70,2,0),0))</f>
        <v xml:space="preserve"> </v>
      </c>
      <c r="L887" s="135" t="str">
        <f>IF($F887=" "," ",IFERROR(VLOOKUP($F887,'депозитный калькулятор'!$B$26:$F$70,3,0),0))</f>
        <v xml:space="preserve"> </v>
      </c>
      <c r="M887" s="135" t="str">
        <f>IF($F887=" "," ",IFERROR(VLOOKUP($F887,'депозитный калькулятор'!$B$26:$F$70,4,0),0))</f>
        <v xml:space="preserve"> </v>
      </c>
      <c r="N887" s="135" t="str">
        <f>IF($F887=" "," ",IFERROR(VLOOKUP($F887,'депозитный калькулятор'!$B$26:$F$70,5,0),0))</f>
        <v xml:space="preserve"> </v>
      </c>
      <c r="O887" s="146" t="str">
        <f>IF(F887&gt;'депозитный калькулятор'!$D$8," ",IF(F887='депозитный калькулятор'!$D$8,IF(AND($F$24='депозитный калькулятор'!$D$8,'депозитный калькулятор'!$G$13="нет"),-G887-IF(I887=" ",0,I887)-IF(AND(OR('депозитный калькулятор'!$G$7="30/365",'депозитный калькулятор'!$G$7="30/360"),'депозитный калькулятор'!$G$10="в начале срока"),I886,0)-L887+M887-N887,-G887-IF(I887=" ",0,I887)-L887+M887-N887),IF('депозитный калькулятор'!$G$13="есть",M887-N887+IF('депозитный калькулятор'!$G$14="есть",0,-L887),-IF(I887=" ",0,I887)-IF(AND(OR('депозитный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срока"),I886,0)+M887-N887+IF('депозитный калькулятор'!$G$14="есть",0,-L887))))</f>
        <v xml:space="preserve"> </v>
      </c>
      <c r="P887" s="147" t="str">
        <f>IF(F887&gt;'депозитный калькулятор'!$D$8," ",IF(EOMONTH(F886,0)=F886,0,IF(G887&gt;='депозитный калькулятор'!$G$19,P886,P886+1)))</f>
        <v xml:space="preserve"> </v>
      </c>
      <c r="Q887" s="138" t="str">
        <f>IF(F887=" "," ",IF(AND(OR('депозитный калькулятор'!$G$7="30/365",'депозитный калькулятор'!$G$7="30/360"),AND(MONTH(F887)=2,EOMONTH(F887,0)=F887)),IF(DAY(F887)=28,3,2),1)*IF(G887&gt;='депозитный калькулятор'!$G$11,IF(AND('депозитный калькулятор'!$G$7="факт/факт",MOD(YEAR(F887),4)=0),G887*'депозитный калькулятор'!$D$11/366,G887*'депозитный калькулятор'!$G$8),0))</f>
        <v xml:space="preserve"> </v>
      </c>
      <c r="S887" s="62" t="str">
        <f t="shared" ca="1" si="67"/>
        <v xml:space="preserve"> </v>
      </c>
      <c r="T887" s="149" t="str">
        <f ca="1">IF(S887=" "," ",IF('депозитный калькулятор'!$G$7="30/360",DAYS360(U886,IF(DAY(U887)=31,U887-1,U887))+IF(AND(MONTH(U887)=2,U887=EOMONTH(U887,0)),30-DAY(EOMONTH(U887,0)))+T886,VLOOKUP(S887,$C$22:$F$1023,2,0)))</f>
        <v xml:space="preserve"> </v>
      </c>
      <c r="U887" s="64" t="str">
        <f t="shared" ca="1" si="65"/>
        <v xml:space="preserve"> </v>
      </c>
      <c r="V887" s="150" t="str">
        <f t="shared" ca="1" si="68"/>
        <v xml:space="preserve"> </v>
      </c>
      <c r="W887" s="62" t="str">
        <f t="shared" ca="1" si="69"/>
        <v xml:space="preserve"> </v>
      </c>
      <c r="X887" s="141" t="str">
        <f ca="1">IF(S887=" "," ",IFERROR(VLOOKUP(U887,$F$23:$N$1023,7)+VLOOKUP(U887,$F$23:$N$1023,9)+IF(AND('депозитный калькулятор'!$G$13="нет",U887&lt;&gt;'депозитный калькулятор'!$D$8),VLOOKUP(U887,$F$23:$N$1023,4),0),0)+IF(U887='депозитный калькулятор'!$D$8,VLOOKUP(U887,$F$23:$N$1023,2)+VLOOKUP(U887,$F$23:$N$1023,4),0))</f>
        <v xml:space="preserve"> </v>
      </c>
      <c r="Y887" s="142" t="str">
        <f ca="1">IF(S887=" "," ",W887/(1+'депозитный калькулятор'!$K$8)^(T887/IF('депозитный калькулятор'!$G$7="30/360",360,365)))</f>
        <v xml:space="preserve"> </v>
      </c>
      <c r="Z887" s="142" t="str">
        <f ca="1">IF(S887=" "," ",X887/(1+'депозитный калькулятор'!$K$8)^(T887/IF('депозитный калькулятор'!$G$7="30/360",360,365)))</f>
        <v xml:space="preserve"> </v>
      </c>
      <c r="AA887" s="151"/>
      <c r="AB887" s="151"/>
      <c r="AC887" s="155"/>
      <c r="AD887" s="155"/>
    </row>
    <row r="888" spans="1:30" s="2" customFormat="1" ht="15.5" x14ac:dyDescent="0.35">
      <c r="A888" s="41" t="str">
        <f>IF(F888=" "," ",IF(OR('депозитный калькулятор'!$G$7="30/365",'депозитный калькулятор'!$G$7="30/360"),IF(AND(MONTH(F888)=2,DAY(F888)=DAY(EOMONTH(F888,0))),30-DAY(EOMONTH(F888,0)),IF(DAY(F888)=31,1," "))," "))</f>
        <v xml:space="preserve"> </v>
      </c>
      <c r="B888" s="130" t="str">
        <f t="shared" si="66"/>
        <v xml:space="preserve"> </v>
      </c>
      <c r="C888" s="130" t="str">
        <f>IF(OR(B888=0,B888=" ")," ",SUM($B$23:B888))</f>
        <v xml:space="preserve"> </v>
      </c>
      <c r="D888" s="62" t="str">
        <f>IF(D887=" "," ",IF(OR(F887='депозитный калькулятор'!$D$8,F887=" ")," ",D887+1))</f>
        <v xml:space="preserve"> </v>
      </c>
      <c r="E888" s="130" t="str">
        <f>IF(OR(F887='депозитный калькулятор'!$D$8,F887=" ")," ",IF(EOMONTH(F887,0)=F887,1,E887+1))</f>
        <v xml:space="preserve"> </v>
      </c>
      <c r="F888" s="64" t="str">
        <f>IF(F887=" "," ",IF(F887='депозитный калькулятор'!$D$8," ",F887+1))</f>
        <v xml:space="preserve"> </v>
      </c>
      <c r="G888" s="145" t="str">
        <f xml:space="preserve"> IF(F888&gt;'депозитный калькулятор'!$D$8," ",IF('депозитный калькулятор'!$G$13="есть",IF('депозитный калькулятор'!$G$14="есть",G887+IF(I887=" ",0,I887)-J888-K888+L888+M888-N888,G887+IF(I887=" ",0,I887)-J888-K888+M888-N888),IF('депозитный калькулятор'!$G$14="есть",G887-J888-K888+L888+M888-N888,G887-J888-K888+M888-N888)))</f>
        <v xml:space="preserve"> </v>
      </c>
      <c r="H888" s="133" t="str">
        <f>IF(F888&gt;'депозитный калькулятор'!$D$8," ",IF(AND(OR('депозитный калькулятор'!$G$7="30/365",'депозитный калькулятор'!$G$7="30/360"),AND(MONTH(F888)=2,EOMONTH(F888,0)=F888)),IF(DAY(F888)=28,3*G888*'депозитный калькулятор'!$G$8,2*G888*'депозитный калькулятор'!$G$8),IF(AND(OR('депозитный калькулятор'!$G$7="30/365",'депозитный калькулятор'!$G$7="30/360"),DAY(F888)=31)," ",IF(AND('депозитный калькулятор'!$G$7="факт/факт",MOD(YEAR(F888),4)=0),G888*'депозитный калькулятор'!$D$11/366,G888*'депозитный калькулятор'!$G$8))))</f>
        <v xml:space="preserve"> </v>
      </c>
      <c r="I888" s="134" t="str">
        <f ca="1">IF(F888=" "," ",IF('депозитный калькулятор'!$G$10="ежедневное",H888,IF(AND('депозитный калькулятор'!$G$10="еженедельное",WEEKDAY(F888,2)=7),SUM(OFFSET(H888,-6,0):H888),IF(AND('депозитный калькулятор'!$G$10="еженедельное",F888='депозитный калькулятор'!$D$8),SUM($H$23:H888)-SUM($I$23:I887),IF(AND('депозитный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недели",WEEKDAY(F888,2)=7),MIN(OFFSET(H888,-6,0):H888)*(COUNTIF(OFFSET(H888,-6,0):H888,"&gt;0")+SUMIF(OFFSET(A888,-WEEKDAY(F888,2),0):A888,"=2",OFFSET(A888,-WEEKDAY(F888,2),0):A888)),IF(AND('депозитный калькулятор'!$G$10="еженедельное, на минимальную сумму зафиксированную в течение недели",F888='депозитный калькулятор'!$D$8,WEEKDAY(F888,2)&lt;&gt;7),MIN(OFFSET(H888,-WEEKDAY(F888,2),0):H888)*(COUNTIF(OFFSET(H888,-WEEKDAY(F888,2)+1,0):H888,"&gt;0")+SUM(OFFSET(A888,-WEEKDAY(F888,2),0):A888)),IF(AND('депозитный калькулятор'!$G$10="ежемесячное (в конце месяца)",F888='депозитный калькулятор'!$D$8,EOMONTH(F888,0)&lt;&gt;F888),IF('депозитный калькулятор'!$F$1=1,$H$24,SUM($H$23:H888)-SUM($I$23:I887)),IF(AND('депозитный калькулятор'!$G$10="ежемесячное (в конце месяца)",EOMONTH(F888,0)=F888),SUM($H$23:H888)-SUM($I$23:I887),IF(AND('депозитный калькулятор'!$G$10="ежемесячное (по дням открытия вклада)",F888='депозитный калькулятор'!$D$8,DAY('депозитный калькулятор'!$D$7)&lt;&gt;DAY(F888)),IF('депозитный калькулятор'!$F$1=1,$H$24,SUM($H$23:H888)-SUM($I$23:I887)),IF(AND('депозитный калькулятор'!$G$10="ежемесячное (по дням открытия вклада)",DAY('депозитный калькулятор'!$D$7)=DAY(F888)),SUM($H$23:H888)-SUM($I$23:I887),IF(AND('депозитный калькулятор'!$G$10="ежемесячное, на минимальную сумму зафиксированную в течение месяца",F888='депозитный калькулятор'!$D$8,EOMONTH(F888,0)&lt;&gt;F888),IF('депозитный калькулятор'!$F$1=1,$H$24,IF(AND(OR('депозитный калькулятор'!$G$7="30/365",'депозитный калькулятор'!$G$7="30/360"),DAY(F888)=31),0,MIN(OFFSET(H888,-E888+1,0):H888)*(E888+SUMIF(OFFSET(A888,-E888+1,0):A888,"=2",OFFSET(A888,-E888+1,0):A888)))),IF(AND('депозитный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калькулятор'!$G$7="30/360"),DAY(EOMONTH(F888,0))=31),EOMONTH(F888,0)-1=F888,EOMONTH(F888,0)=F888)),IF(IF(AND(OR('депозитный калькулятор'!$G$7="30/365",'депозитный калькулятор'!$G$7="30/360"),DAY(EOMONTH($F$23,0))=31),F888=EOMONTH($F$23,0)-1,F888=EOMONTH($F$23,0)),MIN(OFFSET(H888,-(DAY(F888)-DAY($F$23)),0):H888)*E888,MIN(OFFSET(H888,-(DAY(F888)-1),0):H888)*IF(AND(OR('депозитный калькулятор'!$G$7="30/365",'депозитный калькулятор'!$G$7="30/360"),DAY(F888)&lt;30),30,DAY(F888))),IF(AND('депозитный калькулятор'!$G$10="ежемесячное, на средний остаток в течение месяца, при условии что остаток больше чем ограничение",F888='депозитный калькулятор'!$D$8,EOMONTH(F888,0)&lt;&gt;F888),IF('депозитный калькулятор'!$F$1=1,$H$24,SUM(OFFSET(Q888,-E888+1,0):Q888)),IF(AND('депозитный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калькулятор'!$G$7="30/360"),DAY(EOMONTH(F888,0))=31),EOMONTH(F888,0)-1=F888,EOMONTH(F888,0)=F888)),IF(IF(AND(OR('депозитный калькулятор'!$G$7="30/365",'депозитный калькулятор'!$G$7="30/360"),DAY(EOMONTH($F$24,0))=31),F888=EOMONTH($F$24,0)-1,F888=EOMONTH($F$24,0)),SUM(OFFSET(Q888,-E888+1,0):Q888),SUM(OFFSET(Q888,-E888+1,0):Q888)),IF('депозитный калькулятор'!$G$10="ежеквартальное",IF(F888&gt;'депозитный калькулятор'!$D$8," ",IF(AND(EOMONTH(F888,0)=F888,OR(MONTH(F888)=3,MONTH(F888)=6,MONTH(F888)=9,MONTH(F888)=12)),IF(EDATE(F888,-3)&lt;'депозитный калькулятор'!$D$7,SUM($H$23:H888),IF(MOD(YEAR(F888),4)=0,IF(AND(EOMONTH(F888,0)=F888,OR(MONTH(F888)=3,MONTH(F888)=6)),SUM(OFFSET(H888,-90,0):H888),IF(AND(EOMONTH(F888,0)=F888,OR(MONTH(F888)=9,MONTH(F888)=12)),SUM(OFFSET(H888,-91,0):H888))),IF(AND(EOMONTH(F888,0)=F888,MONTH(F888)=3),SUM(OFFSET(H888,-89,0):H888),IF(AND(EOMONTH(F888,0)=F888,MONTH(F888)=6),SUM(OFFSET(H888,-90,0):H888),IF(AND(EOMONTH(F888,0)=F888,OR(MONTH(F888)=9,MONTH(F888)=12)),SUM(OFFSET(H888,-91,0):H888)))))),IF(F888='депозитный калькулятор'!$D$8,SUM($H$23:H888)-SUM($I$23:I887),0))),IF('депозитный калькулятор'!$G$10="ежегодное",IF(F888&gt;'депозитный калькулятор'!$D$8," ",IF(F888='депозитный калькулятор'!$D$8,SUM($H$23:H888)-SUM($I$23:I887),IF(AND(EOMONTH(F888,0)=F888,MONTH(F888)=12),IF(MOD(YEAR(F887),4)=0,IF(F888-'депозитный калькулятор'!$D$7&lt;366,SUM($H$23:H888),SUM(OFFSET(H888,-365,0):H888)),IF(F888-'депозитный калькулятор'!$D$7&lt;365,SUM($H$23:H888),SUM(OFFSET(H888,-364,0):H888))),0))),IF(AND('депозитный калькулятор'!$G$10="в конце срока",'депозитный калькулятор'!$D$8=F888),SUM($H$23:H888),0))))))))))))))))))</f>
        <v xml:space="preserve"> </v>
      </c>
      <c r="J888" s="59" t="str">
        <f>IF(F888&gt;'депозитный калькулятор'!$D$8," ",IF('депозитный калькулятор'!$G$16="нет",0,IF(AND('депозитный калькулятор'!$G$17="разовая (в конце срока)",F888='депозитный калькулятор'!$D$8),'депозитный калькулятор'!$G$18,IF(AND('депозитный калькулятор'!$G$17="ежемесячная",EOMONTH(F887,0)=F887),'депозитный калькулятор'!$G$18,IF(AND('депозитный калькулятор'!$G$17="ежегодная",DAY(F887)=31,MONTH(F887)=12),'депозитный калькулятор'!$G$18,IF(AND('депозитный калькулятор'!$G$17="ежемесячная в зависимости от остатка",EOMONTH(F887,0)=F887,P887&gt;0),'депозитный калькулятор'!$G$18,IF(AND('депозитный калькулятор'!$G$17="ежегодная в зависимости от остатка",DAY(F887)=31,MONTH(F887)=12,P887&gt;0),'депозитный калькулятор'!$G$18,0)))))))</f>
        <v xml:space="preserve"> </v>
      </c>
      <c r="K888" s="135" t="str">
        <f>IF($F888=" "," ",IFERROR(VLOOKUP($F888,'депозитный калькулятор'!$B$26:$F$70,2,0),0))</f>
        <v xml:space="preserve"> </v>
      </c>
      <c r="L888" s="135" t="str">
        <f>IF($F888=" "," ",IFERROR(VLOOKUP($F888,'депозитный калькулятор'!$B$26:$F$70,3,0),0))</f>
        <v xml:space="preserve"> </v>
      </c>
      <c r="M888" s="135" t="str">
        <f>IF($F888=" "," ",IFERROR(VLOOKUP($F888,'депозитный калькулятор'!$B$26:$F$70,4,0),0))</f>
        <v xml:space="preserve"> </v>
      </c>
      <c r="N888" s="135" t="str">
        <f>IF($F888=" "," ",IFERROR(VLOOKUP($F888,'депозитный калькулятор'!$B$26:$F$70,5,0),0))</f>
        <v xml:space="preserve"> </v>
      </c>
      <c r="O888" s="146" t="str">
        <f>IF(F888&gt;'депозитный калькулятор'!$D$8," ",IF(F888='депозитный калькулятор'!$D$8,IF(AND($F$24='депозитный калькулятор'!$D$8,'депозитный калькулятор'!$G$13="нет"),-G888-IF(I888=" ",0,I888)-IF(AND(OR('депозитный калькулятор'!$G$7="30/365",'депозитный калькулятор'!$G$7="30/360"),'депозитный калькулятор'!$G$10="в начале срока"),I887,0)-L888+M888-N888,-G888-IF(I888=" ",0,I888)-L888+M888-N888),IF('депозитный калькулятор'!$G$13="есть",M888-N888+IF('депозитный калькулятор'!$G$14="есть",0,-L888),-IF(I888=" ",0,I888)-IF(AND(OR('депозитный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срока"),I887,0)+M888-N888+IF('депозитный калькулятор'!$G$14="есть",0,-L888))))</f>
        <v xml:space="preserve"> </v>
      </c>
      <c r="P888" s="147" t="str">
        <f>IF(F888&gt;'депозитный калькулятор'!$D$8," ",IF(EOMONTH(F887,0)=F887,0,IF(G888&gt;='депозитный калькулятор'!$G$19,P887,P887+1)))</f>
        <v xml:space="preserve"> </v>
      </c>
      <c r="Q888" s="138" t="str">
        <f>IF(F888=" "," ",IF(AND(OR('депозитный калькулятор'!$G$7="30/365",'депозитный калькулятор'!$G$7="30/360"),AND(MONTH(F888)=2,EOMONTH(F888,0)=F888)),IF(DAY(F888)=28,3,2),1)*IF(G888&gt;='депозитный калькулятор'!$G$11,IF(AND('депозитный калькулятор'!$G$7="факт/факт",MOD(YEAR(F888),4)=0),G888*'депозитный калькулятор'!$D$11/366,G888*'депозитный калькулятор'!$G$8),0))</f>
        <v xml:space="preserve"> </v>
      </c>
      <c r="S888" s="62" t="str">
        <f t="shared" ca="1" si="67"/>
        <v xml:space="preserve"> </v>
      </c>
      <c r="T888" s="149" t="str">
        <f ca="1">IF(S888=" "," ",IF('депозитный калькулятор'!$G$7="30/360",DAYS360(U887,IF(DAY(U888)=31,U888-1,U888))+IF(AND(MONTH(U888)=2,U888=EOMONTH(U888,0)),30-DAY(EOMONTH(U888,0)))+T887,VLOOKUP(S888,$C$22:$F$1023,2,0)))</f>
        <v xml:space="preserve"> </v>
      </c>
      <c r="U888" s="64" t="str">
        <f t="shared" ca="1" si="65"/>
        <v xml:space="preserve"> </v>
      </c>
      <c r="V888" s="150" t="str">
        <f t="shared" ca="1" si="68"/>
        <v xml:space="preserve"> </v>
      </c>
      <c r="W888" s="62" t="str">
        <f t="shared" ca="1" si="69"/>
        <v xml:space="preserve"> </v>
      </c>
      <c r="X888" s="141" t="str">
        <f ca="1">IF(S888=" "," ",IFERROR(VLOOKUP(U888,$F$23:$N$1023,7)+VLOOKUP(U888,$F$23:$N$1023,9)+IF(AND('депозитный калькулятор'!$G$13="нет",U888&lt;&gt;'депозитный калькулятор'!$D$8),VLOOKUP(U888,$F$23:$N$1023,4),0),0)+IF(U888='депозитный калькулятор'!$D$8,VLOOKUP(U888,$F$23:$N$1023,2)+VLOOKUP(U888,$F$23:$N$1023,4),0))</f>
        <v xml:space="preserve"> </v>
      </c>
      <c r="Y888" s="142" t="str">
        <f ca="1">IF(S888=" "," ",W888/(1+'депозитный калькулятор'!$K$8)^(T888/IF('депозитный калькулятор'!$G$7="30/360",360,365)))</f>
        <v xml:space="preserve"> </v>
      </c>
      <c r="Z888" s="142" t="str">
        <f ca="1">IF(S888=" "," ",X888/(1+'депозитный калькулятор'!$K$8)^(T888/IF('депозитный калькулятор'!$G$7="30/360",360,365)))</f>
        <v xml:space="preserve"> </v>
      </c>
      <c r="AA888" s="151"/>
      <c r="AB888" s="151"/>
      <c r="AC888" s="155"/>
      <c r="AD888" s="155"/>
    </row>
    <row r="889" spans="1:30" s="2" customFormat="1" ht="15.5" x14ac:dyDescent="0.35">
      <c r="A889" s="41" t="str">
        <f>IF(F889=" "," ",IF(OR('депозитный калькулятор'!$G$7="30/365",'депозитный калькулятор'!$G$7="30/360"),IF(AND(MONTH(F889)=2,DAY(F889)=DAY(EOMONTH(F889,0))),30-DAY(EOMONTH(F889,0)),IF(DAY(F889)=31,1," "))," "))</f>
        <v xml:space="preserve"> </v>
      </c>
      <c r="B889" s="130" t="str">
        <f t="shared" si="66"/>
        <v xml:space="preserve"> </v>
      </c>
      <c r="C889" s="130" t="str">
        <f>IF(OR(B889=0,B889=" ")," ",SUM($B$23:B889))</f>
        <v xml:space="preserve"> </v>
      </c>
      <c r="D889" s="62" t="str">
        <f>IF(D888=" "," ",IF(OR(F888='депозитный калькулятор'!$D$8,F888=" ")," ",D888+1))</f>
        <v xml:space="preserve"> </v>
      </c>
      <c r="E889" s="130" t="str">
        <f>IF(OR(F888='депозитный калькулятор'!$D$8,F888=" ")," ",IF(EOMONTH(F888,0)=F888,1,E888+1))</f>
        <v xml:space="preserve"> </v>
      </c>
      <c r="F889" s="64" t="str">
        <f>IF(F888=" "," ",IF(F888='депозитный калькулятор'!$D$8," ",F888+1))</f>
        <v xml:space="preserve"> </v>
      </c>
      <c r="G889" s="145" t="str">
        <f xml:space="preserve"> IF(F889&gt;'депозитный калькулятор'!$D$8," ",IF('депозитный калькулятор'!$G$13="есть",IF('депозитный калькулятор'!$G$14="есть",G888+IF(I888=" ",0,I888)-J889-K889+L889+M889-N889,G888+IF(I888=" ",0,I888)-J889-K889+M889-N889),IF('депозитный калькулятор'!$G$14="есть",G888-J889-K889+L889+M889-N889,G888-J889-K889+M889-N889)))</f>
        <v xml:space="preserve"> </v>
      </c>
      <c r="H889" s="133" t="str">
        <f>IF(F889&gt;'депозитный калькулятор'!$D$8," ",IF(AND(OR('депозитный калькулятор'!$G$7="30/365",'депозитный калькулятор'!$G$7="30/360"),AND(MONTH(F889)=2,EOMONTH(F889,0)=F889)),IF(DAY(F889)=28,3*G889*'депозитный калькулятор'!$G$8,2*G889*'депозитный калькулятор'!$G$8),IF(AND(OR('депозитный калькулятор'!$G$7="30/365",'депозитный калькулятор'!$G$7="30/360"),DAY(F889)=31)," ",IF(AND('депозитный калькулятор'!$G$7="факт/факт",MOD(YEAR(F889),4)=0),G889*'депозитный калькулятор'!$D$11/366,G889*'депозитный калькулятор'!$G$8))))</f>
        <v xml:space="preserve"> </v>
      </c>
      <c r="I889" s="134" t="str">
        <f ca="1">IF(F889=" "," ",IF('депозитный калькулятор'!$G$10="ежедневное",H889,IF(AND('депозитный калькулятор'!$G$10="еженедельное",WEEKDAY(F889,2)=7),SUM(OFFSET(H889,-6,0):H889),IF(AND('депозитный калькулятор'!$G$10="еженедельное",F889='депозитный калькулятор'!$D$8),SUM($H$23:H889)-SUM($I$23:I888),IF(AND('депозитный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недели",WEEKDAY(F889,2)=7),MIN(OFFSET(H889,-6,0):H889)*(COUNTIF(OFFSET(H889,-6,0):H889,"&gt;0")+SUMIF(OFFSET(A889,-WEEKDAY(F889,2),0):A889,"=2",OFFSET(A889,-WEEKDAY(F889,2),0):A889)),IF(AND('депозитный калькулятор'!$G$10="еженедельное, на минимальную сумму зафиксированную в течение недели",F889='депозитный калькулятор'!$D$8,WEEKDAY(F889,2)&lt;&gt;7),MIN(OFFSET(H889,-WEEKDAY(F889,2),0):H889)*(COUNTIF(OFFSET(H889,-WEEKDAY(F889,2)+1,0):H889,"&gt;0")+SUM(OFFSET(A889,-WEEKDAY(F889,2),0):A889)),IF(AND('депозитный калькулятор'!$G$10="ежемесячное (в конце месяца)",F889='депозитный калькулятор'!$D$8,EOMONTH(F889,0)&lt;&gt;F889),IF('депозитный калькулятор'!$F$1=1,$H$24,SUM($H$23:H889)-SUM($I$23:I888)),IF(AND('депозитный калькулятор'!$G$10="ежемесячное (в конце месяца)",EOMONTH(F889,0)=F889),SUM($H$23:H889)-SUM($I$23:I888),IF(AND('депозитный калькулятор'!$G$10="ежемесячное (по дням открытия вклада)",F889='депозитный калькулятор'!$D$8,DAY('депозитный калькулятор'!$D$7)&lt;&gt;DAY(F889)),IF('депозитный калькулятор'!$F$1=1,$H$24,SUM($H$23:H889)-SUM($I$23:I888)),IF(AND('депозитный калькулятор'!$G$10="ежемесячное (по дням открытия вклада)",DAY('депозитный калькулятор'!$D$7)=DAY(F889)),SUM($H$23:H889)-SUM($I$23:I888),IF(AND('депозитный калькулятор'!$G$10="ежемесячное, на минимальную сумму зафиксированную в течение месяца",F889='депозитный калькулятор'!$D$8,EOMONTH(F889,0)&lt;&gt;F889),IF('депозитный калькулятор'!$F$1=1,$H$24,IF(AND(OR('депозитный калькулятор'!$G$7="30/365",'депозитный калькулятор'!$G$7="30/360"),DAY(F889)=31),0,MIN(OFFSET(H889,-E889+1,0):H889)*(E889+SUMIF(OFFSET(A889,-E889+1,0):A889,"=2",OFFSET(A889,-E889+1,0):A889)))),IF(AND('депозитный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калькулятор'!$G$7="30/360"),DAY(EOMONTH(F889,0))=31),EOMONTH(F889,0)-1=F889,EOMONTH(F889,0)=F889)),IF(IF(AND(OR('депозитный калькулятор'!$G$7="30/365",'депозитный калькулятор'!$G$7="30/360"),DAY(EOMONTH($F$23,0))=31),F889=EOMONTH($F$23,0)-1,F889=EOMONTH($F$23,0)),MIN(OFFSET(H889,-(DAY(F889)-DAY($F$23)),0):H889)*E889,MIN(OFFSET(H889,-(DAY(F889)-1),0):H889)*IF(AND(OR('депозитный калькулятор'!$G$7="30/365",'депозитный калькулятор'!$G$7="30/360"),DAY(F889)&lt;30),30,DAY(F889))),IF(AND('депозитный калькулятор'!$G$10="ежемесячное, на средний остаток в течение месяца, при условии что остаток больше чем ограничение",F889='депозитный калькулятор'!$D$8,EOMONTH(F889,0)&lt;&gt;F889),IF('депозитный калькулятор'!$F$1=1,$H$24,SUM(OFFSET(Q889,-E889+1,0):Q889)),IF(AND('депозитный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калькулятор'!$G$7="30/360"),DAY(EOMONTH(F889,0))=31),EOMONTH(F889,0)-1=F889,EOMONTH(F889,0)=F889)),IF(IF(AND(OR('депозитный калькулятор'!$G$7="30/365",'депозитный калькулятор'!$G$7="30/360"),DAY(EOMONTH($F$24,0))=31),F889=EOMONTH($F$24,0)-1,F889=EOMONTH($F$24,0)),SUM(OFFSET(Q889,-E889+1,0):Q889),SUM(OFFSET(Q889,-E889+1,0):Q889)),IF('депозитный калькулятор'!$G$10="ежеквартальное",IF(F889&gt;'депозитный калькулятор'!$D$8," ",IF(AND(EOMONTH(F889,0)=F889,OR(MONTH(F889)=3,MONTH(F889)=6,MONTH(F889)=9,MONTH(F889)=12)),IF(EDATE(F889,-3)&lt;'депозитный калькулятор'!$D$7,SUM($H$23:H889),IF(MOD(YEAR(F889),4)=0,IF(AND(EOMONTH(F889,0)=F889,OR(MONTH(F889)=3,MONTH(F889)=6)),SUM(OFFSET(H889,-90,0):H889),IF(AND(EOMONTH(F889,0)=F889,OR(MONTH(F889)=9,MONTH(F889)=12)),SUM(OFFSET(H889,-91,0):H889))),IF(AND(EOMONTH(F889,0)=F889,MONTH(F889)=3),SUM(OFFSET(H889,-89,0):H889),IF(AND(EOMONTH(F889,0)=F889,MONTH(F889)=6),SUM(OFFSET(H889,-90,0):H889),IF(AND(EOMONTH(F889,0)=F889,OR(MONTH(F889)=9,MONTH(F889)=12)),SUM(OFFSET(H889,-91,0):H889)))))),IF(F889='депозитный калькулятор'!$D$8,SUM($H$23:H889)-SUM($I$23:I888),0))),IF('депозитный калькулятор'!$G$10="ежегодное",IF(F889&gt;'депозитный калькулятор'!$D$8," ",IF(F889='депозитный калькулятор'!$D$8,SUM($H$23:H889)-SUM($I$23:I888),IF(AND(EOMONTH(F889,0)=F889,MONTH(F889)=12),IF(MOD(YEAR(F888),4)=0,IF(F889-'депозитный калькулятор'!$D$7&lt;366,SUM($H$23:H889),SUM(OFFSET(H889,-365,0):H889)),IF(F889-'депозитный калькулятор'!$D$7&lt;365,SUM($H$23:H889),SUM(OFFSET(H889,-364,0):H889))),0))),IF(AND('депозитный калькулятор'!$G$10="в конце срока",'депозитный калькулятор'!$D$8=F889),SUM($H$23:H889),0))))))))))))))))))</f>
        <v xml:space="preserve"> </v>
      </c>
      <c r="J889" s="59" t="str">
        <f>IF(F889&gt;'депозитный калькулятор'!$D$8," ",IF('депозитный калькулятор'!$G$16="нет",0,IF(AND('депозитный калькулятор'!$G$17="разовая (в конце срока)",F889='депозитный калькулятор'!$D$8),'депозитный калькулятор'!$G$18,IF(AND('депозитный калькулятор'!$G$17="ежемесячная",EOMONTH(F888,0)=F888),'депозитный калькулятор'!$G$18,IF(AND('депозитный калькулятор'!$G$17="ежегодная",DAY(F888)=31,MONTH(F888)=12),'депозитный калькулятор'!$G$18,IF(AND('депозитный калькулятор'!$G$17="ежемесячная в зависимости от остатка",EOMONTH(F888,0)=F888,P888&gt;0),'депозитный калькулятор'!$G$18,IF(AND('депозитный калькулятор'!$G$17="ежегодная в зависимости от остатка",DAY(F888)=31,MONTH(F888)=12,P888&gt;0),'депозитный калькулятор'!$G$18,0)))))))</f>
        <v xml:space="preserve"> </v>
      </c>
      <c r="K889" s="135" t="str">
        <f>IF($F889=" "," ",IFERROR(VLOOKUP($F889,'депозитный калькулятор'!$B$26:$F$70,2,0),0))</f>
        <v xml:space="preserve"> </v>
      </c>
      <c r="L889" s="135" t="str">
        <f>IF($F889=" "," ",IFERROR(VLOOKUP($F889,'депозитный калькулятор'!$B$26:$F$70,3,0),0))</f>
        <v xml:space="preserve"> </v>
      </c>
      <c r="M889" s="135" t="str">
        <f>IF($F889=" "," ",IFERROR(VLOOKUP($F889,'депозитный калькулятор'!$B$26:$F$70,4,0),0))</f>
        <v xml:space="preserve"> </v>
      </c>
      <c r="N889" s="135" t="str">
        <f>IF($F889=" "," ",IFERROR(VLOOKUP($F889,'депозитный калькулятор'!$B$26:$F$70,5,0),0))</f>
        <v xml:space="preserve"> </v>
      </c>
      <c r="O889" s="146" t="str">
        <f>IF(F889&gt;'депозитный калькулятор'!$D$8," ",IF(F889='депозитный калькулятор'!$D$8,IF(AND($F$24='депозитный калькулятор'!$D$8,'депозитный калькулятор'!$G$13="нет"),-G889-IF(I889=" ",0,I889)-IF(AND(OR('депозитный калькулятор'!$G$7="30/365",'депозитный калькулятор'!$G$7="30/360"),'депозитный калькулятор'!$G$10="в начале срока"),I888,0)-L889+M889-N889,-G889-IF(I889=" ",0,I889)-L889+M889-N889),IF('депозитный калькулятор'!$G$13="есть",M889-N889+IF('депозитный калькулятор'!$G$14="есть",0,-L889),-IF(I889=" ",0,I889)-IF(AND(OR('депозитный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срока"),I888,0)+M889-N889+IF('депозитный калькулятор'!$G$14="есть",0,-L889))))</f>
        <v xml:space="preserve"> </v>
      </c>
      <c r="P889" s="147" t="str">
        <f>IF(F889&gt;'депозитный калькулятор'!$D$8," ",IF(EOMONTH(F888,0)=F888,0,IF(G889&gt;='депозитный калькулятор'!$G$19,P888,P888+1)))</f>
        <v xml:space="preserve"> </v>
      </c>
      <c r="Q889" s="138" t="str">
        <f>IF(F889=" "," ",IF(AND(OR('депозитный калькулятор'!$G$7="30/365",'депозитный калькулятор'!$G$7="30/360"),AND(MONTH(F889)=2,EOMONTH(F889,0)=F889)),IF(DAY(F889)=28,3,2),1)*IF(G889&gt;='депозитный калькулятор'!$G$11,IF(AND('депозитный калькулятор'!$G$7="факт/факт",MOD(YEAR(F889),4)=0),G889*'депозитный калькулятор'!$D$11/366,G889*'депозитный калькулятор'!$G$8),0))</f>
        <v xml:space="preserve"> </v>
      </c>
      <c r="S889" s="62" t="str">
        <f t="shared" ca="1" si="67"/>
        <v xml:space="preserve"> </v>
      </c>
      <c r="T889" s="149" t="str">
        <f ca="1">IF(S889=" "," ",IF('депозитный калькулятор'!$G$7="30/360",DAYS360(U888,IF(DAY(U889)=31,U889-1,U889))+IF(AND(MONTH(U889)=2,U889=EOMONTH(U889,0)),30-DAY(EOMONTH(U889,0)))+T888,VLOOKUP(S889,$C$22:$F$1023,2,0)))</f>
        <v xml:space="preserve"> </v>
      </c>
      <c r="U889" s="64" t="str">
        <f t="shared" ca="1" si="65"/>
        <v xml:space="preserve"> </v>
      </c>
      <c r="V889" s="150" t="str">
        <f t="shared" ca="1" si="68"/>
        <v xml:space="preserve"> </v>
      </c>
      <c r="W889" s="62" t="str">
        <f t="shared" ca="1" si="69"/>
        <v xml:space="preserve"> </v>
      </c>
      <c r="X889" s="141" t="str">
        <f ca="1">IF(S889=" "," ",IFERROR(VLOOKUP(U889,$F$23:$N$1023,7)+VLOOKUP(U889,$F$23:$N$1023,9)+IF(AND('депозитный калькулятор'!$G$13="нет",U889&lt;&gt;'депозитный калькулятор'!$D$8),VLOOKUP(U889,$F$23:$N$1023,4),0),0)+IF(U889='депозитный калькулятор'!$D$8,VLOOKUP(U889,$F$23:$N$1023,2)+VLOOKUP(U889,$F$23:$N$1023,4),0))</f>
        <v xml:space="preserve"> </v>
      </c>
      <c r="Y889" s="142" t="str">
        <f ca="1">IF(S889=" "," ",W889/(1+'депозитный калькулятор'!$K$8)^(T889/IF('депозитный калькулятор'!$G$7="30/360",360,365)))</f>
        <v xml:space="preserve"> </v>
      </c>
      <c r="Z889" s="142" t="str">
        <f ca="1">IF(S889=" "," ",X889/(1+'депозитный калькулятор'!$K$8)^(T889/IF('депозитный калькулятор'!$G$7="30/360",360,365)))</f>
        <v xml:space="preserve"> </v>
      </c>
      <c r="AA889" s="151"/>
      <c r="AB889" s="151"/>
      <c r="AC889" s="155"/>
      <c r="AD889" s="155"/>
    </row>
    <row r="890" spans="1:30" s="2" customFormat="1" ht="15.5" x14ac:dyDescent="0.35">
      <c r="A890" s="41" t="str">
        <f>IF(F890=" "," ",IF(OR('депозитный калькулятор'!$G$7="30/365",'депозитный калькулятор'!$G$7="30/360"),IF(AND(MONTH(F890)=2,DAY(F890)=DAY(EOMONTH(F890,0))),30-DAY(EOMONTH(F890,0)),IF(DAY(F890)=31,1," "))," "))</f>
        <v xml:space="preserve"> </v>
      </c>
      <c r="B890" s="130" t="str">
        <f t="shared" si="66"/>
        <v xml:space="preserve"> </v>
      </c>
      <c r="C890" s="130" t="str">
        <f>IF(OR(B890=0,B890=" ")," ",SUM($B$23:B890))</f>
        <v xml:space="preserve"> </v>
      </c>
      <c r="D890" s="62" t="str">
        <f>IF(D889=" "," ",IF(OR(F889='депозитный калькулятор'!$D$8,F889=" ")," ",D889+1))</f>
        <v xml:space="preserve"> </v>
      </c>
      <c r="E890" s="130" t="str">
        <f>IF(OR(F889='депозитный калькулятор'!$D$8,F889=" ")," ",IF(EOMONTH(F889,0)=F889,1,E889+1))</f>
        <v xml:space="preserve"> </v>
      </c>
      <c r="F890" s="64" t="str">
        <f>IF(F889=" "," ",IF(F889='депозитный калькулятор'!$D$8," ",F889+1))</f>
        <v xml:space="preserve"> </v>
      </c>
      <c r="G890" s="145" t="str">
        <f xml:space="preserve"> IF(F890&gt;'депозитный калькулятор'!$D$8," ",IF('депозитный калькулятор'!$G$13="есть",IF('депозитный калькулятор'!$G$14="есть",G889+IF(I889=" ",0,I889)-J890-K890+L890+M890-N890,G889+IF(I889=" ",0,I889)-J890-K890+M890-N890),IF('депозитный калькулятор'!$G$14="есть",G889-J890-K890+L890+M890-N890,G889-J890-K890+M890-N890)))</f>
        <v xml:space="preserve"> </v>
      </c>
      <c r="H890" s="133" t="str">
        <f>IF(F890&gt;'депозитный калькулятор'!$D$8," ",IF(AND(OR('депозитный калькулятор'!$G$7="30/365",'депозитный калькулятор'!$G$7="30/360"),AND(MONTH(F890)=2,EOMONTH(F890,0)=F890)),IF(DAY(F890)=28,3*G890*'депозитный калькулятор'!$G$8,2*G890*'депозитный калькулятор'!$G$8),IF(AND(OR('депозитный калькулятор'!$G$7="30/365",'депозитный калькулятор'!$G$7="30/360"),DAY(F890)=31)," ",IF(AND('депозитный калькулятор'!$G$7="факт/факт",MOD(YEAR(F890),4)=0),G890*'депозитный калькулятор'!$D$11/366,G890*'депозитный калькулятор'!$G$8))))</f>
        <v xml:space="preserve"> </v>
      </c>
      <c r="I890" s="134" t="str">
        <f ca="1">IF(F890=" "," ",IF('депозитный калькулятор'!$G$10="ежедневное",H890,IF(AND('депозитный калькулятор'!$G$10="еженедельное",WEEKDAY(F890,2)=7),SUM(OFFSET(H890,-6,0):H890),IF(AND('депозитный калькулятор'!$G$10="еженедельное",F890='депозитный калькулятор'!$D$8),SUM($H$23:H890)-SUM($I$23:I889),IF(AND('депозитный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недели",WEEKDAY(F890,2)=7),MIN(OFFSET(H890,-6,0):H890)*(COUNTIF(OFFSET(H890,-6,0):H890,"&gt;0")+SUMIF(OFFSET(A890,-WEEKDAY(F890,2),0):A890,"=2",OFFSET(A890,-WEEKDAY(F890,2),0):A890)),IF(AND('депозитный калькулятор'!$G$10="еженедельное, на минимальную сумму зафиксированную в течение недели",F890='депозитный калькулятор'!$D$8,WEEKDAY(F890,2)&lt;&gt;7),MIN(OFFSET(H890,-WEEKDAY(F890,2),0):H890)*(COUNTIF(OFFSET(H890,-WEEKDAY(F890,2)+1,0):H890,"&gt;0")+SUM(OFFSET(A890,-WEEKDAY(F890,2),0):A890)),IF(AND('депозитный калькулятор'!$G$10="ежемесячное (в конце месяца)",F890='депозитный калькулятор'!$D$8,EOMONTH(F890,0)&lt;&gt;F890),IF('депозитный калькулятор'!$F$1=1,$H$24,SUM($H$23:H890)-SUM($I$23:I889)),IF(AND('депозитный калькулятор'!$G$10="ежемесячное (в конце месяца)",EOMONTH(F890,0)=F890),SUM($H$23:H890)-SUM($I$23:I889),IF(AND('депозитный калькулятор'!$G$10="ежемесячное (по дням открытия вклада)",F890='депозитный калькулятор'!$D$8,DAY('депозитный калькулятор'!$D$7)&lt;&gt;DAY(F890)),IF('депозитный калькулятор'!$F$1=1,$H$24,SUM($H$23:H890)-SUM($I$23:I889)),IF(AND('депозитный калькулятор'!$G$10="ежемесячное (по дням открытия вклада)",DAY('депозитный калькулятор'!$D$7)=DAY(F890)),SUM($H$23:H890)-SUM($I$23:I889),IF(AND('депозитный калькулятор'!$G$10="ежемесячное, на минимальную сумму зафиксированную в течение месяца",F890='депозитный калькулятор'!$D$8,EOMONTH(F890,0)&lt;&gt;F890),IF('депозитный калькулятор'!$F$1=1,$H$24,IF(AND(OR('депозитный калькулятор'!$G$7="30/365",'депозитный калькулятор'!$G$7="30/360"),DAY(F890)=31),0,MIN(OFFSET(H890,-E890+1,0):H890)*(E890+SUMIF(OFFSET(A890,-E890+1,0):A890,"=2",OFFSET(A890,-E890+1,0):A890)))),IF(AND('депозитный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калькулятор'!$G$7="30/360"),DAY(EOMONTH(F890,0))=31),EOMONTH(F890,0)-1=F890,EOMONTH(F890,0)=F890)),IF(IF(AND(OR('депозитный калькулятор'!$G$7="30/365",'депозитный калькулятор'!$G$7="30/360"),DAY(EOMONTH($F$23,0))=31),F890=EOMONTH($F$23,0)-1,F890=EOMONTH($F$23,0)),MIN(OFFSET(H890,-(DAY(F890)-DAY($F$23)),0):H890)*E890,MIN(OFFSET(H890,-(DAY(F890)-1),0):H890)*IF(AND(OR('депозитный калькулятор'!$G$7="30/365",'депозитный калькулятор'!$G$7="30/360"),DAY(F890)&lt;30),30,DAY(F890))),IF(AND('депозитный калькулятор'!$G$10="ежемесячное, на средний остаток в течение месяца, при условии что остаток больше чем ограничение",F890='депозитный калькулятор'!$D$8,EOMONTH(F890,0)&lt;&gt;F890),IF('депозитный калькулятор'!$F$1=1,$H$24,SUM(OFFSET(Q890,-E890+1,0):Q890)),IF(AND('депозитный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калькулятор'!$G$7="30/360"),DAY(EOMONTH(F890,0))=31),EOMONTH(F890,0)-1=F890,EOMONTH(F890,0)=F890)),IF(IF(AND(OR('депозитный калькулятор'!$G$7="30/365",'депозитный калькулятор'!$G$7="30/360"),DAY(EOMONTH($F$24,0))=31),F890=EOMONTH($F$24,0)-1,F890=EOMONTH($F$24,0)),SUM(OFFSET(Q890,-E890+1,0):Q890),SUM(OFFSET(Q890,-E890+1,0):Q890)),IF('депозитный калькулятор'!$G$10="ежеквартальное",IF(F890&gt;'депозитный калькулятор'!$D$8," ",IF(AND(EOMONTH(F890,0)=F890,OR(MONTH(F890)=3,MONTH(F890)=6,MONTH(F890)=9,MONTH(F890)=12)),IF(EDATE(F890,-3)&lt;'депозитный калькулятор'!$D$7,SUM($H$23:H890),IF(MOD(YEAR(F890),4)=0,IF(AND(EOMONTH(F890,0)=F890,OR(MONTH(F890)=3,MONTH(F890)=6)),SUM(OFFSET(H890,-90,0):H890),IF(AND(EOMONTH(F890,0)=F890,OR(MONTH(F890)=9,MONTH(F890)=12)),SUM(OFFSET(H890,-91,0):H890))),IF(AND(EOMONTH(F890,0)=F890,MONTH(F890)=3),SUM(OFFSET(H890,-89,0):H890),IF(AND(EOMONTH(F890,0)=F890,MONTH(F890)=6),SUM(OFFSET(H890,-90,0):H890),IF(AND(EOMONTH(F890,0)=F890,OR(MONTH(F890)=9,MONTH(F890)=12)),SUM(OFFSET(H890,-91,0):H890)))))),IF(F890='депозитный калькулятор'!$D$8,SUM($H$23:H890)-SUM($I$23:I889),0))),IF('депозитный калькулятор'!$G$10="ежегодное",IF(F890&gt;'депозитный калькулятор'!$D$8," ",IF(F890='депозитный калькулятор'!$D$8,SUM($H$23:H890)-SUM($I$23:I889),IF(AND(EOMONTH(F890,0)=F890,MONTH(F890)=12),IF(MOD(YEAR(F889),4)=0,IF(F890-'депозитный калькулятор'!$D$7&lt;366,SUM($H$23:H890),SUM(OFFSET(H890,-365,0):H890)),IF(F890-'депозитный калькулятор'!$D$7&lt;365,SUM($H$23:H890),SUM(OFFSET(H890,-364,0):H890))),0))),IF(AND('депозитный калькулятор'!$G$10="в конце срока",'депозитный калькулятор'!$D$8=F890),SUM($H$23:H890),0))))))))))))))))))</f>
        <v xml:space="preserve"> </v>
      </c>
      <c r="J890" s="59" t="str">
        <f>IF(F890&gt;'депозитный калькулятор'!$D$8," ",IF('депозитный калькулятор'!$G$16="нет",0,IF(AND('депозитный калькулятор'!$G$17="разовая (в конце срока)",F890='депозитный калькулятор'!$D$8),'депозитный калькулятор'!$G$18,IF(AND('депозитный калькулятор'!$G$17="ежемесячная",EOMONTH(F889,0)=F889),'депозитный калькулятор'!$G$18,IF(AND('депозитный калькулятор'!$G$17="ежегодная",DAY(F889)=31,MONTH(F889)=12),'депозитный калькулятор'!$G$18,IF(AND('депозитный калькулятор'!$G$17="ежемесячная в зависимости от остатка",EOMONTH(F889,0)=F889,P889&gt;0),'депозитный калькулятор'!$G$18,IF(AND('депозитный калькулятор'!$G$17="ежегодная в зависимости от остатка",DAY(F889)=31,MONTH(F889)=12,P889&gt;0),'депозитный калькулятор'!$G$18,0)))))))</f>
        <v xml:space="preserve"> </v>
      </c>
      <c r="K890" s="135" t="str">
        <f>IF($F890=" "," ",IFERROR(VLOOKUP($F890,'депозитный калькулятор'!$B$26:$F$70,2,0),0))</f>
        <v xml:space="preserve"> </v>
      </c>
      <c r="L890" s="135" t="str">
        <f>IF($F890=" "," ",IFERROR(VLOOKUP($F890,'депозитный калькулятор'!$B$26:$F$70,3,0),0))</f>
        <v xml:space="preserve"> </v>
      </c>
      <c r="M890" s="135" t="str">
        <f>IF($F890=" "," ",IFERROR(VLOOKUP($F890,'депозитный калькулятор'!$B$26:$F$70,4,0),0))</f>
        <v xml:space="preserve"> </v>
      </c>
      <c r="N890" s="135" t="str">
        <f>IF($F890=" "," ",IFERROR(VLOOKUP($F890,'депозитный калькулятор'!$B$26:$F$70,5,0),0))</f>
        <v xml:space="preserve"> </v>
      </c>
      <c r="O890" s="146" t="str">
        <f>IF(F890&gt;'депозитный калькулятор'!$D$8," ",IF(F890='депозитный калькулятор'!$D$8,IF(AND($F$24='депозитный калькулятор'!$D$8,'депозитный калькулятор'!$G$13="нет"),-G890-IF(I890=" ",0,I890)-IF(AND(OR('депозитный калькулятор'!$G$7="30/365",'депозитный калькулятор'!$G$7="30/360"),'депозитный калькулятор'!$G$10="в начале срока"),I889,0)-L890+M890-N890,-G890-IF(I890=" ",0,I890)-L890+M890-N890),IF('депозитный калькулятор'!$G$13="есть",M890-N890+IF('депозитный калькулятор'!$G$14="есть",0,-L890),-IF(I890=" ",0,I890)-IF(AND(OR('депозитный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срока"),I889,0)+M890-N890+IF('депозитный калькулятор'!$G$14="есть",0,-L890))))</f>
        <v xml:space="preserve"> </v>
      </c>
      <c r="P890" s="147" t="str">
        <f>IF(F890&gt;'депозитный калькулятор'!$D$8," ",IF(EOMONTH(F889,0)=F889,0,IF(G890&gt;='депозитный калькулятор'!$G$19,P889,P889+1)))</f>
        <v xml:space="preserve"> </v>
      </c>
      <c r="Q890" s="138" t="str">
        <f>IF(F890=" "," ",IF(AND(OR('депозитный калькулятор'!$G$7="30/365",'депозитный калькулятор'!$G$7="30/360"),AND(MONTH(F890)=2,EOMONTH(F890,0)=F890)),IF(DAY(F890)=28,3,2),1)*IF(G890&gt;='депозитный калькулятор'!$G$11,IF(AND('депозитный калькулятор'!$G$7="факт/факт",MOD(YEAR(F890),4)=0),G890*'депозитный калькулятор'!$D$11/366,G890*'депозитный калькулятор'!$G$8),0))</f>
        <v xml:space="preserve"> </v>
      </c>
      <c r="S890" s="62" t="str">
        <f t="shared" ca="1" si="67"/>
        <v xml:space="preserve"> </v>
      </c>
      <c r="T890" s="149" t="str">
        <f ca="1">IF(S890=" "," ",IF('депозитный калькулятор'!$G$7="30/360",DAYS360(U889,IF(DAY(U890)=31,U890-1,U890))+IF(AND(MONTH(U890)=2,U890=EOMONTH(U890,0)),30-DAY(EOMONTH(U890,0)))+T889,VLOOKUP(S890,$C$22:$F$1023,2,0)))</f>
        <v xml:space="preserve"> </v>
      </c>
      <c r="U890" s="64" t="str">
        <f t="shared" ca="1" si="65"/>
        <v xml:space="preserve"> </v>
      </c>
      <c r="V890" s="150" t="str">
        <f t="shared" ca="1" si="68"/>
        <v xml:space="preserve"> </v>
      </c>
      <c r="W890" s="62" t="str">
        <f t="shared" ca="1" si="69"/>
        <v xml:space="preserve"> </v>
      </c>
      <c r="X890" s="141" t="str">
        <f ca="1">IF(S890=" "," ",IFERROR(VLOOKUP(U890,$F$23:$N$1023,7)+VLOOKUP(U890,$F$23:$N$1023,9)+IF(AND('депозитный калькулятор'!$G$13="нет",U890&lt;&gt;'депозитный калькулятор'!$D$8),VLOOKUP(U890,$F$23:$N$1023,4),0),0)+IF(U890='депозитный калькулятор'!$D$8,VLOOKUP(U890,$F$23:$N$1023,2)+VLOOKUP(U890,$F$23:$N$1023,4),0))</f>
        <v xml:space="preserve"> </v>
      </c>
      <c r="Y890" s="142" t="str">
        <f ca="1">IF(S890=" "," ",W890/(1+'депозитный калькулятор'!$K$8)^(T890/IF('депозитный калькулятор'!$G$7="30/360",360,365)))</f>
        <v xml:space="preserve"> </v>
      </c>
      <c r="Z890" s="142" t="str">
        <f ca="1">IF(S890=" "," ",X890/(1+'депозитный калькулятор'!$K$8)^(T890/IF('депозитный калькулятор'!$G$7="30/360",360,365)))</f>
        <v xml:space="preserve"> </v>
      </c>
      <c r="AA890" s="151"/>
      <c r="AB890" s="151"/>
      <c r="AC890" s="155"/>
      <c r="AD890" s="155"/>
    </row>
    <row r="891" spans="1:30" s="2" customFormat="1" ht="15.5" x14ac:dyDescent="0.35">
      <c r="A891" s="41" t="str">
        <f>IF(F891=" "," ",IF(OR('депозитный калькулятор'!$G$7="30/365",'депозитный калькулятор'!$G$7="30/360"),IF(AND(MONTH(F891)=2,DAY(F891)=DAY(EOMONTH(F891,0))),30-DAY(EOMONTH(F891,0)),IF(DAY(F891)=31,1," "))," "))</f>
        <v xml:space="preserve"> </v>
      </c>
      <c r="B891" s="130" t="str">
        <f t="shared" si="66"/>
        <v xml:space="preserve"> </v>
      </c>
      <c r="C891" s="130" t="str">
        <f>IF(OR(B891=0,B891=" ")," ",SUM($B$23:B891))</f>
        <v xml:space="preserve"> </v>
      </c>
      <c r="D891" s="62" t="str">
        <f>IF(D890=" "," ",IF(OR(F890='депозитный калькулятор'!$D$8,F890=" ")," ",D890+1))</f>
        <v xml:space="preserve"> </v>
      </c>
      <c r="E891" s="130" t="str">
        <f>IF(OR(F890='депозитный калькулятор'!$D$8,F890=" ")," ",IF(EOMONTH(F890,0)=F890,1,E890+1))</f>
        <v xml:space="preserve"> </v>
      </c>
      <c r="F891" s="64" t="str">
        <f>IF(F890=" "," ",IF(F890='депозитный калькулятор'!$D$8," ",F890+1))</f>
        <v xml:space="preserve"> </v>
      </c>
      <c r="G891" s="145" t="str">
        <f xml:space="preserve"> IF(F891&gt;'депозитный калькулятор'!$D$8," ",IF('депозитный калькулятор'!$G$13="есть",IF('депозитный калькулятор'!$G$14="есть",G890+IF(I890=" ",0,I890)-J891-K891+L891+M891-N891,G890+IF(I890=" ",0,I890)-J891-K891+M891-N891),IF('депозитный калькулятор'!$G$14="есть",G890-J891-K891+L891+M891-N891,G890-J891-K891+M891-N891)))</f>
        <v xml:space="preserve"> </v>
      </c>
      <c r="H891" s="133" t="str">
        <f>IF(F891&gt;'депозитный калькулятор'!$D$8," ",IF(AND(OR('депозитный калькулятор'!$G$7="30/365",'депозитный калькулятор'!$G$7="30/360"),AND(MONTH(F891)=2,EOMONTH(F891,0)=F891)),IF(DAY(F891)=28,3*G891*'депозитный калькулятор'!$G$8,2*G891*'депозитный калькулятор'!$G$8),IF(AND(OR('депозитный калькулятор'!$G$7="30/365",'депозитный калькулятор'!$G$7="30/360"),DAY(F891)=31)," ",IF(AND('депозитный калькулятор'!$G$7="факт/факт",MOD(YEAR(F891),4)=0),G891*'депозитный калькулятор'!$D$11/366,G891*'депозитный калькулятор'!$G$8))))</f>
        <v xml:space="preserve"> </v>
      </c>
      <c r="I891" s="134" t="str">
        <f ca="1">IF(F891=" "," ",IF('депозитный калькулятор'!$G$10="ежедневное",H891,IF(AND('депозитный калькулятор'!$G$10="еженедельное",WEEKDAY(F891,2)=7),SUM(OFFSET(H891,-6,0):H891),IF(AND('депозитный калькулятор'!$G$10="еженедельное",F891='депозитный калькулятор'!$D$8),SUM($H$23:H891)-SUM($I$23:I890),IF(AND('депозитный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недели",WEEKDAY(F891,2)=7),MIN(OFFSET(H891,-6,0):H891)*(COUNTIF(OFFSET(H891,-6,0):H891,"&gt;0")+SUMIF(OFFSET(A891,-WEEKDAY(F891,2),0):A891,"=2",OFFSET(A891,-WEEKDAY(F891,2),0):A891)),IF(AND('депозитный калькулятор'!$G$10="еженедельное, на минимальную сумму зафиксированную в течение недели",F891='депозитный калькулятор'!$D$8,WEEKDAY(F891,2)&lt;&gt;7),MIN(OFFSET(H891,-WEEKDAY(F891,2),0):H891)*(COUNTIF(OFFSET(H891,-WEEKDAY(F891,2)+1,0):H891,"&gt;0")+SUM(OFFSET(A891,-WEEKDAY(F891,2),0):A891)),IF(AND('депозитный калькулятор'!$G$10="ежемесячное (в конце месяца)",F891='депозитный калькулятор'!$D$8,EOMONTH(F891,0)&lt;&gt;F891),IF('депозитный калькулятор'!$F$1=1,$H$24,SUM($H$23:H891)-SUM($I$23:I890)),IF(AND('депозитный калькулятор'!$G$10="ежемесячное (в конце месяца)",EOMONTH(F891,0)=F891),SUM($H$23:H891)-SUM($I$23:I890),IF(AND('депозитный калькулятор'!$G$10="ежемесячное (по дням открытия вклада)",F891='депозитный калькулятор'!$D$8,DAY('депозитный калькулятор'!$D$7)&lt;&gt;DAY(F891)),IF('депозитный калькулятор'!$F$1=1,$H$24,SUM($H$23:H891)-SUM($I$23:I890)),IF(AND('депозитный калькулятор'!$G$10="ежемесячное (по дням открытия вклада)",DAY('депозитный калькулятор'!$D$7)=DAY(F891)),SUM($H$23:H891)-SUM($I$23:I890),IF(AND('депозитный калькулятор'!$G$10="ежемесячное, на минимальную сумму зафиксированную в течение месяца",F891='депозитный калькулятор'!$D$8,EOMONTH(F891,0)&lt;&gt;F891),IF('депозитный калькулятор'!$F$1=1,$H$24,IF(AND(OR('депозитный калькулятор'!$G$7="30/365",'депозитный калькулятор'!$G$7="30/360"),DAY(F891)=31),0,MIN(OFFSET(H891,-E891+1,0):H891)*(E891+SUMIF(OFFSET(A891,-E891+1,0):A891,"=2",OFFSET(A891,-E891+1,0):A891)))),IF(AND('депозитный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калькулятор'!$G$7="30/360"),DAY(EOMONTH(F891,0))=31),EOMONTH(F891,0)-1=F891,EOMONTH(F891,0)=F891)),IF(IF(AND(OR('депозитный калькулятор'!$G$7="30/365",'депозитный калькулятор'!$G$7="30/360"),DAY(EOMONTH($F$23,0))=31),F891=EOMONTH($F$23,0)-1,F891=EOMONTH($F$23,0)),MIN(OFFSET(H891,-(DAY(F891)-DAY($F$23)),0):H891)*E891,MIN(OFFSET(H891,-(DAY(F891)-1),0):H891)*IF(AND(OR('депозитный калькулятор'!$G$7="30/365",'депозитный калькулятор'!$G$7="30/360"),DAY(F891)&lt;30),30,DAY(F891))),IF(AND('депозитный калькулятор'!$G$10="ежемесячное, на средний остаток в течение месяца, при условии что остаток больше чем ограничение",F891='депозитный калькулятор'!$D$8,EOMONTH(F891,0)&lt;&gt;F891),IF('депозитный калькулятор'!$F$1=1,$H$24,SUM(OFFSET(Q891,-E891+1,0):Q891)),IF(AND('депозитный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калькулятор'!$G$7="30/360"),DAY(EOMONTH(F891,0))=31),EOMONTH(F891,0)-1=F891,EOMONTH(F891,0)=F891)),IF(IF(AND(OR('депозитный калькулятор'!$G$7="30/365",'депозитный калькулятор'!$G$7="30/360"),DAY(EOMONTH($F$24,0))=31),F891=EOMONTH($F$24,0)-1,F891=EOMONTH($F$24,0)),SUM(OFFSET(Q891,-E891+1,0):Q891),SUM(OFFSET(Q891,-E891+1,0):Q891)),IF('депозитный калькулятор'!$G$10="ежеквартальное",IF(F891&gt;'депозитный калькулятор'!$D$8," ",IF(AND(EOMONTH(F891,0)=F891,OR(MONTH(F891)=3,MONTH(F891)=6,MONTH(F891)=9,MONTH(F891)=12)),IF(EDATE(F891,-3)&lt;'депозитный калькулятор'!$D$7,SUM($H$23:H891),IF(MOD(YEAR(F891),4)=0,IF(AND(EOMONTH(F891,0)=F891,OR(MONTH(F891)=3,MONTH(F891)=6)),SUM(OFFSET(H891,-90,0):H891),IF(AND(EOMONTH(F891,0)=F891,OR(MONTH(F891)=9,MONTH(F891)=12)),SUM(OFFSET(H891,-91,0):H891))),IF(AND(EOMONTH(F891,0)=F891,MONTH(F891)=3),SUM(OFFSET(H891,-89,0):H891),IF(AND(EOMONTH(F891,0)=F891,MONTH(F891)=6),SUM(OFFSET(H891,-90,0):H891),IF(AND(EOMONTH(F891,0)=F891,OR(MONTH(F891)=9,MONTH(F891)=12)),SUM(OFFSET(H891,-91,0):H891)))))),IF(F891='депозитный калькулятор'!$D$8,SUM($H$23:H891)-SUM($I$23:I890),0))),IF('депозитный калькулятор'!$G$10="ежегодное",IF(F891&gt;'депозитный калькулятор'!$D$8," ",IF(F891='депозитный калькулятор'!$D$8,SUM($H$23:H891)-SUM($I$23:I890),IF(AND(EOMONTH(F891,0)=F891,MONTH(F891)=12),IF(MOD(YEAR(F890),4)=0,IF(F891-'депозитный калькулятор'!$D$7&lt;366,SUM($H$23:H891),SUM(OFFSET(H891,-365,0):H891)),IF(F891-'депозитный калькулятор'!$D$7&lt;365,SUM($H$23:H891),SUM(OFFSET(H891,-364,0):H891))),0))),IF(AND('депозитный калькулятор'!$G$10="в конце срока",'депозитный калькулятор'!$D$8=F891),SUM($H$23:H891),0))))))))))))))))))</f>
        <v xml:space="preserve"> </v>
      </c>
      <c r="J891" s="59" t="str">
        <f>IF(F891&gt;'депозитный калькулятор'!$D$8," ",IF('депозитный калькулятор'!$G$16="нет",0,IF(AND('депозитный калькулятор'!$G$17="разовая (в конце срока)",F891='депозитный калькулятор'!$D$8),'депозитный калькулятор'!$G$18,IF(AND('депозитный калькулятор'!$G$17="ежемесячная",EOMONTH(F890,0)=F890),'депозитный калькулятор'!$G$18,IF(AND('депозитный калькулятор'!$G$17="ежегодная",DAY(F890)=31,MONTH(F890)=12),'депозитный калькулятор'!$G$18,IF(AND('депозитный калькулятор'!$G$17="ежемесячная в зависимости от остатка",EOMONTH(F890,0)=F890,P890&gt;0),'депозитный калькулятор'!$G$18,IF(AND('депозитный калькулятор'!$G$17="ежегодная в зависимости от остатка",DAY(F890)=31,MONTH(F890)=12,P890&gt;0),'депозитный калькулятор'!$G$18,0)))))))</f>
        <v xml:space="preserve"> </v>
      </c>
      <c r="K891" s="135" t="str">
        <f>IF($F891=" "," ",IFERROR(VLOOKUP($F891,'депозитный калькулятор'!$B$26:$F$70,2,0),0))</f>
        <v xml:space="preserve"> </v>
      </c>
      <c r="L891" s="135" t="str">
        <f>IF($F891=" "," ",IFERROR(VLOOKUP($F891,'депозитный калькулятор'!$B$26:$F$70,3,0),0))</f>
        <v xml:space="preserve"> </v>
      </c>
      <c r="M891" s="135" t="str">
        <f>IF($F891=" "," ",IFERROR(VLOOKUP($F891,'депозитный калькулятор'!$B$26:$F$70,4,0),0))</f>
        <v xml:space="preserve"> </v>
      </c>
      <c r="N891" s="135" t="str">
        <f>IF($F891=" "," ",IFERROR(VLOOKUP($F891,'депозитный калькулятор'!$B$26:$F$70,5,0),0))</f>
        <v xml:space="preserve"> </v>
      </c>
      <c r="O891" s="146" t="str">
        <f>IF(F891&gt;'депозитный калькулятор'!$D$8," ",IF(F891='депозитный калькулятор'!$D$8,IF(AND($F$24='депозитный калькулятор'!$D$8,'депозитный калькулятор'!$G$13="нет"),-G891-IF(I891=" ",0,I891)-IF(AND(OR('депозитный калькулятор'!$G$7="30/365",'депозитный калькулятор'!$G$7="30/360"),'депозитный калькулятор'!$G$10="в начале срока"),I890,0)-L891+M891-N891,-G891-IF(I891=" ",0,I891)-L891+M891-N891),IF('депозитный калькулятор'!$G$13="есть",M891-N891+IF('депозитный калькулятор'!$G$14="есть",0,-L891),-IF(I891=" ",0,I891)-IF(AND(OR('депозитный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срока"),I890,0)+M891-N891+IF('депозитный калькулятор'!$G$14="есть",0,-L891))))</f>
        <v xml:space="preserve"> </v>
      </c>
      <c r="P891" s="147" t="str">
        <f>IF(F891&gt;'депозитный калькулятор'!$D$8," ",IF(EOMONTH(F890,0)=F890,0,IF(G891&gt;='депозитный калькулятор'!$G$19,P890,P890+1)))</f>
        <v xml:space="preserve"> </v>
      </c>
      <c r="Q891" s="138" t="str">
        <f>IF(F891=" "," ",IF(AND(OR('депозитный калькулятор'!$G$7="30/365",'депозитный калькулятор'!$G$7="30/360"),AND(MONTH(F891)=2,EOMONTH(F891,0)=F891)),IF(DAY(F891)=28,3,2),1)*IF(G891&gt;='депозитный калькулятор'!$G$11,IF(AND('депозитный калькулятор'!$G$7="факт/факт",MOD(YEAR(F891),4)=0),G891*'депозитный калькулятор'!$D$11/366,G891*'депозитный калькулятор'!$G$8),0))</f>
        <v xml:space="preserve"> </v>
      </c>
      <c r="S891" s="62" t="str">
        <f t="shared" ca="1" si="67"/>
        <v xml:space="preserve"> </v>
      </c>
      <c r="T891" s="149" t="str">
        <f ca="1">IF(S891=" "," ",IF('депозитный калькулятор'!$G$7="30/360",DAYS360(U890,IF(DAY(U891)=31,U891-1,U891))+IF(AND(MONTH(U891)=2,U891=EOMONTH(U891,0)),30-DAY(EOMONTH(U891,0)))+T890,VLOOKUP(S891,$C$22:$F$1023,2,0)))</f>
        <v xml:space="preserve"> </v>
      </c>
      <c r="U891" s="64" t="str">
        <f t="shared" ca="1" si="65"/>
        <v xml:space="preserve"> </v>
      </c>
      <c r="V891" s="150" t="str">
        <f t="shared" ca="1" si="68"/>
        <v xml:space="preserve"> </v>
      </c>
      <c r="W891" s="62" t="str">
        <f t="shared" ca="1" si="69"/>
        <v xml:space="preserve"> </v>
      </c>
      <c r="X891" s="141" t="str">
        <f ca="1">IF(S891=" "," ",IFERROR(VLOOKUP(U891,$F$23:$N$1023,7)+VLOOKUP(U891,$F$23:$N$1023,9)+IF(AND('депозитный калькулятор'!$G$13="нет",U891&lt;&gt;'депозитный калькулятор'!$D$8),VLOOKUP(U891,$F$23:$N$1023,4),0),0)+IF(U891='депозитный калькулятор'!$D$8,VLOOKUP(U891,$F$23:$N$1023,2)+VLOOKUP(U891,$F$23:$N$1023,4),0))</f>
        <v xml:space="preserve"> </v>
      </c>
      <c r="Y891" s="142" t="str">
        <f ca="1">IF(S891=" "," ",W891/(1+'депозитный калькулятор'!$K$8)^(T891/IF('депозитный калькулятор'!$G$7="30/360",360,365)))</f>
        <v xml:space="preserve"> </v>
      </c>
      <c r="Z891" s="142" t="str">
        <f ca="1">IF(S891=" "," ",X891/(1+'депозитный калькулятор'!$K$8)^(T891/IF('депозитный калькулятор'!$G$7="30/360",360,365)))</f>
        <v xml:space="preserve"> </v>
      </c>
      <c r="AA891" s="151"/>
      <c r="AB891" s="151"/>
      <c r="AC891" s="155"/>
      <c r="AD891" s="155"/>
    </row>
    <row r="892" spans="1:30" s="2" customFormat="1" ht="15.5" x14ac:dyDescent="0.35">
      <c r="A892" s="41" t="str">
        <f>IF(F892=" "," ",IF(OR('депозитный калькулятор'!$G$7="30/365",'депозитный калькулятор'!$G$7="30/360"),IF(AND(MONTH(F892)=2,DAY(F892)=DAY(EOMONTH(F892,0))),30-DAY(EOMONTH(F892,0)),IF(DAY(F892)=31,1," "))," "))</f>
        <v xml:space="preserve"> </v>
      </c>
      <c r="B892" s="130" t="str">
        <f t="shared" si="66"/>
        <v xml:space="preserve"> </v>
      </c>
      <c r="C892" s="130" t="str">
        <f>IF(OR(B892=0,B892=" ")," ",SUM($B$23:B892))</f>
        <v xml:space="preserve"> </v>
      </c>
      <c r="D892" s="62" t="str">
        <f>IF(D891=" "," ",IF(OR(F891='депозитный калькулятор'!$D$8,F891=" ")," ",D891+1))</f>
        <v xml:space="preserve"> </v>
      </c>
      <c r="E892" s="130" t="str">
        <f>IF(OR(F891='депозитный калькулятор'!$D$8,F891=" ")," ",IF(EOMONTH(F891,0)=F891,1,E891+1))</f>
        <v xml:space="preserve"> </v>
      </c>
      <c r="F892" s="64" t="str">
        <f>IF(F891=" "," ",IF(F891='депозитный калькулятор'!$D$8," ",F891+1))</f>
        <v xml:space="preserve"> </v>
      </c>
      <c r="G892" s="145" t="str">
        <f xml:space="preserve"> IF(F892&gt;'депозитный калькулятор'!$D$8," ",IF('депозитный калькулятор'!$G$13="есть",IF('депозитный калькулятор'!$G$14="есть",G891+IF(I891=" ",0,I891)-J892-K892+L892+M892-N892,G891+IF(I891=" ",0,I891)-J892-K892+M892-N892),IF('депозитный калькулятор'!$G$14="есть",G891-J892-K892+L892+M892-N892,G891-J892-K892+M892-N892)))</f>
        <v xml:space="preserve"> </v>
      </c>
      <c r="H892" s="133" t="str">
        <f>IF(F892&gt;'депозитный калькулятор'!$D$8," ",IF(AND(OR('депозитный калькулятор'!$G$7="30/365",'депозитный калькулятор'!$G$7="30/360"),AND(MONTH(F892)=2,EOMONTH(F892,0)=F892)),IF(DAY(F892)=28,3*G892*'депозитный калькулятор'!$G$8,2*G892*'депозитный калькулятор'!$G$8),IF(AND(OR('депозитный калькулятор'!$G$7="30/365",'депозитный калькулятор'!$G$7="30/360"),DAY(F892)=31)," ",IF(AND('депозитный калькулятор'!$G$7="факт/факт",MOD(YEAR(F892),4)=0),G892*'депозитный калькулятор'!$D$11/366,G892*'депозитный калькулятор'!$G$8))))</f>
        <v xml:space="preserve"> </v>
      </c>
      <c r="I892" s="134" t="str">
        <f ca="1">IF(F892=" "," ",IF('депозитный калькулятор'!$G$10="ежедневное",H892,IF(AND('депозитный калькулятор'!$G$10="еженедельное",WEEKDAY(F892,2)=7),SUM(OFFSET(H892,-6,0):H892),IF(AND('депозитный калькулятор'!$G$10="еженедельное",F892='депозитный калькулятор'!$D$8),SUM($H$23:H892)-SUM($I$23:I891),IF(AND('депозитный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недели",WEEKDAY(F892,2)=7),MIN(OFFSET(H892,-6,0):H892)*(COUNTIF(OFFSET(H892,-6,0):H892,"&gt;0")+SUMIF(OFFSET(A892,-WEEKDAY(F892,2),0):A892,"=2",OFFSET(A892,-WEEKDAY(F892,2),0):A892)),IF(AND('депозитный калькулятор'!$G$10="еженедельное, на минимальную сумму зафиксированную в течение недели",F892='депозитный калькулятор'!$D$8,WEEKDAY(F892,2)&lt;&gt;7),MIN(OFFSET(H892,-WEEKDAY(F892,2),0):H892)*(COUNTIF(OFFSET(H892,-WEEKDAY(F892,2)+1,0):H892,"&gt;0")+SUM(OFFSET(A892,-WEEKDAY(F892,2),0):A892)),IF(AND('депозитный калькулятор'!$G$10="ежемесячное (в конце месяца)",F892='депозитный калькулятор'!$D$8,EOMONTH(F892,0)&lt;&gt;F892),IF('депозитный калькулятор'!$F$1=1,$H$24,SUM($H$23:H892)-SUM($I$23:I891)),IF(AND('депозитный калькулятор'!$G$10="ежемесячное (в конце месяца)",EOMONTH(F892,0)=F892),SUM($H$23:H892)-SUM($I$23:I891),IF(AND('депозитный калькулятор'!$G$10="ежемесячное (по дням открытия вклада)",F892='депозитный калькулятор'!$D$8,DAY('депозитный калькулятор'!$D$7)&lt;&gt;DAY(F892)),IF('депозитный калькулятор'!$F$1=1,$H$24,SUM($H$23:H892)-SUM($I$23:I891)),IF(AND('депозитный калькулятор'!$G$10="ежемесячное (по дням открытия вклада)",DAY('депозитный калькулятор'!$D$7)=DAY(F892)),SUM($H$23:H892)-SUM($I$23:I891),IF(AND('депозитный калькулятор'!$G$10="ежемесячное, на минимальную сумму зафиксированную в течение месяца",F892='депозитный калькулятор'!$D$8,EOMONTH(F892,0)&lt;&gt;F892),IF('депозитный калькулятор'!$F$1=1,$H$24,IF(AND(OR('депозитный калькулятор'!$G$7="30/365",'депозитный калькулятор'!$G$7="30/360"),DAY(F892)=31),0,MIN(OFFSET(H892,-E892+1,0):H892)*(E892+SUMIF(OFFSET(A892,-E892+1,0):A892,"=2",OFFSET(A892,-E892+1,0):A892)))),IF(AND('депозитный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калькулятор'!$G$7="30/360"),DAY(EOMONTH(F892,0))=31),EOMONTH(F892,0)-1=F892,EOMONTH(F892,0)=F892)),IF(IF(AND(OR('депозитный калькулятор'!$G$7="30/365",'депозитный калькулятор'!$G$7="30/360"),DAY(EOMONTH($F$23,0))=31),F892=EOMONTH($F$23,0)-1,F892=EOMONTH($F$23,0)),MIN(OFFSET(H892,-(DAY(F892)-DAY($F$23)),0):H892)*E892,MIN(OFFSET(H892,-(DAY(F892)-1),0):H892)*IF(AND(OR('депозитный калькулятор'!$G$7="30/365",'депозитный калькулятор'!$G$7="30/360"),DAY(F892)&lt;30),30,DAY(F892))),IF(AND('депозитный калькулятор'!$G$10="ежемесячное, на средний остаток в течение месяца, при условии что остаток больше чем ограничение",F892='депозитный калькулятор'!$D$8,EOMONTH(F892,0)&lt;&gt;F892),IF('депозитный калькулятор'!$F$1=1,$H$24,SUM(OFFSET(Q892,-E892+1,0):Q892)),IF(AND('депозитный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калькулятор'!$G$7="30/360"),DAY(EOMONTH(F892,0))=31),EOMONTH(F892,0)-1=F892,EOMONTH(F892,0)=F892)),IF(IF(AND(OR('депозитный калькулятор'!$G$7="30/365",'депозитный калькулятор'!$G$7="30/360"),DAY(EOMONTH($F$24,0))=31),F892=EOMONTH($F$24,0)-1,F892=EOMONTH($F$24,0)),SUM(OFFSET(Q892,-E892+1,0):Q892),SUM(OFFSET(Q892,-E892+1,0):Q892)),IF('депозитный калькулятор'!$G$10="ежеквартальное",IF(F892&gt;'депозитный калькулятор'!$D$8," ",IF(AND(EOMONTH(F892,0)=F892,OR(MONTH(F892)=3,MONTH(F892)=6,MONTH(F892)=9,MONTH(F892)=12)),IF(EDATE(F892,-3)&lt;'депозитный калькулятор'!$D$7,SUM($H$23:H892),IF(MOD(YEAR(F892),4)=0,IF(AND(EOMONTH(F892,0)=F892,OR(MONTH(F892)=3,MONTH(F892)=6)),SUM(OFFSET(H892,-90,0):H892),IF(AND(EOMONTH(F892,0)=F892,OR(MONTH(F892)=9,MONTH(F892)=12)),SUM(OFFSET(H892,-91,0):H892))),IF(AND(EOMONTH(F892,0)=F892,MONTH(F892)=3),SUM(OFFSET(H892,-89,0):H892),IF(AND(EOMONTH(F892,0)=F892,MONTH(F892)=6),SUM(OFFSET(H892,-90,0):H892),IF(AND(EOMONTH(F892,0)=F892,OR(MONTH(F892)=9,MONTH(F892)=12)),SUM(OFFSET(H892,-91,0):H892)))))),IF(F892='депозитный калькулятор'!$D$8,SUM($H$23:H892)-SUM($I$23:I891),0))),IF('депозитный калькулятор'!$G$10="ежегодное",IF(F892&gt;'депозитный калькулятор'!$D$8," ",IF(F892='депозитный калькулятор'!$D$8,SUM($H$23:H892)-SUM($I$23:I891),IF(AND(EOMONTH(F892,0)=F892,MONTH(F892)=12),IF(MOD(YEAR(F891),4)=0,IF(F892-'депозитный калькулятор'!$D$7&lt;366,SUM($H$23:H892),SUM(OFFSET(H892,-365,0):H892)),IF(F892-'депозитный калькулятор'!$D$7&lt;365,SUM($H$23:H892),SUM(OFFSET(H892,-364,0):H892))),0))),IF(AND('депозитный калькулятор'!$G$10="в конце срока",'депозитный калькулятор'!$D$8=F892),SUM($H$23:H892),0))))))))))))))))))</f>
        <v xml:space="preserve"> </v>
      </c>
      <c r="J892" s="59" t="str">
        <f>IF(F892&gt;'депозитный калькулятор'!$D$8," ",IF('депозитный калькулятор'!$G$16="нет",0,IF(AND('депозитный калькулятор'!$G$17="разовая (в конце срока)",F892='депозитный калькулятор'!$D$8),'депозитный калькулятор'!$G$18,IF(AND('депозитный калькулятор'!$G$17="ежемесячная",EOMONTH(F891,0)=F891),'депозитный калькулятор'!$G$18,IF(AND('депозитный калькулятор'!$G$17="ежегодная",DAY(F891)=31,MONTH(F891)=12),'депозитный калькулятор'!$G$18,IF(AND('депозитный калькулятор'!$G$17="ежемесячная в зависимости от остатка",EOMONTH(F891,0)=F891,P891&gt;0),'депозитный калькулятор'!$G$18,IF(AND('депозитный калькулятор'!$G$17="ежегодная в зависимости от остатка",DAY(F891)=31,MONTH(F891)=12,P891&gt;0),'депозитный калькулятор'!$G$18,0)))))))</f>
        <v xml:space="preserve"> </v>
      </c>
      <c r="K892" s="135" t="str">
        <f>IF($F892=" "," ",IFERROR(VLOOKUP($F892,'депозитный калькулятор'!$B$26:$F$70,2,0),0))</f>
        <v xml:space="preserve"> </v>
      </c>
      <c r="L892" s="135" t="str">
        <f>IF($F892=" "," ",IFERROR(VLOOKUP($F892,'депозитный калькулятор'!$B$26:$F$70,3,0),0))</f>
        <v xml:space="preserve"> </v>
      </c>
      <c r="M892" s="135" t="str">
        <f>IF($F892=" "," ",IFERROR(VLOOKUP($F892,'депозитный калькулятор'!$B$26:$F$70,4,0),0))</f>
        <v xml:space="preserve"> </v>
      </c>
      <c r="N892" s="135" t="str">
        <f>IF($F892=" "," ",IFERROR(VLOOKUP($F892,'депозитный калькулятор'!$B$26:$F$70,5,0),0))</f>
        <v xml:space="preserve"> </v>
      </c>
      <c r="O892" s="146" t="str">
        <f>IF(F892&gt;'депозитный калькулятор'!$D$8," ",IF(F892='депозитный калькулятор'!$D$8,IF(AND($F$24='депозитный калькулятор'!$D$8,'депозитный калькулятор'!$G$13="нет"),-G892-IF(I892=" ",0,I892)-IF(AND(OR('депозитный калькулятор'!$G$7="30/365",'депозитный калькулятор'!$G$7="30/360"),'депозитный калькулятор'!$G$10="в начале срока"),I891,0)-L892+M892-N892,-G892-IF(I892=" ",0,I892)-L892+M892-N892),IF('депозитный калькулятор'!$G$13="есть",M892-N892+IF('депозитный калькулятор'!$G$14="есть",0,-L892),-IF(I892=" ",0,I892)-IF(AND(OR('депозитный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срока"),I891,0)+M892-N892+IF('депозитный калькулятор'!$G$14="есть",0,-L892))))</f>
        <v xml:space="preserve"> </v>
      </c>
      <c r="P892" s="147" t="str">
        <f>IF(F892&gt;'депозитный калькулятор'!$D$8," ",IF(EOMONTH(F891,0)=F891,0,IF(G892&gt;='депозитный калькулятор'!$G$19,P891,P891+1)))</f>
        <v xml:space="preserve"> </v>
      </c>
      <c r="Q892" s="138" t="str">
        <f>IF(F892=" "," ",IF(AND(OR('депозитный калькулятор'!$G$7="30/365",'депозитный калькулятор'!$G$7="30/360"),AND(MONTH(F892)=2,EOMONTH(F892,0)=F892)),IF(DAY(F892)=28,3,2),1)*IF(G892&gt;='депозитный калькулятор'!$G$11,IF(AND('депозитный калькулятор'!$G$7="факт/факт",MOD(YEAR(F892),4)=0),G892*'депозитный калькулятор'!$D$11/366,G892*'депозитный калькулятор'!$G$8),0))</f>
        <v xml:space="preserve"> </v>
      </c>
      <c r="S892" s="62" t="str">
        <f t="shared" ca="1" si="67"/>
        <v xml:space="preserve"> </v>
      </c>
      <c r="T892" s="149" t="str">
        <f ca="1">IF(S892=" "," ",IF('депозитный калькулятор'!$G$7="30/360",DAYS360(U891,IF(DAY(U892)=31,U892-1,U892))+IF(AND(MONTH(U892)=2,U892=EOMONTH(U892,0)),30-DAY(EOMONTH(U892,0)))+T891,VLOOKUP(S892,$C$22:$F$1023,2,0)))</f>
        <v xml:space="preserve"> </v>
      </c>
      <c r="U892" s="64" t="str">
        <f t="shared" ca="1" si="65"/>
        <v xml:space="preserve"> </v>
      </c>
      <c r="V892" s="150" t="str">
        <f t="shared" ca="1" si="68"/>
        <v xml:space="preserve"> </v>
      </c>
      <c r="W892" s="62" t="str">
        <f t="shared" ca="1" si="69"/>
        <v xml:space="preserve"> </v>
      </c>
      <c r="X892" s="141" t="str">
        <f ca="1">IF(S892=" "," ",IFERROR(VLOOKUP(U892,$F$23:$N$1023,7)+VLOOKUP(U892,$F$23:$N$1023,9)+IF(AND('депозитный калькулятор'!$G$13="нет",U892&lt;&gt;'депозитный калькулятор'!$D$8),VLOOKUP(U892,$F$23:$N$1023,4),0),0)+IF(U892='депозитный калькулятор'!$D$8,VLOOKUP(U892,$F$23:$N$1023,2)+VLOOKUP(U892,$F$23:$N$1023,4),0))</f>
        <v xml:space="preserve"> </v>
      </c>
      <c r="Y892" s="142" t="str">
        <f ca="1">IF(S892=" "," ",W892/(1+'депозитный калькулятор'!$K$8)^(T892/IF('депозитный калькулятор'!$G$7="30/360",360,365)))</f>
        <v xml:space="preserve"> </v>
      </c>
      <c r="Z892" s="142" t="str">
        <f ca="1">IF(S892=" "," ",X892/(1+'депозитный калькулятор'!$K$8)^(T892/IF('депозитный калькулятор'!$G$7="30/360",360,365)))</f>
        <v xml:space="preserve"> </v>
      </c>
      <c r="AA892" s="151"/>
      <c r="AB892" s="151"/>
      <c r="AC892" s="155"/>
      <c r="AD892" s="155"/>
    </row>
    <row r="893" spans="1:30" s="2" customFormat="1" ht="15.5" x14ac:dyDescent="0.35">
      <c r="A893" s="41" t="str">
        <f>IF(F893=" "," ",IF(OR('депозитный калькулятор'!$G$7="30/365",'депозитный калькулятор'!$G$7="30/360"),IF(AND(MONTH(F893)=2,DAY(F893)=DAY(EOMONTH(F893,0))),30-DAY(EOMONTH(F893,0)),IF(DAY(F893)=31,1," "))," "))</f>
        <v xml:space="preserve"> </v>
      </c>
      <c r="B893" s="130" t="str">
        <f t="shared" si="66"/>
        <v xml:space="preserve"> </v>
      </c>
      <c r="C893" s="130" t="str">
        <f>IF(OR(B893=0,B893=" ")," ",SUM($B$23:B893))</f>
        <v xml:space="preserve"> </v>
      </c>
      <c r="D893" s="62" t="str">
        <f>IF(D892=" "," ",IF(OR(F892='депозитный калькулятор'!$D$8,F892=" ")," ",D892+1))</f>
        <v xml:space="preserve"> </v>
      </c>
      <c r="E893" s="130" t="str">
        <f>IF(OR(F892='депозитный калькулятор'!$D$8,F892=" ")," ",IF(EOMONTH(F892,0)=F892,1,E892+1))</f>
        <v xml:space="preserve"> </v>
      </c>
      <c r="F893" s="64" t="str">
        <f>IF(F892=" "," ",IF(F892='депозитный калькулятор'!$D$8," ",F892+1))</f>
        <v xml:space="preserve"> </v>
      </c>
      <c r="G893" s="145" t="str">
        <f xml:space="preserve"> IF(F893&gt;'депозитный калькулятор'!$D$8," ",IF('депозитный калькулятор'!$G$13="есть",IF('депозитный калькулятор'!$G$14="есть",G892+IF(I892=" ",0,I892)-J893-K893+L893+M893-N893,G892+IF(I892=" ",0,I892)-J893-K893+M893-N893),IF('депозитный калькулятор'!$G$14="есть",G892-J893-K893+L893+M893-N893,G892-J893-K893+M893-N893)))</f>
        <v xml:space="preserve"> </v>
      </c>
      <c r="H893" s="133" t="str">
        <f>IF(F893&gt;'депозитный калькулятор'!$D$8," ",IF(AND(OR('депозитный калькулятор'!$G$7="30/365",'депозитный калькулятор'!$G$7="30/360"),AND(MONTH(F893)=2,EOMONTH(F893,0)=F893)),IF(DAY(F893)=28,3*G893*'депозитный калькулятор'!$G$8,2*G893*'депозитный калькулятор'!$G$8),IF(AND(OR('депозитный калькулятор'!$G$7="30/365",'депозитный калькулятор'!$G$7="30/360"),DAY(F893)=31)," ",IF(AND('депозитный калькулятор'!$G$7="факт/факт",MOD(YEAR(F893),4)=0),G893*'депозитный калькулятор'!$D$11/366,G893*'депозитный калькулятор'!$G$8))))</f>
        <v xml:space="preserve"> </v>
      </c>
      <c r="I893" s="134" t="str">
        <f ca="1">IF(F893=" "," ",IF('депозитный калькулятор'!$G$10="ежедневное",H893,IF(AND('депозитный калькулятор'!$G$10="еженедельное",WEEKDAY(F893,2)=7),SUM(OFFSET(H893,-6,0):H893),IF(AND('депозитный калькулятор'!$G$10="еженедельное",F893='депозитный калькулятор'!$D$8),SUM($H$23:H893)-SUM($I$23:I892),IF(AND('депозитный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недели",WEEKDAY(F893,2)=7),MIN(OFFSET(H893,-6,0):H893)*(COUNTIF(OFFSET(H893,-6,0):H893,"&gt;0")+SUMIF(OFFSET(A893,-WEEKDAY(F893,2),0):A893,"=2",OFFSET(A893,-WEEKDAY(F893,2),0):A893)),IF(AND('депозитный калькулятор'!$G$10="еженедельное, на минимальную сумму зафиксированную в течение недели",F893='депозитный калькулятор'!$D$8,WEEKDAY(F893,2)&lt;&gt;7),MIN(OFFSET(H893,-WEEKDAY(F893,2),0):H893)*(COUNTIF(OFFSET(H893,-WEEKDAY(F893,2)+1,0):H893,"&gt;0")+SUM(OFFSET(A893,-WEEKDAY(F893,2),0):A893)),IF(AND('депозитный калькулятор'!$G$10="ежемесячное (в конце месяца)",F893='депозитный калькулятор'!$D$8,EOMONTH(F893,0)&lt;&gt;F893),IF('депозитный калькулятор'!$F$1=1,$H$24,SUM($H$23:H893)-SUM($I$23:I892)),IF(AND('депозитный калькулятор'!$G$10="ежемесячное (в конце месяца)",EOMONTH(F893,0)=F893),SUM($H$23:H893)-SUM($I$23:I892),IF(AND('депозитный калькулятор'!$G$10="ежемесячное (по дням открытия вклада)",F893='депозитный калькулятор'!$D$8,DAY('депозитный калькулятор'!$D$7)&lt;&gt;DAY(F893)),IF('депозитный калькулятор'!$F$1=1,$H$24,SUM($H$23:H893)-SUM($I$23:I892)),IF(AND('депозитный калькулятор'!$G$10="ежемесячное (по дням открытия вклада)",DAY('депозитный калькулятор'!$D$7)=DAY(F893)),SUM($H$23:H893)-SUM($I$23:I892),IF(AND('депозитный калькулятор'!$G$10="ежемесячное, на минимальную сумму зафиксированную в течение месяца",F893='депозитный калькулятор'!$D$8,EOMONTH(F893,0)&lt;&gt;F893),IF('депозитный калькулятор'!$F$1=1,$H$24,IF(AND(OR('депозитный калькулятор'!$G$7="30/365",'депозитный калькулятор'!$G$7="30/360"),DAY(F893)=31),0,MIN(OFFSET(H893,-E893+1,0):H893)*(E893+SUMIF(OFFSET(A893,-E893+1,0):A893,"=2",OFFSET(A893,-E893+1,0):A893)))),IF(AND('депозитный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калькулятор'!$G$7="30/360"),DAY(EOMONTH(F893,0))=31),EOMONTH(F893,0)-1=F893,EOMONTH(F893,0)=F893)),IF(IF(AND(OR('депозитный калькулятор'!$G$7="30/365",'депозитный калькулятор'!$G$7="30/360"),DAY(EOMONTH($F$23,0))=31),F893=EOMONTH($F$23,0)-1,F893=EOMONTH($F$23,0)),MIN(OFFSET(H893,-(DAY(F893)-DAY($F$23)),0):H893)*E893,MIN(OFFSET(H893,-(DAY(F893)-1),0):H893)*IF(AND(OR('депозитный калькулятор'!$G$7="30/365",'депозитный калькулятор'!$G$7="30/360"),DAY(F893)&lt;30),30,DAY(F893))),IF(AND('депозитный калькулятор'!$G$10="ежемесячное, на средний остаток в течение месяца, при условии что остаток больше чем ограничение",F893='депозитный калькулятор'!$D$8,EOMONTH(F893,0)&lt;&gt;F893),IF('депозитный калькулятор'!$F$1=1,$H$24,SUM(OFFSET(Q893,-E893+1,0):Q893)),IF(AND('депозитный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калькулятор'!$G$7="30/360"),DAY(EOMONTH(F893,0))=31),EOMONTH(F893,0)-1=F893,EOMONTH(F893,0)=F893)),IF(IF(AND(OR('депозитный калькулятор'!$G$7="30/365",'депозитный калькулятор'!$G$7="30/360"),DAY(EOMONTH($F$24,0))=31),F893=EOMONTH($F$24,0)-1,F893=EOMONTH($F$24,0)),SUM(OFFSET(Q893,-E893+1,0):Q893),SUM(OFFSET(Q893,-E893+1,0):Q893)),IF('депозитный калькулятор'!$G$10="ежеквартальное",IF(F893&gt;'депозитный калькулятор'!$D$8," ",IF(AND(EOMONTH(F893,0)=F893,OR(MONTH(F893)=3,MONTH(F893)=6,MONTH(F893)=9,MONTH(F893)=12)),IF(EDATE(F893,-3)&lt;'депозитный калькулятор'!$D$7,SUM($H$23:H893),IF(MOD(YEAR(F893),4)=0,IF(AND(EOMONTH(F893,0)=F893,OR(MONTH(F893)=3,MONTH(F893)=6)),SUM(OFFSET(H893,-90,0):H893),IF(AND(EOMONTH(F893,0)=F893,OR(MONTH(F893)=9,MONTH(F893)=12)),SUM(OFFSET(H893,-91,0):H893))),IF(AND(EOMONTH(F893,0)=F893,MONTH(F893)=3),SUM(OFFSET(H893,-89,0):H893),IF(AND(EOMONTH(F893,0)=F893,MONTH(F893)=6),SUM(OFFSET(H893,-90,0):H893),IF(AND(EOMONTH(F893,0)=F893,OR(MONTH(F893)=9,MONTH(F893)=12)),SUM(OFFSET(H893,-91,0):H893)))))),IF(F893='депозитный калькулятор'!$D$8,SUM($H$23:H893)-SUM($I$23:I892),0))),IF('депозитный калькулятор'!$G$10="ежегодное",IF(F893&gt;'депозитный калькулятор'!$D$8," ",IF(F893='депозитный калькулятор'!$D$8,SUM($H$23:H893)-SUM($I$23:I892),IF(AND(EOMONTH(F893,0)=F893,MONTH(F893)=12),IF(MOD(YEAR(F892),4)=0,IF(F893-'депозитный калькулятор'!$D$7&lt;366,SUM($H$23:H893),SUM(OFFSET(H893,-365,0):H893)),IF(F893-'депозитный калькулятор'!$D$7&lt;365,SUM($H$23:H893),SUM(OFFSET(H893,-364,0):H893))),0))),IF(AND('депозитный калькулятор'!$G$10="в конце срока",'депозитный калькулятор'!$D$8=F893),SUM($H$23:H893),0))))))))))))))))))</f>
        <v xml:space="preserve"> </v>
      </c>
      <c r="J893" s="59" t="str">
        <f>IF(F893&gt;'депозитный калькулятор'!$D$8," ",IF('депозитный калькулятор'!$G$16="нет",0,IF(AND('депозитный калькулятор'!$G$17="разовая (в конце срока)",F893='депозитный калькулятор'!$D$8),'депозитный калькулятор'!$G$18,IF(AND('депозитный калькулятор'!$G$17="ежемесячная",EOMONTH(F892,0)=F892),'депозитный калькулятор'!$G$18,IF(AND('депозитный калькулятор'!$G$17="ежегодная",DAY(F892)=31,MONTH(F892)=12),'депозитный калькулятор'!$G$18,IF(AND('депозитный калькулятор'!$G$17="ежемесячная в зависимости от остатка",EOMONTH(F892,0)=F892,P892&gt;0),'депозитный калькулятор'!$G$18,IF(AND('депозитный калькулятор'!$G$17="ежегодная в зависимости от остатка",DAY(F892)=31,MONTH(F892)=12,P892&gt;0),'депозитный калькулятор'!$G$18,0)))))))</f>
        <v xml:space="preserve"> </v>
      </c>
      <c r="K893" s="135" t="str">
        <f>IF($F893=" "," ",IFERROR(VLOOKUP($F893,'депозитный калькулятор'!$B$26:$F$70,2,0),0))</f>
        <v xml:space="preserve"> </v>
      </c>
      <c r="L893" s="135" t="str">
        <f>IF($F893=" "," ",IFERROR(VLOOKUP($F893,'депозитный калькулятор'!$B$26:$F$70,3,0),0))</f>
        <v xml:space="preserve"> </v>
      </c>
      <c r="M893" s="135" t="str">
        <f>IF($F893=" "," ",IFERROR(VLOOKUP($F893,'депозитный калькулятор'!$B$26:$F$70,4,0),0))</f>
        <v xml:space="preserve"> </v>
      </c>
      <c r="N893" s="135" t="str">
        <f>IF($F893=" "," ",IFERROR(VLOOKUP($F893,'депозитный калькулятор'!$B$26:$F$70,5,0),0))</f>
        <v xml:space="preserve"> </v>
      </c>
      <c r="O893" s="146" t="str">
        <f>IF(F893&gt;'депозитный калькулятор'!$D$8," ",IF(F893='депозитный калькулятор'!$D$8,IF(AND($F$24='депозитный калькулятор'!$D$8,'депозитный калькулятор'!$G$13="нет"),-G893-IF(I893=" ",0,I893)-IF(AND(OR('депозитный калькулятор'!$G$7="30/365",'депозитный калькулятор'!$G$7="30/360"),'депозитный калькулятор'!$G$10="в начале срока"),I892,0)-L893+M893-N893,-G893-IF(I893=" ",0,I893)-L893+M893-N893),IF('депозитный калькулятор'!$G$13="есть",M893-N893+IF('депозитный калькулятор'!$G$14="есть",0,-L893),-IF(I893=" ",0,I893)-IF(AND(OR('депозитный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срока"),I892,0)+M893-N893+IF('депозитный калькулятор'!$G$14="есть",0,-L893))))</f>
        <v xml:space="preserve"> </v>
      </c>
      <c r="P893" s="147" t="str">
        <f>IF(F893&gt;'депозитный калькулятор'!$D$8," ",IF(EOMONTH(F892,0)=F892,0,IF(G893&gt;='депозитный калькулятор'!$G$19,P892,P892+1)))</f>
        <v xml:space="preserve"> </v>
      </c>
      <c r="Q893" s="138" t="str">
        <f>IF(F893=" "," ",IF(AND(OR('депозитный калькулятор'!$G$7="30/365",'депозитный калькулятор'!$G$7="30/360"),AND(MONTH(F893)=2,EOMONTH(F893,0)=F893)),IF(DAY(F893)=28,3,2),1)*IF(G893&gt;='депозитный калькулятор'!$G$11,IF(AND('депозитный калькулятор'!$G$7="факт/факт",MOD(YEAR(F893),4)=0),G893*'депозитный калькулятор'!$D$11/366,G893*'депозитный калькулятор'!$G$8),0))</f>
        <v xml:space="preserve"> </v>
      </c>
      <c r="S893" s="62" t="str">
        <f t="shared" ca="1" si="67"/>
        <v xml:space="preserve"> </v>
      </c>
      <c r="T893" s="149" t="str">
        <f ca="1">IF(S893=" "," ",IF('депозитный калькулятор'!$G$7="30/360",DAYS360(U892,IF(DAY(U893)=31,U893-1,U893))+IF(AND(MONTH(U893)=2,U893=EOMONTH(U893,0)),30-DAY(EOMONTH(U893,0)))+T892,VLOOKUP(S893,$C$22:$F$1023,2,0)))</f>
        <v xml:space="preserve"> </v>
      </c>
      <c r="U893" s="64" t="str">
        <f t="shared" ca="1" si="65"/>
        <v xml:space="preserve"> </v>
      </c>
      <c r="V893" s="150" t="str">
        <f t="shared" ca="1" si="68"/>
        <v xml:space="preserve"> </v>
      </c>
      <c r="W893" s="62" t="str">
        <f t="shared" ca="1" si="69"/>
        <v xml:space="preserve"> </v>
      </c>
      <c r="X893" s="141" t="str">
        <f ca="1">IF(S893=" "," ",IFERROR(VLOOKUP(U893,$F$23:$N$1023,7)+VLOOKUP(U893,$F$23:$N$1023,9)+IF(AND('депозитный калькулятор'!$G$13="нет",U893&lt;&gt;'депозитный калькулятор'!$D$8),VLOOKUP(U893,$F$23:$N$1023,4),0),0)+IF(U893='депозитный калькулятор'!$D$8,VLOOKUP(U893,$F$23:$N$1023,2)+VLOOKUP(U893,$F$23:$N$1023,4),0))</f>
        <v xml:space="preserve"> </v>
      </c>
      <c r="Y893" s="142" t="str">
        <f ca="1">IF(S893=" "," ",W893/(1+'депозитный калькулятор'!$K$8)^(T893/IF('депозитный калькулятор'!$G$7="30/360",360,365)))</f>
        <v xml:space="preserve"> </v>
      </c>
      <c r="Z893" s="142" t="str">
        <f ca="1">IF(S893=" "," ",X893/(1+'депозитный калькулятор'!$K$8)^(T893/IF('депозитный калькулятор'!$G$7="30/360",360,365)))</f>
        <v xml:space="preserve"> </v>
      </c>
      <c r="AA893" s="151"/>
      <c r="AB893" s="151"/>
      <c r="AC893" s="155"/>
      <c r="AD893" s="155"/>
    </row>
    <row r="894" spans="1:30" s="2" customFormat="1" ht="15.5" x14ac:dyDescent="0.35">
      <c r="A894" s="41" t="str">
        <f>IF(F894=" "," ",IF(OR('депозитный калькулятор'!$G$7="30/365",'депозитный калькулятор'!$G$7="30/360"),IF(AND(MONTH(F894)=2,DAY(F894)=DAY(EOMONTH(F894,0))),30-DAY(EOMONTH(F894,0)),IF(DAY(F894)=31,1," "))," "))</f>
        <v xml:space="preserve"> </v>
      </c>
      <c r="B894" s="130" t="str">
        <f t="shared" si="66"/>
        <v xml:space="preserve"> </v>
      </c>
      <c r="C894" s="130" t="str">
        <f>IF(OR(B894=0,B894=" ")," ",SUM($B$23:B894))</f>
        <v xml:space="preserve"> </v>
      </c>
      <c r="D894" s="62" t="str">
        <f>IF(D893=" "," ",IF(OR(F893='депозитный калькулятор'!$D$8,F893=" ")," ",D893+1))</f>
        <v xml:space="preserve"> </v>
      </c>
      <c r="E894" s="130" t="str">
        <f>IF(OR(F893='депозитный калькулятор'!$D$8,F893=" ")," ",IF(EOMONTH(F893,0)=F893,1,E893+1))</f>
        <v xml:space="preserve"> </v>
      </c>
      <c r="F894" s="64" t="str">
        <f>IF(F893=" "," ",IF(F893='депозитный калькулятор'!$D$8," ",F893+1))</f>
        <v xml:space="preserve"> </v>
      </c>
      <c r="G894" s="145" t="str">
        <f xml:space="preserve"> IF(F894&gt;'депозитный калькулятор'!$D$8," ",IF('депозитный калькулятор'!$G$13="есть",IF('депозитный калькулятор'!$G$14="есть",G893+IF(I893=" ",0,I893)-J894-K894+L894+M894-N894,G893+IF(I893=" ",0,I893)-J894-K894+M894-N894),IF('депозитный калькулятор'!$G$14="есть",G893-J894-K894+L894+M894-N894,G893-J894-K894+M894-N894)))</f>
        <v xml:space="preserve"> </v>
      </c>
      <c r="H894" s="133" t="str">
        <f>IF(F894&gt;'депозитный калькулятор'!$D$8," ",IF(AND(OR('депозитный калькулятор'!$G$7="30/365",'депозитный калькулятор'!$G$7="30/360"),AND(MONTH(F894)=2,EOMONTH(F894,0)=F894)),IF(DAY(F894)=28,3*G894*'депозитный калькулятор'!$G$8,2*G894*'депозитный калькулятор'!$G$8),IF(AND(OR('депозитный калькулятор'!$G$7="30/365",'депозитный калькулятор'!$G$7="30/360"),DAY(F894)=31)," ",IF(AND('депозитный калькулятор'!$G$7="факт/факт",MOD(YEAR(F894),4)=0),G894*'депозитный калькулятор'!$D$11/366,G894*'депозитный калькулятор'!$G$8))))</f>
        <v xml:space="preserve"> </v>
      </c>
      <c r="I894" s="134" t="str">
        <f ca="1">IF(F894=" "," ",IF('депозитный калькулятор'!$G$10="ежедневное",H894,IF(AND('депозитный калькулятор'!$G$10="еженедельное",WEEKDAY(F894,2)=7),SUM(OFFSET(H894,-6,0):H894),IF(AND('депозитный калькулятор'!$G$10="еженедельное",F894='депозитный калькулятор'!$D$8),SUM($H$23:H894)-SUM($I$23:I893),IF(AND('депозитный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недели",WEEKDAY(F894,2)=7),MIN(OFFSET(H894,-6,0):H894)*(COUNTIF(OFFSET(H894,-6,0):H894,"&gt;0")+SUMIF(OFFSET(A894,-WEEKDAY(F894,2),0):A894,"=2",OFFSET(A894,-WEEKDAY(F894,2),0):A894)),IF(AND('депозитный калькулятор'!$G$10="еженедельное, на минимальную сумму зафиксированную в течение недели",F894='депозитный калькулятор'!$D$8,WEEKDAY(F894,2)&lt;&gt;7),MIN(OFFSET(H894,-WEEKDAY(F894,2),0):H894)*(COUNTIF(OFFSET(H894,-WEEKDAY(F894,2)+1,0):H894,"&gt;0")+SUM(OFFSET(A894,-WEEKDAY(F894,2),0):A894)),IF(AND('депозитный калькулятор'!$G$10="ежемесячное (в конце месяца)",F894='депозитный калькулятор'!$D$8,EOMONTH(F894,0)&lt;&gt;F894),IF('депозитный калькулятор'!$F$1=1,$H$24,SUM($H$23:H894)-SUM($I$23:I893)),IF(AND('депозитный калькулятор'!$G$10="ежемесячное (в конце месяца)",EOMONTH(F894,0)=F894),SUM($H$23:H894)-SUM($I$23:I893),IF(AND('депозитный калькулятор'!$G$10="ежемесячное (по дням открытия вклада)",F894='депозитный калькулятор'!$D$8,DAY('депозитный калькулятор'!$D$7)&lt;&gt;DAY(F894)),IF('депозитный калькулятор'!$F$1=1,$H$24,SUM($H$23:H894)-SUM($I$23:I893)),IF(AND('депозитный калькулятор'!$G$10="ежемесячное (по дням открытия вклада)",DAY('депозитный калькулятор'!$D$7)=DAY(F894)),SUM($H$23:H894)-SUM($I$23:I893),IF(AND('депозитный калькулятор'!$G$10="ежемесячное, на минимальную сумму зафиксированную в течение месяца",F894='депозитный калькулятор'!$D$8,EOMONTH(F894,0)&lt;&gt;F894),IF('депозитный калькулятор'!$F$1=1,$H$24,IF(AND(OR('депозитный калькулятор'!$G$7="30/365",'депозитный калькулятор'!$G$7="30/360"),DAY(F894)=31),0,MIN(OFFSET(H894,-E894+1,0):H894)*(E894+SUMIF(OFFSET(A894,-E894+1,0):A894,"=2",OFFSET(A894,-E894+1,0):A894)))),IF(AND('депозитный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калькулятор'!$G$7="30/360"),DAY(EOMONTH(F894,0))=31),EOMONTH(F894,0)-1=F894,EOMONTH(F894,0)=F894)),IF(IF(AND(OR('депозитный калькулятор'!$G$7="30/365",'депозитный калькулятор'!$G$7="30/360"),DAY(EOMONTH($F$23,0))=31),F894=EOMONTH($F$23,0)-1,F894=EOMONTH($F$23,0)),MIN(OFFSET(H894,-(DAY(F894)-DAY($F$23)),0):H894)*E894,MIN(OFFSET(H894,-(DAY(F894)-1),0):H894)*IF(AND(OR('депозитный калькулятор'!$G$7="30/365",'депозитный калькулятор'!$G$7="30/360"),DAY(F894)&lt;30),30,DAY(F894))),IF(AND('депозитный калькулятор'!$G$10="ежемесячное, на средний остаток в течение месяца, при условии что остаток больше чем ограничение",F894='депозитный калькулятор'!$D$8,EOMONTH(F894,0)&lt;&gt;F894),IF('депозитный калькулятор'!$F$1=1,$H$24,SUM(OFFSET(Q894,-E894+1,0):Q894)),IF(AND('депозитный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калькулятор'!$G$7="30/360"),DAY(EOMONTH(F894,0))=31),EOMONTH(F894,0)-1=F894,EOMONTH(F894,0)=F894)),IF(IF(AND(OR('депозитный калькулятор'!$G$7="30/365",'депозитный калькулятор'!$G$7="30/360"),DAY(EOMONTH($F$24,0))=31),F894=EOMONTH($F$24,0)-1,F894=EOMONTH($F$24,0)),SUM(OFFSET(Q894,-E894+1,0):Q894),SUM(OFFSET(Q894,-E894+1,0):Q894)),IF('депозитный калькулятор'!$G$10="ежеквартальное",IF(F894&gt;'депозитный калькулятор'!$D$8," ",IF(AND(EOMONTH(F894,0)=F894,OR(MONTH(F894)=3,MONTH(F894)=6,MONTH(F894)=9,MONTH(F894)=12)),IF(EDATE(F894,-3)&lt;'депозитный калькулятор'!$D$7,SUM($H$23:H894),IF(MOD(YEAR(F894),4)=0,IF(AND(EOMONTH(F894,0)=F894,OR(MONTH(F894)=3,MONTH(F894)=6)),SUM(OFFSET(H894,-90,0):H894),IF(AND(EOMONTH(F894,0)=F894,OR(MONTH(F894)=9,MONTH(F894)=12)),SUM(OFFSET(H894,-91,0):H894))),IF(AND(EOMONTH(F894,0)=F894,MONTH(F894)=3),SUM(OFFSET(H894,-89,0):H894),IF(AND(EOMONTH(F894,0)=F894,MONTH(F894)=6),SUM(OFFSET(H894,-90,0):H894),IF(AND(EOMONTH(F894,0)=F894,OR(MONTH(F894)=9,MONTH(F894)=12)),SUM(OFFSET(H894,-91,0):H894)))))),IF(F894='депозитный калькулятор'!$D$8,SUM($H$23:H894)-SUM($I$23:I893),0))),IF('депозитный калькулятор'!$G$10="ежегодное",IF(F894&gt;'депозитный калькулятор'!$D$8," ",IF(F894='депозитный калькулятор'!$D$8,SUM($H$23:H894)-SUM($I$23:I893),IF(AND(EOMONTH(F894,0)=F894,MONTH(F894)=12),IF(MOD(YEAR(F893),4)=0,IF(F894-'депозитный калькулятор'!$D$7&lt;366,SUM($H$23:H894),SUM(OFFSET(H894,-365,0):H894)),IF(F894-'депозитный калькулятор'!$D$7&lt;365,SUM($H$23:H894),SUM(OFFSET(H894,-364,0):H894))),0))),IF(AND('депозитный калькулятор'!$G$10="в конце срока",'депозитный калькулятор'!$D$8=F894),SUM($H$23:H894),0))))))))))))))))))</f>
        <v xml:space="preserve"> </v>
      </c>
      <c r="J894" s="59" t="str">
        <f>IF(F894&gt;'депозитный калькулятор'!$D$8," ",IF('депозитный калькулятор'!$G$16="нет",0,IF(AND('депозитный калькулятор'!$G$17="разовая (в конце срока)",F894='депозитный калькулятор'!$D$8),'депозитный калькулятор'!$G$18,IF(AND('депозитный калькулятор'!$G$17="ежемесячная",EOMONTH(F893,0)=F893),'депозитный калькулятор'!$G$18,IF(AND('депозитный калькулятор'!$G$17="ежегодная",DAY(F893)=31,MONTH(F893)=12),'депозитный калькулятор'!$G$18,IF(AND('депозитный калькулятор'!$G$17="ежемесячная в зависимости от остатка",EOMONTH(F893,0)=F893,P893&gt;0),'депозитный калькулятор'!$G$18,IF(AND('депозитный калькулятор'!$G$17="ежегодная в зависимости от остатка",DAY(F893)=31,MONTH(F893)=12,P893&gt;0),'депозитный калькулятор'!$G$18,0)))))))</f>
        <v xml:space="preserve"> </v>
      </c>
      <c r="K894" s="135" t="str">
        <f>IF($F894=" "," ",IFERROR(VLOOKUP($F894,'депозитный калькулятор'!$B$26:$F$70,2,0),0))</f>
        <v xml:space="preserve"> </v>
      </c>
      <c r="L894" s="135" t="str">
        <f>IF($F894=" "," ",IFERROR(VLOOKUP($F894,'депозитный калькулятор'!$B$26:$F$70,3,0),0))</f>
        <v xml:space="preserve"> </v>
      </c>
      <c r="M894" s="135" t="str">
        <f>IF($F894=" "," ",IFERROR(VLOOKUP($F894,'депозитный калькулятор'!$B$26:$F$70,4,0),0))</f>
        <v xml:space="preserve"> </v>
      </c>
      <c r="N894" s="135" t="str">
        <f>IF($F894=" "," ",IFERROR(VLOOKUP($F894,'депозитный калькулятор'!$B$26:$F$70,5,0),0))</f>
        <v xml:space="preserve"> </v>
      </c>
      <c r="O894" s="146" t="str">
        <f>IF(F894&gt;'депозитный калькулятор'!$D$8," ",IF(F894='депозитный калькулятор'!$D$8,IF(AND($F$24='депозитный калькулятор'!$D$8,'депозитный калькулятор'!$G$13="нет"),-G894-IF(I894=" ",0,I894)-IF(AND(OR('депозитный калькулятор'!$G$7="30/365",'депозитный калькулятор'!$G$7="30/360"),'депозитный калькулятор'!$G$10="в начале срока"),I893,0)-L894+M894-N894,-G894-IF(I894=" ",0,I894)-L894+M894-N894),IF('депозитный калькулятор'!$G$13="есть",M894-N894+IF('депозитный калькулятор'!$G$14="есть",0,-L894),-IF(I894=" ",0,I894)-IF(AND(OR('депозитный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срока"),I893,0)+M894-N894+IF('депозитный калькулятор'!$G$14="есть",0,-L894))))</f>
        <v xml:space="preserve"> </v>
      </c>
      <c r="P894" s="147" t="str">
        <f>IF(F894&gt;'депозитный калькулятор'!$D$8," ",IF(EOMONTH(F893,0)=F893,0,IF(G894&gt;='депозитный калькулятор'!$G$19,P893,P893+1)))</f>
        <v xml:space="preserve"> </v>
      </c>
      <c r="Q894" s="138" t="str">
        <f>IF(F894=" "," ",IF(AND(OR('депозитный калькулятор'!$G$7="30/365",'депозитный калькулятор'!$G$7="30/360"),AND(MONTH(F894)=2,EOMONTH(F894,0)=F894)),IF(DAY(F894)=28,3,2),1)*IF(G894&gt;='депозитный калькулятор'!$G$11,IF(AND('депозитный калькулятор'!$G$7="факт/факт",MOD(YEAR(F894),4)=0),G894*'депозитный калькулятор'!$D$11/366,G894*'депозитный калькулятор'!$G$8),0))</f>
        <v xml:space="preserve"> </v>
      </c>
      <c r="S894" s="62" t="str">
        <f t="shared" ca="1" si="67"/>
        <v xml:space="preserve"> </v>
      </c>
      <c r="T894" s="149" t="str">
        <f ca="1">IF(S894=" "," ",IF('депозитный калькулятор'!$G$7="30/360",DAYS360(U893,IF(DAY(U894)=31,U894-1,U894))+IF(AND(MONTH(U894)=2,U894=EOMONTH(U894,0)),30-DAY(EOMONTH(U894,0)))+T893,VLOOKUP(S894,$C$22:$F$1023,2,0)))</f>
        <v xml:space="preserve"> </v>
      </c>
      <c r="U894" s="64" t="str">
        <f t="shared" ca="1" si="65"/>
        <v xml:space="preserve"> </v>
      </c>
      <c r="V894" s="150" t="str">
        <f t="shared" ca="1" si="68"/>
        <v xml:space="preserve"> </v>
      </c>
      <c r="W894" s="62" t="str">
        <f t="shared" ca="1" si="69"/>
        <v xml:space="preserve"> </v>
      </c>
      <c r="X894" s="141" t="str">
        <f ca="1">IF(S894=" "," ",IFERROR(VLOOKUP(U894,$F$23:$N$1023,7)+VLOOKUP(U894,$F$23:$N$1023,9)+IF(AND('депозитный калькулятор'!$G$13="нет",U894&lt;&gt;'депозитный калькулятор'!$D$8),VLOOKUP(U894,$F$23:$N$1023,4),0),0)+IF(U894='депозитный калькулятор'!$D$8,VLOOKUP(U894,$F$23:$N$1023,2)+VLOOKUP(U894,$F$23:$N$1023,4),0))</f>
        <v xml:space="preserve"> </v>
      </c>
      <c r="Y894" s="142" t="str">
        <f ca="1">IF(S894=" "," ",W894/(1+'депозитный калькулятор'!$K$8)^(T894/IF('депозитный калькулятор'!$G$7="30/360",360,365)))</f>
        <v xml:space="preserve"> </v>
      </c>
      <c r="Z894" s="142" t="str">
        <f ca="1">IF(S894=" "," ",X894/(1+'депозитный калькулятор'!$K$8)^(T894/IF('депозитный калькулятор'!$G$7="30/360",360,365)))</f>
        <v xml:space="preserve"> </v>
      </c>
      <c r="AA894" s="151"/>
      <c r="AB894" s="151"/>
      <c r="AC894" s="155"/>
      <c r="AD894" s="155"/>
    </row>
    <row r="895" spans="1:30" s="2" customFormat="1" ht="15.5" x14ac:dyDescent="0.35">
      <c r="A895" s="41" t="str">
        <f>IF(F895=" "," ",IF(OR('депозитный калькулятор'!$G$7="30/365",'депозитный калькулятор'!$G$7="30/360"),IF(AND(MONTH(F895)=2,DAY(F895)=DAY(EOMONTH(F895,0))),30-DAY(EOMONTH(F895,0)),IF(DAY(F895)=31,1," "))," "))</f>
        <v xml:space="preserve"> </v>
      </c>
      <c r="B895" s="130" t="str">
        <f t="shared" si="66"/>
        <v xml:space="preserve"> </v>
      </c>
      <c r="C895" s="130" t="str">
        <f>IF(OR(B895=0,B895=" ")," ",SUM($B$23:B895))</f>
        <v xml:space="preserve"> </v>
      </c>
      <c r="D895" s="62" t="str">
        <f>IF(D894=" "," ",IF(OR(F894='депозитный калькулятор'!$D$8,F894=" ")," ",D894+1))</f>
        <v xml:space="preserve"> </v>
      </c>
      <c r="E895" s="130" t="str">
        <f>IF(OR(F894='депозитный калькулятор'!$D$8,F894=" ")," ",IF(EOMONTH(F894,0)=F894,1,E894+1))</f>
        <v xml:space="preserve"> </v>
      </c>
      <c r="F895" s="64" t="str">
        <f>IF(F894=" "," ",IF(F894='депозитный калькулятор'!$D$8," ",F894+1))</f>
        <v xml:space="preserve"> </v>
      </c>
      <c r="G895" s="145" t="str">
        <f xml:space="preserve"> IF(F895&gt;'депозитный калькулятор'!$D$8," ",IF('депозитный калькулятор'!$G$13="есть",IF('депозитный калькулятор'!$G$14="есть",G894+IF(I894=" ",0,I894)-J895-K895+L895+M895-N895,G894+IF(I894=" ",0,I894)-J895-K895+M895-N895),IF('депозитный калькулятор'!$G$14="есть",G894-J895-K895+L895+M895-N895,G894-J895-K895+M895-N895)))</f>
        <v xml:space="preserve"> </v>
      </c>
      <c r="H895" s="133" t="str">
        <f>IF(F895&gt;'депозитный калькулятор'!$D$8," ",IF(AND(OR('депозитный калькулятор'!$G$7="30/365",'депозитный калькулятор'!$G$7="30/360"),AND(MONTH(F895)=2,EOMONTH(F895,0)=F895)),IF(DAY(F895)=28,3*G895*'депозитный калькулятор'!$G$8,2*G895*'депозитный калькулятор'!$G$8),IF(AND(OR('депозитный калькулятор'!$G$7="30/365",'депозитный калькулятор'!$G$7="30/360"),DAY(F895)=31)," ",IF(AND('депозитный калькулятор'!$G$7="факт/факт",MOD(YEAR(F895),4)=0),G895*'депозитный калькулятор'!$D$11/366,G895*'депозитный калькулятор'!$G$8))))</f>
        <v xml:space="preserve"> </v>
      </c>
      <c r="I895" s="134" t="str">
        <f ca="1">IF(F895=" "," ",IF('депозитный калькулятор'!$G$10="ежедневное",H895,IF(AND('депозитный калькулятор'!$G$10="еженедельное",WEEKDAY(F895,2)=7),SUM(OFFSET(H895,-6,0):H895),IF(AND('депозитный калькулятор'!$G$10="еженедельное",F895='депозитный калькулятор'!$D$8),SUM($H$23:H895)-SUM($I$23:I894),IF(AND('депозитный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недели",WEEKDAY(F895,2)=7),MIN(OFFSET(H895,-6,0):H895)*(COUNTIF(OFFSET(H895,-6,0):H895,"&gt;0")+SUMIF(OFFSET(A895,-WEEKDAY(F895,2),0):A895,"=2",OFFSET(A895,-WEEKDAY(F895,2),0):A895)),IF(AND('депозитный калькулятор'!$G$10="еженедельное, на минимальную сумму зафиксированную в течение недели",F895='депозитный калькулятор'!$D$8,WEEKDAY(F895,2)&lt;&gt;7),MIN(OFFSET(H895,-WEEKDAY(F895,2),0):H895)*(COUNTIF(OFFSET(H895,-WEEKDAY(F895,2)+1,0):H895,"&gt;0")+SUM(OFFSET(A895,-WEEKDAY(F895,2),0):A895)),IF(AND('депозитный калькулятор'!$G$10="ежемесячное (в конце месяца)",F895='депозитный калькулятор'!$D$8,EOMONTH(F895,0)&lt;&gt;F895),IF('депозитный калькулятор'!$F$1=1,$H$24,SUM($H$23:H895)-SUM($I$23:I894)),IF(AND('депозитный калькулятор'!$G$10="ежемесячное (в конце месяца)",EOMONTH(F895,0)=F895),SUM($H$23:H895)-SUM($I$23:I894),IF(AND('депозитный калькулятор'!$G$10="ежемесячное (по дням открытия вклада)",F895='депозитный калькулятор'!$D$8,DAY('депозитный калькулятор'!$D$7)&lt;&gt;DAY(F895)),IF('депозитный калькулятор'!$F$1=1,$H$24,SUM($H$23:H895)-SUM($I$23:I894)),IF(AND('депозитный калькулятор'!$G$10="ежемесячное (по дням открытия вклада)",DAY('депозитный калькулятор'!$D$7)=DAY(F895)),SUM($H$23:H895)-SUM($I$23:I894),IF(AND('депозитный калькулятор'!$G$10="ежемесячное, на минимальную сумму зафиксированную в течение месяца",F895='депозитный калькулятор'!$D$8,EOMONTH(F895,0)&lt;&gt;F895),IF('депозитный калькулятор'!$F$1=1,$H$24,IF(AND(OR('депозитный калькулятор'!$G$7="30/365",'депозитный калькулятор'!$G$7="30/360"),DAY(F895)=31),0,MIN(OFFSET(H895,-E895+1,0):H895)*(E895+SUMIF(OFFSET(A895,-E895+1,0):A895,"=2",OFFSET(A895,-E895+1,0):A895)))),IF(AND('депозитный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калькулятор'!$G$7="30/360"),DAY(EOMONTH(F895,0))=31),EOMONTH(F895,0)-1=F895,EOMONTH(F895,0)=F895)),IF(IF(AND(OR('депозитный калькулятор'!$G$7="30/365",'депозитный калькулятор'!$G$7="30/360"),DAY(EOMONTH($F$23,0))=31),F895=EOMONTH($F$23,0)-1,F895=EOMONTH($F$23,0)),MIN(OFFSET(H895,-(DAY(F895)-DAY($F$23)),0):H895)*E895,MIN(OFFSET(H895,-(DAY(F895)-1),0):H895)*IF(AND(OR('депозитный калькулятор'!$G$7="30/365",'депозитный калькулятор'!$G$7="30/360"),DAY(F895)&lt;30),30,DAY(F895))),IF(AND('депозитный калькулятор'!$G$10="ежемесячное, на средний остаток в течение месяца, при условии что остаток больше чем ограничение",F895='депозитный калькулятор'!$D$8,EOMONTH(F895,0)&lt;&gt;F895),IF('депозитный калькулятор'!$F$1=1,$H$24,SUM(OFFSET(Q895,-E895+1,0):Q895)),IF(AND('депозитный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калькулятор'!$G$7="30/360"),DAY(EOMONTH(F895,0))=31),EOMONTH(F895,0)-1=F895,EOMONTH(F895,0)=F895)),IF(IF(AND(OR('депозитный калькулятор'!$G$7="30/365",'депозитный калькулятор'!$G$7="30/360"),DAY(EOMONTH($F$24,0))=31),F895=EOMONTH($F$24,0)-1,F895=EOMONTH($F$24,0)),SUM(OFFSET(Q895,-E895+1,0):Q895),SUM(OFFSET(Q895,-E895+1,0):Q895)),IF('депозитный калькулятор'!$G$10="ежеквартальное",IF(F895&gt;'депозитный калькулятор'!$D$8," ",IF(AND(EOMONTH(F895,0)=F895,OR(MONTH(F895)=3,MONTH(F895)=6,MONTH(F895)=9,MONTH(F895)=12)),IF(EDATE(F895,-3)&lt;'депозитный калькулятор'!$D$7,SUM($H$23:H895),IF(MOD(YEAR(F895),4)=0,IF(AND(EOMONTH(F895,0)=F895,OR(MONTH(F895)=3,MONTH(F895)=6)),SUM(OFFSET(H895,-90,0):H895),IF(AND(EOMONTH(F895,0)=F895,OR(MONTH(F895)=9,MONTH(F895)=12)),SUM(OFFSET(H895,-91,0):H895))),IF(AND(EOMONTH(F895,0)=F895,MONTH(F895)=3),SUM(OFFSET(H895,-89,0):H895),IF(AND(EOMONTH(F895,0)=F895,MONTH(F895)=6),SUM(OFFSET(H895,-90,0):H895),IF(AND(EOMONTH(F895,0)=F895,OR(MONTH(F895)=9,MONTH(F895)=12)),SUM(OFFSET(H895,-91,0):H895)))))),IF(F895='депозитный калькулятор'!$D$8,SUM($H$23:H895)-SUM($I$23:I894),0))),IF('депозитный калькулятор'!$G$10="ежегодное",IF(F895&gt;'депозитный калькулятор'!$D$8," ",IF(F895='депозитный калькулятор'!$D$8,SUM($H$23:H895)-SUM($I$23:I894),IF(AND(EOMONTH(F895,0)=F895,MONTH(F895)=12),IF(MOD(YEAR(F894),4)=0,IF(F895-'депозитный калькулятор'!$D$7&lt;366,SUM($H$23:H895),SUM(OFFSET(H895,-365,0):H895)),IF(F895-'депозитный калькулятор'!$D$7&lt;365,SUM($H$23:H895),SUM(OFFSET(H895,-364,0):H895))),0))),IF(AND('депозитный калькулятор'!$G$10="в конце срока",'депозитный калькулятор'!$D$8=F895),SUM($H$23:H895),0))))))))))))))))))</f>
        <v xml:space="preserve"> </v>
      </c>
      <c r="J895" s="59" t="str">
        <f>IF(F895&gt;'депозитный калькулятор'!$D$8," ",IF('депозитный калькулятор'!$G$16="нет",0,IF(AND('депозитный калькулятор'!$G$17="разовая (в конце срока)",F895='депозитный калькулятор'!$D$8),'депозитный калькулятор'!$G$18,IF(AND('депозитный калькулятор'!$G$17="ежемесячная",EOMONTH(F894,0)=F894),'депозитный калькулятор'!$G$18,IF(AND('депозитный калькулятор'!$G$17="ежегодная",DAY(F894)=31,MONTH(F894)=12),'депозитный калькулятор'!$G$18,IF(AND('депозитный калькулятор'!$G$17="ежемесячная в зависимости от остатка",EOMONTH(F894,0)=F894,P894&gt;0),'депозитный калькулятор'!$G$18,IF(AND('депозитный калькулятор'!$G$17="ежегодная в зависимости от остатка",DAY(F894)=31,MONTH(F894)=12,P894&gt;0),'депозитный калькулятор'!$G$18,0)))))))</f>
        <v xml:space="preserve"> </v>
      </c>
      <c r="K895" s="135" t="str">
        <f>IF($F895=" "," ",IFERROR(VLOOKUP($F895,'депозитный калькулятор'!$B$26:$F$70,2,0),0))</f>
        <v xml:space="preserve"> </v>
      </c>
      <c r="L895" s="135" t="str">
        <f>IF($F895=" "," ",IFERROR(VLOOKUP($F895,'депозитный калькулятор'!$B$26:$F$70,3,0),0))</f>
        <v xml:space="preserve"> </v>
      </c>
      <c r="M895" s="135" t="str">
        <f>IF($F895=" "," ",IFERROR(VLOOKUP($F895,'депозитный калькулятор'!$B$26:$F$70,4,0),0))</f>
        <v xml:space="preserve"> </v>
      </c>
      <c r="N895" s="135" t="str">
        <f>IF($F895=" "," ",IFERROR(VLOOKUP($F895,'депозитный калькулятор'!$B$26:$F$70,5,0),0))</f>
        <v xml:space="preserve"> </v>
      </c>
      <c r="O895" s="146" t="str">
        <f>IF(F895&gt;'депозитный калькулятор'!$D$8," ",IF(F895='депозитный калькулятор'!$D$8,IF(AND($F$24='депозитный калькулятор'!$D$8,'депозитный калькулятор'!$G$13="нет"),-G895-IF(I895=" ",0,I895)-IF(AND(OR('депозитный калькулятор'!$G$7="30/365",'депозитный калькулятор'!$G$7="30/360"),'депозитный калькулятор'!$G$10="в начале срока"),I894,0)-L895+M895-N895,-G895-IF(I895=" ",0,I895)-L895+M895-N895),IF('депозитный калькулятор'!$G$13="есть",M895-N895+IF('депозитный калькулятор'!$G$14="есть",0,-L895),-IF(I895=" ",0,I895)-IF(AND(OR('депозитный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срока"),I894,0)+M895-N895+IF('депозитный калькулятор'!$G$14="есть",0,-L895))))</f>
        <v xml:space="preserve"> </v>
      </c>
      <c r="P895" s="147" t="str">
        <f>IF(F895&gt;'депозитный калькулятор'!$D$8," ",IF(EOMONTH(F894,0)=F894,0,IF(G895&gt;='депозитный калькулятор'!$G$19,P894,P894+1)))</f>
        <v xml:space="preserve"> </v>
      </c>
      <c r="Q895" s="138" t="str">
        <f>IF(F895=" "," ",IF(AND(OR('депозитный калькулятор'!$G$7="30/365",'депозитный калькулятор'!$G$7="30/360"),AND(MONTH(F895)=2,EOMONTH(F895,0)=F895)),IF(DAY(F895)=28,3,2),1)*IF(G895&gt;='депозитный калькулятор'!$G$11,IF(AND('депозитный калькулятор'!$G$7="факт/факт",MOD(YEAR(F895),4)=0),G895*'депозитный калькулятор'!$D$11/366,G895*'депозитный калькулятор'!$G$8),0))</f>
        <v xml:space="preserve"> </v>
      </c>
      <c r="S895" s="62" t="str">
        <f t="shared" ca="1" si="67"/>
        <v xml:space="preserve"> </v>
      </c>
      <c r="T895" s="149" t="str">
        <f ca="1">IF(S895=" "," ",IF('депозитный калькулятор'!$G$7="30/360",DAYS360(U894,IF(DAY(U895)=31,U895-1,U895))+IF(AND(MONTH(U895)=2,U895=EOMONTH(U895,0)),30-DAY(EOMONTH(U895,0)))+T894,VLOOKUP(S895,$C$22:$F$1023,2,0)))</f>
        <v xml:space="preserve"> </v>
      </c>
      <c r="U895" s="64" t="str">
        <f t="shared" ca="1" si="65"/>
        <v xml:space="preserve"> </v>
      </c>
      <c r="V895" s="150" t="str">
        <f t="shared" ca="1" si="68"/>
        <v xml:space="preserve"> </v>
      </c>
      <c r="W895" s="62" t="str">
        <f t="shared" ca="1" si="69"/>
        <v xml:space="preserve"> </v>
      </c>
      <c r="X895" s="141" t="str">
        <f ca="1">IF(S895=" "," ",IFERROR(VLOOKUP(U895,$F$23:$N$1023,7)+VLOOKUP(U895,$F$23:$N$1023,9)+IF(AND('депозитный калькулятор'!$G$13="нет",U895&lt;&gt;'депозитный калькулятор'!$D$8),VLOOKUP(U895,$F$23:$N$1023,4),0),0)+IF(U895='депозитный калькулятор'!$D$8,VLOOKUP(U895,$F$23:$N$1023,2)+VLOOKUP(U895,$F$23:$N$1023,4),0))</f>
        <v xml:space="preserve"> </v>
      </c>
      <c r="Y895" s="142" t="str">
        <f ca="1">IF(S895=" "," ",W895/(1+'депозитный калькулятор'!$K$8)^(T895/IF('депозитный калькулятор'!$G$7="30/360",360,365)))</f>
        <v xml:space="preserve"> </v>
      </c>
      <c r="Z895" s="142" t="str">
        <f ca="1">IF(S895=" "," ",X895/(1+'депозитный калькулятор'!$K$8)^(T895/IF('депозитный калькулятор'!$G$7="30/360",360,365)))</f>
        <v xml:space="preserve"> </v>
      </c>
      <c r="AA895" s="151"/>
      <c r="AB895" s="151"/>
      <c r="AC895" s="155"/>
      <c r="AD895" s="155"/>
    </row>
    <row r="896" spans="1:30" s="2" customFormat="1" ht="15.5" x14ac:dyDescent="0.35">
      <c r="A896" s="41" t="str">
        <f>IF(F896=" "," ",IF(OR('депозитный калькулятор'!$G$7="30/365",'депозитный калькулятор'!$G$7="30/360"),IF(AND(MONTH(F896)=2,DAY(F896)=DAY(EOMONTH(F896,0))),30-DAY(EOMONTH(F896,0)),IF(DAY(F896)=31,1," "))," "))</f>
        <v xml:space="preserve"> </v>
      </c>
      <c r="B896" s="130" t="str">
        <f t="shared" si="66"/>
        <v xml:space="preserve"> </v>
      </c>
      <c r="C896" s="130" t="str">
        <f>IF(OR(B896=0,B896=" ")," ",SUM($B$23:B896))</f>
        <v xml:space="preserve"> </v>
      </c>
      <c r="D896" s="62" t="str">
        <f>IF(D895=" "," ",IF(OR(F895='депозитный калькулятор'!$D$8,F895=" ")," ",D895+1))</f>
        <v xml:space="preserve"> </v>
      </c>
      <c r="E896" s="130" t="str">
        <f>IF(OR(F895='депозитный калькулятор'!$D$8,F895=" ")," ",IF(EOMONTH(F895,0)=F895,1,E895+1))</f>
        <v xml:space="preserve"> </v>
      </c>
      <c r="F896" s="64" t="str">
        <f>IF(F895=" "," ",IF(F895='депозитный калькулятор'!$D$8," ",F895+1))</f>
        <v xml:space="preserve"> </v>
      </c>
      <c r="G896" s="145" t="str">
        <f xml:space="preserve"> IF(F896&gt;'депозитный калькулятор'!$D$8," ",IF('депозитный калькулятор'!$G$13="есть",IF('депозитный калькулятор'!$G$14="есть",G895+IF(I895=" ",0,I895)-J896-K896+L896+M896-N896,G895+IF(I895=" ",0,I895)-J896-K896+M896-N896),IF('депозитный калькулятор'!$G$14="есть",G895-J896-K896+L896+M896-N896,G895-J896-K896+M896-N896)))</f>
        <v xml:space="preserve"> </v>
      </c>
      <c r="H896" s="133" t="str">
        <f>IF(F896&gt;'депозитный калькулятор'!$D$8," ",IF(AND(OR('депозитный калькулятор'!$G$7="30/365",'депозитный калькулятор'!$G$7="30/360"),AND(MONTH(F896)=2,EOMONTH(F896,0)=F896)),IF(DAY(F896)=28,3*G896*'депозитный калькулятор'!$G$8,2*G896*'депозитный калькулятор'!$G$8),IF(AND(OR('депозитный калькулятор'!$G$7="30/365",'депозитный калькулятор'!$G$7="30/360"),DAY(F896)=31)," ",IF(AND('депозитный калькулятор'!$G$7="факт/факт",MOD(YEAR(F896),4)=0),G896*'депозитный калькулятор'!$D$11/366,G896*'депозитный калькулятор'!$G$8))))</f>
        <v xml:space="preserve"> </v>
      </c>
      <c r="I896" s="134" t="str">
        <f ca="1">IF(F896=" "," ",IF('депозитный калькулятор'!$G$10="ежедневное",H896,IF(AND('депозитный калькулятор'!$G$10="еженедельное",WEEKDAY(F896,2)=7),SUM(OFFSET(H896,-6,0):H896),IF(AND('депозитный калькулятор'!$G$10="еженедельное",F896='депозитный калькулятор'!$D$8),SUM($H$23:H896)-SUM($I$23:I895),IF(AND('депозитный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недели",WEEKDAY(F896,2)=7),MIN(OFFSET(H896,-6,0):H896)*(COUNTIF(OFFSET(H896,-6,0):H896,"&gt;0")+SUMIF(OFFSET(A896,-WEEKDAY(F896,2),0):A896,"=2",OFFSET(A896,-WEEKDAY(F896,2),0):A896)),IF(AND('депозитный калькулятор'!$G$10="еженедельное, на минимальную сумму зафиксированную в течение недели",F896='депозитный калькулятор'!$D$8,WEEKDAY(F896,2)&lt;&gt;7),MIN(OFFSET(H896,-WEEKDAY(F896,2),0):H896)*(COUNTIF(OFFSET(H896,-WEEKDAY(F896,2)+1,0):H896,"&gt;0")+SUM(OFFSET(A896,-WEEKDAY(F896,2),0):A896)),IF(AND('депозитный калькулятор'!$G$10="ежемесячное (в конце месяца)",F896='депозитный калькулятор'!$D$8,EOMONTH(F896,0)&lt;&gt;F896),IF('депозитный калькулятор'!$F$1=1,$H$24,SUM($H$23:H896)-SUM($I$23:I895)),IF(AND('депозитный калькулятор'!$G$10="ежемесячное (в конце месяца)",EOMONTH(F896,0)=F896),SUM($H$23:H896)-SUM($I$23:I895),IF(AND('депозитный калькулятор'!$G$10="ежемесячное (по дням открытия вклада)",F896='депозитный калькулятор'!$D$8,DAY('депозитный калькулятор'!$D$7)&lt;&gt;DAY(F896)),IF('депозитный калькулятор'!$F$1=1,$H$24,SUM($H$23:H896)-SUM($I$23:I895)),IF(AND('депозитный калькулятор'!$G$10="ежемесячное (по дням открытия вклада)",DAY('депозитный калькулятор'!$D$7)=DAY(F896)),SUM($H$23:H896)-SUM($I$23:I895),IF(AND('депозитный калькулятор'!$G$10="ежемесячное, на минимальную сумму зафиксированную в течение месяца",F896='депозитный калькулятор'!$D$8,EOMONTH(F896,0)&lt;&gt;F896),IF('депозитный калькулятор'!$F$1=1,$H$24,IF(AND(OR('депозитный калькулятор'!$G$7="30/365",'депозитный калькулятор'!$G$7="30/360"),DAY(F896)=31),0,MIN(OFFSET(H896,-E896+1,0):H896)*(E896+SUMIF(OFFSET(A896,-E896+1,0):A896,"=2",OFFSET(A896,-E896+1,0):A896)))),IF(AND('депозитный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калькулятор'!$G$7="30/360"),DAY(EOMONTH(F896,0))=31),EOMONTH(F896,0)-1=F896,EOMONTH(F896,0)=F896)),IF(IF(AND(OR('депозитный калькулятор'!$G$7="30/365",'депозитный калькулятор'!$G$7="30/360"),DAY(EOMONTH($F$23,0))=31),F896=EOMONTH($F$23,0)-1,F896=EOMONTH($F$23,0)),MIN(OFFSET(H896,-(DAY(F896)-DAY($F$23)),0):H896)*E896,MIN(OFFSET(H896,-(DAY(F896)-1),0):H896)*IF(AND(OR('депозитный калькулятор'!$G$7="30/365",'депозитный калькулятор'!$G$7="30/360"),DAY(F896)&lt;30),30,DAY(F896))),IF(AND('депозитный калькулятор'!$G$10="ежемесячное, на средний остаток в течение месяца, при условии что остаток больше чем ограничение",F896='депозитный калькулятор'!$D$8,EOMONTH(F896,0)&lt;&gt;F896),IF('депозитный калькулятор'!$F$1=1,$H$24,SUM(OFFSET(Q896,-E896+1,0):Q896)),IF(AND('депозитный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калькулятор'!$G$7="30/360"),DAY(EOMONTH(F896,0))=31),EOMONTH(F896,0)-1=F896,EOMONTH(F896,0)=F896)),IF(IF(AND(OR('депозитный калькулятор'!$G$7="30/365",'депозитный калькулятор'!$G$7="30/360"),DAY(EOMONTH($F$24,0))=31),F896=EOMONTH($F$24,0)-1,F896=EOMONTH($F$24,0)),SUM(OFFSET(Q896,-E896+1,0):Q896),SUM(OFFSET(Q896,-E896+1,0):Q896)),IF('депозитный калькулятор'!$G$10="ежеквартальное",IF(F896&gt;'депозитный калькулятор'!$D$8," ",IF(AND(EOMONTH(F896,0)=F896,OR(MONTH(F896)=3,MONTH(F896)=6,MONTH(F896)=9,MONTH(F896)=12)),IF(EDATE(F896,-3)&lt;'депозитный калькулятор'!$D$7,SUM($H$23:H896),IF(MOD(YEAR(F896),4)=0,IF(AND(EOMONTH(F896,0)=F896,OR(MONTH(F896)=3,MONTH(F896)=6)),SUM(OFFSET(H896,-90,0):H896),IF(AND(EOMONTH(F896,0)=F896,OR(MONTH(F896)=9,MONTH(F896)=12)),SUM(OFFSET(H896,-91,0):H896))),IF(AND(EOMONTH(F896,0)=F896,MONTH(F896)=3),SUM(OFFSET(H896,-89,0):H896),IF(AND(EOMONTH(F896,0)=F896,MONTH(F896)=6),SUM(OFFSET(H896,-90,0):H896),IF(AND(EOMONTH(F896,0)=F896,OR(MONTH(F896)=9,MONTH(F896)=12)),SUM(OFFSET(H896,-91,0):H896)))))),IF(F896='депозитный калькулятор'!$D$8,SUM($H$23:H896)-SUM($I$23:I895),0))),IF('депозитный калькулятор'!$G$10="ежегодное",IF(F896&gt;'депозитный калькулятор'!$D$8," ",IF(F896='депозитный калькулятор'!$D$8,SUM($H$23:H896)-SUM($I$23:I895),IF(AND(EOMONTH(F896,0)=F896,MONTH(F896)=12),IF(MOD(YEAR(F895),4)=0,IF(F896-'депозитный калькулятор'!$D$7&lt;366,SUM($H$23:H896),SUM(OFFSET(H896,-365,0):H896)),IF(F896-'депозитный калькулятор'!$D$7&lt;365,SUM($H$23:H896),SUM(OFFSET(H896,-364,0):H896))),0))),IF(AND('депозитный калькулятор'!$G$10="в конце срока",'депозитный калькулятор'!$D$8=F896),SUM($H$23:H896),0))))))))))))))))))</f>
        <v xml:space="preserve"> </v>
      </c>
      <c r="J896" s="59" t="str">
        <f>IF(F896&gt;'депозитный калькулятор'!$D$8," ",IF('депозитный калькулятор'!$G$16="нет",0,IF(AND('депозитный калькулятор'!$G$17="разовая (в конце срока)",F896='депозитный калькулятор'!$D$8),'депозитный калькулятор'!$G$18,IF(AND('депозитный калькулятор'!$G$17="ежемесячная",EOMONTH(F895,0)=F895),'депозитный калькулятор'!$G$18,IF(AND('депозитный калькулятор'!$G$17="ежегодная",DAY(F895)=31,MONTH(F895)=12),'депозитный калькулятор'!$G$18,IF(AND('депозитный калькулятор'!$G$17="ежемесячная в зависимости от остатка",EOMONTH(F895,0)=F895,P895&gt;0),'депозитный калькулятор'!$G$18,IF(AND('депозитный калькулятор'!$G$17="ежегодная в зависимости от остатка",DAY(F895)=31,MONTH(F895)=12,P895&gt;0),'депозитный калькулятор'!$G$18,0)))))))</f>
        <v xml:space="preserve"> </v>
      </c>
      <c r="K896" s="135" t="str">
        <f>IF($F896=" "," ",IFERROR(VLOOKUP($F896,'депозитный калькулятор'!$B$26:$F$70,2,0),0))</f>
        <v xml:space="preserve"> </v>
      </c>
      <c r="L896" s="135" t="str">
        <f>IF($F896=" "," ",IFERROR(VLOOKUP($F896,'депозитный калькулятор'!$B$26:$F$70,3,0),0))</f>
        <v xml:space="preserve"> </v>
      </c>
      <c r="M896" s="135" t="str">
        <f>IF($F896=" "," ",IFERROR(VLOOKUP($F896,'депозитный калькулятор'!$B$26:$F$70,4,0),0))</f>
        <v xml:space="preserve"> </v>
      </c>
      <c r="N896" s="135" t="str">
        <f>IF($F896=" "," ",IFERROR(VLOOKUP($F896,'депозитный калькулятор'!$B$26:$F$70,5,0),0))</f>
        <v xml:space="preserve"> </v>
      </c>
      <c r="O896" s="146" t="str">
        <f>IF(F896&gt;'депозитный калькулятор'!$D$8," ",IF(F896='депозитный калькулятор'!$D$8,IF(AND($F$24='депозитный калькулятор'!$D$8,'депозитный калькулятор'!$G$13="нет"),-G896-IF(I896=" ",0,I896)-IF(AND(OR('депозитный калькулятор'!$G$7="30/365",'депозитный калькулятор'!$G$7="30/360"),'депозитный калькулятор'!$G$10="в начале срока"),I895,0)-L896+M896-N896,-G896-IF(I896=" ",0,I896)-L896+M896-N896),IF('депозитный калькулятор'!$G$13="есть",M896-N896+IF('депозитный калькулятор'!$G$14="есть",0,-L896),-IF(I896=" ",0,I896)-IF(AND(OR('депозитный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срока"),I895,0)+M896-N896+IF('депозитный калькулятор'!$G$14="есть",0,-L896))))</f>
        <v xml:space="preserve"> </v>
      </c>
      <c r="P896" s="147" t="str">
        <f>IF(F896&gt;'депозитный калькулятор'!$D$8," ",IF(EOMONTH(F895,0)=F895,0,IF(G896&gt;='депозитный калькулятор'!$G$19,P895,P895+1)))</f>
        <v xml:space="preserve"> </v>
      </c>
      <c r="Q896" s="138" t="str">
        <f>IF(F896=" "," ",IF(AND(OR('депозитный калькулятор'!$G$7="30/365",'депозитный калькулятор'!$G$7="30/360"),AND(MONTH(F896)=2,EOMONTH(F896,0)=F896)),IF(DAY(F896)=28,3,2),1)*IF(G896&gt;='депозитный калькулятор'!$G$11,IF(AND('депозитный калькулятор'!$G$7="факт/факт",MOD(YEAR(F896),4)=0),G896*'депозитный калькулятор'!$D$11/366,G896*'депозитный калькулятор'!$G$8),0))</f>
        <v xml:space="preserve"> </v>
      </c>
      <c r="S896" s="62" t="str">
        <f t="shared" ca="1" si="67"/>
        <v xml:space="preserve"> </v>
      </c>
      <c r="T896" s="149" t="str">
        <f ca="1">IF(S896=" "," ",IF('депозитный калькулятор'!$G$7="30/360",DAYS360(U895,IF(DAY(U896)=31,U896-1,U896))+IF(AND(MONTH(U896)=2,U896=EOMONTH(U896,0)),30-DAY(EOMONTH(U896,0)))+T895,VLOOKUP(S896,$C$22:$F$1023,2,0)))</f>
        <v xml:space="preserve"> </v>
      </c>
      <c r="U896" s="64" t="str">
        <f t="shared" ca="1" si="65"/>
        <v xml:space="preserve"> </v>
      </c>
      <c r="V896" s="150" t="str">
        <f t="shared" ca="1" si="68"/>
        <v xml:space="preserve"> </v>
      </c>
      <c r="W896" s="62" t="str">
        <f t="shared" ca="1" si="69"/>
        <v xml:space="preserve"> </v>
      </c>
      <c r="X896" s="141" t="str">
        <f ca="1">IF(S896=" "," ",IFERROR(VLOOKUP(U896,$F$23:$N$1023,7)+VLOOKUP(U896,$F$23:$N$1023,9)+IF(AND('депозитный калькулятор'!$G$13="нет",U896&lt;&gt;'депозитный калькулятор'!$D$8),VLOOKUP(U896,$F$23:$N$1023,4),0),0)+IF(U896='депозитный калькулятор'!$D$8,VLOOKUP(U896,$F$23:$N$1023,2)+VLOOKUP(U896,$F$23:$N$1023,4),0))</f>
        <v xml:space="preserve"> </v>
      </c>
      <c r="Y896" s="142" t="str">
        <f ca="1">IF(S896=" "," ",W896/(1+'депозитный калькулятор'!$K$8)^(T896/IF('депозитный калькулятор'!$G$7="30/360",360,365)))</f>
        <v xml:space="preserve"> </v>
      </c>
      <c r="Z896" s="142" t="str">
        <f ca="1">IF(S896=" "," ",X896/(1+'депозитный калькулятор'!$K$8)^(T896/IF('депозитный калькулятор'!$G$7="30/360",360,365)))</f>
        <v xml:space="preserve"> </v>
      </c>
      <c r="AA896" s="151"/>
      <c r="AB896" s="151"/>
      <c r="AC896" s="155"/>
      <c r="AD896" s="155"/>
    </row>
    <row r="897" spans="1:30" s="2" customFormat="1" ht="15.5" x14ac:dyDescent="0.35">
      <c r="A897" s="41" t="str">
        <f>IF(F897=" "," ",IF(OR('депозитный калькулятор'!$G$7="30/365",'депозитный калькулятор'!$G$7="30/360"),IF(AND(MONTH(F897)=2,DAY(F897)=DAY(EOMONTH(F897,0))),30-DAY(EOMONTH(F897,0)),IF(DAY(F897)=31,1," "))," "))</f>
        <v xml:space="preserve"> </v>
      </c>
      <c r="B897" s="130" t="str">
        <f t="shared" si="66"/>
        <v xml:space="preserve"> </v>
      </c>
      <c r="C897" s="130" t="str">
        <f>IF(OR(B897=0,B897=" ")," ",SUM($B$23:B897))</f>
        <v xml:space="preserve"> </v>
      </c>
      <c r="D897" s="62" t="str">
        <f>IF(D896=" "," ",IF(OR(F896='депозитный калькулятор'!$D$8,F896=" ")," ",D896+1))</f>
        <v xml:space="preserve"> </v>
      </c>
      <c r="E897" s="130" t="str">
        <f>IF(OR(F896='депозитный калькулятор'!$D$8,F896=" ")," ",IF(EOMONTH(F896,0)=F896,1,E896+1))</f>
        <v xml:space="preserve"> </v>
      </c>
      <c r="F897" s="64" t="str">
        <f>IF(F896=" "," ",IF(F896='депозитный калькулятор'!$D$8," ",F896+1))</f>
        <v xml:space="preserve"> </v>
      </c>
      <c r="G897" s="145" t="str">
        <f xml:space="preserve"> IF(F897&gt;'депозитный калькулятор'!$D$8," ",IF('депозитный калькулятор'!$G$13="есть",IF('депозитный калькулятор'!$G$14="есть",G896+IF(I896=" ",0,I896)-J897-K897+L897+M897-N897,G896+IF(I896=" ",0,I896)-J897-K897+M897-N897),IF('депозитный калькулятор'!$G$14="есть",G896-J897-K897+L897+M897-N897,G896-J897-K897+M897-N897)))</f>
        <v xml:space="preserve"> </v>
      </c>
      <c r="H897" s="133" t="str">
        <f>IF(F897&gt;'депозитный калькулятор'!$D$8," ",IF(AND(OR('депозитный калькулятор'!$G$7="30/365",'депозитный калькулятор'!$G$7="30/360"),AND(MONTH(F897)=2,EOMONTH(F897,0)=F897)),IF(DAY(F897)=28,3*G897*'депозитный калькулятор'!$G$8,2*G897*'депозитный калькулятор'!$G$8),IF(AND(OR('депозитный калькулятор'!$G$7="30/365",'депозитный калькулятор'!$G$7="30/360"),DAY(F897)=31)," ",IF(AND('депозитный калькулятор'!$G$7="факт/факт",MOD(YEAR(F897),4)=0),G897*'депозитный калькулятор'!$D$11/366,G897*'депозитный калькулятор'!$G$8))))</f>
        <v xml:space="preserve"> </v>
      </c>
      <c r="I897" s="134" t="str">
        <f ca="1">IF(F897=" "," ",IF('депозитный калькулятор'!$G$10="ежедневное",H897,IF(AND('депозитный калькулятор'!$G$10="еженедельное",WEEKDAY(F897,2)=7),SUM(OFFSET(H897,-6,0):H897),IF(AND('депозитный калькулятор'!$G$10="еженедельное",F897='депозитный калькулятор'!$D$8),SUM($H$23:H897)-SUM($I$23:I896),IF(AND('депозитный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недели",WEEKDAY(F897,2)=7),MIN(OFFSET(H897,-6,0):H897)*(COUNTIF(OFFSET(H897,-6,0):H897,"&gt;0")+SUMIF(OFFSET(A897,-WEEKDAY(F897,2),0):A897,"=2",OFFSET(A897,-WEEKDAY(F897,2),0):A897)),IF(AND('депозитный калькулятор'!$G$10="еженедельное, на минимальную сумму зафиксированную в течение недели",F897='депозитный калькулятор'!$D$8,WEEKDAY(F897,2)&lt;&gt;7),MIN(OFFSET(H897,-WEEKDAY(F897,2),0):H897)*(COUNTIF(OFFSET(H897,-WEEKDAY(F897,2)+1,0):H897,"&gt;0")+SUM(OFFSET(A897,-WEEKDAY(F897,2),0):A897)),IF(AND('депозитный калькулятор'!$G$10="ежемесячное (в конце месяца)",F897='депозитный калькулятор'!$D$8,EOMONTH(F897,0)&lt;&gt;F897),IF('депозитный калькулятор'!$F$1=1,$H$24,SUM($H$23:H897)-SUM($I$23:I896)),IF(AND('депозитный калькулятор'!$G$10="ежемесячное (в конце месяца)",EOMONTH(F897,0)=F897),SUM($H$23:H897)-SUM($I$23:I896),IF(AND('депозитный калькулятор'!$G$10="ежемесячное (по дням открытия вклада)",F897='депозитный калькулятор'!$D$8,DAY('депозитный калькулятор'!$D$7)&lt;&gt;DAY(F897)),IF('депозитный калькулятор'!$F$1=1,$H$24,SUM($H$23:H897)-SUM($I$23:I896)),IF(AND('депозитный калькулятор'!$G$10="ежемесячное (по дням открытия вклада)",DAY('депозитный калькулятор'!$D$7)=DAY(F897)),SUM($H$23:H897)-SUM($I$23:I896),IF(AND('депозитный калькулятор'!$G$10="ежемесячное, на минимальную сумму зафиксированную в течение месяца",F897='депозитный калькулятор'!$D$8,EOMONTH(F897,0)&lt;&gt;F897),IF('депозитный калькулятор'!$F$1=1,$H$24,IF(AND(OR('депозитный калькулятор'!$G$7="30/365",'депозитный калькулятор'!$G$7="30/360"),DAY(F897)=31),0,MIN(OFFSET(H897,-E897+1,0):H897)*(E897+SUMIF(OFFSET(A897,-E897+1,0):A897,"=2",OFFSET(A897,-E897+1,0):A897)))),IF(AND('депозитный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калькулятор'!$G$7="30/360"),DAY(EOMONTH(F897,0))=31),EOMONTH(F897,0)-1=F897,EOMONTH(F897,0)=F897)),IF(IF(AND(OR('депозитный калькулятор'!$G$7="30/365",'депозитный калькулятор'!$G$7="30/360"),DAY(EOMONTH($F$23,0))=31),F897=EOMONTH($F$23,0)-1,F897=EOMONTH($F$23,0)),MIN(OFFSET(H897,-(DAY(F897)-DAY($F$23)),0):H897)*E897,MIN(OFFSET(H897,-(DAY(F897)-1),0):H897)*IF(AND(OR('депозитный калькулятор'!$G$7="30/365",'депозитный калькулятор'!$G$7="30/360"),DAY(F897)&lt;30),30,DAY(F897))),IF(AND('депозитный калькулятор'!$G$10="ежемесячное, на средний остаток в течение месяца, при условии что остаток больше чем ограничение",F897='депозитный калькулятор'!$D$8,EOMONTH(F897,0)&lt;&gt;F897),IF('депозитный калькулятор'!$F$1=1,$H$24,SUM(OFFSET(Q897,-E897+1,0):Q897)),IF(AND('депозитный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калькулятор'!$G$7="30/360"),DAY(EOMONTH(F897,0))=31),EOMONTH(F897,0)-1=F897,EOMONTH(F897,0)=F897)),IF(IF(AND(OR('депозитный калькулятор'!$G$7="30/365",'депозитный калькулятор'!$G$7="30/360"),DAY(EOMONTH($F$24,0))=31),F897=EOMONTH($F$24,0)-1,F897=EOMONTH($F$24,0)),SUM(OFFSET(Q897,-E897+1,0):Q897),SUM(OFFSET(Q897,-E897+1,0):Q897)),IF('депозитный калькулятор'!$G$10="ежеквартальное",IF(F897&gt;'депозитный калькулятор'!$D$8," ",IF(AND(EOMONTH(F897,0)=F897,OR(MONTH(F897)=3,MONTH(F897)=6,MONTH(F897)=9,MONTH(F897)=12)),IF(EDATE(F897,-3)&lt;'депозитный калькулятор'!$D$7,SUM($H$23:H897),IF(MOD(YEAR(F897),4)=0,IF(AND(EOMONTH(F897,0)=F897,OR(MONTH(F897)=3,MONTH(F897)=6)),SUM(OFFSET(H897,-90,0):H897),IF(AND(EOMONTH(F897,0)=F897,OR(MONTH(F897)=9,MONTH(F897)=12)),SUM(OFFSET(H897,-91,0):H897))),IF(AND(EOMONTH(F897,0)=F897,MONTH(F897)=3),SUM(OFFSET(H897,-89,0):H897),IF(AND(EOMONTH(F897,0)=F897,MONTH(F897)=6),SUM(OFFSET(H897,-90,0):H897),IF(AND(EOMONTH(F897,0)=F897,OR(MONTH(F897)=9,MONTH(F897)=12)),SUM(OFFSET(H897,-91,0):H897)))))),IF(F897='депозитный калькулятор'!$D$8,SUM($H$23:H897)-SUM($I$23:I896),0))),IF('депозитный калькулятор'!$G$10="ежегодное",IF(F897&gt;'депозитный калькулятор'!$D$8," ",IF(F897='депозитный калькулятор'!$D$8,SUM($H$23:H897)-SUM($I$23:I896),IF(AND(EOMONTH(F897,0)=F897,MONTH(F897)=12),IF(MOD(YEAR(F896),4)=0,IF(F897-'депозитный калькулятор'!$D$7&lt;366,SUM($H$23:H897),SUM(OFFSET(H897,-365,0):H897)),IF(F897-'депозитный калькулятор'!$D$7&lt;365,SUM($H$23:H897),SUM(OFFSET(H897,-364,0):H897))),0))),IF(AND('депозитный калькулятор'!$G$10="в конце срока",'депозитный калькулятор'!$D$8=F897),SUM($H$23:H897),0))))))))))))))))))</f>
        <v xml:space="preserve"> </v>
      </c>
      <c r="J897" s="59" t="str">
        <f>IF(F897&gt;'депозитный калькулятор'!$D$8," ",IF('депозитный калькулятор'!$G$16="нет",0,IF(AND('депозитный калькулятор'!$G$17="разовая (в конце срока)",F897='депозитный калькулятор'!$D$8),'депозитный калькулятор'!$G$18,IF(AND('депозитный калькулятор'!$G$17="ежемесячная",EOMONTH(F896,0)=F896),'депозитный калькулятор'!$G$18,IF(AND('депозитный калькулятор'!$G$17="ежегодная",DAY(F896)=31,MONTH(F896)=12),'депозитный калькулятор'!$G$18,IF(AND('депозитный калькулятор'!$G$17="ежемесячная в зависимости от остатка",EOMONTH(F896,0)=F896,P896&gt;0),'депозитный калькулятор'!$G$18,IF(AND('депозитный калькулятор'!$G$17="ежегодная в зависимости от остатка",DAY(F896)=31,MONTH(F896)=12,P896&gt;0),'депозитный калькулятор'!$G$18,0)))))))</f>
        <v xml:space="preserve"> </v>
      </c>
      <c r="K897" s="135" t="str">
        <f>IF($F897=" "," ",IFERROR(VLOOKUP($F897,'депозитный калькулятор'!$B$26:$F$70,2,0),0))</f>
        <v xml:space="preserve"> </v>
      </c>
      <c r="L897" s="135" t="str">
        <f>IF($F897=" "," ",IFERROR(VLOOKUP($F897,'депозитный калькулятор'!$B$26:$F$70,3,0),0))</f>
        <v xml:space="preserve"> </v>
      </c>
      <c r="M897" s="135" t="str">
        <f>IF($F897=" "," ",IFERROR(VLOOKUP($F897,'депозитный калькулятор'!$B$26:$F$70,4,0),0))</f>
        <v xml:space="preserve"> </v>
      </c>
      <c r="N897" s="135" t="str">
        <f>IF($F897=" "," ",IFERROR(VLOOKUP($F897,'депозитный калькулятор'!$B$26:$F$70,5,0),0))</f>
        <v xml:space="preserve"> </v>
      </c>
      <c r="O897" s="146" t="str">
        <f>IF(F897&gt;'депозитный калькулятор'!$D$8," ",IF(F897='депозитный калькулятор'!$D$8,IF(AND($F$24='депозитный калькулятор'!$D$8,'депозитный калькулятор'!$G$13="нет"),-G897-IF(I897=" ",0,I897)-IF(AND(OR('депозитный калькулятор'!$G$7="30/365",'депозитный калькулятор'!$G$7="30/360"),'депозитный калькулятор'!$G$10="в начале срока"),I896,0)-L897+M897-N897,-G897-IF(I897=" ",0,I897)-L897+M897-N897),IF('депозитный калькулятор'!$G$13="есть",M897-N897+IF('депозитный калькулятор'!$G$14="есть",0,-L897),-IF(I897=" ",0,I897)-IF(AND(OR('депозитный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срока"),I896,0)+M897-N897+IF('депозитный калькулятор'!$G$14="есть",0,-L897))))</f>
        <v xml:space="preserve"> </v>
      </c>
      <c r="P897" s="147" t="str">
        <f>IF(F897&gt;'депозитный калькулятор'!$D$8," ",IF(EOMONTH(F896,0)=F896,0,IF(G897&gt;='депозитный калькулятор'!$G$19,P896,P896+1)))</f>
        <v xml:space="preserve"> </v>
      </c>
      <c r="Q897" s="138" t="str">
        <f>IF(F897=" "," ",IF(AND(OR('депозитный калькулятор'!$G$7="30/365",'депозитный калькулятор'!$G$7="30/360"),AND(MONTH(F897)=2,EOMONTH(F897,0)=F897)),IF(DAY(F897)=28,3,2),1)*IF(G897&gt;='депозитный калькулятор'!$G$11,IF(AND('депозитный калькулятор'!$G$7="факт/факт",MOD(YEAR(F897),4)=0),G897*'депозитный калькулятор'!$D$11/366,G897*'депозитный калькулятор'!$G$8),0))</f>
        <v xml:space="preserve"> </v>
      </c>
      <c r="S897" s="62" t="str">
        <f t="shared" ca="1" si="67"/>
        <v xml:space="preserve"> </v>
      </c>
      <c r="T897" s="149" t="str">
        <f ca="1">IF(S897=" "," ",IF('депозитный калькулятор'!$G$7="30/360",DAYS360(U896,IF(DAY(U897)=31,U897-1,U897))+IF(AND(MONTH(U897)=2,U897=EOMONTH(U897,0)),30-DAY(EOMONTH(U897,0)))+T896,VLOOKUP(S897,$C$22:$F$1023,2,0)))</f>
        <v xml:space="preserve"> </v>
      </c>
      <c r="U897" s="64" t="str">
        <f t="shared" ca="1" si="65"/>
        <v xml:space="preserve"> </v>
      </c>
      <c r="V897" s="150" t="str">
        <f t="shared" ca="1" si="68"/>
        <v xml:space="preserve"> </v>
      </c>
      <c r="W897" s="62" t="str">
        <f t="shared" ca="1" si="69"/>
        <v xml:space="preserve"> </v>
      </c>
      <c r="X897" s="141" t="str">
        <f ca="1">IF(S897=" "," ",IFERROR(VLOOKUP(U897,$F$23:$N$1023,7)+VLOOKUP(U897,$F$23:$N$1023,9)+IF(AND('депозитный калькулятор'!$G$13="нет",U897&lt;&gt;'депозитный калькулятор'!$D$8),VLOOKUP(U897,$F$23:$N$1023,4),0),0)+IF(U897='депозитный калькулятор'!$D$8,VLOOKUP(U897,$F$23:$N$1023,2)+VLOOKUP(U897,$F$23:$N$1023,4),0))</f>
        <v xml:space="preserve"> </v>
      </c>
      <c r="Y897" s="142" t="str">
        <f ca="1">IF(S897=" "," ",W897/(1+'депозитный калькулятор'!$K$8)^(T897/IF('депозитный калькулятор'!$G$7="30/360",360,365)))</f>
        <v xml:space="preserve"> </v>
      </c>
      <c r="Z897" s="142" t="str">
        <f ca="1">IF(S897=" "," ",X897/(1+'депозитный калькулятор'!$K$8)^(T897/IF('депозитный калькулятор'!$G$7="30/360",360,365)))</f>
        <v xml:space="preserve"> </v>
      </c>
      <c r="AA897" s="151"/>
      <c r="AB897" s="151"/>
      <c r="AC897" s="155"/>
      <c r="AD897" s="155"/>
    </row>
    <row r="898" spans="1:30" s="2" customFormat="1" ht="15.5" x14ac:dyDescent="0.35">
      <c r="A898" s="41" t="str">
        <f>IF(F898=" "," ",IF(OR('депозитный калькулятор'!$G$7="30/365",'депозитный калькулятор'!$G$7="30/360"),IF(AND(MONTH(F898)=2,DAY(F898)=DAY(EOMONTH(F898,0))),30-DAY(EOMONTH(F898,0)),IF(DAY(F898)=31,1," "))," "))</f>
        <v xml:space="preserve"> </v>
      </c>
      <c r="B898" s="130" t="str">
        <f t="shared" si="66"/>
        <v xml:space="preserve"> </v>
      </c>
      <c r="C898" s="130" t="str">
        <f>IF(OR(B898=0,B898=" ")," ",SUM($B$23:B898))</f>
        <v xml:space="preserve"> </v>
      </c>
      <c r="D898" s="62" t="str">
        <f>IF(D897=" "," ",IF(OR(F897='депозитный калькулятор'!$D$8,F897=" ")," ",D897+1))</f>
        <v xml:space="preserve"> </v>
      </c>
      <c r="E898" s="130" t="str">
        <f>IF(OR(F897='депозитный калькулятор'!$D$8,F897=" ")," ",IF(EOMONTH(F897,0)=F897,1,E897+1))</f>
        <v xml:space="preserve"> </v>
      </c>
      <c r="F898" s="64" t="str">
        <f>IF(F897=" "," ",IF(F897='депозитный калькулятор'!$D$8," ",F897+1))</f>
        <v xml:space="preserve"> </v>
      </c>
      <c r="G898" s="145" t="str">
        <f xml:space="preserve"> IF(F898&gt;'депозитный калькулятор'!$D$8," ",IF('депозитный калькулятор'!$G$13="есть",IF('депозитный калькулятор'!$G$14="есть",G897+IF(I897=" ",0,I897)-J898-K898+L898+M898-N898,G897+IF(I897=" ",0,I897)-J898-K898+M898-N898),IF('депозитный калькулятор'!$G$14="есть",G897-J898-K898+L898+M898-N898,G897-J898-K898+M898-N898)))</f>
        <v xml:space="preserve"> </v>
      </c>
      <c r="H898" s="133" t="str">
        <f>IF(F898&gt;'депозитный калькулятор'!$D$8," ",IF(AND(OR('депозитный калькулятор'!$G$7="30/365",'депозитный калькулятор'!$G$7="30/360"),AND(MONTH(F898)=2,EOMONTH(F898,0)=F898)),IF(DAY(F898)=28,3*G898*'депозитный калькулятор'!$G$8,2*G898*'депозитный калькулятор'!$G$8),IF(AND(OR('депозитный калькулятор'!$G$7="30/365",'депозитный калькулятор'!$G$7="30/360"),DAY(F898)=31)," ",IF(AND('депозитный калькулятор'!$G$7="факт/факт",MOD(YEAR(F898),4)=0),G898*'депозитный калькулятор'!$D$11/366,G898*'депозитный калькулятор'!$G$8))))</f>
        <v xml:space="preserve"> </v>
      </c>
      <c r="I898" s="134" t="str">
        <f ca="1">IF(F898=" "," ",IF('депозитный калькулятор'!$G$10="ежедневное",H898,IF(AND('депозитный калькулятор'!$G$10="еженедельное",WEEKDAY(F898,2)=7),SUM(OFFSET(H898,-6,0):H898),IF(AND('депозитный калькулятор'!$G$10="еженедельное",F898='депозитный калькулятор'!$D$8),SUM($H$23:H898)-SUM($I$23:I897),IF(AND('депозитный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недели",WEEKDAY(F898,2)=7),MIN(OFFSET(H898,-6,0):H898)*(COUNTIF(OFFSET(H898,-6,0):H898,"&gt;0")+SUMIF(OFFSET(A898,-WEEKDAY(F898,2),0):A898,"=2",OFFSET(A898,-WEEKDAY(F898,2),0):A898)),IF(AND('депозитный калькулятор'!$G$10="еженедельное, на минимальную сумму зафиксированную в течение недели",F898='депозитный калькулятор'!$D$8,WEEKDAY(F898,2)&lt;&gt;7),MIN(OFFSET(H898,-WEEKDAY(F898,2),0):H898)*(COUNTIF(OFFSET(H898,-WEEKDAY(F898,2)+1,0):H898,"&gt;0")+SUM(OFFSET(A898,-WEEKDAY(F898,2),0):A898)),IF(AND('депозитный калькулятор'!$G$10="ежемесячное (в конце месяца)",F898='депозитный калькулятор'!$D$8,EOMONTH(F898,0)&lt;&gt;F898),IF('депозитный калькулятор'!$F$1=1,$H$24,SUM($H$23:H898)-SUM($I$23:I897)),IF(AND('депозитный калькулятор'!$G$10="ежемесячное (в конце месяца)",EOMONTH(F898,0)=F898),SUM($H$23:H898)-SUM($I$23:I897),IF(AND('депозитный калькулятор'!$G$10="ежемесячное (по дням открытия вклада)",F898='депозитный калькулятор'!$D$8,DAY('депозитный калькулятор'!$D$7)&lt;&gt;DAY(F898)),IF('депозитный калькулятор'!$F$1=1,$H$24,SUM($H$23:H898)-SUM($I$23:I897)),IF(AND('депозитный калькулятор'!$G$10="ежемесячное (по дням открытия вклада)",DAY('депозитный калькулятор'!$D$7)=DAY(F898)),SUM($H$23:H898)-SUM($I$23:I897),IF(AND('депозитный калькулятор'!$G$10="ежемесячное, на минимальную сумму зафиксированную в течение месяца",F898='депозитный калькулятор'!$D$8,EOMONTH(F898,0)&lt;&gt;F898),IF('депозитный калькулятор'!$F$1=1,$H$24,IF(AND(OR('депозитный калькулятор'!$G$7="30/365",'депозитный калькулятор'!$G$7="30/360"),DAY(F898)=31),0,MIN(OFFSET(H898,-E898+1,0):H898)*(E898+SUMIF(OFFSET(A898,-E898+1,0):A898,"=2",OFFSET(A898,-E898+1,0):A898)))),IF(AND('депозитный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калькулятор'!$G$7="30/360"),DAY(EOMONTH(F898,0))=31),EOMONTH(F898,0)-1=F898,EOMONTH(F898,0)=F898)),IF(IF(AND(OR('депозитный калькулятор'!$G$7="30/365",'депозитный калькулятор'!$G$7="30/360"),DAY(EOMONTH($F$23,0))=31),F898=EOMONTH($F$23,0)-1,F898=EOMONTH($F$23,0)),MIN(OFFSET(H898,-(DAY(F898)-DAY($F$23)),0):H898)*E898,MIN(OFFSET(H898,-(DAY(F898)-1),0):H898)*IF(AND(OR('депозитный калькулятор'!$G$7="30/365",'депозитный калькулятор'!$G$7="30/360"),DAY(F898)&lt;30),30,DAY(F898))),IF(AND('депозитный калькулятор'!$G$10="ежемесячное, на средний остаток в течение месяца, при условии что остаток больше чем ограничение",F898='депозитный калькулятор'!$D$8,EOMONTH(F898,0)&lt;&gt;F898),IF('депозитный калькулятор'!$F$1=1,$H$24,SUM(OFFSET(Q898,-E898+1,0):Q898)),IF(AND('депозитный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калькулятор'!$G$7="30/360"),DAY(EOMONTH(F898,0))=31),EOMONTH(F898,0)-1=F898,EOMONTH(F898,0)=F898)),IF(IF(AND(OR('депозитный калькулятор'!$G$7="30/365",'депозитный калькулятор'!$G$7="30/360"),DAY(EOMONTH($F$24,0))=31),F898=EOMONTH($F$24,0)-1,F898=EOMONTH($F$24,0)),SUM(OFFSET(Q898,-E898+1,0):Q898),SUM(OFFSET(Q898,-E898+1,0):Q898)),IF('депозитный калькулятор'!$G$10="ежеквартальное",IF(F898&gt;'депозитный калькулятор'!$D$8," ",IF(AND(EOMONTH(F898,0)=F898,OR(MONTH(F898)=3,MONTH(F898)=6,MONTH(F898)=9,MONTH(F898)=12)),IF(EDATE(F898,-3)&lt;'депозитный калькулятор'!$D$7,SUM($H$23:H898),IF(MOD(YEAR(F898),4)=0,IF(AND(EOMONTH(F898,0)=F898,OR(MONTH(F898)=3,MONTH(F898)=6)),SUM(OFFSET(H898,-90,0):H898),IF(AND(EOMONTH(F898,0)=F898,OR(MONTH(F898)=9,MONTH(F898)=12)),SUM(OFFSET(H898,-91,0):H898))),IF(AND(EOMONTH(F898,0)=F898,MONTH(F898)=3),SUM(OFFSET(H898,-89,0):H898),IF(AND(EOMONTH(F898,0)=F898,MONTH(F898)=6),SUM(OFFSET(H898,-90,0):H898),IF(AND(EOMONTH(F898,0)=F898,OR(MONTH(F898)=9,MONTH(F898)=12)),SUM(OFFSET(H898,-91,0):H898)))))),IF(F898='депозитный калькулятор'!$D$8,SUM($H$23:H898)-SUM($I$23:I897),0))),IF('депозитный калькулятор'!$G$10="ежегодное",IF(F898&gt;'депозитный калькулятор'!$D$8," ",IF(F898='депозитный калькулятор'!$D$8,SUM($H$23:H898)-SUM($I$23:I897),IF(AND(EOMONTH(F898,0)=F898,MONTH(F898)=12),IF(MOD(YEAR(F897),4)=0,IF(F898-'депозитный калькулятор'!$D$7&lt;366,SUM($H$23:H898),SUM(OFFSET(H898,-365,0):H898)),IF(F898-'депозитный калькулятор'!$D$7&lt;365,SUM($H$23:H898),SUM(OFFSET(H898,-364,0):H898))),0))),IF(AND('депозитный калькулятор'!$G$10="в конце срока",'депозитный калькулятор'!$D$8=F898),SUM($H$23:H898),0))))))))))))))))))</f>
        <v xml:space="preserve"> </v>
      </c>
      <c r="J898" s="59" t="str">
        <f>IF(F898&gt;'депозитный калькулятор'!$D$8," ",IF('депозитный калькулятор'!$G$16="нет",0,IF(AND('депозитный калькулятор'!$G$17="разовая (в конце срока)",F898='депозитный калькулятор'!$D$8),'депозитный калькулятор'!$G$18,IF(AND('депозитный калькулятор'!$G$17="ежемесячная",EOMONTH(F897,0)=F897),'депозитный калькулятор'!$G$18,IF(AND('депозитный калькулятор'!$G$17="ежегодная",DAY(F897)=31,MONTH(F897)=12),'депозитный калькулятор'!$G$18,IF(AND('депозитный калькулятор'!$G$17="ежемесячная в зависимости от остатка",EOMONTH(F897,0)=F897,P897&gt;0),'депозитный калькулятор'!$G$18,IF(AND('депозитный калькулятор'!$G$17="ежегодная в зависимости от остатка",DAY(F897)=31,MONTH(F897)=12,P897&gt;0),'депозитный калькулятор'!$G$18,0)))))))</f>
        <v xml:space="preserve"> </v>
      </c>
      <c r="K898" s="135" t="str">
        <f>IF($F898=" "," ",IFERROR(VLOOKUP($F898,'депозитный калькулятор'!$B$26:$F$70,2,0),0))</f>
        <v xml:space="preserve"> </v>
      </c>
      <c r="L898" s="135" t="str">
        <f>IF($F898=" "," ",IFERROR(VLOOKUP($F898,'депозитный калькулятор'!$B$26:$F$70,3,0),0))</f>
        <v xml:space="preserve"> </v>
      </c>
      <c r="M898" s="135" t="str">
        <f>IF($F898=" "," ",IFERROR(VLOOKUP($F898,'депозитный калькулятор'!$B$26:$F$70,4,0),0))</f>
        <v xml:space="preserve"> </v>
      </c>
      <c r="N898" s="135" t="str">
        <f>IF($F898=" "," ",IFERROR(VLOOKUP($F898,'депозитный калькулятор'!$B$26:$F$70,5,0),0))</f>
        <v xml:space="preserve"> </v>
      </c>
      <c r="O898" s="146" t="str">
        <f>IF(F898&gt;'депозитный калькулятор'!$D$8," ",IF(F898='депозитный калькулятор'!$D$8,IF(AND($F$24='депозитный калькулятор'!$D$8,'депозитный калькулятор'!$G$13="нет"),-G898-IF(I898=" ",0,I898)-IF(AND(OR('депозитный калькулятор'!$G$7="30/365",'депозитный калькулятор'!$G$7="30/360"),'депозитный калькулятор'!$G$10="в начале срока"),I897,0)-L898+M898-N898,-G898-IF(I898=" ",0,I898)-L898+M898-N898),IF('депозитный калькулятор'!$G$13="есть",M898-N898+IF('депозитный калькулятор'!$G$14="есть",0,-L898),-IF(I898=" ",0,I898)-IF(AND(OR('депозитный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срока"),I897,0)+M898-N898+IF('депозитный калькулятор'!$G$14="есть",0,-L898))))</f>
        <v xml:space="preserve"> </v>
      </c>
      <c r="P898" s="147" t="str">
        <f>IF(F898&gt;'депозитный калькулятор'!$D$8," ",IF(EOMONTH(F897,0)=F897,0,IF(G898&gt;='депозитный калькулятор'!$G$19,P897,P897+1)))</f>
        <v xml:space="preserve"> </v>
      </c>
      <c r="Q898" s="138" t="str">
        <f>IF(F898=" "," ",IF(AND(OR('депозитный калькулятор'!$G$7="30/365",'депозитный калькулятор'!$G$7="30/360"),AND(MONTH(F898)=2,EOMONTH(F898,0)=F898)),IF(DAY(F898)=28,3,2),1)*IF(G898&gt;='депозитный калькулятор'!$G$11,IF(AND('депозитный калькулятор'!$G$7="факт/факт",MOD(YEAR(F898),4)=0),G898*'депозитный калькулятор'!$D$11/366,G898*'депозитный калькулятор'!$G$8),0))</f>
        <v xml:space="preserve"> </v>
      </c>
      <c r="S898" s="62" t="str">
        <f t="shared" ca="1" si="67"/>
        <v xml:space="preserve"> </v>
      </c>
      <c r="T898" s="149" t="str">
        <f ca="1">IF(S898=" "," ",IF('депозитный калькулятор'!$G$7="30/360",DAYS360(U897,IF(DAY(U898)=31,U898-1,U898))+IF(AND(MONTH(U898)=2,U898=EOMONTH(U898,0)),30-DAY(EOMONTH(U898,0)))+T897,VLOOKUP(S898,$C$22:$F$1023,2,0)))</f>
        <v xml:space="preserve"> </v>
      </c>
      <c r="U898" s="64" t="str">
        <f t="shared" ca="1" si="65"/>
        <v xml:space="preserve"> </v>
      </c>
      <c r="V898" s="150" t="str">
        <f t="shared" ca="1" si="68"/>
        <v xml:space="preserve"> </v>
      </c>
      <c r="W898" s="62" t="str">
        <f t="shared" ca="1" si="69"/>
        <v xml:space="preserve"> </v>
      </c>
      <c r="X898" s="141" t="str">
        <f ca="1">IF(S898=" "," ",IFERROR(VLOOKUP(U898,$F$23:$N$1023,7)+VLOOKUP(U898,$F$23:$N$1023,9)+IF(AND('депозитный калькулятор'!$G$13="нет",U898&lt;&gt;'депозитный калькулятор'!$D$8),VLOOKUP(U898,$F$23:$N$1023,4),0),0)+IF(U898='депозитный калькулятор'!$D$8,VLOOKUP(U898,$F$23:$N$1023,2)+VLOOKUP(U898,$F$23:$N$1023,4),0))</f>
        <v xml:space="preserve"> </v>
      </c>
      <c r="Y898" s="142" t="str">
        <f ca="1">IF(S898=" "," ",W898/(1+'депозитный калькулятор'!$K$8)^(T898/IF('депозитный калькулятор'!$G$7="30/360",360,365)))</f>
        <v xml:space="preserve"> </v>
      </c>
      <c r="Z898" s="142" t="str">
        <f ca="1">IF(S898=" "," ",X898/(1+'депозитный калькулятор'!$K$8)^(T898/IF('депозитный калькулятор'!$G$7="30/360",360,365)))</f>
        <v xml:space="preserve"> </v>
      </c>
      <c r="AA898" s="151"/>
      <c r="AB898" s="151"/>
      <c r="AC898" s="155"/>
      <c r="AD898" s="155"/>
    </row>
    <row r="899" spans="1:30" s="2" customFormat="1" ht="15.5" x14ac:dyDescent="0.35">
      <c r="A899" s="41" t="str">
        <f>IF(F899=" "," ",IF(OR('депозитный калькулятор'!$G$7="30/365",'депозитный калькулятор'!$G$7="30/360"),IF(AND(MONTH(F899)=2,DAY(F899)=DAY(EOMONTH(F899,0))),30-DAY(EOMONTH(F899,0)),IF(DAY(F899)=31,1," "))," "))</f>
        <v xml:space="preserve"> </v>
      </c>
      <c r="B899" s="130" t="str">
        <f t="shared" si="66"/>
        <v xml:space="preserve"> </v>
      </c>
      <c r="C899" s="130" t="str">
        <f>IF(OR(B899=0,B899=" ")," ",SUM($B$23:B899))</f>
        <v xml:space="preserve"> </v>
      </c>
      <c r="D899" s="62" t="str">
        <f>IF(D898=" "," ",IF(OR(F898='депозитный калькулятор'!$D$8,F898=" ")," ",D898+1))</f>
        <v xml:space="preserve"> </v>
      </c>
      <c r="E899" s="130" t="str">
        <f>IF(OR(F898='депозитный калькулятор'!$D$8,F898=" ")," ",IF(EOMONTH(F898,0)=F898,1,E898+1))</f>
        <v xml:space="preserve"> </v>
      </c>
      <c r="F899" s="64" t="str">
        <f>IF(F898=" "," ",IF(F898='депозитный калькулятор'!$D$8," ",F898+1))</f>
        <v xml:space="preserve"> </v>
      </c>
      <c r="G899" s="145" t="str">
        <f xml:space="preserve"> IF(F899&gt;'депозитный калькулятор'!$D$8," ",IF('депозитный калькулятор'!$G$13="есть",IF('депозитный калькулятор'!$G$14="есть",G898+IF(I898=" ",0,I898)-J899-K899+L899+M899-N899,G898+IF(I898=" ",0,I898)-J899-K899+M899-N899),IF('депозитный калькулятор'!$G$14="есть",G898-J899-K899+L899+M899-N899,G898-J899-K899+M899-N899)))</f>
        <v xml:space="preserve"> </v>
      </c>
      <c r="H899" s="133" t="str">
        <f>IF(F899&gt;'депозитный калькулятор'!$D$8," ",IF(AND(OR('депозитный калькулятор'!$G$7="30/365",'депозитный калькулятор'!$G$7="30/360"),AND(MONTH(F899)=2,EOMONTH(F899,0)=F899)),IF(DAY(F899)=28,3*G899*'депозитный калькулятор'!$G$8,2*G899*'депозитный калькулятор'!$G$8),IF(AND(OR('депозитный калькулятор'!$G$7="30/365",'депозитный калькулятор'!$G$7="30/360"),DAY(F899)=31)," ",IF(AND('депозитный калькулятор'!$G$7="факт/факт",MOD(YEAR(F899),4)=0),G899*'депозитный калькулятор'!$D$11/366,G899*'депозитный калькулятор'!$G$8))))</f>
        <v xml:space="preserve"> </v>
      </c>
      <c r="I899" s="134" t="str">
        <f ca="1">IF(F899=" "," ",IF('депозитный калькулятор'!$G$10="ежедневное",H899,IF(AND('депозитный калькулятор'!$G$10="еженедельное",WEEKDAY(F899,2)=7),SUM(OFFSET(H899,-6,0):H899),IF(AND('депозитный калькулятор'!$G$10="еженедельное",F899='депозитный калькулятор'!$D$8),SUM($H$23:H899)-SUM($I$23:I898),IF(AND('депозитный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недели",WEEKDAY(F899,2)=7),MIN(OFFSET(H899,-6,0):H899)*(COUNTIF(OFFSET(H899,-6,0):H899,"&gt;0")+SUMIF(OFFSET(A899,-WEEKDAY(F899,2),0):A899,"=2",OFFSET(A899,-WEEKDAY(F899,2),0):A899)),IF(AND('депозитный калькулятор'!$G$10="еженедельное, на минимальную сумму зафиксированную в течение недели",F899='депозитный калькулятор'!$D$8,WEEKDAY(F899,2)&lt;&gt;7),MIN(OFFSET(H899,-WEEKDAY(F899,2),0):H899)*(COUNTIF(OFFSET(H899,-WEEKDAY(F899,2)+1,0):H899,"&gt;0")+SUM(OFFSET(A899,-WEEKDAY(F899,2),0):A899)),IF(AND('депозитный калькулятор'!$G$10="ежемесячное (в конце месяца)",F899='депозитный калькулятор'!$D$8,EOMONTH(F899,0)&lt;&gt;F899),IF('депозитный калькулятор'!$F$1=1,$H$24,SUM($H$23:H899)-SUM($I$23:I898)),IF(AND('депозитный калькулятор'!$G$10="ежемесячное (в конце месяца)",EOMONTH(F899,0)=F899),SUM($H$23:H899)-SUM($I$23:I898),IF(AND('депозитный калькулятор'!$G$10="ежемесячное (по дням открытия вклада)",F899='депозитный калькулятор'!$D$8,DAY('депозитный калькулятор'!$D$7)&lt;&gt;DAY(F899)),IF('депозитный калькулятор'!$F$1=1,$H$24,SUM($H$23:H899)-SUM($I$23:I898)),IF(AND('депозитный калькулятор'!$G$10="ежемесячное (по дням открытия вклада)",DAY('депозитный калькулятор'!$D$7)=DAY(F899)),SUM($H$23:H899)-SUM($I$23:I898),IF(AND('депозитный калькулятор'!$G$10="ежемесячное, на минимальную сумму зафиксированную в течение месяца",F899='депозитный калькулятор'!$D$8,EOMONTH(F899,0)&lt;&gt;F899),IF('депозитный калькулятор'!$F$1=1,$H$24,IF(AND(OR('депозитный калькулятор'!$G$7="30/365",'депозитный калькулятор'!$G$7="30/360"),DAY(F899)=31),0,MIN(OFFSET(H899,-E899+1,0):H899)*(E899+SUMIF(OFFSET(A899,-E899+1,0):A899,"=2",OFFSET(A899,-E899+1,0):A899)))),IF(AND('депозитный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калькулятор'!$G$7="30/360"),DAY(EOMONTH(F899,0))=31),EOMONTH(F899,0)-1=F899,EOMONTH(F899,0)=F899)),IF(IF(AND(OR('депозитный калькулятор'!$G$7="30/365",'депозитный калькулятор'!$G$7="30/360"),DAY(EOMONTH($F$23,0))=31),F899=EOMONTH($F$23,0)-1,F899=EOMONTH($F$23,0)),MIN(OFFSET(H899,-(DAY(F899)-DAY($F$23)),0):H899)*E899,MIN(OFFSET(H899,-(DAY(F899)-1),0):H899)*IF(AND(OR('депозитный калькулятор'!$G$7="30/365",'депозитный калькулятор'!$G$7="30/360"),DAY(F899)&lt;30),30,DAY(F899))),IF(AND('депозитный калькулятор'!$G$10="ежемесячное, на средний остаток в течение месяца, при условии что остаток больше чем ограничение",F899='депозитный калькулятор'!$D$8,EOMONTH(F899,0)&lt;&gt;F899),IF('депозитный калькулятор'!$F$1=1,$H$24,SUM(OFFSET(Q899,-E899+1,0):Q899)),IF(AND('депозитный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калькулятор'!$G$7="30/360"),DAY(EOMONTH(F899,0))=31),EOMONTH(F899,0)-1=F899,EOMONTH(F899,0)=F899)),IF(IF(AND(OR('депозитный калькулятор'!$G$7="30/365",'депозитный калькулятор'!$G$7="30/360"),DAY(EOMONTH($F$24,0))=31),F899=EOMONTH($F$24,0)-1,F899=EOMONTH($F$24,0)),SUM(OFFSET(Q899,-E899+1,0):Q899),SUM(OFFSET(Q899,-E899+1,0):Q899)),IF('депозитный калькулятор'!$G$10="ежеквартальное",IF(F899&gt;'депозитный калькулятор'!$D$8," ",IF(AND(EOMONTH(F899,0)=F899,OR(MONTH(F899)=3,MONTH(F899)=6,MONTH(F899)=9,MONTH(F899)=12)),IF(EDATE(F899,-3)&lt;'депозитный калькулятор'!$D$7,SUM($H$23:H899),IF(MOD(YEAR(F899),4)=0,IF(AND(EOMONTH(F899,0)=F899,OR(MONTH(F899)=3,MONTH(F899)=6)),SUM(OFFSET(H899,-90,0):H899),IF(AND(EOMONTH(F899,0)=F899,OR(MONTH(F899)=9,MONTH(F899)=12)),SUM(OFFSET(H899,-91,0):H899))),IF(AND(EOMONTH(F899,0)=F899,MONTH(F899)=3),SUM(OFFSET(H899,-89,0):H899),IF(AND(EOMONTH(F899,0)=F899,MONTH(F899)=6),SUM(OFFSET(H899,-90,0):H899),IF(AND(EOMONTH(F899,0)=F899,OR(MONTH(F899)=9,MONTH(F899)=12)),SUM(OFFSET(H899,-91,0):H899)))))),IF(F899='депозитный калькулятор'!$D$8,SUM($H$23:H899)-SUM($I$23:I898),0))),IF('депозитный калькулятор'!$G$10="ежегодное",IF(F899&gt;'депозитный калькулятор'!$D$8," ",IF(F899='депозитный калькулятор'!$D$8,SUM($H$23:H899)-SUM($I$23:I898),IF(AND(EOMONTH(F899,0)=F899,MONTH(F899)=12),IF(MOD(YEAR(F898),4)=0,IF(F899-'депозитный калькулятор'!$D$7&lt;366,SUM($H$23:H899),SUM(OFFSET(H899,-365,0):H899)),IF(F899-'депозитный калькулятор'!$D$7&lt;365,SUM($H$23:H899),SUM(OFFSET(H899,-364,0):H899))),0))),IF(AND('депозитный калькулятор'!$G$10="в конце срока",'депозитный калькулятор'!$D$8=F899),SUM($H$23:H899),0))))))))))))))))))</f>
        <v xml:space="preserve"> </v>
      </c>
      <c r="J899" s="59" t="str">
        <f>IF(F899&gt;'депозитный калькулятор'!$D$8," ",IF('депозитный калькулятор'!$G$16="нет",0,IF(AND('депозитный калькулятор'!$G$17="разовая (в конце срока)",F899='депозитный калькулятор'!$D$8),'депозитный калькулятор'!$G$18,IF(AND('депозитный калькулятор'!$G$17="ежемесячная",EOMONTH(F898,0)=F898),'депозитный калькулятор'!$G$18,IF(AND('депозитный калькулятор'!$G$17="ежегодная",DAY(F898)=31,MONTH(F898)=12),'депозитный калькулятор'!$G$18,IF(AND('депозитный калькулятор'!$G$17="ежемесячная в зависимости от остатка",EOMONTH(F898,0)=F898,P898&gt;0),'депозитный калькулятор'!$G$18,IF(AND('депозитный калькулятор'!$G$17="ежегодная в зависимости от остатка",DAY(F898)=31,MONTH(F898)=12,P898&gt;0),'депозитный калькулятор'!$G$18,0)))))))</f>
        <v xml:space="preserve"> </v>
      </c>
      <c r="K899" s="135" t="str">
        <f>IF($F899=" "," ",IFERROR(VLOOKUP($F899,'депозитный калькулятор'!$B$26:$F$70,2,0),0))</f>
        <v xml:space="preserve"> </v>
      </c>
      <c r="L899" s="135" t="str">
        <f>IF($F899=" "," ",IFERROR(VLOOKUP($F899,'депозитный калькулятор'!$B$26:$F$70,3,0),0))</f>
        <v xml:space="preserve"> </v>
      </c>
      <c r="M899" s="135" t="str">
        <f>IF($F899=" "," ",IFERROR(VLOOKUP($F899,'депозитный калькулятор'!$B$26:$F$70,4,0),0))</f>
        <v xml:space="preserve"> </v>
      </c>
      <c r="N899" s="135" t="str">
        <f>IF($F899=" "," ",IFERROR(VLOOKUP($F899,'депозитный калькулятор'!$B$26:$F$70,5,0),0))</f>
        <v xml:space="preserve"> </v>
      </c>
      <c r="O899" s="146" t="str">
        <f>IF(F899&gt;'депозитный калькулятор'!$D$8," ",IF(F899='депозитный калькулятор'!$D$8,IF(AND($F$24='депозитный калькулятор'!$D$8,'депозитный калькулятор'!$G$13="нет"),-G899-IF(I899=" ",0,I899)-IF(AND(OR('депозитный калькулятор'!$G$7="30/365",'депозитный калькулятор'!$G$7="30/360"),'депозитный калькулятор'!$G$10="в начале срока"),I898,0)-L899+M899-N899,-G899-IF(I899=" ",0,I899)-L899+M899-N899),IF('депозитный калькулятор'!$G$13="есть",M899-N899+IF('депозитный калькулятор'!$G$14="есть",0,-L899),-IF(I899=" ",0,I899)-IF(AND(OR('депозитный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срока"),I898,0)+M899-N899+IF('депозитный калькулятор'!$G$14="есть",0,-L899))))</f>
        <v xml:space="preserve"> </v>
      </c>
      <c r="P899" s="147" t="str">
        <f>IF(F899&gt;'депозитный калькулятор'!$D$8," ",IF(EOMONTH(F898,0)=F898,0,IF(G899&gt;='депозитный калькулятор'!$G$19,P898,P898+1)))</f>
        <v xml:space="preserve"> </v>
      </c>
      <c r="Q899" s="138" t="str">
        <f>IF(F899=" "," ",IF(AND(OR('депозитный калькулятор'!$G$7="30/365",'депозитный калькулятор'!$G$7="30/360"),AND(MONTH(F899)=2,EOMONTH(F899,0)=F899)),IF(DAY(F899)=28,3,2),1)*IF(G899&gt;='депозитный калькулятор'!$G$11,IF(AND('депозитный калькулятор'!$G$7="факт/факт",MOD(YEAR(F899),4)=0),G899*'депозитный калькулятор'!$D$11/366,G899*'депозитный калькулятор'!$G$8),0))</f>
        <v xml:space="preserve"> </v>
      </c>
      <c r="S899" s="62" t="str">
        <f t="shared" ca="1" si="67"/>
        <v xml:space="preserve"> </v>
      </c>
      <c r="T899" s="149" t="str">
        <f ca="1">IF(S899=" "," ",IF('депозитный калькулятор'!$G$7="30/360",DAYS360(U898,IF(DAY(U899)=31,U899-1,U899))+IF(AND(MONTH(U899)=2,U899=EOMONTH(U899,0)),30-DAY(EOMONTH(U899,0)))+T898,VLOOKUP(S899,$C$22:$F$1023,2,0)))</f>
        <v xml:space="preserve"> </v>
      </c>
      <c r="U899" s="64" t="str">
        <f t="shared" ca="1" si="65"/>
        <v xml:space="preserve"> </v>
      </c>
      <c r="V899" s="150" t="str">
        <f t="shared" ca="1" si="68"/>
        <v xml:space="preserve"> </v>
      </c>
      <c r="W899" s="62" t="str">
        <f t="shared" ca="1" si="69"/>
        <v xml:space="preserve"> </v>
      </c>
      <c r="X899" s="141" t="str">
        <f ca="1">IF(S899=" "," ",IFERROR(VLOOKUP(U899,$F$23:$N$1023,7)+VLOOKUP(U899,$F$23:$N$1023,9)+IF(AND('депозитный калькулятор'!$G$13="нет",U899&lt;&gt;'депозитный калькулятор'!$D$8),VLOOKUP(U899,$F$23:$N$1023,4),0),0)+IF(U899='депозитный калькулятор'!$D$8,VLOOKUP(U899,$F$23:$N$1023,2)+VLOOKUP(U899,$F$23:$N$1023,4),0))</f>
        <v xml:space="preserve"> </v>
      </c>
      <c r="Y899" s="142" t="str">
        <f ca="1">IF(S899=" "," ",W899/(1+'депозитный калькулятор'!$K$8)^(T899/IF('депозитный калькулятор'!$G$7="30/360",360,365)))</f>
        <v xml:space="preserve"> </v>
      </c>
      <c r="Z899" s="142" t="str">
        <f ca="1">IF(S899=" "," ",X899/(1+'депозитный калькулятор'!$K$8)^(T899/IF('депозитный калькулятор'!$G$7="30/360",360,365)))</f>
        <v xml:space="preserve"> </v>
      </c>
      <c r="AA899" s="151"/>
      <c r="AB899" s="151"/>
      <c r="AC899" s="155"/>
      <c r="AD899" s="155"/>
    </row>
    <row r="900" spans="1:30" s="2" customFormat="1" ht="15.5" x14ac:dyDescent="0.35">
      <c r="A900" s="41" t="str">
        <f>IF(F900=" "," ",IF(OR('депозитный калькулятор'!$G$7="30/365",'депозитный калькулятор'!$G$7="30/360"),IF(AND(MONTH(F900)=2,DAY(F900)=DAY(EOMONTH(F900,0))),30-DAY(EOMONTH(F900,0)),IF(DAY(F900)=31,1," "))," "))</f>
        <v xml:space="preserve"> </v>
      </c>
      <c r="B900" s="130" t="str">
        <f t="shared" si="66"/>
        <v xml:space="preserve"> </v>
      </c>
      <c r="C900" s="130" t="str">
        <f>IF(OR(B900=0,B900=" ")," ",SUM($B$23:B900))</f>
        <v xml:space="preserve"> </v>
      </c>
      <c r="D900" s="62" t="str">
        <f>IF(D899=" "," ",IF(OR(F899='депозитный калькулятор'!$D$8,F899=" ")," ",D899+1))</f>
        <v xml:space="preserve"> </v>
      </c>
      <c r="E900" s="130" t="str">
        <f>IF(OR(F899='депозитный калькулятор'!$D$8,F899=" ")," ",IF(EOMONTH(F899,0)=F899,1,E899+1))</f>
        <v xml:space="preserve"> </v>
      </c>
      <c r="F900" s="64" t="str">
        <f>IF(F899=" "," ",IF(F899='депозитный калькулятор'!$D$8," ",F899+1))</f>
        <v xml:space="preserve"> </v>
      </c>
      <c r="G900" s="145" t="str">
        <f xml:space="preserve"> IF(F900&gt;'депозитный калькулятор'!$D$8," ",IF('депозитный калькулятор'!$G$13="есть",IF('депозитный калькулятор'!$G$14="есть",G899+IF(I899=" ",0,I899)-J900-K900+L900+M900-N900,G899+IF(I899=" ",0,I899)-J900-K900+M900-N900),IF('депозитный калькулятор'!$G$14="есть",G899-J900-K900+L900+M900-N900,G899-J900-K900+M900-N900)))</f>
        <v xml:space="preserve"> </v>
      </c>
      <c r="H900" s="133" t="str">
        <f>IF(F900&gt;'депозитный калькулятор'!$D$8," ",IF(AND(OR('депозитный калькулятор'!$G$7="30/365",'депозитный калькулятор'!$G$7="30/360"),AND(MONTH(F900)=2,EOMONTH(F900,0)=F900)),IF(DAY(F900)=28,3*G900*'депозитный калькулятор'!$G$8,2*G900*'депозитный калькулятор'!$G$8),IF(AND(OR('депозитный калькулятор'!$G$7="30/365",'депозитный калькулятор'!$G$7="30/360"),DAY(F900)=31)," ",IF(AND('депозитный калькулятор'!$G$7="факт/факт",MOD(YEAR(F900),4)=0),G900*'депозитный калькулятор'!$D$11/366,G900*'депозитный калькулятор'!$G$8))))</f>
        <v xml:space="preserve"> </v>
      </c>
      <c r="I900" s="134" t="str">
        <f ca="1">IF(F900=" "," ",IF('депозитный калькулятор'!$G$10="ежедневное",H900,IF(AND('депозитный калькулятор'!$G$10="еженедельное",WEEKDAY(F900,2)=7),SUM(OFFSET(H900,-6,0):H900),IF(AND('депозитный калькулятор'!$G$10="еженедельное",F900='депозитный калькулятор'!$D$8),SUM($H$23:H900)-SUM($I$23:I899),IF(AND('депозитный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недели",WEEKDAY(F900,2)=7),MIN(OFFSET(H900,-6,0):H900)*(COUNTIF(OFFSET(H900,-6,0):H900,"&gt;0")+SUMIF(OFFSET(A900,-WEEKDAY(F900,2),0):A900,"=2",OFFSET(A900,-WEEKDAY(F900,2),0):A900)),IF(AND('депозитный калькулятор'!$G$10="еженедельное, на минимальную сумму зафиксированную в течение недели",F900='депозитный калькулятор'!$D$8,WEEKDAY(F900,2)&lt;&gt;7),MIN(OFFSET(H900,-WEEKDAY(F900,2),0):H900)*(COUNTIF(OFFSET(H900,-WEEKDAY(F900,2)+1,0):H900,"&gt;0")+SUM(OFFSET(A900,-WEEKDAY(F900,2),0):A900)),IF(AND('депозитный калькулятор'!$G$10="ежемесячное (в конце месяца)",F900='депозитный калькулятор'!$D$8,EOMONTH(F900,0)&lt;&gt;F900),IF('депозитный калькулятор'!$F$1=1,$H$24,SUM($H$23:H900)-SUM($I$23:I899)),IF(AND('депозитный калькулятор'!$G$10="ежемесячное (в конце месяца)",EOMONTH(F900,0)=F900),SUM($H$23:H900)-SUM($I$23:I899),IF(AND('депозитный калькулятор'!$G$10="ежемесячное (по дням открытия вклада)",F900='депозитный калькулятор'!$D$8,DAY('депозитный калькулятор'!$D$7)&lt;&gt;DAY(F900)),IF('депозитный калькулятор'!$F$1=1,$H$24,SUM($H$23:H900)-SUM($I$23:I899)),IF(AND('депозитный калькулятор'!$G$10="ежемесячное (по дням открытия вклада)",DAY('депозитный калькулятор'!$D$7)=DAY(F900)),SUM($H$23:H900)-SUM($I$23:I899),IF(AND('депозитный калькулятор'!$G$10="ежемесячное, на минимальную сумму зафиксированную в течение месяца",F900='депозитный калькулятор'!$D$8,EOMONTH(F900,0)&lt;&gt;F900),IF('депозитный калькулятор'!$F$1=1,$H$24,IF(AND(OR('депозитный калькулятор'!$G$7="30/365",'депозитный калькулятор'!$G$7="30/360"),DAY(F900)=31),0,MIN(OFFSET(H900,-E900+1,0):H900)*(E900+SUMIF(OFFSET(A900,-E900+1,0):A900,"=2",OFFSET(A900,-E900+1,0):A900)))),IF(AND('депозитный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калькулятор'!$G$7="30/360"),DAY(EOMONTH(F900,0))=31),EOMONTH(F900,0)-1=F900,EOMONTH(F900,0)=F900)),IF(IF(AND(OR('депозитный калькулятор'!$G$7="30/365",'депозитный калькулятор'!$G$7="30/360"),DAY(EOMONTH($F$23,0))=31),F900=EOMONTH($F$23,0)-1,F900=EOMONTH($F$23,0)),MIN(OFFSET(H900,-(DAY(F900)-DAY($F$23)),0):H900)*E900,MIN(OFFSET(H900,-(DAY(F900)-1),0):H900)*IF(AND(OR('депозитный калькулятор'!$G$7="30/365",'депозитный калькулятор'!$G$7="30/360"),DAY(F900)&lt;30),30,DAY(F900))),IF(AND('депозитный калькулятор'!$G$10="ежемесячное, на средний остаток в течение месяца, при условии что остаток больше чем ограничение",F900='депозитный калькулятор'!$D$8,EOMONTH(F900,0)&lt;&gt;F900),IF('депозитный калькулятор'!$F$1=1,$H$24,SUM(OFFSET(Q900,-E900+1,0):Q900)),IF(AND('депозитный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калькулятор'!$G$7="30/360"),DAY(EOMONTH(F900,0))=31),EOMONTH(F900,0)-1=F900,EOMONTH(F900,0)=F900)),IF(IF(AND(OR('депозитный калькулятор'!$G$7="30/365",'депозитный калькулятор'!$G$7="30/360"),DAY(EOMONTH($F$24,0))=31),F900=EOMONTH($F$24,0)-1,F900=EOMONTH($F$24,0)),SUM(OFFSET(Q900,-E900+1,0):Q900),SUM(OFFSET(Q900,-E900+1,0):Q900)),IF('депозитный калькулятор'!$G$10="ежеквартальное",IF(F900&gt;'депозитный калькулятор'!$D$8," ",IF(AND(EOMONTH(F900,0)=F900,OR(MONTH(F900)=3,MONTH(F900)=6,MONTH(F900)=9,MONTH(F900)=12)),IF(EDATE(F900,-3)&lt;'депозитный калькулятор'!$D$7,SUM($H$23:H900),IF(MOD(YEAR(F900),4)=0,IF(AND(EOMONTH(F900,0)=F900,OR(MONTH(F900)=3,MONTH(F900)=6)),SUM(OFFSET(H900,-90,0):H900),IF(AND(EOMONTH(F900,0)=F900,OR(MONTH(F900)=9,MONTH(F900)=12)),SUM(OFFSET(H900,-91,0):H900))),IF(AND(EOMONTH(F900,0)=F900,MONTH(F900)=3),SUM(OFFSET(H900,-89,0):H900),IF(AND(EOMONTH(F900,0)=F900,MONTH(F900)=6),SUM(OFFSET(H900,-90,0):H900),IF(AND(EOMONTH(F900,0)=F900,OR(MONTH(F900)=9,MONTH(F900)=12)),SUM(OFFSET(H900,-91,0):H900)))))),IF(F900='депозитный калькулятор'!$D$8,SUM($H$23:H900)-SUM($I$23:I899),0))),IF('депозитный калькулятор'!$G$10="ежегодное",IF(F900&gt;'депозитный калькулятор'!$D$8," ",IF(F900='депозитный калькулятор'!$D$8,SUM($H$23:H900)-SUM($I$23:I899),IF(AND(EOMONTH(F900,0)=F900,MONTH(F900)=12),IF(MOD(YEAR(F899),4)=0,IF(F900-'депозитный калькулятор'!$D$7&lt;366,SUM($H$23:H900),SUM(OFFSET(H900,-365,0):H900)),IF(F900-'депозитный калькулятор'!$D$7&lt;365,SUM($H$23:H900),SUM(OFFSET(H900,-364,0):H900))),0))),IF(AND('депозитный калькулятор'!$G$10="в конце срока",'депозитный калькулятор'!$D$8=F900),SUM($H$23:H900),0))))))))))))))))))</f>
        <v xml:space="preserve"> </v>
      </c>
      <c r="J900" s="59" t="str">
        <f>IF(F900&gt;'депозитный калькулятор'!$D$8," ",IF('депозитный калькулятор'!$G$16="нет",0,IF(AND('депозитный калькулятор'!$G$17="разовая (в конце срока)",F900='депозитный калькулятор'!$D$8),'депозитный калькулятор'!$G$18,IF(AND('депозитный калькулятор'!$G$17="ежемесячная",EOMONTH(F899,0)=F899),'депозитный калькулятор'!$G$18,IF(AND('депозитный калькулятор'!$G$17="ежегодная",DAY(F899)=31,MONTH(F899)=12),'депозитный калькулятор'!$G$18,IF(AND('депозитный калькулятор'!$G$17="ежемесячная в зависимости от остатка",EOMONTH(F899,0)=F899,P899&gt;0),'депозитный калькулятор'!$G$18,IF(AND('депозитный калькулятор'!$G$17="ежегодная в зависимости от остатка",DAY(F899)=31,MONTH(F899)=12,P899&gt;0),'депозитный калькулятор'!$G$18,0)))))))</f>
        <v xml:space="preserve"> </v>
      </c>
      <c r="K900" s="135" t="str">
        <f>IF($F900=" "," ",IFERROR(VLOOKUP($F900,'депозитный калькулятор'!$B$26:$F$70,2,0),0))</f>
        <v xml:space="preserve"> </v>
      </c>
      <c r="L900" s="135" t="str">
        <f>IF($F900=" "," ",IFERROR(VLOOKUP($F900,'депозитный калькулятор'!$B$26:$F$70,3,0),0))</f>
        <v xml:space="preserve"> </v>
      </c>
      <c r="M900" s="135" t="str">
        <f>IF($F900=" "," ",IFERROR(VLOOKUP($F900,'депозитный калькулятор'!$B$26:$F$70,4,0),0))</f>
        <v xml:space="preserve"> </v>
      </c>
      <c r="N900" s="135" t="str">
        <f>IF($F900=" "," ",IFERROR(VLOOKUP($F900,'депозитный калькулятор'!$B$26:$F$70,5,0),0))</f>
        <v xml:space="preserve"> </v>
      </c>
      <c r="O900" s="146" t="str">
        <f>IF(F900&gt;'депозитный калькулятор'!$D$8," ",IF(F900='депозитный калькулятор'!$D$8,IF(AND($F$24='депозитный калькулятор'!$D$8,'депозитный калькулятор'!$G$13="нет"),-G900-IF(I900=" ",0,I900)-IF(AND(OR('депозитный калькулятор'!$G$7="30/365",'депозитный калькулятор'!$G$7="30/360"),'депозитный калькулятор'!$G$10="в начале срока"),I899,0)-L900+M900-N900,-G900-IF(I900=" ",0,I900)-L900+M900-N900),IF('депозитный калькулятор'!$G$13="есть",M900-N900+IF('депозитный калькулятор'!$G$14="есть",0,-L900),-IF(I900=" ",0,I900)-IF(AND(OR('депозитный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срока"),I899,0)+M900-N900+IF('депозитный калькулятор'!$G$14="есть",0,-L900))))</f>
        <v xml:space="preserve"> </v>
      </c>
      <c r="P900" s="147" t="str">
        <f>IF(F900&gt;'депозитный калькулятор'!$D$8," ",IF(EOMONTH(F899,0)=F899,0,IF(G900&gt;='депозитный калькулятор'!$G$19,P899,P899+1)))</f>
        <v xml:space="preserve"> </v>
      </c>
      <c r="Q900" s="138" t="str">
        <f>IF(F900=" "," ",IF(AND(OR('депозитный калькулятор'!$G$7="30/365",'депозитный калькулятор'!$G$7="30/360"),AND(MONTH(F900)=2,EOMONTH(F900,0)=F900)),IF(DAY(F900)=28,3,2),1)*IF(G900&gt;='депозитный калькулятор'!$G$11,IF(AND('депозитный калькулятор'!$G$7="факт/факт",MOD(YEAR(F900),4)=0),G900*'депозитный калькулятор'!$D$11/366,G900*'депозитный калькулятор'!$G$8),0))</f>
        <v xml:space="preserve"> </v>
      </c>
      <c r="S900" s="62" t="str">
        <f t="shared" ca="1" si="67"/>
        <v xml:space="preserve"> </v>
      </c>
      <c r="T900" s="149" t="str">
        <f ca="1">IF(S900=" "," ",IF('депозитный калькулятор'!$G$7="30/360",DAYS360(U899,IF(DAY(U900)=31,U900-1,U900))+IF(AND(MONTH(U900)=2,U900=EOMONTH(U900,0)),30-DAY(EOMONTH(U900,0)))+T899,VLOOKUP(S900,$C$22:$F$1023,2,0)))</f>
        <v xml:space="preserve"> </v>
      </c>
      <c r="U900" s="64" t="str">
        <f t="shared" ca="1" si="65"/>
        <v xml:space="preserve"> </v>
      </c>
      <c r="V900" s="150" t="str">
        <f t="shared" ca="1" si="68"/>
        <v xml:space="preserve"> </v>
      </c>
      <c r="W900" s="62" t="str">
        <f t="shared" ca="1" si="69"/>
        <v xml:space="preserve"> </v>
      </c>
      <c r="X900" s="141" t="str">
        <f ca="1">IF(S900=" "," ",IFERROR(VLOOKUP(U900,$F$23:$N$1023,7)+VLOOKUP(U900,$F$23:$N$1023,9)+IF(AND('депозитный калькулятор'!$G$13="нет",U900&lt;&gt;'депозитный калькулятор'!$D$8),VLOOKUP(U900,$F$23:$N$1023,4),0),0)+IF(U900='депозитный калькулятор'!$D$8,VLOOKUP(U900,$F$23:$N$1023,2)+VLOOKUP(U900,$F$23:$N$1023,4),0))</f>
        <v xml:space="preserve"> </v>
      </c>
      <c r="Y900" s="142" t="str">
        <f ca="1">IF(S900=" "," ",W900/(1+'депозитный калькулятор'!$K$8)^(T900/IF('депозитный калькулятор'!$G$7="30/360",360,365)))</f>
        <v xml:space="preserve"> </v>
      </c>
      <c r="Z900" s="142" t="str">
        <f ca="1">IF(S900=" "," ",X900/(1+'депозитный калькулятор'!$K$8)^(T900/IF('депозитный калькулятор'!$G$7="30/360",360,365)))</f>
        <v xml:space="preserve"> </v>
      </c>
      <c r="AA900" s="151"/>
      <c r="AB900" s="151"/>
      <c r="AC900" s="155"/>
      <c r="AD900" s="155"/>
    </row>
    <row r="901" spans="1:30" s="2" customFormat="1" ht="15.5" x14ac:dyDescent="0.35">
      <c r="A901" s="41" t="str">
        <f>IF(F901=" "," ",IF(OR('депозитный калькулятор'!$G$7="30/365",'депозитный калькулятор'!$G$7="30/360"),IF(AND(MONTH(F901)=2,DAY(F901)=DAY(EOMONTH(F901,0))),30-DAY(EOMONTH(F901,0)),IF(DAY(F901)=31,1," "))," "))</f>
        <v xml:space="preserve"> </v>
      </c>
      <c r="B901" s="130" t="str">
        <f t="shared" si="66"/>
        <v xml:space="preserve"> </v>
      </c>
      <c r="C901" s="130" t="str">
        <f>IF(OR(B901=0,B901=" ")," ",SUM($B$23:B901))</f>
        <v xml:space="preserve"> </v>
      </c>
      <c r="D901" s="62" t="str">
        <f>IF(D900=" "," ",IF(OR(F900='депозитный калькулятор'!$D$8,F900=" ")," ",D900+1))</f>
        <v xml:space="preserve"> </v>
      </c>
      <c r="E901" s="130" t="str">
        <f>IF(OR(F900='депозитный калькулятор'!$D$8,F900=" ")," ",IF(EOMONTH(F900,0)=F900,1,E900+1))</f>
        <v xml:space="preserve"> </v>
      </c>
      <c r="F901" s="64" t="str">
        <f>IF(F900=" "," ",IF(F900='депозитный калькулятор'!$D$8," ",F900+1))</f>
        <v xml:space="preserve"> </v>
      </c>
      <c r="G901" s="145" t="str">
        <f xml:space="preserve"> IF(F901&gt;'депозитный калькулятор'!$D$8," ",IF('депозитный калькулятор'!$G$13="есть",IF('депозитный калькулятор'!$G$14="есть",G900+IF(I900=" ",0,I900)-J901-K901+L901+M901-N901,G900+IF(I900=" ",0,I900)-J901-K901+M901-N901),IF('депозитный калькулятор'!$G$14="есть",G900-J901-K901+L901+M901-N901,G900-J901-K901+M901-N901)))</f>
        <v xml:space="preserve"> </v>
      </c>
      <c r="H901" s="133" t="str">
        <f>IF(F901&gt;'депозитный калькулятор'!$D$8," ",IF(AND(OR('депозитный калькулятор'!$G$7="30/365",'депозитный калькулятор'!$G$7="30/360"),AND(MONTH(F901)=2,EOMONTH(F901,0)=F901)),IF(DAY(F901)=28,3*G901*'депозитный калькулятор'!$G$8,2*G901*'депозитный калькулятор'!$G$8),IF(AND(OR('депозитный калькулятор'!$G$7="30/365",'депозитный калькулятор'!$G$7="30/360"),DAY(F901)=31)," ",IF(AND('депозитный калькулятор'!$G$7="факт/факт",MOD(YEAR(F901),4)=0),G901*'депозитный калькулятор'!$D$11/366,G901*'депозитный калькулятор'!$G$8))))</f>
        <v xml:space="preserve"> </v>
      </c>
      <c r="I901" s="134" t="str">
        <f ca="1">IF(F901=" "," ",IF('депозитный калькулятор'!$G$10="ежедневное",H901,IF(AND('депозитный калькулятор'!$G$10="еженедельное",WEEKDAY(F901,2)=7),SUM(OFFSET(H901,-6,0):H901),IF(AND('депозитный калькулятор'!$G$10="еженедельное",F901='депозитный калькулятор'!$D$8),SUM($H$23:H901)-SUM($I$23:I900),IF(AND('депозитный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недели",WEEKDAY(F901,2)=7),MIN(OFFSET(H901,-6,0):H901)*(COUNTIF(OFFSET(H901,-6,0):H901,"&gt;0")+SUMIF(OFFSET(A901,-WEEKDAY(F901,2),0):A901,"=2",OFFSET(A901,-WEEKDAY(F901,2),0):A901)),IF(AND('депозитный калькулятор'!$G$10="еженедельное, на минимальную сумму зафиксированную в течение недели",F901='депозитный калькулятор'!$D$8,WEEKDAY(F901,2)&lt;&gt;7),MIN(OFFSET(H901,-WEEKDAY(F901,2),0):H901)*(COUNTIF(OFFSET(H901,-WEEKDAY(F901,2)+1,0):H901,"&gt;0")+SUM(OFFSET(A901,-WEEKDAY(F901,2),0):A901)),IF(AND('депозитный калькулятор'!$G$10="ежемесячное (в конце месяца)",F901='депозитный калькулятор'!$D$8,EOMONTH(F901,0)&lt;&gt;F901),IF('депозитный калькулятор'!$F$1=1,$H$24,SUM($H$23:H901)-SUM($I$23:I900)),IF(AND('депозитный калькулятор'!$G$10="ежемесячное (в конце месяца)",EOMONTH(F901,0)=F901),SUM($H$23:H901)-SUM($I$23:I900),IF(AND('депозитный калькулятор'!$G$10="ежемесячное (по дням открытия вклада)",F901='депозитный калькулятор'!$D$8,DAY('депозитный калькулятор'!$D$7)&lt;&gt;DAY(F901)),IF('депозитный калькулятор'!$F$1=1,$H$24,SUM($H$23:H901)-SUM($I$23:I900)),IF(AND('депозитный калькулятор'!$G$10="ежемесячное (по дням открытия вклада)",DAY('депозитный калькулятор'!$D$7)=DAY(F901)),SUM($H$23:H901)-SUM($I$23:I900),IF(AND('депозитный калькулятор'!$G$10="ежемесячное, на минимальную сумму зафиксированную в течение месяца",F901='депозитный калькулятор'!$D$8,EOMONTH(F901,0)&lt;&gt;F901),IF('депозитный калькулятор'!$F$1=1,$H$24,IF(AND(OR('депозитный калькулятор'!$G$7="30/365",'депозитный калькулятор'!$G$7="30/360"),DAY(F901)=31),0,MIN(OFFSET(H901,-E901+1,0):H901)*(E901+SUMIF(OFFSET(A901,-E901+1,0):A901,"=2",OFFSET(A901,-E901+1,0):A901)))),IF(AND('депозитный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калькулятор'!$G$7="30/360"),DAY(EOMONTH(F901,0))=31),EOMONTH(F901,0)-1=F901,EOMONTH(F901,0)=F901)),IF(IF(AND(OR('депозитный калькулятор'!$G$7="30/365",'депозитный калькулятор'!$G$7="30/360"),DAY(EOMONTH($F$23,0))=31),F901=EOMONTH($F$23,0)-1,F901=EOMONTH($F$23,0)),MIN(OFFSET(H901,-(DAY(F901)-DAY($F$23)),0):H901)*E901,MIN(OFFSET(H901,-(DAY(F901)-1),0):H901)*IF(AND(OR('депозитный калькулятор'!$G$7="30/365",'депозитный калькулятор'!$G$7="30/360"),DAY(F901)&lt;30),30,DAY(F901))),IF(AND('депозитный калькулятор'!$G$10="ежемесячное, на средний остаток в течение месяца, при условии что остаток больше чем ограничение",F901='депозитный калькулятор'!$D$8,EOMONTH(F901,0)&lt;&gt;F901),IF('депозитный калькулятор'!$F$1=1,$H$24,SUM(OFFSET(Q901,-E901+1,0):Q901)),IF(AND('депозитный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калькулятор'!$G$7="30/360"),DAY(EOMONTH(F901,0))=31),EOMONTH(F901,0)-1=F901,EOMONTH(F901,0)=F901)),IF(IF(AND(OR('депозитный калькулятор'!$G$7="30/365",'депозитный калькулятор'!$G$7="30/360"),DAY(EOMONTH($F$24,0))=31),F901=EOMONTH($F$24,0)-1,F901=EOMONTH($F$24,0)),SUM(OFFSET(Q901,-E901+1,0):Q901),SUM(OFFSET(Q901,-E901+1,0):Q901)),IF('депозитный калькулятор'!$G$10="ежеквартальное",IF(F901&gt;'депозитный калькулятор'!$D$8," ",IF(AND(EOMONTH(F901,0)=F901,OR(MONTH(F901)=3,MONTH(F901)=6,MONTH(F901)=9,MONTH(F901)=12)),IF(EDATE(F901,-3)&lt;'депозитный калькулятор'!$D$7,SUM($H$23:H901),IF(MOD(YEAR(F901),4)=0,IF(AND(EOMONTH(F901,0)=F901,OR(MONTH(F901)=3,MONTH(F901)=6)),SUM(OFFSET(H901,-90,0):H901),IF(AND(EOMONTH(F901,0)=F901,OR(MONTH(F901)=9,MONTH(F901)=12)),SUM(OFFSET(H901,-91,0):H901))),IF(AND(EOMONTH(F901,0)=F901,MONTH(F901)=3),SUM(OFFSET(H901,-89,0):H901),IF(AND(EOMONTH(F901,0)=F901,MONTH(F901)=6),SUM(OFFSET(H901,-90,0):H901),IF(AND(EOMONTH(F901,0)=F901,OR(MONTH(F901)=9,MONTH(F901)=12)),SUM(OFFSET(H901,-91,0):H901)))))),IF(F901='депозитный калькулятор'!$D$8,SUM($H$23:H901)-SUM($I$23:I900),0))),IF('депозитный калькулятор'!$G$10="ежегодное",IF(F901&gt;'депозитный калькулятор'!$D$8," ",IF(F901='депозитный калькулятор'!$D$8,SUM($H$23:H901)-SUM($I$23:I900),IF(AND(EOMONTH(F901,0)=F901,MONTH(F901)=12),IF(MOD(YEAR(F900),4)=0,IF(F901-'депозитный калькулятор'!$D$7&lt;366,SUM($H$23:H901),SUM(OFFSET(H901,-365,0):H901)),IF(F901-'депозитный калькулятор'!$D$7&lt;365,SUM($H$23:H901),SUM(OFFSET(H901,-364,0):H901))),0))),IF(AND('депозитный калькулятор'!$G$10="в конце срока",'депозитный калькулятор'!$D$8=F901),SUM($H$23:H901),0))))))))))))))))))</f>
        <v xml:space="preserve"> </v>
      </c>
      <c r="J901" s="59" t="str">
        <f>IF(F901&gt;'депозитный калькулятор'!$D$8," ",IF('депозитный калькулятор'!$G$16="нет",0,IF(AND('депозитный калькулятор'!$G$17="разовая (в конце срока)",F901='депозитный калькулятор'!$D$8),'депозитный калькулятор'!$G$18,IF(AND('депозитный калькулятор'!$G$17="ежемесячная",EOMONTH(F900,0)=F900),'депозитный калькулятор'!$G$18,IF(AND('депозитный калькулятор'!$G$17="ежегодная",DAY(F900)=31,MONTH(F900)=12),'депозитный калькулятор'!$G$18,IF(AND('депозитный калькулятор'!$G$17="ежемесячная в зависимости от остатка",EOMONTH(F900,0)=F900,P900&gt;0),'депозитный калькулятор'!$G$18,IF(AND('депозитный калькулятор'!$G$17="ежегодная в зависимости от остатка",DAY(F900)=31,MONTH(F900)=12,P900&gt;0),'депозитный калькулятор'!$G$18,0)))))))</f>
        <v xml:space="preserve"> </v>
      </c>
      <c r="K901" s="135" t="str">
        <f>IF($F901=" "," ",IFERROR(VLOOKUP($F901,'депозитный калькулятор'!$B$26:$F$70,2,0),0))</f>
        <v xml:space="preserve"> </v>
      </c>
      <c r="L901" s="135" t="str">
        <f>IF($F901=" "," ",IFERROR(VLOOKUP($F901,'депозитный калькулятор'!$B$26:$F$70,3,0),0))</f>
        <v xml:space="preserve"> </v>
      </c>
      <c r="M901" s="135" t="str">
        <f>IF($F901=" "," ",IFERROR(VLOOKUP($F901,'депозитный калькулятор'!$B$26:$F$70,4,0),0))</f>
        <v xml:space="preserve"> </v>
      </c>
      <c r="N901" s="135" t="str">
        <f>IF($F901=" "," ",IFERROR(VLOOKUP($F901,'депозитный калькулятор'!$B$26:$F$70,5,0),0))</f>
        <v xml:space="preserve"> </v>
      </c>
      <c r="O901" s="146" t="str">
        <f>IF(F901&gt;'депозитный калькулятор'!$D$8," ",IF(F901='депозитный калькулятор'!$D$8,IF(AND($F$24='депозитный калькулятор'!$D$8,'депозитный калькулятор'!$G$13="нет"),-G901-IF(I901=" ",0,I901)-IF(AND(OR('депозитный калькулятор'!$G$7="30/365",'депозитный калькулятор'!$G$7="30/360"),'депозитный калькулятор'!$G$10="в начале срока"),I900,0)-L901+M901-N901,-G901-IF(I901=" ",0,I901)-L901+M901-N901),IF('депозитный калькулятор'!$G$13="есть",M901-N901+IF('депозитный калькулятор'!$G$14="есть",0,-L901),-IF(I901=" ",0,I901)-IF(AND(OR('депозитный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срока"),I900,0)+M901-N901+IF('депозитный калькулятор'!$G$14="есть",0,-L901))))</f>
        <v xml:space="preserve"> </v>
      </c>
      <c r="P901" s="147" t="str">
        <f>IF(F901&gt;'депозитный калькулятор'!$D$8," ",IF(EOMONTH(F900,0)=F900,0,IF(G901&gt;='депозитный калькулятор'!$G$19,P900,P900+1)))</f>
        <v xml:space="preserve"> </v>
      </c>
      <c r="Q901" s="138" t="str">
        <f>IF(F901=" "," ",IF(AND(OR('депозитный калькулятор'!$G$7="30/365",'депозитный калькулятор'!$G$7="30/360"),AND(MONTH(F901)=2,EOMONTH(F901,0)=F901)),IF(DAY(F901)=28,3,2),1)*IF(G901&gt;='депозитный калькулятор'!$G$11,IF(AND('депозитный калькулятор'!$G$7="факт/факт",MOD(YEAR(F901),4)=0),G901*'депозитный калькулятор'!$D$11/366,G901*'депозитный калькулятор'!$G$8),0))</f>
        <v xml:space="preserve"> </v>
      </c>
      <c r="S901" s="62" t="str">
        <f t="shared" ca="1" si="67"/>
        <v xml:space="preserve"> </v>
      </c>
      <c r="T901" s="149" t="str">
        <f ca="1">IF(S901=" "," ",IF('депозитный калькулятор'!$G$7="30/360",DAYS360(U900,IF(DAY(U901)=31,U901-1,U901))+IF(AND(MONTH(U901)=2,U901=EOMONTH(U901,0)),30-DAY(EOMONTH(U901,0)))+T900,VLOOKUP(S901,$C$22:$F$1023,2,0)))</f>
        <v xml:space="preserve"> </v>
      </c>
      <c r="U901" s="64" t="str">
        <f t="shared" ca="1" si="65"/>
        <v xml:space="preserve"> </v>
      </c>
      <c r="V901" s="150" t="str">
        <f t="shared" ca="1" si="68"/>
        <v xml:space="preserve"> </v>
      </c>
      <c r="W901" s="62" t="str">
        <f t="shared" ca="1" si="69"/>
        <v xml:space="preserve"> </v>
      </c>
      <c r="X901" s="141" t="str">
        <f ca="1">IF(S901=" "," ",IFERROR(VLOOKUP(U901,$F$23:$N$1023,7)+VLOOKUP(U901,$F$23:$N$1023,9)+IF(AND('депозитный калькулятор'!$G$13="нет",U901&lt;&gt;'депозитный калькулятор'!$D$8),VLOOKUP(U901,$F$23:$N$1023,4),0),0)+IF(U901='депозитный калькулятор'!$D$8,VLOOKUP(U901,$F$23:$N$1023,2)+VLOOKUP(U901,$F$23:$N$1023,4),0))</f>
        <v xml:space="preserve"> </v>
      </c>
      <c r="Y901" s="142" t="str">
        <f ca="1">IF(S901=" "," ",W901/(1+'депозитный калькулятор'!$K$8)^(T901/IF('депозитный калькулятор'!$G$7="30/360",360,365)))</f>
        <v xml:space="preserve"> </v>
      </c>
      <c r="Z901" s="142" t="str">
        <f ca="1">IF(S901=" "," ",X901/(1+'депозитный калькулятор'!$K$8)^(T901/IF('депозитный калькулятор'!$G$7="30/360",360,365)))</f>
        <v xml:space="preserve"> </v>
      </c>
      <c r="AA901" s="151"/>
      <c r="AB901" s="151"/>
      <c r="AC901" s="155"/>
      <c r="AD901" s="155"/>
    </row>
    <row r="902" spans="1:30" s="2" customFormat="1" ht="15.5" x14ac:dyDescent="0.35">
      <c r="A902" s="41" t="str">
        <f>IF(F902=" "," ",IF(OR('депозитный калькулятор'!$G$7="30/365",'депозитный калькулятор'!$G$7="30/360"),IF(AND(MONTH(F902)=2,DAY(F902)=DAY(EOMONTH(F902,0))),30-DAY(EOMONTH(F902,0)),IF(DAY(F902)=31,1," "))," "))</f>
        <v xml:space="preserve"> </v>
      </c>
      <c r="B902" s="130" t="str">
        <f t="shared" si="66"/>
        <v xml:space="preserve"> </v>
      </c>
      <c r="C902" s="130" t="str">
        <f>IF(OR(B902=0,B902=" ")," ",SUM($B$23:B902))</f>
        <v xml:space="preserve"> </v>
      </c>
      <c r="D902" s="62" t="str">
        <f>IF(D901=" "," ",IF(OR(F901='депозитный калькулятор'!$D$8,F901=" ")," ",D901+1))</f>
        <v xml:space="preserve"> </v>
      </c>
      <c r="E902" s="130" t="str">
        <f>IF(OR(F901='депозитный калькулятор'!$D$8,F901=" ")," ",IF(EOMONTH(F901,0)=F901,1,E901+1))</f>
        <v xml:space="preserve"> </v>
      </c>
      <c r="F902" s="64" t="str">
        <f>IF(F901=" "," ",IF(F901='депозитный калькулятор'!$D$8," ",F901+1))</f>
        <v xml:space="preserve"> </v>
      </c>
      <c r="G902" s="145" t="str">
        <f xml:space="preserve"> IF(F902&gt;'депозитный калькулятор'!$D$8," ",IF('депозитный калькулятор'!$G$13="есть",IF('депозитный калькулятор'!$G$14="есть",G901+IF(I901=" ",0,I901)-J902-K902+L902+M902-N902,G901+IF(I901=" ",0,I901)-J902-K902+M902-N902),IF('депозитный калькулятор'!$G$14="есть",G901-J902-K902+L902+M902-N902,G901-J902-K902+M902-N902)))</f>
        <v xml:space="preserve"> </v>
      </c>
      <c r="H902" s="133" t="str">
        <f>IF(F902&gt;'депозитный калькулятор'!$D$8," ",IF(AND(OR('депозитный калькулятор'!$G$7="30/365",'депозитный калькулятор'!$G$7="30/360"),AND(MONTH(F902)=2,EOMONTH(F902,0)=F902)),IF(DAY(F902)=28,3*G902*'депозитный калькулятор'!$G$8,2*G902*'депозитный калькулятор'!$G$8),IF(AND(OR('депозитный калькулятор'!$G$7="30/365",'депозитный калькулятор'!$G$7="30/360"),DAY(F902)=31)," ",IF(AND('депозитный калькулятор'!$G$7="факт/факт",MOD(YEAR(F902),4)=0),G902*'депозитный калькулятор'!$D$11/366,G902*'депозитный калькулятор'!$G$8))))</f>
        <v xml:space="preserve"> </v>
      </c>
      <c r="I902" s="134" t="str">
        <f ca="1">IF(F902=" "," ",IF('депозитный калькулятор'!$G$10="ежедневное",H902,IF(AND('депозитный калькулятор'!$G$10="еженедельное",WEEKDAY(F902,2)=7),SUM(OFFSET(H902,-6,0):H902),IF(AND('депозитный калькулятор'!$G$10="еженедельное",F902='депозитный калькулятор'!$D$8),SUM($H$23:H902)-SUM($I$23:I901),IF(AND('депозитный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недели",WEEKDAY(F902,2)=7),MIN(OFFSET(H902,-6,0):H902)*(COUNTIF(OFFSET(H902,-6,0):H902,"&gt;0")+SUMIF(OFFSET(A902,-WEEKDAY(F902,2),0):A902,"=2",OFFSET(A902,-WEEKDAY(F902,2),0):A902)),IF(AND('депозитный калькулятор'!$G$10="еженедельное, на минимальную сумму зафиксированную в течение недели",F902='депозитный калькулятор'!$D$8,WEEKDAY(F902,2)&lt;&gt;7),MIN(OFFSET(H902,-WEEKDAY(F902,2),0):H902)*(COUNTIF(OFFSET(H902,-WEEKDAY(F902,2)+1,0):H902,"&gt;0")+SUM(OFFSET(A902,-WEEKDAY(F902,2),0):A902)),IF(AND('депозитный калькулятор'!$G$10="ежемесячное (в конце месяца)",F902='депозитный калькулятор'!$D$8,EOMONTH(F902,0)&lt;&gt;F902),IF('депозитный калькулятор'!$F$1=1,$H$24,SUM($H$23:H902)-SUM($I$23:I901)),IF(AND('депозитный калькулятор'!$G$10="ежемесячное (в конце месяца)",EOMONTH(F902,0)=F902),SUM($H$23:H902)-SUM($I$23:I901),IF(AND('депозитный калькулятор'!$G$10="ежемесячное (по дням открытия вклада)",F902='депозитный калькулятор'!$D$8,DAY('депозитный калькулятор'!$D$7)&lt;&gt;DAY(F902)),IF('депозитный калькулятор'!$F$1=1,$H$24,SUM($H$23:H902)-SUM($I$23:I901)),IF(AND('депозитный калькулятор'!$G$10="ежемесячное (по дням открытия вклада)",DAY('депозитный калькулятор'!$D$7)=DAY(F902)),SUM($H$23:H902)-SUM($I$23:I901),IF(AND('депозитный калькулятор'!$G$10="ежемесячное, на минимальную сумму зафиксированную в течение месяца",F902='депозитный калькулятор'!$D$8,EOMONTH(F902,0)&lt;&gt;F902),IF('депозитный калькулятор'!$F$1=1,$H$24,IF(AND(OR('депозитный калькулятор'!$G$7="30/365",'депозитный калькулятор'!$G$7="30/360"),DAY(F902)=31),0,MIN(OFFSET(H902,-E902+1,0):H902)*(E902+SUMIF(OFFSET(A902,-E902+1,0):A902,"=2",OFFSET(A902,-E902+1,0):A902)))),IF(AND('депозитный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калькулятор'!$G$7="30/360"),DAY(EOMONTH(F902,0))=31),EOMONTH(F902,0)-1=F902,EOMONTH(F902,0)=F902)),IF(IF(AND(OR('депозитный калькулятор'!$G$7="30/365",'депозитный калькулятор'!$G$7="30/360"),DAY(EOMONTH($F$23,0))=31),F902=EOMONTH($F$23,0)-1,F902=EOMONTH($F$23,0)),MIN(OFFSET(H902,-(DAY(F902)-DAY($F$23)),0):H902)*E902,MIN(OFFSET(H902,-(DAY(F902)-1),0):H902)*IF(AND(OR('депозитный калькулятор'!$G$7="30/365",'депозитный калькулятор'!$G$7="30/360"),DAY(F902)&lt;30),30,DAY(F902))),IF(AND('депозитный калькулятор'!$G$10="ежемесячное, на средний остаток в течение месяца, при условии что остаток больше чем ограничение",F902='депозитный калькулятор'!$D$8,EOMONTH(F902,0)&lt;&gt;F902),IF('депозитный калькулятор'!$F$1=1,$H$24,SUM(OFFSET(Q902,-E902+1,0):Q902)),IF(AND('депозитный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калькулятор'!$G$7="30/360"),DAY(EOMONTH(F902,0))=31),EOMONTH(F902,0)-1=F902,EOMONTH(F902,0)=F902)),IF(IF(AND(OR('депозитный калькулятор'!$G$7="30/365",'депозитный калькулятор'!$G$7="30/360"),DAY(EOMONTH($F$24,0))=31),F902=EOMONTH($F$24,0)-1,F902=EOMONTH($F$24,0)),SUM(OFFSET(Q902,-E902+1,0):Q902),SUM(OFFSET(Q902,-E902+1,0):Q902)),IF('депозитный калькулятор'!$G$10="ежеквартальное",IF(F902&gt;'депозитный калькулятор'!$D$8," ",IF(AND(EOMONTH(F902,0)=F902,OR(MONTH(F902)=3,MONTH(F902)=6,MONTH(F902)=9,MONTH(F902)=12)),IF(EDATE(F902,-3)&lt;'депозитный калькулятор'!$D$7,SUM($H$23:H902),IF(MOD(YEAR(F902),4)=0,IF(AND(EOMONTH(F902,0)=F902,OR(MONTH(F902)=3,MONTH(F902)=6)),SUM(OFFSET(H902,-90,0):H902),IF(AND(EOMONTH(F902,0)=F902,OR(MONTH(F902)=9,MONTH(F902)=12)),SUM(OFFSET(H902,-91,0):H902))),IF(AND(EOMONTH(F902,0)=F902,MONTH(F902)=3),SUM(OFFSET(H902,-89,0):H902),IF(AND(EOMONTH(F902,0)=F902,MONTH(F902)=6),SUM(OFFSET(H902,-90,0):H902),IF(AND(EOMONTH(F902,0)=F902,OR(MONTH(F902)=9,MONTH(F902)=12)),SUM(OFFSET(H902,-91,0):H902)))))),IF(F902='депозитный калькулятор'!$D$8,SUM($H$23:H902)-SUM($I$23:I901),0))),IF('депозитный калькулятор'!$G$10="ежегодное",IF(F902&gt;'депозитный калькулятор'!$D$8," ",IF(F902='депозитный калькулятор'!$D$8,SUM($H$23:H902)-SUM($I$23:I901),IF(AND(EOMONTH(F902,0)=F902,MONTH(F902)=12),IF(MOD(YEAR(F901),4)=0,IF(F902-'депозитный калькулятор'!$D$7&lt;366,SUM($H$23:H902),SUM(OFFSET(H902,-365,0):H902)),IF(F902-'депозитный калькулятор'!$D$7&lt;365,SUM($H$23:H902),SUM(OFFSET(H902,-364,0):H902))),0))),IF(AND('депозитный калькулятор'!$G$10="в конце срока",'депозитный калькулятор'!$D$8=F902),SUM($H$23:H902),0))))))))))))))))))</f>
        <v xml:space="preserve"> </v>
      </c>
      <c r="J902" s="59" t="str">
        <f>IF(F902&gt;'депозитный калькулятор'!$D$8," ",IF('депозитный калькулятор'!$G$16="нет",0,IF(AND('депозитный калькулятор'!$G$17="разовая (в конце срока)",F902='депозитный калькулятор'!$D$8),'депозитный калькулятор'!$G$18,IF(AND('депозитный калькулятор'!$G$17="ежемесячная",EOMONTH(F901,0)=F901),'депозитный калькулятор'!$G$18,IF(AND('депозитный калькулятор'!$G$17="ежегодная",DAY(F901)=31,MONTH(F901)=12),'депозитный калькулятор'!$G$18,IF(AND('депозитный калькулятор'!$G$17="ежемесячная в зависимости от остатка",EOMONTH(F901,0)=F901,P901&gt;0),'депозитный калькулятор'!$G$18,IF(AND('депозитный калькулятор'!$G$17="ежегодная в зависимости от остатка",DAY(F901)=31,MONTH(F901)=12,P901&gt;0),'депозитный калькулятор'!$G$18,0)))))))</f>
        <v xml:space="preserve"> </v>
      </c>
      <c r="K902" s="135" t="str">
        <f>IF($F902=" "," ",IFERROR(VLOOKUP($F902,'депозитный калькулятор'!$B$26:$F$70,2,0),0))</f>
        <v xml:space="preserve"> </v>
      </c>
      <c r="L902" s="135" t="str">
        <f>IF($F902=" "," ",IFERROR(VLOOKUP($F902,'депозитный калькулятор'!$B$26:$F$70,3,0),0))</f>
        <v xml:space="preserve"> </v>
      </c>
      <c r="M902" s="135" t="str">
        <f>IF($F902=" "," ",IFERROR(VLOOKUP($F902,'депозитный калькулятор'!$B$26:$F$70,4,0),0))</f>
        <v xml:space="preserve"> </v>
      </c>
      <c r="N902" s="135" t="str">
        <f>IF($F902=" "," ",IFERROR(VLOOKUP($F902,'депозитный калькулятор'!$B$26:$F$70,5,0),0))</f>
        <v xml:space="preserve"> </v>
      </c>
      <c r="O902" s="146" t="str">
        <f>IF(F902&gt;'депозитный калькулятор'!$D$8," ",IF(F902='депозитный калькулятор'!$D$8,IF(AND($F$24='депозитный калькулятор'!$D$8,'депозитный калькулятор'!$G$13="нет"),-G902-IF(I902=" ",0,I902)-IF(AND(OR('депозитный калькулятор'!$G$7="30/365",'депозитный калькулятор'!$G$7="30/360"),'депозитный калькулятор'!$G$10="в начале срока"),I901,0)-L902+M902-N902,-G902-IF(I902=" ",0,I902)-L902+M902-N902),IF('депозитный калькулятор'!$G$13="есть",M902-N902+IF('депозитный калькулятор'!$G$14="есть",0,-L902),-IF(I902=" ",0,I902)-IF(AND(OR('депозитный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срока"),I901,0)+M902-N902+IF('депозитный калькулятор'!$G$14="есть",0,-L902))))</f>
        <v xml:space="preserve"> </v>
      </c>
      <c r="P902" s="147" t="str">
        <f>IF(F902&gt;'депозитный калькулятор'!$D$8," ",IF(EOMONTH(F901,0)=F901,0,IF(G902&gt;='депозитный калькулятор'!$G$19,P901,P901+1)))</f>
        <v xml:space="preserve"> </v>
      </c>
      <c r="Q902" s="138" t="str">
        <f>IF(F902=" "," ",IF(AND(OR('депозитный калькулятор'!$G$7="30/365",'депозитный калькулятор'!$G$7="30/360"),AND(MONTH(F902)=2,EOMONTH(F902,0)=F902)),IF(DAY(F902)=28,3,2),1)*IF(G902&gt;='депозитный калькулятор'!$G$11,IF(AND('депозитный калькулятор'!$G$7="факт/факт",MOD(YEAR(F902),4)=0),G902*'депозитный калькулятор'!$D$11/366,G902*'депозитный калькулятор'!$G$8),0))</f>
        <v xml:space="preserve"> </v>
      </c>
      <c r="S902" s="62" t="str">
        <f t="shared" ca="1" si="67"/>
        <v xml:space="preserve"> </v>
      </c>
      <c r="T902" s="149" t="str">
        <f ca="1">IF(S902=" "," ",IF('депозитный калькулятор'!$G$7="30/360",DAYS360(U901,IF(DAY(U902)=31,U902-1,U902))+IF(AND(MONTH(U902)=2,U902=EOMONTH(U902,0)),30-DAY(EOMONTH(U902,0)))+T901,VLOOKUP(S902,$C$22:$F$1023,2,0)))</f>
        <v xml:space="preserve"> </v>
      </c>
      <c r="U902" s="64" t="str">
        <f t="shared" ca="1" si="65"/>
        <v xml:space="preserve"> </v>
      </c>
      <c r="V902" s="150" t="str">
        <f t="shared" ca="1" si="68"/>
        <v xml:space="preserve"> </v>
      </c>
      <c r="W902" s="62" t="str">
        <f t="shared" ca="1" si="69"/>
        <v xml:space="preserve"> </v>
      </c>
      <c r="X902" s="141" t="str">
        <f ca="1">IF(S902=" "," ",IFERROR(VLOOKUP(U902,$F$23:$N$1023,7)+VLOOKUP(U902,$F$23:$N$1023,9)+IF(AND('депозитный калькулятор'!$G$13="нет",U902&lt;&gt;'депозитный калькулятор'!$D$8),VLOOKUP(U902,$F$23:$N$1023,4),0),0)+IF(U902='депозитный калькулятор'!$D$8,VLOOKUP(U902,$F$23:$N$1023,2)+VLOOKUP(U902,$F$23:$N$1023,4),0))</f>
        <v xml:space="preserve"> </v>
      </c>
      <c r="Y902" s="142" t="str">
        <f ca="1">IF(S902=" "," ",W902/(1+'депозитный калькулятор'!$K$8)^(T902/IF('депозитный калькулятор'!$G$7="30/360",360,365)))</f>
        <v xml:space="preserve"> </v>
      </c>
      <c r="Z902" s="142" t="str">
        <f ca="1">IF(S902=" "," ",X902/(1+'депозитный калькулятор'!$K$8)^(T902/IF('депозитный калькулятор'!$G$7="30/360",360,365)))</f>
        <v xml:space="preserve"> </v>
      </c>
      <c r="AA902" s="151"/>
      <c r="AB902" s="151"/>
      <c r="AC902" s="155"/>
      <c r="AD902" s="155"/>
    </row>
    <row r="903" spans="1:30" s="2" customFormat="1" ht="15.5" x14ac:dyDescent="0.35">
      <c r="A903" s="41" t="str">
        <f>IF(F903=" "," ",IF(OR('депозитный калькулятор'!$G$7="30/365",'депозитный калькулятор'!$G$7="30/360"),IF(AND(MONTH(F903)=2,DAY(F903)=DAY(EOMONTH(F903,0))),30-DAY(EOMONTH(F903,0)),IF(DAY(F903)=31,1," "))," "))</f>
        <v xml:space="preserve"> </v>
      </c>
      <c r="B903" s="130" t="str">
        <f t="shared" si="66"/>
        <v xml:space="preserve"> </v>
      </c>
      <c r="C903" s="130" t="str">
        <f>IF(OR(B903=0,B903=" ")," ",SUM($B$23:B903))</f>
        <v xml:space="preserve"> </v>
      </c>
      <c r="D903" s="62" t="str">
        <f>IF(D902=" "," ",IF(OR(F902='депозитный калькулятор'!$D$8,F902=" ")," ",D902+1))</f>
        <v xml:space="preserve"> </v>
      </c>
      <c r="E903" s="130" t="str">
        <f>IF(OR(F902='депозитный калькулятор'!$D$8,F902=" ")," ",IF(EOMONTH(F902,0)=F902,1,E902+1))</f>
        <v xml:space="preserve"> </v>
      </c>
      <c r="F903" s="64" t="str">
        <f>IF(F902=" "," ",IF(F902='депозитный калькулятор'!$D$8," ",F902+1))</f>
        <v xml:space="preserve"> </v>
      </c>
      <c r="G903" s="145" t="str">
        <f xml:space="preserve"> IF(F903&gt;'депозитный калькулятор'!$D$8," ",IF('депозитный калькулятор'!$G$13="есть",IF('депозитный калькулятор'!$G$14="есть",G902+IF(I902=" ",0,I902)-J903-K903+L903+M903-N903,G902+IF(I902=" ",0,I902)-J903-K903+M903-N903),IF('депозитный калькулятор'!$G$14="есть",G902-J903-K903+L903+M903-N903,G902-J903-K903+M903-N903)))</f>
        <v xml:space="preserve"> </v>
      </c>
      <c r="H903" s="133" t="str">
        <f>IF(F903&gt;'депозитный калькулятор'!$D$8," ",IF(AND(OR('депозитный калькулятор'!$G$7="30/365",'депозитный калькулятор'!$G$7="30/360"),AND(MONTH(F903)=2,EOMONTH(F903,0)=F903)),IF(DAY(F903)=28,3*G903*'депозитный калькулятор'!$G$8,2*G903*'депозитный калькулятор'!$G$8),IF(AND(OR('депозитный калькулятор'!$G$7="30/365",'депозитный калькулятор'!$G$7="30/360"),DAY(F903)=31)," ",IF(AND('депозитный калькулятор'!$G$7="факт/факт",MOD(YEAR(F903),4)=0),G903*'депозитный калькулятор'!$D$11/366,G903*'депозитный калькулятор'!$G$8))))</f>
        <v xml:space="preserve"> </v>
      </c>
      <c r="I903" s="134" t="str">
        <f ca="1">IF(F903=" "," ",IF('депозитный калькулятор'!$G$10="ежедневное",H903,IF(AND('депозитный калькулятор'!$G$10="еженедельное",WEEKDAY(F903,2)=7),SUM(OFFSET(H903,-6,0):H903),IF(AND('депозитный калькулятор'!$G$10="еженедельное",F903='депозитный калькулятор'!$D$8),SUM($H$23:H903)-SUM($I$23:I902),IF(AND('депозитный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недели",WEEKDAY(F903,2)=7),MIN(OFFSET(H903,-6,0):H903)*(COUNTIF(OFFSET(H903,-6,0):H903,"&gt;0")+SUMIF(OFFSET(A903,-WEEKDAY(F903,2),0):A903,"=2",OFFSET(A903,-WEEKDAY(F903,2),0):A903)),IF(AND('депозитный калькулятор'!$G$10="еженедельное, на минимальную сумму зафиксированную в течение недели",F903='депозитный калькулятор'!$D$8,WEEKDAY(F903,2)&lt;&gt;7),MIN(OFFSET(H903,-WEEKDAY(F903,2),0):H903)*(COUNTIF(OFFSET(H903,-WEEKDAY(F903,2)+1,0):H903,"&gt;0")+SUM(OFFSET(A903,-WEEKDAY(F903,2),0):A903)),IF(AND('депозитный калькулятор'!$G$10="ежемесячное (в конце месяца)",F903='депозитный калькулятор'!$D$8,EOMONTH(F903,0)&lt;&gt;F903),IF('депозитный калькулятор'!$F$1=1,$H$24,SUM($H$23:H903)-SUM($I$23:I902)),IF(AND('депозитный калькулятор'!$G$10="ежемесячное (в конце месяца)",EOMONTH(F903,0)=F903),SUM($H$23:H903)-SUM($I$23:I902),IF(AND('депозитный калькулятор'!$G$10="ежемесячное (по дням открытия вклада)",F903='депозитный калькулятор'!$D$8,DAY('депозитный калькулятор'!$D$7)&lt;&gt;DAY(F903)),IF('депозитный калькулятор'!$F$1=1,$H$24,SUM($H$23:H903)-SUM($I$23:I902)),IF(AND('депозитный калькулятор'!$G$10="ежемесячное (по дням открытия вклада)",DAY('депозитный калькулятор'!$D$7)=DAY(F903)),SUM($H$23:H903)-SUM($I$23:I902),IF(AND('депозитный калькулятор'!$G$10="ежемесячное, на минимальную сумму зафиксированную в течение месяца",F903='депозитный калькулятор'!$D$8,EOMONTH(F903,0)&lt;&gt;F903),IF('депозитный калькулятор'!$F$1=1,$H$24,IF(AND(OR('депозитный калькулятор'!$G$7="30/365",'депозитный калькулятор'!$G$7="30/360"),DAY(F903)=31),0,MIN(OFFSET(H903,-E903+1,0):H903)*(E903+SUMIF(OFFSET(A903,-E903+1,0):A903,"=2",OFFSET(A903,-E903+1,0):A903)))),IF(AND('депозитный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калькулятор'!$G$7="30/360"),DAY(EOMONTH(F903,0))=31),EOMONTH(F903,0)-1=F903,EOMONTH(F903,0)=F903)),IF(IF(AND(OR('депозитный калькулятор'!$G$7="30/365",'депозитный калькулятор'!$G$7="30/360"),DAY(EOMONTH($F$23,0))=31),F903=EOMONTH($F$23,0)-1,F903=EOMONTH($F$23,0)),MIN(OFFSET(H903,-(DAY(F903)-DAY($F$23)),0):H903)*E903,MIN(OFFSET(H903,-(DAY(F903)-1),0):H903)*IF(AND(OR('депозитный калькулятор'!$G$7="30/365",'депозитный калькулятор'!$G$7="30/360"),DAY(F903)&lt;30),30,DAY(F903))),IF(AND('депозитный калькулятор'!$G$10="ежемесячное, на средний остаток в течение месяца, при условии что остаток больше чем ограничение",F903='депозитный калькулятор'!$D$8,EOMONTH(F903,0)&lt;&gt;F903),IF('депозитный калькулятор'!$F$1=1,$H$24,SUM(OFFSET(Q903,-E903+1,0):Q903)),IF(AND('депозитный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калькулятор'!$G$7="30/360"),DAY(EOMONTH(F903,0))=31),EOMONTH(F903,0)-1=F903,EOMONTH(F903,0)=F903)),IF(IF(AND(OR('депозитный калькулятор'!$G$7="30/365",'депозитный калькулятор'!$G$7="30/360"),DAY(EOMONTH($F$24,0))=31),F903=EOMONTH($F$24,0)-1,F903=EOMONTH($F$24,0)),SUM(OFFSET(Q903,-E903+1,0):Q903),SUM(OFFSET(Q903,-E903+1,0):Q903)),IF('депозитный калькулятор'!$G$10="ежеквартальное",IF(F903&gt;'депозитный калькулятор'!$D$8," ",IF(AND(EOMONTH(F903,0)=F903,OR(MONTH(F903)=3,MONTH(F903)=6,MONTH(F903)=9,MONTH(F903)=12)),IF(EDATE(F903,-3)&lt;'депозитный калькулятор'!$D$7,SUM($H$23:H903),IF(MOD(YEAR(F903),4)=0,IF(AND(EOMONTH(F903,0)=F903,OR(MONTH(F903)=3,MONTH(F903)=6)),SUM(OFFSET(H903,-90,0):H903),IF(AND(EOMONTH(F903,0)=F903,OR(MONTH(F903)=9,MONTH(F903)=12)),SUM(OFFSET(H903,-91,0):H903))),IF(AND(EOMONTH(F903,0)=F903,MONTH(F903)=3),SUM(OFFSET(H903,-89,0):H903),IF(AND(EOMONTH(F903,0)=F903,MONTH(F903)=6),SUM(OFFSET(H903,-90,0):H903),IF(AND(EOMONTH(F903,0)=F903,OR(MONTH(F903)=9,MONTH(F903)=12)),SUM(OFFSET(H903,-91,0):H903)))))),IF(F903='депозитный калькулятор'!$D$8,SUM($H$23:H903)-SUM($I$23:I902),0))),IF('депозитный калькулятор'!$G$10="ежегодное",IF(F903&gt;'депозитный калькулятор'!$D$8," ",IF(F903='депозитный калькулятор'!$D$8,SUM($H$23:H903)-SUM($I$23:I902),IF(AND(EOMONTH(F903,0)=F903,MONTH(F903)=12),IF(MOD(YEAR(F902),4)=0,IF(F903-'депозитный калькулятор'!$D$7&lt;366,SUM($H$23:H903),SUM(OFFSET(H903,-365,0):H903)),IF(F903-'депозитный калькулятор'!$D$7&lt;365,SUM($H$23:H903),SUM(OFFSET(H903,-364,0):H903))),0))),IF(AND('депозитный калькулятор'!$G$10="в конце срока",'депозитный калькулятор'!$D$8=F903),SUM($H$23:H903),0))))))))))))))))))</f>
        <v xml:space="preserve"> </v>
      </c>
      <c r="J903" s="59" t="str">
        <f>IF(F903&gt;'депозитный калькулятор'!$D$8," ",IF('депозитный калькулятор'!$G$16="нет",0,IF(AND('депозитный калькулятор'!$G$17="разовая (в конце срока)",F903='депозитный калькулятор'!$D$8),'депозитный калькулятор'!$G$18,IF(AND('депозитный калькулятор'!$G$17="ежемесячная",EOMONTH(F902,0)=F902),'депозитный калькулятор'!$G$18,IF(AND('депозитный калькулятор'!$G$17="ежегодная",DAY(F902)=31,MONTH(F902)=12),'депозитный калькулятор'!$G$18,IF(AND('депозитный калькулятор'!$G$17="ежемесячная в зависимости от остатка",EOMONTH(F902,0)=F902,P902&gt;0),'депозитный калькулятор'!$G$18,IF(AND('депозитный калькулятор'!$G$17="ежегодная в зависимости от остатка",DAY(F902)=31,MONTH(F902)=12,P902&gt;0),'депозитный калькулятор'!$G$18,0)))))))</f>
        <v xml:space="preserve"> </v>
      </c>
      <c r="K903" s="135" t="str">
        <f>IF($F903=" "," ",IFERROR(VLOOKUP($F903,'депозитный калькулятор'!$B$26:$F$70,2,0),0))</f>
        <v xml:space="preserve"> </v>
      </c>
      <c r="L903" s="135" t="str">
        <f>IF($F903=" "," ",IFERROR(VLOOKUP($F903,'депозитный калькулятор'!$B$26:$F$70,3,0),0))</f>
        <v xml:space="preserve"> </v>
      </c>
      <c r="M903" s="135" t="str">
        <f>IF($F903=" "," ",IFERROR(VLOOKUP($F903,'депозитный калькулятор'!$B$26:$F$70,4,0),0))</f>
        <v xml:space="preserve"> </v>
      </c>
      <c r="N903" s="135" t="str">
        <f>IF($F903=" "," ",IFERROR(VLOOKUP($F903,'депозитный калькулятор'!$B$26:$F$70,5,0),0))</f>
        <v xml:space="preserve"> </v>
      </c>
      <c r="O903" s="146" t="str">
        <f>IF(F903&gt;'депозитный калькулятор'!$D$8," ",IF(F903='депозитный калькулятор'!$D$8,IF(AND($F$24='депозитный калькулятор'!$D$8,'депозитный калькулятор'!$G$13="нет"),-G903-IF(I903=" ",0,I903)-IF(AND(OR('депозитный калькулятор'!$G$7="30/365",'депозитный калькулятор'!$G$7="30/360"),'депозитный калькулятор'!$G$10="в начале срока"),I902,0)-L903+M903-N903,-G903-IF(I903=" ",0,I903)-L903+M903-N903),IF('депозитный калькулятор'!$G$13="есть",M903-N903+IF('депозитный калькулятор'!$G$14="есть",0,-L903),-IF(I903=" ",0,I903)-IF(AND(OR('депозитный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срока"),I902,0)+M903-N903+IF('депозитный калькулятор'!$G$14="есть",0,-L903))))</f>
        <v xml:space="preserve"> </v>
      </c>
      <c r="P903" s="147" t="str">
        <f>IF(F903&gt;'депозитный калькулятор'!$D$8," ",IF(EOMONTH(F902,0)=F902,0,IF(G903&gt;='депозитный калькулятор'!$G$19,P902,P902+1)))</f>
        <v xml:space="preserve"> </v>
      </c>
      <c r="Q903" s="138" t="str">
        <f>IF(F903=" "," ",IF(AND(OR('депозитный калькулятор'!$G$7="30/365",'депозитный калькулятор'!$G$7="30/360"),AND(MONTH(F903)=2,EOMONTH(F903,0)=F903)),IF(DAY(F903)=28,3,2),1)*IF(G903&gt;='депозитный калькулятор'!$G$11,IF(AND('депозитный калькулятор'!$G$7="факт/факт",MOD(YEAR(F903),4)=0),G903*'депозитный калькулятор'!$D$11/366,G903*'депозитный калькулятор'!$G$8),0))</f>
        <v xml:space="preserve"> </v>
      </c>
      <c r="S903" s="62" t="str">
        <f t="shared" ca="1" si="67"/>
        <v xml:space="preserve"> </v>
      </c>
      <c r="T903" s="149" t="str">
        <f ca="1">IF(S903=" "," ",IF('депозитный калькулятор'!$G$7="30/360",DAYS360(U902,IF(DAY(U903)=31,U903-1,U903))+IF(AND(MONTH(U903)=2,U903=EOMONTH(U903,0)),30-DAY(EOMONTH(U903,0)))+T902,VLOOKUP(S903,$C$22:$F$1023,2,0)))</f>
        <v xml:space="preserve"> </v>
      </c>
      <c r="U903" s="64" t="str">
        <f t="shared" ca="1" si="65"/>
        <v xml:space="preserve"> </v>
      </c>
      <c r="V903" s="150" t="str">
        <f t="shared" ca="1" si="68"/>
        <v xml:space="preserve"> </v>
      </c>
      <c r="W903" s="62" t="str">
        <f t="shared" ca="1" si="69"/>
        <v xml:space="preserve"> </v>
      </c>
      <c r="X903" s="141" t="str">
        <f ca="1">IF(S903=" "," ",IFERROR(VLOOKUP(U903,$F$23:$N$1023,7)+VLOOKUP(U903,$F$23:$N$1023,9)+IF(AND('депозитный калькулятор'!$G$13="нет",U903&lt;&gt;'депозитный калькулятор'!$D$8),VLOOKUP(U903,$F$23:$N$1023,4),0),0)+IF(U903='депозитный калькулятор'!$D$8,VLOOKUP(U903,$F$23:$N$1023,2)+VLOOKUP(U903,$F$23:$N$1023,4),0))</f>
        <v xml:space="preserve"> </v>
      </c>
      <c r="Y903" s="142" t="str">
        <f ca="1">IF(S903=" "," ",W903/(1+'депозитный калькулятор'!$K$8)^(T903/IF('депозитный калькулятор'!$G$7="30/360",360,365)))</f>
        <v xml:space="preserve"> </v>
      </c>
      <c r="Z903" s="142" t="str">
        <f ca="1">IF(S903=" "," ",X903/(1+'депозитный калькулятор'!$K$8)^(T903/IF('депозитный калькулятор'!$G$7="30/360",360,365)))</f>
        <v xml:space="preserve"> </v>
      </c>
      <c r="AA903" s="151"/>
      <c r="AB903" s="151"/>
      <c r="AC903" s="155"/>
      <c r="AD903" s="155"/>
    </row>
    <row r="904" spans="1:30" s="2" customFormat="1" ht="15.5" x14ac:dyDescent="0.35">
      <c r="A904" s="41" t="str">
        <f>IF(F904=" "," ",IF(OR('депозитный калькулятор'!$G$7="30/365",'депозитный калькулятор'!$G$7="30/360"),IF(AND(MONTH(F904)=2,DAY(F904)=DAY(EOMONTH(F904,0))),30-DAY(EOMONTH(F904,0)),IF(DAY(F904)=31,1," "))," "))</f>
        <v xml:space="preserve"> </v>
      </c>
      <c r="B904" s="130" t="str">
        <f t="shared" si="66"/>
        <v xml:space="preserve"> </v>
      </c>
      <c r="C904" s="130" t="str">
        <f>IF(OR(B904=0,B904=" ")," ",SUM($B$23:B904))</f>
        <v xml:space="preserve"> </v>
      </c>
      <c r="D904" s="62" t="str">
        <f>IF(D903=" "," ",IF(OR(F903='депозитный калькулятор'!$D$8,F903=" ")," ",D903+1))</f>
        <v xml:space="preserve"> </v>
      </c>
      <c r="E904" s="130" t="str">
        <f>IF(OR(F903='депозитный калькулятор'!$D$8,F903=" ")," ",IF(EOMONTH(F903,0)=F903,1,E903+1))</f>
        <v xml:space="preserve"> </v>
      </c>
      <c r="F904" s="64" t="str">
        <f>IF(F903=" "," ",IF(F903='депозитный калькулятор'!$D$8," ",F903+1))</f>
        <v xml:space="preserve"> </v>
      </c>
      <c r="G904" s="145" t="str">
        <f xml:space="preserve"> IF(F904&gt;'депозитный калькулятор'!$D$8," ",IF('депозитный калькулятор'!$G$13="есть",IF('депозитный калькулятор'!$G$14="есть",G903+IF(I903=" ",0,I903)-J904-K904+L904+M904-N904,G903+IF(I903=" ",0,I903)-J904-K904+M904-N904),IF('депозитный калькулятор'!$G$14="есть",G903-J904-K904+L904+M904-N904,G903-J904-K904+M904-N904)))</f>
        <v xml:space="preserve"> </v>
      </c>
      <c r="H904" s="133" t="str">
        <f>IF(F904&gt;'депозитный калькулятор'!$D$8," ",IF(AND(OR('депозитный калькулятор'!$G$7="30/365",'депозитный калькулятор'!$G$7="30/360"),AND(MONTH(F904)=2,EOMONTH(F904,0)=F904)),IF(DAY(F904)=28,3*G904*'депозитный калькулятор'!$G$8,2*G904*'депозитный калькулятор'!$G$8),IF(AND(OR('депозитный калькулятор'!$G$7="30/365",'депозитный калькулятор'!$G$7="30/360"),DAY(F904)=31)," ",IF(AND('депозитный калькулятор'!$G$7="факт/факт",MOD(YEAR(F904),4)=0),G904*'депозитный калькулятор'!$D$11/366,G904*'депозитный калькулятор'!$G$8))))</f>
        <v xml:space="preserve"> </v>
      </c>
      <c r="I904" s="134" t="str">
        <f ca="1">IF(F904=" "," ",IF('депозитный калькулятор'!$G$10="ежедневное",H904,IF(AND('депозитный калькулятор'!$G$10="еженедельное",WEEKDAY(F904,2)=7),SUM(OFFSET(H904,-6,0):H904),IF(AND('депозитный калькулятор'!$G$10="еженедельное",F904='депозитный калькулятор'!$D$8),SUM($H$23:H904)-SUM($I$23:I903),IF(AND('депозитный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недели",WEEKDAY(F904,2)=7),MIN(OFFSET(H904,-6,0):H904)*(COUNTIF(OFFSET(H904,-6,0):H904,"&gt;0")+SUMIF(OFFSET(A904,-WEEKDAY(F904,2),0):A904,"=2",OFFSET(A904,-WEEKDAY(F904,2),0):A904)),IF(AND('депозитный калькулятор'!$G$10="еженедельное, на минимальную сумму зафиксированную в течение недели",F904='депозитный калькулятор'!$D$8,WEEKDAY(F904,2)&lt;&gt;7),MIN(OFFSET(H904,-WEEKDAY(F904,2),0):H904)*(COUNTIF(OFFSET(H904,-WEEKDAY(F904,2)+1,0):H904,"&gt;0")+SUM(OFFSET(A904,-WEEKDAY(F904,2),0):A904)),IF(AND('депозитный калькулятор'!$G$10="ежемесячное (в конце месяца)",F904='депозитный калькулятор'!$D$8,EOMONTH(F904,0)&lt;&gt;F904),IF('депозитный калькулятор'!$F$1=1,$H$24,SUM($H$23:H904)-SUM($I$23:I903)),IF(AND('депозитный калькулятор'!$G$10="ежемесячное (в конце месяца)",EOMONTH(F904,0)=F904),SUM($H$23:H904)-SUM($I$23:I903),IF(AND('депозитный калькулятор'!$G$10="ежемесячное (по дням открытия вклада)",F904='депозитный калькулятор'!$D$8,DAY('депозитный калькулятор'!$D$7)&lt;&gt;DAY(F904)),IF('депозитный калькулятор'!$F$1=1,$H$24,SUM($H$23:H904)-SUM($I$23:I903)),IF(AND('депозитный калькулятор'!$G$10="ежемесячное (по дням открытия вклада)",DAY('депозитный калькулятор'!$D$7)=DAY(F904)),SUM($H$23:H904)-SUM($I$23:I903),IF(AND('депозитный калькулятор'!$G$10="ежемесячное, на минимальную сумму зафиксированную в течение месяца",F904='депозитный калькулятор'!$D$8,EOMONTH(F904,0)&lt;&gt;F904),IF('депозитный калькулятор'!$F$1=1,$H$24,IF(AND(OR('депозитный калькулятор'!$G$7="30/365",'депозитный калькулятор'!$G$7="30/360"),DAY(F904)=31),0,MIN(OFFSET(H904,-E904+1,0):H904)*(E904+SUMIF(OFFSET(A904,-E904+1,0):A904,"=2",OFFSET(A904,-E904+1,0):A904)))),IF(AND('депозитный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калькулятор'!$G$7="30/360"),DAY(EOMONTH(F904,0))=31),EOMONTH(F904,0)-1=F904,EOMONTH(F904,0)=F904)),IF(IF(AND(OR('депозитный калькулятор'!$G$7="30/365",'депозитный калькулятор'!$G$7="30/360"),DAY(EOMONTH($F$23,0))=31),F904=EOMONTH($F$23,0)-1,F904=EOMONTH($F$23,0)),MIN(OFFSET(H904,-(DAY(F904)-DAY($F$23)),0):H904)*E904,MIN(OFFSET(H904,-(DAY(F904)-1),0):H904)*IF(AND(OR('депозитный калькулятор'!$G$7="30/365",'депозитный калькулятор'!$G$7="30/360"),DAY(F904)&lt;30),30,DAY(F904))),IF(AND('депозитный калькулятор'!$G$10="ежемесячное, на средний остаток в течение месяца, при условии что остаток больше чем ограничение",F904='депозитный калькулятор'!$D$8,EOMONTH(F904,0)&lt;&gt;F904),IF('депозитный калькулятор'!$F$1=1,$H$24,SUM(OFFSET(Q904,-E904+1,0):Q904)),IF(AND('депозитный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калькулятор'!$G$7="30/360"),DAY(EOMONTH(F904,0))=31),EOMONTH(F904,0)-1=F904,EOMONTH(F904,0)=F904)),IF(IF(AND(OR('депозитный калькулятор'!$G$7="30/365",'депозитный калькулятор'!$G$7="30/360"),DAY(EOMONTH($F$24,0))=31),F904=EOMONTH($F$24,0)-1,F904=EOMONTH($F$24,0)),SUM(OFFSET(Q904,-E904+1,0):Q904),SUM(OFFSET(Q904,-E904+1,0):Q904)),IF('депозитный калькулятор'!$G$10="ежеквартальное",IF(F904&gt;'депозитный калькулятор'!$D$8," ",IF(AND(EOMONTH(F904,0)=F904,OR(MONTH(F904)=3,MONTH(F904)=6,MONTH(F904)=9,MONTH(F904)=12)),IF(EDATE(F904,-3)&lt;'депозитный калькулятор'!$D$7,SUM($H$23:H904),IF(MOD(YEAR(F904),4)=0,IF(AND(EOMONTH(F904,0)=F904,OR(MONTH(F904)=3,MONTH(F904)=6)),SUM(OFFSET(H904,-90,0):H904),IF(AND(EOMONTH(F904,0)=F904,OR(MONTH(F904)=9,MONTH(F904)=12)),SUM(OFFSET(H904,-91,0):H904))),IF(AND(EOMONTH(F904,0)=F904,MONTH(F904)=3),SUM(OFFSET(H904,-89,0):H904),IF(AND(EOMONTH(F904,0)=F904,MONTH(F904)=6),SUM(OFFSET(H904,-90,0):H904),IF(AND(EOMONTH(F904,0)=F904,OR(MONTH(F904)=9,MONTH(F904)=12)),SUM(OFFSET(H904,-91,0):H904)))))),IF(F904='депозитный калькулятор'!$D$8,SUM($H$23:H904)-SUM($I$23:I903),0))),IF('депозитный калькулятор'!$G$10="ежегодное",IF(F904&gt;'депозитный калькулятор'!$D$8," ",IF(F904='депозитный калькулятор'!$D$8,SUM($H$23:H904)-SUM($I$23:I903),IF(AND(EOMONTH(F904,0)=F904,MONTH(F904)=12),IF(MOD(YEAR(F903),4)=0,IF(F904-'депозитный калькулятор'!$D$7&lt;366,SUM($H$23:H904),SUM(OFFSET(H904,-365,0):H904)),IF(F904-'депозитный калькулятор'!$D$7&lt;365,SUM($H$23:H904),SUM(OFFSET(H904,-364,0):H904))),0))),IF(AND('депозитный калькулятор'!$G$10="в конце срока",'депозитный калькулятор'!$D$8=F904),SUM($H$23:H904),0))))))))))))))))))</f>
        <v xml:space="preserve"> </v>
      </c>
      <c r="J904" s="59" t="str">
        <f>IF(F904&gt;'депозитный калькулятор'!$D$8," ",IF('депозитный калькулятор'!$G$16="нет",0,IF(AND('депозитный калькулятор'!$G$17="разовая (в конце срока)",F904='депозитный калькулятор'!$D$8),'депозитный калькулятор'!$G$18,IF(AND('депозитный калькулятор'!$G$17="ежемесячная",EOMONTH(F903,0)=F903),'депозитный калькулятор'!$G$18,IF(AND('депозитный калькулятор'!$G$17="ежегодная",DAY(F903)=31,MONTH(F903)=12),'депозитный калькулятор'!$G$18,IF(AND('депозитный калькулятор'!$G$17="ежемесячная в зависимости от остатка",EOMONTH(F903,0)=F903,P903&gt;0),'депозитный калькулятор'!$G$18,IF(AND('депозитный калькулятор'!$G$17="ежегодная в зависимости от остатка",DAY(F903)=31,MONTH(F903)=12,P903&gt;0),'депозитный калькулятор'!$G$18,0)))))))</f>
        <v xml:space="preserve"> </v>
      </c>
      <c r="K904" s="135" t="str">
        <f>IF($F904=" "," ",IFERROR(VLOOKUP($F904,'депозитный калькулятор'!$B$26:$F$70,2,0),0))</f>
        <v xml:space="preserve"> </v>
      </c>
      <c r="L904" s="135" t="str">
        <f>IF($F904=" "," ",IFERROR(VLOOKUP($F904,'депозитный калькулятор'!$B$26:$F$70,3,0),0))</f>
        <v xml:space="preserve"> </v>
      </c>
      <c r="M904" s="135" t="str">
        <f>IF($F904=" "," ",IFERROR(VLOOKUP($F904,'депозитный калькулятор'!$B$26:$F$70,4,0),0))</f>
        <v xml:space="preserve"> </v>
      </c>
      <c r="N904" s="135" t="str">
        <f>IF($F904=" "," ",IFERROR(VLOOKUP($F904,'депозитный калькулятор'!$B$26:$F$70,5,0),0))</f>
        <v xml:space="preserve"> </v>
      </c>
      <c r="O904" s="146" t="str">
        <f>IF(F904&gt;'депозитный калькулятор'!$D$8," ",IF(F904='депозитный калькулятор'!$D$8,IF(AND($F$24='депозитный калькулятор'!$D$8,'депозитный калькулятор'!$G$13="нет"),-G904-IF(I904=" ",0,I904)-IF(AND(OR('депозитный калькулятор'!$G$7="30/365",'депозитный калькулятор'!$G$7="30/360"),'депозитный калькулятор'!$G$10="в начале срока"),I903,0)-L904+M904-N904,-G904-IF(I904=" ",0,I904)-L904+M904-N904),IF('депозитный калькулятор'!$G$13="есть",M904-N904+IF('депозитный калькулятор'!$G$14="есть",0,-L904),-IF(I904=" ",0,I904)-IF(AND(OR('депозитный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срока"),I903,0)+M904-N904+IF('депозитный калькулятор'!$G$14="есть",0,-L904))))</f>
        <v xml:space="preserve"> </v>
      </c>
      <c r="P904" s="147" t="str">
        <f>IF(F904&gt;'депозитный калькулятор'!$D$8," ",IF(EOMONTH(F903,0)=F903,0,IF(G904&gt;='депозитный калькулятор'!$G$19,P903,P903+1)))</f>
        <v xml:space="preserve"> </v>
      </c>
      <c r="Q904" s="138" t="str">
        <f>IF(F904=" "," ",IF(AND(OR('депозитный калькулятор'!$G$7="30/365",'депозитный калькулятор'!$G$7="30/360"),AND(MONTH(F904)=2,EOMONTH(F904,0)=F904)),IF(DAY(F904)=28,3,2),1)*IF(G904&gt;='депозитный калькулятор'!$G$11,IF(AND('депозитный калькулятор'!$G$7="факт/факт",MOD(YEAR(F904),4)=0),G904*'депозитный калькулятор'!$D$11/366,G904*'депозитный калькулятор'!$G$8),0))</f>
        <v xml:space="preserve"> </v>
      </c>
      <c r="S904" s="62" t="str">
        <f t="shared" ca="1" si="67"/>
        <v xml:space="preserve"> </v>
      </c>
      <c r="T904" s="149" t="str">
        <f ca="1">IF(S904=" "," ",IF('депозитный калькулятор'!$G$7="30/360",DAYS360(U903,IF(DAY(U904)=31,U904-1,U904))+IF(AND(MONTH(U904)=2,U904=EOMONTH(U904,0)),30-DAY(EOMONTH(U904,0)))+T903,VLOOKUP(S904,$C$22:$F$1023,2,0)))</f>
        <v xml:space="preserve"> </v>
      </c>
      <c r="U904" s="64" t="str">
        <f t="shared" ca="1" si="65"/>
        <v xml:space="preserve"> </v>
      </c>
      <c r="V904" s="150" t="str">
        <f t="shared" ca="1" si="68"/>
        <v xml:space="preserve"> </v>
      </c>
      <c r="W904" s="62" t="str">
        <f t="shared" ca="1" si="69"/>
        <v xml:space="preserve"> </v>
      </c>
      <c r="X904" s="141" t="str">
        <f ca="1">IF(S904=" "," ",IFERROR(VLOOKUP(U904,$F$23:$N$1023,7)+VLOOKUP(U904,$F$23:$N$1023,9)+IF(AND('депозитный калькулятор'!$G$13="нет",U904&lt;&gt;'депозитный калькулятор'!$D$8),VLOOKUP(U904,$F$23:$N$1023,4),0),0)+IF(U904='депозитный калькулятор'!$D$8,VLOOKUP(U904,$F$23:$N$1023,2)+VLOOKUP(U904,$F$23:$N$1023,4),0))</f>
        <v xml:space="preserve"> </v>
      </c>
      <c r="Y904" s="142" t="str">
        <f ca="1">IF(S904=" "," ",W904/(1+'депозитный калькулятор'!$K$8)^(T904/IF('депозитный калькулятор'!$G$7="30/360",360,365)))</f>
        <v xml:space="preserve"> </v>
      </c>
      <c r="Z904" s="142" t="str">
        <f ca="1">IF(S904=" "," ",X904/(1+'депозитный калькулятор'!$K$8)^(T904/IF('депозитный калькулятор'!$G$7="30/360",360,365)))</f>
        <v xml:space="preserve"> </v>
      </c>
      <c r="AA904" s="151"/>
      <c r="AB904" s="151"/>
      <c r="AC904" s="155"/>
      <c r="AD904" s="155"/>
    </row>
    <row r="905" spans="1:30" s="2" customFormat="1" ht="15.5" x14ac:dyDescent="0.35">
      <c r="A905" s="41" t="str">
        <f>IF(F905=" "," ",IF(OR('депозитный калькулятор'!$G$7="30/365",'депозитный калькулятор'!$G$7="30/360"),IF(AND(MONTH(F905)=2,DAY(F905)=DAY(EOMONTH(F905,0))),30-DAY(EOMONTH(F905,0)),IF(DAY(F905)=31,1," "))," "))</f>
        <v xml:space="preserve"> </v>
      </c>
      <c r="B905" s="130" t="str">
        <f t="shared" si="66"/>
        <v xml:space="preserve"> </v>
      </c>
      <c r="C905" s="130" t="str">
        <f>IF(OR(B905=0,B905=" ")," ",SUM($B$23:B905))</f>
        <v xml:space="preserve"> </v>
      </c>
      <c r="D905" s="62" t="str">
        <f>IF(D904=" "," ",IF(OR(F904='депозитный калькулятор'!$D$8,F904=" ")," ",D904+1))</f>
        <v xml:space="preserve"> </v>
      </c>
      <c r="E905" s="130" t="str">
        <f>IF(OR(F904='депозитный калькулятор'!$D$8,F904=" ")," ",IF(EOMONTH(F904,0)=F904,1,E904+1))</f>
        <v xml:space="preserve"> </v>
      </c>
      <c r="F905" s="64" t="str">
        <f>IF(F904=" "," ",IF(F904='депозитный калькулятор'!$D$8," ",F904+1))</f>
        <v xml:space="preserve"> </v>
      </c>
      <c r="G905" s="145" t="str">
        <f xml:space="preserve"> IF(F905&gt;'депозитный калькулятор'!$D$8," ",IF('депозитный калькулятор'!$G$13="есть",IF('депозитный калькулятор'!$G$14="есть",G904+IF(I904=" ",0,I904)-J905-K905+L905+M905-N905,G904+IF(I904=" ",0,I904)-J905-K905+M905-N905),IF('депозитный калькулятор'!$G$14="есть",G904-J905-K905+L905+M905-N905,G904-J905-K905+M905-N905)))</f>
        <v xml:space="preserve"> </v>
      </c>
      <c r="H905" s="133" t="str">
        <f>IF(F905&gt;'депозитный калькулятор'!$D$8," ",IF(AND(OR('депозитный калькулятор'!$G$7="30/365",'депозитный калькулятор'!$G$7="30/360"),AND(MONTH(F905)=2,EOMONTH(F905,0)=F905)),IF(DAY(F905)=28,3*G905*'депозитный калькулятор'!$G$8,2*G905*'депозитный калькулятор'!$G$8),IF(AND(OR('депозитный калькулятор'!$G$7="30/365",'депозитный калькулятор'!$G$7="30/360"),DAY(F905)=31)," ",IF(AND('депозитный калькулятор'!$G$7="факт/факт",MOD(YEAR(F905),4)=0),G905*'депозитный калькулятор'!$D$11/366,G905*'депозитный калькулятор'!$G$8))))</f>
        <v xml:space="preserve"> </v>
      </c>
      <c r="I905" s="134" t="str">
        <f ca="1">IF(F905=" "," ",IF('депозитный калькулятор'!$G$10="ежедневное",H905,IF(AND('депозитный калькулятор'!$G$10="еженедельное",WEEKDAY(F905,2)=7),SUM(OFFSET(H905,-6,0):H905),IF(AND('депозитный калькулятор'!$G$10="еженедельное",F905='депозитный калькулятор'!$D$8),SUM($H$23:H905)-SUM($I$23:I904),IF(AND('депозитный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недели",WEEKDAY(F905,2)=7),MIN(OFFSET(H905,-6,0):H905)*(COUNTIF(OFFSET(H905,-6,0):H905,"&gt;0")+SUMIF(OFFSET(A905,-WEEKDAY(F905,2),0):A905,"=2",OFFSET(A905,-WEEKDAY(F905,2),0):A905)),IF(AND('депозитный калькулятор'!$G$10="еженедельное, на минимальную сумму зафиксированную в течение недели",F905='депозитный калькулятор'!$D$8,WEEKDAY(F905,2)&lt;&gt;7),MIN(OFFSET(H905,-WEEKDAY(F905,2),0):H905)*(COUNTIF(OFFSET(H905,-WEEKDAY(F905,2)+1,0):H905,"&gt;0")+SUM(OFFSET(A905,-WEEKDAY(F905,2),0):A905)),IF(AND('депозитный калькулятор'!$G$10="ежемесячное (в конце месяца)",F905='депозитный калькулятор'!$D$8,EOMONTH(F905,0)&lt;&gt;F905),IF('депозитный калькулятор'!$F$1=1,$H$24,SUM($H$23:H905)-SUM($I$23:I904)),IF(AND('депозитный калькулятор'!$G$10="ежемесячное (в конце месяца)",EOMONTH(F905,0)=F905),SUM($H$23:H905)-SUM($I$23:I904),IF(AND('депозитный калькулятор'!$G$10="ежемесячное (по дням открытия вклада)",F905='депозитный калькулятор'!$D$8,DAY('депозитный калькулятор'!$D$7)&lt;&gt;DAY(F905)),IF('депозитный калькулятор'!$F$1=1,$H$24,SUM($H$23:H905)-SUM($I$23:I904)),IF(AND('депозитный калькулятор'!$G$10="ежемесячное (по дням открытия вклада)",DAY('депозитный калькулятор'!$D$7)=DAY(F905)),SUM($H$23:H905)-SUM($I$23:I904),IF(AND('депозитный калькулятор'!$G$10="ежемесячное, на минимальную сумму зафиксированную в течение месяца",F905='депозитный калькулятор'!$D$8,EOMONTH(F905,0)&lt;&gt;F905),IF('депозитный калькулятор'!$F$1=1,$H$24,IF(AND(OR('депозитный калькулятор'!$G$7="30/365",'депозитный калькулятор'!$G$7="30/360"),DAY(F905)=31),0,MIN(OFFSET(H905,-E905+1,0):H905)*(E905+SUMIF(OFFSET(A905,-E905+1,0):A905,"=2",OFFSET(A905,-E905+1,0):A905)))),IF(AND('депозитный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калькулятор'!$G$7="30/360"),DAY(EOMONTH(F905,0))=31),EOMONTH(F905,0)-1=F905,EOMONTH(F905,0)=F905)),IF(IF(AND(OR('депозитный калькулятор'!$G$7="30/365",'депозитный калькулятор'!$G$7="30/360"),DAY(EOMONTH($F$23,0))=31),F905=EOMONTH($F$23,0)-1,F905=EOMONTH($F$23,0)),MIN(OFFSET(H905,-(DAY(F905)-DAY($F$23)),0):H905)*E905,MIN(OFFSET(H905,-(DAY(F905)-1),0):H905)*IF(AND(OR('депозитный калькулятор'!$G$7="30/365",'депозитный калькулятор'!$G$7="30/360"),DAY(F905)&lt;30),30,DAY(F905))),IF(AND('депозитный калькулятор'!$G$10="ежемесячное, на средний остаток в течение месяца, при условии что остаток больше чем ограничение",F905='депозитный калькулятор'!$D$8,EOMONTH(F905,0)&lt;&gt;F905),IF('депозитный калькулятор'!$F$1=1,$H$24,SUM(OFFSET(Q905,-E905+1,0):Q905)),IF(AND('депозитный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калькулятор'!$G$7="30/360"),DAY(EOMONTH(F905,0))=31),EOMONTH(F905,0)-1=F905,EOMONTH(F905,0)=F905)),IF(IF(AND(OR('депозитный калькулятор'!$G$7="30/365",'депозитный калькулятор'!$G$7="30/360"),DAY(EOMONTH($F$24,0))=31),F905=EOMONTH($F$24,0)-1,F905=EOMONTH($F$24,0)),SUM(OFFSET(Q905,-E905+1,0):Q905),SUM(OFFSET(Q905,-E905+1,0):Q905)),IF('депозитный калькулятор'!$G$10="ежеквартальное",IF(F905&gt;'депозитный калькулятор'!$D$8," ",IF(AND(EOMONTH(F905,0)=F905,OR(MONTH(F905)=3,MONTH(F905)=6,MONTH(F905)=9,MONTH(F905)=12)),IF(EDATE(F905,-3)&lt;'депозитный калькулятор'!$D$7,SUM($H$23:H905),IF(MOD(YEAR(F905),4)=0,IF(AND(EOMONTH(F905,0)=F905,OR(MONTH(F905)=3,MONTH(F905)=6)),SUM(OFFSET(H905,-90,0):H905),IF(AND(EOMONTH(F905,0)=F905,OR(MONTH(F905)=9,MONTH(F905)=12)),SUM(OFFSET(H905,-91,0):H905))),IF(AND(EOMONTH(F905,0)=F905,MONTH(F905)=3),SUM(OFFSET(H905,-89,0):H905),IF(AND(EOMONTH(F905,0)=F905,MONTH(F905)=6),SUM(OFFSET(H905,-90,0):H905),IF(AND(EOMONTH(F905,0)=F905,OR(MONTH(F905)=9,MONTH(F905)=12)),SUM(OFFSET(H905,-91,0):H905)))))),IF(F905='депозитный калькулятор'!$D$8,SUM($H$23:H905)-SUM($I$23:I904),0))),IF('депозитный калькулятор'!$G$10="ежегодное",IF(F905&gt;'депозитный калькулятор'!$D$8," ",IF(F905='депозитный калькулятор'!$D$8,SUM($H$23:H905)-SUM($I$23:I904),IF(AND(EOMONTH(F905,0)=F905,MONTH(F905)=12),IF(MOD(YEAR(F904),4)=0,IF(F905-'депозитный калькулятор'!$D$7&lt;366,SUM($H$23:H905),SUM(OFFSET(H905,-365,0):H905)),IF(F905-'депозитный калькулятор'!$D$7&lt;365,SUM($H$23:H905),SUM(OFFSET(H905,-364,0):H905))),0))),IF(AND('депозитный калькулятор'!$G$10="в конце срока",'депозитный калькулятор'!$D$8=F905),SUM($H$23:H905),0))))))))))))))))))</f>
        <v xml:space="preserve"> </v>
      </c>
      <c r="J905" s="59" t="str">
        <f>IF(F905&gt;'депозитный калькулятор'!$D$8," ",IF('депозитный калькулятор'!$G$16="нет",0,IF(AND('депозитный калькулятор'!$G$17="разовая (в конце срока)",F905='депозитный калькулятор'!$D$8),'депозитный калькулятор'!$G$18,IF(AND('депозитный калькулятор'!$G$17="ежемесячная",EOMONTH(F904,0)=F904),'депозитный калькулятор'!$G$18,IF(AND('депозитный калькулятор'!$G$17="ежегодная",DAY(F904)=31,MONTH(F904)=12),'депозитный калькулятор'!$G$18,IF(AND('депозитный калькулятор'!$G$17="ежемесячная в зависимости от остатка",EOMONTH(F904,0)=F904,P904&gt;0),'депозитный калькулятор'!$G$18,IF(AND('депозитный калькулятор'!$G$17="ежегодная в зависимости от остатка",DAY(F904)=31,MONTH(F904)=12,P904&gt;0),'депозитный калькулятор'!$G$18,0)))))))</f>
        <v xml:space="preserve"> </v>
      </c>
      <c r="K905" s="135" t="str">
        <f>IF($F905=" "," ",IFERROR(VLOOKUP($F905,'депозитный калькулятор'!$B$26:$F$70,2,0),0))</f>
        <v xml:space="preserve"> </v>
      </c>
      <c r="L905" s="135" t="str">
        <f>IF($F905=" "," ",IFERROR(VLOOKUP($F905,'депозитный калькулятор'!$B$26:$F$70,3,0),0))</f>
        <v xml:space="preserve"> </v>
      </c>
      <c r="M905" s="135" t="str">
        <f>IF($F905=" "," ",IFERROR(VLOOKUP($F905,'депозитный калькулятор'!$B$26:$F$70,4,0),0))</f>
        <v xml:space="preserve"> </v>
      </c>
      <c r="N905" s="135" t="str">
        <f>IF($F905=" "," ",IFERROR(VLOOKUP($F905,'депозитный калькулятор'!$B$26:$F$70,5,0),0))</f>
        <v xml:space="preserve"> </v>
      </c>
      <c r="O905" s="146" t="str">
        <f>IF(F905&gt;'депозитный калькулятор'!$D$8," ",IF(F905='депозитный калькулятор'!$D$8,IF(AND($F$24='депозитный калькулятор'!$D$8,'депозитный калькулятор'!$G$13="нет"),-G905-IF(I905=" ",0,I905)-IF(AND(OR('депозитный калькулятор'!$G$7="30/365",'депозитный калькулятор'!$G$7="30/360"),'депозитный калькулятор'!$G$10="в начале срока"),I904,0)-L905+M905-N905,-G905-IF(I905=" ",0,I905)-L905+M905-N905),IF('депозитный калькулятор'!$G$13="есть",M905-N905+IF('депозитный калькулятор'!$G$14="есть",0,-L905),-IF(I905=" ",0,I905)-IF(AND(OR('депозитный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срока"),I904,0)+M905-N905+IF('депозитный калькулятор'!$G$14="есть",0,-L905))))</f>
        <v xml:space="preserve"> </v>
      </c>
      <c r="P905" s="147" t="str">
        <f>IF(F905&gt;'депозитный калькулятор'!$D$8," ",IF(EOMONTH(F904,0)=F904,0,IF(G905&gt;='депозитный калькулятор'!$G$19,P904,P904+1)))</f>
        <v xml:space="preserve"> </v>
      </c>
      <c r="Q905" s="138" t="str">
        <f>IF(F905=" "," ",IF(AND(OR('депозитный калькулятор'!$G$7="30/365",'депозитный калькулятор'!$G$7="30/360"),AND(MONTH(F905)=2,EOMONTH(F905,0)=F905)),IF(DAY(F905)=28,3,2),1)*IF(G905&gt;='депозитный калькулятор'!$G$11,IF(AND('депозитный калькулятор'!$G$7="факт/факт",MOD(YEAR(F905),4)=0),G905*'депозитный калькулятор'!$D$11/366,G905*'депозитный калькулятор'!$G$8),0))</f>
        <v xml:space="preserve"> </v>
      </c>
      <c r="S905" s="62" t="str">
        <f t="shared" ca="1" si="67"/>
        <v xml:space="preserve"> </v>
      </c>
      <c r="T905" s="149" t="str">
        <f ca="1">IF(S905=" "," ",IF('депозитный калькулятор'!$G$7="30/360",DAYS360(U904,IF(DAY(U905)=31,U905-1,U905))+IF(AND(MONTH(U905)=2,U905=EOMONTH(U905,0)),30-DAY(EOMONTH(U905,0)))+T904,VLOOKUP(S905,$C$22:$F$1023,2,0)))</f>
        <v xml:space="preserve"> </v>
      </c>
      <c r="U905" s="64" t="str">
        <f t="shared" ca="1" si="65"/>
        <v xml:space="preserve"> </v>
      </c>
      <c r="V905" s="150" t="str">
        <f t="shared" ca="1" si="68"/>
        <v xml:space="preserve"> </v>
      </c>
      <c r="W905" s="62" t="str">
        <f t="shared" ca="1" si="69"/>
        <v xml:space="preserve"> </v>
      </c>
      <c r="X905" s="141" t="str">
        <f ca="1">IF(S905=" "," ",IFERROR(VLOOKUP(U905,$F$23:$N$1023,7)+VLOOKUP(U905,$F$23:$N$1023,9)+IF(AND('депозитный калькулятор'!$G$13="нет",U905&lt;&gt;'депозитный калькулятор'!$D$8),VLOOKUP(U905,$F$23:$N$1023,4),0),0)+IF(U905='депозитный калькулятор'!$D$8,VLOOKUP(U905,$F$23:$N$1023,2)+VLOOKUP(U905,$F$23:$N$1023,4),0))</f>
        <v xml:space="preserve"> </v>
      </c>
      <c r="Y905" s="142" t="str">
        <f ca="1">IF(S905=" "," ",W905/(1+'депозитный калькулятор'!$K$8)^(T905/IF('депозитный калькулятор'!$G$7="30/360",360,365)))</f>
        <v xml:space="preserve"> </v>
      </c>
      <c r="Z905" s="142" t="str">
        <f ca="1">IF(S905=" "," ",X905/(1+'депозитный калькулятор'!$K$8)^(T905/IF('депозитный калькулятор'!$G$7="30/360",360,365)))</f>
        <v xml:space="preserve"> </v>
      </c>
      <c r="AA905" s="151"/>
      <c r="AB905" s="151"/>
      <c r="AC905" s="155"/>
      <c r="AD905" s="155"/>
    </row>
    <row r="906" spans="1:30" s="2" customFormat="1" ht="15.5" x14ac:dyDescent="0.35">
      <c r="A906" s="41" t="str">
        <f>IF(F906=" "," ",IF(OR('депозитный калькулятор'!$G$7="30/365",'депозитный калькулятор'!$G$7="30/360"),IF(AND(MONTH(F906)=2,DAY(F906)=DAY(EOMONTH(F906,0))),30-DAY(EOMONTH(F906,0)),IF(DAY(F906)=31,1," "))," "))</f>
        <v xml:space="preserve"> </v>
      </c>
      <c r="B906" s="130" t="str">
        <f t="shared" si="66"/>
        <v xml:space="preserve"> </v>
      </c>
      <c r="C906" s="130" t="str">
        <f>IF(OR(B906=0,B906=" ")," ",SUM($B$23:B906))</f>
        <v xml:space="preserve"> </v>
      </c>
      <c r="D906" s="62" t="str">
        <f>IF(D905=" "," ",IF(OR(F905='депозитный калькулятор'!$D$8,F905=" ")," ",D905+1))</f>
        <v xml:space="preserve"> </v>
      </c>
      <c r="E906" s="130" t="str">
        <f>IF(OR(F905='депозитный калькулятор'!$D$8,F905=" ")," ",IF(EOMONTH(F905,0)=F905,1,E905+1))</f>
        <v xml:space="preserve"> </v>
      </c>
      <c r="F906" s="64" t="str">
        <f>IF(F905=" "," ",IF(F905='депозитный калькулятор'!$D$8," ",F905+1))</f>
        <v xml:space="preserve"> </v>
      </c>
      <c r="G906" s="145" t="str">
        <f xml:space="preserve"> IF(F906&gt;'депозитный калькулятор'!$D$8," ",IF('депозитный калькулятор'!$G$13="есть",IF('депозитный калькулятор'!$G$14="есть",G905+IF(I905=" ",0,I905)-J906-K906+L906+M906-N906,G905+IF(I905=" ",0,I905)-J906-K906+M906-N906),IF('депозитный калькулятор'!$G$14="есть",G905-J906-K906+L906+M906-N906,G905-J906-K906+M906-N906)))</f>
        <v xml:space="preserve"> </v>
      </c>
      <c r="H906" s="133" t="str">
        <f>IF(F906&gt;'депозитный калькулятор'!$D$8," ",IF(AND(OR('депозитный калькулятор'!$G$7="30/365",'депозитный калькулятор'!$G$7="30/360"),AND(MONTH(F906)=2,EOMONTH(F906,0)=F906)),IF(DAY(F906)=28,3*G906*'депозитный калькулятор'!$G$8,2*G906*'депозитный калькулятор'!$G$8),IF(AND(OR('депозитный калькулятор'!$G$7="30/365",'депозитный калькулятор'!$G$7="30/360"),DAY(F906)=31)," ",IF(AND('депозитный калькулятор'!$G$7="факт/факт",MOD(YEAR(F906),4)=0),G906*'депозитный калькулятор'!$D$11/366,G906*'депозитный калькулятор'!$G$8))))</f>
        <v xml:space="preserve"> </v>
      </c>
      <c r="I906" s="134" t="str">
        <f ca="1">IF(F906=" "," ",IF('депозитный калькулятор'!$G$10="ежедневное",H906,IF(AND('депозитный калькулятор'!$G$10="еженедельное",WEEKDAY(F906,2)=7),SUM(OFFSET(H906,-6,0):H906),IF(AND('депозитный калькулятор'!$G$10="еженедельное",F906='депозитный калькулятор'!$D$8),SUM($H$23:H906)-SUM($I$23:I905),IF(AND('депозитный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недели",WEEKDAY(F906,2)=7),MIN(OFFSET(H906,-6,0):H906)*(COUNTIF(OFFSET(H906,-6,0):H906,"&gt;0")+SUMIF(OFFSET(A906,-WEEKDAY(F906,2),0):A906,"=2",OFFSET(A906,-WEEKDAY(F906,2),0):A906)),IF(AND('депозитный калькулятор'!$G$10="еженедельное, на минимальную сумму зафиксированную в течение недели",F906='депозитный калькулятор'!$D$8,WEEKDAY(F906,2)&lt;&gt;7),MIN(OFFSET(H906,-WEEKDAY(F906,2),0):H906)*(COUNTIF(OFFSET(H906,-WEEKDAY(F906,2)+1,0):H906,"&gt;0")+SUM(OFFSET(A906,-WEEKDAY(F906,2),0):A906)),IF(AND('депозитный калькулятор'!$G$10="ежемесячное (в конце месяца)",F906='депозитный калькулятор'!$D$8,EOMONTH(F906,0)&lt;&gt;F906),IF('депозитный калькулятор'!$F$1=1,$H$24,SUM($H$23:H906)-SUM($I$23:I905)),IF(AND('депозитный калькулятор'!$G$10="ежемесячное (в конце месяца)",EOMONTH(F906,0)=F906),SUM($H$23:H906)-SUM($I$23:I905),IF(AND('депозитный калькулятор'!$G$10="ежемесячное (по дням открытия вклада)",F906='депозитный калькулятор'!$D$8,DAY('депозитный калькулятор'!$D$7)&lt;&gt;DAY(F906)),IF('депозитный калькулятор'!$F$1=1,$H$24,SUM($H$23:H906)-SUM($I$23:I905)),IF(AND('депозитный калькулятор'!$G$10="ежемесячное (по дням открытия вклада)",DAY('депозитный калькулятор'!$D$7)=DAY(F906)),SUM($H$23:H906)-SUM($I$23:I905),IF(AND('депозитный калькулятор'!$G$10="ежемесячное, на минимальную сумму зафиксированную в течение месяца",F906='депозитный калькулятор'!$D$8,EOMONTH(F906,0)&lt;&gt;F906),IF('депозитный калькулятор'!$F$1=1,$H$24,IF(AND(OR('депозитный калькулятор'!$G$7="30/365",'депозитный калькулятор'!$G$7="30/360"),DAY(F906)=31),0,MIN(OFFSET(H906,-E906+1,0):H906)*(E906+SUMIF(OFFSET(A906,-E906+1,0):A906,"=2",OFFSET(A906,-E906+1,0):A906)))),IF(AND('депозитный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калькулятор'!$G$7="30/360"),DAY(EOMONTH(F906,0))=31),EOMONTH(F906,0)-1=F906,EOMONTH(F906,0)=F906)),IF(IF(AND(OR('депозитный калькулятор'!$G$7="30/365",'депозитный калькулятор'!$G$7="30/360"),DAY(EOMONTH($F$23,0))=31),F906=EOMONTH($F$23,0)-1,F906=EOMONTH($F$23,0)),MIN(OFFSET(H906,-(DAY(F906)-DAY($F$23)),0):H906)*E906,MIN(OFFSET(H906,-(DAY(F906)-1),0):H906)*IF(AND(OR('депозитный калькулятор'!$G$7="30/365",'депозитный калькулятор'!$G$7="30/360"),DAY(F906)&lt;30),30,DAY(F906))),IF(AND('депозитный калькулятор'!$G$10="ежемесячное, на средний остаток в течение месяца, при условии что остаток больше чем ограничение",F906='депозитный калькулятор'!$D$8,EOMONTH(F906,0)&lt;&gt;F906),IF('депозитный калькулятор'!$F$1=1,$H$24,SUM(OFFSET(Q906,-E906+1,0):Q906)),IF(AND('депозитный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калькулятор'!$G$7="30/360"),DAY(EOMONTH(F906,0))=31),EOMONTH(F906,0)-1=F906,EOMONTH(F906,0)=F906)),IF(IF(AND(OR('депозитный калькулятор'!$G$7="30/365",'депозитный калькулятор'!$G$7="30/360"),DAY(EOMONTH($F$24,0))=31),F906=EOMONTH($F$24,0)-1,F906=EOMONTH($F$24,0)),SUM(OFFSET(Q906,-E906+1,0):Q906),SUM(OFFSET(Q906,-E906+1,0):Q906)),IF('депозитный калькулятор'!$G$10="ежеквартальное",IF(F906&gt;'депозитный калькулятор'!$D$8," ",IF(AND(EOMONTH(F906,0)=F906,OR(MONTH(F906)=3,MONTH(F906)=6,MONTH(F906)=9,MONTH(F906)=12)),IF(EDATE(F906,-3)&lt;'депозитный калькулятор'!$D$7,SUM($H$23:H906),IF(MOD(YEAR(F906),4)=0,IF(AND(EOMONTH(F906,0)=F906,OR(MONTH(F906)=3,MONTH(F906)=6)),SUM(OFFSET(H906,-90,0):H906),IF(AND(EOMONTH(F906,0)=F906,OR(MONTH(F906)=9,MONTH(F906)=12)),SUM(OFFSET(H906,-91,0):H906))),IF(AND(EOMONTH(F906,0)=F906,MONTH(F906)=3),SUM(OFFSET(H906,-89,0):H906),IF(AND(EOMONTH(F906,0)=F906,MONTH(F906)=6),SUM(OFFSET(H906,-90,0):H906),IF(AND(EOMONTH(F906,0)=F906,OR(MONTH(F906)=9,MONTH(F906)=12)),SUM(OFFSET(H906,-91,0):H906)))))),IF(F906='депозитный калькулятор'!$D$8,SUM($H$23:H906)-SUM($I$23:I905),0))),IF('депозитный калькулятор'!$G$10="ежегодное",IF(F906&gt;'депозитный калькулятор'!$D$8," ",IF(F906='депозитный калькулятор'!$D$8,SUM($H$23:H906)-SUM($I$23:I905),IF(AND(EOMONTH(F906,0)=F906,MONTH(F906)=12),IF(MOD(YEAR(F905),4)=0,IF(F906-'депозитный калькулятор'!$D$7&lt;366,SUM($H$23:H906),SUM(OFFSET(H906,-365,0):H906)),IF(F906-'депозитный калькулятор'!$D$7&lt;365,SUM($H$23:H906),SUM(OFFSET(H906,-364,0):H906))),0))),IF(AND('депозитный калькулятор'!$G$10="в конце срока",'депозитный калькулятор'!$D$8=F906),SUM($H$23:H906),0))))))))))))))))))</f>
        <v xml:space="preserve"> </v>
      </c>
      <c r="J906" s="59" t="str">
        <f>IF(F906&gt;'депозитный калькулятор'!$D$8," ",IF('депозитный калькулятор'!$G$16="нет",0,IF(AND('депозитный калькулятор'!$G$17="разовая (в конце срока)",F906='депозитный калькулятор'!$D$8),'депозитный калькулятор'!$G$18,IF(AND('депозитный калькулятор'!$G$17="ежемесячная",EOMONTH(F905,0)=F905),'депозитный калькулятор'!$G$18,IF(AND('депозитный калькулятор'!$G$17="ежегодная",DAY(F905)=31,MONTH(F905)=12),'депозитный калькулятор'!$G$18,IF(AND('депозитный калькулятор'!$G$17="ежемесячная в зависимости от остатка",EOMONTH(F905,0)=F905,P905&gt;0),'депозитный калькулятор'!$G$18,IF(AND('депозитный калькулятор'!$G$17="ежегодная в зависимости от остатка",DAY(F905)=31,MONTH(F905)=12,P905&gt;0),'депозитный калькулятор'!$G$18,0)))))))</f>
        <v xml:space="preserve"> </v>
      </c>
      <c r="K906" s="135" t="str">
        <f>IF($F906=" "," ",IFERROR(VLOOKUP($F906,'депозитный калькулятор'!$B$26:$F$70,2,0),0))</f>
        <v xml:space="preserve"> </v>
      </c>
      <c r="L906" s="135" t="str">
        <f>IF($F906=" "," ",IFERROR(VLOOKUP($F906,'депозитный калькулятор'!$B$26:$F$70,3,0),0))</f>
        <v xml:space="preserve"> </v>
      </c>
      <c r="M906" s="135" t="str">
        <f>IF($F906=" "," ",IFERROR(VLOOKUP($F906,'депозитный калькулятор'!$B$26:$F$70,4,0),0))</f>
        <v xml:space="preserve"> </v>
      </c>
      <c r="N906" s="135" t="str">
        <f>IF($F906=" "," ",IFERROR(VLOOKUP($F906,'депозитный калькулятор'!$B$26:$F$70,5,0),0))</f>
        <v xml:space="preserve"> </v>
      </c>
      <c r="O906" s="146" t="str">
        <f>IF(F906&gt;'депозитный калькулятор'!$D$8," ",IF(F906='депозитный калькулятор'!$D$8,IF(AND($F$24='депозитный калькулятор'!$D$8,'депозитный калькулятор'!$G$13="нет"),-G906-IF(I906=" ",0,I906)-IF(AND(OR('депозитный калькулятор'!$G$7="30/365",'депозитный калькулятор'!$G$7="30/360"),'депозитный калькулятор'!$G$10="в начале срока"),I905,0)-L906+M906-N906,-G906-IF(I906=" ",0,I906)-L906+M906-N906),IF('депозитный калькулятор'!$G$13="есть",M906-N906+IF('депозитный калькулятор'!$G$14="есть",0,-L906),-IF(I906=" ",0,I906)-IF(AND(OR('депозитный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срока"),I905,0)+M906-N906+IF('депозитный калькулятор'!$G$14="есть",0,-L906))))</f>
        <v xml:space="preserve"> </v>
      </c>
      <c r="P906" s="147" t="str">
        <f>IF(F906&gt;'депозитный калькулятор'!$D$8," ",IF(EOMONTH(F905,0)=F905,0,IF(G906&gt;='депозитный калькулятор'!$G$19,P905,P905+1)))</f>
        <v xml:space="preserve"> </v>
      </c>
      <c r="Q906" s="138" t="str">
        <f>IF(F906=" "," ",IF(AND(OR('депозитный калькулятор'!$G$7="30/365",'депозитный калькулятор'!$G$7="30/360"),AND(MONTH(F906)=2,EOMONTH(F906,0)=F906)),IF(DAY(F906)=28,3,2),1)*IF(G906&gt;='депозитный калькулятор'!$G$11,IF(AND('депозитный калькулятор'!$G$7="факт/факт",MOD(YEAR(F906),4)=0),G906*'депозитный калькулятор'!$D$11/366,G906*'депозитный калькулятор'!$G$8),0))</f>
        <v xml:space="preserve"> </v>
      </c>
      <c r="S906" s="62" t="str">
        <f t="shared" ca="1" si="67"/>
        <v xml:space="preserve"> </v>
      </c>
      <c r="T906" s="149" t="str">
        <f ca="1">IF(S906=" "," ",IF('депозитный калькулятор'!$G$7="30/360",DAYS360(U905,IF(DAY(U906)=31,U906-1,U906))+IF(AND(MONTH(U906)=2,U906=EOMONTH(U906,0)),30-DAY(EOMONTH(U906,0)))+T905,VLOOKUP(S906,$C$22:$F$1023,2,0)))</f>
        <v xml:space="preserve"> </v>
      </c>
      <c r="U906" s="64" t="str">
        <f t="shared" ca="1" si="65"/>
        <v xml:space="preserve"> </v>
      </c>
      <c r="V906" s="150" t="str">
        <f t="shared" ca="1" si="68"/>
        <v xml:space="preserve"> </v>
      </c>
      <c r="W906" s="62" t="str">
        <f t="shared" ca="1" si="69"/>
        <v xml:space="preserve"> </v>
      </c>
      <c r="X906" s="141" t="str">
        <f ca="1">IF(S906=" "," ",IFERROR(VLOOKUP(U906,$F$23:$N$1023,7)+VLOOKUP(U906,$F$23:$N$1023,9)+IF(AND('депозитный калькулятор'!$G$13="нет",U906&lt;&gt;'депозитный калькулятор'!$D$8),VLOOKUP(U906,$F$23:$N$1023,4),0),0)+IF(U906='депозитный калькулятор'!$D$8,VLOOKUP(U906,$F$23:$N$1023,2)+VLOOKUP(U906,$F$23:$N$1023,4),0))</f>
        <v xml:space="preserve"> </v>
      </c>
      <c r="Y906" s="142" t="str">
        <f ca="1">IF(S906=" "," ",W906/(1+'депозитный калькулятор'!$K$8)^(T906/IF('депозитный калькулятор'!$G$7="30/360",360,365)))</f>
        <v xml:space="preserve"> </v>
      </c>
      <c r="Z906" s="142" t="str">
        <f ca="1">IF(S906=" "," ",X906/(1+'депозитный калькулятор'!$K$8)^(T906/IF('депозитный калькулятор'!$G$7="30/360",360,365)))</f>
        <v xml:space="preserve"> </v>
      </c>
      <c r="AA906" s="151"/>
      <c r="AB906" s="151"/>
      <c r="AC906" s="155"/>
      <c r="AD906" s="155"/>
    </row>
    <row r="907" spans="1:30" s="2" customFormat="1" ht="15.5" x14ac:dyDescent="0.35">
      <c r="A907" s="41" t="str">
        <f>IF(F907=" "," ",IF(OR('депозитный калькулятор'!$G$7="30/365",'депозитный калькулятор'!$G$7="30/360"),IF(AND(MONTH(F907)=2,DAY(F907)=DAY(EOMONTH(F907,0))),30-DAY(EOMONTH(F907,0)),IF(DAY(F907)=31,1," "))," "))</f>
        <v xml:space="preserve"> </v>
      </c>
      <c r="B907" s="130" t="str">
        <f t="shared" si="66"/>
        <v xml:space="preserve"> </v>
      </c>
      <c r="C907" s="130" t="str">
        <f>IF(OR(B907=0,B907=" ")," ",SUM($B$23:B907))</f>
        <v xml:space="preserve"> </v>
      </c>
      <c r="D907" s="62" t="str">
        <f>IF(D906=" "," ",IF(OR(F906='депозитный калькулятор'!$D$8,F906=" ")," ",D906+1))</f>
        <v xml:space="preserve"> </v>
      </c>
      <c r="E907" s="130" t="str">
        <f>IF(OR(F906='депозитный калькулятор'!$D$8,F906=" ")," ",IF(EOMONTH(F906,0)=F906,1,E906+1))</f>
        <v xml:space="preserve"> </v>
      </c>
      <c r="F907" s="64" t="str">
        <f>IF(F906=" "," ",IF(F906='депозитный калькулятор'!$D$8," ",F906+1))</f>
        <v xml:space="preserve"> </v>
      </c>
      <c r="G907" s="145" t="str">
        <f xml:space="preserve"> IF(F907&gt;'депозитный калькулятор'!$D$8," ",IF('депозитный калькулятор'!$G$13="есть",IF('депозитный калькулятор'!$G$14="есть",G906+IF(I906=" ",0,I906)-J907-K907+L907+M907-N907,G906+IF(I906=" ",0,I906)-J907-K907+M907-N907),IF('депозитный калькулятор'!$G$14="есть",G906-J907-K907+L907+M907-N907,G906-J907-K907+M907-N907)))</f>
        <v xml:space="preserve"> </v>
      </c>
      <c r="H907" s="133" t="str">
        <f>IF(F907&gt;'депозитный калькулятор'!$D$8," ",IF(AND(OR('депозитный калькулятор'!$G$7="30/365",'депозитный калькулятор'!$G$7="30/360"),AND(MONTH(F907)=2,EOMONTH(F907,0)=F907)),IF(DAY(F907)=28,3*G907*'депозитный калькулятор'!$G$8,2*G907*'депозитный калькулятор'!$G$8),IF(AND(OR('депозитный калькулятор'!$G$7="30/365",'депозитный калькулятор'!$G$7="30/360"),DAY(F907)=31)," ",IF(AND('депозитный калькулятор'!$G$7="факт/факт",MOD(YEAR(F907),4)=0),G907*'депозитный калькулятор'!$D$11/366,G907*'депозитный калькулятор'!$G$8))))</f>
        <v xml:space="preserve"> </v>
      </c>
      <c r="I907" s="134" t="str">
        <f ca="1">IF(F907=" "," ",IF('депозитный калькулятор'!$G$10="ежедневное",H907,IF(AND('депозитный калькулятор'!$G$10="еженедельное",WEEKDAY(F907,2)=7),SUM(OFFSET(H907,-6,0):H907),IF(AND('депозитный калькулятор'!$G$10="еженедельное",F907='депозитный калькулятор'!$D$8),SUM($H$23:H907)-SUM($I$23:I906),IF(AND('депозитный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недели",WEEKDAY(F907,2)=7),MIN(OFFSET(H907,-6,0):H907)*(COUNTIF(OFFSET(H907,-6,0):H907,"&gt;0")+SUMIF(OFFSET(A907,-WEEKDAY(F907,2),0):A907,"=2",OFFSET(A907,-WEEKDAY(F907,2),0):A907)),IF(AND('депозитный калькулятор'!$G$10="еженедельное, на минимальную сумму зафиксированную в течение недели",F907='депозитный калькулятор'!$D$8,WEEKDAY(F907,2)&lt;&gt;7),MIN(OFFSET(H907,-WEEKDAY(F907,2),0):H907)*(COUNTIF(OFFSET(H907,-WEEKDAY(F907,2)+1,0):H907,"&gt;0")+SUM(OFFSET(A907,-WEEKDAY(F907,2),0):A907)),IF(AND('депозитный калькулятор'!$G$10="ежемесячное (в конце месяца)",F907='депозитный калькулятор'!$D$8,EOMONTH(F907,0)&lt;&gt;F907),IF('депозитный калькулятор'!$F$1=1,$H$24,SUM($H$23:H907)-SUM($I$23:I906)),IF(AND('депозитный калькулятор'!$G$10="ежемесячное (в конце месяца)",EOMONTH(F907,0)=F907),SUM($H$23:H907)-SUM($I$23:I906),IF(AND('депозитный калькулятор'!$G$10="ежемесячное (по дням открытия вклада)",F907='депозитный калькулятор'!$D$8,DAY('депозитный калькулятор'!$D$7)&lt;&gt;DAY(F907)),IF('депозитный калькулятор'!$F$1=1,$H$24,SUM($H$23:H907)-SUM($I$23:I906)),IF(AND('депозитный калькулятор'!$G$10="ежемесячное (по дням открытия вклада)",DAY('депозитный калькулятор'!$D$7)=DAY(F907)),SUM($H$23:H907)-SUM($I$23:I906),IF(AND('депозитный калькулятор'!$G$10="ежемесячное, на минимальную сумму зафиксированную в течение месяца",F907='депозитный калькулятор'!$D$8,EOMONTH(F907,0)&lt;&gt;F907),IF('депозитный калькулятор'!$F$1=1,$H$24,IF(AND(OR('депозитный калькулятор'!$G$7="30/365",'депозитный калькулятор'!$G$7="30/360"),DAY(F907)=31),0,MIN(OFFSET(H907,-E907+1,0):H907)*(E907+SUMIF(OFFSET(A907,-E907+1,0):A907,"=2",OFFSET(A907,-E907+1,0):A907)))),IF(AND('депозитный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калькулятор'!$G$7="30/360"),DAY(EOMONTH(F907,0))=31),EOMONTH(F907,0)-1=F907,EOMONTH(F907,0)=F907)),IF(IF(AND(OR('депозитный калькулятор'!$G$7="30/365",'депозитный калькулятор'!$G$7="30/360"),DAY(EOMONTH($F$23,0))=31),F907=EOMONTH($F$23,0)-1,F907=EOMONTH($F$23,0)),MIN(OFFSET(H907,-(DAY(F907)-DAY($F$23)),0):H907)*E907,MIN(OFFSET(H907,-(DAY(F907)-1),0):H907)*IF(AND(OR('депозитный калькулятор'!$G$7="30/365",'депозитный калькулятор'!$G$7="30/360"),DAY(F907)&lt;30),30,DAY(F907))),IF(AND('депозитный калькулятор'!$G$10="ежемесячное, на средний остаток в течение месяца, при условии что остаток больше чем ограничение",F907='депозитный калькулятор'!$D$8,EOMONTH(F907,0)&lt;&gt;F907),IF('депозитный калькулятор'!$F$1=1,$H$24,SUM(OFFSET(Q907,-E907+1,0):Q907)),IF(AND('депозитный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калькулятор'!$G$7="30/360"),DAY(EOMONTH(F907,0))=31),EOMONTH(F907,0)-1=F907,EOMONTH(F907,0)=F907)),IF(IF(AND(OR('депозитный калькулятор'!$G$7="30/365",'депозитный калькулятор'!$G$7="30/360"),DAY(EOMONTH($F$24,0))=31),F907=EOMONTH($F$24,0)-1,F907=EOMONTH($F$24,0)),SUM(OFFSET(Q907,-E907+1,0):Q907),SUM(OFFSET(Q907,-E907+1,0):Q907)),IF('депозитный калькулятор'!$G$10="ежеквартальное",IF(F907&gt;'депозитный калькулятор'!$D$8," ",IF(AND(EOMONTH(F907,0)=F907,OR(MONTH(F907)=3,MONTH(F907)=6,MONTH(F907)=9,MONTH(F907)=12)),IF(EDATE(F907,-3)&lt;'депозитный калькулятор'!$D$7,SUM($H$23:H907),IF(MOD(YEAR(F907),4)=0,IF(AND(EOMONTH(F907,0)=F907,OR(MONTH(F907)=3,MONTH(F907)=6)),SUM(OFFSET(H907,-90,0):H907),IF(AND(EOMONTH(F907,0)=F907,OR(MONTH(F907)=9,MONTH(F907)=12)),SUM(OFFSET(H907,-91,0):H907))),IF(AND(EOMONTH(F907,0)=F907,MONTH(F907)=3),SUM(OFFSET(H907,-89,0):H907),IF(AND(EOMONTH(F907,0)=F907,MONTH(F907)=6),SUM(OFFSET(H907,-90,0):H907),IF(AND(EOMONTH(F907,0)=F907,OR(MONTH(F907)=9,MONTH(F907)=12)),SUM(OFFSET(H907,-91,0):H907)))))),IF(F907='депозитный калькулятор'!$D$8,SUM($H$23:H907)-SUM($I$23:I906),0))),IF('депозитный калькулятор'!$G$10="ежегодное",IF(F907&gt;'депозитный калькулятор'!$D$8," ",IF(F907='депозитный калькулятор'!$D$8,SUM($H$23:H907)-SUM($I$23:I906),IF(AND(EOMONTH(F907,0)=F907,MONTH(F907)=12),IF(MOD(YEAR(F906),4)=0,IF(F907-'депозитный калькулятор'!$D$7&lt;366,SUM($H$23:H907),SUM(OFFSET(H907,-365,0):H907)),IF(F907-'депозитный калькулятор'!$D$7&lt;365,SUM($H$23:H907),SUM(OFFSET(H907,-364,0):H907))),0))),IF(AND('депозитный калькулятор'!$G$10="в конце срока",'депозитный калькулятор'!$D$8=F907),SUM($H$23:H907),0))))))))))))))))))</f>
        <v xml:space="preserve"> </v>
      </c>
      <c r="J907" s="59" t="str">
        <f>IF(F907&gt;'депозитный калькулятор'!$D$8," ",IF('депозитный калькулятор'!$G$16="нет",0,IF(AND('депозитный калькулятор'!$G$17="разовая (в конце срока)",F907='депозитный калькулятор'!$D$8),'депозитный калькулятор'!$G$18,IF(AND('депозитный калькулятор'!$G$17="ежемесячная",EOMONTH(F906,0)=F906),'депозитный калькулятор'!$G$18,IF(AND('депозитный калькулятор'!$G$17="ежегодная",DAY(F906)=31,MONTH(F906)=12),'депозитный калькулятор'!$G$18,IF(AND('депозитный калькулятор'!$G$17="ежемесячная в зависимости от остатка",EOMONTH(F906,0)=F906,P906&gt;0),'депозитный калькулятор'!$G$18,IF(AND('депозитный калькулятор'!$G$17="ежегодная в зависимости от остатка",DAY(F906)=31,MONTH(F906)=12,P906&gt;0),'депозитный калькулятор'!$G$18,0)))))))</f>
        <v xml:space="preserve"> </v>
      </c>
      <c r="K907" s="135" t="str">
        <f>IF($F907=" "," ",IFERROR(VLOOKUP($F907,'депозитный калькулятор'!$B$26:$F$70,2,0),0))</f>
        <v xml:space="preserve"> </v>
      </c>
      <c r="L907" s="135" t="str">
        <f>IF($F907=" "," ",IFERROR(VLOOKUP($F907,'депозитный калькулятор'!$B$26:$F$70,3,0),0))</f>
        <v xml:space="preserve"> </v>
      </c>
      <c r="M907" s="135" t="str">
        <f>IF($F907=" "," ",IFERROR(VLOOKUP($F907,'депозитный калькулятор'!$B$26:$F$70,4,0),0))</f>
        <v xml:space="preserve"> </v>
      </c>
      <c r="N907" s="135" t="str">
        <f>IF($F907=" "," ",IFERROR(VLOOKUP($F907,'депозитный калькулятор'!$B$26:$F$70,5,0),0))</f>
        <v xml:space="preserve"> </v>
      </c>
      <c r="O907" s="146" t="str">
        <f>IF(F907&gt;'депозитный калькулятор'!$D$8," ",IF(F907='депозитный калькулятор'!$D$8,IF(AND($F$24='депозитный калькулятор'!$D$8,'депозитный калькулятор'!$G$13="нет"),-G907-IF(I907=" ",0,I907)-IF(AND(OR('депозитный калькулятор'!$G$7="30/365",'депозитный калькулятор'!$G$7="30/360"),'депозитный калькулятор'!$G$10="в начале срока"),I906,0)-L907+M907-N907,-G907-IF(I907=" ",0,I907)-L907+M907-N907),IF('депозитный калькулятор'!$G$13="есть",M907-N907+IF('депозитный калькулятор'!$G$14="есть",0,-L907),-IF(I907=" ",0,I907)-IF(AND(OR('депозитный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срока"),I906,0)+M907-N907+IF('депозитный калькулятор'!$G$14="есть",0,-L907))))</f>
        <v xml:space="preserve"> </v>
      </c>
      <c r="P907" s="147" t="str">
        <f>IF(F907&gt;'депозитный калькулятор'!$D$8," ",IF(EOMONTH(F906,0)=F906,0,IF(G907&gt;='депозитный калькулятор'!$G$19,P906,P906+1)))</f>
        <v xml:space="preserve"> </v>
      </c>
      <c r="Q907" s="138" t="str">
        <f>IF(F907=" "," ",IF(AND(OR('депозитный калькулятор'!$G$7="30/365",'депозитный калькулятор'!$G$7="30/360"),AND(MONTH(F907)=2,EOMONTH(F907,0)=F907)),IF(DAY(F907)=28,3,2),1)*IF(G907&gt;='депозитный калькулятор'!$G$11,IF(AND('депозитный калькулятор'!$G$7="факт/факт",MOD(YEAR(F907),4)=0),G907*'депозитный калькулятор'!$D$11/366,G907*'депозитный калькулятор'!$G$8),0))</f>
        <v xml:space="preserve"> </v>
      </c>
      <c r="S907" s="62" t="str">
        <f t="shared" ca="1" si="67"/>
        <v xml:space="preserve"> </v>
      </c>
      <c r="T907" s="149" t="str">
        <f ca="1">IF(S907=" "," ",IF('депозитный калькулятор'!$G$7="30/360",DAYS360(U906,IF(DAY(U907)=31,U907-1,U907))+IF(AND(MONTH(U907)=2,U907=EOMONTH(U907,0)),30-DAY(EOMONTH(U907,0)))+T906,VLOOKUP(S907,$C$22:$F$1023,2,0)))</f>
        <v xml:space="preserve"> </v>
      </c>
      <c r="U907" s="64" t="str">
        <f t="shared" ca="1" si="65"/>
        <v xml:space="preserve"> </v>
      </c>
      <c r="V907" s="150" t="str">
        <f t="shared" ca="1" si="68"/>
        <v xml:space="preserve"> </v>
      </c>
      <c r="W907" s="62" t="str">
        <f t="shared" ca="1" si="69"/>
        <v xml:space="preserve"> </v>
      </c>
      <c r="X907" s="141" t="str">
        <f ca="1">IF(S907=" "," ",IFERROR(VLOOKUP(U907,$F$23:$N$1023,7)+VLOOKUP(U907,$F$23:$N$1023,9)+IF(AND('депозитный калькулятор'!$G$13="нет",U907&lt;&gt;'депозитный калькулятор'!$D$8),VLOOKUP(U907,$F$23:$N$1023,4),0),0)+IF(U907='депозитный калькулятор'!$D$8,VLOOKUP(U907,$F$23:$N$1023,2)+VLOOKUP(U907,$F$23:$N$1023,4),0))</f>
        <v xml:space="preserve"> </v>
      </c>
      <c r="Y907" s="142" t="str">
        <f ca="1">IF(S907=" "," ",W907/(1+'депозитный калькулятор'!$K$8)^(T907/IF('депозитный калькулятор'!$G$7="30/360",360,365)))</f>
        <v xml:space="preserve"> </v>
      </c>
      <c r="Z907" s="142" t="str">
        <f ca="1">IF(S907=" "," ",X907/(1+'депозитный калькулятор'!$K$8)^(T907/IF('депозитный калькулятор'!$G$7="30/360",360,365)))</f>
        <v xml:space="preserve"> </v>
      </c>
      <c r="AA907" s="151"/>
      <c r="AB907" s="151"/>
      <c r="AC907" s="155"/>
      <c r="AD907" s="155"/>
    </row>
    <row r="908" spans="1:30" s="2" customFormat="1" ht="15.5" x14ac:dyDescent="0.35">
      <c r="A908" s="41" t="str">
        <f>IF(F908=" "," ",IF(OR('депозитный калькулятор'!$G$7="30/365",'депозитный калькулятор'!$G$7="30/360"),IF(AND(MONTH(F908)=2,DAY(F908)=DAY(EOMONTH(F908,0))),30-DAY(EOMONTH(F908,0)),IF(DAY(F908)=31,1," "))," "))</f>
        <v xml:space="preserve"> </v>
      </c>
      <c r="B908" s="130" t="str">
        <f t="shared" si="66"/>
        <v xml:space="preserve"> </v>
      </c>
      <c r="C908" s="130" t="str">
        <f>IF(OR(B908=0,B908=" ")," ",SUM($B$23:B908))</f>
        <v xml:space="preserve"> </v>
      </c>
      <c r="D908" s="62" t="str">
        <f>IF(D907=" "," ",IF(OR(F907='депозитный калькулятор'!$D$8,F907=" ")," ",D907+1))</f>
        <v xml:space="preserve"> </v>
      </c>
      <c r="E908" s="130" t="str">
        <f>IF(OR(F907='депозитный калькулятор'!$D$8,F907=" ")," ",IF(EOMONTH(F907,0)=F907,1,E907+1))</f>
        <v xml:space="preserve"> </v>
      </c>
      <c r="F908" s="64" t="str">
        <f>IF(F907=" "," ",IF(F907='депозитный калькулятор'!$D$8," ",F907+1))</f>
        <v xml:space="preserve"> </v>
      </c>
      <c r="G908" s="145" t="str">
        <f xml:space="preserve"> IF(F908&gt;'депозитный калькулятор'!$D$8," ",IF('депозитный калькулятор'!$G$13="есть",IF('депозитный калькулятор'!$G$14="есть",G907+IF(I907=" ",0,I907)-J908-K908+L908+M908-N908,G907+IF(I907=" ",0,I907)-J908-K908+M908-N908),IF('депозитный калькулятор'!$G$14="есть",G907-J908-K908+L908+M908-N908,G907-J908-K908+M908-N908)))</f>
        <v xml:space="preserve"> </v>
      </c>
      <c r="H908" s="133" t="str">
        <f>IF(F908&gt;'депозитный калькулятор'!$D$8," ",IF(AND(OR('депозитный калькулятор'!$G$7="30/365",'депозитный калькулятор'!$G$7="30/360"),AND(MONTH(F908)=2,EOMONTH(F908,0)=F908)),IF(DAY(F908)=28,3*G908*'депозитный калькулятор'!$G$8,2*G908*'депозитный калькулятор'!$G$8),IF(AND(OR('депозитный калькулятор'!$G$7="30/365",'депозитный калькулятор'!$G$7="30/360"),DAY(F908)=31)," ",IF(AND('депозитный калькулятор'!$G$7="факт/факт",MOD(YEAR(F908),4)=0),G908*'депозитный калькулятор'!$D$11/366,G908*'депозитный калькулятор'!$G$8))))</f>
        <v xml:space="preserve"> </v>
      </c>
      <c r="I908" s="134" t="str">
        <f ca="1">IF(F908=" "," ",IF('депозитный калькулятор'!$G$10="ежедневное",H908,IF(AND('депозитный калькулятор'!$G$10="еженедельное",WEEKDAY(F908,2)=7),SUM(OFFSET(H908,-6,0):H908),IF(AND('депозитный калькулятор'!$G$10="еженедельное",F908='депозитный калькулятор'!$D$8),SUM($H$23:H908)-SUM($I$23:I907),IF(AND('депозитный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недели",WEEKDAY(F908,2)=7),MIN(OFFSET(H908,-6,0):H908)*(COUNTIF(OFFSET(H908,-6,0):H908,"&gt;0")+SUMIF(OFFSET(A908,-WEEKDAY(F908,2),0):A908,"=2",OFFSET(A908,-WEEKDAY(F908,2),0):A908)),IF(AND('депозитный калькулятор'!$G$10="еженедельное, на минимальную сумму зафиксированную в течение недели",F908='депозитный калькулятор'!$D$8,WEEKDAY(F908,2)&lt;&gt;7),MIN(OFFSET(H908,-WEEKDAY(F908,2),0):H908)*(COUNTIF(OFFSET(H908,-WEEKDAY(F908,2)+1,0):H908,"&gt;0")+SUM(OFFSET(A908,-WEEKDAY(F908,2),0):A908)),IF(AND('депозитный калькулятор'!$G$10="ежемесячное (в конце месяца)",F908='депозитный калькулятор'!$D$8,EOMONTH(F908,0)&lt;&gt;F908),IF('депозитный калькулятор'!$F$1=1,$H$24,SUM($H$23:H908)-SUM($I$23:I907)),IF(AND('депозитный калькулятор'!$G$10="ежемесячное (в конце месяца)",EOMONTH(F908,0)=F908),SUM($H$23:H908)-SUM($I$23:I907),IF(AND('депозитный калькулятор'!$G$10="ежемесячное (по дням открытия вклада)",F908='депозитный калькулятор'!$D$8,DAY('депозитный калькулятор'!$D$7)&lt;&gt;DAY(F908)),IF('депозитный калькулятор'!$F$1=1,$H$24,SUM($H$23:H908)-SUM($I$23:I907)),IF(AND('депозитный калькулятор'!$G$10="ежемесячное (по дням открытия вклада)",DAY('депозитный калькулятор'!$D$7)=DAY(F908)),SUM($H$23:H908)-SUM($I$23:I907),IF(AND('депозитный калькулятор'!$G$10="ежемесячное, на минимальную сумму зафиксированную в течение месяца",F908='депозитный калькулятор'!$D$8,EOMONTH(F908,0)&lt;&gt;F908),IF('депозитный калькулятор'!$F$1=1,$H$24,IF(AND(OR('депозитный калькулятор'!$G$7="30/365",'депозитный калькулятор'!$G$7="30/360"),DAY(F908)=31),0,MIN(OFFSET(H908,-E908+1,0):H908)*(E908+SUMIF(OFFSET(A908,-E908+1,0):A908,"=2",OFFSET(A908,-E908+1,0):A908)))),IF(AND('депозитный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калькулятор'!$G$7="30/360"),DAY(EOMONTH(F908,0))=31),EOMONTH(F908,0)-1=F908,EOMONTH(F908,0)=F908)),IF(IF(AND(OR('депозитный калькулятор'!$G$7="30/365",'депозитный калькулятор'!$G$7="30/360"),DAY(EOMONTH($F$23,0))=31),F908=EOMONTH($F$23,0)-1,F908=EOMONTH($F$23,0)),MIN(OFFSET(H908,-(DAY(F908)-DAY($F$23)),0):H908)*E908,MIN(OFFSET(H908,-(DAY(F908)-1),0):H908)*IF(AND(OR('депозитный калькулятор'!$G$7="30/365",'депозитный калькулятор'!$G$7="30/360"),DAY(F908)&lt;30),30,DAY(F908))),IF(AND('депозитный калькулятор'!$G$10="ежемесячное, на средний остаток в течение месяца, при условии что остаток больше чем ограничение",F908='депозитный калькулятор'!$D$8,EOMONTH(F908,0)&lt;&gt;F908),IF('депозитный калькулятор'!$F$1=1,$H$24,SUM(OFFSET(Q908,-E908+1,0):Q908)),IF(AND('депозитный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калькулятор'!$G$7="30/360"),DAY(EOMONTH(F908,0))=31),EOMONTH(F908,0)-1=F908,EOMONTH(F908,0)=F908)),IF(IF(AND(OR('депозитный калькулятор'!$G$7="30/365",'депозитный калькулятор'!$G$7="30/360"),DAY(EOMONTH($F$24,0))=31),F908=EOMONTH($F$24,0)-1,F908=EOMONTH($F$24,0)),SUM(OFFSET(Q908,-E908+1,0):Q908),SUM(OFFSET(Q908,-E908+1,0):Q908)),IF('депозитный калькулятор'!$G$10="ежеквартальное",IF(F908&gt;'депозитный калькулятор'!$D$8," ",IF(AND(EOMONTH(F908,0)=F908,OR(MONTH(F908)=3,MONTH(F908)=6,MONTH(F908)=9,MONTH(F908)=12)),IF(EDATE(F908,-3)&lt;'депозитный калькулятор'!$D$7,SUM($H$23:H908),IF(MOD(YEAR(F908),4)=0,IF(AND(EOMONTH(F908,0)=F908,OR(MONTH(F908)=3,MONTH(F908)=6)),SUM(OFFSET(H908,-90,0):H908),IF(AND(EOMONTH(F908,0)=F908,OR(MONTH(F908)=9,MONTH(F908)=12)),SUM(OFFSET(H908,-91,0):H908))),IF(AND(EOMONTH(F908,0)=F908,MONTH(F908)=3),SUM(OFFSET(H908,-89,0):H908),IF(AND(EOMONTH(F908,0)=F908,MONTH(F908)=6),SUM(OFFSET(H908,-90,0):H908),IF(AND(EOMONTH(F908,0)=F908,OR(MONTH(F908)=9,MONTH(F908)=12)),SUM(OFFSET(H908,-91,0):H908)))))),IF(F908='депозитный калькулятор'!$D$8,SUM($H$23:H908)-SUM($I$23:I907),0))),IF('депозитный калькулятор'!$G$10="ежегодное",IF(F908&gt;'депозитный калькулятор'!$D$8," ",IF(F908='депозитный калькулятор'!$D$8,SUM($H$23:H908)-SUM($I$23:I907),IF(AND(EOMONTH(F908,0)=F908,MONTH(F908)=12),IF(MOD(YEAR(F907),4)=0,IF(F908-'депозитный калькулятор'!$D$7&lt;366,SUM($H$23:H908),SUM(OFFSET(H908,-365,0):H908)),IF(F908-'депозитный калькулятор'!$D$7&lt;365,SUM($H$23:H908),SUM(OFFSET(H908,-364,0):H908))),0))),IF(AND('депозитный калькулятор'!$G$10="в конце срока",'депозитный калькулятор'!$D$8=F908),SUM($H$23:H908),0))))))))))))))))))</f>
        <v xml:space="preserve"> </v>
      </c>
      <c r="J908" s="59" t="str">
        <f>IF(F908&gt;'депозитный калькулятор'!$D$8," ",IF('депозитный калькулятор'!$G$16="нет",0,IF(AND('депозитный калькулятор'!$G$17="разовая (в конце срока)",F908='депозитный калькулятор'!$D$8),'депозитный калькулятор'!$G$18,IF(AND('депозитный калькулятор'!$G$17="ежемесячная",EOMONTH(F907,0)=F907),'депозитный калькулятор'!$G$18,IF(AND('депозитный калькулятор'!$G$17="ежегодная",DAY(F907)=31,MONTH(F907)=12),'депозитный калькулятор'!$G$18,IF(AND('депозитный калькулятор'!$G$17="ежемесячная в зависимости от остатка",EOMONTH(F907,0)=F907,P907&gt;0),'депозитный калькулятор'!$G$18,IF(AND('депозитный калькулятор'!$G$17="ежегодная в зависимости от остатка",DAY(F907)=31,MONTH(F907)=12,P907&gt;0),'депозитный калькулятор'!$G$18,0)))))))</f>
        <v xml:space="preserve"> </v>
      </c>
      <c r="K908" s="135" t="str">
        <f>IF($F908=" "," ",IFERROR(VLOOKUP($F908,'депозитный калькулятор'!$B$26:$F$70,2,0),0))</f>
        <v xml:space="preserve"> </v>
      </c>
      <c r="L908" s="135" t="str">
        <f>IF($F908=" "," ",IFERROR(VLOOKUP($F908,'депозитный калькулятор'!$B$26:$F$70,3,0),0))</f>
        <v xml:space="preserve"> </v>
      </c>
      <c r="M908" s="135" t="str">
        <f>IF($F908=" "," ",IFERROR(VLOOKUP($F908,'депозитный калькулятор'!$B$26:$F$70,4,0),0))</f>
        <v xml:space="preserve"> </v>
      </c>
      <c r="N908" s="135" t="str">
        <f>IF($F908=" "," ",IFERROR(VLOOKUP($F908,'депозитный калькулятор'!$B$26:$F$70,5,0),0))</f>
        <v xml:space="preserve"> </v>
      </c>
      <c r="O908" s="146" t="str">
        <f>IF(F908&gt;'депозитный калькулятор'!$D$8," ",IF(F908='депозитный калькулятор'!$D$8,IF(AND($F$24='депозитный калькулятор'!$D$8,'депозитный калькулятор'!$G$13="нет"),-G908-IF(I908=" ",0,I908)-IF(AND(OR('депозитный калькулятор'!$G$7="30/365",'депозитный калькулятор'!$G$7="30/360"),'депозитный калькулятор'!$G$10="в начале срока"),I907,0)-L908+M908-N908,-G908-IF(I908=" ",0,I908)-L908+M908-N908),IF('депозитный калькулятор'!$G$13="есть",M908-N908+IF('депозитный калькулятор'!$G$14="есть",0,-L908),-IF(I908=" ",0,I908)-IF(AND(OR('депозитный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срока"),I907,0)+M908-N908+IF('депозитный калькулятор'!$G$14="есть",0,-L908))))</f>
        <v xml:space="preserve"> </v>
      </c>
      <c r="P908" s="147" t="str">
        <f>IF(F908&gt;'депозитный калькулятор'!$D$8," ",IF(EOMONTH(F907,0)=F907,0,IF(G908&gt;='депозитный калькулятор'!$G$19,P907,P907+1)))</f>
        <v xml:space="preserve"> </v>
      </c>
      <c r="Q908" s="138" t="str">
        <f>IF(F908=" "," ",IF(AND(OR('депозитный калькулятор'!$G$7="30/365",'депозитный калькулятор'!$G$7="30/360"),AND(MONTH(F908)=2,EOMONTH(F908,0)=F908)),IF(DAY(F908)=28,3,2),1)*IF(G908&gt;='депозитный калькулятор'!$G$11,IF(AND('депозитный калькулятор'!$G$7="факт/факт",MOD(YEAR(F908),4)=0),G908*'депозитный калькулятор'!$D$11/366,G908*'депозитный калькулятор'!$G$8),0))</f>
        <v xml:space="preserve"> </v>
      </c>
      <c r="S908" s="62" t="str">
        <f t="shared" ca="1" si="67"/>
        <v xml:space="preserve"> </v>
      </c>
      <c r="T908" s="149" t="str">
        <f ca="1">IF(S908=" "," ",IF('депозитный калькулятор'!$G$7="30/360",DAYS360(U907,IF(DAY(U908)=31,U908-1,U908))+IF(AND(MONTH(U908)=2,U908=EOMONTH(U908,0)),30-DAY(EOMONTH(U908,0)))+T907,VLOOKUP(S908,$C$22:$F$1023,2,0)))</f>
        <v xml:space="preserve"> </v>
      </c>
      <c r="U908" s="64" t="str">
        <f t="shared" ca="1" si="65"/>
        <v xml:space="preserve"> </v>
      </c>
      <c r="V908" s="150" t="str">
        <f t="shared" ca="1" si="68"/>
        <v xml:space="preserve"> </v>
      </c>
      <c r="W908" s="62" t="str">
        <f t="shared" ca="1" si="69"/>
        <v xml:space="preserve"> </v>
      </c>
      <c r="X908" s="141" t="str">
        <f ca="1">IF(S908=" "," ",IFERROR(VLOOKUP(U908,$F$23:$N$1023,7)+VLOOKUP(U908,$F$23:$N$1023,9)+IF(AND('депозитный калькулятор'!$G$13="нет",U908&lt;&gt;'депозитный калькулятор'!$D$8),VLOOKUP(U908,$F$23:$N$1023,4),0),0)+IF(U908='депозитный калькулятор'!$D$8,VLOOKUP(U908,$F$23:$N$1023,2)+VLOOKUP(U908,$F$23:$N$1023,4),0))</f>
        <v xml:space="preserve"> </v>
      </c>
      <c r="Y908" s="142" t="str">
        <f ca="1">IF(S908=" "," ",W908/(1+'депозитный калькулятор'!$K$8)^(T908/IF('депозитный калькулятор'!$G$7="30/360",360,365)))</f>
        <v xml:space="preserve"> </v>
      </c>
      <c r="Z908" s="142" t="str">
        <f ca="1">IF(S908=" "," ",X908/(1+'депозитный калькулятор'!$K$8)^(T908/IF('депозитный калькулятор'!$G$7="30/360",360,365)))</f>
        <v xml:space="preserve"> </v>
      </c>
      <c r="AA908" s="151"/>
      <c r="AB908" s="151"/>
      <c r="AC908" s="155"/>
      <c r="AD908" s="155"/>
    </row>
    <row r="909" spans="1:30" s="2" customFormat="1" ht="15.5" x14ac:dyDescent="0.35">
      <c r="A909" s="41" t="str">
        <f>IF(F909=" "," ",IF(OR('депозитный калькулятор'!$G$7="30/365",'депозитный калькулятор'!$G$7="30/360"),IF(AND(MONTH(F909)=2,DAY(F909)=DAY(EOMONTH(F909,0))),30-DAY(EOMONTH(F909,0)),IF(DAY(F909)=31,1," "))," "))</f>
        <v xml:space="preserve"> </v>
      </c>
      <c r="B909" s="130" t="str">
        <f t="shared" si="66"/>
        <v xml:space="preserve"> </v>
      </c>
      <c r="C909" s="130" t="str">
        <f>IF(OR(B909=0,B909=" ")," ",SUM($B$23:B909))</f>
        <v xml:space="preserve"> </v>
      </c>
      <c r="D909" s="62" t="str">
        <f>IF(D908=" "," ",IF(OR(F908='депозитный калькулятор'!$D$8,F908=" ")," ",D908+1))</f>
        <v xml:space="preserve"> </v>
      </c>
      <c r="E909" s="130" t="str">
        <f>IF(OR(F908='депозитный калькулятор'!$D$8,F908=" ")," ",IF(EOMONTH(F908,0)=F908,1,E908+1))</f>
        <v xml:space="preserve"> </v>
      </c>
      <c r="F909" s="64" t="str">
        <f>IF(F908=" "," ",IF(F908='депозитный калькулятор'!$D$8," ",F908+1))</f>
        <v xml:space="preserve"> </v>
      </c>
      <c r="G909" s="145" t="str">
        <f xml:space="preserve"> IF(F909&gt;'депозитный калькулятор'!$D$8," ",IF('депозитный калькулятор'!$G$13="есть",IF('депозитный калькулятор'!$G$14="есть",G908+IF(I908=" ",0,I908)-J909-K909+L909+M909-N909,G908+IF(I908=" ",0,I908)-J909-K909+M909-N909),IF('депозитный калькулятор'!$G$14="есть",G908-J909-K909+L909+M909-N909,G908-J909-K909+M909-N909)))</f>
        <v xml:space="preserve"> </v>
      </c>
      <c r="H909" s="133" t="str">
        <f>IF(F909&gt;'депозитный калькулятор'!$D$8," ",IF(AND(OR('депозитный калькулятор'!$G$7="30/365",'депозитный калькулятор'!$G$7="30/360"),AND(MONTH(F909)=2,EOMONTH(F909,0)=F909)),IF(DAY(F909)=28,3*G909*'депозитный калькулятор'!$G$8,2*G909*'депозитный калькулятор'!$G$8),IF(AND(OR('депозитный калькулятор'!$G$7="30/365",'депозитный калькулятор'!$G$7="30/360"),DAY(F909)=31)," ",IF(AND('депозитный калькулятор'!$G$7="факт/факт",MOD(YEAR(F909),4)=0),G909*'депозитный калькулятор'!$D$11/366,G909*'депозитный калькулятор'!$G$8))))</f>
        <v xml:space="preserve"> </v>
      </c>
      <c r="I909" s="134" t="str">
        <f ca="1">IF(F909=" "," ",IF('депозитный калькулятор'!$G$10="ежедневное",H909,IF(AND('депозитный калькулятор'!$G$10="еженедельное",WEEKDAY(F909,2)=7),SUM(OFFSET(H909,-6,0):H909),IF(AND('депозитный калькулятор'!$G$10="еженедельное",F909='депозитный калькулятор'!$D$8),SUM($H$23:H909)-SUM($I$23:I908),IF(AND('депозитный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недели",WEEKDAY(F909,2)=7),MIN(OFFSET(H909,-6,0):H909)*(COUNTIF(OFFSET(H909,-6,0):H909,"&gt;0")+SUMIF(OFFSET(A909,-WEEKDAY(F909,2),0):A909,"=2",OFFSET(A909,-WEEKDAY(F909,2),0):A909)),IF(AND('депозитный калькулятор'!$G$10="еженедельное, на минимальную сумму зафиксированную в течение недели",F909='депозитный калькулятор'!$D$8,WEEKDAY(F909,2)&lt;&gt;7),MIN(OFFSET(H909,-WEEKDAY(F909,2),0):H909)*(COUNTIF(OFFSET(H909,-WEEKDAY(F909,2)+1,0):H909,"&gt;0")+SUM(OFFSET(A909,-WEEKDAY(F909,2),0):A909)),IF(AND('депозитный калькулятор'!$G$10="ежемесячное (в конце месяца)",F909='депозитный калькулятор'!$D$8,EOMONTH(F909,0)&lt;&gt;F909),IF('депозитный калькулятор'!$F$1=1,$H$24,SUM($H$23:H909)-SUM($I$23:I908)),IF(AND('депозитный калькулятор'!$G$10="ежемесячное (в конце месяца)",EOMONTH(F909,0)=F909),SUM($H$23:H909)-SUM($I$23:I908),IF(AND('депозитный калькулятор'!$G$10="ежемесячное (по дням открытия вклада)",F909='депозитный калькулятор'!$D$8,DAY('депозитный калькулятор'!$D$7)&lt;&gt;DAY(F909)),IF('депозитный калькулятор'!$F$1=1,$H$24,SUM($H$23:H909)-SUM($I$23:I908)),IF(AND('депозитный калькулятор'!$G$10="ежемесячное (по дням открытия вклада)",DAY('депозитный калькулятор'!$D$7)=DAY(F909)),SUM($H$23:H909)-SUM($I$23:I908),IF(AND('депозитный калькулятор'!$G$10="ежемесячное, на минимальную сумму зафиксированную в течение месяца",F909='депозитный калькулятор'!$D$8,EOMONTH(F909,0)&lt;&gt;F909),IF('депозитный калькулятор'!$F$1=1,$H$24,IF(AND(OR('депозитный калькулятор'!$G$7="30/365",'депозитный калькулятор'!$G$7="30/360"),DAY(F909)=31),0,MIN(OFFSET(H909,-E909+1,0):H909)*(E909+SUMIF(OFFSET(A909,-E909+1,0):A909,"=2",OFFSET(A909,-E909+1,0):A909)))),IF(AND('депозитный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калькулятор'!$G$7="30/360"),DAY(EOMONTH(F909,0))=31),EOMONTH(F909,0)-1=F909,EOMONTH(F909,0)=F909)),IF(IF(AND(OR('депозитный калькулятор'!$G$7="30/365",'депозитный калькулятор'!$G$7="30/360"),DAY(EOMONTH($F$23,0))=31),F909=EOMONTH($F$23,0)-1,F909=EOMONTH($F$23,0)),MIN(OFFSET(H909,-(DAY(F909)-DAY($F$23)),0):H909)*E909,MIN(OFFSET(H909,-(DAY(F909)-1),0):H909)*IF(AND(OR('депозитный калькулятор'!$G$7="30/365",'депозитный калькулятор'!$G$7="30/360"),DAY(F909)&lt;30),30,DAY(F909))),IF(AND('депозитный калькулятор'!$G$10="ежемесячное, на средний остаток в течение месяца, при условии что остаток больше чем ограничение",F909='депозитный калькулятор'!$D$8,EOMONTH(F909,0)&lt;&gt;F909),IF('депозитный калькулятор'!$F$1=1,$H$24,SUM(OFFSET(Q909,-E909+1,0):Q909)),IF(AND('депозитный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калькулятор'!$G$7="30/360"),DAY(EOMONTH(F909,0))=31),EOMONTH(F909,0)-1=F909,EOMONTH(F909,0)=F909)),IF(IF(AND(OR('депозитный калькулятор'!$G$7="30/365",'депозитный калькулятор'!$G$7="30/360"),DAY(EOMONTH($F$24,0))=31),F909=EOMONTH($F$24,0)-1,F909=EOMONTH($F$24,0)),SUM(OFFSET(Q909,-E909+1,0):Q909),SUM(OFFSET(Q909,-E909+1,0):Q909)),IF('депозитный калькулятор'!$G$10="ежеквартальное",IF(F909&gt;'депозитный калькулятор'!$D$8," ",IF(AND(EOMONTH(F909,0)=F909,OR(MONTH(F909)=3,MONTH(F909)=6,MONTH(F909)=9,MONTH(F909)=12)),IF(EDATE(F909,-3)&lt;'депозитный калькулятор'!$D$7,SUM($H$23:H909),IF(MOD(YEAR(F909),4)=0,IF(AND(EOMONTH(F909,0)=F909,OR(MONTH(F909)=3,MONTH(F909)=6)),SUM(OFFSET(H909,-90,0):H909),IF(AND(EOMONTH(F909,0)=F909,OR(MONTH(F909)=9,MONTH(F909)=12)),SUM(OFFSET(H909,-91,0):H909))),IF(AND(EOMONTH(F909,0)=F909,MONTH(F909)=3),SUM(OFFSET(H909,-89,0):H909),IF(AND(EOMONTH(F909,0)=F909,MONTH(F909)=6),SUM(OFFSET(H909,-90,0):H909),IF(AND(EOMONTH(F909,0)=F909,OR(MONTH(F909)=9,MONTH(F909)=12)),SUM(OFFSET(H909,-91,0):H909)))))),IF(F909='депозитный калькулятор'!$D$8,SUM($H$23:H909)-SUM($I$23:I908),0))),IF('депозитный калькулятор'!$G$10="ежегодное",IF(F909&gt;'депозитный калькулятор'!$D$8," ",IF(F909='депозитный калькулятор'!$D$8,SUM($H$23:H909)-SUM($I$23:I908),IF(AND(EOMONTH(F909,0)=F909,MONTH(F909)=12),IF(MOD(YEAR(F908),4)=0,IF(F909-'депозитный калькулятор'!$D$7&lt;366,SUM($H$23:H909),SUM(OFFSET(H909,-365,0):H909)),IF(F909-'депозитный калькулятор'!$D$7&lt;365,SUM($H$23:H909),SUM(OFFSET(H909,-364,0):H909))),0))),IF(AND('депозитный калькулятор'!$G$10="в конце срока",'депозитный калькулятор'!$D$8=F909),SUM($H$23:H909),0))))))))))))))))))</f>
        <v xml:space="preserve"> </v>
      </c>
      <c r="J909" s="59" t="str">
        <f>IF(F909&gt;'депозитный калькулятор'!$D$8," ",IF('депозитный калькулятор'!$G$16="нет",0,IF(AND('депозитный калькулятор'!$G$17="разовая (в конце срока)",F909='депозитный калькулятор'!$D$8),'депозитный калькулятор'!$G$18,IF(AND('депозитный калькулятор'!$G$17="ежемесячная",EOMONTH(F908,0)=F908),'депозитный калькулятор'!$G$18,IF(AND('депозитный калькулятор'!$G$17="ежегодная",DAY(F908)=31,MONTH(F908)=12),'депозитный калькулятор'!$G$18,IF(AND('депозитный калькулятор'!$G$17="ежемесячная в зависимости от остатка",EOMONTH(F908,0)=F908,P908&gt;0),'депозитный калькулятор'!$G$18,IF(AND('депозитный калькулятор'!$G$17="ежегодная в зависимости от остатка",DAY(F908)=31,MONTH(F908)=12,P908&gt;0),'депозитный калькулятор'!$G$18,0)))))))</f>
        <v xml:space="preserve"> </v>
      </c>
      <c r="K909" s="135" t="str">
        <f>IF($F909=" "," ",IFERROR(VLOOKUP($F909,'депозитный калькулятор'!$B$26:$F$70,2,0),0))</f>
        <v xml:space="preserve"> </v>
      </c>
      <c r="L909" s="135" t="str">
        <f>IF($F909=" "," ",IFERROR(VLOOKUP($F909,'депозитный калькулятор'!$B$26:$F$70,3,0),0))</f>
        <v xml:space="preserve"> </v>
      </c>
      <c r="M909" s="135" t="str">
        <f>IF($F909=" "," ",IFERROR(VLOOKUP($F909,'депозитный калькулятор'!$B$26:$F$70,4,0),0))</f>
        <v xml:space="preserve"> </v>
      </c>
      <c r="N909" s="135" t="str">
        <f>IF($F909=" "," ",IFERROR(VLOOKUP($F909,'депозитный калькулятор'!$B$26:$F$70,5,0),0))</f>
        <v xml:space="preserve"> </v>
      </c>
      <c r="O909" s="146" t="str">
        <f>IF(F909&gt;'депозитный калькулятор'!$D$8," ",IF(F909='депозитный калькулятор'!$D$8,IF(AND($F$24='депозитный калькулятор'!$D$8,'депозитный калькулятор'!$G$13="нет"),-G909-IF(I909=" ",0,I909)-IF(AND(OR('депозитный калькулятор'!$G$7="30/365",'депозитный калькулятор'!$G$7="30/360"),'депозитный калькулятор'!$G$10="в начале срока"),I908,0)-L909+M909-N909,-G909-IF(I909=" ",0,I909)-L909+M909-N909),IF('депозитный калькулятор'!$G$13="есть",M909-N909+IF('депозитный калькулятор'!$G$14="есть",0,-L909),-IF(I909=" ",0,I909)-IF(AND(OR('депозитный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срока"),I908,0)+M909-N909+IF('депозитный калькулятор'!$G$14="есть",0,-L909))))</f>
        <v xml:space="preserve"> </v>
      </c>
      <c r="P909" s="147" t="str">
        <f>IF(F909&gt;'депозитный калькулятор'!$D$8," ",IF(EOMONTH(F908,0)=F908,0,IF(G909&gt;='депозитный калькулятор'!$G$19,P908,P908+1)))</f>
        <v xml:space="preserve"> </v>
      </c>
      <c r="Q909" s="138" t="str">
        <f>IF(F909=" "," ",IF(AND(OR('депозитный калькулятор'!$G$7="30/365",'депозитный калькулятор'!$G$7="30/360"),AND(MONTH(F909)=2,EOMONTH(F909,0)=F909)),IF(DAY(F909)=28,3,2),1)*IF(G909&gt;='депозитный калькулятор'!$G$11,IF(AND('депозитный калькулятор'!$G$7="факт/факт",MOD(YEAR(F909),4)=0),G909*'депозитный калькулятор'!$D$11/366,G909*'депозитный калькулятор'!$G$8),0))</f>
        <v xml:space="preserve"> </v>
      </c>
      <c r="S909" s="62" t="str">
        <f t="shared" ca="1" si="67"/>
        <v xml:space="preserve"> </v>
      </c>
      <c r="T909" s="149" t="str">
        <f ca="1">IF(S909=" "," ",IF('депозитный калькулятор'!$G$7="30/360",DAYS360(U908,IF(DAY(U909)=31,U909-1,U909))+IF(AND(MONTH(U909)=2,U909=EOMONTH(U909,0)),30-DAY(EOMONTH(U909,0)))+T908,VLOOKUP(S909,$C$22:$F$1023,2,0)))</f>
        <v xml:space="preserve"> </v>
      </c>
      <c r="U909" s="64" t="str">
        <f t="shared" ca="1" si="65"/>
        <v xml:space="preserve"> </v>
      </c>
      <c r="V909" s="150" t="str">
        <f t="shared" ca="1" si="68"/>
        <v xml:space="preserve"> </v>
      </c>
      <c r="W909" s="62" t="str">
        <f t="shared" ca="1" si="69"/>
        <v xml:space="preserve"> </v>
      </c>
      <c r="X909" s="141" t="str">
        <f ca="1">IF(S909=" "," ",IFERROR(VLOOKUP(U909,$F$23:$N$1023,7)+VLOOKUP(U909,$F$23:$N$1023,9)+IF(AND('депозитный калькулятор'!$G$13="нет",U909&lt;&gt;'депозитный калькулятор'!$D$8),VLOOKUP(U909,$F$23:$N$1023,4),0),0)+IF(U909='депозитный калькулятор'!$D$8,VLOOKUP(U909,$F$23:$N$1023,2)+VLOOKUP(U909,$F$23:$N$1023,4),0))</f>
        <v xml:space="preserve"> </v>
      </c>
      <c r="Y909" s="142" t="str">
        <f ca="1">IF(S909=" "," ",W909/(1+'депозитный калькулятор'!$K$8)^(T909/IF('депозитный калькулятор'!$G$7="30/360",360,365)))</f>
        <v xml:space="preserve"> </v>
      </c>
      <c r="Z909" s="142" t="str">
        <f ca="1">IF(S909=" "," ",X909/(1+'депозитный калькулятор'!$K$8)^(T909/IF('депозитный калькулятор'!$G$7="30/360",360,365)))</f>
        <v xml:space="preserve"> </v>
      </c>
      <c r="AA909" s="151"/>
      <c r="AB909" s="151"/>
      <c r="AC909" s="155"/>
      <c r="AD909" s="155"/>
    </row>
    <row r="910" spans="1:30" s="2" customFormat="1" ht="15.5" x14ac:dyDescent="0.35">
      <c r="A910" s="41" t="str">
        <f>IF(F910=" "," ",IF(OR('депозитный калькулятор'!$G$7="30/365",'депозитный калькулятор'!$G$7="30/360"),IF(AND(MONTH(F910)=2,DAY(F910)=DAY(EOMONTH(F910,0))),30-DAY(EOMONTH(F910,0)),IF(DAY(F910)=31,1," "))," "))</f>
        <v xml:space="preserve"> </v>
      </c>
      <c r="B910" s="130" t="str">
        <f t="shared" si="66"/>
        <v xml:space="preserve"> </v>
      </c>
      <c r="C910" s="130" t="str">
        <f>IF(OR(B910=0,B910=" ")," ",SUM($B$23:B910))</f>
        <v xml:space="preserve"> </v>
      </c>
      <c r="D910" s="62" t="str">
        <f>IF(D909=" "," ",IF(OR(F909='депозитный калькулятор'!$D$8,F909=" ")," ",D909+1))</f>
        <v xml:space="preserve"> </v>
      </c>
      <c r="E910" s="130" t="str">
        <f>IF(OR(F909='депозитный калькулятор'!$D$8,F909=" ")," ",IF(EOMONTH(F909,0)=F909,1,E909+1))</f>
        <v xml:space="preserve"> </v>
      </c>
      <c r="F910" s="64" t="str">
        <f>IF(F909=" "," ",IF(F909='депозитный калькулятор'!$D$8," ",F909+1))</f>
        <v xml:space="preserve"> </v>
      </c>
      <c r="G910" s="145" t="str">
        <f xml:space="preserve"> IF(F910&gt;'депозитный калькулятор'!$D$8," ",IF('депозитный калькулятор'!$G$13="есть",IF('депозитный калькулятор'!$G$14="есть",G909+IF(I909=" ",0,I909)-J910-K910+L910+M910-N910,G909+IF(I909=" ",0,I909)-J910-K910+M910-N910),IF('депозитный калькулятор'!$G$14="есть",G909-J910-K910+L910+M910-N910,G909-J910-K910+M910-N910)))</f>
        <v xml:space="preserve"> </v>
      </c>
      <c r="H910" s="133" t="str">
        <f>IF(F910&gt;'депозитный калькулятор'!$D$8," ",IF(AND(OR('депозитный калькулятор'!$G$7="30/365",'депозитный калькулятор'!$G$7="30/360"),AND(MONTH(F910)=2,EOMONTH(F910,0)=F910)),IF(DAY(F910)=28,3*G910*'депозитный калькулятор'!$G$8,2*G910*'депозитный калькулятор'!$G$8),IF(AND(OR('депозитный калькулятор'!$G$7="30/365",'депозитный калькулятор'!$G$7="30/360"),DAY(F910)=31)," ",IF(AND('депозитный калькулятор'!$G$7="факт/факт",MOD(YEAR(F910),4)=0),G910*'депозитный калькулятор'!$D$11/366,G910*'депозитный калькулятор'!$G$8))))</f>
        <v xml:space="preserve"> </v>
      </c>
      <c r="I910" s="134" t="str">
        <f ca="1">IF(F910=" "," ",IF('депозитный калькулятор'!$G$10="ежедневное",H910,IF(AND('депозитный калькулятор'!$G$10="еженедельное",WEEKDAY(F910,2)=7),SUM(OFFSET(H910,-6,0):H910),IF(AND('депозитный калькулятор'!$G$10="еженедельное",F910='депозитный калькулятор'!$D$8),SUM($H$23:H910)-SUM($I$23:I909),IF(AND('депозитный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недели",WEEKDAY(F910,2)=7),MIN(OFFSET(H910,-6,0):H910)*(COUNTIF(OFFSET(H910,-6,0):H910,"&gt;0")+SUMIF(OFFSET(A910,-WEEKDAY(F910,2),0):A910,"=2",OFFSET(A910,-WEEKDAY(F910,2),0):A910)),IF(AND('депозитный калькулятор'!$G$10="еженедельное, на минимальную сумму зафиксированную в течение недели",F910='депозитный калькулятор'!$D$8,WEEKDAY(F910,2)&lt;&gt;7),MIN(OFFSET(H910,-WEEKDAY(F910,2),0):H910)*(COUNTIF(OFFSET(H910,-WEEKDAY(F910,2)+1,0):H910,"&gt;0")+SUM(OFFSET(A910,-WEEKDAY(F910,2),0):A910)),IF(AND('депозитный калькулятор'!$G$10="ежемесячное (в конце месяца)",F910='депозитный калькулятор'!$D$8,EOMONTH(F910,0)&lt;&gt;F910),IF('депозитный калькулятор'!$F$1=1,$H$24,SUM($H$23:H910)-SUM($I$23:I909)),IF(AND('депозитный калькулятор'!$G$10="ежемесячное (в конце месяца)",EOMONTH(F910,0)=F910),SUM($H$23:H910)-SUM($I$23:I909),IF(AND('депозитный калькулятор'!$G$10="ежемесячное (по дням открытия вклада)",F910='депозитный калькулятор'!$D$8,DAY('депозитный калькулятор'!$D$7)&lt;&gt;DAY(F910)),IF('депозитный калькулятор'!$F$1=1,$H$24,SUM($H$23:H910)-SUM($I$23:I909)),IF(AND('депозитный калькулятор'!$G$10="ежемесячное (по дням открытия вклада)",DAY('депозитный калькулятор'!$D$7)=DAY(F910)),SUM($H$23:H910)-SUM($I$23:I909),IF(AND('депозитный калькулятор'!$G$10="ежемесячное, на минимальную сумму зафиксированную в течение месяца",F910='депозитный калькулятор'!$D$8,EOMONTH(F910,0)&lt;&gt;F910),IF('депозитный калькулятор'!$F$1=1,$H$24,IF(AND(OR('депозитный калькулятор'!$G$7="30/365",'депозитный калькулятор'!$G$7="30/360"),DAY(F910)=31),0,MIN(OFFSET(H910,-E910+1,0):H910)*(E910+SUMIF(OFFSET(A910,-E910+1,0):A910,"=2",OFFSET(A910,-E910+1,0):A910)))),IF(AND('депозитный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калькулятор'!$G$7="30/360"),DAY(EOMONTH(F910,0))=31),EOMONTH(F910,0)-1=F910,EOMONTH(F910,0)=F910)),IF(IF(AND(OR('депозитный калькулятор'!$G$7="30/365",'депозитный калькулятор'!$G$7="30/360"),DAY(EOMONTH($F$23,0))=31),F910=EOMONTH($F$23,0)-1,F910=EOMONTH($F$23,0)),MIN(OFFSET(H910,-(DAY(F910)-DAY($F$23)),0):H910)*E910,MIN(OFFSET(H910,-(DAY(F910)-1),0):H910)*IF(AND(OR('депозитный калькулятор'!$G$7="30/365",'депозитный калькулятор'!$G$7="30/360"),DAY(F910)&lt;30),30,DAY(F910))),IF(AND('депозитный калькулятор'!$G$10="ежемесячное, на средний остаток в течение месяца, при условии что остаток больше чем ограничение",F910='депозитный калькулятор'!$D$8,EOMONTH(F910,0)&lt;&gt;F910),IF('депозитный калькулятор'!$F$1=1,$H$24,SUM(OFFSET(Q910,-E910+1,0):Q910)),IF(AND('депозитный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калькулятор'!$G$7="30/360"),DAY(EOMONTH(F910,0))=31),EOMONTH(F910,0)-1=F910,EOMONTH(F910,0)=F910)),IF(IF(AND(OR('депозитный калькулятор'!$G$7="30/365",'депозитный калькулятор'!$G$7="30/360"),DAY(EOMONTH($F$24,0))=31),F910=EOMONTH($F$24,0)-1,F910=EOMONTH($F$24,0)),SUM(OFFSET(Q910,-E910+1,0):Q910),SUM(OFFSET(Q910,-E910+1,0):Q910)),IF('депозитный калькулятор'!$G$10="ежеквартальное",IF(F910&gt;'депозитный калькулятор'!$D$8," ",IF(AND(EOMONTH(F910,0)=F910,OR(MONTH(F910)=3,MONTH(F910)=6,MONTH(F910)=9,MONTH(F910)=12)),IF(EDATE(F910,-3)&lt;'депозитный калькулятор'!$D$7,SUM($H$23:H910),IF(MOD(YEAR(F910),4)=0,IF(AND(EOMONTH(F910,0)=F910,OR(MONTH(F910)=3,MONTH(F910)=6)),SUM(OFFSET(H910,-90,0):H910),IF(AND(EOMONTH(F910,0)=F910,OR(MONTH(F910)=9,MONTH(F910)=12)),SUM(OFFSET(H910,-91,0):H910))),IF(AND(EOMONTH(F910,0)=F910,MONTH(F910)=3),SUM(OFFSET(H910,-89,0):H910),IF(AND(EOMONTH(F910,0)=F910,MONTH(F910)=6),SUM(OFFSET(H910,-90,0):H910),IF(AND(EOMONTH(F910,0)=F910,OR(MONTH(F910)=9,MONTH(F910)=12)),SUM(OFFSET(H910,-91,0):H910)))))),IF(F910='депозитный калькулятор'!$D$8,SUM($H$23:H910)-SUM($I$23:I909),0))),IF('депозитный калькулятор'!$G$10="ежегодное",IF(F910&gt;'депозитный калькулятор'!$D$8," ",IF(F910='депозитный калькулятор'!$D$8,SUM($H$23:H910)-SUM($I$23:I909),IF(AND(EOMONTH(F910,0)=F910,MONTH(F910)=12),IF(MOD(YEAR(F909),4)=0,IF(F910-'депозитный калькулятор'!$D$7&lt;366,SUM($H$23:H910),SUM(OFFSET(H910,-365,0):H910)),IF(F910-'депозитный калькулятор'!$D$7&lt;365,SUM($H$23:H910),SUM(OFFSET(H910,-364,0):H910))),0))),IF(AND('депозитный калькулятор'!$G$10="в конце срока",'депозитный калькулятор'!$D$8=F910),SUM($H$23:H910),0))))))))))))))))))</f>
        <v xml:space="preserve"> </v>
      </c>
      <c r="J910" s="59" t="str">
        <f>IF(F910&gt;'депозитный калькулятор'!$D$8," ",IF('депозитный калькулятор'!$G$16="нет",0,IF(AND('депозитный калькулятор'!$G$17="разовая (в конце срока)",F910='депозитный калькулятор'!$D$8),'депозитный калькулятор'!$G$18,IF(AND('депозитный калькулятор'!$G$17="ежемесячная",EOMONTH(F909,0)=F909),'депозитный калькулятор'!$G$18,IF(AND('депозитный калькулятор'!$G$17="ежегодная",DAY(F909)=31,MONTH(F909)=12),'депозитный калькулятор'!$G$18,IF(AND('депозитный калькулятор'!$G$17="ежемесячная в зависимости от остатка",EOMONTH(F909,0)=F909,P909&gt;0),'депозитный калькулятор'!$G$18,IF(AND('депозитный калькулятор'!$G$17="ежегодная в зависимости от остатка",DAY(F909)=31,MONTH(F909)=12,P909&gt;0),'депозитный калькулятор'!$G$18,0)))))))</f>
        <v xml:space="preserve"> </v>
      </c>
      <c r="K910" s="135" t="str">
        <f>IF($F910=" "," ",IFERROR(VLOOKUP($F910,'депозитный калькулятор'!$B$26:$F$70,2,0),0))</f>
        <v xml:space="preserve"> </v>
      </c>
      <c r="L910" s="135" t="str">
        <f>IF($F910=" "," ",IFERROR(VLOOKUP($F910,'депозитный калькулятор'!$B$26:$F$70,3,0),0))</f>
        <v xml:space="preserve"> </v>
      </c>
      <c r="M910" s="135" t="str">
        <f>IF($F910=" "," ",IFERROR(VLOOKUP($F910,'депозитный калькулятор'!$B$26:$F$70,4,0),0))</f>
        <v xml:space="preserve"> </v>
      </c>
      <c r="N910" s="135" t="str">
        <f>IF($F910=" "," ",IFERROR(VLOOKUP($F910,'депозитный калькулятор'!$B$26:$F$70,5,0),0))</f>
        <v xml:space="preserve"> </v>
      </c>
      <c r="O910" s="146" t="str">
        <f>IF(F910&gt;'депозитный калькулятор'!$D$8," ",IF(F910='депозитный калькулятор'!$D$8,IF(AND($F$24='депозитный калькулятор'!$D$8,'депозитный калькулятор'!$G$13="нет"),-G910-IF(I910=" ",0,I910)-IF(AND(OR('депозитный калькулятор'!$G$7="30/365",'депозитный калькулятор'!$G$7="30/360"),'депозитный калькулятор'!$G$10="в начале срока"),I909,0)-L910+M910-N910,-G910-IF(I910=" ",0,I910)-L910+M910-N910),IF('депозитный калькулятор'!$G$13="есть",M910-N910+IF('депозитный калькулятор'!$G$14="есть",0,-L910),-IF(I910=" ",0,I910)-IF(AND(OR('депозитный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срока"),I909,0)+M910-N910+IF('депозитный калькулятор'!$G$14="есть",0,-L910))))</f>
        <v xml:space="preserve"> </v>
      </c>
      <c r="P910" s="147" t="str">
        <f>IF(F910&gt;'депозитный калькулятор'!$D$8," ",IF(EOMONTH(F909,0)=F909,0,IF(G910&gt;='депозитный калькулятор'!$G$19,P909,P909+1)))</f>
        <v xml:space="preserve"> </v>
      </c>
      <c r="Q910" s="138" t="str">
        <f>IF(F910=" "," ",IF(AND(OR('депозитный калькулятор'!$G$7="30/365",'депозитный калькулятор'!$G$7="30/360"),AND(MONTH(F910)=2,EOMONTH(F910,0)=F910)),IF(DAY(F910)=28,3,2),1)*IF(G910&gt;='депозитный калькулятор'!$G$11,IF(AND('депозитный калькулятор'!$G$7="факт/факт",MOD(YEAR(F910),4)=0),G910*'депозитный калькулятор'!$D$11/366,G910*'депозитный калькулятор'!$G$8),0))</f>
        <v xml:space="preserve"> </v>
      </c>
      <c r="S910" s="62" t="str">
        <f t="shared" ca="1" si="67"/>
        <v xml:space="preserve"> </v>
      </c>
      <c r="T910" s="149" t="str">
        <f ca="1">IF(S910=" "," ",IF('депозитный калькулятор'!$G$7="30/360",DAYS360(U909,IF(DAY(U910)=31,U910-1,U910))+IF(AND(MONTH(U910)=2,U910=EOMONTH(U910,0)),30-DAY(EOMONTH(U910,0)))+T909,VLOOKUP(S910,$C$22:$F$1023,2,0)))</f>
        <v xml:space="preserve"> </v>
      </c>
      <c r="U910" s="64" t="str">
        <f t="shared" ca="1" si="65"/>
        <v xml:space="preserve"> </v>
      </c>
      <c r="V910" s="150" t="str">
        <f t="shared" ca="1" si="68"/>
        <v xml:space="preserve"> </v>
      </c>
      <c r="W910" s="62" t="str">
        <f t="shared" ca="1" si="69"/>
        <v xml:space="preserve"> </v>
      </c>
      <c r="X910" s="141" t="str">
        <f ca="1">IF(S910=" "," ",IFERROR(VLOOKUP(U910,$F$23:$N$1023,7)+VLOOKUP(U910,$F$23:$N$1023,9)+IF(AND('депозитный калькулятор'!$G$13="нет",U910&lt;&gt;'депозитный калькулятор'!$D$8),VLOOKUP(U910,$F$23:$N$1023,4),0),0)+IF(U910='депозитный калькулятор'!$D$8,VLOOKUP(U910,$F$23:$N$1023,2)+VLOOKUP(U910,$F$23:$N$1023,4),0))</f>
        <v xml:space="preserve"> </v>
      </c>
      <c r="Y910" s="142" t="str">
        <f ca="1">IF(S910=" "," ",W910/(1+'депозитный калькулятор'!$K$8)^(T910/IF('депозитный калькулятор'!$G$7="30/360",360,365)))</f>
        <v xml:space="preserve"> </v>
      </c>
      <c r="Z910" s="142" t="str">
        <f ca="1">IF(S910=" "," ",X910/(1+'депозитный калькулятор'!$K$8)^(T910/IF('депозитный калькулятор'!$G$7="30/360",360,365)))</f>
        <v xml:space="preserve"> </v>
      </c>
      <c r="AA910" s="151"/>
      <c r="AB910" s="151"/>
      <c r="AC910" s="155"/>
      <c r="AD910" s="155"/>
    </row>
    <row r="911" spans="1:30" s="2" customFormat="1" ht="15.5" x14ac:dyDescent="0.35">
      <c r="A911" s="41" t="str">
        <f>IF(F911=" "," ",IF(OR('депозитный калькулятор'!$G$7="30/365",'депозитный калькулятор'!$G$7="30/360"),IF(AND(MONTH(F911)=2,DAY(F911)=DAY(EOMONTH(F911,0))),30-DAY(EOMONTH(F911,0)),IF(DAY(F911)=31,1," "))," "))</f>
        <v xml:space="preserve"> </v>
      </c>
      <c r="B911" s="130" t="str">
        <f t="shared" si="66"/>
        <v xml:space="preserve"> </v>
      </c>
      <c r="C911" s="130" t="str">
        <f>IF(OR(B911=0,B911=" ")," ",SUM($B$23:B911))</f>
        <v xml:space="preserve"> </v>
      </c>
      <c r="D911" s="62" t="str">
        <f>IF(D910=" "," ",IF(OR(F910='депозитный калькулятор'!$D$8,F910=" ")," ",D910+1))</f>
        <v xml:space="preserve"> </v>
      </c>
      <c r="E911" s="130" t="str">
        <f>IF(OR(F910='депозитный калькулятор'!$D$8,F910=" ")," ",IF(EOMONTH(F910,0)=F910,1,E910+1))</f>
        <v xml:space="preserve"> </v>
      </c>
      <c r="F911" s="64" t="str">
        <f>IF(F910=" "," ",IF(F910='депозитный калькулятор'!$D$8," ",F910+1))</f>
        <v xml:space="preserve"> </v>
      </c>
      <c r="G911" s="145" t="str">
        <f xml:space="preserve"> IF(F911&gt;'депозитный калькулятор'!$D$8," ",IF('депозитный калькулятор'!$G$13="есть",IF('депозитный калькулятор'!$G$14="есть",G910+IF(I910=" ",0,I910)-J911-K911+L911+M911-N911,G910+IF(I910=" ",0,I910)-J911-K911+M911-N911),IF('депозитный калькулятор'!$G$14="есть",G910-J911-K911+L911+M911-N911,G910-J911-K911+M911-N911)))</f>
        <v xml:space="preserve"> </v>
      </c>
      <c r="H911" s="133" t="str">
        <f>IF(F911&gt;'депозитный калькулятор'!$D$8," ",IF(AND(OR('депозитный калькулятор'!$G$7="30/365",'депозитный калькулятор'!$G$7="30/360"),AND(MONTH(F911)=2,EOMONTH(F911,0)=F911)),IF(DAY(F911)=28,3*G911*'депозитный калькулятор'!$G$8,2*G911*'депозитный калькулятор'!$G$8),IF(AND(OR('депозитный калькулятор'!$G$7="30/365",'депозитный калькулятор'!$G$7="30/360"),DAY(F911)=31)," ",IF(AND('депозитный калькулятор'!$G$7="факт/факт",MOD(YEAR(F911),4)=0),G911*'депозитный калькулятор'!$D$11/366,G911*'депозитный калькулятор'!$G$8))))</f>
        <v xml:space="preserve"> </v>
      </c>
      <c r="I911" s="134" t="str">
        <f ca="1">IF(F911=" "," ",IF('депозитный калькулятор'!$G$10="ежедневное",H911,IF(AND('депозитный калькулятор'!$G$10="еженедельное",WEEKDAY(F911,2)=7),SUM(OFFSET(H911,-6,0):H911),IF(AND('депозитный калькулятор'!$G$10="еженедельное",F911='депозитный калькулятор'!$D$8),SUM($H$23:H911)-SUM($I$23:I910),IF(AND('депозитный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недели",WEEKDAY(F911,2)=7),MIN(OFFSET(H911,-6,0):H911)*(COUNTIF(OFFSET(H911,-6,0):H911,"&gt;0")+SUMIF(OFFSET(A911,-WEEKDAY(F911,2),0):A911,"=2",OFFSET(A911,-WEEKDAY(F911,2),0):A911)),IF(AND('депозитный калькулятор'!$G$10="еженедельное, на минимальную сумму зафиксированную в течение недели",F911='депозитный калькулятор'!$D$8,WEEKDAY(F911,2)&lt;&gt;7),MIN(OFFSET(H911,-WEEKDAY(F911,2),0):H911)*(COUNTIF(OFFSET(H911,-WEEKDAY(F911,2)+1,0):H911,"&gt;0")+SUM(OFFSET(A911,-WEEKDAY(F911,2),0):A911)),IF(AND('депозитный калькулятор'!$G$10="ежемесячное (в конце месяца)",F911='депозитный калькулятор'!$D$8,EOMONTH(F911,0)&lt;&gt;F911),IF('депозитный калькулятор'!$F$1=1,$H$24,SUM($H$23:H911)-SUM($I$23:I910)),IF(AND('депозитный калькулятор'!$G$10="ежемесячное (в конце месяца)",EOMONTH(F911,0)=F911),SUM($H$23:H911)-SUM($I$23:I910),IF(AND('депозитный калькулятор'!$G$10="ежемесячное (по дням открытия вклада)",F911='депозитный калькулятор'!$D$8,DAY('депозитный калькулятор'!$D$7)&lt;&gt;DAY(F911)),IF('депозитный калькулятор'!$F$1=1,$H$24,SUM($H$23:H911)-SUM($I$23:I910)),IF(AND('депозитный калькулятор'!$G$10="ежемесячное (по дням открытия вклада)",DAY('депозитный калькулятор'!$D$7)=DAY(F911)),SUM($H$23:H911)-SUM($I$23:I910),IF(AND('депозитный калькулятор'!$G$10="ежемесячное, на минимальную сумму зафиксированную в течение месяца",F911='депозитный калькулятор'!$D$8,EOMONTH(F911,0)&lt;&gt;F911),IF('депозитный калькулятор'!$F$1=1,$H$24,IF(AND(OR('депозитный калькулятор'!$G$7="30/365",'депозитный калькулятор'!$G$7="30/360"),DAY(F911)=31),0,MIN(OFFSET(H911,-E911+1,0):H911)*(E911+SUMIF(OFFSET(A911,-E911+1,0):A911,"=2",OFFSET(A911,-E911+1,0):A911)))),IF(AND('депозитный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калькулятор'!$G$7="30/360"),DAY(EOMONTH(F911,0))=31),EOMONTH(F911,0)-1=F911,EOMONTH(F911,0)=F911)),IF(IF(AND(OR('депозитный калькулятор'!$G$7="30/365",'депозитный калькулятор'!$G$7="30/360"),DAY(EOMONTH($F$23,0))=31),F911=EOMONTH($F$23,0)-1,F911=EOMONTH($F$23,0)),MIN(OFFSET(H911,-(DAY(F911)-DAY($F$23)),0):H911)*E911,MIN(OFFSET(H911,-(DAY(F911)-1),0):H911)*IF(AND(OR('депозитный калькулятор'!$G$7="30/365",'депозитный калькулятор'!$G$7="30/360"),DAY(F911)&lt;30),30,DAY(F911))),IF(AND('депозитный калькулятор'!$G$10="ежемесячное, на средний остаток в течение месяца, при условии что остаток больше чем ограничение",F911='депозитный калькулятор'!$D$8,EOMONTH(F911,0)&lt;&gt;F911),IF('депозитный калькулятор'!$F$1=1,$H$24,SUM(OFFSET(Q911,-E911+1,0):Q911)),IF(AND('депозитный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калькулятор'!$G$7="30/360"),DAY(EOMONTH(F911,0))=31),EOMONTH(F911,0)-1=F911,EOMONTH(F911,0)=F911)),IF(IF(AND(OR('депозитный калькулятор'!$G$7="30/365",'депозитный калькулятор'!$G$7="30/360"),DAY(EOMONTH($F$24,0))=31),F911=EOMONTH($F$24,0)-1,F911=EOMONTH($F$24,0)),SUM(OFFSET(Q911,-E911+1,0):Q911),SUM(OFFSET(Q911,-E911+1,0):Q911)),IF('депозитный калькулятор'!$G$10="ежеквартальное",IF(F911&gt;'депозитный калькулятор'!$D$8," ",IF(AND(EOMONTH(F911,0)=F911,OR(MONTH(F911)=3,MONTH(F911)=6,MONTH(F911)=9,MONTH(F911)=12)),IF(EDATE(F911,-3)&lt;'депозитный калькулятор'!$D$7,SUM($H$23:H911),IF(MOD(YEAR(F911),4)=0,IF(AND(EOMONTH(F911,0)=F911,OR(MONTH(F911)=3,MONTH(F911)=6)),SUM(OFFSET(H911,-90,0):H911),IF(AND(EOMONTH(F911,0)=F911,OR(MONTH(F911)=9,MONTH(F911)=12)),SUM(OFFSET(H911,-91,0):H911))),IF(AND(EOMONTH(F911,0)=F911,MONTH(F911)=3),SUM(OFFSET(H911,-89,0):H911),IF(AND(EOMONTH(F911,0)=F911,MONTH(F911)=6),SUM(OFFSET(H911,-90,0):H911),IF(AND(EOMONTH(F911,0)=F911,OR(MONTH(F911)=9,MONTH(F911)=12)),SUM(OFFSET(H911,-91,0):H911)))))),IF(F911='депозитный калькулятор'!$D$8,SUM($H$23:H911)-SUM($I$23:I910),0))),IF('депозитный калькулятор'!$G$10="ежегодное",IF(F911&gt;'депозитный калькулятор'!$D$8," ",IF(F911='депозитный калькулятор'!$D$8,SUM($H$23:H911)-SUM($I$23:I910),IF(AND(EOMONTH(F911,0)=F911,MONTH(F911)=12),IF(MOD(YEAR(F910),4)=0,IF(F911-'депозитный калькулятор'!$D$7&lt;366,SUM($H$23:H911),SUM(OFFSET(H911,-365,0):H911)),IF(F911-'депозитный калькулятор'!$D$7&lt;365,SUM($H$23:H911),SUM(OFFSET(H911,-364,0):H911))),0))),IF(AND('депозитный калькулятор'!$G$10="в конце срока",'депозитный калькулятор'!$D$8=F911),SUM($H$23:H911),0))))))))))))))))))</f>
        <v xml:space="preserve"> </v>
      </c>
      <c r="J911" s="59" t="str">
        <f>IF(F911&gt;'депозитный калькулятор'!$D$8," ",IF('депозитный калькулятор'!$G$16="нет",0,IF(AND('депозитный калькулятор'!$G$17="разовая (в конце срока)",F911='депозитный калькулятор'!$D$8),'депозитный калькулятор'!$G$18,IF(AND('депозитный калькулятор'!$G$17="ежемесячная",EOMONTH(F910,0)=F910),'депозитный калькулятор'!$G$18,IF(AND('депозитный калькулятор'!$G$17="ежегодная",DAY(F910)=31,MONTH(F910)=12),'депозитный калькулятор'!$G$18,IF(AND('депозитный калькулятор'!$G$17="ежемесячная в зависимости от остатка",EOMONTH(F910,0)=F910,P910&gt;0),'депозитный калькулятор'!$G$18,IF(AND('депозитный калькулятор'!$G$17="ежегодная в зависимости от остатка",DAY(F910)=31,MONTH(F910)=12,P910&gt;0),'депозитный калькулятор'!$G$18,0)))))))</f>
        <v xml:space="preserve"> </v>
      </c>
      <c r="K911" s="135" t="str">
        <f>IF($F911=" "," ",IFERROR(VLOOKUP($F911,'депозитный калькулятор'!$B$26:$F$70,2,0),0))</f>
        <v xml:space="preserve"> </v>
      </c>
      <c r="L911" s="135" t="str">
        <f>IF($F911=" "," ",IFERROR(VLOOKUP($F911,'депозитный калькулятор'!$B$26:$F$70,3,0),0))</f>
        <v xml:space="preserve"> </v>
      </c>
      <c r="M911" s="135" t="str">
        <f>IF($F911=" "," ",IFERROR(VLOOKUP($F911,'депозитный калькулятор'!$B$26:$F$70,4,0),0))</f>
        <v xml:space="preserve"> </v>
      </c>
      <c r="N911" s="135" t="str">
        <f>IF($F911=" "," ",IFERROR(VLOOKUP($F911,'депозитный калькулятор'!$B$26:$F$70,5,0),0))</f>
        <v xml:space="preserve"> </v>
      </c>
      <c r="O911" s="146" t="str">
        <f>IF(F911&gt;'депозитный калькулятор'!$D$8," ",IF(F911='депозитный калькулятор'!$D$8,IF(AND($F$24='депозитный калькулятор'!$D$8,'депозитный калькулятор'!$G$13="нет"),-G911-IF(I911=" ",0,I911)-IF(AND(OR('депозитный калькулятор'!$G$7="30/365",'депозитный калькулятор'!$G$7="30/360"),'депозитный калькулятор'!$G$10="в начале срока"),I910,0)-L911+M911-N911,-G911-IF(I911=" ",0,I911)-L911+M911-N911),IF('депозитный калькулятор'!$G$13="есть",M911-N911+IF('депозитный калькулятор'!$G$14="есть",0,-L911),-IF(I911=" ",0,I911)-IF(AND(OR('депозитный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срока"),I910,0)+M911-N911+IF('депозитный калькулятор'!$G$14="есть",0,-L911))))</f>
        <v xml:space="preserve"> </v>
      </c>
      <c r="P911" s="147" t="str">
        <f>IF(F911&gt;'депозитный калькулятор'!$D$8," ",IF(EOMONTH(F910,0)=F910,0,IF(G911&gt;='депозитный калькулятор'!$G$19,P910,P910+1)))</f>
        <v xml:space="preserve"> </v>
      </c>
      <c r="Q911" s="138" t="str">
        <f>IF(F911=" "," ",IF(AND(OR('депозитный калькулятор'!$G$7="30/365",'депозитный калькулятор'!$G$7="30/360"),AND(MONTH(F911)=2,EOMONTH(F911,0)=F911)),IF(DAY(F911)=28,3,2),1)*IF(G911&gt;='депозитный калькулятор'!$G$11,IF(AND('депозитный калькулятор'!$G$7="факт/факт",MOD(YEAR(F911),4)=0),G911*'депозитный калькулятор'!$D$11/366,G911*'депозитный калькулятор'!$G$8),0))</f>
        <v xml:space="preserve"> </v>
      </c>
      <c r="S911" s="62" t="str">
        <f t="shared" ca="1" si="67"/>
        <v xml:space="preserve"> </v>
      </c>
      <c r="T911" s="149" t="str">
        <f ca="1">IF(S911=" "," ",IF('депозитный калькулятор'!$G$7="30/360",DAYS360(U910,IF(DAY(U911)=31,U911-1,U911))+IF(AND(MONTH(U911)=2,U911=EOMONTH(U911,0)),30-DAY(EOMONTH(U911,0)))+T910,VLOOKUP(S911,$C$22:$F$1023,2,0)))</f>
        <v xml:space="preserve"> </v>
      </c>
      <c r="U911" s="64" t="str">
        <f t="shared" ca="1" si="65"/>
        <v xml:space="preserve"> </v>
      </c>
      <c r="V911" s="150" t="str">
        <f t="shared" ca="1" si="68"/>
        <v xml:space="preserve"> </v>
      </c>
      <c r="W911" s="62" t="str">
        <f t="shared" ca="1" si="69"/>
        <v xml:space="preserve"> </v>
      </c>
      <c r="X911" s="141" t="str">
        <f ca="1">IF(S911=" "," ",IFERROR(VLOOKUP(U911,$F$23:$N$1023,7)+VLOOKUP(U911,$F$23:$N$1023,9)+IF(AND('депозитный калькулятор'!$G$13="нет",U911&lt;&gt;'депозитный калькулятор'!$D$8),VLOOKUP(U911,$F$23:$N$1023,4),0),0)+IF(U911='депозитный калькулятор'!$D$8,VLOOKUP(U911,$F$23:$N$1023,2)+VLOOKUP(U911,$F$23:$N$1023,4),0))</f>
        <v xml:space="preserve"> </v>
      </c>
      <c r="Y911" s="142" t="str">
        <f ca="1">IF(S911=" "," ",W911/(1+'депозитный калькулятор'!$K$8)^(T911/IF('депозитный калькулятор'!$G$7="30/360",360,365)))</f>
        <v xml:space="preserve"> </v>
      </c>
      <c r="Z911" s="142" t="str">
        <f ca="1">IF(S911=" "," ",X911/(1+'депозитный калькулятор'!$K$8)^(T911/IF('депозитный калькулятор'!$G$7="30/360",360,365)))</f>
        <v xml:space="preserve"> </v>
      </c>
      <c r="AA911" s="151"/>
      <c r="AB911" s="151"/>
      <c r="AC911" s="155"/>
      <c r="AD911" s="155"/>
    </row>
    <row r="912" spans="1:30" s="2" customFormat="1" ht="15.5" x14ac:dyDescent="0.35">
      <c r="A912" s="41" t="str">
        <f>IF(F912=" "," ",IF(OR('депозитный калькулятор'!$G$7="30/365",'депозитный калькулятор'!$G$7="30/360"),IF(AND(MONTH(F912)=2,DAY(F912)=DAY(EOMONTH(F912,0))),30-DAY(EOMONTH(F912,0)),IF(DAY(F912)=31,1," "))," "))</f>
        <v xml:space="preserve"> </v>
      </c>
      <c r="B912" s="130" t="str">
        <f t="shared" si="66"/>
        <v xml:space="preserve"> </v>
      </c>
      <c r="C912" s="130" t="str">
        <f>IF(OR(B912=0,B912=" ")," ",SUM($B$23:B912))</f>
        <v xml:space="preserve"> </v>
      </c>
      <c r="D912" s="62" t="str">
        <f>IF(D911=" "," ",IF(OR(F911='депозитный калькулятор'!$D$8,F911=" ")," ",D911+1))</f>
        <v xml:space="preserve"> </v>
      </c>
      <c r="E912" s="130" t="str">
        <f>IF(OR(F911='депозитный калькулятор'!$D$8,F911=" ")," ",IF(EOMONTH(F911,0)=F911,1,E911+1))</f>
        <v xml:space="preserve"> </v>
      </c>
      <c r="F912" s="64" t="str">
        <f>IF(F911=" "," ",IF(F911='депозитный калькулятор'!$D$8," ",F911+1))</f>
        <v xml:space="preserve"> </v>
      </c>
      <c r="G912" s="145" t="str">
        <f xml:space="preserve"> IF(F912&gt;'депозитный калькулятор'!$D$8," ",IF('депозитный калькулятор'!$G$13="есть",IF('депозитный калькулятор'!$G$14="есть",G911+IF(I911=" ",0,I911)-J912-K912+L912+M912-N912,G911+IF(I911=" ",0,I911)-J912-K912+M912-N912),IF('депозитный калькулятор'!$G$14="есть",G911-J912-K912+L912+M912-N912,G911-J912-K912+M912-N912)))</f>
        <v xml:space="preserve"> </v>
      </c>
      <c r="H912" s="133" t="str">
        <f>IF(F912&gt;'депозитный калькулятор'!$D$8," ",IF(AND(OR('депозитный калькулятор'!$G$7="30/365",'депозитный калькулятор'!$G$7="30/360"),AND(MONTH(F912)=2,EOMONTH(F912,0)=F912)),IF(DAY(F912)=28,3*G912*'депозитный калькулятор'!$G$8,2*G912*'депозитный калькулятор'!$G$8),IF(AND(OR('депозитный калькулятор'!$G$7="30/365",'депозитный калькулятор'!$G$7="30/360"),DAY(F912)=31)," ",IF(AND('депозитный калькулятор'!$G$7="факт/факт",MOD(YEAR(F912),4)=0),G912*'депозитный калькулятор'!$D$11/366,G912*'депозитный калькулятор'!$G$8))))</f>
        <v xml:space="preserve"> </v>
      </c>
      <c r="I912" s="134" t="str">
        <f ca="1">IF(F912=" "," ",IF('депозитный калькулятор'!$G$10="ежедневное",H912,IF(AND('депозитный калькулятор'!$G$10="еженедельное",WEEKDAY(F912,2)=7),SUM(OFFSET(H912,-6,0):H912),IF(AND('депозитный калькулятор'!$G$10="еженедельное",F912='депозитный калькулятор'!$D$8),SUM($H$23:H912)-SUM($I$23:I911),IF(AND('депозитный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недели",WEEKDAY(F912,2)=7),MIN(OFFSET(H912,-6,0):H912)*(COUNTIF(OFFSET(H912,-6,0):H912,"&gt;0")+SUMIF(OFFSET(A912,-WEEKDAY(F912,2),0):A912,"=2",OFFSET(A912,-WEEKDAY(F912,2),0):A912)),IF(AND('депозитный калькулятор'!$G$10="еженедельное, на минимальную сумму зафиксированную в течение недели",F912='депозитный калькулятор'!$D$8,WEEKDAY(F912,2)&lt;&gt;7),MIN(OFFSET(H912,-WEEKDAY(F912,2),0):H912)*(COUNTIF(OFFSET(H912,-WEEKDAY(F912,2)+1,0):H912,"&gt;0")+SUM(OFFSET(A912,-WEEKDAY(F912,2),0):A912)),IF(AND('депозитный калькулятор'!$G$10="ежемесячное (в конце месяца)",F912='депозитный калькулятор'!$D$8,EOMONTH(F912,0)&lt;&gt;F912),IF('депозитный калькулятор'!$F$1=1,$H$24,SUM($H$23:H912)-SUM($I$23:I911)),IF(AND('депозитный калькулятор'!$G$10="ежемесячное (в конце месяца)",EOMONTH(F912,0)=F912),SUM($H$23:H912)-SUM($I$23:I911),IF(AND('депозитный калькулятор'!$G$10="ежемесячное (по дням открытия вклада)",F912='депозитный калькулятор'!$D$8,DAY('депозитный калькулятор'!$D$7)&lt;&gt;DAY(F912)),IF('депозитный калькулятор'!$F$1=1,$H$24,SUM($H$23:H912)-SUM($I$23:I911)),IF(AND('депозитный калькулятор'!$G$10="ежемесячное (по дням открытия вклада)",DAY('депозитный калькулятор'!$D$7)=DAY(F912)),SUM($H$23:H912)-SUM($I$23:I911),IF(AND('депозитный калькулятор'!$G$10="ежемесячное, на минимальную сумму зафиксированную в течение месяца",F912='депозитный калькулятор'!$D$8,EOMONTH(F912,0)&lt;&gt;F912),IF('депозитный калькулятор'!$F$1=1,$H$24,IF(AND(OR('депозитный калькулятор'!$G$7="30/365",'депозитный калькулятор'!$G$7="30/360"),DAY(F912)=31),0,MIN(OFFSET(H912,-E912+1,0):H912)*(E912+SUMIF(OFFSET(A912,-E912+1,0):A912,"=2",OFFSET(A912,-E912+1,0):A912)))),IF(AND('депозитный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калькулятор'!$G$7="30/360"),DAY(EOMONTH(F912,0))=31),EOMONTH(F912,0)-1=F912,EOMONTH(F912,0)=F912)),IF(IF(AND(OR('депозитный калькулятор'!$G$7="30/365",'депозитный калькулятор'!$G$7="30/360"),DAY(EOMONTH($F$23,0))=31),F912=EOMONTH($F$23,0)-1,F912=EOMONTH($F$23,0)),MIN(OFFSET(H912,-(DAY(F912)-DAY($F$23)),0):H912)*E912,MIN(OFFSET(H912,-(DAY(F912)-1),0):H912)*IF(AND(OR('депозитный калькулятор'!$G$7="30/365",'депозитный калькулятор'!$G$7="30/360"),DAY(F912)&lt;30),30,DAY(F912))),IF(AND('депозитный калькулятор'!$G$10="ежемесячное, на средний остаток в течение месяца, при условии что остаток больше чем ограничение",F912='депозитный калькулятор'!$D$8,EOMONTH(F912,0)&lt;&gt;F912),IF('депозитный калькулятор'!$F$1=1,$H$24,SUM(OFFSET(Q912,-E912+1,0):Q912)),IF(AND('депозитный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калькулятор'!$G$7="30/360"),DAY(EOMONTH(F912,0))=31),EOMONTH(F912,0)-1=F912,EOMONTH(F912,0)=F912)),IF(IF(AND(OR('депозитный калькулятор'!$G$7="30/365",'депозитный калькулятор'!$G$7="30/360"),DAY(EOMONTH($F$24,0))=31),F912=EOMONTH($F$24,0)-1,F912=EOMONTH($F$24,0)),SUM(OFFSET(Q912,-E912+1,0):Q912),SUM(OFFSET(Q912,-E912+1,0):Q912)),IF('депозитный калькулятор'!$G$10="ежеквартальное",IF(F912&gt;'депозитный калькулятор'!$D$8," ",IF(AND(EOMONTH(F912,0)=F912,OR(MONTH(F912)=3,MONTH(F912)=6,MONTH(F912)=9,MONTH(F912)=12)),IF(EDATE(F912,-3)&lt;'депозитный калькулятор'!$D$7,SUM($H$23:H912),IF(MOD(YEAR(F912),4)=0,IF(AND(EOMONTH(F912,0)=F912,OR(MONTH(F912)=3,MONTH(F912)=6)),SUM(OFFSET(H912,-90,0):H912),IF(AND(EOMONTH(F912,0)=F912,OR(MONTH(F912)=9,MONTH(F912)=12)),SUM(OFFSET(H912,-91,0):H912))),IF(AND(EOMONTH(F912,0)=F912,MONTH(F912)=3),SUM(OFFSET(H912,-89,0):H912),IF(AND(EOMONTH(F912,0)=F912,MONTH(F912)=6),SUM(OFFSET(H912,-90,0):H912),IF(AND(EOMONTH(F912,0)=F912,OR(MONTH(F912)=9,MONTH(F912)=12)),SUM(OFFSET(H912,-91,0):H912)))))),IF(F912='депозитный калькулятор'!$D$8,SUM($H$23:H912)-SUM($I$23:I911),0))),IF('депозитный калькулятор'!$G$10="ежегодное",IF(F912&gt;'депозитный калькулятор'!$D$8," ",IF(F912='депозитный калькулятор'!$D$8,SUM($H$23:H912)-SUM($I$23:I911),IF(AND(EOMONTH(F912,0)=F912,MONTH(F912)=12),IF(MOD(YEAR(F911),4)=0,IF(F912-'депозитный калькулятор'!$D$7&lt;366,SUM($H$23:H912),SUM(OFFSET(H912,-365,0):H912)),IF(F912-'депозитный калькулятор'!$D$7&lt;365,SUM($H$23:H912),SUM(OFFSET(H912,-364,0):H912))),0))),IF(AND('депозитный калькулятор'!$G$10="в конце срока",'депозитный калькулятор'!$D$8=F912),SUM($H$23:H912),0))))))))))))))))))</f>
        <v xml:space="preserve"> </v>
      </c>
      <c r="J912" s="59" t="str">
        <f>IF(F912&gt;'депозитный калькулятор'!$D$8," ",IF('депозитный калькулятор'!$G$16="нет",0,IF(AND('депозитный калькулятор'!$G$17="разовая (в конце срока)",F912='депозитный калькулятор'!$D$8),'депозитный калькулятор'!$G$18,IF(AND('депозитный калькулятор'!$G$17="ежемесячная",EOMONTH(F911,0)=F911),'депозитный калькулятор'!$G$18,IF(AND('депозитный калькулятор'!$G$17="ежегодная",DAY(F911)=31,MONTH(F911)=12),'депозитный калькулятор'!$G$18,IF(AND('депозитный калькулятор'!$G$17="ежемесячная в зависимости от остатка",EOMONTH(F911,0)=F911,P911&gt;0),'депозитный калькулятор'!$G$18,IF(AND('депозитный калькулятор'!$G$17="ежегодная в зависимости от остатка",DAY(F911)=31,MONTH(F911)=12,P911&gt;0),'депозитный калькулятор'!$G$18,0)))))))</f>
        <v xml:space="preserve"> </v>
      </c>
      <c r="K912" s="135" t="str">
        <f>IF($F912=" "," ",IFERROR(VLOOKUP($F912,'депозитный калькулятор'!$B$26:$F$70,2,0),0))</f>
        <v xml:space="preserve"> </v>
      </c>
      <c r="L912" s="135" t="str">
        <f>IF($F912=" "," ",IFERROR(VLOOKUP($F912,'депозитный калькулятор'!$B$26:$F$70,3,0),0))</f>
        <v xml:space="preserve"> </v>
      </c>
      <c r="M912" s="135" t="str">
        <f>IF($F912=" "," ",IFERROR(VLOOKUP($F912,'депозитный калькулятор'!$B$26:$F$70,4,0),0))</f>
        <v xml:space="preserve"> </v>
      </c>
      <c r="N912" s="135" t="str">
        <f>IF($F912=" "," ",IFERROR(VLOOKUP($F912,'депозитный калькулятор'!$B$26:$F$70,5,0),0))</f>
        <v xml:space="preserve"> </v>
      </c>
      <c r="O912" s="146" t="str">
        <f>IF(F912&gt;'депозитный калькулятор'!$D$8," ",IF(F912='депозитный калькулятор'!$D$8,IF(AND($F$24='депозитный калькулятор'!$D$8,'депозитный калькулятор'!$G$13="нет"),-G912-IF(I912=" ",0,I912)-IF(AND(OR('депозитный калькулятор'!$G$7="30/365",'депозитный калькулятор'!$G$7="30/360"),'депозитный калькулятор'!$G$10="в начале срока"),I911,0)-L912+M912-N912,-G912-IF(I912=" ",0,I912)-L912+M912-N912),IF('депозитный калькулятор'!$G$13="есть",M912-N912+IF('депозитный калькулятор'!$G$14="есть",0,-L912),-IF(I912=" ",0,I912)-IF(AND(OR('депозитный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срока"),I911,0)+M912-N912+IF('депозитный калькулятор'!$G$14="есть",0,-L912))))</f>
        <v xml:space="preserve"> </v>
      </c>
      <c r="P912" s="147" t="str">
        <f>IF(F912&gt;'депозитный калькулятор'!$D$8," ",IF(EOMONTH(F911,0)=F911,0,IF(G912&gt;='депозитный калькулятор'!$G$19,P911,P911+1)))</f>
        <v xml:space="preserve"> </v>
      </c>
      <c r="Q912" s="138" t="str">
        <f>IF(F912=" "," ",IF(AND(OR('депозитный калькулятор'!$G$7="30/365",'депозитный калькулятор'!$G$7="30/360"),AND(MONTH(F912)=2,EOMONTH(F912,0)=F912)),IF(DAY(F912)=28,3,2),1)*IF(G912&gt;='депозитный калькулятор'!$G$11,IF(AND('депозитный калькулятор'!$G$7="факт/факт",MOD(YEAR(F912),4)=0),G912*'депозитный калькулятор'!$D$11/366,G912*'депозитный калькулятор'!$G$8),0))</f>
        <v xml:space="preserve"> </v>
      </c>
      <c r="S912" s="62" t="str">
        <f t="shared" ca="1" si="67"/>
        <v xml:space="preserve"> </v>
      </c>
      <c r="T912" s="149" t="str">
        <f ca="1">IF(S912=" "," ",IF('депозитный калькулятор'!$G$7="30/360",DAYS360(U911,IF(DAY(U912)=31,U912-1,U912))+IF(AND(MONTH(U912)=2,U912=EOMONTH(U912,0)),30-DAY(EOMONTH(U912,0)))+T911,VLOOKUP(S912,$C$22:$F$1023,2,0)))</f>
        <v xml:space="preserve"> </v>
      </c>
      <c r="U912" s="64" t="str">
        <f t="shared" ca="1" si="65"/>
        <v xml:space="preserve"> </v>
      </c>
      <c r="V912" s="150" t="str">
        <f t="shared" ca="1" si="68"/>
        <v xml:space="preserve"> </v>
      </c>
      <c r="W912" s="62" t="str">
        <f t="shared" ca="1" si="69"/>
        <v xml:space="preserve"> </v>
      </c>
      <c r="X912" s="141" t="str">
        <f ca="1">IF(S912=" "," ",IFERROR(VLOOKUP(U912,$F$23:$N$1023,7)+VLOOKUP(U912,$F$23:$N$1023,9)+IF(AND('депозитный калькулятор'!$G$13="нет",U912&lt;&gt;'депозитный калькулятор'!$D$8),VLOOKUP(U912,$F$23:$N$1023,4),0),0)+IF(U912='депозитный калькулятор'!$D$8,VLOOKUP(U912,$F$23:$N$1023,2)+VLOOKUP(U912,$F$23:$N$1023,4),0))</f>
        <v xml:space="preserve"> </v>
      </c>
      <c r="Y912" s="142" t="str">
        <f ca="1">IF(S912=" "," ",W912/(1+'депозитный калькулятор'!$K$8)^(T912/IF('депозитный калькулятор'!$G$7="30/360",360,365)))</f>
        <v xml:space="preserve"> </v>
      </c>
      <c r="Z912" s="142" t="str">
        <f ca="1">IF(S912=" "," ",X912/(1+'депозитный калькулятор'!$K$8)^(T912/IF('депозитный калькулятор'!$G$7="30/360",360,365)))</f>
        <v xml:space="preserve"> </v>
      </c>
      <c r="AA912" s="151"/>
      <c r="AB912" s="151"/>
      <c r="AC912" s="155"/>
      <c r="AD912" s="155"/>
    </row>
    <row r="913" spans="1:30" s="2" customFormat="1" ht="15.5" x14ac:dyDescent="0.35">
      <c r="A913" s="41" t="str">
        <f>IF(F913=" "," ",IF(OR('депозитный калькулятор'!$G$7="30/365",'депозитный калькулятор'!$G$7="30/360"),IF(AND(MONTH(F913)=2,DAY(F913)=DAY(EOMONTH(F913,0))),30-DAY(EOMONTH(F913,0)),IF(DAY(F913)=31,1," "))," "))</f>
        <v xml:space="preserve"> </v>
      </c>
      <c r="B913" s="130" t="str">
        <f t="shared" si="66"/>
        <v xml:space="preserve"> </v>
      </c>
      <c r="C913" s="130" t="str">
        <f>IF(OR(B913=0,B913=" ")," ",SUM($B$23:B913))</f>
        <v xml:space="preserve"> </v>
      </c>
      <c r="D913" s="62" t="str">
        <f>IF(D912=" "," ",IF(OR(F912='депозитный калькулятор'!$D$8,F912=" ")," ",D912+1))</f>
        <v xml:space="preserve"> </v>
      </c>
      <c r="E913" s="130" t="str">
        <f>IF(OR(F912='депозитный калькулятор'!$D$8,F912=" ")," ",IF(EOMONTH(F912,0)=F912,1,E912+1))</f>
        <v xml:space="preserve"> </v>
      </c>
      <c r="F913" s="64" t="str">
        <f>IF(F912=" "," ",IF(F912='депозитный калькулятор'!$D$8," ",F912+1))</f>
        <v xml:space="preserve"> </v>
      </c>
      <c r="G913" s="145" t="str">
        <f xml:space="preserve"> IF(F913&gt;'депозитный калькулятор'!$D$8," ",IF('депозитный калькулятор'!$G$13="есть",IF('депозитный калькулятор'!$G$14="есть",G912+IF(I912=" ",0,I912)-J913-K913+L913+M913-N913,G912+IF(I912=" ",0,I912)-J913-K913+M913-N913),IF('депозитный калькулятор'!$G$14="есть",G912-J913-K913+L913+M913-N913,G912-J913-K913+M913-N913)))</f>
        <v xml:space="preserve"> </v>
      </c>
      <c r="H913" s="133" t="str">
        <f>IF(F913&gt;'депозитный калькулятор'!$D$8," ",IF(AND(OR('депозитный калькулятор'!$G$7="30/365",'депозитный калькулятор'!$G$7="30/360"),AND(MONTH(F913)=2,EOMONTH(F913,0)=F913)),IF(DAY(F913)=28,3*G913*'депозитный калькулятор'!$G$8,2*G913*'депозитный калькулятор'!$G$8),IF(AND(OR('депозитный калькулятор'!$G$7="30/365",'депозитный калькулятор'!$G$7="30/360"),DAY(F913)=31)," ",IF(AND('депозитный калькулятор'!$G$7="факт/факт",MOD(YEAR(F913),4)=0),G913*'депозитный калькулятор'!$D$11/366,G913*'депозитный калькулятор'!$G$8))))</f>
        <v xml:space="preserve"> </v>
      </c>
      <c r="I913" s="134" t="str">
        <f ca="1">IF(F913=" "," ",IF('депозитный калькулятор'!$G$10="ежедневное",H913,IF(AND('депозитный калькулятор'!$G$10="еженедельное",WEEKDAY(F913,2)=7),SUM(OFFSET(H913,-6,0):H913),IF(AND('депозитный калькулятор'!$G$10="еженедельное",F913='депозитный калькулятор'!$D$8),SUM($H$23:H913)-SUM($I$23:I912),IF(AND('депозитный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недели",WEEKDAY(F913,2)=7),MIN(OFFSET(H913,-6,0):H913)*(COUNTIF(OFFSET(H913,-6,0):H913,"&gt;0")+SUMIF(OFFSET(A913,-WEEKDAY(F913,2),0):A913,"=2",OFFSET(A913,-WEEKDAY(F913,2),0):A913)),IF(AND('депозитный калькулятор'!$G$10="еженедельное, на минимальную сумму зафиксированную в течение недели",F913='депозитный калькулятор'!$D$8,WEEKDAY(F913,2)&lt;&gt;7),MIN(OFFSET(H913,-WEEKDAY(F913,2),0):H913)*(COUNTIF(OFFSET(H913,-WEEKDAY(F913,2)+1,0):H913,"&gt;0")+SUM(OFFSET(A913,-WEEKDAY(F913,2),0):A913)),IF(AND('депозитный калькулятор'!$G$10="ежемесячное (в конце месяца)",F913='депозитный калькулятор'!$D$8,EOMONTH(F913,0)&lt;&gt;F913),IF('депозитный калькулятор'!$F$1=1,$H$24,SUM($H$23:H913)-SUM($I$23:I912)),IF(AND('депозитный калькулятор'!$G$10="ежемесячное (в конце месяца)",EOMONTH(F913,0)=F913),SUM($H$23:H913)-SUM($I$23:I912),IF(AND('депозитный калькулятор'!$G$10="ежемесячное (по дням открытия вклада)",F913='депозитный калькулятор'!$D$8,DAY('депозитный калькулятор'!$D$7)&lt;&gt;DAY(F913)),IF('депозитный калькулятор'!$F$1=1,$H$24,SUM($H$23:H913)-SUM($I$23:I912)),IF(AND('депозитный калькулятор'!$G$10="ежемесячное (по дням открытия вклада)",DAY('депозитный калькулятор'!$D$7)=DAY(F913)),SUM($H$23:H913)-SUM($I$23:I912),IF(AND('депозитный калькулятор'!$G$10="ежемесячное, на минимальную сумму зафиксированную в течение месяца",F913='депозитный калькулятор'!$D$8,EOMONTH(F913,0)&lt;&gt;F913),IF('депозитный калькулятор'!$F$1=1,$H$24,IF(AND(OR('депозитный калькулятор'!$G$7="30/365",'депозитный калькулятор'!$G$7="30/360"),DAY(F913)=31),0,MIN(OFFSET(H913,-E913+1,0):H913)*(E913+SUMIF(OFFSET(A913,-E913+1,0):A913,"=2",OFFSET(A913,-E913+1,0):A913)))),IF(AND('депозитный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калькулятор'!$G$7="30/360"),DAY(EOMONTH(F913,0))=31),EOMONTH(F913,0)-1=F913,EOMONTH(F913,0)=F913)),IF(IF(AND(OR('депозитный калькулятор'!$G$7="30/365",'депозитный калькулятор'!$G$7="30/360"),DAY(EOMONTH($F$23,0))=31),F913=EOMONTH($F$23,0)-1,F913=EOMONTH($F$23,0)),MIN(OFFSET(H913,-(DAY(F913)-DAY($F$23)),0):H913)*E913,MIN(OFFSET(H913,-(DAY(F913)-1),0):H913)*IF(AND(OR('депозитный калькулятор'!$G$7="30/365",'депозитный калькулятор'!$G$7="30/360"),DAY(F913)&lt;30),30,DAY(F913))),IF(AND('депозитный калькулятор'!$G$10="ежемесячное, на средний остаток в течение месяца, при условии что остаток больше чем ограничение",F913='депозитный калькулятор'!$D$8,EOMONTH(F913,0)&lt;&gt;F913),IF('депозитный калькулятор'!$F$1=1,$H$24,SUM(OFFSET(Q913,-E913+1,0):Q913)),IF(AND('депозитный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калькулятор'!$G$7="30/360"),DAY(EOMONTH(F913,0))=31),EOMONTH(F913,0)-1=F913,EOMONTH(F913,0)=F913)),IF(IF(AND(OR('депозитный калькулятор'!$G$7="30/365",'депозитный калькулятор'!$G$7="30/360"),DAY(EOMONTH($F$24,0))=31),F913=EOMONTH($F$24,0)-1,F913=EOMONTH($F$24,0)),SUM(OFFSET(Q913,-E913+1,0):Q913),SUM(OFFSET(Q913,-E913+1,0):Q913)),IF('депозитный калькулятор'!$G$10="ежеквартальное",IF(F913&gt;'депозитный калькулятор'!$D$8," ",IF(AND(EOMONTH(F913,0)=F913,OR(MONTH(F913)=3,MONTH(F913)=6,MONTH(F913)=9,MONTH(F913)=12)),IF(EDATE(F913,-3)&lt;'депозитный калькулятор'!$D$7,SUM($H$23:H913),IF(MOD(YEAR(F913),4)=0,IF(AND(EOMONTH(F913,0)=F913,OR(MONTH(F913)=3,MONTH(F913)=6)),SUM(OFFSET(H913,-90,0):H913),IF(AND(EOMONTH(F913,0)=F913,OR(MONTH(F913)=9,MONTH(F913)=12)),SUM(OFFSET(H913,-91,0):H913))),IF(AND(EOMONTH(F913,0)=F913,MONTH(F913)=3),SUM(OFFSET(H913,-89,0):H913),IF(AND(EOMONTH(F913,0)=F913,MONTH(F913)=6),SUM(OFFSET(H913,-90,0):H913),IF(AND(EOMONTH(F913,0)=F913,OR(MONTH(F913)=9,MONTH(F913)=12)),SUM(OFFSET(H913,-91,0):H913)))))),IF(F913='депозитный калькулятор'!$D$8,SUM($H$23:H913)-SUM($I$23:I912),0))),IF('депозитный калькулятор'!$G$10="ежегодное",IF(F913&gt;'депозитный калькулятор'!$D$8," ",IF(F913='депозитный калькулятор'!$D$8,SUM($H$23:H913)-SUM($I$23:I912),IF(AND(EOMONTH(F913,0)=F913,MONTH(F913)=12),IF(MOD(YEAR(F912),4)=0,IF(F913-'депозитный калькулятор'!$D$7&lt;366,SUM($H$23:H913),SUM(OFFSET(H913,-365,0):H913)),IF(F913-'депозитный калькулятор'!$D$7&lt;365,SUM($H$23:H913),SUM(OFFSET(H913,-364,0):H913))),0))),IF(AND('депозитный калькулятор'!$G$10="в конце срока",'депозитный калькулятор'!$D$8=F913),SUM($H$23:H913),0))))))))))))))))))</f>
        <v xml:space="preserve"> </v>
      </c>
      <c r="J913" s="59" t="str">
        <f>IF(F913&gt;'депозитный калькулятор'!$D$8," ",IF('депозитный калькулятор'!$G$16="нет",0,IF(AND('депозитный калькулятор'!$G$17="разовая (в конце срока)",F913='депозитный калькулятор'!$D$8),'депозитный калькулятор'!$G$18,IF(AND('депозитный калькулятор'!$G$17="ежемесячная",EOMONTH(F912,0)=F912),'депозитный калькулятор'!$G$18,IF(AND('депозитный калькулятор'!$G$17="ежегодная",DAY(F912)=31,MONTH(F912)=12),'депозитный калькулятор'!$G$18,IF(AND('депозитный калькулятор'!$G$17="ежемесячная в зависимости от остатка",EOMONTH(F912,0)=F912,P912&gt;0),'депозитный калькулятор'!$G$18,IF(AND('депозитный калькулятор'!$G$17="ежегодная в зависимости от остатка",DAY(F912)=31,MONTH(F912)=12,P912&gt;0),'депозитный калькулятор'!$G$18,0)))))))</f>
        <v xml:space="preserve"> </v>
      </c>
      <c r="K913" s="135" t="str">
        <f>IF($F913=" "," ",IFERROR(VLOOKUP($F913,'депозитный калькулятор'!$B$26:$F$70,2,0),0))</f>
        <v xml:space="preserve"> </v>
      </c>
      <c r="L913" s="135" t="str">
        <f>IF($F913=" "," ",IFERROR(VLOOKUP($F913,'депозитный калькулятор'!$B$26:$F$70,3,0),0))</f>
        <v xml:space="preserve"> </v>
      </c>
      <c r="M913" s="135" t="str">
        <f>IF($F913=" "," ",IFERROR(VLOOKUP($F913,'депозитный калькулятор'!$B$26:$F$70,4,0),0))</f>
        <v xml:space="preserve"> </v>
      </c>
      <c r="N913" s="135" t="str">
        <f>IF($F913=" "," ",IFERROR(VLOOKUP($F913,'депозитный калькулятор'!$B$26:$F$70,5,0),0))</f>
        <v xml:space="preserve"> </v>
      </c>
      <c r="O913" s="146" t="str">
        <f>IF(F913&gt;'депозитный калькулятор'!$D$8," ",IF(F913='депозитный калькулятор'!$D$8,IF(AND($F$24='депозитный калькулятор'!$D$8,'депозитный калькулятор'!$G$13="нет"),-G913-IF(I913=" ",0,I913)-IF(AND(OR('депозитный калькулятор'!$G$7="30/365",'депозитный калькулятор'!$G$7="30/360"),'депозитный калькулятор'!$G$10="в начале срока"),I912,0)-L913+M913-N913,-G913-IF(I913=" ",0,I913)-L913+M913-N913),IF('депозитный калькулятор'!$G$13="есть",M913-N913+IF('депозитный калькулятор'!$G$14="есть",0,-L913),-IF(I913=" ",0,I913)-IF(AND(OR('депозитный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срока"),I912,0)+M913-N913+IF('депозитный калькулятор'!$G$14="есть",0,-L913))))</f>
        <v xml:space="preserve"> </v>
      </c>
      <c r="P913" s="147" t="str">
        <f>IF(F913&gt;'депозитный калькулятор'!$D$8," ",IF(EOMONTH(F912,0)=F912,0,IF(G913&gt;='депозитный калькулятор'!$G$19,P912,P912+1)))</f>
        <v xml:space="preserve"> </v>
      </c>
      <c r="Q913" s="138" t="str">
        <f>IF(F913=" "," ",IF(AND(OR('депозитный калькулятор'!$G$7="30/365",'депозитный калькулятор'!$G$7="30/360"),AND(MONTH(F913)=2,EOMONTH(F913,0)=F913)),IF(DAY(F913)=28,3,2),1)*IF(G913&gt;='депозитный калькулятор'!$G$11,IF(AND('депозитный калькулятор'!$G$7="факт/факт",MOD(YEAR(F913),4)=0),G913*'депозитный калькулятор'!$D$11/366,G913*'депозитный калькулятор'!$G$8),0))</f>
        <v xml:space="preserve"> </v>
      </c>
      <c r="S913" s="62" t="str">
        <f t="shared" ca="1" si="67"/>
        <v xml:space="preserve"> </v>
      </c>
      <c r="T913" s="149" t="str">
        <f ca="1">IF(S913=" "," ",IF('депозитный калькулятор'!$G$7="30/360",DAYS360(U912,IF(DAY(U913)=31,U913-1,U913))+IF(AND(MONTH(U913)=2,U913=EOMONTH(U913,0)),30-DAY(EOMONTH(U913,0)))+T912,VLOOKUP(S913,$C$22:$F$1023,2,0)))</f>
        <v xml:space="preserve"> </v>
      </c>
      <c r="U913" s="64" t="str">
        <f t="shared" ca="1" si="65"/>
        <v xml:space="preserve"> </v>
      </c>
      <c r="V913" s="150" t="str">
        <f t="shared" ca="1" si="68"/>
        <v xml:space="preserve"> </v>
      </c>
      <c r="W913" s="62" t="str">
        <f t="shared" ca="1" si="69"/>
        <v xml:space="preserve"> </v>
      </c>
      <c r="X913" s="141" t="str">
        <f ca="1">IF(S913=" "," ",IFERROR(VLOOKUP(U913,$F$23:$N$1023,7)+VLOOKUP(U913,$F$23:$N$1023,9)+IF(AND('депозитный калькулятор'!$G$13="нет",U913&lt;&gt;'депозитный калькулятор'!$D$8),VLOOKUP(U913,$F$23:$N$1023,4),0),0)+IF(U913='депозитный калькулятор'!$D$8,VLOOKUP(U913,$F$23:$N$1023,2)+VLOOKUP(U913,$F$23:$N$1023,4),0))</f>
        <v xml:space="preserve"> </v>
      </c>
      <c r="Y913" s="142" t="str">
        <f ca="1">IF(S913=" "," ",W913/(1+'депозитный калькулятор'!$K$8)^(T913/IF('депозитный калькулятор'!$G$7="30/360",360,365)))</f>
        <v xml:space="preserve"> </v>
      </c>
      <c r="Z913" s="142" t="str">
        <f ca="1">IF(S913=" "," ",X913/(1+'депозитный калькулятор'!$K$8)^(T913/IF('депозитный калькулятор'!$G$7="30/360",360,365)))</f>
        <v xml:space="preserve"> </v>
      </c>
      <c r="AA913" s="151"/>
      <c r="AB913" s="151"/>
      <c r="AC913" s="155"/>
      <c r="AD913" s="155"/>
    </row>
    <row r="914" spans="1:30" s="2" customFormat="1" ht="15.5" x14ac:dyDescent="0.35">
      <c r="A914" s="41" t="str">
        <f>IF(F914=" "," ",IF(OR('депозитный калькулятор'!$G$7="30/365",'депозитный калькулятор'!$G$7="30/360"),IF(AND(MONTH(F914)=2,DAY(F914)=DAY(EOMONTH(F914,0))),30-DAY(EOMONTH(F914,0)),IF(DAY(F914)=31,1," "))," "))</f>
        <v xml:space="preserve"> </v>
      </c>
      <c r="B914" s="130" t="str">
        <f t="shared" si="66"/>
        <v xml:space="preserve"> </v>
      </c>
      <c r="C914" s="130" t="str">
        <f>IF(OR(B914=0,B914=" ")," ",SUM($B$23:B914))</f>
        <v xml:space="preserve"> </v>
      </c>
      <c r="D914" s="62" t="str">
        <f>IF(D913=" "," ",IF(OR(F913='депозитный калькулятор'!$D$8,F913=" ")," ",D913+1))</f>
        <v xml:space="preserve"> </v>
      </c>
      <c r="E914" s="130" t="str">
        <f>IF(OR(F913='депозитный калькулятор'!$D$8,F913=" ")," ",IF(EOMONTH(F913,0)=F913,1,E913+1))</f>
        <v xml:space="preserve"> </v>
      </c>
      <c r="F914" s="64" t="str">
        <f>IF(F913=" "," ",IF(F913='депозитный калькулятор'!$D$8," ",F913+1))</f>
        <v xml:space="preserve"> </v>
      </c>
      <c r="G914" s="145" t="str">
        <f xml:space="preserve"> IF(F914&gt;'депозитный калькулятор'!$D$8," ",IF('депозитный калькулятор'!$G$13="есть",IF('депозитный калькулятор'!$G$14="есть",G913+IF(I913=" ",0,I913)-J914-K914+L914+M914-N914,G913+IF(I913=" ",0,I913)-J914-K914+M914-N914),IF('депозитный калькулятор'!$G$14="есть",G913-J914-K914+L914+M914-N914,G913-J914-K914+M914-N914)))</f>
        <v xml:space="preserve"> </v>
      </c>
      <c r="H914" s="133" t="str">
        <f>IF(F914&gt;'депозитный калькулятор'!$D$8," ",IF(AND(OR('депозитный калькулятор'!$G$7="30/365",'депозитный калькулятор'!$G$7="30/360"),AND(MONTH(F914)=2,EOMONTH(F914,0)=F914)),IF(DAY(F914)=28,3*G914*'депозитный калькулятор'!$G$8,2*G914*'депозитный калькулятор'!$G$8),IF(AND(OR('депозитный калькулятор'!$G$7="30/365",'депозитный калькулятор'!$G$7="30/360"),DAY(F914)=31)," ",IF(AND('депозитный калькулятор'!$G$7="факт/факт",MOD(YEAR(F914),4)=0),G914*'депозитный калькулятор'!$D$11/366,G914*'депозитный калькулятор'!$G$8))))</f>
        <v xml:space="preserve"> </v>
      </c>
      <c r="I914" s="134" t="str">
        <f ca="1">IF(F914=" "," ",IF('депозитный калькулятор'!$G$10="ежедневное",H914,IF(AND('депозитный калькулятор'!$G$10="еженедельное",WEEKDAY(F914,2)=7),SUM(OFFSET(H914,-6,0):H914),IF(AND('депозитный калькулятор'!$G$10="еженедельное",F914='депозитный калькулятор'!$D$8),SUM($H$23:H914)-SUM($I$23:I913),IF(AND('депозитный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недели",WEEKDAY(F914,2)=7),MIN(OFFSET(H914,-6,0):H914)*(COUNTIF(OFFSET(H914,-6,0):H914,"&gt;0")+SUMIF(OFFSET(A914,-WEEKDAY(F914,2),0):A914,"=2",OFFSET(A914,-WEEKDAY(F914,2),0):A914)),IF(AND('депозитный калькулятор'!$G$10="еженедельное, на минимальную сумму зафиксированную в течение недели",F914='депозитный калькулятор'!$D$8,WEEKDAY(F914,2)&lt;&gt;7),MIN(OFFSET(H914,-WEEKDAY(F914,2),0):H914)*(COUNTIF(OFFSET(H914,-WEEKDAY(F914,2)+1,0):H914,"&gt;0")+SUM(OFFSET(A914,-WEEKDAY(F914,2),0):A914)),IF(AND('депозитный калькулятор'!$G$10="ежемесячное (в конце месяца)",F914='депозитный калькулятор'!$D$8,EOMONTH(F914,0)&lt;&gt;F914),IF('депозитный калькулятор'!$F$1=1,$H$24,SUM($H$23:H914)-SUM($I$23:I913)),IF(AND('депозитный калькулятор'!$G$10="ежемесячное (в конце месяца)",EOMONTH(F914,0)=F914),SUM($H$23:H914)-SUM($I$23:I913),IF(AND('депозитный калькулятор'!$G$10="ежемесячное (по дням открытия вклада)",F914='депозитный калькулятор'!$D$8,DAY('депозитный калькулятор'!$D$7)&lt;&gt;DAY(F914)),IF('депозитный калькулятор'!$F$1=1,$H$24,SUM($H$23:H914)-SUM($I$23:I913)),IF(AND('депозитный калькулятор'!$G$10="ежемесячное (по дням открытия вклада)",DAY('депозитный калькулятор'!$D$7)=DAY(F914)),SUM($H$23:H914)-SUM($I$23:I913),IF(AND('депозитный калькулятор'!$G$10="ежемесячное, на минимальную сумму зафиксированную в течение месяца",F914='депозитный калькулятор'!$D$8,EOMONTH(F914,0)&lt;&gt;F914),IF('депозитный калькулятор'!$F$1=1,$H$24,IF(AND(OR('депозитный калькулятор'!$G$7="30/365",'депозитный калькулятор'!$G$7="30/360"),DAY(F914)=31),0,MIN(OFFSET(H914,-E914+1,0):H914)*(E914+SUMIF(OFFSET(A914,-E914+1,0):A914,"=2",OFFSET(A914,-E914+1,0):A914)))),IF(AND('депозитный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калькулятор'!$G$7="30/360"),DAY(EOMONTH(F914,0))=31),EOMONTH(F914,0)-1=F914,EOMONTH(F914,0)=F914)),IF(IF(AND(OR('депозитный калькулятор'!$G$7="30/365",'депозитный калькулятор'!$G$7="30/360"),DAY(EOMONTH($F$23,0))=31),F914=EOMONTH($F$23,0)-1,F914=EOMONTH($F$23,0)),MIN(OFFSET(H914,-(DAY(F914)-DAY($F$23)),0):H914)*E914,MIN(OFFSET(H914,-(DAY(F914)-1),0):H914)*IF(AND(OR('депозитный калькулятор'!$G$7="30/365",'депозитный калькулятор'!$G$7="30/360"),DAY(F914)&lt;30),30,DAY(F914))),IF(AND('депозитный калькулятор'!$G$10="ежемесячное, на средний остаток в течение месяца, при условии что остаток больше чем ограничение",F914='депозитный калькулятор'!$D$8,EOMONTH(F914,0)&lt;&gt;F914),IF('депозитный калькулятор'!$F$1=1,$H$24,SUM(OFFSET(Q914,-E914+1,0):Q914)),IF(AND('депозитный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калькулятор'!$G$7="30/360"),DAY(EOMONTH(F914,0))=31),EOMONTH(F914,0)-1=F914,EOMONTH(F914,0)=F914)),IF(IF(AND(OR('депозитный калькулятор'!$G$7="30/365",'депозитный калькулятор'!$G$7="30/360"),DAY(EOMONTH($F$24,0))=31),F914=EOMONTH($F$24,0)-1,F914=EOMONTH($F$24,0)),SUM(OFFSET(Q914,-E914+1,0):Q914),SUM(OFFSET(Q914,-E914+1,0):Q914)),IF('депозитный калькулятор'!$G$10="ежеквартальное",IF(F914&gt;'депозитный калькулятор'!$D$8," ",IF(AND(EOMONTH(F914,0)=F914,OR(MONTH(F914)=3,MONTH(F914)=6,MONTH(F914)=9,MONTH(F914)=12)),IF(EDATE(F914,-3)&lt;'депозитный калькулятор'!$D$7,SUM($H$23:H914),IF(MOD(YEAR(F914),4)=0,IF(AND(EOMONTH(F914,0)=F914,OR(MONTH(F914)=3,MONTH(F914)=6)),SUM(OFFSET(H914,-90,0):H914),IF(AND(EOMONTH(F914,0)=F914,OR(MONTH(F914)=9,MONTH(F914)=12)),SUM(OFFSET(H914,-91,0):H914))),IF(AND(EOMONTH(F914,0)=F914,MONTH(F914)=3),SUM(OFFSET(H914,-89,0):H914),IF(AND(EOMONTH(F914,0)=F914,MONTH(F914)=6),SUM(OFFSET(H914,-90,0):H914),IF(AND(EOMONTH(F914,0)=F914,OR(MONTH(F914)=9,MONTH(F914)=12)),SUM(OFFSET(H914,-91,0):H914)))))),IF(F914='депозитный калькулятор'!$D$8,SUM($H$23:H914)-SUM($I$23:I913),0))),IF('депозитный калькулятор'!$G$10="ежегодное",IF(F914&gt;'депозитный калькулятор'!$D$8," ",IF(F914='депозитный калькулятор'!$D$8,SUM($H$23:H914)-SUM($I$23:I913),IF(AND(EOMONTH(F914,0)=F914,MONTH(F914)=12),IF(MOD(YEAR(F913),4)=0,IF(F914-'депозитный калькулятор'!$D$7&lt;366,SUM($H$23:H914),SUM(OFFSET(H914,-365,0):H914)),IF(F914-'депозитный калькулятор'!$D$7&lt;365,SUM($H$23:H914),SUM(OFFSET(H914,-364,0):H914))),0))),IF(AND('депозитный калькулятор'!$G$10="в конце срока",'депозитный калькулятор'!$D$8=F914),SUM($H$23:H914),0))))))))))))))))))</f>
        <v xml:space="preserve"> </v>
      </c>
      <c r="J914" s="59" t="str">
        <f>IF(F914&gt;'депозитный калькулятор'!$D$8," ",IF('депозитный калькулятор'!$G$16="нет",0,IF(AND('депозитный калькулятор'!$G$17="разовая (в конце срока)",F914='депозитный калькулятор'!$D$8),'депозитный калькулятор'!$G$18,IF(AND('депозитный калькулятор'!$G$17="ежемесячная",EOMONTH(F913,0)=F913),'депозитный калькулятор'!$G$18,IF(AND('депозитный калькулятор'!$G$17="ежегодная",DAY(F913)=31,MONTH(F913)=12),'депозитный калькулятор'!$G$18,IF(AND('депозитный калькулятор'!$G$17="ежемесячная в зависимости от остатка",EOMONTH(F913,0)=F913,P913&gt;0),'депозитный калькулятор'!$G$18,IF(AND('депозитный калькулятор'!$G$17="ежегодная в зависимости от остатка",DAY(F913)=31,MONTH(F913)=12,P913&gt;0),'депозитный калькулятор'!$G$18,0)))))))</f>
        <v xml:space="preserve"> </v>
      </c>
      <c r="K914" s="135" t="str">
        <f>IF($F914=" "," ",IFERROR(VLOOKUP($F914,'депозитный калькулятор'!$B$26:$F$70,2,0),0))</f>
        <v xml:space="preserve"> </v>
      </c>
      <c r="L914" s="135" t="str">
        <f>IF($F914=" "," ",IFERROR(VLOOKUP($F914,'депозитный калькулятор'!$B$26:$F$70,3,0),0))</f>
        <v xml:space="preserve"> </v>
      </c>
      <c r="M914" s="135" t="str">
        <f>IF($F914=" "," ",IFERROR(VLOOKUP($F914,'депозитный калькулятор'!$B$26:$F$70,4,0),0))</f>
        <v xml:space="preserve"> </v>
      </c>
      <c r="N914" s="135" t="str">
        <f>IF($F914=" "," ",IFERROR(VLOOKUP($F914,'депозитный калькулятор'!$B$26:$F$70,5,0),0))</f>
        <v xml:space="preserve"> </v>
      </c>
      <c r="O914" s="146" t="str">
        <f>IF(F914&gt;'депозитный калькулятор'!$D$8," ",IF(F914='депозитный калькулятор'!$D$8,IF(AND($F$24='депозитный калькулятор'!$D$8,'депозитный калькулятор'!$G$13="нет"),-G914-IF(I914=" ",0,I914)-IF(AND(OR('депозитный калькулятор'!$G$7="30/365",'депозитный калькулятор'!$G$7="30/360"),'депозитный калькулятор'!$G$10="в начале срока"),I913,0)-L914+M914-N914,-G914-IF(I914=" ",0,I914)-L914+M914-N914),IF('депозитный калькулятор'!$G$13="есть",M914-N914+IF('депозитный калькулятор'!$G$14="есть",0,-L914),-IF(I914=" ",0,I914)-IF(AND(OR('депозитный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срока"),I913,0)+M914-N914+IF('депозитный калькулятор'!$G$14="есть",0,-L914))))</f>
        <v xml:space="preserve"> </v>
      </c>
      <c r="P914" s="147" t="str">
        <f>IF(F914&gt;'депозитный калькулятор'!$D$8," ",IF(EOMONTH(F913,0)=F913,0,IF(G914&gt;='депозитный калькулятор'!$G$19,P913,P913+1)))</f>
        <v xml:space="preserve"> </v>
      </c>
      <c r="Q914" s="138" t="str">
        <f>IF(F914=" "," ",IF(AND(OR('депозитный калькулятор'!$G$7="30/365",'депозитный калькулятор'!$G$7="30/360"),AND(MONTH(F914)=2,EOMONTH(F914,0)=F914)),IF(DAY(F914)=28,3,2),1)*IF(G914&gt;='депозитный калькулятор'!$G$11,IF(AND('депозитный калькулятор'!$G$7="факт/факт",MOD(YEAR(F914),4)=0),G914*'депозитный калькулятор'!$D$11/366,G914*'депозитный калькулятор'!$G$8),0))</f>
        <v xml:space="preserve"> </v>
      </c>
      <c r="S914" s="62" t="str">
        <f t="shared" ca="1" si="67"/>
        <v xml:space="preserve"> </v>
      </c>
      <c r="T914" s="149" t="str">
        <f ca="1">IF(S914=" "," ",IF('депозитный калькулятор'!$G$7="30/360",DAYS360(U913,IF(DAY(U914)=31,U914-1,U914))+IF(AND(MONTH(U914)=2,U914=EOMONTH(U914,0)),30-DAY(EOMONTH(U914,0)))+T913,VLOOKUP(S914,$C$22:$F$1023,2,0)))</f>
        <v xml:space="preserve"> </v>
      </c>
      <c r="U914" s="64" t="str">
        <f t="shared" ca="1" si="65"/>
        <v xml:space="preserve"> </v>
      </c>
      <c r="V914" s="150" t="str">
        <f t="shared" ca="1" si="68"/>
        <v xml:space="preserve"> </v>
      </c>
      <c r="W914" s="62" t="str">
        <f t="shared" ca="1" si="69"/>
        <v xml:space="preserve"> </v>
      </c>
      <c r="X914" s="141" t="str">
        <f ca="1">IF(S914=" "," ",IFERROR(VLOOKUP(U914,$F$23:$N$1023,7)+VLOOKUP(U914,$F$23:$N$1023,9)+IF(AND('депозитный калькулятор'!$G$13="нет",U914&lt;&gt;'депозитный калькулятор'!$D$8),VLOOKUP(U914,$F$23:$N$1023,4),0),0)+IF(U914='депозитный калькулятор'!$D$8,VLOOKUP(U914,$F$23:$N$1023,2)+VLOOKUP(U914,$F$23:$N$1023,4),0))</f>
        <v xml:space="preserve"> </v>
      </c>
      <c r="Y914" s="142" t="str">
        <f ca="1">IF(S914=" "," ",W914/(1+'депозитный калькулятор'!$K$8)^(T914/IF('депозитный калькулятор'!$G$7="30/360",360,365)))</f>
        <v xml:space="preserve"> </v>
      </c>
      <c r="Z914" s="142" t="str">
        <f ca="1">IF(S914=" "," ",X914/(1+'депозитный калькулятор'!$K$8)^(T914/IF('депозитный калькулятор'!$G$7="30/360",360,365)))</f>
        <v xml:space="preserve"> </v>
      </c>
      <c r="AA914" s="151"/>
      <c r="AB914" s="151"/>
      <c r="AC914" s="155"/>
      <c r="AD914" s="155"/>
    </row>
    <row r="915" spans="1:30" s="2" customFormat="1" ht="15.5" x14ac:dyDescent="0.35">
      <c r="A915" s="41" t="str">
        <f>IF(F915=" "," ",IF(OR('депозитный калькулятор'!$G$7="30/365",'депозитный калькулятор'!$G$7="30/360"),IF(AND(MONTH(F915)=2,DAY(F915)=DAY(EOMONTH(F915,0))),30-DAY(EOMONTH(F915,0)),IF(DAY(F915)=31,1," "))," "))</f>
        <v xml:space="preserve"> </v>
      </c>
      <c r="B915" s="130" t="str">
        <f t="shared" si="66"/>
        <v xml:space="preserve"> </v>
      </c>
      <c r="C915" s="130" t="str">
        <f>IF(OR(B915=0,B915=" ")," ",SUM($B$23:B915))</f>
        <v xml:space="preserve"> </v>
      </c>
      <c r="D915" s="62" t="str">
        <f>IF(D914=" "," ",IF(OR(F914='депозитный калькулятор'!$D$8,F914=" ")," ",D914+1))</f>
        <v xml:space="preserve"> </v>
      </c>
      <c r="E915" s="130" t="str">
        <f>IF(OR(F914='депозитный калькулятор'!$D$8,F914=" ")," ",IF(EOMONTH(F914,0)=F914,1,E914+1))</f>
        <v xml:space="preserve"> </v>
      </c>
      <c r="F915" s="64" t="str">
        <f>IF(F914=" "," ",IF(F914='депозитный калькулятор'!$D$8," ",F914+1))</f>
        <v xml:space="preserve"> </v>
      </c>
      <c r="G915" s="145" t="str">
        <f xml:space="preserve"> IF(F915&gt;'депозитный калькулятор'!$D$8," ",IF('депозитный калькулятор'!$G$13="есть",IF('депозитный калькулятор'!$G$14="есть",G914+IF(I914=" ",0,I914)-J915-K915+L915+M915-N915,G914+IF(I914=" ",0,I914)-J915-K915+M915-N915),IF('депозитный калькулятор'!$G$14="есть",G914-J915-K915+L915+M915-N915,G914-J915-K915+M915-N915)))</f>
        <v xml:space="preserve"> </v>
      </c>
      <c r="H915" s="133" t="str">
        <f>IF(F915&gt;'депозитный калькулятор'!$D$8," ",IF(AND(OR('депозитный калькулятор'!$G$7="30/365",'депозитный калькулятор'!$G$7="30/360"),AND(MONTH(F915)=2,EOMONTH(F915,0)=F915)),IF(DAY(F915)=28,3*G915*'депозитный калькулятор'!$G$8,2*G915*'депозитный калькулятор'!$G$8),IF(AND(OR('депозитный калькулятор'!$G$7="30/365",'депозитный калькулятор'!$G$7="30/360"),DAY(F915)=31)," ",IF(AND('депозитный калькулятор'!$G$7="факт/факт",MOD(YEAR(F915),4)=0),G915*'депозитный калькулятор'!$D$11/366,G915*'депозитный калькулятор'!$G$8))))</f>
        <v xml:space="preserve"> </v>
      </c>
      <c r="I915" s="134" t="str">
        <f ca="1">IF(F915=" "," ",IF('депозитный калькулятор'!$G$10="ежедневное",H915,IF(AND('депозитный калькулятор'!$G$10="еженедельное",WEEKDAY(F915,2)=7),SUM(OFFSET(H915,-6,0):H915),IF(AND('депозитный калькулятор'!$G$10="еженедельное",F915='депозитный калькулятор'!$D$8),SUM($H$23:H915)-SUM($I$23:I914),IF(AND('депозитный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недели",WEEKDAY(F915,2)=7),MIN(OFFSET(H915,-6,0):H915)*(COUNTIF(OFFSET(H915,-6,0):H915,"&gt;0")+SUMIF(OFFSET(A915,-WEEKDAY(F915,2),0):A915,"=2",OFFSET(A915,-WEEKDAY(F915,2),0):A915)),IF(AND('депозитный калькулятор'!$G$10="еженедельное, на минимальную сумму зафиксированную в течение недели",F915='депозитный калькулятор'!$D$8,WEEKDAY(F915,2)&lt;&gt;7),MIN(OFFSET(H915,-WEEKDAY(F915,2),0):H915)*(COUNTIF(OFFSET(H915,-WEEKDAY(F915,2)+1,0):H915,"&gt;0")+SUM(OFFSET(A915,-WEEKDAY(F915,2),0):A915)),IF(AND('депозитный калькулятор'!$G$10="ежемесячное (в конце месяца)",F915='депозитный калькулятор'!$D$8,EOMONTH(F915,0)&lt;&gt;F915),IF('депозитный калькулятор'!$F$1=1,$H$24,SUM($H$23:H915)-SUM($I$23:I914)),IF(AND('депозитный калькулятор'!$G$10="ежемесячное (в конце месяца)",EOMONTH(F915,0)=F915),SUM($H$23:H915)-SUM($I$23:I914),IF(AND('депозитный калькулятор'!$G$10="ежемесячное (по дням открытия вклада)",F915='депозитный калькулятор'!$D$8,DAY('депозитный калькулятор'!$D$7)&lt;&gt;DAY(F915)),IF('депозитный калькулятор'!$F$1=1,$H$24,SUM($H$23:H915)-SUM($I$23:I914)),IF(AND('депозитный калькулятор'!$G$10="ежемесячное (по дням открытия вклада)",DAY('депозитный калькулятор'!$D$7)=DAY(F915)),SUM($H$23:H915)-SUM($I$23:I914),IF(AND('депозитный калькулятор'!$G$10="ежемесячное, на минимальную сумму зафиксированную в течение месяца",F915='депозитный калькулятор'!$D$8,EOMONTH(F915,0)&lt;&gt;F915),IF('депозитный калькулятор'!$F$1=1,$H$24,IF(AND(OR('депозитный калькулятор'!$G$7="30/365",'депозитный калькулятор'!$G$7="30/360"),DAY(F915)=31),0,MIN(OFFSET(H915,-E915+1,0):H915)*(E915+SUMIF(OFFSET(A915,-E915+1,0):A915,"=2",OFFSET(A915,-E915+1,0):A915)))),IF(AND('депозитный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калькулятор'!$G$7="30/360"),DAY(EOMONTH(F915,0))=31),EOMONTH(F915,0)-1=F915,EOMONTH(F915,0)=F915)),IF(IF(AND(OR('депозитный калькулятор'!$G$7="30/365",'депозитный калькулятор'!$G$7="30/360"),DAY(EOMONTH($F$23,0))=31),F915=EOMONTH($F$23,0)-1,F915=EOMONTH($F$23,0)),MIN(OFFSET(H915,-(DAY(F915)-DAY($F$23)),0):H915)*E915,MIN(OFFSET(H915,-(DAY(F915)-1),0):H915)*IF(AND(OR('депозитный калькулятор'!$G$7="30/365",'депозитный калькулятор'!$G$7="30/360"),DAY(F915)&lt;30),30,DAY(F915))),IF(AND('депозитный калькулятор'!$G$10="ежемесячное, на средний остаток в течение месяца, при условии что остаток больше чем ограничение",F915='депозитный калькулятор'!$D$8,EOMONTH(F915,0)&lt;&gt;F915),IF('депозитный калькулятор'!$F$1=1,$H$24,SUM(OFFSET(Q915,-E915+1,0):Q915)),IF(AND('депозитный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калькулятор'!$G$7="30/360"),DAY(EOMONTH(F915,0))=31),EOMONTH(F915,0)-1=F915,EOMONTH(F915,0)=F915)),IF(IF(AND(OR('депозитный калькулятор'!$G$7="30/365",'депозитный калькулятор'!$G$7="30/360"),DAY(EOMONTH($F$24,0))=31),F915=EOMONTH($F$24,0)-1,F915=EOMONTH($F$24,0)),SUM(OFFSET(Q915,-E915+1,0):Q915),SUM(OFFSET(Q915,-E915+1,0):Q915)),IF('депозитный калькулятор'!$G$10="ежеквартальное",IF(F915&gt;'депозитный калькулятор'!$D$8," ",IF(AND(EOMONTH(F915,0)=F915,OR(MONTH(F915)=3,MONTH(F915)=6,MONTH(F915)=9,MONTH(F915)=12)),IF(EDATE(F915,-3)&lt;'депозитный калькулятор'!$D$7,SUM($H$23:H915),IF(MOD(YEAR(F915),4)=0,IF(AND(EOMONTH(F915,0)=F915,OR(MONTH(F915)=3,MONTH(F915)=6)),SUM(OFFSET(H915,-90,0):H915),IF(AND(EOMONTH(F915,0)=F915,OR(MONTH(F915)=9,MONTH(F915)=12)),SUM(OFFSET(H915,-91,0):H915))),IF(AND(EOMONTH(F915,0)=F915,MONTH(F915)=3),SUM(OFFSET(H915,-89,0):H915),IF(AND(EOMONTH(F915,0)=F915,MONTH(F915)=6),SUM(OFFSET(H915,-90,0):H915),IF(AND(EOMONTH(F915,0)=F915,OR(MONTH(F915)=9,MONTH(F915)=12)),SUM(OFFSET(H915,-91,0):H915)))))),IF(F915='депозитный калькулятор'!$D$8,SUM($H$23:H915)-SUM($I$23:I914),0))),IF('депозитный калькулятор'!$G$10="ежегодное",IF(F915&gt;'депозитный калькулятор'!$D$8," ",IF(F915='депозитный калькулятор'!$D$8,SUM($H$23:H915)-SUM($I$23:I914),IF(AND(EOMONTH(F915,0)=F915,MONTH(F915)=12),IF(MOD(YEAR(F914),4)=0,IF(F915-'депозитный калькулятор'!$D$7&lt;366,SUM($H$23:H915),SUM(OFFSET(H915,-365,0):H915)),IF(F915-'депозитный калькулятор'!$D$7&lt;365,SUM($H$23:H915),SUM(OFFSET(H915,-364,0):H915))),0))),IF(AND('депозитный калькулятор'!$G$10="в конце срока",'депозитный калькулятор'!$D$8=F915),SUM($H$23:H915),0))))))))))))))))))</f>
        <v xml:space="preserve"> </v>
      </c>
      <c r="J915" s="59" t="str">
        <f>IF(F915&gt;'депозитный калькулятор'!$D$8," ",IF('депозитный калькулятор'!$G$16="нет",0,IF(AND('депозитный калькулятор'!$G$17="разовая (в конце срока)",F915='депозитный калькулятор'!$D$8),'депозитный калькулятор'!$G$18,IF(AND('депозитный калькулятор'!$G$17="ежемесячная",EOMONTH(F914,0)=F914),'депозитный калькулятор'!$G$18,IF(AND('депозитный калькулятор'!$G$17="ежегодная",DAY(F914)=31,MONTH(F914)=12),'депозитный калькулятор'!$G$18,IF(AND('депозитный калькулятор'!$G$17="ежемесячная в зависимости от остатка",EOMONTH(F914,0)=F914,P914&gt;0),'депозитный калькулятор'!$G$18,IF(AND('депозитный калькулятор'!$G$17="ежегодная в зависимости от остатка",DAY(F914)=31,MONTH(F914)=12,P914&gt;0),'депозитный калькулятор'!$G$18,0)))))))</f>
        <v xml:space="preserve"> </v>
      </c>
      <c r="K915" s="135" t="str">
        <f>IF($F915=" "," ",IFERROR(VLOOKUP($F915,'депозитный калькулятор'!$B$26:$F$70,2,0),0))</f>
        <v xml:space="preserve"> </v>
      </c>
      <c r="L915" s="135" t="str">
        <f>IF($F915=" "," ",IFERROR(VLOOKUP($F915,'депозитный калькулятор'!$B$26:$F$70,3,0),0))</f>
        <v xml:space="preserve"> </v>
      </c>
      <c r="M915" s="135" t="str">
        <f>IF($F915=" "," ",IFERROR(VLOOKUP($F915,'депозитный калькулятор'!$B$26:$F$70,4,0),0))</f>
        <v xml:space="preserve"> </v>
      </c>
      <c r="N915" s="135" t="str">
        <f>IF($F915=" "," ",IFERROR(VLOOKUP($F915,'депозитный калькулятор'!$B$26:$F$70,5,0),0))</f>
        <v xml:space="preserve"> </v>
      </c>
      <c r="O915" s="146" t="str">
        <f>IF(F915&gt;'депозитный калькулятор'!$D$8," ",IF(F915='депозитный калькулятор'!$D$8,IF(AND($F$24='депозитный калькулятор'!$D$8,'депозитный калькулятор'!$G$13="нет"),-G915-IF(I915=" ",0,I915)-IF(AND(OR('депозитный калькулятор'!$G$7="30/365",'депозитный калькулятор'!$G$7="30/360"),'депозитный калькулятор'!$G$10="в начале срока"),I914,0)-L915+M915-N915,-G915-IF(I915=" ",0,I915)-L915+M915-N915),IF('депозитный калькулятор'!$G$13="есть",M915-N915+IF('депозитный калькулятор'!$G$14="есть",0,-L915),-IF(I915=" ",0,I915)-IF(AND(OR('депозитный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срока"),I914,0)+M915-N915+IF('депозитный калькулятор'!$G$14="есть",0,-L915))))</f>
        <v xml:space="preserve"> </v>
      </c>
      <c r="P915" s="147" t="str">
        <f>IF(F915&gt;'депозитный калькулятор'!$D$8," ",IF(EOMONTH(F914,0)=F914,0,IF(G915&gt;='депозитный калькулятор'!$G$19,P914,P914+1)))</f>
        <v xml:space="preserve"> </v>
      </c>
      <c r="Q915" s="138" t="str">
        <f>IF(F915=" "," ",IF(AND(OR('депозитный калькулятор'!$G$7="30/365",'депозитный калькулятор'!$G$7="30/360"),AND(MONTH(F915)=2,EOMONTH(F915,0)=F915)),IF(DAY(F915)=28,3,2),1)*IF(G915&gt;='депозитный калькулятор'!$G$11,IF(AND('депозитный калькулятор'!$G$7="факт/факт",MOD(YEAR(F915),4)=0),G915*'депозитный калькулятор'!$D$11/366,G915*'депозитный калькулятор'!$G$8),0))</f>
        <v xml:space="preserve"> </v>
      </c>
      <c r="S915" s="62" t="str">
        <f t="shared" ca="1" si="67"/>
        <v xml:space="preserve"> </v>
      </c>
      <c r="T915" s="149" t="str">
        <f ca="1">IF(S915=" "," ",IF('депозитный калькулятор'!$G$7="30/360",DAYS360(U914,IF(DAY(U915)=31,U915-1,U915))+IF(AND(MONTH(U915)=2,U915=EOMONTH(U915,0)),30-DAY(EOMONTH(U915,0)))+T914,VLOOKUP(S915,$C$22:$F$1023,2,0)))</f>
        <v xml:space="preserve"> </v>
      </c>
      <c r="U915" s="64" t="str">
        <f t="shared" ca="1" si="65"/>
        <v xml:space="preserve"> </v>
      </c>
      <c r="V915" s="150" t="str">
        <f t="shared" ca="1" si="68"/>
        <v xml:space="preserve"> </v>
      </c>
      <c r="W915" s="62" t="str">
        <f t="shared" ca="1" si="69"/>
        <v xml:space="preserve"> </v>
      </c>
      <c r="X915" s="141" t="str">
        <f ca="1">IF(S915=" "," ",IFERROR(VLOOKUP(U915,$F$23:$N$1023,7)+VLOOKUP(U915,$F$23:$N$1023,9)+IF(AND('депозитный калькулятор'!$G$13="нет",U915&lt;&gt;'депозитный калькулятор'!$D$8),VLOOKUP(U915,$F$23:$N$1023,4),0),0)+IF(U915='депозитный калькулятор'!$D$8,VLOOKUP(U915,$F$23:$N$1023,2)+VLOOKUP(U915,$F$23:$N$1023,4),0))</f>
        <v xml:space="preserve"> </v>
      </c>
      <c r="Y915" s="142" t="str">
        <f ca="1">IF(S915=" "," ",W915/(1+'депозитный калькулятор'!$K$8)^(T915/IF('депозитный калькулятор'!$G$7="30/360",360,365)))</f>
        <v xml:space="preserve"> </v>
      </c>
      <c r="Z915" s="142" t="str">
        <f ca="1">IF(S915=" "," ",X915/(1+'депозитный калькулятор'!$K$8)^(T915/IF('депозитный калькулятор'!$G$7="30/360",360,365)))</f>
        <v xml:space="preserve"> </v>
      </c>
      <c r="AA915" s="151"/>
      <c r="AB915" s="151"/>
      <c r="AC915" s="155"/>
      <c r="AD915" s="155"/>
    </row>
    <row r="916" spans="1:30" s="2" customFormat="1" ht="15.5" x14ac:dyDescent="0.35">
      <c r="A916" s="41" t="str">
        <f>IF(F916=" "," ",IF(OR('депозитный калькулятор'!$G$7="30/365",'депозитный калькулятор'!$G$7="30/360"),IF(AND(MONTH(F916)=2,DAY(F916)=DAY(EOMONTH(F916,0))),30-DAY(EOMONTH(F916,0)),IF(DAY(F916)=31,1," "))," "))</f>
        <v xml:space="preserve"> </v>
      </c>
      <c r="B916" s="130" t="str">
        <f t="shared" si="66"/>
        <v xml:space="preserve"> </v>
      </c>
      <c r="C916" s="130" t="str">
        <f>IF(OR(B916=0,B916=" ")," ",SUM($B$23:B916))</f>
        <v xml:space="preserve"> </v>
      </c>
      <c r="D916" s="62" t="str">
        <f>IF(D915=" "," ",IF(OR(F915='депозитный калькулятор'!$D$8,F915=" ")," ",D915+1))</f>
        <v xml:space="preserve"> </v>
      </c>
      <c r="E916" s="130" t="str">
        <f>IF(OR(F915='депозитный калькулятор'!$D$8,F915=" ")," ",IF(EOMONTH(F915,0)=F915,1,E915+1))</f>
        <v xml:space="preserve"> </v>
      </c>
      <c r="F916" s="64" t="str">
        <f>IF(F915=" "," ",IF(F915='депозитный калькулятор'!$D$8," ",F915+1))</f>
        <v xml:space="preserve"> </v>
      </c>
      <c r="G916" s="145" t="str">
        <f xml:space="preserve"> IF(F916&gt;'депозитный калькулятор'!$D$8," ",IF('депозитный калькулятор'!$G$13="есть",IF('депозитный калькулятор'!$G$14="есть",G915+IF(I915=" ",0,I915)-J916-K916+L916+M916-N916,G915+IF(I915=" ",0,I915)-J916-K916+M916-N916),IF('депозитный калькулятор'!$G$14="есть",G915-J916-K916+L916+M916-N916,G915-J916-K916+M916-N916)))</f>
        <v xml:space="preserve"> </v>
      </c>
      <c r="H916" s="133" t="str">
        <f>IF(F916&gt;'депозитный калькулятор'!$D$8," ",IF(AND(OR('депозитный калькулятор'!$G$7="30/365",'депозитный калькулятор'!$G$7="30/360"),AND(MONTH(F916)=2,EOMONTH(F916,0)=F916)),IF(DAY(F916)=28,3*G916*'депозитный калькулятор'!$G$8,2*G916*'депозитный калькулятор'!$G$8),IF(AND(OR('депозитный калькулятор'!$G$7="30/365",'депозитный калькулятор'!$G$7="30/360"),DAY(F916)=31)," ",IF(AND('депозитный калькулятор'!$G$7="факт/факт",MOD(YEAR(F916),4)=0),G916*'депозитный калькулятор'!$D$11/366,G916*'депозитный калькулятор'!$G$8))))</f>
        <v xml:space="preserve"> </v>
      </c>
      <c r="I916" s="134" t="str">
        <f ca="1">IF(F916=" "," ",IF('депозитный калькулятор'!$G$10="ежедневное",H916,IF(AND('депозитный калькулятор'!$G$10="еженедельное",WEEKDAY(F916,2)=7),SUM(OFFSET(H916,-6,0):H916),IF(AND('депозитный калькулятор'!$G$10="еженедельное",F916='депозитный калькулятор'!$D$8),SUM($H$23:H916)-SUM($I$23:I915),IF(AND('депозитный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недели",WEEKDAY(F916,2)=7),MIN(OFFSET(H916,-6,0):H916)*(COUNTIF(OFFSET(H916,-6,0):H916,"&gt;0")+SUMIF(OFFSET(A916,-WEEKDAY(F916,2),0):A916,"=2",OFFSET(A916,-WEEKDAY(F916,2),0):A916)),IF(AND('депозитный калькулятор'!$G$10="еженедельное, на минимальную сумму зафиксированную в течение недели",F916='депозитный калькулятор'!$D$8,WEEKDAY(F916,2)&lt;&gt;7),MIN(OFFSET(H916,-WEEKDAY(F916,2),0):H916)*(COUNTIF(OFFSET(H916,-WEEKDAY(F916,2)+1,0):H916,"&gt;0")+SUM(OFFSET(A916,-WEEKDAY(F916,2),0):A916)),IF(AND('депозитный калькулятор'!$G$10="ежемесячное (в конце месяца)",F916='депозитный калькулятор'!$D$8,EOMONTH(F916,0)&lt;&gt;F916),IF('депозитный калькулятор'!$F$1=1,$H$24,SUM($H$23:H916)-SUM($I$23:I915)),IF(AND('депозитный калькулятор'!$G$10="ежемесячное (в конце месяца)",EOMONTH(F916,0)=F916),SUM($H$23:H916)-SUM($I$23:I915),IF(AND('депозитный калькулятор'!$G$10="ежемесячное (по дням открытия вклада)",F916='депозитный калькулятор'!$D$8,DAY('депозитный калькулятор'!$D$7)&lt;&gt;DAY(F916)),IF('депозитный калькулятор'!$F$1=1,$H$24,SUM($H$23:H916)-SUM($I$23:I915)),IF(AND('депозитный калькулятор'!$G$10="ежемесячное (по дням открытия вклада)",DAY('депозитный калькулятор'!$D$7)=DAY(F916)),SUM($H$23:H916)-SUM($I$23:I915),IF(AND('депозитный калькулятор'!$G$10="ежемесячное, на минимальную сумму зафиксированную в течение месяца",F916='депозитный калькулятор'!$D$8,EOMONTH(F916,0)&lt;&gt;F916),IF('депозитный калькулятор'!$F$1=1,$H$24,IF(AND(OR('депозитный калькулятор'!$G$7="30/365",'депозитный калькулятор'!$G$7="30/360"),DAY(F916)=31),0,MIN(OFFSET(H916,-E916+1,0):H916)*(E916+SUMIF(OFFSET(A916,-E916+1,0):A916,"=2",OFFSET(A916,-E916+1,0):A916)))),IF(AND('депозитный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калькулятор'!$G$7="30/360"),DAY(EOMONTH(F916,0))=31),EOMONTH(F916,0)-1=F916,EOMONTH(F916,0)=F916)),IF(IF(AND(OR('депозитный калькулятор'!$G$7="30/365",'депозитный калькулятор'!$G$7="30/360"),DAY(EOMONTH($F$23,0))=31),F916=EOMONTH($F$23,0)-1,F916=EOMONTH($F$23,0)),MIN(OFFSET(H916,-(DAY(F916)-DAY($F$23)),0):H916)*E916,MIN(OFFSET(H916,-(DAY(F916)-1),0):H916)*IF(AND(OR('депозитный калькулятор'!$G$7="30/365",'депозитный калькулятор'!$G$7="30/360"),DAY(F916)&lt;30),30,DAY(F916))),IF(AND('депозитный калькулятор'!$G$10="ежемесячное, на средний остаток в течение месяца, при условии что остаток больше чем ограничение",F916='депозитный калькулятор'!$D$8,EOMONTH(F916,0)&lt;&gt;F916),IF('депозитный калькулятор'!$F$1=1,$H$24,SUM(OFFSET(Q916,-E916+1,0):Q916)),IF(AND('депозитный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калькулятор'!$G$7="30/360"),DAY(EOMONTH(F916,0))=31),EOMONTH(F916,0)-1=F916,EOMONTH(F916,0)=F916)),IF(IF(AND(OR('депозитный калькулятор'!$G$7="30/365",'депозитный калькулятор'!$G$7="30/360"),DAY(EOMONTH($F$24,0))=31),F916=EOMONTH($F$24,0)-1,F916=EOMONTH($F$24,0)),SUM(OFFSET(Q916,-E916+1,0):Q916),SUM(OFFSET(Q916,-E916+1,0):Q916)),IF('депозитный калькулятор'!$G$10="ежеквартальное",IF(F916&gt;'депозитный калькулятор'!$D$8," ",IF(AND(EOMONTH(F916,0)=F916,OR(MONTH(F916)=3,MONTH(F916)=6,MONTH(F916)=9,MONTH(F916)=12)),IF(EDATE(F916,-3)&lt;'депозитный калькулятор'!$D$7,SUM($H$23:H916),IF(MOD(YEAR(F916),4)=0,IF(AND(EOMONTH(F916,0)=F916,OR(MONTH(F916)=3,MONTH(F916)=6)),SUM(OFFSET(H916,-90,0):H916),IF(AND(EOMONTH(F916,0)=F916,OR(MONTH(F916)=9,MONTH(F916)=12)),SUM(OFFSET(H916,-91,0):H916))),IF(AND(EOMONTH(F916,0)=F916,MONTH(F916)=3),SUM(OFFSET(H916,-89,0):H916),IF(AND(EOMONTH(F916,0)=F916,MONTH(F916)=6),SUM(OFFSET(H916,-90,0):H916),IF(AND(EOMONTH(F916,0)=F916,OR(MONTH(F916)=9,MONTH(F916)=12)),SUM(OFFSET(H916,-91,0):H916)))))),IF(F916='депозитный калькулятор'!$D$8,SUM($H$23:H916)-SUM($I$23:I915),0))),IF('депозитный калькулятор'!$G$10="ежегодное",IF(F916&gt;'депозитный калькулятор'!$D$8," ",IF(F916='депозитный калькулятор'!$D$8,SUM($H$23:H916)-SUM($I$23:I915),IF(AND(EOMONTH(F916,0)=F916,MONTH(F916)=12),IF(MOD(YEAR(F915),4)=0,IF(F916-'депозитный калькулятор'!$D$7&lt;366,SUM($H$23:H916),SUM(OFFSET(H916,-365,0):H916)),IF(F916-'депозитный калькулятор'!$D$7&lt;365,SUM($H$23:H916),SUM(OFFSET(H916,-364,0):H916))),0))),IF(AND('депозитный калькулятор'!$G$10="в конце срока",'депозитный калькулятор'!$D$8=F916),SUM($H$23:H916),0))))))))))))))))))</f>
        <v xml:space="preserve"> </v>
      </c>
      <c r="J916" s="59" t="str">
        <f>IF(F916&gt;'депозитный калькулятор'!$D$8," ",IF('депозитный калькулятор'!$G$16="нет",0,IF(AND('депозитный калькулятор'!$G$17="разовая (в конце срока)",F916='депозитный калькулятор'!$D$8),'депозитный калькулятор'!$G$18,IF(AND('депозитный калькулятор'!$G$17="ежемесячная",EOMONTH(F915,0)=F915),'депозитный калькулятор'!$G$18,IF(AND('депозитный калькулятор'!$G$17="ежегодная",DAY(F915)=31,MONTH(F915)=12),'депозитный калькулятор'!$G$18,IF(AND('депозитный калькулятор'!$G$17="ежемесячная в зависимости от остатка",EOMONTH(F915,0)=F915,P915&gt;0),'депозитный калькулятор'!$G$18,IF(AND('депозитный калькулятор'!$G$17="ежегодная в зависимости от остатка",DAY(F915)=31,MONTH(F915)=12,P915&gt;0),'депозитный калькулятор'!$G$18,0)))))))</f>
        <v xml:space="preserve"> </v>
      </c>
      <c r="K916" s="135" t="str">
        <f>IF($F916=" "," ",IFERROR(VLOOKUP($F916,'депозитный калькулятор'!$B$26:$F$70,2,0),0))</f>
        <v xml:space="preserve"> </v>
      </c>
      <c r="L916" s="135" t="str">
        <f>IF($F916=" "," ",IFERROR(VLOOKUP($F916,'депозитный калькулятор'!$B$26:$F$70,3,0),0))</f>
        <v xml:space="preserve"> </v>
      </c>
      <c r="M916" s="135" t="str">
        <f>IF($F916=" "," ",IFERROR(VLOOKUP($F916,'депозитный калькулятор'!$B$26:$F$70,4,0),0))</f>
        <v xml:space="preserve"> </v>
      </c>
      <c r="N916" s="135" t="str">
        <f>IF($F916=" "," ",IFERROR(VLOOKUP($F916,'депозитный калькулятор'!$B$26:$F$70,5,0),0))</f>
        <v xml:space="preserve"> </v>
      </c>
      <c r="O916" s="146" t="str">
        <f>IF(F916&gt;'депозитный калькулятор'!$D$8," ",IF(F916='депозитный калькулятор'!$D$8,IF(AND($F$24='депозитный калькулятор'!$D$8,'депозитный калькулятор'!$G$13="нет"),-G916-IF(I916=" ",0,I916)-IF(AND(OR('депозитный калькулятор'!$G$7="30/365",'депозитный калькулятор'!$G$7="30/360"),'депозитный калькулятор'!$G$10="в начале срока"),I915,0)-L916+M916-N916,-G916-IF(I916=" ",0,I916)-L916+M916-N916),IF('депозитный калькулятор'!$G$13="есть",M916-N916+IF('депозитный калькулятор'!$G$14="есть",0,-L916),-IF(I916=" ",0,I916)-IF(AND(OR('депозитный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срока"),I915,0)+M916-N916+IF('депозитный калькулятор'!$G$14="есть",0,-L916))))</f>
        <v xml:space="preserve"> </v>
      </c>
      <c r="P916" s="147" t="str">
        <f>IF(F916&gt;'депозитный калькулятор'!$D$8," ",IF(EOMONTH(F915,0)=F915,0,IF(G916&gt;='депозитный калькулятор'!$G$19,P915,P915+1)))</f>
        <v xml:space="preserve"> </v>
      </c>
      <c r="Q916" s="138" t="str">
        <f>IF(F916=" "," ",IF(AND(OR('депозитный калькулятор'!$G$7="30/365",'депозитный калькулятор'!$G$7="30/360"),AND(MONTH(F916)=2,EOMONTH(F916,0)=F916)),IF(DAY(F916)=28,3,2),1)*IF(G916&gt;='депозитный калькулятор'!$G$11,IF(AND('депозитный калькулятор'!$G$7="факт/факт",MOD(YEAR(F916),4)=0),G916*'депозитный калькулятор'!$D$11/366,G916*'депозитный калькулятор'!$G$8),0))</f>
        <v xml:space="preserve"> </v>
      </c>
      <c r="S916" s="62" t="str">
        <f t="shared" ca="1" si="67"/>
        <v xml:space="preserve"> </v>
      </c>
      <c r="T916" s="149" t="str">
        <f ca="1">IF(S916=" "," ",IF('депозитный калькулятор'!$G$7="30/360",DAYS360(U915,IF(DAY(U916)=31,U916-1,U916))+IF(AND(MONTH(U916)=2,U916=EOMONTH(U916,0)),30-DAY(EOMONTH(U916,0)))+T915,VLOOKUP(S916,$C$22:$F$1023,2,0)))</f>
        <v xml:space="preserve"> </v>
      </c>
      <c r="U916" s="64" t="str">
        <f t="shared" ca="1" si="65"/>
        <v xml:space="preserve"> </v>
      </c>
      <c r="V916" s="150" t="str">
        <f t="shared" ca="1" si="68"/>
        <v xml:space="preserve"> </v>
      </c>
      <c r="W916" s="62" t="str">
        <f t="shared" ca="1" si="69"/>
        <v xml:space="preserve"> </v>
      </c>
      <c r="X916" s="141" t="str">
        <f ca="1">IF(S916=" "," ",IFERROR(VLOOKUP(U916,$F$23:$N$1023,7)+VLOOKUP(U916,$F$23:$N$1023,9)+IF(AND('депозитный калькулятор'!$G$13="нет",U916&lt;&gt;'депозитный калькулятор'!$D$8),VLOOKUP(U916,$F$23:$N$1023,4),0),0)+IF(U916='депозитный калькулятор'!$D$8,VLOOKUP(U916,$F$23:$N$1023,2)+VLOOKUP(U916,$F$23:$N$1023,4),0))</f>
        <v xml:space="preserve"> </v>
      </c>
      <c r="Y916" s="142" t="str">
        <f ca="1">IF(S916=" "," ",W916/(1+'депозитный калькулятор'!$K$8)^(T916/IF('депозитный калькулятор'!$G$7="30/360",360,365)))</f>
        <v xml:space="preserve"> </v>
      </c>
      <c r="Z916" s="142" t="str">
        <f ca="1">IF(S916=" "," ",X916/(1+'депозитный калькулятор'!$K$8)^(T916/IF('депозитный калькулятор'!$G$7="30/360",360,365)))</f>
        <v xml:space="preserve"> </v>
      </c>
      <c r="AA916" s="151"/>
      <c r="AB916" s="151"/>
      <c r="AC916" s="155"/>
      <c r="AD916" s="155"/>
    </row>
    <row r="917" spans="1:30" s="2" customFormat="1" ht="15.5" x14ac:dyDescent="0.35">
      <c r="A917" s="41" t="str">
        <f>IF(F917=" "," ",IF(OR('депозитный калькулятор'!$G$7="30/365",'депозитный калькулятор'!$G$7="30/360"),IF(AND(MONTH(F917)=2,DAY(F917)=DAY(EOMONTH(F917,0))),30-DAY(EOMONTH(F917,0)),IF(DAY(F917)=31,1," "))," "))</f>
        <v xml:space="preserve"> </v>
      </c>
      <c r="B917" s="130" t="str">
        <f t="shared" si="66"/>
        <v xml:space="preserve"> </v>
      </c>
      <c r="C917" s="130" t="str">
        <f>IF(OR(B917=0,B917=" ")," ",SUM($B$23:B917))</f>
        <v xml:space="preserve"> </v>
      </c>
      <c r="D917" s="62" t="str">
        <f>IF(D916=" "," ",IF(OR(F916='депозитный калькулятор'!$D$8,F916=" ")," ",D916+1))</f>
        <v xml:space="preserve"> </v>
      </c>
      <c r="E917" s="130" t="str">
        <f>IF(OR(F916='депозитный калькулятор'!$D$8,F916=" ")," ",IF(EOMONTH(F916,0)=F916,1,E916+1))</f>
        <v xml:space="preserve"> </v>
      </c>
      <c r="F917" s="64" t="str">
        <f>IF(F916=" "," ",IF(F916='депозитный калькулятор'!$D$8," ",F916+1))</f>
        <v xml:space="preserve"> </v>
      </c>
      <c r="G917" s="145" t="str">
        <f xml:space="preserve"> IF(F917&gt;'депозитный калькулятор'!$D$8," ",IF('депозитный калькулятор'!$G$13="есть",IF('депозитный калькулятор'!$G$14="есть",G916+IF(I916=" ",0,I916)-J917-K917+L917+M917-N917,G916+IF(I916=" ",0,I916)-J917-K917+M917-N917),IF('депозитный калькулятор'!$G$14="есть",G916-J917-K917+L917+M917-N917,G916-J917-K917+M917-N917)))</f>
        <v xml:space="preserve"> </v>
      </c>
      <c r="H917" s="133" t="str">
        <f>IF(F917&gt;'депозитный калькулятор'!$D$8," ",IF(AND(OR('депозитный калькулятор'!$G$7="30/365",'депозитный калькулятор'!$G$7="30/360"),AND(MONTH(F917)=2,EOMONTH(F917,0)=F917)),IF(DAY(F917)=28,3*G917*'депозитный калькулятор'!$G$8,2*G917*'депозитный калькулятор'!$G$8),IF(AND(OR('депозитный калькулятор'!$G$7="30/365",'депозитный калькулятор'!$G$7="30/360"),DAY(F917)=31)," ",IF(AND('депозитный калькулятор'!$G$7="факт/факт",MOD(YEAR(F917),4)=0),G917*'депозитный калькулятор'!$D$11/366,G917*'депозитный калькулятор'!$G$8))))</f>
        <v xml:space="preserve"> </v>
      </c>
      <c r="I917" s="134" t="str">
        <f ca="1">IF(F917=" "," ",IF('депозитный калькулятор'!$G$10="ежедневное",H917,IF(AND('депозитный калькулятор'!$G$10="еженедельное",WEEKDAY(F917,2)=7),SUM(OFFSET(H917,-6,0):H917),IF(AND('депозитный калькулятор'!$G$10="еженедельное",F917='депозитный калькулятор'!$D$8),SUM($H$23:H917)-SUM($I$23:I916),IF(AND('депозитный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недели",WEEKDAY(F917,2)=7),MIN(OFFSET(H917,-6,0):H917)*(COUNTIF(OFFSET(H917,-6,0):H917,"&gt;0")+SUMIF(OFFSET(A917,-WEEKDAY(F917,2),0):A917,"=2",OFFSET(A917,-WEEKDAY(F917,2),0):A917)),IF(AND('депозитный калькулятор'!$G$10="еженедельное, на минимальную сумму зафиксированную в течение недели",F917='депозитный калькулятор'!$D$8,WEEKDAY(F917,2)&lt;&gt;7),MIN(OFFSET(H917,-WEEKDAY(F917,2),0):H917)*(COUNTIF(OFFSET(H917,-WEEKDAY(F917,2)+1,0):H917,"&gt;0")+SUM(OFFSET(A917,-WEEKDAY(F917,2),0):A917)),IF(AND('депозитный калькулятор'!$G$10="ежемесячное (в конце месяца)",F917='депозитный калькулятор'!$D$8,EOMONTH(F917,0)&lt;&gt;F917),IF('депозитный калькулятор'!$F$1=1,$H$24,SUM($H$23:H917)-SUM($I$23:I916)),IF(AND('депозитный калькулятор'!$G$10="ежемесячное (в конце месяца)",EOMONTH(F917,0)=F917),SUM($H$23:H917)-SUM($I$23:I916),IF(AND('депозитный калькулятор'!$G$10="ежемесячное (по дням открытия вклада)",F917='депозитный калькулятор'!$D$8,DAY('депозитный калькулятор'!$D$7)&lt;&gt;DAY(F917)),IF('депозитный калькулятор'!$F$1=1,$H$24,SUM($H$23:H917)-SUM($I$23:I916)),IF(AND('депозитный калькулятор'!$G$10="ежемесячное (по дням открытия вклада)",DAY('депозитный калькулятор'!$D$7)=DAY(F917)),SUM($H$23:H917)-SUM($I$23:I916),IF(AND('депозитный калькулятор'!$G$10="ежемесячное, на минимальную сумму зафиксированную в течение месяца",F917='депозитный калькулятор'!$D$8,EOMONTH(F917,0)&lt;&gt;F917),IF('депозитный калькулятор'!$F$1=1,$H$24,IF(AND(OR('депозитный калькулятор'!$G$7="30/365",'депозитный калькулятор'!$G$7="30/360"),DAY(F917)=31),0,MIN(OFFSET(H917,-E917+1,0):H917)*(E917+SUMIF(OFFSET(A917,-E917+1,0):A917,"=2",OFFSET(A917,-E917+1,0):A917)))),IF(AND('депозитный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калькулятор'!$G$7="30/360"),DAY(EOMONTH(F917,0))=31),EOMONTH(F917,0)-1=F917,EOMONTH(F917,0)=F917)),IF(IF(AND(OR('депозитный калькулятор'!$G$7="30/365",'депозитный калькулятор'!$G$7="30/360"),DAY(EOMONTH($F$23,0))=31),F917=EOMONTH($F$23,0)-1,F917=EOMONTH($F$23,0)),MIN(OFFSET(H917,-(DAY(F917)-DAY($F$23)),0):H917)*E917,MIN(OFFSET(H917,-(DAY(F917)-1),0):H917)*IF(AND(OR('депозитный калькулятор'!$G$7="30/365",'депозитный калькулятор'!$G$7="30/360"),DAY(F917)&lt;30),30,DAY(F917))),IF(AND('депозитный калькулятор'!$G$10="ежемесячное, на средний остаток в течение месяца, при условии что остаток больше чем ограничение",F917='депозитный калькулятор'!$D$8,EOMONTH(F917,0)&lt;&gt;F917),IF('депозитный калькулятор'!$F$1=1,$H$24,SUM(OFFSET(Q917,-E917+1,0):Q917)),IF(AND('депозитный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калькулятор'!$G$7="30/360"),DAY(EOMONTH(F917,0))=31),EOMONTH(F917,0)-1=F917,EOMONTH(F917,0)=F917)),IF(IF(AND(OR('депозитный калькулятор'!$G$7="30/365",'депозитный калькулятор'!$G$7="30/360"),DAY(EOMONTH($F$24,0))=31),F917=EOMONTH($F$24,0)-1,F917=EOMONTH($F$24,0)),SUM(OFFSET(Q917,-E917+1,0):Q917),SUM(OFFSET(Q917,-E917+1,0):Q917)),IF('депозитный калькулятор'!$G$10="ежеквартальное",IF(F917&gt;'депозитный калькулятор'!$D$8," ",IF(AND(EOMONTH(F917,0)=F917,OR(MONTH(F917)=3,MONTH(F917)=6,MONTH(F917)=9,MONTH(F917)=12)),IF(EDATE(F917,-3)&lt;'депозитный калькулятор'!$D$7,SUM($H$23:H917),IF(MOD(YEAR(F917),4)=0,IF(AND(EOMONTH(F917,0)=F917,OR(MONTH(F917)=3,MONTH(F917)=6)),SUM(OFFSET(H917,-90,0):H917),IF(AND(EOMONTH(F917,0)=F917,OR(MONTH(F917)=9,MONTH(F917)=12)),SUM(OFFSET(H917,-91,0):H917))),IF(AND(EOMONTH(F917,0)=F917,MONTH(F917)=3),SUM(OFFSET(H917,-89,0):H917),IF(AND(EOMONTH(F917,0)=F917,MONTH(F917)=6),SUM(OFFSET(H917,-90,0):H917),IF(AND(EOMONTH(F917,0)=F917,OR(MONTH(F917)=9,MONTH(F917)=12)),SUM(OFFSET(H917,-91,0):H917)))))),IF(F917='депозитный калькулятор'!$D$8,SUM($H$23:H917)-SUM($I$23:I916),0))),IF('депозитный калькулятор'!$G$10="ежегодное",IF(F917&gt;'депозитный калькулятор'!$D$8," ",IF(F917='депозитный калькулятор'!$D$8,SUM($H$23:H917)-SUM($I$23:I916),IF(AND(EOMONTH(F917,0)=F917,MONTH(F917)=12),IF(MOD(YEAR(F916),4)=0,IF(F917-'депозитный калькулятор'!$D$7&lt;366,SUM($H$23:H917),SUM(OFFSET(H917,-365,0):H917)),IF(F917-'депозитный калькулятор'!$D$7&lt;365,SUM($H$23:H917),SUM(OFFSET(H917,-364,0):H917))),0))),IF(AND('депозитный калькулятор'!$G$10="в конце срока",'депозитный калькулятор'!$D$8=F917),SUM($H$23:H917),0))))))))))))))))))</f>
        <v xml:space="preserve"> </v>
      </c>
      <c r="J917" s="59" t="str">
        <f>IF(F917&gt;'депозитный калькулятор'!$D$8," ",IF('депозитный калькулятор'!$G$16="нет",0,IF(AND('депозитный калькулятор'!$G$17="разовая (в конце срока)",F917='депозитный калькулятор'!$D$8),'депозитный калькулятор'!$G$18,IF(AND('депозитный калькулятор'!$G$17="ежемесячная",EOMONTH(F916,0)=F916),'депозитный калькулятор'!$G$18,IF(AND('депозитный калькулятор'!$G$17="ежегодная",DAY(F916)=31,MONTH(F916)=12),'депозитный калькулятор'!$G$18,IF(AND('депозитный калькулятор'!$G$17="ежемесячная в зависимости от остатка",EOMONTH(F916,0)=F916,P916&gt;0),'депозитный калькулятор'!$G$18,IF(AND('депозитный калькулятор'!$G$17="ежегодная в зависимости от остатка",DAY(F916)=31,MONTH(F916)=12,P916&gt;0),'депозитный калькулятор'!$G$18,0)))))))</f>
        <v xml:space="preserve"> </v>
      </c>
      <c r="K917" s="135" t="str">
        <f>IF($F917=" "," ",IFERROR(VLOOKUP($F917,'депозитный калькулятор'!$B$26:$F$70,2,0),0))</f>
        <v xml:space="preserve"> </v>
      </c>
      <c r="L917" s="135" t="str">
        <f>IF($F917=" "," ",IFERROR(VLOOKUP($F917,'депозитный калькулятор'!$B$26:$F$70,3,0),0))</f>
        <v xml:space="preserve"> </v>
      </c>
      <c r="M917" s="135" t="str">
        <f>IF($F917=" "," ",IFERROR(VLOOKUP($F917,'депозитный калькулятор'!$B$26:$F$70,4,0),0))</f>
        <v xml:space="preserve"> </v>
      </c>
      <c r="N917" s="135" t="str">
        <f>IF($F917=" "," ",IFERROR(VLOOKUP($F917,'депозитный калькулятор'!$B$26:$F$70,5,0),0))</f>
        <v xml:space="preserve"> </v>
      </c>
      <c r="O917" s="146" t="str">
        <f>IF(F917&gt;'депозитный калькулятор'!$D$8," ",IF(F917='депозитный калькулятор'!$D$8,IF(AND($F$24='депозитный калькулятор'!$D$8,'депозитный калькулятор'!$G$13="нет"),-G917-IF(I917=" ",0,I917)-IF(AND(OR('депозитный калькулятор'!$G$7="30/365",'депозитный калькулятор'!$G$7="30/360"),'депозитный калькулятор'!$G$10="в начале срока"),I916,0)-L917+M917-N917,-G917-IF(I917=" ",0,I917)-L917+M917-N917),IF('депозитный калькулятор'!$G$13="есть",M917-N917+IF('депозитный калькулятор'!$G$14="есть",0,-L917),-IF(I917=" ",0,I917)-IF(AND(OR('депозитный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срока"),I916,0)+M917-N917+IF('депозитный калькулятор'!$G$14="есть",0,-L917))))</f>
        <v xml:space="preserve"> </v>
      </c>
      <c r="P917" s="147" t="str">
        <f>IF(F917&gt;'депозитный калькулятор'!$D$8," ",IF(EOMONTH(F916,0)=F916,0,IF(G917&gt;='депозитный калькулятор'!$G$19,P916,P916+1)))</f>
        <v xml:space="preserve"> </v>
      </c>
      <c r="Q917" s="138" t="str">
        <f>IF(F917=" "," ",IF(AND(OR('депозитный калькулятор'!$G$7="30/365",'депозитный калькулятор'!$G$7="30/360"),AND(MONTH(F917)=2,EOMONTH(F917,0)=F917)),IF(DAY(F917)=28,3,2),1)*IF(G917&gt;='депозитный калькулятор'!$G$11,IF(AND('депозитный калькулятор'!$G$7="факт/факт",MOD(YEAR(F917),4)=0),G917*'депозитный калькулятор'!$D$11/366,G917*'депозитный калькулятор'!$G$8),0))</f>
        <v xml:space="preserve"> </v>
      </c>
      <c r="S917" s="62" t="str">
        <f t="shared" ca="1" si="67"/>
        <v xml:space="preserve"> </v>
      </c>
      <c r="T917" s="149" t="str">
        <f ca="1">IF(S917=" "," ",IF('депозитный калькулятор'!$G$7="30/360",DAYS360(U916,IF(DAY(U917)=31,U917-1,U917))+IF(AND(MONTH(U917)=2,U917=EOMONTH(U917,0)),30-DAY(EOMONTH(U917,0)))+T916,VLOOKUP(S917,$C$22:$F$1023,2,0)))</f>
        <v xml:space="preserve"> </v>
      </c>
      <c r="U917" s="64" t="str">
        <f t="shared" ca="1" si="65"/>
        <v xml:space="preserve"> </v>
      </c>
      <c r="V917" s="150" t="str">
        <f t="shared" ca="1" si="68"/>
        <v xml:space="preserve"> </v>
      </c>
      <c r="W917" s="62" t="str">
        <f t="shared" ca="1" si="69"/>
        <v xml:space="preserve"> </v>
      </c>
      <c r="X917" s="141" t="str">
        <f ca="1">IF(S917=" "," ",IFERROR(VLOOKUP(U917,$F$23:$N$1023,7)+VLOOKUP(U917,$F$23:$N$1023,9)+IF(AND('депозитный калькулятор'!$G$13="нет",U917&lt;&gt;'депозитный калькулятор'!$D$8),VLOOKUP(U917,$F$23:$N$1023,4),0),0)+IF(U917='депозитный калькулятор'!$D$8,VLOOKUP(U917,$F$23:$N$1023,2)+VLOOKUP(U917,$F$23:$N$1023,4),0))</f>
        <v xml:space="preserve"> </v>
      </c>
      <c r="Y917" s="142" t="str">
        <f ca="1">IF(S917=" "," ",W917/(1+'депозитный калькулятор'!$K$8)^(T917/IF('депозитный калькулятор'!$G$7="30/360",360,365)))</f>
        <v xml:space="preserve"> </v>
      </c>
      <c r="Z917" s="142" t="str">
        <f ca="1">IF(S917=" "," ",X917/(1+'депозитный калькулятор'!$K$8)^(T917/IF('депозитный калькулятор'!$G$7="30/360",360,365)))</f>
        <v xml:space="preserve"> </v>
      </c>
      <c r="AA917" s="151"/>
      <c r="AB917" s="151"/>
      <c r="AC917" s="155"/>
      <c r="AD917" s="155"/>
    </row>
    <row r="918" spans="1:30" s="2" customFormat="1" ht="15.5" x14ac:dyDescent="0.35">
      <c r="A918" s="41" t="str">
        <f>IF(F918=" "," ",IF(OR('депозитный калькулятор'!$G$7="30/365",'депозитный калькулятор'!$G$7="30/360"),IF(AND(MONTH(F918)=2,DAY(F918)=DAY(EOMONTH(F918,0))),30-DAY(EOMONTH(F918,0)),IF(DAY(F918)=31,1," "))," "))</f>
        <v xml:space="preserve"> </v>
      </c>
      <c r="B918" s="130" t="str">
        <f t="shared" si="66"/>
        <v xml:space="preserve"> </v>
      </c>
      <c r="C918" s="130" t="str">
        <f>IF(OR(B918=0,B918=" ")," ",SUM($B$23:B918))</f>
        <v xml:space="preserve"> </v>
      </c>
      <c r="D918" s="62" t="str">
        <f>IF(D917=" "," ",IF(OR(F917='депозитный калькулятор'!$D$8,F917=" ")," ",D917+1))</f>
        <v xml:space="preserve"> </v>
      </c>
      <c r="E918" s="130" t="str">
        <f>IF(OR(F917='депозитный калькулятор'!$D$8,F917=" ")," ",IF(EOMONTH(F917,0)=F917,1,E917+1))</f>
        <v xml:space="preserve"> </v>
      </c>
      <c r="F918" s="64" t="str">
        <f>IF(F917=" "," ",IF(F917='депозитный калькулятор'!$D$8," ",F917+1))</f>
        <v xml:space="preserve"> </v>
      </c>
      <c r="G918" s="145" t="str">
        <f xml:space="preserve"> IF(F918&gt;'депозитный калькулятор'!$D$8," ",IF('депозитный калькулятор'!$G$13="есть",IF('депозитный калькулятор'!$G$14="есть",G917+IF(I917=" ",0,I917)-J918-K918+L918+M918-N918,G917+IF(I917=" ",0,I917)-J918-K918+M918-N918),IF('депозитный калькулятор'!$G$14="есть",G917-J918-K918+L918+M918-N918,G917-J918-K918+M918-N918)))</f>
        <v xml:space="preserve"> </v>
      </c>
      <c r="H918" s="133" t="str">
        <f>IF(F918&gt;'депозитный калькулятор'!$D$8," ",IF(AND(OR('депозитный калькулятор'!$G$7="30/365",'депозитный калькулятор'!$G$7="30/360"),AND(MONTH(F918)=2,EOMONTH(F918,0)=F918)),IF(DAY(F918)=28,3*G918*'депозитный калькулятор'!$G$8,2*G918*'депозитный калькулятор'!$G$8),IF(AND(OR('депозитный калькулятор'!$G$7="30/365",'депозитный калькулятор'!$G$7="30/360"),DAY(F918)=31)," ",IF(AND('депозитный калькулятор'!$G$7="факт/факт",MOD(YEAR(F918),4)=0),G918*'депозитный калькулятор'!$D$11/366,G918*'депозитный калькулятор'!$G$8))))</f>
        <v xml:space="preserve"> </v>
      </c>
      <c r="I918" s="134" t="str">
        <f ca="1">IF(F918=" "," ",IF('депозитный калькулятор'!$G$10="ежедневное",H918,IF(AND('депозитный калькулятор'!$G$10="еженедельное",WEEKDAY(F918,2)=7),SUM(OFFSET(H918,-6,0):H918),IF(AND('депозитный калькулятор'!$G$10="еженедельное",F918='депозитный калькулятор'!$D$8),SUM($H$23:H918)-SUM($I$23:I917),IF(AND('депозитный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недели",WEEKDAY(F918,2)=7),MIN(OFFSET(H918,-6,0):H918)*(COUNTIF(OFFSET(H918,-6,0):H918,"&gt;0")+SUMIF(OFFSET(A918,-WEEKDAY(F918,2),0):A918,"=2",OFFSET(A918,-WEEKDAY(F918,2),0):A918)),IF(AND('депозитный калькулятор'!$G$10="еженедельное, на минимальную сумму зафиксированную в течение недели",F918='депозитный калькулятор'!$D$8,WEEKDAY(F918,2)&lt;&gt;7),MIN(OFFSET(H918,-WEEKDAY(F918,2),0):H918)*(COUNTIF(OFFSET(H918,-WEEKDAY(F918,2)+1,0):H918,"&gt;0")+SUM(OFFSET(A918,-WEEKDAY(F918,2),0):A918)),IF(AND('депозитный калькулятор'!$G$10="ежемесячное (в конце месяца)",F918='депозитный калькулятор'!$D$8,EOMONTH(F918,0)&lt;&gt;F918),IF('депозитный калькулятор'!$F$1=1,$H$24,SUM($H$23:H918)-SUM($I$23:I917)),IF(AND('депозитный калькулятор'!$G$10="ежемесячное (в конце месяца)",EOMONTH(F918,0)=F918),SUM($H$23:H918)-SUM($I$23:I917),IF(AND('депозитный калькулятор'!$G$10="ежемесячное (по дням открытия вклада)",F918='депозитный калькулятор'!$D$8,DAY('депозитный калькулятор'!$D$7)&lt;&gt;DAY(F918)),IF('депозитный калькулятор'!$F$1=1,$H$24,SUM($H$23:H918)-SUM($I$23:I917)),IF(AND('депозитный калькулятор'!$G$10="ежемесячное (по дням открытия вклада)",DAY('депозитный калькулятор'!$D$7)=DAY(F918)),SUM($H$23:H918)-SUM($I$23:I917),IF(AND('депозитный калькулятор'!$G$10="ежемесячное, на минимальную сумму зафиксированную в течение месяца",F918='депозитный калькулятор'!$D$8,EOMONTH(F918,0)&lt;&gt;F918),IF('депозитный калькулятор'!$F$1=1,$H$24,IF(AND(OR('депозитный калькулятор'!$G$7="30/365",'депозитный калькулятор'!$G$7="30/360"),DAY(F918)=31),0,MIN(OFFSET(H918,-E918+1,0):H918)*(E918+SUMIF(OFFSET(A918,-E918+1,0):A918,"=2",OFFSET(A918,-E918+1,0):A918)))),IF(AND('депозитный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калькулятор'!$G$7="30/360"),DAY(EOMONTH(F918,0))=31),EOMONTH(F918,0)-1=F918,EOMONTH(F918,0)=F918)),IF(IF(AND(OR('депозитный калькулятор'!$G$7="30/365",'депозитный калькулятор'!$G$7="30/360"),DAY(EOMONTH($F$23,0))=31),F918=EOMONTH($F$23,0)-1,F918=EOMONTH($F$23,0)),MIN(OFFSET(H918,-(DAY(F918)-DAY($F$23)),0):H918)*E918,MIN(OFFSET(H918,-(DAY(F918)-1),0):H918)*IF(AND(OR('депозитный калькулятор'!$G$7="30/365",'депозитный калькулятор'!$G$7="30/360"),DAY(F918)&lt;30),30,DAY(F918))),IF(AND('депозитный калькулятор'!$G$10="ежемесячное, на средний остаток в течение месяца, при условии что остаток больше чем ограничение",F918='депозитный калькулятор'!$D$8,EOMONTH(F918,0)&lt;&gt;F918),IF('депозитный калькулятор'!$F$1=1,$H$24,SUM(OFFSET(Q918,-E918+1,0):Q918)),IF(AND('депозитный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калькулятор'!$G$7="30/360"),DAY(EOMONTH(F918,0))=31),EOMONTH(F918,0)-1=F918,EOMONTH(F918,0)=F918)),IF(IF(AND(OR('депозитный калькулятор'!$G$7="30/365",'депозитный калькулятор'!$G$7="30/360"),DAY(EOMONTH($F$24,0))=31),F918=EOMONTH($F$24,0)-1,F918=EOMONTH($F$24,0)),SUM(OFFSET(Q918,-E918+1,0):Q918),SUM(OFFSET(Q918,-E918+1,0):Q918)),IF('депозитный калькулятор'!$G$10="ежеквартальное",IF(F918&gt;'депозитный калькулятор'!$D$8," ",IF(AND(EOMONTH(F918,0)=F918,OR(MONTH(F918)=3,MONTH(F918)=6,MONTH(F918)=9,MONTH(F918)=12)),IF(EDATE(F918,-3)&lt;'депозитный калькулятор'!$D$7,SUM($H$23:H918),IF(MOD(YEAR(F918),4)=0,IF(AND(EOMONTH(F918,0)=F918,OR(MONTH(F918)=3,MONTH(F918)=6)),SUM(OFFSET(H918,-90,0):H918),IF(AND(EOMONTH(F918,0)=F918,OR(MONTH(F918)=9,MONTH(F918)=12)),SUM(OFFSET(H918,-91,0):H918))),IF(AND(EOMONTH(F918,0)=F918,MONTH(F918)=3),SUM(OFFSET(H918,-89,0):H918),IF(AND(EOMONTH(F918,0)=F918,MONTH(F918)=6),SUM(OFFSET(H918,-90,0):H918),IF(AND(EOMONTH(F918,0)=F918,OR(MONTH(F918)=9,MONTH(F918)=12)),SUM(OFFSET(H918,-91,0):H918)))))),IF(F918='депозитный калькулятор'!$D$8,SUM($H$23:H918)-SUM($I$23:I917),0))),IF('депозитный калькулятор'!$G$10="ежегодное",IF(F918&gt;'депозитный калькулятор'!$D$8," ",IF(F918='депозитный калькулятор'!$D$8,SUM($H$23:H918)-SUM($I$23:I917),IF(AND(EOMONTH(F918,0)=F918,MONTH(F918)=12),IF(MOD(YEAR(F917),4)=0,IF(F918-'депозитный калькулятор'!$D$7&lt;366,SUM($H$23:H918),SUM(OFFSET(H918,-365,0):H918)),IF(F918-'депозитный калькулятор'!$D$7&lt;365,SUM($H$23:H918),SUM(OFFSET(H918,-364,0):H918))),0))),IF(AND('депозитный калькулятор'!$G$10="в конце срока",'депозитный калькулятор'!$D$8=F918),SUM($H$23:H918),0))))))))))))))))))</f>
        <v xml:space="preserve"> </v>
      </c>
      <c r="J918" s="59" t="str">
        <f>IF(F918&gt;'депозитный калькулятор'!$D$8," ",IF('депозитный калькулятор'!$G$16="нет",0,IF(AND('депозитный калькулятор'!$G$17="разовая (в конце срока)",F918='депозитный калькулятор'!$D$8),'депозитный калькулятор'!$G$18,IF(AND('депозитный калькулятор'!$G$17="ежемесячная",EOMONTH(F917,0)=F917),'депозитный калькулятор'!$G$18,IF(AND('депозитный калькулятор'!$G$17="ежегодная",DAY(F917)=31,MONTH(F917)=12),'депозитный калькулятор'!$G$18,IF(AND('депозитный калькулятор'!$G$17="ежемесячная в зависимости от остатка",EOMONTH(F917,0)=F917,P917&gt;0),'депозитный калькулятор'!$G$18,IF(AND('депозитный калькулятор'!$G$17="ежегодная в зависимости от остатка",DAY(F917)=31,MONTH(F917)=12,P917&gt;0),'депозитный калькулятор'!$G$18,0)))))))</f>
        <v xml:space="preserve"> </v>
      </c>
      <c r="K918" s="135" t="str">
        <f>IF($F918=" "," ",IFERROR(VLOOKUP($F918,'депозитный калькулятор'!$B$26:$F$70,2,0),0))</f>
        <v xml:space="preserve"> </v>
      </c>
      <c r="L918" s="135" t="str">
        <f>IF($F918=" "," ",IFERROR(VLOOKUP($F918,'депозитный калькулятор'!$B$26:$F$70,3,0),0))</f>
        <v xml:space="preserve"> </v>
      </c>
      <c r="M918" s="135" t="str">
        <f>IF($F918=" "," ",IFERROR(VLOOKUP($F918,'депозитный калькулятор'!$B$26:$F$70,4,0),0))</f>
        <v xml:space="preserve"> </v>
      </c>
      <c r="N918" s="135" t="str">
        <f>IF($F918=" "," ",IFERROR(VLOOKUP($F918,'депозитный калькулятор'!$B$26:$F$70,5,0),0))</f>
        <v xml:space="preserve"> </v>
      </c>
      <c r="O918" s="146" t="str">
        <f>IF(F918&gt;'депозитный калькулятор'!$D$8," ",IF(F918='депозитный калькулятор'!$D$8,IF(AND($F$24='депозитный калькулятор'!$D$8,'депозитный калькулятор'!$G$13="нет"),-G918-IF(I918=" ",0,I918)-IF(AND(OR('депозитный калькулятор'!$G$7="30/365",'депозитный калькулятор'!$G$7="30/360"),'депозитный калькулятор'!$G$10="в начале срока"),I917,0)-L918+M918-N918,-G918-IF(I918=" ",0,I918)-L918+M918-N918),IF('депозитный калькулятор'!$G$13="есть",M918-N918+IF('депозитный калькулятор'!$G$14="есть",0,-L918),-IF(I918=" ",0,I918)-IF(AND(OR('депозитный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срока"),I917,0)+M918-N918+IF('депозитный калькулятор'!$G$14="есть",0,-L918))))</f>
        <v xml:space="preserve"> </v>
      </c>
      <c r="P918" s="147" t="str">
        <f>IF(F918&gt;'депозитный калькулятор'!$D$8," ",IF(EOMONTH(F917,0)=F917,0,IF(G918&gt;='депозитный калькулятор'!$G$19,P917,P917+1)))</f>
        <v xml:space="preserve"> </v>
      </c>
      <c r="Q918" s="138" t="str">
        <f>IF(F918=" "," ",IF(AND(OR('депозитный калькулятор'!$G$7="30/365",'депозитный калькулятор'!$G$7="30/360"),AND(MONTH(F918)=2,EOMONTH(F918,0)=F918)),IF(DAY(F918)=28,3,2),1)*IF(G918&gt;='депозитный калькулятор'!$G$11,IF(AND('депозитный калькулятор'!$G$7="факт/факт",MOD(YEAR(F918),4)=0),G918*'депозитный калькулятор'!$D$11/366,G918*'депозитный калькулятор'!$G$8),0))</f>
        <v xml:space="preserve"> </v>
      </c>
      <c r="S918" s="62" t="str">
        <f t="shared" ca="1" si="67"/>
        <v xml:space="preserve"> </v>
      </c>
      <c r="T918" s="149" t="str">
        <f ca="1">IF(S918=" "," ",IF('депозитный калькулятор'!$G$7="30/360",DAYS360(U917,IF(DAY(U918)=31,U918-1,U918))+IF(AND(MONTH(U918)=2,U918=EOMONTH(U918,0)),30-DAY(EOMONTH(U918,0)))+T917,VLOOKUP(S918,$C$22:$F$1023,2,0)))</f>
        <v xml:space="preserve"> </v>
      </c>
      <c r="U918" s="64" t="str">
        <f t="shared" ca="1" si="65"/>
        <v xml:space="preserve"> </v>
      </c>
      <c r="V918" s="150" t="str">
        <f t="shared" ca="1" si="68"/>
        <v xml:space="preserve"> </v>
      </c>
      <c r="W918" s="62" t="str">
        <f t="shared" ca="1" si="69"/>
        <v xml:space="preserve"> </v>
      </c>
      <c r="X918" s="141" t="str">
        <f ca="1">IF(S918=" "," ",IFERROR(VLOOKUP(U918,$F$23:$N$1023,7)+VLOOKUP(U918,$F$23:$N$1023,9)+IF(AND('депозитный калькулятор'!$G$13="нет",U918&lt;&gt;'депозитный калькулятор'!$D$8),VLOOKUP(U918,$F$23:$N$1023,4),0),0)+IF(U918='депозитный калькулятор'!$D$8,VLOOKUP(U918,$F$23:$N$1023,2)+VLOOKUP(U918,$F$23:$N$1023,4),0))</f>
        <v xml:space="preserve"> </v>
      </c>
      <c r="Y918" s="142" t="str">
        <f ca="1">IF(S918=" "," ",W918/(1+'депозитный калькулятор'!$K$8)^(T918/IF('депозитный калькулятор'!$G$7="30/360",360,365)))</f>
        <v xml:space="preserve"> </v>
      </c>
      <c r="Z918" s="142" t="str">
        <f ca="1">IF(S918=" "," ",X918/(1+'депозитный калькулятор'!$K$8)^(T918/IF('депозитный калькулятор'!$G$7="30/360",360,365)))</f>
        <v xml:space="preserve"> </v>
      </c>
      <c r="AA918" s="151"/>
      <c r="AB918" s="151"/>
      <c r="AC918" s="155"/>
      <c r="AD918" s="155"/>
    </row>
    <row r="919" spans="1:30" s="2" customFormat="1" ht="15.5" x14ac:dyDescent="0.35">
      <c r="A919" s="41" t="str">
        <f>IF(F919=" "," ",IF(OR('депозитный калькулятор'!$G$7="30/365",'депозитный калькулятор'!$G$7="30/360"),IF(AND(MONTH(F919)=2,DAY(F919)=DAY(EOMONTH(F919,0))),30-DAY(EOMONTH(F919,0)),IF(DAY(F919)=31,1," "))," "))</f>
        <v xml:space="preserve"> </v>
      </c>
      <c r="B919" s="130" t="str">
        <f t="shared" si="66"/>
        <v xml:space="preserve"> </v>
      </c>
      <c r="C919" s="130" t="str">
        <f>IF(OR(B919=0,B919=" ")," ",SUM($B$23:B919))</f>
        <v xml:space="preserve"> </v>
      </c>
      <c r="D919" s="62" t="str">
        <f>IF(D918=" "," ",IF(OR(F918='депозитный калькулятор'!$D$8,F918=" ")," ",D918+1))</f>
        <v xml:space="preserve"> </v>
      </c>
      <c r="E919" s="130" t="str">
        <f>IF(OR(F918='депозитный калькулятор'!$D$8,F918=" ")," ",IF(EOMONTH(F918,0)=F918,1,E918+1))</f>
        <v xml:space="preserve"> </v>
      </c>
      <c r="F919" s="64" t="str">
        <f>IF(F918=" "," ",IF(F918='депозитный калькулятор'!$D$8," ",F918+1))</f>
        <v xml:space="preserve"> </v>
      </c>
      <c r="G919" s="145" t="str">
        <f xml:space="preserve"> IF(F919&gt;'депозитный калькулятор'!$D$8," ",IF('депозитный калькулятор'!$G$13="есть",IF('депозитный калькулятор'!$G$14="есть",G918+IF(I918=" ",0,I918)-J919-K919+L919+M919-N919,G918+IF(I918=" ",0,I918)-J919-K919+M919-N919),IF('депозитный калькулятор'!$G$14="есть",G918-J919-K919+L919+M919-N919,G918-J919-K919+M919-N919)))</f>
        <v xml:space="preserve"> </v>
      </c>
      <c r="H919" s="133" t="str">
        <f>IF(F919&gt;'депозитный калькулятор'!$D$8," ",IF(AND(OR('депозитный калькулятор'!$G$7="30/365",'депозитный калькулятор'!$G$7="30/360"),AND(MONTH(F919)=2,EOMONTH(F919,0)=F919)),IF(DAY(F919)=28,3*G919*'депозитный калькулятор'!$G$8,2*G919*'депозитный калькулятор'!$G$8),IF(AND(OR('депозитный калькулятор'!$G$7="30/365",'депозитный калькулятор'!$G$7="30/360"),DAY(F919)=31)," ",IF(AND('депозитный калькулятор'!$G$7="факт/факт",MOD(YEAR(F919),4)=0),G919*'депозитный калькулятор'!$D$11/366,G919*'депозитный калькулятор'!$G$8))))</f>
        <v xml:space="preserve"> </v>
      </c>
      <c r="I919" s="134" t="str">
        <f ca="1">IF(F919=" "," ",IF('депозитный калькулятор'!$G$10="ежедневное",H919,IF(AND('депозитный калькулятор'!$G$10="еженедельное",WEEKDAY(F919,2)=7),SUM(OFFSET(H919,-6,0):H919),IF(AND('депозитный калькулятор'!$G$10="еженедельное",F919='депозитный калькулятор'!$D$8),SUM($H$23:H919)-SUM($I$23:I918),IF(AND('депозитный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недели",WEEKDAY(F919,2)=7),MIN(OFFSET(H919,-6,0):H919)*(COUNTIF(OFFSET(H919,-6,0):H919,"&gt;0")+SUMIF(OFFSET(A919,-WEEKDAY(F919,2),0):A919,"=2",OFFSET(A919,-WEEKDAY(F919,2),0):A919)),IF(AND('депозитный калькулятор'!$G$10="еженедельное, на минимальную сумму зафиксированную в течение недели",F919='депозитный калькулятор'!$D$8,WEEKDAY(F919,2)&lt;&gt;7),MIN(OFFSET(H919,-WEEKDAY(F919,2),0):H919)*(COUNTIF(OFFSET(H919,-WEEKDAY(F919,2)+1,0):H919,"&gt;0")+SUM(OFFSET(A919,-WEEKDAY(F919,2),0):A919)),IF(AND('депозитный калькулятор'!$G$10="ежемесячное (в конце месяца)",F919='депозитный калькулятор'!$D$8,EOMONTH(F919,0)&lt;&gt;F919),IF('депозитный калькулятор'!$F$1=1,$H$24,SUM($H$23:H919)-SUM($I$23:I918)),IF(AND('депозитный калькулятор'!$G$10="ежемесячное (в конце месяца)",EOMONTH(F919,0)=F919),SUM($H$23:H919)-SUM($I$23:I918),IF(AND('депозитный калькулятор'!$G$10="ежемесячное (по дням открытия вклада)",F919='депозитный калькулятор'!$D$8,DAY('депозитный калькулятор'!$D$7)&lt;&gt;DAY(F919)),IF('депозитный калькулятор'!$F$1=1,$H$24,SUM($H$23:H919)-SUM($I$23:I918)),IF(AND('депозитный калькулятор'!$G$10="ежемесячное (по дням открытия вклада)",DAY('депозитный калькулятор'!$D$7)=DAY(F919)),SUM($H$23:H919)-SUM($I$23:I918),IF(AND('депозитный калькулятор'!$G$10="ежемесячное, на минимальную сумму зафиксированную в течение месяца",F919='депозитный калькулятор'!$D$8,EOMONTH(F919,0)&lt;&gt;F919),IF('депозитный калькулятор'!$F$1=1,$H$24,IF(AND(OR('депозитный калькулятор'!$G$7="30/365",'депозитный калькулятор'!$G$7="30/360"),DAY(F919)=31),0,MIN(OFFSET(H919,-E919+1,0):H919)*(E919+SUMIF(OFFSET(A919,-E919+1,0):A919,"=2",OFFSET(A919,-E919+1,0):A919)))),IF(AND('депозитный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калькулятор'!$G$7="30/360"),DAY(EOMONTH(F919,0))=31),EOMONTH(F919,0)-1=F919,EOMONTH(F919,0)=F919)),IF(IF(AND(OR('депозитный калькулятор'!$G$7="30/365",'депозитный калькулятор'!$G$7="30/360"),DAY(EOMONTH($F$23,0))=31),F919=EOMONTH($F$23,0)-1,F919=EOMONTH($F$23,0)),MIN(OFFSET(H919,-(DAY(F919)-DAY($F$23)),0):H919)*E919,MIN(OFFSET(H919,-(DAY(F919)-1),0):H919)*IF(AND(OR('депозитный калькулятор'!$G$7="30/365",'депозитный калькулятор'!$G$7="30/360"),DAY(F919)&lt;30),30,DAY(F919))),IF(AND('депозитный калькулятор'!$G$10="ежемесячное, на средний остаток в течение месяца, при условии что остаток больше чем ограничение",F919='депозитный калькулятор'!$D$8,EOMONTH(F919,0)&lt;&gt;F919),IF('депозитный калькулятор'!$F$1=1,$H$24,SUM(OFFSET(Q919,-E919+1,0):Q919)),IF(AND('депозитный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калькулятор'!$G$7="30/360"),DAY(EOMONTH(F919,0))=31),EOMONTH(F919,0)-1=F919,EOMONTH(F919,0)=F919)),IF(IF(AND(OR('депозитный калькулятор'!$G$7="30/365",'депозитный калькулятор'!$G$7="30/360"),DAY(EOMONTH($F$24,0))=31),F919=EOMONTH($F$24,0)-1,F919=EOMONTH($F$24,0)),SUM(OFFSET(Q919,-E919+1,0):Q919),SUM(OFFSET(Q919,-E919+1,0):Q919)),IF('депозитный калькулятор'!$G$10="ежеквартальное",IF(F919&gt;'депозитный калькулятор'!$D$8," ",IF(AND(EOMONTH(F919,0)=F919,OR(MONTH(F919)=3,MONTH(F919)=6,MONTH(F919)=9,MONTH(F919)=12)),IF(EDATE(F919,-3)&lt;'депозитный калькулятор'!$D$7,SUM($H$23:H919),IF(MOD(YEAR(F919),4)=0,IF(AND(EOMONTH(F919,0)=F919,OR(MONTH(F919)=3,MONTH(F919)=6)),SUM(OFFSET(H919,-90,0):H919),IF(AND(EOMONTH(F919,0)=F919,OR(MONTH(F919)=9,MONTH(F919)=12)),SUM(OFFSET(H919,-91,0):H919))),IF(AND(EOMONTH(F919,0)=F919,MONTH(F919)=3),SUM(OFFSET(H919,-89,0):H919),IF(AND(EOMONTH(F919,0)=F919,MONTH(F919)=6),SUM(OFFSET(H919,-90,0):H919),IF(AND(EOMONTH(F919,0)=F919,OR(MONTH(F919)=9,MONTH(F919)=12)),SUM(OFFSET(H919,-91,0):H919)))))),IF(F919='депозитный калькулятор'!$D$8,SUM($H$23:H919)-SUM($I$23:I918),0))),IF('депозитный калькулятор'!$G$10="ежегодное",IF(F919&gt;'депозитный калькулятор'!$D$8," ",IF(F919='депозитный калькулятор'!$D$8,SUM($H$23:H919)-SUM($I$23:I918),IF(AND(EOMONTH(F919,0)=F919,MONTH(F919)=12),IF(MOD(YEAR(F918),4)=0,IF(F919-'депозитный калькулятор'!$D$7&lt;366,SUM($H$23:H919),SUM(OFFSET(H919,-365,0):H919)),IF(F919-'депозитный калькулятор'!$D$7&lt;365,SUM($H$23:H919),SUM(OFFSET(H919,-364,0):H919))),0))),IF(AND('депозитный калькулятор'!$G$10="в конце срока",'депозитный калькулятор'!$D$8=F919),SUM($H$23:H919),0))))))))))))))))))</f>
        <v xml:space="preserve"> </v>
      </c>
      <c r="J919" s="59" t="str">
        <f>IF(F919&gt;'депозитный калькулятор'!$D$8," ",IF('депозитный калькулятор'!$G$16="нет",0,IF(AND('депозитный калькулятор'!$G$17="разовая (в конце срока)",F919='депозитный калькулятор'!$D$8),'депозитный калькулятор'!$G$18,IF(AND('депозитный калькулятор'!$G$17="ежемесячная",EOMONTH(F918,0)=F918),'депозитный калькулятор'!$G$18,IF(AND('депозитный калькулятор'!$G$17="ежегодная",DAY(F918)=31,MONTH(F918)=12),'депозитный калькулятор'!$G$18,IF(AND('депозитный калькулятор'!$G$17="ежемесячная в зависимости от остатка",EOMONTH(F918,0)=F918,P918&gt;0),'депозитный калькулятор'!$G$18,IF(AND('депозитный калькулятор'!$G$17="ежегодная в зависимости от остатка",DAY(F918)=31,MONTH(F918)=12,P918&gt;0),'депозитный калькулятор'!$G$18,0)))))))</f>
        <v xml:space="preserve"> </v>
      </c>
      <c r="K919" s="135" t="str">
        <f>IF($F919=" "," ",IFERROR(VLOOKUP($F919,'депозитный калькулятор'!$B$26:$F$70,2,0),0))</f>
        <v xml:space="preserve"> </v>
      </c>
      <c r="L919" s="135" t="str">
        <f>IF($F919=" "," ",IFERROR(VLOOKUP($F919,'депозитный калькулятор'!$B$26:$F$70,3,0),0))</f>
        <v xml:space="preserve"> </v>
      </c>
      <c r="M919" s="135" t="str">
        <f>IF($F919=" "," ",IFERROR(VLOOKUP($F919,'депозитный калькулятор'!$B$26:$F$70,4,0),0))</f>
        <v xml:space="preserve"> </v>
      </c>
      <c r="N919" s="135" t="str">
        <f>IF($F919=" "," ",IFERROR(VLOOKUP($F919,'депозитный калькулятор'!$B$26:$F$70,5,0),0))</f>
        <v xml:space="preserve"> </v>
      </c>
      <c r="O919" s="146" t="str">
        <f>IF(F919&gt;'депозитный калькулятор'!$D$8," ",IF(F919='депозитный калькулятор'!$D$8,IF(AND($F$24='депозитный калькулятор'!$D$8,'депозитный калькулятор'!$G$13="нет"),-G919-IF(I919=" ",0,I919)-IF(AND(OR('депозитный калькулятор'!$G$7="30/365",'депозитный калькулятор'!$G$7="30/360"),'депозитный калькулятор'!$G$10="в начале срока"),I918,0)-L919+M919-N919,-G919-IF(I919=" ",0,I919)-L919+M919-N919),IF('депозитный калькулятор'!$G$13="есть",M919-N919+IF('депозитный калькулятор'!$G$14="есть",0,-L919),-IF(I919=" ",0,I919)-IF(AND(OR('депозитный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срока"),I918,0)+M919-N919+IF('депозитный калькулятор'!$G$14="есть",0,-L919))))</f>
        <v xml:space="preserve"> </v>
      </c>
      <c r="P919" s="147" t="str">
        <f>IF(F919&gt;'депозитный калькулятор'!$D$8," ",IF(EOMONTH(F918,0)=F918,0,IF(G919&gt;='депозитный калькулятор'!$G$19,P918,P918+1)))</f>
        <v xml:space="preserve"> </v>
      </c>
      <c r="Q919" s="138" t="str">
        <f>IF(F919=" "," ",IF(AND(OR('депозитный калькулятор'!$G$7="30/365",'депозитный калькулятор'!$G$7="30/360"),AND(MONTH(F919)=2,EOMONTH(F919,0)=F919)),IF(DAY(F919)=28,3,2),1)*IF(G919&gt;='депозитный калькулятор'!$G$11,IF(AND('депозитный калькулятор'!$G$7="факт/факт",MOD(YEAR(F919),4)=0),G919*'депозитный калькулятор'!$D$11/366,G919*'депозитный калькулятор'!$G$8),0))</f>
        <v xml:space="preserve"> </v>
      </c>
      <c r="S919" s="62" t="str">
        <f t="shared" ca="1" si="67"/>
        <v xml:space="preserve"> </v>
      </c>
      <c r="T919" s="149" t="str">
        <f ca="1">IF(S919=" "," ",IF('депозитный калькулятор'!$G$7="30/360",DAYS360(U918,IF(DAY(U919)=31,U919-1,U919))+IF(AND(MONTH(U919)=2,U919=EOMONTH(U919,0)),30-DAY(EOMONTH(U919,0)))+T918,VLOOKUP(S919,$C$22:$F$1023,2,0)))</f>
        <v xml:space="preserve"> </v>
      </c>
      <c r="U919" s="64" t="str">
        <f t="shared" ref="U919:U982" ca="1" si="70">IF(S919=" "," ",VLOOKUP(S919,$C$22:$F$1023,4,0))</f>
        <v xml:space="preserve"> </v>
      </c>
      <c r="V919" s="150" t="str">
        <f t="shared" ca="1" si="68"/>
        <v xml:space="preserve"> </v>
      </c>
      <c r="W919" s="62" t="str">
        <f t="shared" ca="1" si="69"/>
        <v xml:space="preserve"> </v>
      </c>
      <c r="X919" s="141" t="str">
        <f ca="1">IF(S919=" "," ",IFERROR(VLOOKUP(U919,$F$23:$N$1023,7)+VLOOKUP(U919,$F$23:$N$1023,9)+IF(AND('депозитный калькулятор'!$G$13="нет",U919&lt;&gt;'депозитный калькулятор'!$D$8),VLOOKUP(U919,$F$23:$N$1023,4),0),0)+IF(U919='депозитный калькулятор'!$D$8,VLOOKUP(U919,$F$23:$N$1023,2)+VLOOKUP(U919,$F$23:$N$1023,4),0))</f>
        <v xml:space="preserve"> </v>
      </c>
      <c r="Y919" s="142" t="str">
        <f ca="1">IF(S919=" "," ",W919/(1+'депозитный калькулятор'!$K$8)^(T919/IF('депозитный калькулятор'!$G$7="30/360",360,365)))</f>
        <v xml:space="preserve"> </v>
      </c>
      <c r="Z919" s="142" t="str">
        <f ca="1">IF(S919=" "," ",X919/(1+'депозитный калькулятор'!$K$8)^(T919/IF('депозитный калькулятор'!$G$7="30/360",360,365)))</f>
        <v xml:space="preserve"> </v>
      </c>
      <c r="AA919" s="151"/>
      <c r="AB919" s="151"/>
      <c r="AC919" s="155"/>
      <c r="AD919" s="155"/>
    </row>
    <row r="920" spans="1:30" s="2" customFormat="1" ht="15.5" x14ac:dyDescent="0.35">
      <c r="A920" s="41" t="str">
        <f>IF(F920=" "," ",IF(OR('депозитный калькулятор'!$G$7="30/365",'депозитный калькулятор'!$G$7="30/360"),IF(AND(MONTH(F920)=2,DAY(F920)=DAY(EOMONTH(F920,0))),30-DAY(EOMONTH(F920,0)),IF(DAY(F920)=31,1," "))," "))</f>
        <v xml:space="preserve"> </v>
      </c>
      <c r="B920" s="130" t="str">
        <f t="shared" ref="B920:B983" si="71">IF(F920=" "," ",IF(O920&lt;&gt;0,1,0))</f>
        <v xml:space="preserve"> </v>
      </c>
      <c r="C920" s="130" t="str">
        <f>IF(OR(B920=0,B920=" ")," ",SUM($B$23:B920))</f>
        <v xml:space="preserve"> </v>
      </c>
      <c r="D920" s="62" t="str">
        <f>IF(D919=" "," ",IF(OR(F919='депозитный калькулятор'!$D$8,F919=" ")," ",D919+1))</f>
        <v xml:space="preserve"> </v>
      </c>
      <c r="E920" s="130" t="str">
        <f>IF(OR(F919='депозитный калькулятор'!$D$8,F919=" ")," ",IF(EOMONTH(F919,0)=F919,1,E919+1))</f>
        <v xml:space="preserve"> </v>
      </c>
      <c r="F920" s="64" t="str">
        <f>IF(F919=" "," ",IF(F919='депозитный калькулятор'!$D$8," ",F919+1))</f>
        <v xml:space="preserve"> </v>
      </c>
      <c r="G920" s="145" t="str">
        <f xml:space="preserve"> IF(F920&gt;'депозитный калькулятор'!$D$8," ",IF('депозитный калькулятор'!$G$13="есть",IF('депозитный калькулятор'!$G$14="есть",G919+IF(I919=" ",0,I919)-J920-K920+L920+M920-N920,G919+IF(I919=" ",0,I919)-J920-K920+M920-N920),IF('депозитный калькулятор'!$G$14="есть",G919-J920-K920+L920+M920-N920,G919-J920-K920+M920-N920)))</f>
        <v xml:space="preserve"> </v>
      </c>
      <c r="H920" s="133" t="str">
        <f>IF(F920&gt;'депозитный калькулятор'!$D$8," ",IF(AND(OR('депозитный калькулятор'!$G$7="30/365",'депозитный калькулятор'!$G$7="30/360"),AND(MONTH(F920)=2,EOMONTH(F920,0)=F920)),IF(DAY(F920)=28,3*G920*'депозитный калькулятор'!$G$8,2*G920*'депозитный калькулятор'!$G$8),IF(AND(OR('депозитный калькулятор'!$G$7="30/365",'депозитный калькулятор'!$G$7="30/360"),DAY(F920)=31)," ",IF(AND('депозитный калькулятор'!$G$7="факт/факт",MOD(YEAR(F920),4)=0),G920*'депозитный калькулятор'!$D$11/366,G920*'депозитный калькулятор'!$G$8))))</f>
        <v xml:space="preserve"> </v>
      </c>
      <c r="I920" s="134" t="str">
        <f ca="1">IF(F920=" "," ",IF('депозитный калькулятор'!$G$10="ежедневное",H920,IF(AND('депозитный калькулятор'!$G$10="еженедельное",WEEKDAY(F920,2)=7),SUM(OFFSET(H920,-6,0):H920),IF(AND('депозитный калькулятор'!$G$10="еженедельное",F920='депозитный калькулятор'!$D$8),SUM($H$23:H920)-SUM($I$23:I919),IF(AND('депозитный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недели",WEEKDAY(F920,2)=7),MIN(OFFSET(H920,-6,0):H920)*(COUNTIF(OFFSET(H920,-6,0):H920,"&gt;0")+SUMIF(OFFSET(A920,-WEEKDAY(F920,2),0):A920,"=2",OFFSET(A920,-WEEKDAY(F920,2),0):A920)),IF(AND('депозитный калькулятор'!$G$10="еженедельное, на минимальную сумму зафиксированную в течение недели",F920='депозитный калькулятор'!$D$8,WEEKDAY(F920,2)&lt;&gt;7),MIN(OFFSET(H920,-WEEKDAY(F920,2),0):H920)*(COUNTIF(OFFSET(H920,-WEEKDAY(F920,2)+1,0):H920,"&gt;0")+SUM(OFFSET(A920,-WEEKDAY(F920,2),0):A920)),IF(AND('депозитный калькулятор'!$G$10="ежемесячное (в конце месяца)",F920='депозитный калькулятор'!$D$8,EOMONTH(F920,0)&lt;&gt;F920),IF('депозитный калькулятор'!$F$1=1,$H$24,SUM($H$23:H920)-SUM($I$23:I919)),IF(AND('депозитный калькулятор'!$G$10="ежемесячное (в конце месяца)",EOMONTH(F920,0)=F920),SUM($H$23:H920)-SUM($I$23:I919),IF(AND('депозитный калькулятор'!$G$10="ежемесячное (по дням открытия вклада)",F920='депозитный калькулятор'!$D$8,DAY('депозитный калькулятор'!$D$7)&lt;&gt;DAY(F920)),IF('депозитный калькулятор'!$F$1=1,$H$24,SUM($H$23:H920)-SUM($I$23:I919)),IF(AND('депозитный калькулятор'!$G$10="ежемесячное (по дням открытия вклада)",DAY('депозитный калькулятор'!$D$7)=DAY(F920)),SUM($H$23:H920)-SUM($I$23:I919),IF(AND('депозитный калькулятор'!$G$10="ежемесячное, на минимальную сумму зафиксированную в течение месяца",F920='депозитный калькулятор'!$D$8,EOMONTH(F920,0)&lt;&gt;F920),IF('депозитный калькулятор'!$F$1=1,$H$24,IF(AND(OR('депозитный калькулятор'!$G$7="30/365",'депозитный калькулятор'!$G$7="30/360"),DAY(F920)=31),0,MIN(OFFSET(H920,-E920+1,0):H920)*(E920+SUMIF(OFFSET(A920,-E920+1,0):A920,"=2",OFFSET(A920,-E920+1,0):A920)))),IF(AND('депозитный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калькулятор'!$G$7="30/360"),DAY(EOMONTH(F920,0))=31),EOMONTH(F920,0)-1=F920,EOMONTH(F920,0)=F920)),IF(IF(AND(OR('депозитный калькулятор'!$G$7="30/365",'депозитный калькулятор'!$G$7="30/360"),DAY(EOMONTH($F$23,0))=31),F920=EOMONTH($F$23,0)-1,F920=EOMONTH($F$23,0)),MIN(OFFSET(H920,-(DAY(F920)-DAY($F$23)),0):H920)*E920,MIN(OFFSET(H920,-(DAY(F920)-1),0):H920)*IF(AND(OR('депозитный калькулятор'!$G$7="30/365",'депозитный калькулятор'!$G$7="30/360"),DAY(F920)&lt;30),30,DAY(F920))),IF(AND('депозитный калькулятор'!$G$10="ежемесячное, на средний остаток в течение месяца, при условии что остаток больше чем ограничение",F920='депозитный калькулятор'!$D$8,EOMONTH(F920,0)&lt;&gt;F920),IF('депозитный калькулятор'!$F$1=1,$H$24,SUM(OFFSET(Q920,-E920+1,0):Q920)),IF(AND('депозитный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калькулятор'!$G$7="30/360"),DAY(EOMONTH(F920,0))=31),EOMONTH(F920,0)-1=F920,EOMONTH(F920,0)=F920)),IF(IF(AND(OR('депозитный калькулятор'!$G$7="30/365",'депозитный калькулятор'!$G$7="30/360"),DAY(EOMONTH($F$24,0))=31),F920=EOMONTH($F$24,0)-1,F920=EOMONTH($F$24,0)),SUM(OFFSET(Q920,-E920+1,0):Q920),SUM(OFFSET(Q920,-E920+1,0):Q920)),IF('депозитный калькулятор'!$G$10="ежеквартальное",IF(F920&gt;'депозитный калькулятор'!$D$8," ",IF(AND(EOMONTH(F920,0)=F920,OR(MONTH(F920)=3,MONTH(F920)=6,MONTH(F920)=9,MONTH(F920)=12)),IF(EDATE(F920,-3)&lt;'депозитный калькулятор'!$D$7,SUM($H$23:H920),IF(MOD(YEAR(F920),4)=0,IF(AND(EOMONTH(F920,0)=F920,OR(MONTH(F920)=3,MONTH(F920)=6)),SUM(OFFSET(H920,-90,0):H920),IF(AND(EOMONTH(F920,0)=F920,OR(MONTH(F920)=9,MONTH(F920)=12)),SUM(OFFSET(H920,-91,0):H920))),IF(AND(EOMONTH(F920,0)=F920,MONTH(F920)=3),SUM(OFFSET(H920,-89,0):H920),IF(AND(EOMONTH(F920,0)=F920,MONTH(F920)=6),SUM(OFFSET(H920,-90,0):H920),IF(AND(EOMONTH(F920,0)=F920,OR(MONTH(F920)=9,MONTH(F920)=12)),SUM(OFFSET(H920,-91,0):H920)))))),IF(F920='депозитный калькулятор'!$D$8,SUM($H$23:H920)-SUM($I$23:I919),0))),IF('депозитный калькулятор'!$G$10="ежегодное",IF(F920&gt;'депозитный калькулятор'!$D$8," ",IF(F920='депозитный калькулятор'!$D$8,SUM($H$23:H920)-SUM($I$23:I919),IF(AND(EOMONTH(F920,0)=F920,MONTH(F920)=12),IF(MOD(YEAR(F919),4)=0,IF(F920-'депозитный калькулятор'!$D$7&lt;366,SUM($H$23:H920),SUM(OFFSET(H920,-365,0):H920)),IF(F920-'депозитный калькулятор'!$D$7&lt;365,SUM($H$23:H920),SUM(OFFSET(H920,-364,0):H920))),0))),IF(AND('депозитный калькулятор'!$G$10="в конце срока",'депозитный калькулятор'!$D$8=F920),SUM($H$23:H920),0))))))))))))))))))</f>
        <v xml:space="preserve"> </v>
      </c>
      <c r="J920" s="59" t="str">
        <f>IF(F920&gt;'депозитный калькулятор'!$D$8," ",IF('депозитный калькулятор'!$G$16="нет",0,IF(AND('депозитный калькулятор'!$G$17="разовая (в конце срока)",F920='депозитный калькулятор'!$D$8),'депозитный калькулятор'!$G$18,IF(AND('депозитный калькулятор'!$G$17="ежемесячная",EOMONTH(F919,0)=F919),'депозитный калькулятор'!$G$18,IF(AND('депозитный калькулятор'!$G$17="ежегодная",DAY(F919)=31,MONTH(F919)=12),'депозитный калькулятор'!$G$18,IF(AND('депозитный калькулятор'!$G$17="ежемесячная в зависимости от остатка",EOMONTH(F919,0)=F919,P919&gt;0),'депозитный калькулятор'!$G$18,IF(AND('депозитный калькулятор'!$G$17="ежегодная в зависимости от остатка",DAY(F919)=31,MONTH(F919)=12,P919&gt;0),'депозитный калькулятор'!$G$18,0)))))))</f>
        <v xml:space="preserve"> </v>
      </c>
      <c r="K920" s="135" t="str">
        <f>IF($F920=" "," ",IFERROR(VLOOKUP($F920,'депозитный калькулятор'!$B$26:$F$70,2,0),0))</f>
        <v xml:space="preserve"> </v>
      </c>
      <c r="L920" s="135" t="str">
        <f>IF($F920=" "," ",IFERROR(VLOOKUP($F920,'депозитный калькулятор'!$B$26:$F$70,3,0),0))</f>
        <v xml:space="preserve"> </v>
      </c>
      <c r="M920" s="135" t="str">
        <f>IF($F920=" "," ",IFERROR(VLOOKUP($F920,'депозитный калькулятор'!$B$26:$F$70,4,0),0))</f>
        <v xml:space="preserve"> </v>
      </c>
      <c r="N920" s="135" t="str">
        <f>IF($F920=" "," ",IFERROR(VLOOKUP($F920,'депозитный калькулятор'!$B$26:$F$70,5,0),0))</f>
        <v xml:space="preserve"> </v>
      </c>
      <c r="O920" s="146" t="str">
        <f>IF(F920&gt;'депозитный калькулятор'!$D$8," ",IF(F920='депозитный калькулятор'!$D$8,IF(AND($F$24='депозитный калькулятор'!$D$8,'депозитный калькулятор'!$G$13="нет"),-G920-IF(I920=" ",0,I920)-IF(AND(OR('депозитный калькулятор'!$G$7="30/365",'депозитный калькулятор'!$G$7="30/360"),'депозитный калькулятор'!$G$10="в начале срока"),I919,0)-L920+M920-N920,-G920-IF(I920=" ",0,I920)-L920+M920-N920),IF('депозитный калькулятор'!$G$13="есть",M920-N920+IF('депозитный калькулятор'!$G$14="есть",0,-L920),-IF(I920=" ",0,I920)-IF(AND(OR('депозитный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срока"),I919,0)+M920-N920+IF('депозитный калькулятор'!$G$14="есть",0,-L920))))</f>
        <v xml:space="preserve"> </v>
      </c>
      <c r="P920" s="147" t="str">
        <f>IF(F920&gt;'депозитный калькулятор'!$D$8," ",IF(EOMONTH(F919,0)=F919,0,IF(G920&gt;='депозитный калькулятор'!$G$19,P919,P919+1)))</f>
        <v xml:space="preserve"> </v>
      </c>
      <c r="Q920" s="138" t="str">
        <f>IF(F920=" "," ",IF(AND(OR('депозитный калькулятор'!$G$7="30/365",'депозитный калькулятор'!$G$7="30/360"),AND(MONTH(F920)=2,EOMONTH(F920,0)=F920)),IF(DAY(F920)=28,3,2),1)*IF(G920&gt;='депозитный калькулятор'!$G$11,IF(AND('депозитный калькулятор'!$G$7="факт/факт",MOD(YEAR(F920),4)=0),G920*'депозитный калькулятор'!$D$11/366,G920*'депозитный калькулятор'!$G$8),0))</f>
        <v xml:space="preserve"> </v>
      </c>
      <c r="S920" s="62" t="str">
        <f t="shared" ref="S920:S983" ca="1" si="72">IF(S919&lt;COUNTIFS($B$23:$B$1023,"&gt;0"),S919+1," ")</f>
        <v xml:space="preserve"> </v>
      </c>
      <c r="T920" s="149" t="str">
        <f ca="1">IF(S920=" "," ",IF('депозитный калькулятор'!$G$7="30/360",DAYS360(U919,IF(DAY(U920)=31,U920-1,U920))+IF(AND(MONTH(U920)=2,U920=EOMONTH(U920,0)),30-DAY(EOMONTH(U920,0)))+T919,VLOOKUP(S920,$C$22:$F$1023,2,0)))</f>
        <v xml:space="preserve"> </v>
      </c>
      <c r="U920" s="64" t="str">
        <f t="shared" ca="1" si="70"/>
        <v xml:space="preserve"> </v>
      </c>
      <c r="V920" s="150" t="str">
        <f t="shared" ref="V920:V983" ca="1" si="73">VLOOKUP(U920,$F$24:$O$1023,10)</f>
        <v xml:space="preserve"> </v>
      </c>
      <c r="W920" s="62" t="str">
        <f t="shared" ref="W920:W983" ca="1" si="74">IF(S920=" "," ",VLOOKUP(U920,$F$24:$N$1023,8))</f>
        <v xml:space="preserve"> </v>
      </c>
      <c r="X920" s="141" t="str">
        <f ca="1">IF(S920=" "," ",IFERROR(VLOOKUP(U920,$F$23:$N$1023,7)+VLOOKUP(U920,$F$23:$N$1023,9)+IF(AND('депозитный калькулятор'!$G$13="нет",U920&lt;&gt;'депозитный калькулятор'!$D$8),VLOOKUP(U920,$F$23:$N$1023,4),0),0)+IF(U920='депозитный калькулятор'!$D$8,VLOOKUP(U920,$F$23:$N$1023,2)+VLOOKUP(U920,$F$23:$N$1023,4),0))</f>
        <v xml:space="preserve"> </v>
      </c>
      <c r="Y920" s="142" t="str">
        <f ca="1">IF(S920=" "," ",W920/(1+'депозитный калькулятор'!$K$8)^(T920/IF('депозитный калькулятор'!$G$7="30/360",360,365)))</f>
        <v xml:space="preserve"> </v>
      </c>
      <c r="Z920" s="142" t="str">
        <f ca="1">IF(S920=" "," ",X920/(1+'депозитный калькулятор'!$K$8)^(T920/IF('депозитный калькулятор'!$G$7="30/360",360,365)))</f>
        <v xml:space="preserve"> </v>
      </c>
      <c r="AA920" s="151"/>
      <c r="AB920" s="151"/>
      <c r="AC920" s="155"/>
      <c r="AD920" s="155"/>
    </row>
    <row r="921" spans="1:30" s="2" customFormat="1" ht="15.5" x14ac:dyDescent="0.35">
      <c r="A921" s="41" t="str">
        <f>IF(F921=" "," ",IF(OR('депозитный калькулятор'!$G$7="30/365",'депозитный калькулятор'!$G$7="30/360"),IF(AND(MONTH(F921)=2,DAY(F921)=DAY(EOMONTH(F921,0))),30-DAY(EOMONTH(F921,0)),IF(DAY(F921)=31,1," "))," "))</f>
        <v xml:space="preserve"> </v>
      </c>
      <c r="B921" s="130" t="str">
        <f t="shared" si="71"/>
        <v xml:space="preserve"> </v>
      </c>
      <c r="C921" s="130" t="str">
        <f>IF(OR(B921=0,B921=" ")," ",SUM($B$23:B921))</f>
        <v xml:space="preserve"> </v>
      </c>
      <c r="D921" s="62" t="str">
        <f>IF(D920=" "," ",IF(OR(F920='депозитный калькулятор'!$D$8,F920=" ")," ",D920+1))</f>
        <v xml:space="preserve"> </v>
      </c>
      <c r="E921" s="130" t="str">
        <f>IF(OR(F920='депозитный калькулятор'!$D$8,F920=" ")," ",IF(EOMONTH(F920,0)=F920,1,E920+1))</f>
        <v xml:space="preserve"> </v>
      </c>
      <c r="F921" s="64" t="str">
        <f>IF(F920=" "," ",IF(F920='депозитный калькулятор'!$D$8," ",F920+1))</f>
        <v xml:space="preserve"> </v>
      </c>
      <c r="G921" s="145" t="str">
        <f xml:space="preserve"> IF(F921&gt;'депозитный калькулятор'!$D$8," ",IF('депозитный калькулятор'!$G$13="есть",IF('депозитный калькулятор'!$G$14="есть",G920+IF(I920=" ",0,I920)-J921-K921+L921+M921-N921,G920+IF(I920=" ",0,I920)-J921-K921+M921-N921),IF('депозитный калькулятор'!$G$14="есть",G920-J921-K921+L921+M921-N921,G920-J921-K921+M921-N921)))</f>
        <v xml:space="preserve"> </v>
      </c>
      <c r="H921" s="133" t="str">
        <f>IF(F921&gt;'депозитный калькулятор'!$D$8," ",IF(AND(OR('депозитный калькулятор'!$G$7="30/365",'депозитный калькулятор'!$G$7="30/360"),AND(MONTH(F921)=2,EOMONTH(F921,0)=F921)),IF(DAY(F921)=28,3*G921*'депозитный калькулятор'!$G$8,2*G921*'депозитный калькулятор'!$G$8),IF(AND(OR('депозитный калькулятор'!$G$7="30/365",'депозитный калькулятор'!$G$7="30/360"),DAY(F921)=31)," ",IF(AND('депозитный калькулятор'!$G$7="факт/факт",MOD(YEAR(F921),4)=0),G921*'депозитный калькулятор'!$D$11/366,G921*'депозитный калькулятор'!$G$8))))</f>
        <v xml:space="preserve"> </v>
      </c>
      <c r="I921" s="134" t="str">
        <f ca="1">IF(F921=" "," ",IF('депозитный калькулятор'!$G$10="ежедневное",H921,IF(AND('депозитный калькулятор'!$G$10="еженедельное",WEEKDAY(F921,2)=7),SUM(OFFSET(H921,-6,0):H921),IF(AND('депозитный калькулятор'!$G$10="еженедельное",F921='депозитный калькулятор'!$D$8),SUM($H$23:H921)-SUM($I$23:I920),IF(AND('депозитный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недели",WEEKDAY(F921,2)=7),MIN(OFFSET(H921,-6,0):H921)*(COUNTIF(OFFSET(H921,-6,0):H921,"&gt;0")+SUMIF(OFFSET(A921,-WEEKDAY(F921,2),0):A921,"=2",OFFSET(A921,-WEEKDAY(F921,2),0):A921)),IF(AND('депозитный калькулятор'!$G$10="еженедельное, на минимальную сумму зафиксированную в течение недели",F921='депозитный калькулятор'!$D$8,WEEKDAY(F921,2)&lt;&gt;7),MIN(OFFSET(H921,-WEEKDAY(F921,2),0):H921)*(COUNTIF(OFFSET(H921,-WEEKDAY(F921,2)+1,0):H921,"&gt;0")+SUM(OFFSET(A921,-WEEKDAY(F921,2),0):A921)),IF(AND('депозитный калькулятор'!$G$10="ежемесячное (в конце месяца)",F921='депозитный калькулятор'!$D$8,EOMONTH(F921,0)&lt;&gt;F921),IF('депозитный калькулятор'!$F$1=1,$H$24,SUM($H$23:H921)-SUM($I$23:I920)),IF(AND('депозитный калькулятор'!$G$10="ежемесячное (в конце месяца)",EOMONTH(F921,0)=F921),SUM($H$23:H921)-SUM($I$23:I920),IF(AND('депозитный калькулятор'!$G$10="ежемесячное (по дням открытия вклада)",F921='депозитный калькулятор'!$D$8,DAY('депозитный калькулятор'!$D$7)&lt;&gt;DAY(F921)),IF('депозитный калькулятор'!$F$1=1,$H$24,SUM($H$23:H921)-SUM($I$23:I920)),IF(AND('депозитный калькулятор'!$G$10="ежемесячное (по дням открытия вклада)",DAY('депозитный калькулятор'!$D$7)=DAY(F921)),SUM($H$23:H921)-SUM($I$23:I920),IF(AND('депозитный калькулятор'!$G$10="ежемесячное, на минимальную сумму зафиксированную в течение месяца",F921='депозитный калькулятор'!$D$8,EOMONTH(F921,0)&lt;&gt;F921),IF('депозитный калькулятор'!$F$1=1,$H$24,IF(AND(OR('депозитный калькулятор'!$G$7="30/365",'депозитный калькулятор'!$G$7="30/360"),DAY(F921)=31),0,MIN(OFFSET(H921,-E921+1,0):H921)*(E921+SUMIF(OFFSET(A921,-E921+1,0):A921,"=2",OFFSET(A921,-E921+1,0):A921)))),IF(AND('депозитный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калькулятор'!$G$7="30/360"),DAY(EOMONTH(F921,0))=31),EOMONTH(F921,0)-1=F921,EOMONTH(F921,0)=F921)),IF(IF(AND(OR('депозитный калькулятор'!$G$7="30/365",'депозитный калькулятор'!$G$7="30/360"),DAY(EOMONTH($F$23,0))=31),F921=EOMONTH($F$23,0)-1,F921=EOMONTH($F$23,0)),MIN(OFFSET(H921,-(DAY(F921)-DAY($F$23)),0):H921)*E921,MIN(OFFSET(H921,-(DAY(F921)-1),0):H921)*IF(AND(OR('депозитный калькулятор'!$G$7="30/365",'депозитный калькулятор'!$G$7="30/360"),DAY(F921)&lt;30),30,DAY(F921))),IF(AND('депозитный калькулятор'!$G$10="ежемесячное, на средний остаток в течение месяца, при условии что остаток больше чем ограничение",F921='депозитный калькулятор'!$D$8,EOMONTH(F921,0)&lt;&gt;F921),IF('депозитный калькулятор'!$F$1=1,$H$24,SUM(OFFSET(Q921,-E921+1,0):Q921)),IF(AND('депозитный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калькулятор'!$G$7="30/360"),DAY(EOMONTH(F921,0))=31),EOMONTH(F921,0)-1=F921,EOMONTH(F921,0)=F921)),IF(IF(AND(OR('депозитный калькулятор'!$G$7="30/365",'депозитный калькулятор'!$G$7="30/360"),DAY(EOMONTH($F$24,0))=31),F921=EOMONTH($F$24,0)-1,F921=EOMONTH($F$24,0)),SUM(OFFSET(Q921,-E921+1,0):Q921),SUM(OFFSET(Q921,-E921+1,0):Q921)),IF('депозитный калькулятор'!$G$10="ежеквартальное",IF(F921&gt;'депозитный калькулятор'!$D$8," ",IF(AND(EOMONTH(F921,0)=F921,OR(MONTH(F921)=3,MONTH(F921)=6,MONTH(F921)=9,MONTH(F921)=12)),IF(EDATE(F921,-3)&lt;'депозитный калькулятор'!$D$7,SUM($H$23:H921),IF(MOD(YEAR(F921),4)=0,IF(AND(EOMONTH(F921,0)=F921,OR(MONTH(F921)=3,MONTH(F921)=6)),SUM(OFFSET(H921,-90,0):H921),IF(AND(EOMONTH(F921,0)=F921,OR(MONTH(F921)=9,MONTH(F921)=12)),SUM(OFFSET(H921,-91,0):H921))),IF(AND(EOMONTH(F921,0)=F921,MONTH(F921)=3),SUM(OFFSET(H921,-89,0):H921),IF(AND(EOMONTH(F921,0)=F921,MONTH(F921)=6),SUM(OFFSET(H921,-90,0):H921),IF(AND(EOMONTH(F921,0)=F921,OR(MONTH(F921)=9,MONTH(F921)=12)),SUM(OFFSET(H921,-91,0):H921)))))),IF(F921='депозитный калькулятор'!$D$8,SUM($H$23:H921)-SUM($I$23:I920),0))),IF('депозитный калькулятор'!$G$10="ежегодное",IF(F921&gt;'депозитный калькулятор'!$D$8," ",IF(F921='депозитный калькулятор'!$D$8,SUM($H$23:H921)-SUM($I$23:I920),IF(AND(EOMONTH(F921,0)=F921,MONTH(F921)=12),IF(MOD(YEAR(F920),4)=0,IF(F921-'депозитный калькулятор'!$D$7&lt;366,SUM($H$23:H921),SUM(OFFSET(H921,-365,0):H921)),IF(F921-'депозитный калькулятор'!$D$7&lt;365,SUM($H$23:H921),SUM(OFFSET(H921,-364,0):H921))),0))),IF(AND('депозитный калькулятор'!$G$10="в конце срока",'депозитный калькулятор'!$D$8=F921),SUM($H$23:H921),0))))))))))))))))))</f>
        <v xml:space="preserve"> </v>
      </c>
      <c r="J921" s="59" t="str">
        <f>IF(F921&gt;'депозитный калькулятор'!$D$8," ",IF('депозитный калькулятор'!$G$16="нет",0,IF(AND('депозитный калькулятор'!$G$17="разовая (в конце срока)",F921='депозитный калькулятор'!$D$8),'депозитный калькулятор'!$G$18,IF(AND('депозитный калькулятор'!$G$17="ежемесячная",EOMONTH(F920,0)=F920),'депозитный калькулятор'!$G$18,IF(AND('депозитный калькулятор'!$G$17="ежегодная",DAY(F920)=31,MONTH(F920)=12),'депозитный калькулятор'!$G$18,IF(AND('депозитный калькулятор'!$G$17="ежемесячная в зависимости от остатка",EOMONTH(F920,0)=F920,P920&gt;0),'депозитный калькулятор'!$G$18,IF(AND('депозитный калькулятор'!$G$17="ежегодная в зависимости от остатка",DAY(F920)=31,MONTH(F920)=12,P920&gt;0),'депозитный калькулятор'!$G$18,0)))))))</f>
        <v xml:space="preserve"> </v>
      </c>
      <c r="K921" s="135" t="str">
        <f>IF($F921=" "," ",IFERROR(VLOOKUP($F921,'депозитный калькулятор'!$B$26:$F$70,2,0),0))</f>
        <v xml:space="preserve"> </v>
      </c>
      <c r="L921" s="135" t="str">
        <f>IF($F921=" "," ",IFERROR(VLOOKUP($F921,'депозитный калькулятор'!$B$26:$F$70,3,0),0))</f>
        <v xml:space="preserve"> </v>
      </c>
      <c r="M921" s="135" t="str">
        <f>IF($F921=" "," ",IFERROR(VLOOKUP($F921,'депозитный калькулятор'!$B$26:$F$70,4,0),0))</f>
        <v xml:space="preserve"> </v>
      </c>
      <c r="N921" s="135" t="str">
        <f>IF($F921=" "," ",IFERROR(VLOOKUP($F921,'депозитный калькулятор'!$B$26:$F$70,5,0),0))</f>
        <v xml:space="preserve"> </v>
      </c>
      <c r="O921" s="146" t="str">
        <f>IF(F921&gt;'депозитный калькулятор'!$D$8," ",IF(F921='депозитный калькулятор'!$D$8,IF(AND($F$24='депозитный калькулятор'!$D$8,'депозитный калькулятор'!$G$13="нет"),-G921-IF(I921=" ",0,I921)-IF(AND(OR('депозитный калькулятор'!$G$7="30/365",'депозитный калькулятор'!$G$7="30/360"),'депозитный калькулятор'!$G$10="в начале срока"),I920,0)-L921+M921-N921,-G921-IF(I921=" ",0,I921)-L921+M921-N921),IF('депозитный калькулятор'!$G$13="есть",M921-N921+IF('депозитный калькулятор'!$G$14="есть",0,-L921),-IF(I921=" ",0,I921)-IF(AND(OR('депозитный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срока"),I920,0)+M921-N921+IF('депозитный калькулятор'!$G$14="есть",0,-L921))))</f>
        <v xml:space="preserve"> </v>
      </c>
      <c r="P921" s="147" t="str">
        <f>IF(F921&gt;'депозитный калькулятор'!$D$8," ",IF(EOMONTH(F920,0)=F920,0,IF(G921&gt;='депозитный калькулятор'!$G$19,P920,P920+1)))</f>
        <v xml:space="preserve"> </v>
      </c>
      <c r="Q921" s="138" t="str">
        <f>IF(F921=" "," ",IF(AND(OR('депозитный калькулятор'!$G$7="30/365",'депозитный калькулятор'!$G$7="30/360"),AND(MONTH(F921)=2,EOMONTH(F921,0)=F921)),IF(DAY(F921)=28,3,2),1)*IF(G921&gt;='депозитный калькулятор'!$G$11,IF(AND('депозитный калькулятор'!$G$7="факт/факт",MOD(YEAR(F921),4)=0),G921*'депозитный калькулятор'!$D$11/366,G921*'депозитный калькулятор'!$G$8),0))</f>
        <v xml:space="preserve"> </v>
      </c>
      <c r="S921" s="62" t="str">
        <f t="shared" ca="1" si="72"/>
        <v xml:space="preserve"> </v>
      </c>
      <c r="T921" s="149" t="str">
        <f ca="1">IF(S921=" "," ",IF('депозитный калькулятор'!$G$7="30/360",DAYS360(U920,IF(DAY(U921)=31,U921-1,U921))+IF(AND(MONTH(U921)=2,U921=EOMONTH(U921,0)),30-DAY(EOMONTH(U921,0)))+T920,VLOOKUP(S921,$C$22:$F$1023,2,0)))</f>
        <v xml:space="preserve"> </v>
      </c>
      <c r="U921" s="64" t="str">
        <f t="shared" ca="1" si="70"/>
        <v xml:space="preserve"> </v>
      </c>
      <c r="V921" s="150" t="str">
        <f t="shared" ca="1" si="73"/>
        <v xml:space="preserve"> </v>
      </c>
      <c r="W921" s="62" t="str">
        <f t="shared" ca="1" si="74"/>
        <v xml:space="preserve"> </v>
      </c>
      <c r="X921" s="141" t="str">
        <f ca="1">IF(S921=" "," ",IFERROR(VLOOKUP(U921,$F$23:$N$1023,7)+VLOOKUP(U921,$F$23:$N$1023,9)+IF(AND('депозитный калькулятор'!$G$13="нет",U921&lt;&gt;'депозитный калькулятор'!$D$8),VLOOKUP(U921,$F$23:$N$1023,4),0),0)+IF(U921='депозитный калькулятор'!$D$8,VLOOKUP(U921,$F$23:$N$1023,2)+VLOOKUP(U921,$F$23:$N$1023,4),0))</f>
        <v xml:space="preserve"> </v>
      </c>
      <c r="Y921" s="142" t="str">
        <f ca="1">IF(S921=" "," ",W921/(1+'депозитный калькулятор'!$K$8)^(T921/IF('депозитный калькулятор'!$G$7="30/360",360,365)))</f>
        <v xml:space="preserve"> </v>
      </c>
      <c r="Z921" s="142" t="str">
        <f ca="1">IF(S921=" "," ",X921/(1+'депозитный калькулятор'!$K$8)^(T921/IF('депозитный калькулятор'!$G$7="30/360",360,365)))</f>
        <v xml:space="preserve"> </v>
      </c>
      <c r="AA921" s="151"/>
      <c r="AB921" s="151"/>
      <c r="AC921" s="155"/>
      <c r="AD921" s="155"/>
    </row>
    <row r="922" spans="1:30" s="2" customFormat="1" ht="15.5" x14ac:dyDescent="0.35">
      <c r="A922" s="41" t="str">
        <f>IF(F922=" "," ",IF(OR('депозитный калькулятор'!$G$7="30/365",'депозитный калькулятор'!$G$7="30/360"),IF(AND(MONTH(F922)=2,DAY(F922)=DAY(EOMONTH(F922,0))),30-DAY(EOMONTH(F922,0)),IF(DAY(F922)=31,1," "))," "))</f>
        <v xml:space="preserve"> </v>
      </c>
      <c r="B922" s="130" t="str">
        <f t="shared" si="71"/>
        <v xml:space="preserve"> </v>
      </c>
      <c r="C922" s="130" t="str">
        <f>IF(OR(B922=0,B922=" ")," ",SUM($B$23:B922))</f>
        <v xml:space="preserve"> </v>
      </c>
      <c r="D922" s="62" t="str">
        <f>IF(D921=" "," ",IF(OR(F921='депозитный калькулятор'!$D$8,F921=" ")," ",D921+1))</f>
        <v xml:space="preserve"> </v>
      </c>
      <c r="E922" s="130" t="str">
        <f>IF(OR(F921='депозитный калькулятор'!$D$8,F921=" ")," ",IF(EOMONTH(F921,0)=F921,1,E921+1))</f>
        <v xml:space="preserve"> </v>
      </c>
      <c r="F922" s="64" t="str">
        <f>IF(F921=" "," ",IF(F921='депозитный калькулятор'!$D$8," ",F921+1))</f>
        <v xml:space="preserve"> </v>
      </c>
      <c r="G922" s="145" t="str">
        <f xml:space="preserve"> IF(F922&gt;'депозитный калькулятор'!$D$8," ",IF('депозитный калькулятор'!$G$13="есть",IF('депозитный калькулятор'!$G$14="есть",G921+IF(I921=" ",0,I921)-J922-K922+L922+M922-N922,G921+IF(I921=" ",0,I921)-J922-K922+M922-N922),IF('депозитный калькулятор'!$G$14="есть",G921-J922-K922+L922+M922-N922,G921-J922-K922+M922-N922)))</f>
        <v xml:space="preserve"> </v>
      </c>
      <c r="H922" s="133" t="str">
        <f>IF(F922&gt;'депозитный калькулятор'!$D$8," ",IF(AND(OR('депозитный калькулятор'!$G$7="30/365",'депозитный калькулятор'!$G$7="30/360"),AND(MONTH(F922)=2,EOMONTH(F922,0)=F922)),IF(DAY(F922)=28,3*G922*'депозитный калькулятор'!$G$8,2*G922*'депозитный калькулятор'!$G$8),IF(AND(OR('депозитный калькулятор'!$G$7="30/365",'депозитный калькулятор'!$G$7="30/360"),DAY(F922)=31)," ",IF(AND('депозитный калькулятор'!$G$7="факт/факт",MOD(YEAR(F922),4)=0),G922*'депозитный калькулятор'!$D$11/366,G922*'депозитный калькулятор'!$G$8))))</f>
        <v xml:space="preserve"> </v>
      </c>
      <c r="I922" s="134" t="str">
        <f ca="1">IF(F922=" "," ",IF('депозитный калькулятор'!$G$10="ежедневное",H922,IF(AND('депозитный калькулятор'!$G$10="еженедельное",WEEKDAY(F922,2)=7),SUM(OFFSET(H922,-6,0):H922),IF(AND('депозитный калькулятор'!$G$10="еженедельное",F922='депозитный калькулятор'!$D$8),SUM($H$23:H922)-SUM($I$23:I921),IF(AND('депозитный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недели",WEEKDAY(F922,2)=7),MIN(OFFSET(H922,-6,0):H922)*(COUNTIF(OFFSET(H922,-6,0):H922,"&gt;0")+SUMIF(OFFSET(A922,-WEEKDAY(F922,2),0):A922,"=2",OFFSET(A922,-WEEKDAY(F922,2),0):A922)),IF(AND('депозитный калькулятор'!$G$10="еженедельное, на минимальную сумму зафиксированную в течение недели",F922='депозитный калькулятор'!$D$8,WEEKDAY(F922,2)&lt;&gt;7),MIN(OFFSET(H922,-WEEKDAY(F922,2),0):H922)*(COUNTIF(OFFSET(H922,-WEEKDAY(F922,2)+1,0):H922,"&gt;0")+SUM(OFFSET(A922,-WEEKDAY(F922,2),0):A922)),IF(AND('депозитный калькулятор'!$G$10="ежемесячное (в конце месяца)",F922='депозитный калькулятор'!$D$8,EOMONTH(F922,0)&lt;&gt;F922),IF('депозитный калькулятор'!$F$1=1,$H$24,SUM($H$23:H922)-SUM($I$23:I921)),IF(AND('депозитный калькулятор'!$G$10="ежемесячное (в конце месяца)",EOMONTH(F922,0)=F922),SUM($H$23:H922)-SUM($I$23:I921),IF(AND('депозитный калькулятор'!$G$10="ежемесячное (по дням открытия вклада)",F922='депозитный калькулятор'!$D$8,DAY('депозитный калькулятор'!$D$7)&lt;&gt;DAY(F922)),IF('депозитный калькулятор'!$F$1=1,$H$24,SUM($H$23:H922)-SUM($I$23:I921)),IF(AND('депозитный калькулятор'!$G$10="ежемесячное (по дням открытия вклада)",DAY('депозитный калькулятор'!$D$7)=DAY(F922)),SUM($H$23:H922)-SUM($I$23:I921),IF(AND('депозитный калькулятор'!$G$10="ежемесячное, на минимальную сумму зафиксированную в течение месяца",F922='депозитный калькулятор'!$D$8,EOMONTH(F922,0)&lt;&gt;F922),IF('депозитный калькулятор'!$F$1=1,$H$24,IF(AND(OR('депозитный калькулятор'!$G$7="30/365",'депозитный калькулятор'!$G$7="30/360"),DAY(F922)=31),0,MIN(OFFSET(H922,-E922+1,0):H922)*(E922+SUMIF(OFFSET(A922,-E922+1,0):A922,"=2",OFFSET(A922,-E922+1,0):A922)))),IF(AND('депозитный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калькулятор'!$G$7="30/360"),DAY(EOMONTH(F922,0))=31),EOMONTH(F922,0)-1=F922,EOMONTH(F922,0)=F922)),IF(IF(AND(OR('депозитный калькулятор'!$G$7="30/365",'депозитный калькулятор'!$G$7="30/360"),DAY(EOMONTH($F$23,0))=31),F922=EOMONTH($F$23,0)-1,F922=EOMONTH($F$23,0)),MIN(OFFSET(H922,-(DAY(F922)-DAY($F$23)),0):H922)*E922,MIN(OFFSET(H922,-(DAY(F922)-1),0):H922)*IF(AND(OR('депозитный калькулятор'!$G$7="30/365",'депозитный калькулятор'!$G$7="30/360"),DAY(F922)&lt;30),30,DAY(F922))),IF(AND('депозитный калькулятор'!$G$10="ежемесячное, на средний остаток в течение месяца, при условии что остаток больше чем ограничение",F922='депозитный калькулятор'!$D$8,EOMONTH(F922,0)&lt;&gt;F922),IF('депозитный калькулятор'!$F$1=1,$H$24,SUM(OFFSET(Q922,-E922+1,0):Q922)),IF(AND('депозитный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калькулятор'!$G$7="30/360"),DAY(EOMONTH(F922,0))=31),EOMONTH(F922,0)-1=F922,EOMONTH(F922,0)=F922)),IF(IF(AND(OR('депозитный калькулятор'!$G$7="30/365",'депозитный калькулятор'!$G$7="30/360"),DAY(EOMONTH($F$24,0))=31),F922=EOMONTH($F$24,0)-1,F922=EOMONTH($F$24,0)),SUM(OFFSET(Q922,-E922+1,0):Q922),SUM(OFFSET(Q922,-E922+1,0):Q922)),IF('депозитный калькулятор'!$G$10="ежеквартальное",IF(F922&gt;'депозитный калькулятор'!$D$8," ",IF(AND(EOMONTH(F922,0)=F922,OR(MONTH(F922)=3,MONTH(F922)=6,MONTH(F922)=9,MONTH(F922)=12)),IF(EDATE(F922,-3)&lt;'депозитный калькулятор'!$D$7,SUM($H$23:H922),IF(MOD(YEAR(F922),4)=0,IF(AND(EOMONTH(F922,0)=F922,OR(MONTH(F922)=3,MONTH(F922)=6)),SUM(OFFSET(H922,-90,0):H922),IF(AND(EOMONTH(F922,0)=F922,OR(MONTH(F922)=9,MONTH(F922)=12)),SUM(OFFSET(H922,-91,0):H922))),IF(AND(EOMONTH(F922,0)=F922,MONTH(F922)=3),SUM(OFFSET(H922,-89,0):H922),IF(AND(EOMONTH(F922,0)=F922,MONTH(F922)=6),SUM(OFFSET(H922,-90,0):H922),IF(AND(EOMONTH(F922,0)=F922,OR(MONTH(F922)=9,MONTH(F922)=12)),SUM(OFFSET(H922,-91,0):H922)))))),IF(F922='депозитный калькулятор'!$D$8,SUM($H$23:H922)-SUM($I$23:I921),0))),IF('депозитный калькулятор'!$G$10="ежегодное",IF(F922&gt;'депозитный калькулятор'!$D$8," ",IF(F922='депозитный калькулятор'!$D$8,SUM($H$23:H922)-SUM($I$23:I921),IF(AND(EOMONTH(F922,0)=F922,MONTH(F922)=12),IF(MOD(YEAR(F921),4)=0,IF(F922-'депозитный калькулятор'!$D$7&lt;366,SUM($H$23:H922),SUM(OFFSET(H922,-365,0):H922)),IF(F922-'депозитный калькулятор'!$D$7&lt;365,SUM($H$23:H922),SUM(OFFSET(H922,-364,0):H922))),0))),IF(AND('депозитный калькулятор'!$G$10="в конце срока",'депозитный калькулятор'!$D$8=F922),SUM($H$23:H922),0))))))))))))))))))</f>
        <v xml:space="preserve"> </v>
      </c>
      <c r="J922" s="59" t="str">
        <f>IF(F922&gt;'депозитный калькулятор'!$D$8," ",IF('депозитный калькулятор'!$G$16="нет",0,IF(AND('депозитный калькулятор'!$G$17="разовая (в конце срока)",F922='депозитный калькулятор'!$D$8),'депозитный калькулятор'!$G$18,IF(AND('депозитный калькулятор'!$G$17="ежемесячная",EOMONTH(F921,0)=F921),'депозитный калькулятор'!$G$18,IF(AND('депозитный калькулятор'!$G$17="ежегодная",DAY(F921)=31,MONTH(F921)=12),'депозитный калькулятор'!$G$18,IF(AND('депозитный калькулятор'!$G$17="ежемесячная в зависимости от остатка",EOMONTH(F921,0)=F921,P921&gt;0),'депозитный калькулятор'!$G$18,IF(AND('депозитный калькулятор'!$G$17="ежегодная в зависимости от остатка",DAY(F921)=31,MONTH(F921)=12,P921&gt;0),'депозитный калькулятор'!$G$18,0)))))))</f>
        <v xml:space="preserve"> </v>
      </c>
      <c r="K922" s="135" t="str">
        <f>IF($F922=" "," ",IFERROR(VLOOKUP($F922,'депозитный калькулятор'!$B$26:$F$70,2,0),0))</f>
        <v xml:space="preserve"> </v>
      </c>
      <c r="L922" s="135" t="str">
        <f>IF($F922=" "," ",IFERROR(VLOOKUP($F922,'депозитный калькулятор'!$B$26:$F$70,3,0),0))</f>
        <v xml:space="preserve"> </v>
      </c>
      <c r="M922" s="135" t="str">
        <f>IF($F922=" "," ",IFERROR(VLOOKUP($F922,'депозитный калькулятор'!$B$26:$F$70,4,0),0))</f>
        <v xml:space="preserve"> </v>
      </c>
      <c r="N922" s="135" t="str">
        <f>IF($F922=" "," ",IFERROR(VLOOKUP($F922,'депозитный калькулятор'!$B$26:$F$70,5,0),0))</f>
        <v xml:space="preserve"> </v>
      </c>
      <c r="O922" s="146" t="str">
        <f>IF(F922&gt;'депозитный калькулятор'!$D$8," ",IF(F922='депозитный калькулятор'!$D$8,IF(AND($F$24='депозитный калькулятор'!$D$8,'депозитный калькулятор'!$G$13="нет"),-G922-IF(I922=" ",0,I922)-IF(AND(OR('депозитный калькулятор'!$G$7="30/365",'депозитный калькулятор'!$G$7="30/360"),'депозитный калькулятор'!$G$10="в начале срока"),I921,0)-L922+M922-N922,-G922-IF(I922=" ",0,I922)-L922+M922-N922),IF('депозитный калькулятор'!$G$13="есть",M922-N922+IF('депозитный калькулятор'!$G$14="есть",0,-L922),-IF(I922=" ",0,I922)-IF(AND(OR('депозитный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срока"),I921,0)+M922-N922+IF('депозитный калькулятор'!$G$14="есть",0,-L922))))</f>
        <v xml:space="preserve"> </v>
      </c>
      <c r="P922" s="147" t="str">
        <f>IF(F922&gt;'депозитный калькулятор'!$D$8," ",IF(EOMONTH(F921,0)=F921,0,IF(G922&gt;='депозитный калькулятор'!$G$19,P921,P921+1)))</f>
        <v xml:space="preserve"> </v>
      </c>
      <c r="Q922" s="138" t="str">
        <f>IF(F922=" "," ",IF(AND(OR('депозитный калькулятор'!$G$7="30/365",'депозитный калькулятор'!$G$7="30/360"),AND(MONTH(F922)=2,EOMONTH(F922,0)=F922)),IF(DAY(F922)=28,3,2),1)*IF(G922&gt;='депозитный калькулятор'!$G$11,IF(AND('депозитный калькулятор'!$G$7="факт/факт",MOD(YEAR(F922),4)=0),G922*'депозитный калькулятор'!$D$11/366,G922*'депозитный калькулятор'!$G$8),0))</f>
        <v xml:space="preserve"> </v>
      </c>
      <c r="S922" s="62" t="str">
        <f t="shared" ca="1" si="72"/>
        <v xml:space="preserve"> </v>
      </c>
      <c r="T922" s="149" t="str">
        <f ca="1">IF(S922=" "," ",IF('депозитный калькулятор'!$G$7="30/360",DAYS360(U921,IF(DAY(U922)=31,U922-1,U922))+IF(AND(MONTH(U922)=2,U922=EOMONTH(U922,0)),30-DAY(EOMONTH(U922,0)))+T921,VLOOKUP(S922,$C$22:$F$1023,2,0)))</f>
        <v xml:space="preserve"> </v>
      </c>
      <c r="U922" s="64" t="str">
        <f t="shared" ca="1" si="70"/>
        <v xml:space="preserve"> </v>
      </c>
      <c r="V922" s="150" t="str">
        <f t="shared" ca="1" si="73"/>
        <v xml:space="preserve"> </v>
      </c>
      <c r="W922" s="62" t="str">
        <f t="shared" ca="1" si="74"/>
        <v xml:space="preserve"> </v>
      </c>
      <c r="X922" s="141" t="str">
        <f ca="1">IF(S922=" "," ",IFERROR(VLOOKUP(U922,$F$23:$N$1023,7)+VLOOKUP(U922,$F$23:$N$1023,9)+IF(AND('депозитный калькулятор'!$G$13="нет",U922&lt;&gt;'депозитный калькулятор'!$D$8),VLOOKUP(U922,$F$23:$N$1023,4),0),0)+IF(U922='депозитный калькулятор'!$D$8,VLOOKUP(U922,$F$23:$N$1023,2)+VLOOKUP(U922,$F$23:$N$1023,4),0))</f>
        <v xml:space="preserve"> </v>
      </c>
      <c r="Y922" s="142" t="str">
        <f ca="1">IF(S922=" "," ",W922/(1+'депозитный калькулятор'!$K$8)^(T922/IF('депозитный калькулятор'!$G$7="30/360",360,365)))</f>
        <v xml:space="preserve"> </v>
      </c>
      <c r="Z922" s="142" t="str">
        <f ca="1">IF(S922=" "," ",X922/(1+'депозитный калькулятор'!$K$8)^(T922/IF('депозитный калькулятор'!$G$7="30/360",360,365)))</f>
        <v xml:space="preserve"> </v>
      </c>
      <c r="AA922" s="151"/>
      <c r="AB922" s="151"/>
      <c r="AC922" s="155"/>
      <c r="AD922" s="155"/>
    </row>
    <row r="923" spans="1:30" s="2" customFormat="1" ht="15.5" x14ac:dyDescent="0.35">
      <c r="A923" s="41" t="str">
        <f>IF(F923=" "," ",IF(OR('депозитный калькулятор'!$G$7="30/365",'депозитный калькулятор'!$G$7="30/360"),IF(AND(MONTH(F923)=2,DAY(F923)=DAY(EOMONTH(F923,0))),30-DAY(EOMONTH(F923,0)),IF(DAY(F923)=31,1," "))," "))</f>
        <v xml:space="preserve"> </v>
      </c>
      <c r="B923" s="130" t="str">
        <f t="shared" si="71"/>
        <v xml:space="preserve"> </v>
      </c>
      <c r="C923" s="130" t="str">
        <f>IF(OR(B923=0,B923=" ")," ",SUM($B$23:B923))</f>
        <v xml:space="preserve"> </v>
      </c>
      <c r="D923" s="62" t="str">
        <f>IF(D922=" "," ",IF(OR(F922='депозитный калькулятор'!$D$8,F922=" ")," ",D922+1))</f>
        <v xml:space="preserve"> </v>
      </c>
      <c r="E923" s="130" t="str">
        <f>IF(OR(F922='депозитный калькулятор'!$D$8,F922=" ")," ",IF(EOMONTH(F922,0)=F922,1,E922+1))</f>
        <v xml:space="preserve"> </v>
      </c>
      <c r="F923" s="64" t="str">
        <f>IF(F922=" "," ",IF(F922='депозитный калькулятор'!$D$8," ",F922+1))</f>
        <v xml:space="preserve"> </v>
      </c>
      <c r="G923" s="145" t="str">
        <f xml:space="preserve"> IF(F923&gt;'депозитный калькулятор'!$D$8," ",IF('депозитный калькулятор'!$G$13="есть",IF('депозитный калькулятор'!$G$14="есть",G922+IF(I922=" ",0,I922)-J923-K923+L923+M923-N923,G922+IF(I922=" ",0,I922)-J923-K923+M923-N923),IF('депозитный калькулятор'!$G$14="есть",G922-J923-K923+L923+M923-N923,G922-J923-K923+M923-N923)))</f>
        <v xml:space="preserve"> </v>
      </c>
      <c r="H923" s="133" t="str">
        <f>IF(F923&gt;'депозитный калькулятор'!$D$8," ",IF(AND(OR('депозитный калькулятор'!$G$7="30/365",'депозитный калькулятор'!$G$7="30/360"),AND(MONTH(F923)=2,EOMONTH(F923,0)=F923)),IF(DAY(F923)=28,3*G923*'депозитный калькулятор'!$G$8,2*G923*'депозитный калькулятор'!$G$8),IF(AND(OR('депозитный калькулятор'!$G$7="30/365",'депозитный калькулятор'!$G$7="30/360"),DAY(F923)=31)," ",IF(AND('депозитный калькулятор'!$G$7="факт/факт",MOD(YEAR(F923),4)=0),G923*'депозитный калькулятор'!$D$11/366,G923*'депозитный калькулятор'!$G$8))))</f>
        <v xml:space="preserve"> </v>
      </c>
      <c r="I923" s="134" t="str">
        <f ca="1">IF(F923=" "," ",IF('депозитный калькулятор'!$G$10="ежедневное",H923,IF(AND('депозитный калькулятор'!$G$10="еженедельное",WEEKDAY(F923,2)=7),SUM(OFFSET(H923,-6,0):H923),IF(AND('депозитный калькулятор'!$G$10="еженедельное",F923='депозитный калькулятор'!$D$8),SUM($H$23:H923)-SUM($I$23:I922),IF(AND('депозитный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недели",WEEKDAY(F923,2)=7),MIN(OFFSET(H923,-6,0):H923)*(COUNTIF(OFFSET(H923,-6,0):H923,"&gt;0")+SUMIF(OFFSET(A923,-WEEKDAY(F923,2),0):A923,"=2",OFFSET(A923,-WEEKDAY(F923,2),0):A923)),IF(AND('депозитный калькулятор'!$G$10="еженедельное, на минимальную сумму зафиксированную в течение недели",F923='депозитный калькулятор'!$D$8,WEEKDAY(F923,2)&lt;&gt;7),MIN(OFFSET(H923,-WEEKDAY(F923,2),0):H923)*(COUNTIF(OFFSET(H923,-WEEKDAY(F923,2)+1,0):H923,"&gt;0")+SUM(OFFSET(A923,-WEEKDAY(F923,2),0):A923)),IF(AND('депозитный калькулятор'!$G$10="ежемесячное (в конце месяца)",F923='депозитный калькулятор'!$D$8,EOMONTH(F923,0)&lt;&gt;F923),IF('депозитный калькулятор'!$F$1=1,$H$24,SUM($H$23:H923)-SUM($I$23:I922)),IF(AND('депозитный калькулятор'!$G$10="ежемесячное (в конце месяца)",EOMONTH(F923,0)=F923),SUM($H$23:H923)-SUM($I$23:I922),IF(AND('депозитный калькулятор'!$G$10="ежемесячное (по дням открытия вклада)",F923='депозитный калькулятор'!$D$8,DAY('депозитный калькулятор'!$D$7)&lt;&gt;DAY(F923)),IF('депозитный калькулятор'!$F$1=1,$H$24,SUM($H$23:H923)-SUM($I$23:I922)),IF(AND('депозитный калькулятор'!$G$10="ежемесячное (по дням открытия вклада)",DAY('депозитный калькулятор'!$D$7)=DAY(F923)),SUM($H$23:H923)-SUM($I$23:I922),IF(AND('депозитный калькулятор'!$G$10="ежемесячное, на минимальную сумму зафиксированную в течение месяца",F923='депозитный калькулятор'!$D$8,EOMONTH(F923,0)&lt;&gt;F923),IF('депозитный калькулятор'!$F$1=1,$H$24,IF(AND(OR('депозитный калькулятор'!$G$7="30/365",'депозитный калькулятор'!$G$7="30/360"),DAY(F923)=31),0,MIN(OFFSET(H923,-E923+1,0):H923)*(E923+SUMIF(OFFSET(A923,-E923+1,0):A923,"=2",OFFSET(A923,-E923+1,0):A923)))),IF(AND('депозитный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калькулятор'!$G$7="30/360"),DAY(EOMONTH(F923,0))=31),EOMONTH(F923,0)-1=F923,EOMONTH(F923,0)=F923)),IF(IF(AND(OR('депозитный калькулятор'!$G$7="30/365",'депозитный калькулятор'!$G$7="30/360"),DAY(EOMONTH($F$23,0))=31),F923=EOMONTH($F$23,0)-1,F923=EOMONTH($F$23,0)),MIN(OFFSET(H923,-(DAY(F923)-DAY($F$23)),0):H923)*E923,MIN(OFFSET(H923,-(DAY(F923)-1),0):H923)*IF(AND(OR('депозитный калькулятор'!$G$7="30/365",'депозитный калькулятор'!$G$7="30/360"),DAY(F923)&lt;30),30,DAY(F923))),IF(AND('депозитный калькулятор'!$G$10="ежемесячное, на средний остаток в течение месяца, при условии что остаток больше чем ограничение",F923='депозитный калькулятор'!$D$8,EOMONTH(F923,0)&lt;&gt;F923),IF('депозитный калькулятор'!$F$1=1,$H$24,SUM(OFFSET(Q923,-E923+1,0):Q923)),IF(AND('депозитный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калькулятор'!$G$7="30/360"),DAY(EOMONTH(F923,0))=31),EOMONTH(F923,0)-1=F923,EOMONTH(F923,0)=F923)),IF(IF(AND(OR('депозитный калькулятор'!$G$7="30/365",'депозитный калькулятор'!$G$7="30/360"),DAY(EOMONTH($F$24,0))=31),F923=EOMONTH($F$24,0)-1,F923=EOMONTH($F$24,0)),SUM(OFFSET(Q923,-E923+1,0):Q923),SUM(OFFSET(Q923,-E923+1,0):Q923)),IF('депозитный калькулятор'!$G$10="ежеквартальное",IF(F923&gt;'депозитный калькулятор'!$D$8," ",IF(AND(EOMONTH(F923,0)=F923,OR(MONTH(F923)=3,MONTH(F923)=6,MONTH(F923)=9,MONTH(F923)=12)),IF(EDATE(F923,-3)&lt;'депозитный калькулятор'!$D$7,SUM($H$23:H923),IF(MOD(YEAR(F923),4)=0,IF(AND(EOMONTH(F923,0)=F923,OR(MONTH(F923)=3,MONTH(F923)=6)),SUM(OFFSET(H923,-90,0):H923),IF(AND(EOMONTH(F923,0)=F923,OR(MONTH(F923)=9,MONTH(F923)=12)),SUM(OFFSET(H923,-91,0):H923))),IF(AND(EOMONTH(F923,0)=F923,MONTH(F923)=3),SUM(OFFSET(H923,-89,0):H923),IF(AND(EOMONTH(F923,0)=F923,MONTH(F923)=6),SUM(OFFSET(H923,-90,0):H923),IF(AND(EOMONTH(F923,0)=F923,OR(MONTH(F923)=9,MONTH(F923)=12)),SUM(OFFSET(H923,-91,0):H923)))))),IF(F923='депозитный калькулятор'!$D$8,SUM($H$23:H923)-SUM($I$23:I922),0))),IF('депозитный калькулятор'!$G$10="ежегодное",IF(F923&gt;'депозитный калькулятор'!$D$8," ",IF(F923='депозитный калькулятор'!$D$8,SUM($H$23:H923)-SUM($I$23:I922),IF(AND(EOMONTH(F923,0)=F923,MONTH(F923)=12),IF(MOD(YEAR(F922),4)=0,IF(F923-'депозитный калькулятор'!$D$7&lt;366,SUM($H$23:H923),SUM(OFFSET(H923,-365,0):H923)),IF(F923-'депозитный калькулятор'!$D$7&lt;365,SUM($H$23:H923),SUM(OFFSET(H923,-364,0):H923))),0))),IF(AND('депозитный калькулятор'!$G$10="в конце срока",'депозитный калькулятор'!$D$8=F923),SUM($H$23:H923),0))))))))))))))))))</f>
        <v xml:space="preserve"> </v>
      </c>
      <c r="J923" s="59" t="str">
        <f>IF(F923&gt;'депозитный калькулятор'!$D$8," ",IF('депозитный калькулятор'!$G$16="нет",0,IF(AND('депозитный калькулятор'!$G$17="разовая (в конце срока)",F923='депозитный калькулятор'!$D$8),'депозитный калькулятор'!$G$18,IF(AND('депозитный калькулятор'!$G$17="ежемесячная",EOMONTH(F922,0)=F922),'депозитный калькулятор'!$G$18,IF(AND('депозитный калькулятор'!$G$17="ежегодная",DAY(F922)=31,MONTH(F922)=12),'депозитный калькулятор'!$G$18,IF(AND('депозитный калькулятор'!$G$17="ежемесячная в зависимости от остатка",EOMONTH(F922,0)=F922,P922&gt;0),'депозитный калькулятор'!$G$18,IF(AND('депозитный калькулятор'!$G$17="ежегодная в зависимости от остатка",DAY(F922)=31,MONTH(F922)=12,P922&gt;0),'депозитный калькулятор'!$G$18,0)))))))</f>
        <v xml:space="preserve"> </v>
      </c>
      <c r="K923" s="135" t="str">
        <f>IF($F923=" "," ",IFERROR(VLOOKUP($F923,'депозитный калькулятор'!$B$26:$F$70,2,0),0))</f>
        <v xml:space="preserve"> </v>
      </c>
      <c r="L923" s="135" t="str">
        <f>IF($F923=" "," ",IFERROR(VLOOKUP($F923,'депозитный калькулятор'!$B$26:$F$70,3,0),0))</f>
        <v xml:space="preserve"> </v>
      </c>
      <c r="M923" s="135" t="str">
        <f>IF($F923=" "," ",IFERROR(VLOOKUP($F923,'депозитный калькулятор'!$B$26:$F$70,4,0),0))</f>
        <v xml:space="preserve"> </v>
      </c>
      <c r="N923" s="135" t="str">
        <f>IF($F923=" "," ",IFERROR(VLOOKUP($F923,'депозитный калькулятор'!$B$26:$F$70,5,0),0))</f>
        <v xml:space="preserve"> </v>
      </c>
      <c r="O923" s="146" t="str">
        <f>IF(F923&gt;'депозитный калькулятор'!$D$8," ",IF(F923='депозитный калькулятор'!$D$8,IF(AND($F$24='депозитный калькулятор'!$D$8,'депозитный калькулятор'!$G$13="нет"),-G923-IF(I923=" ",0,I923)-IF(AND(OR('депозитный калькулятор'!$G$7="30/365",'депозитный калькулятор'!$G$7="30/360"),'депозитный калькулятор'!$G$10="в начале срока"),I922,0)-L923+M923-N923,-G923-IF(I923=" ",0,I923)-L923+M923-N923),IF('депозитный калькулятор'!$G$13="есть",M923-N923+IF('депозитный калькулятор'!$G$14="есть",0,-L923),-IF(I923=" ",0,I923)-IF(AND(OR('депозитный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срока"),I922,0)+M923-N923+IF('депозитный калькулятор'!$G$14="есть",0,-L923))))</f>
        <v xml:space="preserve"> </v>
      </c>
      <c r="P923" s="147" t="str">
        <f>IF(F923&gt;'депозитный калькулятор'!$D$8," ",IF(EOMONTH(F922,0)=F922,0,IF(G923&gt;='депозитный калькулятор'!$G$19,P922,P922+1)))</f>
        <v xml:space="preserve"> </v>
      </c>
      <c r="Q923" s="138" t="str">
        <f>IF(F923=" "," ",IF(AND(OR('депозитный калькулятор'!$G$7="30/365",'депозитный калькулятор'!$G$7="30/360"),AND(MONTH(F923)=2,EOMONTH(F923,0)=F923)),IF(DAY(F923)=28,3,2),1)*IF(G923&gt;='депозитный калькулятор'!$G$11,IF(AND('депозитный калькулятор'!$G$7="факт/факт",MOD(YEAR(F923),4)=0),G923*'депозитный калькулятор'!$D$11/366,G923*'депозитный калькулятор'!$G$8),0))</f>
        <v xml:space="preserve"> </v>
      </c>
      <c r="S923" s="62" t="str">
        <f t="shared" ca="1" si="72"/>
        <v xml:space="preserve"> </v>
      </c>
      <c r="T923" s="149" t="str">
        <f ca="1">IF(S923=" "," ",IF('депозитный калькулятор'!$G$7="30/360",DAYS360(U922,IF(DAY(U923)=31,U923-1,U923))+IF(AND(MONTH(U923)=2,U923=EOMONTH(U923,0)),30-DAY(EOMONTH(U923,0)))+T922,VLOOKUP(S923,$C$22:$F$1023,2,0)))</f>
        <v xml:space="preserve"> </v>
      </c>
      <c r="U923" s="64" t="str">
        <f t="shared" ca="1" si="70"/>
        <v xml:space="preserve"> </v>
      </c>
      <c r="V923" s="150" t="str">
        <f t="shared" ca="1" si="73"/>
        <v xml:space="preserve"> </v>
      </c>
      <c r="W923" s="62" t="str">
        <f t="shared" ca="1" si="74"/>
        <v xml:space="preserve"> </v>
      </c>
      <c r="X923" s="141" t="str">
        <f ca="1">IF(S923=" "," ",IFERROR(VLOOKUP(U923,$F$23:$N$1023,7)+VLOOKUP(U923,$F$23:$N$1023,9)+IF(AND('депозитный калькулятор'!$G$13="нет",U923&lt;&gt;'депозитный калькулятор'!$D$8),VLOOKUP(U923,$F$23:$N$1023,4),0),0)+IF(U923='депозитный калькулятор'!$D$8,VLOOKUP(U923,$F$23:$N$1023,2)+VLOOKUP(U923,$F$23:$N$1023,4),0))</f>
        <v xml:space="preserve"> </v>
      </c>
      <c r="Y923" s="142" t="str">
        <f ca="1">IF(S923=" "," ",W923/(1+'депозитный калькулятор'!$K$8)^(T923/IF('депозитный калькулятор'!$G$7="30/360",360,365)))</f>
        <v xml:space="preserve"> </v>
      </c>
      <c r="Z923" s="142" t="str">
        <f ca="1">IF(S923=" "," ",X923/(1+'депозитный калькулятор'!$K$8)^(T923/IF('депозитный калькулятор'!$G$7="30/360",360,365)))</f>
        <v xml:space="preserve"> </v>
      </c>
      <c r="AA923" s="151"/>
      <c r="AB923" s="151"/>
      <c r="AC923" s="155"/>
      <c r="AD923" s="155"/>
    </row>
    <row r="924" spans="1:30" s="2" customFormat="1" ht="15.5" x14ac:dyDescent="0.35">
      <c r="A924" s="41" t="str">
        <f>IF(F924=" "," ",IF(OR('депозитный калькулятор'!$G$7="30/365",'депозитный калькулятор'!$G$7="30/360"),IF(AND(MONTH(F924)=2,DAY(F924)=DAY(EOMONTH(F924,0))),30-DAY(EOMONTH(F924,0)),IF(DAY(F924)=31,1," "))," "))</f>
        <v xml:space="preserve"> </v>
      </c>
      <c r="B924" s="130" t="str">
        <f t="shared" si="71"/>
        <v xml:space="preserve"> </v>
      </c>
      <c r="C924" s="130" t="str">
        <f>IF(OR(B924=0,B924=" ")," ",SUM($B$23:B924))</f>
        <v xml:space="preserve"> </v>
      </c>
      <c r="D924" s="62" t="str">
        <f>IF(D923=" "," ",IF(OR(F923='депозитный калькулятор'!$D$8,F923=" ")," ",D923+1))</f>
        <v xml:space="preserve"> </v>
      </c>
      <c r="E924" s="130" t="str">
        <f>IF(OR(F923='депозитный калькулятор'!$D$8,F923=" ")," ",IF(EOMONTH(F923,0)=F923,1,E923+1))</f>
        <v xml:space="preserve"> </v>
      </c>
      <c r="F924" s="64" t="str">
        <f>IF(F923=" "," ",IF(F923='депозитный калькулятор'!$D$8," ",F923+1))</f>
        <v xml:space="preserve"> </v>
      </c>
      <c r="G924" s="145" t="str">
        <f xml:space="preserve"> IF(F924&gt;'депозитный калькулятор'!$D$8," ",IF('депозитный калькулятор'!$G$13="есть",IF('депозитный калькулятор'!$G$14="есть",G923+IF(I923=" ",0,I923)-J924-K924+L924+M924-N924,G923+IF(I923=" ",0,I923)-J924-K924+M924-N924),IF('депозитный калькулятор'!$G$14="есть",G923-J924-K924+L924+M924-N924,G923-J924-K924+M924-N924)))</f>
        <v xml:space="preserve"> </v>
      </c>
      <c r="H924" s="133" t="str">
        <f>IF(F924&gt;'депозитный калькулятор'!$D$8," ",IF(AND(OR('депозитный калькулятор'!$G$7="30/365",'депозитный калькулятор'!$G$7="30/360"),AND(MONTH(F924)=2,EOMONTH(F924,0)=F924)),IF(DAY(F924)=28,3*G924*'депозитный калькулятор'!$G$8,2*G924*'депозитный калькулятор'!$G$8),IF(AND(OR('депозитный калькулятор'!$G$7="30/365",'депозитный калькулятор'!$G$7="30/360"),DAY(F924)=31)," ",IF(AND('депозитный калькулятор'!$G$7="факт/факт",MOD(YEAR(F924),4)=0),G924*'депозитный калькулятор'!$D$11/366,G924*'депозитный калькулятор'!$G$8))))</f>
        <v xml:space="preserve"> </v>
      </c>
      <c r="I924" s="134" t="str">
        <f ca="1">IF(F924=" "," ",IF('депозитный калькулятор'!$G$10="ежедневное",H924,IF(AND('депозитный калькулятор'!$G$10="еженедельное",WEEKDAY(F924,2)=7),SUM(OFFSET(H924,-6,0):H924),IF(AND('депозитный калькулятор'!$G$10="еженедельное",F924='депозитный калькулятор'!$D$8),SUM($H$23:H924)-SUM($I$23:I923),IF(AND('депозитный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недели",WEEKDAY(F924,2)=7),MIN(OFFSET(H924,-6,0):H924)*(COUNTIF(OFFSET(H924,-6,0):H924,"&gt;0")+SUMIF(OFFSET(A924,-WEEKDAY(F924,2),0):A924,"=2",OFFSET(A924,-WEEKDAY(F924,2),0):A924)),IF(AND('депозитный калькулятор'!$G$10="еженедельное, на минимальную сумму зафиксированную в течение недели",F924='депозитный калькулятор'!$D$8,WEEKDAY(F924,2)&lt;&gt;7),MIN(OFFSET(H924,-WEEKDAY(F924,2),0):H924)*(COUNTIF(OFFSET(H924,-WEEKDAY(F924,2)+1,0):H924,"&gt;0")+SUM(OFFSET(A924,-WEEKDAY(F924,2),0):A924)),IF(AND('депозитный калькулятор'!$G$10="ежемесячное (в конце месяца)",F924='депозитный калькулятор'!$D$8,EOMONTH(F924,0)&lt;&gt;F924),IF('депозитный калькулятор'!$F$1=1,$H$24,SUM($H$23:H924)-SUM($I$23:I923)),IF(AND('депозитный калькулятор'!$G$10="ежемесячное (в конце месяца)",EOMONTH(F924,0)=F924),SUM($H$23:H924)-SUM($I$23:I923),IF(AND('депозитный калькулятор'!$G$10="ежемесячное (по дням открытия вклада)",F924='депозитный калькулятор'!$D$8,DAY('депозитный калькулятор'!$D$7)&lt;&gt;DAY(F924)),IF('депозитный калькулятор'!$F$1=1,$H$24,SUM($H$23:H924)-SUM($I$23:I923)),IF(AND('депозитный калькулятор'!$G$10="ежемесячное (по дням открытия вклада)",DAY('депозитный калькулятор'!$D$7)=DAY(F924)),SUM($H$23:H924)-SUM($I$23:I923),IF(AND('депозитный калькулятор'!$G$10="ежемесячное, на минимальную сумму зафиксированную в течение месяца",F924='депозитный калькулятор'!$D$8,EOMONTH(F924,0)&lt;&gt;F924),IF('депозитный калькулятор'!$F$1=1,$H$24,IF(AND(OR('депозитный калькулятор'!$G$7="30/365",'депозитный калькулятор'!$G$7="30/360"),DAY(F924)=31),0,MIN(OFFSET(H924,-E924+1,0):H924)*(E924+SUMIF(OFFSET(A924,-E924+1,0):A924,"=2",OFFSET(A924,-E924+1,0):A924)))),IF(AND('депозитный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калькулятор'!$G$7="30/360"),DAY(EOMONTH(F924,0))=31),EOMONTH(F924,0)-1=F924,EOMONTH(F924,0)=F924)),IF(IF(AND(OR('депозитный калькулятор'!$G$7="30/365",'депозитный калькулятор'!$G$7="30/360"),DAY(EOMONTH($F$23,0))=31),F924=EOMONTH($F$23,0)-1,F924=EOMONTH($F$23,0)),MIN(OFFSET(H924,-(DAY(F924)-DAY($F$23)),0):H924)*E924,MIN(OFFSET(H924,-(DAY(F924)-1),0):H924)*IF(AND(OR('депозитный калькулятор'!$G$7="30/365",'депозитный калькулятор'!$G$7="30/360"),DAY(F924)&lt;30),30,DAY(F924))),IF(AND('депозитный калькулятор'!$G$10="ежемесячное, на средний остаток в течение месяца, при условии что остаток больше чем ограничение",F924='депозитный калькулятор'!$D$8,EOMONTH(F924,0)&lt;&gt;F924),IF('депозитный калькулятор'!$F$1=1,$H$24,SUM(OFFSET(Q924,-E924+1,0):Q924)),IF(AND('депозитный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калькулятор'!$G$7="30/360"),DAY(EOMONTH(F924,0))=31),EOMONTH(F924,0)-1=F924,EOMONTH(F924,0)=F924)),IF(IF(AND(OR('депозитный калькулятор'!$G$7="30/365",'депозитный калькулятор'!$G$7="30/360"),DAY(EOMONTH($F$24,0))=31),F924=EOMONTH($F$24,0)-1,F924=EOMONTH($F$24,0)),SUM(OFFSET(Q924,-E924+1,0):Q924),SUM(OFFSET(Q924,-E924+1,0):Q924)),IF('депозитный калькулятор'!$G$10="ежеквартальное",IF(F924&gt;'депозитный калькулятор'!$D$8," ",IF(AND(EOMONTH(F924,0)=F924,OR(MONTH(F924)=3,MONTH(F924)=6,MONTH(F924)=9,MONTH(F924)=12)),IF(EDATE(F924,-3)&lt;'депозитный калькулятор'!$D$7,SUM($H$23:H924),IF(MOD(YEAR(F924),4)=0,IF(AND(EOMONTH(F924,0)=F924,OR(MONTH(F924)=3,MONTH(F924)=6)),SUM(OFFSET(H924,-90,0):H924),IF(AND(EOMONTH(F924,0)=F924,OR(MONTH(F924)=9,MONTH(F924)=12)),SUM(OFFSET(H924,-91,0):H924))),IF(AND(EOMONTH(F924,0)=F924,MONTH(F924)=3),SUM(OFFSET(H924,-89,0):H924),IF(AND(EOMONTH(F924,0)=F924,MONTH(F924)=6),SUM(OFFSET(H924,-90,0):H924),IF(AND(EOMONTH(F924,0)=F924,OR(MONTH(F924)=9,MONTH(F924)=12)),SUM(OFFSET(H924,-91,0):H924)))))),IF(F924='депозитный калькулятор'!$D$8,SUM($H$23:H924)-SUM($I$23:I923),0))),IF('депозитный калькулятор'!$G$10="ежегодное",IF(F924&gt;'депозитный калькулятор'!$D$8," ",IF(F924='депозитный калькулятор'!$D$8,SUM($H$23:H924)-SUM($I$23:I923),IF(AND(EOMONTH(F924,0)=F924,MONTH(F924)=12),IF(MOD(YEAR(F923),4)=0,IF(F924-'депозитный калькулятор'!$D$7&lt;366,SUM($H$23:H924),SUM(OFFSET(H924,-365,0):H924)),IF(F924-'депозитный калькулятор'!$D$7&lt;365,SUM($H$23:H924),SUM(OFFSET(H924,-364,0):H924))),0))),IF(AND('депозитный калькулятор'!$G$10="в конце срока",'депозитный калькулятор'!$D$8=F924),SUM($H$23:H924),0))))))))))))))))))</f>
        <v xml:space="preserve"> </v>
      </c>
      <c r="J924" s="59" t="str">
        <f>IF(F924&gt;'депозитный калькулятор'!$D$8," ",IF('депозитный калькулятор'!$G$16="нет",0,IF(AND('депозитный калькулятор'!$G$17="разовая (в конце срока)",F924='депозитный калькулятор'!$D$8),'депозитный калькулятор'!$G$18,IF(AND('депозитный калькулятор'!$G$17="ежемесячная",EOMONTH(F923,0)=F923),'депозитный калькулятор'!$G$18,IF(AND('депозитный калькулятор'!$G$17="ежегодная",DAY(F923)=31,MONTH(F923)=12),'депозитный калькулятор'!$G$18,IF(AND('депозитный калькулятор'!$G$17="ежемесячная в зависимости от остатка",EOMONTH(F923,0)=F923,P923&gt;0),'депозитный калькулятор'!$G$18,IF(AND('депозитный калькулятор'!$G$17="ежегодная в зависимости от остатка",DAY(F923)=31,MONTH(F923)=12,P923&gt;0),'депозитный калькулятор'!$G$18,0)))))))</f>
        <v xml:space="preserve"> </v>
      </c>
      <c r="K924" s="135" t="str">
        <f>IF($F924=" "," ",IFERROR(VLOOKUP($F924,'депозитный калькулятор'!$B$26:$F$70,2,0),0))</f>
        <v xml:space="preserve"> </v>
      </c>
      <c r="L924" s="135" t="str">
        <f>IF($F924=" "," ",IFERROR(VLOOKUP($F924,'депозитный калькулятор'!$B$26:$F$70,3,0),0))</f>
        <v xml:space="preserve"> </v>
      </c>
      <c r="M924" s="135" t="str">
        <f>IF($F924=" "," ",IFERROR(VLOOKUP($F924,'депозитный калькулятор'!$B$26:$F$70,4,0),0))</f>
        <v xml:space="preserve"> </v>
      </c>
      <c r="N924" s="135" t="str">
        <f>IF($F924=" "," ",IFERROR(VLOOKUP($F924,'депозитный калькулятор'!$B$26:$F$70,5,0),0))</f>
        <v xml:space="preserve"> </v>
      </c>
      <c r="O924" s="146" t="str">
        <f>IF(F924&gt;'депозитный калькулятор'!$D$8," ",IF(F924='депозитный калькулятор'!$D$8,IF(AND($F$24='депозитный калькулятор'!$D$8,'депозитный калькулятор'!$G$13="нет"),-G924-IF(I924=" ",0,I924)-IF(AND(OR('депозитный калькулятор'!$G$7="30/365",'депозитный калькулятор'!$G$7="30/360"),'депозитный калькулятор'!$G$10="в начале срока"),I923,0)-L924+M924-N924,-G924-IF(I924=" ",0,I924)-L924+M924-N924),IF('депозитный калькулятор'!$G$13="есть",M924-N924+IF('депозитный калькулятор'!$G$14="есть",0,-L924),-IF(I924=" ",0,I924)-IF(AND(OR('депозитный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срока"),I923,0)+M924-N924+IF('депозитный калькулятор'!$G$14="есть",0,-L924))))</f>
        <v xml:space="preserve"> </v>
      </c>
      <c r="P924" s="147" t="str">
        <f>IF(F924&gt;'депозитный калькулятор'!$D$8," ",IF(EOMONTH(F923,0)=F923,0,IF(G924&gt;='депозитный калькулятор'!$G$19,P923,P923+1)))</f>
        <v xml:space="preserve"> </v>
      </c>
      <c r="Q924" s="138" t="str">
        <f>IF(F924=" "," ",IF(AND(OR('депозитный калькулятор'!$G$7="30/365",'депозитный калькулятор'!$G$7="30/360"),AND(MONTH(F924)=2,EOMONTH(F924,0)=F924)),IF(DAY(F924)=28,3,2),1)*IF(G924&gt;='депозитный калькулятор'!$G$11,IF(AND('депозитный калькулятор'!$G$7="факт/факт",MOD(YEAR(F924),4)=0),G924*'депозитный калькулятор'!$D$11/366,G924*'депозитный калькулятор'!$G$8),0))</f>
        <v xml:space="preserve"> </v>
      </c>
      <c r="S924" s="62" t="str">
        <f t="shared" ca="1" si="72"/>
        <v xml:space="preserve"> </v>
      </c>
      <c r="T924" s="149" t="str">
        <f ca="1">IF(S924=" "," ",IF('депозитный калькулятор'!$G$7="30/360",DAYS360(U923,IF(DAY(U924)=31,U924-1,U924))+IF(AND(MONTH(U924)=2,U924=EOMONTH(U924,0)),30-DAY(EOMONTH(U924,0)))+T923,VLOOKUP(S924,$C$22:$F$1023,2,0)))</f>
        <v xml:space="preserve"> </v>
      </c>
      <c r="U924" s="64" t="str">
        <f t="shared" ca="1" si="70"/>
        <v xml:space="preserve"> </v>
      </c>
      <c r="V924" s="150" t="str">
        <f t="shared" ca="1" si="73"/>
        <v xml:space="preserve"> </v>
      </c>
      <c r="W924" s="62" t="str">
        <f t="shared" ca="1" si="74"/>
        <v xml:space="preserve"> </v>
      </c>
      <c r="X924" s="141" t="str">
        <f ca="1">IF(S924=" "," ",IFERROR(VLOOKUP(U924,$F$23:$N$1023,7)+VLOOKUP(U924,$F$23:$N$1023,9)+IF(AND('депозитный калькулятор'!$G$13="нет",U924&lt;&gt;'депозитный калькулятор'!$D$8),VLOOKUP(U924,$F$23:$N$1023,4),0),0)+IF(U924='депозитный калькулятор'!$D$8,VLOOKUP(U924,$F$23:$N$1023,2)+VLOOKUP(U924,$F$23:$N$1023,4),0))</f>
        <v xml:space="preserve"> </v>
      </c>
      <c r="Y924" s="142" t="str">
        <f ca="1">IF(S924=" "," ",W924/(1+'депозитный калькулятор'!$K$8)^(T924/IF('депозитный калькулятор'!$G$7="30/360",360,365)))</f>
        <v xml:space="preserve"> </v>
      </c>
      <c r="Z924" s="142" t="str">
        <f ca="1">IF(S924=" "," ",X924/(1+'депозитный калькулятор'!$K$8)^(T924/IF('депозитный калькулятор'!$G$7="30/360",360,365)))</f>
        <v xml:space="preserve"> </v>
      </c>
      <c r="AA924" s="151"/>
      <c r="AB924" s="151"/>
      <c r="AC924" s="155"/>
      <c r="AD924" s="155"/>
    </row>
    <row r="925" spans="1:30" s="2" customFormat="1" ht="15.5" x14ac:dyDescent="0.35">
      <c r="A925" s="41" t="str">
        <f>IF(F925=" "," ",IF(OR('депозитный калькулятор'!$G$7="30/365",'депозитный калькулятор'!$G$7="30/360"),IF(AND(MONTH(F925)=2,DAY(F925)=DAY(EOMONTH(F925,0))),30-DAY(EOMONTH(F925,0)),IF(DAY(F925)=31,1," "))," "))</f>
        <v xml:space="preserve"> </v>
      </c>
      <c r="B925" s="130" t="str">
        <f t="shared" si="71"/>
        <v xml:space="preserve"> </v>
      </c>
      <c r="C925" s="130" t="str">
        <f>IF(OR(B925=0,B925=" ")," ",SUM($B$23:B925))</f>
        <v xml:space="preserve"> </v>
      </c>
      <c r="D925" s="62" t="str">
        <f>IF(D924=" "," ",IF(OR(F924='депозитный калькулятор'!$D$8,F924=" ")," ",D924+1))</f>
        <v xml:space="preserve"> </v>
      </c>
      <c r="E925" s="130" t="str">
        <f>IF(OR(F924='депозитный калькулятор'!$D$8,F924=" ")," ",IF(EOMONTH(F924,0)=F924,1,E924+1))</f>
        <v xml:space="preserve"> </v>
      </c>
      <c r="F925" s="64" t="str">
        <f>IF(F924=" "," ",IF(F924='депозитный калькулятор'!$D$8," ",F924+1))</f>
        <v xml:space="preserve"> </v>
      </c>
      <c r="G925" s="145" t="str">
        <f xml:space="preserve"> IF(F925&gt;'депозитный калькулятор'!$D$8," ",IF('депозитный калькулятор'!$G$13="есть",IF('депозитный калькулятор'!$G$14="есть",G924+IF(I924=" ",0,I924)-J925-K925+L925+M925-N925,G924+IF(I924=" ",0,I924)-J925-K925+M925-N925),IF('депозитный калькулятор'!$G$14="есть",G924-J925-K925+L925+M925-N925,G924-J925-K925+M925-N925)))</f>
        <v xml:space="preserve"> </v>
      </c>
      <c r="H925" s="133" t="str">
        <f>IF(F925&gt;'депозитный калькулятор'!$D$8," ",IF(AND(OR('депозитный калькулятор'!$G$7="30/365",'депозитный калькулятор'!$G$7="30/360"),AND(MONTH(F925)=2,EOMONTH(F925,0)=F925)),IF(DAY(F925)=28,3*G925*'депозитный калькулятор'!$G$8,2*G925*'депозитный калькулятор'!$G$8),IF(AND(OR('депозитный калькулятор'!$G$7="30/365",'депозитный калькулятор'!$G$7="30/360"),DAY(F925)=31)," ",IF(AND('депозитный калькулятор'!$G$7="факт/факт",MOD(YEAR(F925),4)=0),G925*'депозитный калькулятор'!$D$11/366,G925*'депозитный калькулятор'!$G$8))))</f>
        <v xml:space="preserve"> </v>
      </c>
      <c r="I925" s="134" t="str">
        <f ca="1">IF(F925=" "," ",IF('депозитный калькулятор'!$G$10="ежедневное",H925,IF(AND('депозитный калькулятор'!$G$10="еженедельное",WEEKDAY(F925,2)=7),SUM(OFFSET(H925,-6,0):H925),IF(AND('депозитный калькулятор'!$G$10="еженедельное",F925='депозитный калькулятор'!$D$8),SUM($H$23:H925)-SUM($I$23:I924),IF(AND('депозитный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недели",WEEKDAY(F925,2)=7),MIN(OFFSET(H925,-6,0):H925)*(COUNTIF(OFFSET(H925,-6,0):H925,"&gt;0")+SUMIF(OFFSET(A925,-WEEKDAY(F925,2),0):A925,"=2",OFFSET(A925,-WEEKDAY(F925,2),0):A925)),IF(AND('депозитный калькулятор'!$G$10="еженедельное, на минимальную сумму зафиксированную в течение недели",F925='депозитный калькулятор'!$D$8,WEEKDAY(F925,2)&lt;&gt;7),MIN(OFFSET(H925,-WEEKDAY(F925,2),0):H925)*(COUNTIF(OFFSET(H925,-WEEKDAY(F925,2)+1,0):H925,"&gt;0")+SUM(OFFSET(A925,-WEEKDAY(F925,2),0):A925)),IF(AND('депозитный калькулятор'!$G$10="ежемесячное (в конце месяца)",F925='депозитный калькулятор'!$D$8,EOMONTH(F925,0)&lt;&gt;F925),IF('депозитный калькулятор'!$F$1=1,$H$24,SUM($H$23:H925)-SUM($I$23:I924)),IF(AND('депозитный калькулятор'!$G$10="ежемесячное (в конце месяца)",EOMONTH(F925,0)=F925),SUM($H$23:H925)-SUM($I$23:I924),IF(AND('депозитный калькулятор'!$G$10="ежемесячное (по дням открытия вклада)",F925='депозитный калькулятор'!$D$8,DAY('депозитный калькулятор'!$D$7)&lt;&gt;DAY(F925)),IF('депозитный калькулятор'!$F$1=1,$H$24,SUM($H$23:H925)-SUM($I$23:I924)),IF(AND('депозитный калькулятор'!$G$10="ежемесячное (по дням открытия вклада)",DAY('депозитный калькулятор'!$D$7)=DAY(F925)),SUM($H$23:H925)-SUM($I$23:I924),IF(AND('депозитный калькулятор'!$G$10="ежемесячное, на минимальную сумму зафиксированную в течение месяца",F925='депозитный калькулятор'!$D$8,EOMONTH(F925,0)&lt;&gt;F925),IF('депозитный калькулятор'!$F$1=1,$H$24,IF(AND(OR('депозитный калькулятор'!$G$7="30/365",'депозитный калькулятор'!$G$7="30/360"),DAY(F925)=31),0,MIN(OFFSET(H925,-E925+1,0):H925)*(E925+SUMIF(OFFSET(A925,-E925+1,0):A925,"=2",OFFSET(A925,-E925+1,0):A925)))),IF(AND('депозитный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калькулятор'!$G$7="30/360"),DAY(EOMONTH(F925,0))=31),EOMONTH(F925,0)-1=F925,EOMONTH(F925,0)=F925)),IF(IF(AND(OR('депозитный калькулятор'!$G$7="30/365",'депозитный калькулятор'!$G$7="30/360"),DAY(EOMONTH($F$23,0))=31),F925=EOMONTH($F$23,0)-1,F925=EOMONTH($F$23,0)),MIN(OFFSET(H925,-(DAY(F925)-DAY($F$23)),0):H925)*E925,MIN(OFFSET(H925,-(DAY(F925)-1),0):H925)*IF(AND(OR('депозитный калькулятор'!$G$7="30/365",'депозитный калькулятор'!$G$7="30/360"),DAY(F925)&lt;30),30,DAY(F925))),IF(AND('депозитный калькулятор'!$G$10="ежемесячное, на средний остаток в течение месяца, при условии что остаток больше чем ограничение",F925='депозитный калькулятор'!$D$8,EOMONTH(F925,0)&lt;&gt;F925),IF('депозитный калькулятор'!$F$1=1,$H$24,SUM(OFFSET(Q925,-E925+1,0):Q925)),IF(AND('депозитный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калькулятор'!$G$7="30/360"),DAY(EOMONTH(F925,0))=31),EOMONTH(F925,0)-1=F925,EOMONTH(F925,0)=F925)),IF(IF(AND(OR('депозитный калькулятор'!$G$7="30/365",'депозитный калькулятор'!$G$7="30/360"),DAY(EOMONTH($F$24,0))=31),F925=EOMONTH($F$24,0)-1,F925=EOMONTH($F$24,0)),SUM(OFFSET(Q925,-E925+1,0):Q925),SUM(OFFSET(Q925,-E925+1,0):Q925)),IF('депозитный калькулятор'!$G$10="ежеквартальное",IF(F925&gt;'депозитный калькулятор'!$D$8," ",IF(AND(EOMONTH(F925,0)=F925,OR(MONTH(F925)=3,MONTH(F925)=6,MONTH(F925)=9,MONTH(F925)=12)),IF(EDATE(F925,-3)&lt;'депозитный калькулятор'!$D$7,SUM($H$23:H925),IF(MOD(YEAR(F925),4)=0,IF(AND(EOMONTH(F925,0)=F925,OR(MONTH(F925)=3,MONTH(F925)=6)),SUM(OFFSET(H925,-90,0):H925),IF(AND(EOMONTH(F925,0)=F925,OR(MONTH(F925)=9,MONTH(F925)=12)),SUM(OFFSET(H925,-91,0):H925))),IF(AND(EOMONTH(F925,0)=F925,MONTH(F925)=3),SUM(OFFSET(H925,-89,0):H925),IF(AND(EOMONTH(F925,0)=F925,MONTH(F925)=6),SUM(OFFSET(H925,-90,0):H925),IF(AND(EOMONTH(F925,0)=F925,OR(MONTH(F925)=9,MONTH(F925)=12)),SUM(OFFSET(H925,-91,0):H925)))))),IF(F925='депозитный калькулятор'!$D$8,SUM($H$23:H925)-SUM($I$23:I924),0))),IF('депозитный калькулятор'!$G$10="ежегодное",IF(F925&gt;'депозитный калькулятор'!$D$8," ",IF(F925='депозитный калькулятор'!$D$8,SUM($H$23:H925)-SUM($I$23:I924),IF(AND(EOMONTH(F925,0)=F925,MONTH(F925)=12),IF(MOD(YEAR(F924),4)=0,IF(F925-'депозитный калькулятор'!$D$7&lt;366,SUM($H$23:H925),SUM(OFFSET(H925,-365,0):H925)),IF(F925-'депозитный калькулятор'!$D$7&lt;365,SUM($H$23:H925),SUM(OFFSET(H925,-364,0):H925))),0))),IF(AND('депозитный калькулятор'!$G$10="в конце срока",'депозитный калькулятор'!$D$8=F925),SUM($H$23:H925),0))))))))))))))))))</f>
        <v xml:space="preserve"> </v>
      </c>
      <c r="J925" s="59" t="str">
        <f>IF(F925&gt;'депозитный калькулятор'!$D$8," ",IF('депозитный калькулятор'!$G$16="нет",0,IF(AND('депозитный калькулятор'!$G$17="разовая (в конце срока)",F925='депозитный калькулятор'!$D$8),'депозитный калькулятор'!$G$18,IF(AND('депозитный калькулятор'!$G$17="ежемесячная",EOMONTH(F924,0)=F924),'депозитный калькулятор'!$G$18,IF(AND('депозитный калькулятор'!$G$17="ежегодная",DAY(F924)=31,MONTH(F924)=12),'депозитный калькулятор'!$G$18,IF(AND('депозитный калькулятор'!$G$17="ежемесячная в зависимости от остатка",EOMONTH(F924,0)=F924,P924&gt;0),'депозитный калькулятор'!$G$18,IF(AND('депозитный калькулятор'!$G$17="ежегодная в зависимости от остатка",DAY(F924)=31,MONTH(F924)=12,P924&gt;0),'депозитный калькулятор'!$G$18,0)))))))</f>
        <v xml:space="preserve"> </v>
      </c>
      <c r="K925" s="135" t="str">
        <f>IF($F925=" "," ",IFERROR(VLOOKUP($F925,'депозитный калькулятор'!$B$26:$F$70,2,0),0))</f>
        <v xml:space="preserve"> </v>
      </c>
      <c r="L925" s="135" t="str">
        <f>IF($F925=" "," ",IFERROR(VLOOKUP($F925,'депозитный калькулятор'!$B$26:$F$70,3,0),0))</f>
        <v xml:space="preserve"> </v>
      </c>
      <c r="M925" s="135" t="str">
        <f>IF($F925=" "," ",IFERROR(VLOOKUP($F925,'депозитный калькулятор'!$B$26:$F$70,4,0),0))</f>
        <v xml:space="preserve"> </v>
      </c>
      <c r="N925" s="135" t="str">
        <f>IF($F925=" "," ",IFERROR(VLOOKUP($F925,'депозитный калькулятор'!$B$26:$F$70,5,0),0))</f>
        <v xml:space="preserve"> </v>
      </c>
      <c r="O925" s="146" t="str">
        <f>IF(F925&gt;'депозитный калькулятор'!$D$8," ",IF(F925='депозитный калькулятор'!$D$8,IF(AND($F$24='депозитный калькулятор'!$D$8,'депозитный калькулятор'!$G$13="нет"),-G925-IF(I925=" ",0,I925)-IF(AND(OR('депозитный калькулятор'!$G$7="30/365",'депозитный калькулятор'!$G$7="30/360"),'депозитный калькулятор'!$G$10="в начале срока"),I924,0)-L925+M925-N925,-G925-IF(I925=" ",0,I925)-L925+M925-N925),IF('депозитный калькулятор'!$G$13="есть",M925-N925+IF('депозитный калькулятор'!$G$14="есть",0,-L925),-IF(I925=" ",0,I925)-IF(AND(OR('депозитный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срока"),I924,0)+M925-N925+IF('депозитный калькулятор'!$G$14="есть",0,-L925))))</f>
        <v xml:space="preserve"> </v>
      </c>
      <c r="P925" s="147" t="str">
        <f>IF(F925&gt;'депозитный калькулятор'!$D$8," ",IF(EOMONTH(F924,0)=F924,0,IF(G925&gt;='депозитный калькулятор'!$G$19,P924,P924+1)))</f>
        <v xml:space="preserve"> </v>
      </c>
      <c r="Q925" s="138" t="str">
        <f>IF(F925=" "," ",IF(AND(OR('депозитный калькулятор'!$G$7="30/365",'депозитный калькулятор'!$G$7="30/360"),AND(MONTH(F925)=2,EOMONTH(F925,0)=F925)),IF(DAY(F925)=28,3,2),1)*IF(G925&gt;='депозитный калькулятор'!$G$11,IF(AND('депозитный калькулятор'!$G$7="факт/факт",MOD(YEAR(F925),4)=0),G925*'депозитный калькулятор'!$D$11/366,G925*'депозитный калькулятор'!$G$8),0))</f>
        <v xml:space="preserve"> </v>
      </c>
      <c r="S925" s="62" t="str">
        <f t="shared" ca="1" si="72"/>
        <v xml:space="preserve"> </v>
      </c>
      <c r="T925" s="149" t="str">
        <f ca="1">IF(S925=" "," ",IF('депозитный калькулятор'!$G$7="30/360",DAYS360(U924,IF(DAY(U925)=31,U925-1,U925))+IF(AND(MONTH(U925)=2,U925=EOMONTH(U925,0)),30-DAY(EOMONTH(U925,0)))+T924,VLOOKUP(S925,$C$22:$F$1023,2,0)))</f>
        <v xml:space="preserve"> </v>
      </c>
      <c r="U925" s="64" t="str">
        <f t="shared" ca="1" si="70"/>
        <v xml:space="preserve"> </v>
      </c>
      <c r="V925" s="150" t="str">
        <f t="shared" ca="1" si="73"/>
        <v xml:space="preserve"> </v>
      </c>
      <c r="W925" s="62" t="str">
        <f t="shared" ca="1" si="74"/>
        <v xml:space="preserve"> </v>
      </c>
      <c r="X925" s="141" t="str">
        <f ca="1">IF(S925=" "," ",IFERROR(VLOOKUP(U925,$F$23:$N$1023,7)+VLOOKUP(U925,$F$23:$N$1023,9)+IF(AND('депозитный калькулятор'!$G$13="нет",U925&lt;&gt;'депозитный калькулятор'!$D$8),VLOOKUP(U925,$F$23:$N$1023,4),0),0)+IF(U925='депозитный калькулятор'!$D$8,VLOOKUP(U925,$F$23:$N$1023,2)+VLOOKUP(U925,$F$23:$N$1023,4),0))</f>
        <v xml:space="preserve"> </v>
      </c>
      <c r="Y925" s="142" t="str">
        <f ca="1">IF(S925=" "," ",W925/(1+'депозитный калькулятор'!$K$8)^(T925/IF('депозитный калькулятор'!$G$7="30/360",360,365)))</f>
        <v xml:space="preserve"> </v>
      </c>
      <c r="Z925" s="142" t="str">
        <f ca="1">IF(S925=" "," ",X925/(1+'депозитный калькулятор'!$K$8)^(T925/IF('депозитный калькулятор'!$G$7="30/360",360,365)))</f>
        <v xml:space="preserve"> </v>
      </c>
      <c r="AA925" s="151"/>
      <c r="AB925" s="151"/>
      <c r="AC925" s="155"/>
      <c r="AD925" s="155"/>
    </row>
    <row r="926" spans="1:30" s="2" customFormat="1" ht="15.5" x14ac:dyDescent="0.35">
      <c r="A926" s="41" t="str">
        <f>IF(F926=" "," ",IF(OR('депозитный калькулятор'!$G$7="30/365",'депозитный калькулятор'!$G$7="30/360"),IF(AND(MONTH(F926)=2,DAY(F926)=DAY(EOMONTH(F926,0))),30-DAY(EOMONTH(F926,0)),IF(DAY(F926)=31,1," "))," "))</f>
        <v xml:space="preserve"> </v>
      </c>
      <c r="B926" s="130" t="str">
        <f t="shared" si="71"/>
        <v xml:space="preserve"> </v>
      </c>
      <c r="C926" s="130" t="str">
        <f>IF(OR(B926=0,B926=" ")," ",SUM($B$23:B926))</f>
        <v xml:space="preserve"> </v>
      </c>
      <c r="D926" s="62" t="str">
        <f>IF(D925=" "," ",IF(OR(F925='депозитный калькулятор'!$D$8,F925=" ")," ",D925+1))</f>
        <v xml:space="preserve"> </v>
      </c>
      <c r="E926" s="130" t="str">
        <f>IF(OR(F925='депозитный калькулятор'!$D$8,F925=" ")," ",IF(EOMONTH(F925,0)=F925,1,E925+1))</f>
        <v xml:space="preserve"> </v>
      </c>
      <c r="F926" s="64" t="str">
        <f>IF(F925=" "," ",IF(F925='депозитный калькулятор'!$D$8," ",F925+1))</f>
        <v xml:space="preserve"> </v>
      </c>
      <c r="G926" s="145" t="str">
        <f xml:space="preserve"> IF(F926&gt;'депозитный калькулятор'!$D$8," ",IF('депозитный калькулятор'!$G$13="есть",IF('депозитный калькулятор'!$G$14="есть",G925+IF(I925=" ",0,I925)-J926-K926+L926+M926-N926,G925+IF(I925=" ",0,I925)-J926-K926+M926-N926),IF('депозитный калькулятор'!$G$14="есть",G925-J926-K926+L926+M926-N926,G925-J926-K926+M926-N926)))</f>
        <v xml:space="preserve"> </v>
      </c>
      <c r="H926" s="133" t="str">
        <f>IF(F926&gt;'депозитный калькулятор'!$D$8," ",IF(AND(OR('депозитный калькулятор'!$G$7="30/365",'депозитный калькулятор'!$G$7="30/360"),AND(MONTH(F926)=2,EOMONTH(F926,0)=F926)),IF(DAY(F926)=28,3*G926*'депозитный калькулятор'!$G$8,2*G926*'депозитный калькулятор'!$G$8),IF(AND(OR('депозитный калькулятор'!$G$7="30/365",'депозитный калькулятор'!$G$7="30/360"),DAY(F926)=31)," ",IF(AND('депозитный калькулятор'!$G$7="факт/факт",MOD(YEAR(F926),4)=0),G926*'депозитный калькулятор'!$D$11/366,G926*'депозитный калькулятор'!$G$8))))</f>
        <v xml:space="preserve"> </v>
      </c>
      <c r="I926" s="134" t="str">
        <f ca="1">IF(F926=" "," ",IF('депозитный калькулятор'!$G$10="ежедневное",H926,IF(AND('депозитный калькулятор'!$G$10="еженедельное",WEEKDAY(F926,2)=7),SUM(OFFSET(H926,-6,0):H926),IF(AND('депозитный калькулятор'!$G$10="еженедельное",F926='депозитный калькулятор'!$D$8),SUM($H$23:H926)-SUM($I$23:I925),IF(AND('депозитный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недели",WEEKDAY(F926,2)=7),MIN(OFFSET(H926,-6,0):H926)*(COUNTIF(OFFSET(H926,-6,0):H926,"&gt;0")+SUMIF(OFFSET(A926,-WEEKDAY(F926,2),0):A926,"=2",OFFSET(A926,-WEEKDAY(F926,2),0):A926)),IF(AND('депозитный калькулятор'!$G$10="еженедельное, на минимальную сумму зафиксированную в течение недели",F926='депозитный калькулятор'!$D$8,WEEKDAY(F926,2)&lt;&gt;7),MIN(OFFSET(H926,-WEEKDAY(F926,2),0):H926)*(COUNTIF(OFFSET(H926,-WEEKDAY(F926,2)+1,0):H926,"&gt;0")+SUM(OFFSET(A926,-WEEKDAY(F926,2),0):A926)),IF(AND('депозитный калькулятор'!$G$10="ежемесячное (в конце месяца)",F926='депозитный калькулятор'!$D$8,EOMONTH(F926,0)&lt;&gt;F926),IF('депозитный калькулятор'!$F$1=1,$H$24,SUM($H$23:H926)-SUM($I$23:I925)),IF(AND('депозитный калькулятор'!$G$10="ежемесячное (в конце месяца)",EOMONTH(F926,0)=F926),SUM($H$23:H926)-SUM($I$23:I925),IF(AND('депозитный калькулятор'!$G$10="ежемесячное (по дням открытия вклада)",F926='депозитный калькулятор'!$D$8,DAY('депозитный калькулятор'!$D$7)&lt;&gt;DAY(F926)),IF('депозитный калькулятор'!$F$1=1,$H$24,SUM($H$23:H926)-SUM($I$23:I925)),IF(AND('депозитный калькулятор'!$G$10="ежемесячное (по дням открытия вклада)",DAY('депозитный калькулятор'!$D$7)=DAY(F926)),SUM($H$23:H926)-SUM($I$23:I925),IF(AND('депозитный калькулятор'!$G$10="ежемесячное, на минимальную сумму зафиксированную в течение месяца",F926='депозитный калькулятор'!$D$8,EOMONTH(F926,0)&lt;&gt;F926),IF('депозитный калькулятор'!$F$1=1,$H$24,IF(AND(OR('депозитный калькулятор'!$G$7="30/365",'депозитный калькулятор'!$G$7="30/360"),DAY(F926)=31),0,MIN(OFFSET(H926,-E926+1,0):H926)*(E926+SUMIF(OFFSET(A926,-E926+1,0):A926,"=2",OFFSET(A926,-E926+1,0):A926)))),IF(AND('депозитный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калькулятор'!$G$7="30/360"),DAY(EOMONTH(F926,0))=31),EOMONTH(F926,0)-1=F926,EOMONTH(F926,0)=F926)),IF(IF(AND(OR('депозитный калькулятор'!$G$7="30/365",'депозитный калькулятор'!$G$7="30/360"),DAY(EOMONTH($F$23,0))=31),F926=EOMONTH($F$23,0)-1,F926=EOMONTH($F$23,0)),MIN(OFFSET(H926,-(DAY(F926)-DAY($F$23)),0):H926)*E926,MIN(OFFSET(H926,-(DAY(F926)-1),0):H926)*IF(AND(OR('депозитный калькулятор'!$G$7="30/365",'депозитный калькулятор'!$G$7="30/360"),DAY(F926)&lt;30),30,DAY(F926))),IF(AND('депозитный калькулятор'!$G$10="ежемесячное, на средний остаток в течение месяца, при условии что остаток больше чем ограничение",F926='депозитный калькулятор'!$D$8,EOMONTH(F926,0)&lt;&gt;F926),IF('депозитный калькулятор'!$F$1=1,$H$24,SUM(OFFSET(Q926,-E926+1,0):Q926)),IF(AND('депозитный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калькулятор'!$G$7="30/360"),DAY(EOMONTH(F926,0))=31),EOMONTH(F926,0)-1=F926,EOMONTH(F926,0)=F926)),IF(IF(AND(OR('депозитный калькулятор'!$G$7="30/365",'депозитный калькулятор'!$G$7="30/360"),DAY(EOMONTH($F$24,0))=31),F926=EOMONTH($F$24,0)-1,F926=EOMONTH($F$24,0)),SUM(OFFSET(Q926,-E926+1,0):Q926),SUM(OFFSET(Q926,-E926+1,0):Q926)),IF('депозитный калькулятор'!$G$10="ежеквартальное",IF(F926&gt;'депозитный калькулятор'!$D$8," ",IF(AND(EOMONTH(F926,0)=F926,OR(MONTH(F926)=3,MONTH(F926)=6,MONTH(F926)=9,MONTH(F926)=12)),IF(EDATE(F926,-3)&lt;'депозитный калькулятор'!$D$7,SUM($H$23:H926),IF(MOD(YEAR(F926),4)=0,IF(AND(EOMONTH(F926,0)=F926,OR(MONTH(F926)=3,MONTH(F926)=6)),SUM(OFFSET(H926,-90,0):H926),IF(AND(EOMONTH(F926,0)=F926,OR(MONTH(F926)=9,MONTH(F926)=12)),SUM(OFFSET(H926,-91,0):H926))),IF(AND(EOMONTH(F926,0)=F926,MONTH(F926)=3),SUM(OFFSET(H926,-89,0):H926),IF(AND(EOMONTH(F926,0)=F926,MONTH(F926)=6),SUM(OFFSET(H926,-90,0):H926),IF(AND(EOMONTH(F926,0)=F926,OR(MONTH(F926)=9,MONTH(F926)=12)),SUM(OFFSET(H926,-91,0):H926)))))),IF(F926='депозитный калькулятор'!$D$8,SUM($H$23:H926)-SUM($I$23:I925),0))),IF('депозитный калькулятор'!$G$10="ежегодное",IF(F926&gt;'депозитный калькулятор'!$D$8," ",IF(F926='депозитный калькулятор'!$D$8,SUM($H$23:H926)-SUM($I$23:I925),IF(AND(EOMONTH(F926,0)=F926,MONTH(F926)=12),IF(MOD(YEAR(F925),4)=0,IF(F926-'депозитный калькулятор'!$D$7&lt;366,SUM($H$23:H926),SUM(OFFSET(H926,-365,0):H926)),IF(F926-'депозитный калькулятор'!$D$7&lt;365,SUM($H$23:H926),SUM(OFFSET(H926,-364,0):H926))),0))),IF(AND('депозитный калькулятор'!$G$10="в конце срока",'депозитный калькулятор'!$D$8=F926),SUM($H$23:H926),0))))))))))))))))))</f>
        <v xml:space="preserve"> </v>
      </c>
      <c r="J926" s="59" t="str">
        <f>IF(F926&gt;'депозитный калькулятор'!$D$8," ",IF('депозитный калькулятор'!$G$16="нет",0,IF(AND('депозитный калькулятор'!$G$17="разовая (в конце срока)",F926='депозитный калькулятор'!$D$8),'депозитный калькулятор'!$G$18,IF(AND('депозитный калькулятор'!$G$17="ежемесячная",EOMONTH(F925,0)=F925),'депозитный калькулятор'!$G$18,IF(AND('депозитный калькулятор'!$G$17="ежегодная",DAY(F925)=31,MONTH(F925)=12),'депозитный калькулятор'!$G$18,IF(AND('депозитный калькулятор'!$G$17="ежемесячная в зависимости от остатка",EOMONTH(F925,0)=F925,P925&gt;0),'депозитный калькулятор'!$G$18,IF(AND('депозитный калькулятор'!$G$17="ежегодная в зависимости от остатка",DAY(F925)=31,MONTH(F925)=12,P925&gt;0),'депозитный калькулятор'!$G$18,0)))))))</f>
        <v xml:space="preserve"> </v>
      </c>
      <c r="K926" s="135" t="str">
        <f>IF($F926=" "," ",IFERROR(VLOOKUP($F926,'депозитный калькулятор'!$B$26:$F$70,2,0),0))</f>
        <v xml:space="preserve"> </v>
      </c>
      <c r="L926" s="135" t="str">
        <f>IF($F926=" "," ",IFERROR(VLOOKUP($F926,'депозитный калькулятор'!$B$26:$F$70,3,0),0))</f>
        <v xml:space="preserve"> </v>
      </c>
      <c r="M926" s="135" t="str">
        <f>IF($F926=" "," ",IFERROR(VLOOKUP($F926,'депозитный калькулятор'!$B$26:$F$70,4,0),0))</f>
        <v xml:space="preserve"> </v>
      </c>
      <c r="N926" s="135" t="str">
        <f>IF($F926=" "," ",IFERROR(VLOOKUP($F926,'депозитный калькулятор'!$B$26:$F$70,5,0),0))</f>
        <v xml:space="preserve"> </v>
      </c>
      <c r="O926" s="146" t="str">
        <f>IF(F926&gt;'депозитный калькулятор'!$D$8," ",IF(F926='депозитный калькулятор'!$D$8,IF(AND($F$24='депозитный калькулятор'!$D$8,'депозитный калькулятор'!$G$13="нет"),-G926-IF(I926=" ",0,I926)-IF(AND(OR('депозитный калькулятор'!$G$7="30/365",'депозитный калькулятор'!$G$7="30/360"),'депозитный калькулятор'!$G$10="в начале срока"),I925,0)-L926+M926-N926,-G926-IF(I926=" ",0,I926)-L926+M926-N926),IF('депозитный калькулятор'!$G$13="есть",M926-N926+IF('депозитный калькулятор'!$G$14="есть",0,-L926),-IF(I926=" ",0,I926)-IF(AND(OR('депозитный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срока"),I925,0)+M926-N926+IF('депозитный калькулятор'!$G$14="есть",0,-L926))))</f>
        <v xml:space="preserve"> </v>
      </c>
      <c r="P926" s="147" t="str">
        <f>IF(F926&gt;'депозитный калькулятор'!$D$8," ",IF(EOMONTH(F925,0)=F925,0,IF(G926&gt;='депозитный калькулятор'!$G$19,P925,P925+1)))</f>
        <v xml:space="preserve"> </v>
      </c>
      <c r="Q926" s="138" t="str">
        <f>IF(F926=" "," ",IF(AND(OR('депозитный калькулятор'!$G$7="30/365",'депозитный калькулятор'!$G$7="30/360"),AND(MONTH(F926)=2,EOMONTH(F926,0)=F926)),IF(DAY(F926)=28,3,2),1)*IF(G926&gt;='депозитный калькулятор'!$G$11,IF(AND('депозитный калькулятор'!$G$7="факт/факт",MOD(YEAR(F926),4)=0),G926*'депозитный калькулятор'!$D$11/366,G926*'депозитный калькулятор'!$G$8),0))</f>
        <v xml:space="preserve"> </v>
      </c>
      <c r="S926" s="62" t="str">
        <f t="shared" ca="1" si="72"/>
        <v xml:space="preserve"> </v>
      </c>
      <c r="T926" s="149" t="str">
        <f ca="1">IF(S926=" "," ",IF('депозитный калькулятор'!$G$7="30/360",DAYS360(U925,IF(DAY(U926)=31,U926-1,U926))+IF(AND(MONTH(U926)=2,U926=EOMONTH(U926,0)),30-DAY(EOMONTH(U926,0)))+T925,VLOOKUP(S926,$C$22:$F$1023,2,0)))</f>
        <v xml:space="preserve"> </v>
      </c>
      <c r="U926" s="64" t="str">
        <f t="shared" ca="1" si="70"/>
        <v xml:space="preserve"> </v>
      </c>
      <c r="V926" s="150" t="str">
        <f t="shared" ca="1" si="73"/>
        <v xml:space="preserve"> </v>
      </c>
      <c r="W926" s="62" t="str">
        <f t="shared" ca="1" si="74"/>
        <v xml:space="preserve"> </v>
      </c>
      <c r="X926" s="141" t="str">
        <f ca="1">IF(S926=" "," ",IFERROR(VLOOKUP(U926,$F$23:$N$1023,7)+VLOOKUP(U926,$F$23:$N$1023,9)+IF(AND('депозитный калькулятор'!$G$13="нет",U926&lt;&gt;'депозитный калькулятор'!$D$8),VLOOKUP(U926,$F$23:$N$1023,4),0),0)+IF(U926='депозитный калькулятор'!$D$8,VLOOKUP(U926,$F$23:$N$1023,2)+VLOOKUP(U926,$F$23:$N$1023,4),0))</f>
        <v xml:space="preserve"> </v>
      </c>
      <c r="Y926" s="142" t="str">
        <f ca="1">IF(S926=" "," ",W926/(1+'депозитный калькулятор'!$K$8)^(T926/IF('депозитный калькулятор'!$G$7="30/360",360,365)))</f>
        <v xml:space="preserve"> </v>
      </c>
      <c r="Z926" s="142" t="str">
        <f ca="1">IF(S926=" "," ",X926/(1+'депозитный калькулятор'!$K$8)^(T926/IF('депозитный калькулятор'!$G$7="30/360",360,365)))</f>
        <v xml:space="preserve"> </v>
      </c>
      <c r="AA926" s="151"/>
      <c r="AB926" s="151"/>
      <c r="AC926" s="155"/>
      <c r="AD926" s="155"/>
    </row>
    <row r="927" spans="1:30" s="2" customFormat="1" ht="15.5" x14ac:dyDescent="0.35">
      <c r="A927" s="41" t="str">
        <f>IF(F927=" "," ",IF(OR('депозитный калькулятор'!$G$7="30/365",'депозитный калькулятор'!$G$7="30/360"),IF(AND(MONTH(F927)=2,DAY(F927)=DAY(EOMONTH(F927,0))),30-DAY(EOMONTH(F927,0)),IF(DAY(F927)=31,1," "))," "))</f>
        <v xml:space="preserve"> </v>
      </c>
      <c r="B927" s="130" t="str">
        <f t="shared" si="71"/>
        <v xml:space="preserve"> </v>
      </c>
      <c r="C927" s="130" t="str">
        <f>IF(OR(B927=0,B927=" ")," ",SUM($B$23:B927))</f>
        <v xml:space="preserve"> </v>
      </c>
      <c r="D927" s="62" t="str">
        <f>IF(D926=" "," ",IF(OR(F926='депозитный калькулятор'!$D$8,F926=" ")," ",D926+1))</f>
        <v xml:space="preserve"> </v>
      </c>
      <c r="E927" s="130" t="str">
        <f>IF(OR(F926='депозитный калькулятор'!$D$8,F926=" ")," ",IF(EOMONTH(F926,0)=F926,1,E926+1))</f>
        <v xml:space="preserve"> </v>
      </c>
      <c r="F927" s="64" t="str">
        <f>IF(F926=" "," ",IF(F926='депозитный калькулятор'!$D$8," ",F926+1))</f>
        <v xml:space="preserve"> </v>
      </c>
      <c r="G927" s="145" t="str">
        <f xml:space="preserve"> IF(F927&gt;'депозитный калькулятор'!$D$8," ",IF('депозитный калькулятор'!$G$13="есть",IF('депозитный калькулятор'!$G$14="есть",G926+IF(I926=" ",0,I926)-J927-K927+L927+M927-N927,G926+IF(I926=" ",0,I926)-J927-K927+M927-N927),IF('депозитный калькулятор'!$G$14="есть",G926-J927-K927+L927+M927-N927,G926-J927-K927+M927-N927)))</f>
        <v xml:space="preserve"> </v>
      </c>
      <c r="H927" s="133" t="str">
        <f>IF(F927&gt;'депозитный калькулятор'!$D$8," ",IF(AND(OR('депозитный калькулятор'!$G$7="30/365",'депозитный калькулятор'!$G$7="30/360"),AND(MONTH(F927)=2,EOMONTH(F927,0)=F927)),IF(DAY(F927)=28,3*G927*'депозитный калькулятор'!$G$8,2*G927*'депозитный калькулятор'!$G$8),IF(AND(OR('депозитный калькулятор'!$G$7="30/365",'депозитный калькулятор'!$G$7="30/360"),DAY(F927)=31)," ",IF(AND('депозитный калькулятор'!$G$7="факт/факт",MOD(YEAR(F927),4)=0),G927*'депозитный калькулятор'!$D$11/366,G927*'депозитный калькулятор'!$G$8))))</f>
        <v xml:space="preserve"> </v>
      </c>
      <c r="I927" s="134" t="str">
        <f ca="1">IF(F927=" "," ",IF('депозитный калькулятор'!$G$10="ежедневное",H927,IF(AND('депозитный калькулятор'!$G$10="еженедельное",WEEKDAY(F927,2)=7),SUM(OFFSET(H927,-6,0):H927),IF(AND('депозитный калькулятор'!$G$10="еженедельное",F927='депозитный калькулятор'!$D$8),SUM($H$23:H927)-SUM($I$23:I926),IF(AND('депозитный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недели",WEEKDAY(F927,2)=7),MIN(OFFSET(H927,-6,0):H927)*(COUNTIF(OFFSET(H927,-6,0):H927,"&gt;0")+SUMIF(OFFSET(A927,-WEEKDAY(F927,2),0):A927,"=2",OFFSET(A927,-WEEKDAY(F927,2),0):A927)),IF(AND('депозитный калькулятор'!$G$10="еженедельное, на минимальную сумму зафиксированную в течение недели",F927='депозитный калькулятор'!$D$8,WEEKDAY(F927,2)&lt;&gt;7),MIN(OFFSET(H927,-WEEKDAY(F927,2),0):H927)*(COUNTIF(OFFSET(H927,-WEEKDAY(F927,2)+1,0):H927,"&gt;0")+SUM(OFFSET(A927,-WEEKDAY(F927,2),0):A927)),IF(AND('депозитный калькулятор'!$G$10="ежемесячное (в конце месяца)",F927='депозитный калькулятор'!$D$8,EOMONTH(F927,0)&lt;&gt;F927),IF('депозитный калькулятор'!$F$1=1,$H$24,SUM($H$23:H927)-SUM($I$23:I926)),IF(AND('депозитный калькулятор'!$G$10="ежемесячное (в конце месяца)",EOMONTH(F927,0)=F927),SUM($H$23:H927)-SUM($I$23:I926),IF(AND('депозитный калькулятор'!$G$10="ежемесячное (по дням открытия вклада)",F927='депозитный калькулятор'!$D$8,DAY('депозитный калькулятор'!$D$7)&lt;&gt;DAY(F927)),IF('депозитный калькулятор'!$F$1=1,$H$24,SUM($H$23:H927)-SUM($I$23:I926)),IF(AND('депозитный калькулятор'!$G$10="ежемесячное (по дням открытия вклада)",DAY('депозитный калькулятор'!$D$7)=DAY(F927)),SUM($H$23:H927)-SUM($I$23:I926),IF(AND('депозитный калькулятор'!$G$10="ежемесячное, на минимальную сумму зафиксированную в течение месяца",F927='депозитный калькулятор'!$D$8,EOMONTH(F927,0)&lt;&gt;F927),IF('депозитный калькулятор'!$F$1=1,$H$24,IF(AND(OR('депозитный калькулятор'!$G$7="30/365",'депозитный калькулятор'!$G$7="30/360"),DAY(F927)=31),0,MIN(OFFSET(H927,-E927+1,0):H927)*(E927+SUMIF(OFFSET(A927,-E927+1,0):A927,"=2",OFFSET(A927,-E927+1,0):A927)))),IF(AND('депозитный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калькулятор'!$G$7="30/360"),DAY(EOMONTH(F927,0))=31),EOMONTH(F927,0)-1=F927,EOMONTH(F927,0)=F927)),IF(IF(AND(OR('депозитный калькулятор'!$G$7="30/365",'депозитный калькулятор'!$G$7="30/360"),DAY(EOMONTH($F$23,0))=31),F927=EOMONTH($F$23,0)-1,F927=EOMONTH($F$23,0)),MIN(OFFSET(H927,-(DAY(F927)-DAY($F$23)),0):H927)*E927,MIN(OFFSET(H927,-(DAY(F927)-1),0):H927)*IF(AND(OR('депозитный калькулятор'!$G$7="30/365",'депозитный калькулятор'!$G$7="30/360"),DAY(F927)&lt;30),30,DAY(F927))),IF(AND('депозитный калькулятор'!$G$10="ежемесячное, на средний остаток в течение месяца, при условии что остаток больше чем ограничение",F927='депозитный калькулятор'!$D$8,EOMONTH(F927,0)&lt;&gt;F927),IF('депозитный калькулятор'!$F$1=1,$H$24,SUM(OFFSET(Q927,-E927+1,0):Q927)),IF(AND('депозитный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калькулятор'!$G$7="30/360"),DAY(EOMONTH(F927,0))=31),EOMONTH(F927,0)-1=F927,EOMONTH(F927,0)=F927)),IF(IF(AND(OR('депозитный калькулятор'!$G$7="30/365",'депозитный калькулятор'!$G$7="30/360"),DAY(EOMONTH($F$24,0))=31),F927=EOMONTH($F$24,0)-1,F927=EOMONTH($F$24,0)),SUM(OFFSET(Q927,-E927+1,0):Q927),SUM(OFFSET(Q927,-E927+1,0):Q927)),IF('депозитный калькулятор'!$G$10="ежеквартальное",IF(F927&gt;'депозитный калькулятор'!$D$8," ",IF(AND(EOMONTH(F927,0)=F927,OR(MONTH(F927)=3,MONTH(F927)=6,MONTH(F927)=9,MONTH(F927)=12)),IF(EDATE(F927,-3)&lt;'депозитный калькулятор'!$D$7,SUM($H$23:H927),IF(MOD(YEAR(F927),4)=0,IF(AND(EOMONTH(F927,0)=F927,OR(MONTH(F927)=3,MONTH(F927)=6)),SUM(OFFSET(H927,-90,0):H927),IF(AND(EOMONTH(F927,0)=F927,OR(MONTH(F927)=9,MONTH(F927)=12)),SUM(OFFSET(H927,-91,0):H927))),IF(AND(EOMONTH(F927,0)=F927,MONTH(F927)=3),SUM(OFFSET(H927,-89,0):H927),IF(AND(EOMONTH(F927,0)=F927,MONTH(F927)=6),SUM(OFFSET(H927,-90,0):H927),IF(AND(EOMONTH(F927,0)=F927,OR(MONTH(F927)=9,MONTH(F927)=12)),SUM(OFFSET(H927,-91,0):H927)))))),IF(F927='депозитный калькулятор'!$D$8,SUM($H$23:H927)-SUM($I$23:I926),0))),IF('депозитный калькулятор'!$G$10="ежегодное",IF(F927&gt;'депозитный калькулятор'!$D$8," ",IF(F927='депозитный калькулятор'!$D$8,SUM($H$23:H927)-SUM($I$23:I926),IF(AND(EOMONTH(F927,0)=F927,MONTH(F927)=12),IF(MOD(YEAR(F926),4)=0,IF(F927-'депозитный калькулятор'!$D$7&lt;366,SUM($H$23:H927),SUM(OFFSET(H927,-365,0):H927)),IF(F927-'депозитный калькулятор'!$D$7&lt;365,SUM($H$23:H927),SUM(OFFSET(H927,-364,0):H927))),0))),IF(AND('депозитный калькулятор'!$G$10="в конце срока",'депозитный калькулятор'!$D$8=F927),SUM($H$23:H927),0))))))))))))))))))</f>
        <v xml:space="preserve"> </v>
      </c>
      <c r="J927" s="59" t="str">
        <f>IF(F927&gt;'депозитный калькулятор'!$D$8," ",IF('депозитный калькулятор'!$G$16="нет",0,IF(AND('депозитный калькулятор'!$G$17="разовая (в конце срока)",F927='депозитный калькулятор'!$D$8),'депозитный калькулятор'!$G$18,IF(AND('депозитный калькулятор'!$G$17="ежемесячная",EOMONTH(F926,0)=F926),'депозитный калькулятор'!$G$18,IF(AND('депозитный калькулятор'!$G$17="ежегодная",DAY(F926)=31,MONTH(F926)=12),'депозитный калькулятор'!$G$18,IF(AND('депозитный калькулятор'!$G$17="ежемесячная в зависимости от остатка",EOMONTH(F926,0)=F926,P926&gt;0),'депозитный калькулятор'!$G$18,IF(AND('депозитный калькулятор'!$G$17="ежегодная в зависимости от остатка",DAY(F926)=31,MONTH(F926)=12,P926&gt;0),'депозитный калькулятор'!$G$18,0)))))))</f>
        <v xml:space="preserve"> </v>
      </c>
      <c r="K927" s="135" t="str">
        <f>IF($F927=" "," ",IFERROR(VLOOKUP($F927,'депозитный калькулятор'!$B$26:$F$70,2,0),0))</f>
        <v xml:space="preserve"> </v>
      </c>
      <c r="L927" s="135" t="str">
        <f>IF($F927=" "," ",IFERROR(VLOOKUP($F927,'депозитный калькулятор'!$B$26:$F$70,3,0),0))</f>
        <v xml:space="preserve"> </v>
      </c>
      <c r="M927" s="135" t="str">
        <f>IF($F927=" "," ",IFERROR(VLOOKUP($F927,'депозитный калькулятор'!$B$26:$F$70,4,0),0))</f>
        <v xml:space="preserve"> </v>
      </c>
      <c r="N927" s="135" t="str">
        <f>IF($F927=" "," ",IFERROR(VLOOKUP($F927,'депозитный калькулятор'!$B$26:$F$70,5,0),0))</f>
        <v xml:space="preserve"> </v>
      </c>
      <c r="O927" s="146" t="str">
        <f>IF(F927&gt;'депозитный калькулятор'!$D$8," ",IF(F927='депозитный калькулятор'!$D$8,IF(AND($F$24='депозитный калькулятор'!$D$8,'депозитный калькулятор'!$G$13="нет"),-G927-IF(I927=" ",0,I927)-IF(AND(OR('депозитный калькулятор'!$G$7="30/365",'депозитный калькулятор'!$G$7="30/360"),'депозитный калькулятор'!$G$10="в начале срока"),I926,0)-L927+M927-N927,-G927-IF(I927=" ",0,I927)-L927+M927-N927),IF('депозитный калькулятор'!$G$13="есть",M927-N927+IF('депозитный калькулятор'!$G$14="есть",0,-L927),-IF(I927=" ",0,I927)-IF(AND(OR('депозитный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срока"),I926,0)+M927-N927+IF('депозитный калькулятор'!$G$14="есть",0,-L927))))</f>
        <v xml:space="preserve"> </v>
      </c>
      <c r="P927" s="147" t="str">
        <f>IF(F927&gt;'депозитный калькулятор'!$D$8," ",IF(EOMONTH(F926,0)=F926,0,IF(G927&gt;='депозитный калькулятор'!$G$19,P926,P926+1)))</f>
        <v xml:space="preserve"> </v>
      </c>
      <c r="Q927" s="138" t="str">
        <f>IF(F927=" "," ",IF(AND(OR('депозитный калькулятор'!$G$7="30/365",'депозитный калькулятор'!$G$7="30/360"),AND(MONTH(F927)=2,EOMONTH(F927,0)=F927)),IF(DAY(F927)=28,3,2),1)*IF(G927&gt;='депозитный калькулятор'!$G$11,IF(AND('депозитный калькулятор'!$G$7="факт/факт",MOD(YEAR(F927),4)=0),G927*'депозитный калькулятор'!$D$11/366,G927*'депозитный калькулятор'!$G$8),0))</f>
        <v xml:space="preserve"> </v>
      </c>
      <c r="S927" s="62" t="str">
        <f t="shared" ca="1" si="72"/>
        <v xml:space="preserve"> </v>
      </c>
      <c r="T927" s="149" t="str">
        <f ca="1">IF(S927=" "," ",IF('депозитный калькулятор'!$G$7="30/360",DAYS360(U926,IF(DAY(U927)=31,U927-1,U927))+IF(AND(MONTH(U927)=2,U927=EOMONTH(U927,0)),30-DAY(EOMONTH(U927,0)))+T926,VLOOKUP(S927,$C$22:$F$1023,2,0)))</f>
        <v xml:space="preserve"> </v>
      </c>
      <c r="U927" s="64" t="str">
        <f t="shared" ca="1" si="70"/>
        <v xml:space="preserve"> </v>
      </c>
      <c r="V927" s="150" t="str">
        <f t="shared" ca="1" si="73"/>
        <v xml:space="preserve"> </v>
      </c>
      <c r="W927" s="62" t="str">
        <f t="shared" ca="1" si="74"/>
        <v xml:space="preserve"> </v>
      </c>
      <c r="X927" s="141" t="str">
        <f ca="1">IF(S927=" "," ",IFERROR(VLOOKUP(U927,$F$23:$N$1023,7)+VLOOKUP(U927,$F$23:$N$1023,9)+IF(AND('депозитный калькулятор'!$G$13="нет",U927&lt;&gt;'депозитный калькулятор'!$D$8),VLOOKUP(U927,$F$23:$N$1023,4),0),0)+IF(U927='депозитный калькулятор'!$D$8,VLOOKUP(U927,$F$23:$N$1023,2)+VLOOKUP(U927,$F$23:$N$1023,4),0))</f>
        <v xml:space="preserve"> </v>
      </c>
      <c r="Y927" s="142" t="str">
        <f ca="1">IF(S927=" "," ",W927/(1+'депозитный калькулятор'!$K$8)^(T927/IF('депозитный калькулятор'!$G$7="30/360",360,365)))</f>
        <v xml:space="preserve"> </v>
      </c>
      <c r="Z927" s="142" t="str">
        <f ca="1">IF(S927=" "," ",X927/(1+'депозитный калькулятор'!$K$8)^(T927/IF('депозитный калькулятор'!$G$7="30/360",360,365)))</f>
        <v xml:space="preserve"> </v>
      </c>
      <c r="AA927" s="151"/>
      <c r="AB927" s="151"/>
      <c r="AC927" s="155"/>
      <c r="AD927" s="155"/>
    </row>
    <row r="928" spans="1:30" s="2" customFormat="1" ht="15.5" x14ac:dyDescent="0.35">
      <c r="A928" s="41" t="str">
        <f>IF(F928=" "," ",IF(OR('депозитный калькулятор'!$G$7="30/365",'депозитный калькулятор'!$G$7="30/360"),IF(AND(MONTH(F928)=2,DAY(F928)=DAY(EOMONTH(F928,0))),30-DAY(EOMONTH(F928,0)),IF(DAY(F928)=31,1," "))," "))</f>
        <v xml:space="preserve"> </v>
      </c>
      <c r="B928" s="130" t="str">
        <f t="shared" si="71"/>
        <v xml:space="preserve"> </v>
      </c>
      <c r="C928" s="130" t="str">
        <f>IF(OR(B928=0,B928=" ")," ",SUM($B$23:B928))</f>
        <v xml:space="preserve"> </v>
      </c>
      <c r="D928" s="62" t="str">
        <f>IF(D927=" "," ",IF(OR(F927='депозитный калькулятор'!$D$8,F927=" ")," ",D927+1))</f>
        <v xml:space="preserve"> </v>
      </c>
      <c r="E928" s="130" t="str">
        <f>IF(OR(F927='депозитный калькулятор'!$D$8,F927=" ")," ",IF(EOMONTH(F927,0)=F927,1,E927+1))</f>
        <v xml:space="preserve"> </v>
      </c>
      <c r="F928" s="64" t="str">
        <f>IF(F927=" "," ",IF(F927='депозитный калькулятор'!$D$8," ",F927+1))</f>
        <v xml:space="preserve"> </v>
      </c>
      <c r="G928" s="145" t="str">
        <f xml:space="preserve"> IF(F928&gt;'депозитный калькулятор'!$D$8," ",IF('депозитный калькулятор'!$G$13="есть",IF('депозитный калькулятор'!$G$14="есть",G927+IF(I927=" ",0,I927)-J928-K928+L928+M928-N928,G927+IF(I927=" ",0,I927)-J928-K928+M928-N928),IF('депозитный калькулятор'!$G$14="есть",G927-J928-K928+L928+M928-N928,G927-J928-K928+M928-N928)))</f>
        <v xml:space="preserve"> </v>
      </c>
      <c r="H928" s="133" t="str">
        <f>IF(F928&gt;'депозитный калькулятор'!$D$8," ",IF(AND(OR('депозитный калькулятор'!$G$7="30/365",'депозитный калькулятор'!$G$7="30/360"),AND(MONTH(F928)=2,EOMONTH(F928,0)=F928)),IF(DAY(F928)=28,3*G928*'депозитный калькулятор'!$G$8,2*G928*'депозитный калькулятор'!$G$8),IF(AND(OR('депозитный калькулятор'!$G$7="30/365",'депозитный калькулятор'!$G$7="30/360"),DAY(F928)=31)," ",IF(AND('депозитный калькулятор'!$G$7="факт/факт",MOD(YEAR(F928),4)=0),G928*'депозитный калькулятор'!$D$11/366,G928*'депозитный калькулятор'!$G$8))))</f>
        <v xml:space="preserve"> </v>
      </c>
      <c r="I928" s="134" t="str">
        <f ca="1">IF(F928=" "," ",IF('депозитный калькулятор'!$G$10="ежедневное",H928,IF(AND('депозитный калькулятор'!$G$10="еженедельное",WEEKDAY(F928,2)=7),SUM(OFFSET(H928,-6,0):H928),IF(AND('депозитный калькулятор'!$G$10="еженедельное",F928='депозитный калькулятор'!$D$8),SUM($H$23:H928)-SUM($I$23:I927),IF(AND('депозитный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недели",WEEKDAY(F928,2)=7),MIN(OFFSET(H928,-6,0):H928)*(COUNTIF(OFFSET(H928,-6,0):H928,"&gt;0")+SUMIF(OFFSET(A928,-WEEKDAY(F928,2),0):A928,"=2",OFFSET(A928,-WEEKDAY(F928,2),0):A928)),IF(AND('депозитный калькулятор'!$G$10="еженедельное, на минимальную сумму зафиксированную в течение недели",F928='депозитный калькулятор'!$D$8,WEEKDAY(F928,2)&lt;&gt;7),MIN(OFFSET(H928,-WEEKDAY(F928,2),0):H928)*(COUNTIF(OFFSET(H928,-WEEKDAY(F928,2)+1,0):H928,"&gt;0")+SUM(OFFSET(A928,-WEEKDAY(F928,2),0):A928)),IF(AND('депозитный калькулятор'!$G$10="ежемесячное (в конце месяца)",F928='депозитный калькулятор'!$D$8,EOMONTH(F928,0)&lt;&gt;F928),IF('депозитный калькулятор'!$F$1=1,$H$24,SUM($H$23:H928)-SUM($I$23:I927)),IF(AND('депозитный калькулятор'!$G$10="ежемесячное (в конце месяца)",EOMONTH(F928,0)=F928),SUM($H$23:H928)-SUM($I$23:I927),IF(AND('депозитный калькулятор'!$G$10="ежемесячное (по дням открытия вклада)",F928='депозитный калькулятор'!$D$8,DAY('депозитный калькулятор'!$D$7)&lt;&gt;DAY(F928)),IF('депозитный калькулятор'!$F$1=1,$H$24,SUM($H$23:H928)-SUM($I$23:I927)),IF(AND('депозитный калькулятор'!$G$10="ежемесячное (по дням открытия вклада)",DAY('депозитный калькулятор'!$D$7)=DAY(F928)),SUM($H$23:H928)-SUM($I$23:I927),IF(AND('депозитный калькулятор'!$G$10="ежемесячное, на минимальную сумму зафиксированную в течение месяца",F928='депозитный калькулятор'!$D$8,EOMONTH(F928,0)&lt;&gt;F928),IF('депозитный калькулятор'!$F$1=1,$H$24,IF(AND(OR('депозитный калькулятор'!$G$7="30/365",'депозитный калькулятор'!$G$7="30/360"),DAY(F928)=31),0,MIN(OFFSET(H928,-E928+1,0):H928)*(E928+SUMIF(OFFSET(A928,-E928+1,0):A928,"=2",OFFSET(A928,-E928+1,0):A928)))),IF(AND('депозитный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калькулятор'!$G$7="30/360"),DAY(EOMONTH(F928,0))=31),EOMONTH(F928,0)-1=F928,EOMONTH(F928,0)=F928)),IF(IF(AND(OR('депозитный калькулятор'!$G$7="30/365",'депозитный калькулятор'!$G$7="30/360"),DAY(EOMONTH($F$23,0))=31),F928=EOMONTH($F$23,0)-1,F928=EOMONTH($F$23,0)),MIN(OFFSET(H928,-(DAY(F928)-DAY($F$23)),0):H928)*E928,MIN(OFFSET(H928,-(DAY(F928)-1),0):H928)*IF(AND(OR('депозитный калькулятор'!$G$7="30/365",'депозитный калькулятор'!$G$7="30/360"),DAY(F928)&lt;30),30,DAY(F928))),IF(AND('депозитный калькулятор'!$G$10="ежемесячное, на средний остаток в течение месяца, при условии что остаток больше чем ограничение",F928='депозитный калькулятор'!$D$8,EOMONTH(F928,0)&lt;&gt;F928),IF('депозитный калькулятор'!$F$1=1,$H$24,SUM(OFFSET(Q928,-E928+1,0):Q928)),IF(AND('депозитный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калькулятор'!$G$7="30/360"),DAY(EOMONTH(F928,0))=31),EOMONTH(F928,0)-1=F928,EOMONTH(F928,0)=F928)),IF(IF(AND(OR('депозитный калькулятор'!$G$7="30/365",'депозитный калькулятор'!$G$7="30/360"),DAY(EOMONTH($F$24,0))=31),F928=EOMONTH($F$24,0)-1,F928=EOMONTH($F$24,0)),SUM(OFFSET(Q928,-E928+1,0):Q928),SUM(OFFSET(Q928,-E928+1,0):Q928)),IF('депозитный калькулятор'!$G$10="ежеквартальное",IF(F928&gt;'депозитный калькулятор'!$D$8," ",IF(AND(EOMONTH(F928,0)=F928,OR(MONTH(F928)=3,MONTH(F928)=6,MONTH(F928)=9,MONTH(F928)=12)),IF(EDATE(F928,-3)&lt;'депозитный калькулятор'!$D$7,SUM($H$23:H928),IF(MOD(YEAR(F928),4)=0,IF(AND(EOMONTH(F928,0)=F928,OR(MONTH(F928)=3,MONTH(F928)=6)),SUM(OFFSET(H928,-90,0):H928),IF(AND(EOMONTH(F928,0)=F928,OR(MONTH(F928)=9,MONTH(F928)=12)),SUM(OFFSET(H928,-91,0):H928))),IF(AND(EOMONTH(F928,0)=F928,MONTH(F928)=3),SUM(OFFSET(H928,-89,0):H928),IF(AND(EOMONTH(F928,0)=F928,MONTH(F928)=6),SUM(OFFSET(H928,-90,0):H928),IF(AND(EOMONTH(F928,0)=F928,OR(MONTH(F928)=9,MONTH(F928)=12)),SUM(OFFSET(H928,-91,0):H928)))))),IF(F928='депозитный калькулятор'!$D$8,SUM($H$23:H928)-SUM($I$23:I927),0))),IF('депозитный калькулятор'!$G$10="ежегодное",IF(F928&gt;'депозитный калькулятор'!$D$8," ",IF(F928='депозитный калькулятор'!$D$8,SUM($H$23:H928)-SUM($I$23:I927),IF(AND(EOMONTH(F928,0)=F928,MONTH(F928)=12),IF(MOD(YEAR(F927),4)=0,IF(F928-'депозитный калькулятор'!$D$7&lt;366,SUM($H$23:H928),SUM(OFFSET(H928,-365,0):H928)),IF(F928-'депозитный калькулятор'!$D$7&lt;365,SUM($H$23:H928),SUM(OFFSET(H928,-364,0):H928))),0))),IF(AND('депозитный калькулятор'!$G$10="в конце срока",'депозитный калькулятор'!$D$8=F928),SUM($H$23:H928),0))))))))))))))))))</f>
        <v xml:space="preserve"> </v>
      </c>
      <c r="J928" s="59" t="str">
        <f>IF(F928&gt;'депозитный калькулятор'!$D$8," ",IF('депозитный калькулятор'!$G$16="нет",0,IF(AND('депозитный калькулятор'!$G$17="разовая (в конце срока)",F928='депозитный калькулятор'!$D$8),'депозитный калькулятор'!$G$18,IF(AND('депозитный калькулятор'!$G$17="ежемесячная",EOMONTH(F927,0)=F927),'депозитный калькулятор'!$G$18,IF(AND('депозитный калькулятор'!$G$17="ежегодная",DAY(F927)=31,MONTH(F927)=12),'депозитный калькулятор'!$G$18,IF(AND('депозитный калькулятор'!$G$17="ежемесячная в зависимости от остатка",EOMONTH(F927,0)=F927,P927&gt;0),'депозитный калькулятор'!$G$18,IF(AND('депозитный калькулятор'!$G$17="ежегодная в зависимости от остатка",DAY(F927)=31,MONTH(F927)=12,P927&gt;0),'депозитный калькулятор'!$G$18,0)))))))</f>
        <v xml:space="preserve"> </v>
      </c>
      <c r="K928" s="135" t="str">
        <f>IF($F928=" "," ",IFERROR(VLOOKUP($F928,'депозитный калькулятор'!$B$26:$F$70,2,0),0))</f>
        <v xml:space="preserve"> </v>
      </c>
      <c r="L928" s="135" t="str">
        <f>IF($F928=" "," ",IFERROR(VLOOKUP($F928,'депозитный калькулятор'!$B$26:$F$70,3,0),0))</f>
        <v xml:space="preserve"> </v>
      </c>
      <c r="M928" s="135" t="str">
        <f>IF($F928=" "," ",IFERROR(VLOOKUP($F928,'депозитный калькулятор'!$B$26:$F$70,4,0),0))</f>
        <v xml:space="preserve"> </v>
      </c>
      <c r="N928" s="135" t="str">
        <f>IF($F928=" "," ",IFERROR(VLOOKUP($F928,'депозитный калькулятор'!$B$26:$F$70,5,0),0))</f>
        <v xml:space="preserve"> </v>
      </c>
      <c r="O928" s="146" t="str">
        <f>IF(F928&gt;'депозитный калькулятор'!$D$8," ",IF(F928='депозитный калькулятор'!$D$8,IF(AND($F$24='депозитный калькулятор'!$D$8,'депозитный калькулятор'!$G$13="нет"),-G928-IF(I928=" ",0,I928)-IF(AND(OR('депозитный калькулятор'!$G$7="30/365",'депозитный калькулятор'!$G$7="30/360"),'депозитный калькулятор'!$G$10="в начале срока"),I927,0)-L928+M928-N928,-G928-IF(I928=" ",0,I928)-L928+M928-N928),IF('депозитный калькулятор'!$G$13="есть",M928-N928+IF('депозитный калькулятор'!$G$14="есть",0,-L928),-IF(I928=" ",0,I928)-IF(AND(OR('депозитный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срока"),I927,0)+M928-N928+IF('депозитный калькулятор'!$G$14="есть",0,-L928))))</f>
        <v xml:space="preserve"> </v>
      </c>
      <c r="P928" s="147" t="str">
        <f>IF(F928&gt;'депозитный калькулятор'!$D$8," ",IF(EOMONTH(F927,0)=F927,0,IF(G928&gt;='депозитный калькулятор'!$G$19,P927,P927+1)))</f>
        <v xml:space="preserve"> </v>
      </c>
      <c r="Q928" s="138" t="str">
        <f>IF(F928=" "," ",IF(AND(OR('депозитный калькулятор'!$G$7="30/365",'депозитный калькулятор'!$G$7="30/360"),AND(MONTH(F928)=2,EOMONTH(F928,0)=F928)),IF(DAY(F928)=28,3,2),1)*IF(G928&gt;='депозитный калькулятор'!$G$11,IF(AND('депозитный калькулятор'!$G$7="факт/факт",MOD(YEAR(F928),4)=0),G928*'депозитный калькулятор'!$D$11/366,G928*'депозитный калькулятор'!$G$8),0))</f>
        <v xml:space="preserve"> </v>
      </c>
      <c r="S928" s="62" t="str">
        <f t="shared" ca="1" si="72"/>
        <v xml:space="preserve"> </v>
      </c>
      <c r="T928" s="149" t="str">
        <f ca="1">IF(S928=" "," ",IF('депозитный калькулятор'!$G$7="30/360",DAYS360(U927,IF(DAY(U928)=31,U928-1,U928))+IF(AND(MONTH(U928)=2,U928=EOMONTH(U928,0)),30-DAY(EOMONTH(U928,0)))+T927,VLOOKUP(S928,$C$22:$F$1023,2,0)))</f>
        <v xml:space="preserve"> </v>
      </c>
      <c r="U928" s="64" t="str">
        <f t="shared" ca="1" si="70"/>
        <v xml:space="preserve"> </v>
      </c>
      <c r="V928" s="150" t="str">
        <f t="shared" ca="1" si="73"/>
        <v xml:space="preserve"> </v>
      </c>
      <c r="W928" s="62" t="str">
        <f t="shared" ca="1" si="74"/>
        <v xml:space="preserve"> </v>
      </c>
      <c r="X928" s="141" t="str">
        <f ca="1">IF(S928=" "," ",IFERROR(VLOOKUP(U928,$F$23:$N$1023,7)+VLOOKUP(U928,$F$23:$N$1023,9)+IF(AND('депозитный калькулятор'!$G$13="нет",U928&lt;&gt;'депозитный калькулятор'!$D$8),VLOOKUP(U928,$F$23:$N$1023,4),0),0)+IF(U928='депозитный калькулятор'!$D$8,VLOOKUP(U928,$F$23:$N$1023,2)+VLOOKUP(U928,$F$23:$N$1023,4),0))</f>
        <v xml:space="preserve"> </v>
      </c>
      <c r="Y928" s="142" t="str">
        <f ca="1">IF(S928=" "," ",W928/(1+'депозитный калькулятор'!$K$8)^(T928/IF('депозитный калькулятор'!$G$7="30/360",360,365)))</f>
        <v xml:space="preserve"> </v>
      </c>
      <c r="Z928" s="142" t="str">
        <f ca="1">IF(S928=" "," ",X928/(1+'депозитный калькулятор'!$K$8)^(T928/IF('депозитный калькулятор'!$G$7="30/360",360,365)))</f>
        <v xml:space="preserve"> </v>
      </c>
      <c r="AA928" s="151"/>
      <c r="AB928" s="151"/>
      <c r="AC928" s="155"/>
      <c r="AD928" s="155"/>
    </row>
    <row r="929" spans="1:30" s="2" customFormat="1" ht="15.5" x14ac:dyDescent="0.35">
      <c r="A929" s="41" t="str">
        <f>IF(F929=" "," ",IF(OR('депозитный калькулятор'!$G$7="30/365",'депозитный калькулятор'!$G$7="30/360"),IF(AND(MONTH(F929)=2,DAY(F929)=DAY(EOMONTH(F929,0))),30-DAY(EOMONTH(F929,0)),IF(DAY(F929)=31,1," "))," "))</f>
        <v xml:space="preserve"> </v>
      </c>
      <c r="B929" s="130" t="str">
        <f t="shared" si="71"/>
        <v xml:space="preserve"> </v>
      </c>
      <c r="C929" s="130" t="str">
        <f>IF(OR(B929=0,B929=" ")," ",SUM($B$23:B929))</f>
        <v xml:space="preserve"> </v>
      </c>
      <c r="D929" s="62" t="str">
        <f>IF(D928=" "," ",IF(OR(F928='депозитный калькулятор'!$D$8,F928=" ")," ",D928+1))</f>
        <v xml:space="preserve"> </v>
      </c>
      <c r="E929" s="130" t="str">
        <f>IF(OR(F928='депозитный калькулятор'!$D$8,F928=" ")," ",IF(EOMONTH(F928,0)=F928,1,E928+1))</f>
        <v xml:space="preserve"> </v>
      </c>
      <c r="F929" s="64" t="str">
        <f>IF(F928=" "," ",IF(F928='депозитный калькулятор'!$D$8," ",F928+1))</f>
        <v xml:space="preserve"> </v>
      </c>
      <c r="G929" s="145" t="str">
        <f xml:space="preserve"> IF(F929&gt;'депозитный калькулятор'!$D$8," ",IF('депозитный калькулятор'!$G$13="есть",IF('депозитный калькулятор'!$G$14="есть",G928+IF(I928=" ",0,I928)-J929-K929+L929+M929-N929,G928+IF(I928=" ",0,I928)-J929-K929+M929-N929),IF('депозитный калькулятор'!$G$14="есть",G928-J929-K929+L929+M929-N929,G928-J929-K929+M929-N929)))</f>
        <v xml:space="preserve"> </v>
      </c>
      <c r="H929" s="133" t="str">
        <f>IF(F929&gt;'депозитный калькулятор'!$D$8," ",IF(AND(OR('депозитный калькулятор'!$G$7="30/365",'депозитный калькулятор'!$G$7="30/360"),AND(MONTH(F929)=2,EOMONTH(F929,0)=F929)),IF(DAY(F929)=28,3*G929*'депозитный калькулятор'!$G$8,2*G929*'депозитный калькулятор'!$G$8),IF(AND(OR('депозитный калькулятор'!$G$7="30/365",'депозитный калькулятор'!$G$7="30/360"),DAY(F929)=31)," ",IF(AND('депозитный калькулятор'!$G$7="факт/факт",MOD(YEAR(F929),4)=0),G929*'депозитный калькулятор'!$D$11/366,G929*'депозитный калькулятор'!$G$8))))</f>
        <v xml:space="preserve"> </v>
      </c>
      <c r="I929" s="134" t="str">
        <f ca="1">IF(F929=" "," ",IF('депозитный калькулятор'!$G$10="ежедневное",H929,IF(AND('депозитный калькулятор'!$G$10="еженедельное",WEEKDAY(F929,2)=7),SUM(OFFSET(H929,-6,0):H929),IF(AND('депозитный калькулятор'!$G$10="еженедельное",F929='депозитный калькулятор'!$D$8),SUM($H$23:H929)-SUM($I$23:I928),IF(AND('депозитный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недели",WEEKDAY(F929,2)=7),MIN(OFFSET(H929,-6,0):H929)*(COUNTIF(OFFSET(H929,-6,0):H929,"&gt;0")+SUMIF(OFFSET(A929,-WEEKDAY(F929,2),0):A929,"=2",OFFSET(A929,-WEEKDAY(F929,2),0):A929)),IF(AND('депозитный калькулятор'!$G$10="еженедельное, на минимальную сумму зафиксированную в течение недели",F929='депозитный калькулятор'!$D$8,WEEKDAY(F929,2)&lt;&gt;7),MIN(OFFSET(H929,-WEEKDAY(F929,2),0):H929)*(COUNTIF(OFFSET(H929,-WEEKDAY(F929,2)+1,0):H929,"&gt;0")+SUM(OFFSET(A929,-WEEKDAY(F929,2),0):A929)),IF(AND('депозитный калькулятор'!$G$10="ежемесячное (в конце месяца)",F929='депозитный калькулятор'!$D$8,EOMONTH(F929,0)&lt;&gt;F929),IF('депозитный калькулятор'!$F$1=1,$H$24,SUM($H$23:H929)-SUM($I$23:I928)),IF(AND('депозитный калькулятор'!$G$10="ежемесячное (в конце месяца)",EOMONTH(F929,0)=F929),SUM($H$23:H929)-SUM($I$23:I928),IF(AND('депозитный калькулятор'!$G$10="ежемесячное (по дням открытия вклада)",F929='депозитный калькулятор'!$D$8,DAY('депозитный калькулятор'!$D$7)&lt;&gt;DAY(F929)),IF('депозитный калькулятор'!$F$1=1,$H$24,SUM($H$23:H929)-SUM($I$23:I928)),IF(AND('депозитный калькулятор'!$G$10="ежемесячное (по дням открытия вклада)",DAY('депозитный калькулятор'!$D$7)=DAY(F929)),SUM($H$23:H929)-SUM($I$23:I928),IF(AND('депозитный калькулятор'!$G$10="ежемесячное, на минимальную сумму зафиксированную в течение месяца",F929='депозитный калькулятор'!$D$8,EOMONTH(F929,0)&lt;&gt;F929),IF('депозитный калькулятор'!$F$1=1,$H$24,IF(AND(OR('депозитный калькулятор'!$G$7="30/365",'депозитный калькулятор'!$G$7="30/360"),DAY(F929)=31),0,MIN(OFFSET(H929,-E929+1,0):H929)*(E929+SUMIF(OFFSET(A929,-E929+1,0):A929,"=2",OFFSET(A929,-E929+1,0):A929)))),IF(AND('депозитный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калькулятор'!$G$7="30/360"),DAY(EOMONTH(F929,0))=31),EOMONTH(F929,0)-1=F929,EOMONTH(F929,0)=F929)),IF(IF(AND(OR('депозитный калькулятор'!$G$7="30/365",'депозитный калькулятор'!$G$7="30/360"),DAY(EOMONTH($F$23,0))=31),F929=EOMONTH($F$23,0)-1,F929=EOMONTH($F$23,0)),MIN(OFFSET(H929,-(DAY(F929)-DAY($F$23)),0):H929)*E929,MIN(OFFSET(H929,-(DAY(F929)-1),0):H929)*IF(AND(OR('депозитный калькулятор'!$G$7="30/365",'депозитный калькулятор'!$G$7="30/360"),DAY(F929)&lt;30),30,DAY(F929))),IF(AND('депозитный калькулятор'!$G$10="ежемесячное, на средний остаток в течение месяца, при условии что остаток больше чем ограничение",F929='депозитный калькулятор'!$D$8,EOMONTH(F929,0)&lt;&gt;F929),IF('депозитный калькулятор'!$F$1=1,$H$24,SUM(OFFSET(Q929,-E929+1,0):Q929)),IF(AND('депозитный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калькулятор'!$G$7="30/360"),DAY(EOMONTH(F929,0))=31),EOMONTH(F929,0)-1=F929,EOMONTH(F929,0)=F929)),IF(IF(AND(OR('депозитный калькулятор'!$G$7="30/365",'депозитный калькулятор'!$G$7="30/360"),DAY(EOMONTH($F$24,0))=31),F929=EOMONTH($F$24,0)-1,F929=EOMONTH($F$24,0)),SUM(OFFSET(Q929,-E929+1,0):Q929),SUM(OFFSET(Q929,-E929+1,0):Q929)),IF('депозитный калькулятор'!$G$10="ежеквартальное",IF(F929&gt;'депозитный калькулятор'!$D$8," ",IF(AND(EOMONTH(F929,0)=F929,OR(MONTH(F929)=3,MONTH(F929)=6,MONTH(F929)=9,MONTH(F929)=12)),IF(EDATE(F929,-3)&lt;'депозитный калькулятор'!$D$7,SUM($H$23:H929),IF(MOD(YEAR(F929),4)=0,IF(AND(EOMONTH(F929,0)=F929,OR(MONTH(F929)=3,MONTH(F929)=6)),SUM(OFFSET(H929,-90,0):H929),IF(AND(EOMONTH(F929,0)=F929,OR(MONTH(F929)=9,MONTH(F929)=12)),SUM(OFFSET(H929,-91,0):H929))),IF(AND(EOMONTH(F929,0)=F929,MONTH(F929)=3),SUM(OFFSET(H929,-89,0):H929),IF(AND(EOMONTH(F929,0)=F929,MONTH(F929)=6),SUM(OFFSET(H929,-90,0):H929),IF(AND(EOMONTH(F929,0)=F929,OR(MONTH(F929)=9,MONTH(F929)=12)),SUM(OFFSET(H929,-91,0):H929)))))),IF(F929='депозитный калькулятор'!$D$8,SUM($H$23:H929)-SUM($I$23:I928),0))),IF('депозитный калькулятор'!$G$10="ежегодное",IF(F929&gt;'депозитный калькулятор'!$D$8," ",IF(F929='депозитный калькулятор'!$D$8,SUM($H$23:H929)-SUM($I$23:I928),IF(AND(EOMONTH(F929,0)=F929,MONTH(F929)=12),IF(MOD(YEAR(F928),4)=0,IF(F929-'депозитный калькулятор'!$D$7&lt;366,SUM($H$23:H929),SUM(OFFSET(H929,-365,0):H929)),IF(F929-'депозитный калькулятор'!$D$7&lt;365,SUM($H$23:H929),SUM(OFFSET(H929,-364,0):H929))),0))),IF(AND('депозитный калькулятор'!$G$10="в конце срока",'депозитный калькулятор'!$D$8=F929),SUM($H$23:H929),0))))))))))))))))))</f>
        <v xml:space="preserve"> </v>
      </c>
      <c r="J929" s="59" t="str">
        <f>IF(F929&gt;'депозитный калькулятор'!$D$8," ",IF('депозитный калькулятор'!$G$16="нет",0,IF(AND('депозитный калькулятор'!$G$17="разовая (в конце срока)",F929='депозитный калькулятор'!$D$8),'депозитный калькулятор'!$G$18,IF(AND('депозитный калькулятор'!$G$17="ежемесячная",EOMONTH(F928,0)=F928),'депозитный калькулятор'!$G$18,IF(AND('депозитный калькулятор'!$G$17="ежегодная",DAY(F928)=31,MONTH(F928)=12),'депозитный калькулятор'!$G$18,IF(AND('депозитный калькулятор'!$G$17="ежемесячная в зависимости от остатка",EOMONTH(F928,0)=F928,P928&gt;0),'депозитный калькулятор'!$G$18,IF(AND('депозитный калькулятор'!$G$17="ежегодная в зависимости от остатка",DAY(F928)=31,MONTH(F928)=12,P928&gt;0),'депозитный калькулятор'!$G$18,0)))))))</f>
        <v xml:space="preserve"> </v>
      </c>
      <c r="K929" s="135" t="str">
        <f>IF($F929=" "," ",IFERROR(VLOOKUP($F929,'депозитный калькулятор'!$B$26:$F$70,2,0),0))</f>
        <v xml:space="preserve"> </v>
      </c>
      <c r="L929" s="135" t="str">
        <f>IF($F929=" "," ",IFERROR(VLOOKUP($F929,'депозитный калькулятор'!$B$26:$F$70,3,0),0))</f>
        <v xml:space="preserve"> </v>
      </c>
      <c r="M929" s="135" t="str">
        <f>IF($F929=" "," ",IFERROR(VLOOKUP($F929,'депозитный калькулятор'!$B$26:$F$70,4,0),0))</f>
        <v xml:space="preserve"> </v>
      </c>
      <c r="N929" s="135" t="str">
        <f>IF($F929=" "," ",IFERROR(VLOOKUP($F929,'депозитный калькулятор'!$B$26:$F$70,5,0),0))</f>
        <v xml:space="preserve"> </v>
      </c>
      <c r="O929" s="146" t="str">
        <f>IF(F929&gt;'депозитный калькулятор'!$D$8," ",IF(F929='депозитный калькулятор'!$D$8,IF(AND($F$24='депозитный калькулятор'!$D$8,'депозитный калькулятор'!$G$13="нет"),-G929-IF(I929=" ",0,I929)-IF(AND(OR('депозитный калькулятор'!$G$7="30/365",'депозитный калькулятор'!$G$7="30/360"),'депозитный калькулятор'!$G$10="в начале срока"),I928,0)-L929+M929-N929,-G929-IF(I929=" ",0,I929)-L929+M929-N929),IF('депозитный калькулятор'!$G$13="есть",M929-N929+IF('депозитный калькулятор'!$G$14="есть",0,-L929),-IF(I929=" ",0,I929)-IF(AND(OR('депозитный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срока"),I928,0)+M929-N929+IF('депозитный калькулятор'!$G$14="есть",0,-L929))))</f>
        <v xml:space="preserve"> </v>
      </c>
      <c r="P929" s="147" t="str">
        <f>IF(F929&gt;'депозитный калькулятор'!$D$8," ",IF(EOMONTH(F928,0)=F928,0,IF(G929&gt;='депозитный калькулятор'!$G$19,P928,P928+1)))</f>
        <v xml:space="preserve"> </v>
      </c>
      <c r="Q929" s="138" t="str">
        <f>IF(F929=" "," ",IF(AND(OR('депозитный калькулятор'!$G$7="30/365",'депозитный калькулятор'!$G$7="30/360"),AND(MONTH(F929)=2,EOMONTH(F929,0)=F929)),IF(DAY(F929)=28,3,2),1)*IF(G929&gt;='депозитный калькулятор'!$G$11,IF(AND('депозитный калькулятор'!$G$7="факт/факт",MOD(YEAR(F929),4)=0),G929*'депозитный калькулятор'!$D$11/366,G929*'депозитный калькулятор'!$G$8),0))</f>
        <v xml:space="preserve"> </v>
      </c>
      <c r="S929" s="62" t="str">
        <f t="shared" ca="1" si="72"/>
        <v xml:space="preserve"> </v>
      </c>
      <c r="T929" s="149" t="str">
        <f ca="1">IF(S929=" "," ",IF('депозитный калькулятор'!$G$7="30/360",DAYS360(U928,IF(DAY(U929)=31,U929-1,U929))+IF(AND(MONTH(U929)=2,U929=EOMONTH(U929,0)),30-DAY(EOMONTH(U929,0)))+T928,VLOOKUP(S929,$C$22:$F$1023,2,0)))</f>
        <v xml:space="preserve"> </v>
      </c>
      <c r="U929" s="64" t="str">
        <f t="shared" ca="1" si="70"/>
        <v xml:space="preserve"> </v>
      </c>
      <c r="V929" s="150" t="str">
        <f t="shared" ca="1" si="73"/>
        <v xml:space="preserve"> </v>
      </c>
      <c r="W929" s="62" t="str">
        <f t="shared" ca="1" si="74"/>
        <v xml:space="preserve"> </v>
      </c>
      <c r="X929" s="141" t="str">
        <f ca="1">IF(S929=" "," ",IFERROR(VLOOKUP(U929,$F$23:$N$1023,7)+VLOOKUP(U929,$F$23:$N$1023,9)+IF(AND('депозитный калькулятор'!$G$13="нет",U929&lt;&gt;'депозитный калькулятор'!$D$8),VLOOKUP(U929,$F$23:$N$1023,4),0),0)+IF(U929='депозитный калькулятор'!$D$8,VLOOKUP(U929,$F$23:$N$1023,2)+VLOOKUP(U929,$F$23:$N$1023,4),0))</f>
        <v xml:space="preserve"> </v>
      </c>
      <c r="Y929" s="142" t="str">
        <f ca="1">IF(S929=" "," ",W929/(1+'депозитный калькулятор'!$K$8)^(T929/IF('депозитный калькулятор'!$G$7="30/360",360,365)))</f>
        <v xml:space="preserve"> </v>
      </c>
      <c r="Z929" s="142" t="str">
        <f ca="1">IF(S929=" "," ",X929/(1+'депозитный калькулятор'!$K$8)^(T929/IF('депозитный калькулятор'!$G$7="30/360",360,365)))</f>
        <v xml:space="preserve"> </v>
      </c>
      <c r="AA929" s="151"/>
      <c r="AB929" s="151"/>
      <c r="AC929" s="155"/>
      <c r="AD929" s="155"/>
    </row>
    <row r="930" spans="1:30" s="2" customFormat="1" ht="15.5" x14ac:dyDescent="0.35">
      <c r="A930" s="41" t="str">
        <f>IF(F930=" "," ",IF(OR('депозитный калькулятор'!$G$7="30/365",'депозитный калькулятор'!$G$7="30/360"),IF(AND(MONTH(F930)=2,DAY(F930)=DAY(EOMONTH(F930,0))),30-DAY(EOMONTH(F930,0)),IF(DAY(F930)=31,1," "))," "))</f>
        <v xml:space="preserve"> </v>
      </c>
      <c r="B930" s="130" t="str">
        <f t="shared" si="71"/>
        <v xml:space="preserve"> </v>
      </c>
      <c r="C930" s="130" t="str">
        <f>IF(OR(B930=0,B930=" ")," ",SUM($B$23:B930))</f>
        <v xml:space="preserve"> </v>
      </c>
      <c r="D930" s="62" t="str">
        <f>IF(D929=" "," ",IF(OR(F929='депозитный калькулятор'!$D$8,F929=" ")," ",D929+1))</f>
        <v xml:space="preserve"> </v>
      </c>
      <c r="E930" s="130" t="str">
        <f>IF(OR(F929='депозитный калькулятор'!$D$8,F929=" ")," ",IF(EOMONTH(F929,0)=F929,1,E929+1))</f>
        <v xml:space="preserve"> </v>
      </c>
      <c r="F930" s="64" t="str">
        <f>IF(F929=" "," ",IF(F929='депозитный калькулятор'!$D$8," ",F929+1))</f>
        <v xml:space="preserve"> </v>
      </c>
      <c r="G930" s="145" t="str">
        <f xml:space="preserve"> IF(F930&gt;'депозитный калькулятор'!$D$8," ",IF('депозитный калькулятор'!$G$13="есть",IF('депозитный калькулятор'!$G$14="есть",G929+IF(I929=" ",0,I929)-J930-K930+L930+M930-N930,G929+IF(I929=" ",0,I929)-J930-K930+M930-N930),IF('депозитный калькулятор'!$G$14="есть",G929-J930-K930+L930+M930-N930,G929-J930-K930+M930-N930)))</f>
        <v xml:space="preserve"> </v>
      </c>
      <c r="H930" s="133" t="str">
        <f>IF(F930&gt;'депозитный калькулятор'!$D$8," ",IF(AND(OR('депозитный калькулятор'!$G$7="30/365",'депозитный калькулятор'!$G$7="30/360"),AND(MONTH(F930)=2,EOMONTH(F930,0)=F930)),IF(DAY(F930)=28,3*G930*'депозитный калькулятор'!$G$8,2*G930*'депозитный калькулятор'!$G$8),IF(AND(OR('депозитный калькулятор'!$G$7="30/365",'депозитный калькулятор'!$G$7="30/360"),DAY(F930)=31)," ",IF(AND('депозитный калькулятор'!$G$7="факт/факт",MOD(YEAR(F930),4)=0),G930*'депозитный калькулятор'!$D$11/366,G930*'депозитный калькулятор'!$G$8))))</f>
        <v xml:space="preserve"> </v>
      </c>
      <c r="I930" s="134" t="str">
        <f ca="1">IF(F930=" "," ",IF('депозитный калькулятор'!$G$10="ежедневное",H930,IF(AND('депозитный калькулятор'!$G$10="еженедельное",WEEKDAY(F930,2)=7),SUM(OFFSET(H930,-6,0):H930),IF(AND('депозитный калькулятор'!$G$10="еженедельное",F930='депозитный калькулятор'!$D$8),SUM($H$23:H930)-SUM($I$23:I929),IF(AND('депозитный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недели",WEEKDAY(F930,2)=7),MIN(OFFSET(H930,-6,0):H930)*(COUNTIF(OFFSET(H930,-6,0):H930,"&gt;0")+SUMIF(OFFSET(A930,-WEEKDAY(F930,2),0):A930,"=2",OFFSET(A930,-WEEKDAY(F930,2),0):A930)),IF(AND('депозитный калькулятор'!$G$10="еженедельное, на минимальную сумму зафиксированную в течение недели",F930='депозитный калькулятор'!$D$8,WEEKDAY(F930,2)&lt;&gt;7),MIN(OFFSET(H930,-WEEKDAY(F930,2),0):H930)*(COUNTIF(OFFSET(H930,-WEEKDAY(F930,2)+1,0):H930,"&gt;0")+SUM(OFFSET(A930,-WEEKDAY(F930,2),0):A930)),IF(AND('депозитный калькулятор'!$G$10="ежемесячное (в конце месяца)",F930='депозитный калькулятор'!$D$8,EOMONTH(F930,0)&lt;&gt;F930),IF('депозитный калькулятор'!$F$1=1,$H$24,SUM($H$23:H930)-SUM($I$23:I929)),IF(AND('депозитный калькулятор'!$G$10="ежемесячное (в конце месяца)",EOMONTH(F930,0)=F930),SUM($H$23:H930)-SUM($I$23:I929),IF(AND('депозитный калькулятор'!$G$10="ежемесячное (по дням открытия вклада)",F930='депозитный калькулятор'!$D$8,DAY('депозитный калькулятор'!$D$7)&lt;&gt;DAY(F930)),IF('депозитный калькулятор'!$F$1=1,$H$24,SUM($H$23:H930)-SUM($I$23:I929)),IF(AND('депозитный калькулятор'!$G$10="ежемесячное (по дням открытия вклада)",DAY('депозитный калькулятор'!$D$7)=DAY(F930)),SUM($H$23:H930)-SUM($I$23:I929),IF(AND('депозитный калькулятор'!$G$10="ежемесячное, на минимальную сумму зафиксированную в течение месяца",F930='депозитный калькулятор'!$D$8,EOMONTH(F930,0)&lt;&gt;F930),IF('депозитный калькулятор'!$F$1=1,$H$24,IF(AND(OR('депозитный калькулятор'!$G$7="30/365",'депозитный калькулятор'!$G$7="30/360"),DAY(F930)=31),0,MIN(OFFSET(H930,-E930+1,0):H930)*(E930+SUMIF(OFFSET(A930,-E930+1,0):A930,"=2",OFFSET(A930,-E930+1,0):A930)))),IF(AND('депозитный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калькулятор'!$G$7="30/360"),DAY(EOMONTH(F930,0))=31),EOMONTH(F930,0)-1=F930,EOMONTH(F930,0)=F930)),IF(IF(AND(OR('депозитный калькулятор'!$G$7="30/365",'депозитный калькулятор'!$G$7="30/360"),DAY(EOMONTH($F$23,0))=31),F930=EOMONTH($F$23,0)-1,F930=EOMONTH($F$23,0)),MIN(OFFSET(H930,-(DAY(F930)-DAY($F$23)),0):H930)*E930,MIN(OFFSET(H930,-(DAY(F930)-1),0):H930)*IF(AND(OR('депозитный калькулятор'!$G$7="30/365",'депозитный калькулятор'!$G$7="30/360"),DAY(F930)&lt;30),30,DAY(F930))),IF(AND('депозитный калькулятор'!$G$10="ежемесячное, на средний остаток в течение месяца, при условии что остаток больше чем ограничение",F930='депозитный калькулятор'!$D$8,EOMONTH(F930,0)&lt;&gt;F930),IF('депозитный калькулятор'!$F$1=1,$H$24,SUM(OFFSET(Q930,-E930+1,0):Q930)),IF(AND('депозитный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калькулятор'!$G$7="30/360"),DAY(EOMONTH(F930,0))=31),EOMONTH(F930,0)-1=F930,EOMONTH(F930,0)=F930)),IF(IF(AND(OR('депозитный калькулятор'!$G$7="30/365",'депозитный калькулятор'!$G$7="30/360"),DAY(EOMONTH($F$24,0))=31),F930=EOMONTH($F$24,0)-1,F930=EOMONTH($F$24,0)),SUM(OFFSET(Q930,-E930+1,0):Q930),SUM(OFFSET(Q930,-E930+1,0):Q930)),IF('депозитный калькулятор'!$G$10="ежеквартальное",IF(F930&gt;'депозитный калькулятор'!$D$8," ",IF(AND(EOMONTH(F930,0)=F930,OR(MONTH(F930)=3,MONTH(F930)=6,MONTH(F930)=9,MONTH(F930)=12)),IF(EDATE(F930,-3)&lt;'депозитный калькулятор'!$D$7,SUM($H$23:H930),IF(MOD(YEAR(F930),4)=0,IF(AND(EOMONTH(F930,0)=F930,OR(MONTH(F930)=3,MONTH(F930)=6)),SUM(OFFSET(H930,-90,0):H930),IF(AND(EOMONTH(F930,0)=F930,OR(MONTH(F930)=9,MONTH(F930)=12)),SUM(OFFSET(H930,-91,0):H930))),IF(AND(EOMONTH(F930,0)=F930,MONTH(F930)=3),SUM(OFFSET(H930,-89,0):H930),IF(AND(EOMONTH(F930,0)=F930,MONTH(F930)=6),SUM(OFFSET(H930,-90,0):H930),IF(AND(EOMONTH(F930,0)=F930,OR(MONTH(F930)=9,MONTH(F930)=12)),SUM(OFFSET(H930,-91,0):H930)))))),IF(F930='депозитный калькулятор'!$D$8,SUM($H$23:H930)-SUM($I$23:I929),0))),IF('депозитный калькулятор'!$G$10="ежегодное",IF(F930&gt;'депозитный калькулятор'!$D$8," ",IF(F930='депозитный калькулятор'!$D$8,SUM($H$23:H930)-SUM($I$23:I929),IF(AND(EOMONTH(F930,0)=F930,MONTH(F930)=12),IF(MOD(YEAR(F929),4)=0,IF(F930-'депозитный калькулятор'!$D$7&lt;366,SUM($H$23:H930),SUM(OFFSET(H930,-365,0):H930)),IF(F930-'депозитный калькулятор'!$D$7&lt;365,SUM($H$23:H930),SUM(OFFSET(H930,-364,0):H930))),0))),IF(AND('депозитный калькулятор'!$G$10="в конце срока",'депозитный калькулятор'!$D$8=F930),SUM($H$23:H930),0))))))))))))))))))</f>
        <v xml:space="preserve"> </v>
      </c>
      <c r="J930" s="59" t="str">
        <f>IF(F930&gt;'депозитный калькулятор'!$D$8," ",IF('депозитный калькулятор'!$G$16="нет",0,IF(AND('депозитный калькулятор'!$G$17="разовая (в конце срока)",F930='депозитный калькулятор'!$D$8),'депозитный калькулятор'!$G$18,IF(AND('депозитный калькулятор'!$G$17="ежемесячная",EOMONTH(F929,0)=F929),'депозитный калькулятор'!$G$18,IF(AND('депозитный калькулятор'!$G$17="ежегодная",DAY(F929)=31,MONTH(F929)=12),'депозитный калькулятор'!$G$18,IF(AND('депозитный калькулятор'!$G$17="ежемесячная в зависимости от остатка",EOMONTH(F929,0)=F929,P929&gt;0),'депозитный калькулятор'!$G$18,IF(AND('депозитный калькулятор'!$G$17="ежегодная в зависимости от остатка",DAY(F929)=31,MONTH(F929)=12,P929&gt;0),'депозитный калькулятор'!$G$18,0)))))))</f>
        <v xml:space="preserve"> </v>
      </c>
      <c r="K930" s="135" t="str">
        <f>IF($F930=" "," ",IFERROR(VLOOKUP($F930,'депозитный калькулятор'!$B$26:$F$70,2,0),0))</f>
        <v xml:space="preserve"> </v>
      </c>
      <c r="L930" s="135" t="str">
        <f>IF($F930=" "," ",IFERROR(VLOOKUP($F930,'депозитный калькулятор'!$B$26:$F$70,3,0),0))</f>
        <v xml:space="preserve"> </v>
      </c>
      <c r="M930" s="135" t="str">
        <f>IF($F930=" "," ",IFERROR(VLOOKUP($F930,'депозитный калькулятор'!$B$26:$F$70,4,0),0))</f>
        <v xml:space="preserve"> </v>
      </c>
      <c r="N930" s="135" t="str">
        <f>IF($F930=" "," ",IFERROR(VLOOKUP($F930,'депозитный калькулятор'!$B$26:$F$70,5,0),0))</f>
        <v xml:space="preserve"> </v>
      </c>
      <c r="O930" s="146" t="str">
        <f>IF(F930&gt;'депозитный калькулятор'!$D$8," ",IF(F930='депозитный калькулятор'!$D$8,IF(AND($F$24='депозитный калькулятор'!$D$8,'депозитный калькулятор'!$G$13="нет"),-G930-IF(I930=" ",0,I930)-IF(AND(OR('депозитный калькулятор'!$G$7="30/365",'депозитный калькулятор'!$G$7="30/360"),'депозитный калькулятор'!$G$10="в начале срока"),I929,0)-L930+M930-N930,-G930-IF(I930=" ",0,I930)-L930+M930-N930),IF('депозитный калькулятор'!$G$13="есть",M930-N930+IF('депозитный калькулятор'!$G$14="есть",0,-L930),-IF(I930=" ",0,I930)-IF(AND(OR('депозитный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срока"),I929,0)+M930-N930+IF('депозитный калькулятор'!$G$14="есть",0,-L930))))</f>
        <v xml:space="preserve"> </v>
      </c>
      <c r="P930" s="147" t="str">
        <f>IF(F930&gt;'депозитный калькулятор'!$D$8," ",IF(EOMONTH(F929,0)=F929,0,IF(G930&gt;='депозитный калькулятор'!$G$19,P929,P929+1)))</f>
        <v xml:space="preserve"> </v>
      </c>
      <c r="Q930" s="138" t="str">
        <f>IF(F930=" "," ",IF(AND(OR('депозитный калькулятор'!$G$7="30/365",'депозитный калькулятор'!$G$7="30/360"),AND(MONTH(F930)=2,EOMONTH(F930,0)=F930)),IF(DAY(F930)=28,3,2),1)*IF(G930&gt;='депозитный калькулятор'!$G$11,IF(AND('депозитный калькулятор'!$G$7="факт/факт",MOD(YEAR(F930),4)=0),G930*'депозитный калькулятор'!$D$11/366,G930*'депозитный калькулятор'!$G$8),0))</f>
        <v xml:space="preserve"> </v>
      </c>
      <c r="S930" s="62" t="str">
        <f t="shared" ca="1" si="72"/>
        <v xml:space="preserve"> </v>
      </c>
      <c r="T930" s="149" t="str">
        <f ca="1">IF(S930=" "," ",IF('депозитный калькулятор'!$G$7="30/360",DAYS360(U929,IF(DAY(U930)=31,U930-1,U930))+IF(AND(MONTH(U930)=2,U930=EOMONTH(U930,0)),30-DAY(EOMONTH(U930,0)))+T929,VLOOKUP(S930,$C$22:$F$1023,2,0)))</f>
        <v xml:space="preserve"> </v>
      </c>
      <c r="U930" s="64" t="str">
        <f t="shared" ca="1" si="70"/>
        <v xml:space="preserve"> </v>
      </c>
      <c r="V930" s="150" t="str">
        <f t="shared" ca="1" si="73"/>
        <v xml:space="preserve"> </v>
      </c>
      <c r="W930" s="62" t="str">
        <f t="shared" ca="1" si="74"/>
        <v xml:space="preserve"> </v>
      </c>
      <c r="X930" s="141" t="str">
        <f ca="1">IF(S930=" "," ",IFERROR(VLOOKUP(U930,$F$23:$N$1023,7)+VLOOKUP(U930,$F$23:$N$1023,9)+IF(AND('депозитный калькулятор'!$G$13="нет",U930&lt;&gt;'депозитный калькулятор'!$D$8),VLOOKUP(U930,$F$23:$N$1023,4),0),0)+IF(U930='депозитный калькулятор'!$D$8,VLOOKUP(U930,$F$23:$N$1023,2)+VLOOKUP(U930,$F$23:$N$1023,4),0))</f>
        <v xml:space="preserve"> </v>
      </c>
      <c r="Y930" s="142" t="str">
        <f ca="1">IF(S930=" "," ",W930/(1+'депозитный калькулятор'!$K$8)^(T930/IF('депозитный калькулятор'!$G$7="30/360",360,365)))</f>
        <v xml:space="preserve"> </v>
      </c>
      <c r="Z930" s="142" t="str">
        <f ca="1">IF(S930=" "," ",X930/(1+'депозитный калькулятор'!$K$8)^(T930/IF('депозитный калькулятор'!$G$7="30/360",360,365)))</f>
        <v xml:space="preserve"> </v>
      </c>
      <c r="AA930" s="151"/>
      <c r="AB930" s="151"/>
      <c r="AC930" s="155"/>
      <c r="AD930" s="155"/>
    </row>
    <row r="931" spans="1:30" s="2" customFormat="1" ht="15.5" x14ac:dyDescent="0.35">
      <c r="A931" s="41" t="str">
        <f>IF(F931=" "," ",IF(OR('депозитный калькулятор'!$G$7="30/365",'депозитный калькулятор'!$G$7="30/360"),IF(AND(MONTH(F931)=2,DAY(F931)=DAY(EOMONTH(F931,0))),30-DAY(EOMONTH(F931,0)),IF(DAY(F931)=31,1," "))," "))</f>
        <v xml:space="preserve"> </v>
      </c>
      <c r="B931" s="130" t="str">
        <f t="shared" si="71"/>
        <v xml:space="preserve"> </v>
      </c>
      <c r="C931" s="130" t="str">
        <f>IF(OR(B931=0,B931=" ")," ",SUM($B$23:B931))</f>
        <v xml:space="preserve"> </v>
      </c>
      <c r="D931" s="62" t="str">
        <f>IF(D930=" "," ",IF(OR(F930='депозитный калькулятор'!$D$8,F930=" ")," ",D930+1))</f>
        <v xml:space="preserve"> </v>
      </c>
      <c r="E931" s="130" t="str">
        <f>IF(OR(F930='депозитный калькулятор'!$D$8,F930=" ")," ",IF(EOMONTH(F930,0)=F930,1,E930+1))</f>
        <v xml:space="preserve"> </v>
      </c>
      <c r="F931" s="64" t="str">
        <f>IF(F930=" "," ",IF(F930='депозитный калькулятор'!$D$8," ",F930+1))</f>
        <v xml:space="preserve"> </v>
      </c>
      <c r="G931" s="145" t="str">
        <f xml:space="preserve"> IF(F931&gt;'депозитный калькулятор'!$D$8," ",IF('депозитный калькулятор'!$G$13="есть",IF('депозитный калькулятор'!$G$14="есть",G930+IF(I930=" ",0,I930)-J931-K931+L931+M931-N931,G930+IF(I930=" ",0,I930)-J931-K931+M931-N931),IF('депозитный калькулятор'!$G$14="есть",G930-J931-K931+L931+M931-N931,G930-J931-K931+M931-N931)))</f>
        <v xml:space="preserve"> </v>
      </c>
      <c r="H931" s="133" t="str">
        <f>IF(F931&gt;'депозитный калькулятор'!$D$8," ",IF(AND(OR('депозитный калькулятор'!$G$7="30/365",'депозитный калькулятор'!$G$7="30/360"),AND(MONTH(F931)=2,EOMONTH(F931,0)=F931)),IF(DAY(F931)=28,3*G931*'депозитный калькулятор'!$G$8,2*G931*'депозитный калькулятор'!$G$8),IF(AND(OR('депозитный калькулятор'!$G$7="30/365",'депозитный калькулятор'!$G$7="30/360"),DAY(F931)=31)," ",IF(AND('депозитный калькулятор'!$G$7="факт/факт",MOD(YEAR(F931),4)=0),G931*'депозитный калькулятор'!$D$11/366,G931*'депозитный калькулятор'!$G$8))))</f>
        <v xml:space="preserve"> </v>
      </c>
      <c r="I931" s="134" t="str">
        <f ca="1">IF(F931=" "," ",IF('депозитный калькулятор'!$G$10="ежедневное",H931,IF(AND('депозитный калькулятор'!$G$10="еженедельное",WEEKDAY(F931,2)=7),SUM(OFFSET(H931,-6,0):H931),IF(AND('депозитный калькулятор'!$G$10="еженедельное",F931='депозитный калькулятор'!$D$8),SUM($H$23:H931)-SUM($I$23:I930),IF(AND('депозитный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недели",WEEKDAY(F931,2)=7),MIN(OFFSET(H931,-6,0):H931)*(COUNTIF(OFFSET(H931,-6,0):H931,"&gt;0")+SUMIF(OFFSET(A931,-WEEKDAY(F931,2),0):A931,"=2",OFFSET(A931,-WEEKDAY(F931,2),0):A931)),IF(AND('депозитный калькулятор'!$G$10="еженедельное, на минимальную сумму зафиксированную в течение недели",F931='депозитный калькулятор'!$D$8,WEEKDAY(F931,2)&lt;&gt;7),MIN(OFFSET(H931,-WEEKDAY(F931,2),0):H931)*(COUNTIF(OFFSET(H931,-WEEKDAY(F931,2)+1,0):H931,"&gt;0")+SUM(OFFSET(A931,-WEEKDAY(F931,2),0):A931)),IF(AND('депозитный калькулятор'!$G$10="ежемесячное (в конце месяца)",F931='депозитный калькулятор'!$D$8,EOMONTH(F931,0)&lt;&gt;F931),IF('депозитный калькулятор'!$F$1=1,$H$24,SUM($H$23:H931)-SUM($I$23:I930)),IF(AND('депозитный калькулятор'!$G$10="ежемесячное (в конце месяца)",EOMONTH(F931,0)=F931),SUM($H$23:H931)-SUM($I$23:I930),IF(AND('депозитный калькулятор'!$G$10="ежемесячное (по дням открытия вклада)",F931='депозитный калькулятор'!$D$8,DAY('депозитный калькулятор'!$D$7)&lt;&gt;DAY(F931)),IF('депозитный калькулятор'!$F$1=1,$H$24,SUM($H$23:H931)-SUM($I$23:I930)),IF(AND('депозитный калькулятор'!$G$10="ежемесячное (по дням открытия вклада)",DAY('депозитный калькулятор'!$D$7)=DAY(F931)),SUM($H$23:H931)-SUM($I$23:I930),IF(AND('депозитный калькулятор'!$G$10="ежемесячное, на минимальную сумму зафиксированную в течение месяца",F931='депозитный калькулятор'!$D$8,EOMONTH(F931,0)&lt;&gt;F931),IF('депозитный калькулятор'!$F$1=1,$H$24,IF(AND(OR('депозитный калькулятор'!$G$7="30/365",'депозитный калькулятор'!$G$7="30/360"),DAY(F931)=31),0,MIN(OFFSET(H931,-E931+1,0):H931)*(E931+SUMIF(OFFSET(A931,-E931+1,0):A931,"=2",OFFSET(A931,-E931+1,0):A931)))),IF(AND('депозитный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калькулятор'!$G$7="30/360"),DAY(EOMONTH(F931,0))=31),EOMONTH(F931,0)-1=F931,EOMONTH(F931,0)=F931)),IF(IF(AND(OR('депозитный калькулятор'!$G$7="30/365",'депозитный калькулятор'!$G$7="30/360"),DAY(EOMONTH($F$23,0))=31),F931=EOMONTH($F$23,0)-1,F931=EOMONTH($F$23,0)),MIN(OFFSET(H931,-(DAY(F931)-DAY($F$23)),0):H931)*E931,MIN(OFFSET(H931,-(DAY(F931)-1),0):H931)*IF(AND(OR('депозитный калькулятор'!$G$7="30/365",'депозитный калькулятор'!$G$7="30/360"),DAY(F931)&lt;30),30,DAY(F931))),IF(AND('депозитный калькулятор'!$G$10="ежемесячное, на средний остаток в течение месяца, при условии что остаток больше чем ограничение",F931='депозитный калькулятор'!$D$8,EOMONTH(F931,0)&lt;&gt;F931),IF('депозитный калькулятор'!$F$1=1,$H$24,SUM(OFFSET(Q931,-E931+1,0):Q931)),IF(AND('депозитный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калькулятор'!$G$7="30/360"),DAY(EOMONTH(F931,0))=31),EOMONTH(F931,0)-1=F931,EOMONTH(F931,0)=F931)),IF(IF(AND(OR('депозитный калькулятор'!$G$7="30/365",'депозитный калькулятор'!$G$7="30/360"),DAY(EOMONTH($F$24,0))=31),F931=EOMONTH($F$24,0)-1,F931=EOMONTH($F$24,0)),SUM(OFFSET(Q931,-E931+1,0):Q931),SUM(OFFSET(Q931,-E931+1,0):Q931)),IF('депозитный калькулятор'!$G$10="ежеквартальное",IF(F931&gt;'депозитный калькулятор'!$D$8," ",IF(AND(EOMONTH(F931,0)=F931,OR(MONTH(F931)=3,MONTH(F931)=6,MONTH(F931)=9,MONTH(F931)=12)),IF(EDATE(F931,-3)&lt;'депозитный калькулятор'!$D$7,SUM($H$23:H931),IF(MOD(YEAR(F931),4)=0,IF(AND(EOMONTH(F931,0)=F931,OR(MONTH(F931)=3,MONTH(F931)=6)),SUM(OFFSET(H931,-90,0):H931),IF(AND(EOMONTH(F931,0)=F931,OR(MONTH(F931)=9,MONTH(F931)=12)),SUM(OFFSET(H931,-91,0):H931))),IF(AND(EOMONTH(F931,0)=F931,MONTH(F931)=3),SUM(OFFSET(H931,-89,0):H931),IF(AND(EOMONTH(F931,0)=F931,MONTH(F931)=6),SUM(OFFSET(H931,-90,0):H931),IF(AND(EOMONTH(F931,0)=F931,OR(MONTH(F931)=9,MONTH(F931)=12)),SUM(OFFSET(H931,-91,0):H931)))))),IF(F931='депозитный калькулятор'!$D$8,SUM($H$23:H931)-SUM($I$23:I930),0))),IF('депозитный калькулятор'!$G$10="ежегодное",IF(F931&gt;'депозитный калькулятор'!$D$8," ",IF(F931='депозитный калькулятор'!$D$8,SUM($H$23:H931)-SUM($I$23:I930),IF(AND(EOMONTH(F931,0)=F931,MONTH(F931)=12),IF(MOD(YEAR(F930),4)=0,IF(F931-'депозитный калькулятор'!$D$7&lt;366,SUM($H$23:H931),SUM(OFFSET(H931,-365,0):H931)),IF(F931-'депозитный калькулятор'!$D$7&lt;365,SUM($H$23:H931),SUM(OFFSET(H931,-364,0):H931))),0))),IF(AND('депозитный калькулятор'!$G$10="в конце срока",'депозитный калькулятор'!$D$8=F931),SUM($H$23:H931),0))))))))))))))))))</f>
        <v xml:space="preserve"> </v>
      </c>
      <c r="J931" s="59" t="str">
        <f>IF(F931&gt;'депозитный калькулятор'!$D$8," ",IF('депозитный калькулятор'!$G$16="нет",0,IF(AND('депозитный калькулятор'!$G$17="разовая (в конце срока)",F931='депозитный калькулятор'!$D$8),'депозитный калькулятор'!$G$18,IF(AND('депозитный калькулятор'!$G$17="ежемесячная",EOMONTH(F930,0)=F930),'депозитный калькулятор'!$G$18,IF(AND('депозитный калькулятор'!$G$17="ежегодная",DAY(F930)=31,MONTH(F930)=12),'депозитный калькулятор'!$G$18,IF(AND('депозитный калькулятор'!$G$17="ежемесячная в зависимости от остатка",EOMONTH(F930,0)=F930,P930&gt;0),'депозитный калькулятор'!$G$18,IF(AND('депозитный калькулятор'!$G$17="ежегодная в зависимости от остатка",DAY(F930)=31,MONTH(F930)=12,P930&gt;0),'депозитный калькулятор'!$G$18,0)))))))</f>
        <v xml:space="preserve"> </v>
      </c>
      <c r="K931" s="135" t="str">
        <f>IF($F931=" "," ",IFERROR(VLOOKUP($F931,'депозитный калькулятор'!$B$26:$F$70,2,0),0))</f>
        <v xml:space="preserve"> </v>
      </c>
      <c r="L931" s="135" t="str">
        <f>IF($F931=" "," ",IFERROR(VLOOKUP($F931,'депозитный калькулятор'!$B$26:$F$70,3,0),0))</f>
        <v xml:space="preserve"> </v>
      </c>
      <c r="M931" s="135" t="str">
        <f>IF($F931=" "," ",IFERROR(VLOOKUP($F931,'депозитный калькулятор'!$B$26:$F$70,4,0),0))</f>
        <v xml:space="preserve"> </v>
      </c>
      <c r="N931" s="135" t="str">
        <f>IF($F931=" "," ",IFERROR(VLOOKUP($F931,'депозитный калькулятор'!$B$26:$F$70,5,0),0))</f>
        <v xml:space="preserve"> </v>
      </c>
      <c r="O931" s="146" t="str">
        <f>IF(F931&gt;'депозитный калькулятор'!$D$8," ",IF(F931='депозитный калькулятор'!$D$8,IF(AND($F$24='депозитный калькулятор'!$D$8,'депозитный калькулятор'!$G$13="нет"),-G931-IF(I931=" ",0,I931)-IF(AND(OR('депозитный калькулятор'!$G$7="30/365",'депозитный калькулятор'!$G$7="30/360"),'депозитный калькулятор'!$G$10="в начале срока"),I930,0)-L931+M931-N931,-G931-IF(I931=" ",0,I931)-L931+M931-N931),IF('депозитный калькулятор'!$G$13="есть",M931-N931+IF('депозитный калькулятор'!$G$14="есть",0,-L931),-IF(I931=" ",0,I931)-IF(AND(OR('депозитный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срока"),I930,0)+M931-N931+IF('депозитный калькулятор'!$G$14="есть",0,-L931))))</f>
        <v xml:space="preserve"> </v>
      </c>
      <c r="P931" s="147" t="str">
        <f>IF(F931&gt;'депозитный калькулятор'!$D$8," ",IF(EOMONTH(F930,0)=F930,0,IF(G931&gt;='депозитный калькулятор'!$G$19,P930,P930+1)))</f>
        <v xml:space="preserve"> </v>
      </c>
      <c r="Q931" s="138" t="str">
        <f>IF(F931=" "," ",IF(AND(OR('депозитный калькулятор'!$G$7="30/365",'депозитный калькулятор'!$G$7="30/360"),AND(MONTH(F931)=2,EOMONTH(F931,0)=F931)),IF(DAY(F931)=28,3,2),1)*IF(G931&gt;='депозитный калькулятор'!$G$11,IF(AND('депозитный калькулятор'!$G$7="факт/факт",MOD(YEAR(F931),4)=0),G931*'депозитный калькулятор'!$D$11/366,G931*'депозитный калькулятор'!$G$8),0))</f>
        <v xml:space="preserve"> </v>
      </c>
      <c r="S931" s="62" t="str">
        <f t="shared" ca="1" si="72"/>
        <v xml:space="preserve"> </v>
      </c>
      <c r="T931" s="149" t="str">
        <f ca="1">IF(S931=" "," ",IF('депозитный калькулятор'!$G$7="30/360",DAYS360(U930,IF(DAY(U931)=31,U931-1,U931))+IF(AND(MONTH(U931)=2,U931=EOMONTH(U931,0)),30-DAY(EOMONTH(U931,0)))+T930,VLOOKUP(S931,$C$22:$F$1023,2,0)))</f>
        <v xml:space="preserve"> </v>
      </c>
      <c r="U931" s="64" t="str">
        <f t="shared" ca="1" si="70"/>
        <v xml:space="preserve"> </v>
      </c>
      <c r="V931" s="150" t="str">
        <f t="shared" ca="1" si="73"/>
        <v xml:space="preserve"> </v>
      </c>
      <c r="W931" s="62" t="str">
        <f t="shared" ca="1" si="74"/>
        <v xml:space="preserve"> </v>
      </c>
      <c r="X931" s="141" t="str">
        <f ca="1">IF(S931=" "," ",IFERROR(VLOOKUP(U931,$F$23:$N$1023,7)+VLOOKUP(U931,$F$23:$N$1023,9)+IF(AND('депозитный калькулятор'!$G$13="нет",U931&lt;&gt;'депозитный калькулятор'!$D$8),VLOOKUP(U931,$F$23:$N$1023,4),0),0)+IF(U931='депозитный калькулятор'!$D$8,VLOOKUP(U931,$F$23:$N$1023,2)+VLOOKUP(U931,$F$23:$N$1023,4),0))</f>
        <v xml:space="preserve"> </v>
      </c>
      <c r="Y931" s="142" t="str">
        <f ca="1">IF(S931=" "," ",W931/(1+'депозитный калькулятор'!$K$8)^(T931/IF('депозитный калькулятор'!$G$7="30/360",360,365)))</f>
        <v xml:space="preserve"> </v>
      </c>
      <c r="Z931" s="142" t="str">
        <f ca="1">IF(S931=" "," ",X931/(1+'депозитный калькулятор'!$K$8)^(T931/IF('депозитный калькулятор'!$G$7="30/360",360,365)))</f>
        <v xml:space="preserve"> </v>
      </c>
      <c r="AA931" s="151"/>
      <c r="AB931" s="151"/>
      <c r="AC931" s="155"/>
      <c r="AD931" s="155"/>
    </row>
    <row r="932" spans="1:30" s="2" customFormat="1" ht="15.5" x14ac:dyDescent="0.35">
      <c r="A932" s="41" t="str">
        <f>IF(F932=" "," ",IF(OR('депозитный калькулятор'!$G$7="30/365",'депозитный калькулятор'!$G$7="30/360"),IF(AND(MONTH(F932)=2,DAY(F932)=DAY(EOMONTH(F932,0))),30-DAY(EOMONTH(F932,0)),IF(DAY(F932)=31,1," "))," "))</f>
        <v xml:space="preserve"> </v>
      </c>
      <c r="B932" s="130" t="str">
        <f t="shared" si="71"/>
        <v xml:space="preserve"> </v>
      </c>
      <c r="C932" s="130" t="str">
        <f>IF(OR(B932=0,B932=" ")," ",SUM($B$23:B932))</f>
        <v xml:space="preserve"> </v>
      </c>
      <c r="D932" s="62" t="str">
        <f>IF(D931=" "," ",IF(OR(F931='депозитный калькулятор'!$D$8,F931=" ")," ",D931+1))</f>
        <v xml:space="preserve"> </v>
      </c>
      <c r="E932" s="130" t="str">
        <f>IF(OR(F931='депозитный калькулятор'!$D$8,F931=" ")," ",IF(EOMONTH(F931,0)=F931,1,E931+1))</f>
        <v xml:space="preserve"> </v>
      </c>
      <c r="F932" s="64" t="str">
        <f>IF(F931=" "," ",IF(F931='депозитный калькулятор'!$D$8," ",F931+1))</f>
        <v xml:space="preserve"> </v>
      </c>
      <c r="G932" s="145" t="str">
        <f xml:space="preserve"> IF(F932&gt;'депозитный калькулятор'!$D$8," ",IF('депозитный калькулятор'!$G$13="есть",IF('депозитный калькулятор'!$G$14="есть",G931+IF(I931=" ",0,I931)-J932-K932+L932+M932-N932,G931+IF(I931=" ",0,I931)-J932-K932+M932-N932),IF('депозитный калькулятор'!$G$14="есть",G931-J932-K932+L932+M932-N932,G931-J932-K932+M932-N932)))</f>
        <v xml:space="preserve"> </v>
      </c>
      <c r="H932" s="133" t="str">
        <f>IF(F932&gt;'депозитный калькулятор'!$D$8," ",IF(AND(OR('депозитный калькулятор'!$G$7="30/365",'депозитный калькулятор'!$G$7="30/360"),AND(MONTH(F932)=2,EOMONTH(F932,0)=F932)),IF(DAY(F932)=28,3*G932*'депозитный калькулятор'!$G$8,2*G932*'депозитный калькулятор'!$G$8),IF(AND(OR('депозитный калькулятор'!$G$7="30/365",'депозитный калькулятор'!$G$7="30/360"),DAY(F932)=31)," ",IF(AND('депозитный калькулятор'!$G$7="факт/факт",MOD(YEAR(F932),4)=0),G932*'депозитный калькулятор'!$D$11/366,G932*'депозитный калькулятор'!$G$8))))</f>
        <v xml:space="preserve"> </v>
      </c>
      <c r="I932" s="134" t="str">
        <f ca="1">IF(F932=" "," ",IF('депозитный калькулятор'!$G$10="ежедневное",H932,IF(AND('депозитный калькулятор'!$G$10="еженедельное",WEEKDAY(F932,2)=7),SUM(OFFSET(H932,-6,0):H932),IF(AND('депозитный калькулятор'!$G$10="еженедельное",F932='депозитный калькулятор'!$D$8),SUM($H$23:H932)-SUM($I$23:I931),IF(AND('депозитный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недели",WEEKDAY(F932,2)=7),MIN(OFFSET(H932,-6,0):H932)*(COUNTIF(OFFSET(H932,-6,0):H932,"&gt;0")+SUMIF(OFFSET(A932,-WEEKDAY(F932,2),0):A932,"=2",OFFSET(A932,-WEEKDAY(F932,2),0):A932)),IF(AND('депозитный калькулятор'!$G$10="еженедельное, на минимальную сумму зафиксированную в течение недели",F932='депозитный калькулятор'!$D$8,WEEKDAY(F932,2)&lt;&gt;7),MIN(OFFSET(H932,-WEEKDAY(F932,2),0):H932)*(COUNTIF(OFFSET(H932,-WEEKDAY(F932,2)+1,0):H932,"&gt;0")+SUM(OFFSET(A932,-WEEKDAY(F932,2),0):A932)),IF(AND('депозитный калькулятор'!$G$10="ежемесячное (в конце месяца)",F932='депозитный калькулятор'!$D$8,EOMONTH(F932,0)&lt;&gt;F932),IF('депозитный калькулятор'!$F$1=1,$H$24,SUM($H$23:H932)-SUM($I$23:I931)),IF(AND('депозитный калькулятор'!$G$10="ежемесячное (в конце месяца)",EOMONTH(F932,0)=F932),SUM($H$23:H932)-SUM($I$23:I931),IF(AND('депозитный калькулятор'!$G$10="ежемесячное (по дням открытия вклада)",F932='депозитный калькулятор'!$D$8,DAY('депозитный калькулятор'!$D$7)&lt;&gt;DAY(F932)),IF('депозитный калькулятор'!$F$1=1,$H$24,SUM($H$23:H932)-SUM($I$23:I931)),IF(AND('депозитный калькулятор'!$G$10="ежемесячное (по дням открытия вклада)",DAY('депозитный калькулятор'!$D$7)=DAY(F932)),SUM($H$23:H932)-SUM($I$23:I931),IF(AND('депозитный калькулятор'!$G$10="ежемесячное, на минимальную сумму зафиксированную в течение месяца",F932='депозитный калькулятор'!$D$8,EOMONTH(F932,0)&lt;&gt;F932),IF('депозитный калькулятор'!$F$1=1,$H$24,IF(AND(OR('депозитный калькулятор'!$G$7="30/365",'депозитный калькулятор'!$G$7="30/360"),DAY(F932)=31),0,MIN(OFFSET(H932,-E932+1,0):H932)*(E932+SUMIF(OFFSET(A932,-E932+1,0):A932,"=2",OFFSET(A932,-E932+1,0):A932)))),IF(AND('депозитный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калькулятор'!$G$7="30/360"),DAY(EOMONTH(F932,0))=31),EOMONTH(F932,0)-1=F932,EOMONTH(F932,0)=F932)),IF(IF(AND(OR('депозитный калькулятор'!$G$7="30/365",'депозитный калькулятор'!$G$7="30/360"),DAY(EOMONTH($F$23,0))=31),F932=EOMONTH($F$23,0)-1,F932=EOMONTH($F$23,0)),MIN(OFFSET(H932,-(DAY(F932)-DAY($F$23)),0):H932)*E932,MIN(OFFSET(H932,-(DAY(F932)-1),0):H932)*IF(AND(OR('депозитный калькулятор'!$G$7="30/365",'депозитный калькулятор'!$G$7="30/360"),DAY(F932)&lt;30),30,DAY(F932))),IF(AND('депозитный калькулятор'!$G$10="ежемесячное, на средний остаток в течение месяца, при условии что остаток больше чем ограничение",F932='депозитный калькулятор'!$D$8,EOMONTH(F932,0)&lt;&gt;F932),IF('депозитный калькулятор'!$F$1=1,$H$24,SUM(OFFSET(Q932,-E932+1,0):Q932)),IF(AND('депозитный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калькулятор'!$G$7="30/360"),DAY(EOMONTH(F932,0))=31),EOMONTH(F932,0)-1=F932,EOMONTH(F932,0)=F932)),IF(IF(AND(OR('депозитный калькулятор'!$G$7="30/365",'депозитный калькулятор'!$G$7="30/360"),DAY(EOMONTH($F$24,0))=31),F932=EOMONTH($F$24,0)-1,F932=EOMONTH($F$24,0)),SUM(OFFSET(Q932,-E932+1,0):Q932),SUM(OFFSET(Q932,-E932+1,0):Q932)),IF('депозитный калькулятор'!$G$10="ежеквартальное",IF(F932&gt;'депозитный калькулятор'!$D$8," ",IF(AND(EOMONTH(F932,0)=F932,OR(MONTH(F932)=3,MONTH(F932)=6,MONTH(F932)=9,MONTH(F932)=12)),IF(EDATE(F932,-3)&lt;'депозитный калькулятор'!$D$7,SUM($H$23:H932),IF(MOD(YEAR(F932),4)=0,IF(AND(EOMONTH(F932,0)=F932,OR(MONTH(F932)=3,MONTH(F932)=6)),SUM(OFFSET(H932,-90,0):H932),IF(AND(EOMONTH(F932,0)=F932,OR(MONTH(F932)=9,MONTH(F932)=12)),SUM(OFFSET(H932,-91,0):H932))),IF(AND(EOMONTH(F932,0)=F932,MONTH(F932)=3),SUM(OFFSET(H932,-89,0):H932),IF(AND(EOMONTH(F932,0)=F932,MONTH(F932)=6),SUM(OFFSET(H932,-90,0):H932),IF(AND(EOMONTH(F932,0)=F932,OR(MONTH(F932)=9,MONTH(F932)=12)),SUM(OFFSET(H932,-91,0):H932)))))),IF(F932='депозитный калькулятор'!$D$8,SUM($H$23:H932)-SUM($I$23:I931),0))),IF('депозитный калькулятор'!$G$10="ежегодное",IF(F932&gt;'депозитный калькулятор'!$D$8," ",IF(F932='депозитный калькулятор'!$D$8,SUM($H$23:H932)-SUM($I$23:I931),IF(AND(EOMONTH(F932,0)=F932,MONTH(F932)=12),IF(MOD(YEAR(F931),4)=0,IF(F932-'депозитный калькулятор'!$D$7&lt;366,SUM($H$23:H932),SUM(OFFSET(H932,-365,0):H932)),IF(F932-'депозитный калькулятор'!$D$7&lt;365,SUM($H$23:H932),SUM(OFFSET(H932,-364,0):H932))),0))),IF(AND('депозитный калькулятор'!$G$10="в конце срока",'депозитный калькулятор'!$D$8=F932),SUM($H$23:H932),0))))))))))))))))))</f>
        <v xml:space="preserve"> </v>
      </c>
      <c r="J932" s="59" t="str">
        <f>IF(F932&gt;'депозитный калькулятор'!$D$8," ",IF('депозитный калькулятор'!$G$16="нет",0,IF(AND('депозитный калькулятор'!$G$17="разовая (в конце срока)",F932='депозитный калькулятор'!$D$8),'депозитный калькулятор'!$G$18,IF(AND('депозитный калькулятор'!$G$17="ежемесячная",EOMONTH(F931,0)=F931),'депозитный калькулятор'!$G$18,IF(AND('депозитный калькулятор'!$G$17="ежегодная",DAY(F931)=31,MONTH(F931)=12),'депозитный калькулятор'!$G$18,IF(AND('депозитный калькулятор'!$G$17="ежемесячная в зависимости от остатка",EOMONTH(F931,0)=F931,P931&gt;0),'депозитный калькулятор'!$G$18,IF(AND('депозитный калькулятор'!$G$17="ежегодная в зависимости от остатка",DAY(F931)=31,MONTH(F931)=12,P931&gt;0),'депозитный калькулятор'!$G$18,0)))))))</f>
        <v xml:space="preserve"> </v>
      </c>
      <c r="K932" s="135" t="str">
        <f>IF($F932=" "," ",IFERROR(VLOOKUP($F932,'депозитный калькулятор'!$B$26:$F$70,2,0),0))</f>
        <v xml:space="preserve"> </v>
      </c>
      <c r="L932" s="135" t="str">
        <f>IF($F932=" "," ",IFERROR(VLOOKUP($F932,'депозитный калькулятор'!$B$26:$F$70,3,0),0))</f>
        <v xml:space="preserve"> </v>
      </c>
      <c r="M932" s="135" t="str">
        <f>IF($F932=" "," ",IFERROR(VLOOKUP($F932,'депозитный калькулятор'!$B$26:$F$70,4,0),0))</f>
        <v xml:space="preserve"> </v>
      </c>
      <c r="N932" s="135" t="str">
        <f>IF($F932=" "," ",IFERROR(VLOOKUP($F932,'депозитный калькулятор'!$B$26:$F$70,5,0),0))</f>
        <v xml:space="preserve"> </v>
      </c>
      <c r="O932" s="146" t="str">
        <f>IF(F932&gt;'депозитный калькулятор'!$D$8," ",IF(F932='депозитный калькулятор'!$D$8,IF(AND($F$24='депозитный калькулятор'!$D$8,'депозитный калькулятор'!$G$13="нет"),-G932-IF(I932=" ",0,I932)-IF(AND(OR('депозитный калькулятор'!$G$7="30/365",'депозитный калькулятор'!$G$7="30/360"),'депозитный калькулятор'!$G$10="в начале срока"),I931,0)-L932+M932-N932,-G932-IF(I932=" ",0,I932)-L932+M932-N932),IF('депозитный калькулятор'!$G$13="есть",M932-N932+IF('депозитный калькулятор'!$G$14="есть",0,-L932),-IF(I932=" ",0,I932)-IF(AND(OR('депозитный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срока"),I931,0)+M932-N932+IF('депозитный калькулятор'!$G$14="есть",0,-L932))))</f>
        <v xml:space="preserve"> </v>
      </c>
      <c r="P932" s="147" t="str">
        <f>IF(F932&gt;'депозитный калькулятор'!$D$8," ",IF(EOMONTH(F931,0)=F931,0,IF(G932&gt;='депозитный калькулятор'!$G$19,P931,P931+1)))</f>
        <v xml:space="preserve"> </v>
      </c>
      <c r="Q932" s="138" t="str">
        <f>IF(F932=" "," ",IF(AND(OR('депозитный калькулятор'!$G$7="30/365",'депозитный калькулятор'!$G$7="30/360"),AND(MONTH(F932)=2,EOMONTH(F932,0)=F932)),IF(DAY(F932)=28,3,2),1)*IF(G932&gt;='депозитный калькулятор'!$G$11,IF(AND('депозитный калькулятор'!$G$7="факт/факт",MOD(YEAR(F932),4)=0),G932*'депозитный калькулятор'!$D$11/366,G932*'депозитный калькулятор'!$G$8),0))</f>
        <v xml:space="preserve"> </v>
      </c>
      <c r="S932" s="62" t="str">
        <f t="shared" ca="1" si="72"/>
        <v xml:space="preserve"> </v>
      </c>
      <c r="T932" s="149" t="str">
        <f ca="1">IF(S932=" "," ",IF('депозитный калькулятор'!$G$7="30/360",DAYS360(U931,IF(DAY(U932)=31,U932-1,U932))+IF(AND(MONTH(U932)=2,U932=EOMONTH(U932,0)),30-DAY(EOMONTH(U932,0)))+T931,VLOOKUP(S932,$C$22:$F$1023,2,0)))</f>
        <v xml:space="preserve"> </v>
      </c>
      <c r="U932" s="64" t="str">
        <f t="shared" ca="1" si="70"/>
        <v xml:space="preserve"> </v>
      </c>
      <c r="V932" s="150" t="str">
        <f t="shared" ca="1" si="73"/>
        <v xml:space="preserve"> </v>
      </c>
      <c r="W932" s="62" t="str">
        <f t="shared" ca="1" si="74"/>
        <v xml:space="preserve"> </v>
      </c>
      <c r="X932" s="141" t="str">
        <f ca="1">IF(S932=" "," ",IFERROR(VLOOKUP(U932,$F$23:$N$1023,7)+VLOOKUP(U932,$F$23:$N$1023,9)+IF(AND('депозитный калькулятор'!$G$13="нет",U932&lt;&gt;'депозитный калькулятор'!$D$8),VLOOKUP(U932,$F$23:$N$1023,4),0),0)+IF(U932='депозитный калькулятор'!$D$8,VLOOKUP(U932,$F$23:$N$1023,2)+VLOOKUP(U932,$F$23:$N$1023,4),0))</f>
        <v xml:space="preserve"> </v>
      </c>
      <c r="Y932" s="142" t="str">
        <f ca="1">IF(S932=" "," ",W932/(1+'депозитный калькулятор'!$K$8)^(T932/IF('депозитный калькулятор'!$G$7="30/360",360,365)))</f>
        <v xml:space="preserve"> </v>
      </c>
      <c r="Z932" s="142" t="str">
        <f ca="1">IF(S932=" "," ",X932/(1+'депозитный калькулятор'!$K$8)^(T932/IF('депозитный калькулятор'!$G$7="30/360",360,365)))</f>
        <v xml:space="preserve"> </v>
      </c>
      <c r="AA932" s="151"/>
      <c r="AB932" s="151"/>
      <c r="AC932" s="155"/>
      <c r="AD932" s="155"/>
    </row>
    <row r="933" spans="1:30" s="2" customFormat="1" ht="15.5" x14ac:dyDescent="0.35">
      <c r="A933" s="41" t="str">
        <f>IF(F933=" "," ",IF(OR('депозитный калькулятор'!$G$7="30/365",'депозитный калькулятор'!$G$7="30/360"),IF(AND(MONTH(F933)=2,DAY(F933)=DAY(EOMONTH(F933,0))),30-DAY(EOMONTH(F933,0)),IF(DAY(F933)=31,1," "))," "))</f>
        <v xml:space="preserve"> </v>
      </c>
      <c r="B933" s="130" t="str">
        <f t="shared" si="71"/>
        <v xml:space="preserve"> </v>
      </c>
      <c r="C933" s="130" t="str">
        <f>IF(OR(B933=0,B933=" ")," ",SUM($B$23:B933))</f>
        <v xml:space="preserve"> </v>
      </c>
      <c r="D933" s="62" t="str">
        <f>IF(D932=" "," ",IF(OR(F932='депозитный калькулятор'!$D$8,F932=" ")," ",D932+1))</f>
        <v xml:space="preserve"> </v>
      </c>
      <c r="E933" s="130" t="str">
        <f>IF(OR(F932='депозитный калькулятор'!$D$8,F932=" ")," ",IF(EOMONTH(F932,0)=F932,1,E932+1))</f>
        <v xml:space="preserve"> </v>
      </c>
      <c r="F933" s="64" t="str">
        <f>IF(F932=" "," ",IF(F932='депозитный калькулятор'!$D$8," ",F932+1))</f>
        <v xml:space="preserve"> </v>
      </c>
      <c r="G933" s="145" t="str">
        <f xml:space="preserve"> IF(F933&gt;'депозитный калькулятор'!$D$8," ",IF('депозитный калькулятор'!$G$13="есть",IF('депозитный калькулятор'!$G$14="есть",G932+IF(I932=" ",0,I932)-J933-K933+L933+M933-N933,G932+IF(I932=" ",0,I932)-J933-K933+M933-N933),IF('депозитный калькулятор'!$G$14="есть",G932-J933-K933+L933+M933-N933,G932-J933-K933+M933-N933)))</f>
        <v xml:space="preserve"> </v>
      </c>
      <c r="H933" s="133" t="str">
        <f>IF(F933&gt;'депозитный калькулятор'!$D$8," ",IF(AND(OR('депозитный калькулятор'!$G$7="30/365",'депозитный калькулятор'!$G$7="30/360"),AND(MONTH(F933)=2,EOMONTH(F933,0)=F933)),IF(DAY(F933)=28,3*G933*'депозитный калькулятор'!$G$8,2*G933*'депозитный калькулятор'!$G$8),IF(AND(OR('депозитный калькулятор'!$G$7="30/365",'депозитный калькулятор'!$G$7="30/360"),DAY(F933)=31)," ",IF(AND('депозитный калькулятор'!$G$7="факт/факт",MOD(YEAR(F933),4)=0),G933*'депозитный калькулятор'!$D$11/366,G933*'депозитный калькулятор'!$G$8))))</f>
        <v xml:space="preserve"> </v>
      </c>
      <c r="I933" s="134" t="str">
        <f ca="1">IF(F933=" "," ",IF('депозитный калькулятор'!$G$10="ежедневное",H933,IF(AND('депозитный калькулятор'!$G$10="еженедельное",WEEKDAY(F933,2)=7),SUM(OFFSET(H933,-6,0):H933),IF(AND('депозитный калькулятор'!$G$10="еженедельное",F933='депозитный калькулятор'!$D$8),SUM($H$23:H933)-SUM($I$23:I932),IF(AND('депозитный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недели",WEEKDAY(F933,2)=7),MIN(OFFSET(H933,-6,0):H933)*(COUNTIF(OFFSET(H933,-6,0):H933,"&gt;0")+SUMIF(OFFSET(A933,-WEEKDAY(F933,2),0):A933,"=2",OFFSET(A933,-WEEKDAY(F933,2),0):A933)),IF(AND('депозитный калькулятор'!$G$10="еженедельное, на минимальную сумму зафиксированную в течение недели",F933='депозитный калькулятор'!$D$8,WEEKDAY(F933,2)&lt;&gt;7),MIN(OFFSET(H933,-WEEKDAY(F933,2),0):H933)*(COUNTIF(OFFSET(H933,-WEEKDAY(F933,2)+1,0):H933,"&gt;0")+SUM(OFFSET(A933,-WEEKDAY(F933,2),0):A933)),IF(AND('депозитный калькулятор'!$G$10="ежемесячное (в конце месяца)",F933='депозитный калькулятор'!$D$8,EOMONTH(F933,0)&lt;&gt;F933),IF('депозитный калькулятор'!$F$1=1,$H$24,SUM($H$23:H933)-SUM($I$23:I932)),IF(AND('депозитный калькулятор'!$G$10="ежемесячное (в конце месяца)",EOMONTH(F933,0)=F933),SUM($H$23:H933)-SUM($I$23:I932),IF(AND('депозитный калькулятор'!$G$10="ежемесячное (по дням открытия вклада)",F933='депозитный калькулятор'!$D$8,DAY('депозитный калькулятор'!$D$7)&lt;&gt;DAY(F933)),IF('депозитный калькулятор'!$F$1=1,$H$24,SUM($H$23:H933)-SUM($I$23:I932)),IF(AND('депозитный калькулятор'!$G$10="ежемесячное (по дням открытия вклада)",DAY('депозитный калькулятор'!$D$7)=DAY(F933)),SUM($H$23:H933)-SUM($I$23:I932),IF(AND('депозитный калькулятор'!$G$10="ежемесячное, на минимальную сумму зафиксированную в течение месяца",F933='депозитный калькулятор'!$D$8,EOMONTH(F933,0)&lt;&gt;F933),IF('депозитный калькулятор'!$F$1=1,$H$24,IF(AND(OR('депозитный калькулятор'!$G$7="30/365",'депозитный калькулятор'!$G$7="30/360"),DAY(F933)=31),0,MIN(OFFSET(H933,-E933+1,0):H933)*(E933+SUMIF(OFFSET(A933,-E933+1,0):A933,"=2",OFFSET(A933,-E933+1,0):A933)))),IF(AND('депозитный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калькулятор'!$G$7="30/360"),DAY(EOMONTH(F933,0))=31),EOMONTH(F933,0)-1=F933,EOMONTH(F933,0)=F933)),IF(IF(AND(OR('депозитный калькулятор'!$G$7="30/365",'депозитный калькулятор'!$G$7="30/360"),DAY(EOMONTH($F$23,0))=31),F933=EOMONTH($F$23,0)-1,F933=EOMONTH($F$23,0)),MIN(OFFSET(H933,-(DAY(F933)-DAY($F$23)),0):H933)*E933,MIN(OFFSET(H933,-(DAY(F933)-1),0):H933)*IF(AND(OR('депозитный калькулятор'!$G$7="30/365",'депозитный калькулятор'!$G$7="30/360"),DAY(F933)&lt;30),30,DAY(F933))),IF(AND('депозитный калькулятор'!$G$10="ежемесячное, на средний остаток в течение месяца, при условии что остаток больше чем ограничение",F933='депозитный калькулятор'!$D$8,EOMONTH(F933,0)&lt;&gt;F933),IF('депозитный калькулятор'!$F$1=1,$H$24,SUM(OFFSET(Q933,-E933+1,0):Q933)),IF(AND('депозитный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калькулятор'!$G$7="30/360"),DAY(EOMONTH(F933,0))=31),EOMONTH(F933,0)-1=F933,EOMONTH(F933,0)=F933)),IF(IF(AND(OR('депозитный калькулятор'!$G$7="30/365",'депозитный калькулятор'!$G$7="30/360"),DAY(EOMONTH($F$24,0))=31),F933=EOMONTH($F$24,0)-1,F933=EOMONTH($F$24,0)),SUM(OFFSET(Q933,-E933+1,0):Q933),SUM(OFFSET(Q933,-E933+1,0):Q933)),IF('депозитный калькулятор'!$G$10="ежеквартальное",IF(F933&gt;'депозитный калькулятор'!$D$8," ",IF(AND(EOMONTH(F933,0)=F933,OR(MONTH(F933)=3,MONTH(F933)=6,MONTH(F933)=9,MONTH(F933)=12)),IF(EDATE(F933,-3)&lt;'депозитный калькулятор'!$D$7,SUM($H$23:H933),IF(MOD(YEAR(F933),4)=0,IF(AND(EOMONTH(F933,0)=F933,OR(MONTH(F933)=3,MONTH(F933)=6)),SUM(OFFSET(H933,-90,0):H933),IF(AND(EOMONTH(F933,0)=F933,OR(MONTH(F933)=9,MONTH(F933)=12)),SUM(OFFSET(H933,-91,0):H933))),IF(AND(EOMONTH(F933,0)=F933,MONTH(F933)=3),SUM(OFFSET(H933,-89,0):H933),IF(AND(EOMONTH(F933,0)=F933,MONTH(F933)=6),SUM(OFFSET(H933,-90,0):H933),IF(AND(EOMONTH(F933,0)=F933,OR(MONTH(F933)=9,MONTH(F933)=12)),SUM(OFFSET(H933,-91,0):H933)))))),IF(F933='депозитный калькулятор'!$D$8,SUM($H$23:H933)-SUM($I$23:I932),0))),IF('депозитный калькулятор'!$G$10="ежегодное",IF(F933&gt;'депозитный калькулятор'!$D$8," ",IF(F933='депозитный калькулятор'!$D$8,SUM($H$23:H933)-SUM($I$23:I932),IF(AND(EOMONTH(F933,0)=F933,MONTH(F933)=12),IF(MOD(YEAR(F932),4)=0,IF(F933-'депозитный калькулятор'!$D$7&lt;366,SUM($H$23:H933),SUM(OFFSET(H933,-365,0):H933)),IF(F933-'депозитный калькулятор'!$D$7&lt;365,SUM($H$23:H933),SUM(OFFSET(H933,-364,0):H933))),0))),IF(AND('депозитный калькулятор'!$G$10="в конце срока",'депозитный калькулятор'!$D$8=F933),SUM($H$23:H933),0))))))))))))))))))</f>
        <v xml:space="preserve"> </v>
      </c>
      <c r="J933" s="59" t="str">
        <f>IF(F933&gt;'депозитный калькулятор'!$D$8," ",IF('депозитный калькулятор'!$G$16="нет",0,IF(AND('депозитный калькулятор'!$G$17="разовая (в конце срока)",F933='депозитный калькулятор'!$D$8),'депозитный калькулятор'!$G$18,IF(AND('депозитный калькулятор'!$G$17="ежемесячная",EOMONTH(F932,0)=F932),'депозитный калькулятор'!$G$18,IF(AND('депозитный калькулятор'!$G$17="ежегодная",DAY(F932)=31,MONTH(F932)=12),'депозитный калькулятор'!$G$18,IF(AND('депозитный калькулятор'!$G$17="ежемесячная в зависимости от остатка",EOMONTH(F932,0)=F932,P932&gt;0),'депозитный калькулятор'!$G$18,IF(AND('депозитный калькулятор'!$G$17="ежегодная в зависимости от остатка",DAY(F932)=31,MONTH(F932)=12,P932&gt;0),'депозитный калькулятор'!$G$18,0)))))))</f>
        <v xml:space="preserve"> </v>
      </c>
      <c r="K933" s="135" t="str">
        <f>IF($F933=" "," ",IFERROR(VLOOKUP($F933,'депозитный калькулятор'!$B$26:$F$70,2,0),0))</f>
        <v xml:space="preserve"> </v>
      </c>
      <c r="L933" s="135" t="str">
        <f>IF($F933=" "," ",IFERROR(VLOOKUP($F933,'депозитный калькулятор'!$B$26:$F$70,3,0),0))</f>
        <v xml:space="preserve"> </v>
      </c>
      <c r="M933" s="135" t="str">
        <f>IF($F933=" "," ",IFERROR(VLOOKUP($F933,'депозитный калькулятор'!$B$26:$F$70,4,0),0))</f>
        <v xml:space="preserve"> </v>
      </c>
      <c r="N933" s="135" t="str">
        <f>IF($F933=" "," ",IFERROR(VLOOKUP($F933,'депозитный калькулятор'!$B$26:$F$70,5,0),0))</f>
        <v xml:space="preserve"> </v>
      </c>
      <c r="O933" s="146" t="str">
        <f>IF(F933&gt;'депозитный калькулятор'!$D$8," ",IF(F933='депозитный калькулятор'!$D$8,IF(AND($F$24='депозитный калькулятор'!$D$8,'депозитный калькулятор'!$G$13="нет"),-G933-IF(I933=" ",0,I933)-IF(AND(OR('депозитный калькулятор'!$G$7="30/365",'депозитный калькулятор'!$G$7="30/360"),'депозитный калькулятор'!$G$10="в начале срока"),I932,0)-L933+M933-N933,-G933-IF(I933=" ",0,I933)-L933+M933-N933),IF('депозитный калькулятор'!$G$13="есть",M933-N933+IF('депозитный калькулятор'!$G$14="есть",0,-L933),-IF(I933=" ",0,I933)-IF(AND(OR('депозитный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срока"),I932,0)+M933-N933+IF('депозитный калькулятор'!$G$14="есть",0,-L933))))</f>
        <v xml:space="preserve"> </v>
      </c>
      <c r="P933" s="147" t="str">
        <f>IF(F933&gt;'депозитный калькулятор'!$D$8," ",IF(EOMONTH(F932,0)=F932,0,IF(G933&gt;='депозитный калькулятор'!$G$19,P932,P932+1)))</f>
        <v xml:space="preserve"> </v>
      </c>
      <c r="Q933" s="138" t="str">
        <f>IF(F933=" "," ",IF(AND(OR('депозитный калькулятор'!$G$7="30/365",'депозитный калькулятор'!$G$7="30/360"),AND(MONTH(F933)=2,EOMONTH(F933,0)=F933)),IF(DAY(F933)=28,3,2),1)*IF(G933&gt;='депозитный калькулятор'!$G$11,IF(AND('депозитный калькулятор'!$G$7="факт/факт",MOD(YEAR(F933),4)=0),G933*'депозитный калькулятор'!$D$11/366,G933*'депозитный калькулятор'!$G$8),0))</f>
        <v xml:space="preserve"> </v>
      </c>
      <c r="S933" s="62" t="str">
        <f t="shared" ca="1" si="72"/>
        <v xml:space="preserve"> </v>
      </c>
      <c r="T933" s="149" t="str">
        <f ca="1">IF(S933=" "," ",IF('депозитный калькулятор'!$G$7="30/360",DAYS360(U932,IF(DAY(U933)=31,U933-1,U933))+IF(AND(MONTH(U933)=2,U933=EOMONTH(U933,0)),30-DAY(EOMONTH(U933,0)))+T932,VLOOKUP(S933,$C$22:$F$1023,2,0)))</f>
        <v xml:space="preserve"> </v>
      </c>
      <c r="U933" s="64" t="str">
        <f t="shared" ca="1" si="70"/>
        <v xml:space="preserve"> </v>
      </c>
      <c r="V933" s="150" t="str">
        <f t="shared" ca="1" si="73"/>
        <v xml:space="preserve"> </v>
      </c>
      <c r="W933" s="62" t="str">
        <f t="shared" ca="1" si="74"/>
        <v xml:space="preserve"> </v>
      </c>
      <c r="X933" s="141" t="str">
        <f ca="1">IF(S933=" "," ",IFERROR(VLOOKUP(U933,$F$23:$N$1023,7)+VLOOKUP(U933,$F$23:$N$1023,9)+IF(AND('депозитный калькулятор'!$G$13="нет",U933&lt;&gt;'депозитный калькулятор'!$D$8),VLOOKUP(U933,$F$23:$N$1023,4),0),0)+IF(U933='депозитный калькулятор'!$D$8,VLOOKUP(U933,$F$23:$N$1023,2)+VLOOKUP(U933,$F$23:$N$1023,4),0))</f>
        <v xml:space="preserve"> </v>
      </c>
      <c r="Y933" s="142" t="str">
        <f ca="1">IF(S933=" "," ",W933/(1+'депозитный калькулятор'!$K$8)^(T933/IF('депозитный калькулятор'!$G$7="30/360",360,365)))</f>
        <v xml:space="preserve"> </v>
      </c>
      <c r="Z933" s="142" t="str">
        <f ca="1">IF(S933=" "," ",X933/(1+'депозитный калькулятор'!$K$8)^(T933/IF('депозитный калькулятор'!$G$7="30/360",360,365)))</f>
        <v xml:space="preserve"> </v>
      </c>
      <c r="AA933" s="151"/>
      <c r="AB933" s="151"/>
      <c r="AC933" s="155"/>
      <c r="AD933" s="155"/>
    </row>
    <row r="934" spans="1:30" s="2" customFormat="1" ht="15.5" x14ac:dyDescent="0.35">
      <c r="A934" s="41" t="str">
        <f>IF(F934=" "," ",IF(OR('депозитный калькулятор'!$G$7="30/365",'депозитный калькулятор'!$G$7="30/360"),IF(AND(MONTH(F934)=2,DAY(F934)=DAY(EOMONTH(F934,0))),30-DAY(EOMONTH(F934,0)),IF(DAY(F934)=31,1," "))," "))</f>
        <v xml:space="preserve"> </v>
      </c>
      <c r="B934" s="130" t="str">
        <f t="shared" si="71"/>
        <v xml:space="preserve"> </v>
      </c>
      <c r="C934" s="130" t="str">
        <f>IF(OR(B934=0,B934=" ")," ",SUM($B$23:B934))</f>
        <v xml:space="preserve"> </v>
      </c>
      <c r="D934" s="62" t="str">
        <f>IF(D933=" "," ",IF(OR(F933='депозитный калькулятор'!$D$8,F933=" ")," ",D933+1))</f>
        <v xml:space="preserve"> </v>
      </c>
      <c r="E934" s="130" t="str">
        <f>IF(OR(F933='депозитный калькулятор'!$D$8,F933=" ")," ",IF(EOMONTH(F933,0)=F933,1,E933+1))</f>
        <v xml:space="preserve"> </v>
      </c>
      <c r="F934" s="64" t="str">
        <f>IF(F933=" "," ",IF(F933='депозитный калькулятор'!$D$8," ",F933+1))</f>
        <v xml:space="preserve"> </v>
      </c>
      <c r="G934" s="145" t="str">
        <f xml:space="preserve"> IF(F934&gt;'депозитный калькулятор'!$D$8," ",IF('депозитный калькулятор'!$G$13="есть",IF('депозитный калькулятор'!$G$14="есть",G933+IF(I933=" ",0,I933)-J934-K934+L934+M934-N934,G933+IF(I933=" ",0,I933)-J934-K934+M934-N934),IF('депозитный калькулятор'!$G$14="есть",G933-J934-K934+L934+M934-N934,G933-J934-K934+M934-N934)))</f>
        <v xml:space="preserve"> </v>
      </c>
      <c r="H934" s="133" t="str">
        <f>IF(F934&gt;'депозитный калькулятор'!$D$8," ",IF(AND(OR('депозитный калькулятор'!$G$7="30/365",'депозитный калькулятор'!$G$7="30/360"),AND(MONTH(F934)=2,EOMONTH(F934,0)=F934)),IF(DAY(F934)=28,3*G934*'депозитный калькулятор'!$G$8,2*G934*'депозитный калькулятор'!$G$8),IF(AND(OR('депозитный калькулятор'!$G$7="30/365",'депозитный калькулятор'!$G$7="30/360"),DAY(F934)=31)," ",IF(AND('депозитный калькулятор'!$G$7="факт/факт",MOD(YEAR(F934),4)=0),G934*'депозитный калькулятор'!$D$11/366,G934*'депозитный калькулятор'!$G$8))))</f>
        <v xml:space="preserve"> </v>
      </c>
      <c r="I934" s="134" t="str">
        <f ca="1">IF(F934=" "," ",IF('депозитный калькулятор'!$G$10="ежедневное",H934,IF(AND('депозитный калькулятор'!$G$10="еженедельное",WEEKDAY(F934,2)=7),SUM(OFFSET(H934,-6,0):H934),IF(AND('депозитный калькулятор'!$G$10="еженедельное",F934='депозитный калькулятор'!$D$8),SUM($H$23:H934)-SUM($I$23:I933),IF(AND('депозитный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недели",WEEKDAY(F934,2)=7),MIN(OFFSET(H934,-6,0):H934)*(COUNTIF(OFFSET(H934,-6,0):H934,"&gt;0")+SUMIF(OFFSET(A934,-WEEKDAY(F934,2),0):A934,"=2",OFFSET(A934,-WEEKDAY(F934,2),0):A934)),IF(AND('депозитный калькулятор'!$G$10="еженедельное, на минимальную сумму зафиксированную в течение недели",F934='депозитный калькулятор'!$D$8,WEEKDAY(F934,2)&lt;&gt;7),MIN(OFFSET(H934,-WEEKDAY(F934,2),0):H934)*(COUNTIF(OFFSET(H934,-WEEKDAY(F934,2)+1,0):H934,"&gt;0")+SUM(OFFSET(A934,-WEEKDAY(F934,2),0):A934)),IF(AND('депозитный калькулятор'!$G$10="ежемесячное (в конце месяца)",F934='депозитный калькулятор'!$D$8,EOMONTH(F934,0)&lt;&gt;F934),IF('депозитный калькулятор'!$F$1=1,$H$24,SUM($H$23:H934)-SUM($I$23:I933)),IF(AND('депозитный калькулятор'!$G$10="ежемесячное (в конце месяца)",EOMONTH(F934,0)=F934),SUM($H$23:H934)-SUM($I$23:I933),IF(AND('депозитный калькулятор'!$G$10="ежемесячное (по дням открытия вклада)",F934='депозитный калькулятор'!$D$8,DAY('депозитный калькулятор'!$D$7)&lt;&gt;DAY(F934)),IF('депозитный калькулятор'!$F$1=1,$H$24,SUM($H$23:H934)-SUM($I$23:I933)),IF(AND('депозитный калькулятор'!$G$10="ежемесячное (по дням открытия вклада)",DAY('депозитный калькулятор'!$D$7)=DAY(F934)),SUM($H$23:H934)-SUM($I$23:I933),IF(AND('депозитный калькулятор'!$G$10="ежемесячное, на минимальную сумму зафиксированную в течение месяца",F934='депозитный калькулятор'!$D$8,EOMONTH(F934,0)&lt;&gt;F934),IF('депозитный калькулятор'!$F$1=1,$H$24,IF(AND(OR('депозитный калькулятор'!$G$7="30/365",'депозитный калькулятор'!$G$7="30/360"),DAY(F934)=31),0,MIN(OFFSET(H934,-E934+1,0):H934)*(E934+SUMIF(OFFSET(A934,-E934+1,0):A934,"=2",OFFSET(A934,-E934+1,0):A934)))),IF(AND('депозитный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калькулятор'!$G$7="30/360"),DAY(EOMONTH(F934,0))=31),EOMONTH(F934,0)-1=F934,EOMONTH(F934,0)=F934)),IF(IF(AND(OR('депозитный калькулятор'!$G$7="30/365",'депозитный калькулятор'!$G$7="30/360"),DAY(EOMONTH($F$23,0))=31),F934=EOMONTH($F$23,0)-1,F934=EOMONTH($F$23,0)),MIN(OFFSET(H934,-(DAY(F934)-DAY($F$23)),0):H934)*E934,MIN(OFFSET(H934,-(DAY(F934)-1),0):H934)*IF(AND(OR('депозитный калькулятор'!$G$7="30/365",'депозитный калькулятор'!$G$7="30/360"),DAY(F934)&lt;30),30,DAY(F934))),IF(AND('депозитный калькулятор'!$G$10="ежемесячное, на средний остаток в течение месяца, при условии что остаток больше чем ограничение",F934='депозитный калькулятор'!$D$8,EOMONTH(F934,0)&lt;&gt;F934),IF('депозитный калькулятор'!$F$1=1,$H$24,SUM(OFFSET(Q934,-E934+1,0):Q934)),IF(AND('депозитный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калькулятор'!$G$7="30/360"),DAY(EOMONTH(F934,0))=31),EOMONTH(F934,0)-1=F934,EOMONTH(F934,0)=F934)),IF(IF(AND(OR('депозитный калькулятор'!$G$7="30/365",'депозитный калькулятор'!$G$7="30/360"),DAY(EOMONTH($F$24,0))=31),F934=EOMONTH($F$24,0)-1,F934=EOMONTH($F$24,0)),SUM(OFFSET(Q934,-E934+1,0):Q934),SUM(OFFSET(Q934,-E934+1,0):Q934)),IF('депозитный калькулятор'!$G$10="ежеквартальное",IF(F934&gt;'депозитный калькулятор'!$D$8," ",IF(AND(EOMONTH(F934,0)=F934,OR(MONTH(F934)=3,MONTH(F934)=6,MONTH(F934)=9,MONTH(F934)=12)),IF(EDATE(F934,-3)&lt;'депозитный калькулятор'!$D$7,SUM($H$23:H934),IF(MOD(YEAR(F934),4)=0,IF(AND(EOMONTH(F934,0)=F934,OR(MONTH(F934)=3,MONTH(F934)=6)),SUM(OFFSET(H934,-90,0):H934),IF(AND(EOMONTH(F934,0)=F934,OR(MONTH(F934)=9,MONTH(F934)=12)),SUM(OFFSET(H934,-91,0):H934))),IF(AND(EOMONTH(F934,0)=F934,MONTH(F934)=3),SUM(OFFSET(H934,-89,0):H934),IF(AND(EOMONTH(F934,0)=F934,MONTH(F934)=6),SUM(OFFSET(H934,-90,0):H934),IF(AND(EOMONTH(F934,0)=F934,OR(MONTH(F934)=9,MONTH(F934)=12)),SUM(OFFSET(H934,-91,0):H934)))))),IF(F934='депозитный калькулятор'!$D$8,SUM($H$23:H934)-SUM($I$23:I933),0))),IF('депозитный калькулятор'!$G$10="ежегодное",IF(F934&gt;'депозитный калькулятор'!$D$8," ",IF(F934='депозитный калькулятор'!$D$8,SUM($H$23:H934)-SUM($I$23:I933),IF(AND(EOMONTH(F934,0)=F934,MONTH(F934)=12),IF(MOD(YEAR(F933),4)=0,IF(F934-'депозитный калькулятор'!$D$7&lt;366,SUM($H$23:H934),SUM(OFFSET(H934,-365,0):H934)),IF(F934-'депозитный калькулятор'!$D$7&lt;365,SUM($H$23:H934),SUM(OFFSET(H934,-364,0):H934))),0))),IF(AND('депозитный калькулятор'!$G$10="в конце срока",'депозитный калькулятор'!$D$8=F934),SUM($H$23:H934),0))))))))))))))))))</f>
        <v xml:space="preserve"> </v>
      </c>
      <c r="J934" s="59" t="str">
        <f>IF(F934&gt;'депозитный калькулятор'!$D$8," ",IF('депозитный калькулятор'!$G$16="нет",0,IF(AND('депозитный калькулятор'!$G$17="разовая (в конце срока)",F934='депозитный калькулятор'!$D$8),'депозитный калькулятор'!$G$18,IF(AND('депозитный калькулятор'!$G$17="ежемесячная",EOMONTH(F933,0)=F933),'депозитный калькулятор'!$G$18,IF(AND('депозитный калькулятор'!$G$17="ежегодная",DAY(F933)=31,MONTH(F933)=12),'депозитный калькулятор'!$G$18,IF(AND('депозитный калькулятор'!$G$17="ежемесячная в зависимости от остатка",EOMONTH(F933,0)=F933,P933&gt;0),'депозитный калькулятор'!$G$18,IF(AND('депозитный калькулятор'!$G$17="ежегодная в зависимости от остатка",DAY(F933)=31,MONTH(F933)=12,P933&gt;0),'депозитный калькулятор'!$G$18,0)))))))</f>
        <v xml:space="preserve"> </v>
      </c>
      <c r="K934" s="135" t="str">
        <f>IF($F934=" "," ",IFERROR(VLOOKUP($F934,'депозитный калькулятор'!$B$26:$F$70,2,0),0))</f>
        <v xml:space="preserve"> </v>
      </c>
      <c r="L934" s="135" t="str">
        <f>IF($F934=" "," ",IFERROR(VLOOKUP($F934,'депозитный калькулятор'!$B$26:$F$70,3,0),0))</f>
        <v xml:space="preserve"> </v>
      </c>
      <c r="M934" s="135" t="str">
        <f>IF($F934=" "," ",IFERROR(VLOOKUP($F934,'депозитный калькулятор'!$B$26:$F$70,4,0),0))</f>
        <v xml:space="preserve"> </v>
      </c>
      <c r="N934" s="135" t="str">
        <f>IF($F934=" "," ",IFERROR(VLOOKUP($F934,'депозитный калькулятор'!$B$26:$F$70,5,0),0))</f>
        <v xml:space="preserve"> </v>
      </c>
      <c r="O934" s="146" t="str">
        <f>IF(F934&gt;'депозитный калькулятор'!$D$8," ",IF(F934='депозитный калькулятор'!$D$8,IF(AND($F$24='депозитный калькулятор'!$D$8,'депозитный калькулятор'!$G$13="нет"),-G934-IF(I934=" ",0,I934)-IF(AND(OR('депозитный калькулятор'!$G$7="30/365",'депозитный калькулятор'!$G$7="30/360"),'депозитный калькулятор'!$G$10="в начале срока"),I933,0)-L934+M934-N934,-G934-IF(I934=" ",0,I934)-L934+M934-N934),IF('депозитный калькулятор'!$G$13="есть",M934-N934+IF('депозитный калькулятор'!$G$14="есть",0,-L934),-IF(I934=" ",0,I934)-IF(AND(OR('депозитный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срока"),I933,0)+M934-N934+IF('депозитный калькулятор'!$G$14="есть",0,-L934))))</f>
        <v xml:space="preserve"> </v>
      </c>
      <c r="P934" s="147" t="str">
        <f>IF(F934&gt;'депозитный калькулятор'!$D$8," ",IF(EOMONTH(F933,0)=F933,0,IF(G934&gt;='депозитный калькулятор'!$G$19,P933,P933+1)))</f>
        <v xml:space="preserve"> </v>
      </c>
      <c r="Q934" s="138" t="str">
        <f>IF(F934=" "," ",IF(AND(OR('депозитный калькулятор'!$G$7="30/365",'депозитный калькулятор'!$G$7="30/360"),AND(MONTH(F934)=2,EOMONTH(F934,0)=F934)),IF(DAY(F934)=28,3,2),1)*IF(G934&gt;='депозитный калькулятор'!$G$11,IF(AND('депозитный калькулятор'!$G$7="факт/факт",MOD(YEAR(F934),4)=0),G934*'депозитный калькулятор'!$D$11/366,G934*'депозитный калькулятор'!$G$8),0))</f>
        <v xml:space="preserve"> </v>
      </c>
      <c r="S934" s="62" t="str">
        <f t="shared" ca="1" si="72"/>
        <v xml:space="preserve"> </v>
      </c>
      <c r="T934" s="149" t="str">
        <f ca="1">IF(S934=" "," ",IF('депозитный калькулятор'!$G$7="30/360",DAYS360(U933,IF(DAY(U934)=31,U934-1,U934))+IF(AND(MONTH(U934)=2,U934=EOMONTH(U934,0)),30-DAY(EOMONTH(U934,0)))+T933,VLOOKUP(S934,$C$22:$F$1023,2,0)))</f>
        <v xml:space="preserve"> </v>
      </c>
      <c r="U934" s="64" t="str">
        <f t="shared" ca="1" si="70"/>
        <v xml:space="preserve"> </v>
      </c>
      <c r="V934" s="150" t="str">
        <f t="shared" ca="1" si="73"/>
        <v xml:space="preserve"> </v>
      </c>
      <c r="W934" s="62" t="str">
        <f t="shared" ca="1" si="74"/>
        <v xml:space="preserve"> </v>
      </c>
      <c r="X934" s="141" t="str">
        <f ca="1">IF(S934=" "," ",IFERROR(VLOOKUP(U934,$F$23:$N$1023,7)+VLOOKUP(U934,$F$23:$N$1023,9)+IF(AND('депозитный калькулятор'!$G$13="нет",U934&lt;&gt;'депозитный калькулятор'!$D$8),VLOOKUP(U934,$F$23:$N$1023,4),0),0)+IF(U934='депозитный калькулятор'!$D$8,VLOOKUP(U934,$F$23:$N$1023,2)+VLOOKUP(U934,$F$23:$N$1023,4),0))</f>
        <v xml:space="preserve"> </v>
      </c>
      <c r="Y934" s="142" t="str">
        <f ca="1">IF(S934=" "," ",W934/(1+'депозитный калькулятор'!$K$8)^(T934/IF('депозитный калькулятор'!$G$7="30/360",360,365)))</f>
        <v xml:space="preserve"> </v>
      </c>
      <c r="Z934" s="142" t="str">
        <f ca="1">IF(S934=" "," ",X934/(1+'депозитный калькулятор'!$K$8)^(T934/IF('депозитный калькулятор'!$G$7="30/360",360,365)))</f>
        <v xml:space="preserve"> </v>
      </c>
      <c r="AA934" s="151"/>
      <c r="AB934" s="151"/>
      <c r="AC934" s="155"/>
      <c r="AD934" s="155"/>
    </row>
    <row r="935" spans="1:30" s="2" customFormat="1" ht="15.5" x14ac:dyDescent="0.35">
      <c r="A935" s="41" t="str">
        <f>IF(F935=" "," ",IF(OR('депозитный калькулятор'!$G$7="30/365",'депозитный калькулятор'!$G$7="30/360"),IF(AND(MONTH(F935)=2,DAY(F935)=DAY(EOMONTH(F935,0))),30-DAY(EOMONTH(F935,0)),IF(DAY(F935)=31,1," "))," "))</f>
        <v xml:space="preserve"> </v>
      </c>
      <c r="B935" s="130" t="str">
        <f t="shared" si="71"/>
        <v xml:space="preserve"> </v>
      </c>
      <c r="C935" s="130" t="str">
        <f>IF(OR(B935=0,B935=" ")," ",SUM($B$23:B935))</f>
        <v xml:space="preserve"> </v>
      </c>
      <c r="D935" s="62" t="str">
        <f>IF(D934=" "," ",IF(OR(F934='депозитный калькулятор'!$D$8,F934=" ")," ",D934+1))</f>
        <v xml:space="preserve"> </v>
      </c>
      <c r="E935" s="130" t="str">
        <f>IF(OR(F934='депозитный калькулятор'!$D$8,F934=" ")," ",IF(EOMONTH(F934,0)=F934,1,E934+1))</f>
        <v xml:space="preserve"> </v>
      </c>
      <c r="F935" s="64" t="str">
        <f>IF(F934=" "," ",IF(F934='депозитный калькулятор'!$D$8," ",F934+1))</f>
        <v xml:space="preserve"> </v>
      </c>
      <c r="G935" s="145" t="str">
        <f xml:space="preserve"> IF(F935&gt;'депозитный калькулятор'!$D$8," ",IF('депозитный калькулятор'!$G$13="есть",IF('депозитный калькулятор'!$G$14="есть",G934+IF(I934=" ",0,I934)-J935-K935+L935+M935-N935,G934+IF(I934=" ",0,I934)-J935-K935+M935-N935),IF('депозитный калькулятор'!$G$14="есть",G934-J935-K935+L935+M935-N935,G934-J935-K935+M935-N935)))</f>
        <v xml:space="preserve"> </v>
      </c>
      <c r="H935" s="133" t="str">
        <f>IF(F935&gt;'депозитный калькулятор'!$D$8," ",IF(AND(OR('депозитный калькулятор'!$G$7="30/365",'депозитный калькулятор'!$G$7="30/360"),AND(MONTH(F935)=2,EOMONTH(F935,0)=F935)),IF(DAY(F935)=28,3*G935*'депозитный калькулятор'!$G$8,2*G935*'депозитный калькулятор'!$G$8),IF(AND(OR('депозитный калькулятор'!$G$7="30/365",'депозитный калькулятор'!$G$7="30/360"),DAY(F935)=31)," ",IF(AND('депозитный калькулятор'!$G$7="факт/факт",MOD(YEAR(F935),4)=0),G935*'депозитный калькулятор'!$D$11/366,G935*'депозитный калькулятор'!$G$8))))</f>
        <v xml:space="preserve"> </v>
      </c>
      <c r="I935" s="134" t="str">
        <f ca="1">IF(F935=" "," ",IF('депозитный калькулятор'!$G$10="ежедневное",H935,IF(AND('депозитный калькулятор'!$G$10="еженедельное",WEEKDAY(F935,2)=7),SUM(OFFSET(H935,-6,0):H935),IF(AND('депозитный калькулятор'!$G$10="еженедельное",F935='депозитный калькулятор'!$D$8),SUM($H$23:H935)-SUM($I$23:I934),IF(AND('депозитный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недели",WEEKDAY(F935,2)=7),MIN(OFFSET(H935,-6,0):H935)*(COUNTIF(OFFSET(H935,-6,0):H935,"&gt;0")+SUMIF(OFFSET(A935,-WEEKDAY(F935,2),0):A935,"=2",OFFSET(A935,-WEEKDAY(F935,2),0):A935)),IF(AND('депозитный калькулятор'!$G$10="еженедельное, на минимальную сумму зафиксированную в течение недели",F935='депозитный калькулятор'!$D$8,WEEKDAY(F935,2)&lt;&gt;7),MIN(OFFSET(H935,-WEEKDAY(F935,2),0):H935)*(COUNTIF(OFFSET(H935,-WEEKDAY(F935,2)+1,0):H935,"&gt;0")+SUM(OFFSET(A935,-WEEKDAY(F935,2),0):A935)),IF(AND('депозитный калькулятор'!$G$10="ежемесячное (в конце месяца)",F935='депозитный калькулятор'!$D$8,EOMONTH(F935,0)&lt;&gt;F935),IF('депозитный калькулятор'!$F$1=1,$H$24,SUM($H$23:H935)-SUM($I$23:I934)),IF(AND('депозитный калькулятор'!$G$10="ежемесячное (в конце месяца)",EOMONTH(F935,0)=F935),SUM($H$23:H935)-SUM($I$23:I934),IF(AND('депозитный калькулятор'!$G$10="ежемесячное (по дням открытия вклада)",F935='депозитный калькулятор'!$D$8,DAY('депозитный калькулятор'!$D$7)&lt;&gt;DAY(F935)),IF('депозитный калькулятор'!$F$1=1,$H$24,SUM($H$23:H935)-SUM($I$23:I934)),IF(AND('депозитный калькулятор'!$G$10="ежемесячное (по дням открытия вклада)",DAY('депозитный калькулятор'!$D$7)=DAY(F935)),SUM($H$23:H935)-SUM($I$23:I934),IF(AND('депозитный калькулятор'!$G$10="ежемесячное, на минимальную сумму зафиксированную в течение месяца",F935='депозитный калькулятор'!$D$8,EOMONTH(F935,0)&lt;&gt;F935),IF('депозитный калькулятор'!$F$1=1,$H$24,IF(AND(OR('депозитный калькулятор'!$G$7="30/365",'депозитный калькулятор'!$G$7="30/360"),DAY(F935)=31),0,MIN(OFFSET(H935,-E935+1,0):H935)*(E935+SUMIF(OFFSET(A935,-E935+1,0):A935,"=2",OFFSET(A935,-E935+1,0):A935)))),IF(AND('депозитный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калькулятор'!$G$7="30/360"),DAY(EOMONTH(F935,0))=31),EOMONTH(F935,0)-1=F935,EOMONTH(F935,0)=F935)),IF(IF(AND(OR('депозитный калькулятор'!$G$7="30/365",'депозитный калькулятор'!$G$7="30/360"),DAY(EOMONTH($F$23,0))=31),F935=EOMONTH($F$23,0)-1,F935=EOMONTH($F$23,0)),MIN(OFFSET(H935,-(DAY(F935)-DAY($F$23)),0):H935)*E935,MIN(OFFSET(H935,-(DAY(F935)-1),0):H935)*IF(AND(OR('депозитный калькулятор'!$G$7="30/365",'депозитный калькулятор'!$G$7="30/360"),DAY(F935)&lt;30),30,DAY(F935))),IF(AND('депозитный калькулятор'!$G$10="ежемесячное, на средний остаток в течение месяца, при условии что остаток больше чем ограничение",F935='депозитный калькулятор'!$D$8,EOMONTH(F935,0)&lt;&gt;F935),IF('депозитный калькулятор'!$F$1=1,$H$24,SUM(OFFSET(Q935,-E935+1,0):Q935)),IF(AND('депозитный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калькулятор'!$G$7="30/360"),DAY(EOMONTH(F935,0))=31),EOMONTH(F935,0)-1=F935,EOMONTH(F935,0)=F935)),IF(IF(AND(OR('депозитный калькулятор'!$G$7="30/365",'депозитный калькулятор'!$G$7="30/360"),DAY(EOMONTH($F$24,0))=31),F935=EOMONTH($F$24,0)-1,F935=EOMONTH($F$24,0)),SUM(OFFSET(Q935,-E935+1,0):Q935),SUM(OFFSET(Q935,-E935+1,0):Q935)),IF('депозитный калькулятор'!$G$10="ежеквартальное",IF(F935&gt;'депозитный калькулятор'!$D$8," ",IF(AND(EOMONTH(F935,0)=F935,OR(MONTH(F935)=3,MONTH(F935)=6,MONTH(F935)=9,MONTH(F935)=12)),IF(EDATE(F935,-3)&lt;'депозитный калькулятор'!$D$7,SUM($H$23:H935),IF(MOD(YEAR(F935),4)=0,IF(AND(EOMONTH(F935,0)=F935,OR(MONTH(F935)=3,MONTH(F935)=6)),SUM(OFFSET(H935,-90,0):H935),IF(AND(EOMONTH(F935,0)=F935,OR(MONTH(F935)=9,MONTH(F935)=12)),SUM(OFFSET(H935,-91,0):H935))),IF(AND(EOMONTH(F935,0)=F935,MONTH(F935)=3),SUM(OFFSET(H935,-89,0):H935),IF(AND(EOMONTH(F935,0)=F935,MONTH(F935)=6),SUM(OFFSET(H935,-90,0):H935),IF(AND(EOMONTH(F935,0)=F935,OR(MONTH(F935)=9,MONTH(F935)=12)),SUM(OFFSET(H935,-91,0):H935)))))),IF(F935='депозитный калькулятор'!$D$8,SUM($H$23:H935)-SUM($I$23:I934),0))),IF('депозитный калькулятор'!$G$10="ежегодное",IF(F935&gt;'депозитный калькулятор'!$D$8," ",IF(F935='депозитный калькулятор'!$D$8,SUM($H$23:H935)-SUM($I$23:I934),IF(AND(EOMONTH(F935,0)=F935,MONTH(F935)=12),IF(MOD(YEAR(F934),4)=0,IF(F935-'депозитный калькулятор'!$D$7&lt;366,SUM($H$23:H935),SUM(OFFSET(H935,-365,0):H935)),IF(F935-'депозитный калькулятор'!$D$7&lt;365,SUM($H$23:H935),SUM(OFFSET(H935,-364,0):H935))),0))),IF(AND('депозитный калькулятор'!$G$10="в конце срока",'депозитный калькулятор'!$D$8=F935),SUM($H$23:H935),0))))))))))))))))))</f>
        <v xml:space="preserve"> </v>
      </c>
      <c r="J935" s="59" t="str">
        <f>IF(F935&gt;'депозитный калькулятор'!$D$8," ",IF('депозитный калькулятор'!$G$16="нет",0,IF(AND('депозитный калькулятор'!$G$17="разовая (в конце срока)",F935='депозитный калькулятор'!$D$8),'депозитный калькулятор'!$G$18,IF(AND('депозитный калькулятор'!$G$17="ежемесячная",EOMONTH(F934,0)=F934),'депозитный калькулятор'!$G$18,IF(AND('депозитный калькулятор'!$G$17="ежегодная",DAY(F934)=31,MONTH(F934)=12),'депозитный калькулятор'!$G$18,IF(AND('депозитный калькулятор'!$G$17="ежемесячная в зависимости от остатка",EOMONTH(F934,0)=F934,P934&gt;0),'депозитный калькулятор'!$G$18,IF(AND('депозитный калькулятор'!$G$17="ежегодная в зависимости от остатка",DAY(F934)=31,MONTH(F934)=12,P934&gt;0),'депозитный калькулятор'!$G$18,0)))))))</f>
        <v xml:space="preserve"> </v>
      </c>
      <c r="K935" s="135" t="str">
        <f>IF($F935=" "," ",IFERROR(VLOOKUP($F935,'депозитный калькулятор'!$B$26:$F$70,2,0),0))</f>
        <v xml:space="preserve"> </v>
      </c>
      <c r="L935" s="135" t="str">
        <f>IF($F935=" "," ",IFERROR(VLOOKUP($F935,'депозитный калькулятор'!$B$26:$F$70,3,0),0))</f>
        <v xml:space="preserve"> </v>
      </c>
      <c r="M935" s="135" t="str">
        <f>IF($F935=" "," ",IFERROR(VLOOKUP($F935,'депозитный калькулятор'!$B$26:$F$70,4,0),0))</f>
        <v xml:space="preserve"> </v>
      </c>
      <c r="N935" s="135" t="str">
        <f>IF($F935=" "," ",IFERROR(VLOOKUP($F935,'депозитный калькулятор'!$B$26:$F$70,5,0),0))</f>
        <v xml:space="preserve"> </v>
      </c>
      <c r="O935" s="146" t="str">
        <f>IF(F935&gt;'депозитный калькулятор'!$D$8," ",IF(F935='депозитный калькулятор'!$D$8,IF(AND($F$24='депозитный калькулятор'!$D$8,'депозитный калькулятор'!$G$13="нет"),-G935-IF(I935=" ",0,I935)-IF(AND(OR('депозитный калькулятор'!$G$7="30/365",'депозитный калькулятор'!$G$7="30/360"),'депозитный калькулятор'!$G$10="в начале срока"),I934,0)-L935+M935-N935,-G935-IF(I935=" ",0,I935)-L935+M935-N935),IF('депозитный калькулятор'!$G$13="есть",M935-N935+IF('депозитный калькулятор'!$G$14="есть",0,-L935),-IF(I935=" ",0,I935)-IF(AND(OR('депозитный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срока"),I934,0)+M935-N935+IF('депозитный калькулятор'!$G$14="есть",0,-L935))))</f>
        <v xml:space="preserve"> </v>
      </c>
      <c r="P935" s="147" t="str">
        <f>IF(F935&gt;'депозитный калькулятор'!$D$8," ",IF(EOMONTH(F934,0)=F934,0,IF(G935&gt;='депозитный калькулятор'!$G$19,P934,P934+1)))</f>
        <v xml:space="preserve"> </v>
      </c>
      <c r="Q935" s="138" t="str">
        <f>IF(F935=" "," ",IF(AND(OR('депозитный калькулятор'!$G$7="30/365",'депозитный калькулятор'!$G$7="30/360"),AND(MONTH(F935)=2,EOMONTH(F935,0)=F935)),IF(DAY(F935)=28,3,2),1)*IF(G935&gt;='депозитный калькулятор'!$G$11,IF(AND('депозитный калькулятор'!$G$7="факт/факт",MOD(YEAR(F935),4)=0),G935*'депозитный калькулятор'!$D$11/366,G935*'депозитный калькулятор'!$G$8),0))</f>
        <v xml:space="preserve"> </v>
      </c>
      <c r="S935" s="62" t="str">
        <f t="shared" ca="1" si="72"/>
        <v xml:space="preserve"> </v>
      </c>
      <c r="T935" s="149" t="str">
        <f ca="1">IF(S935=" "," ",IF('депозитный калькулятор'!$G$7="30/360",DAYS360(U934,IF(DAY(U935)=31,U935-1,U935))+IF(AND(MONTH(U935)=2,U935=EOMONTH(U935,0)),30-DAY(EOMONTH(U935,0)))+T934,VLOOKUP(S935,$C$22:$F$1023,2,0)))</f>
        <v xml:space="preserve"> </v>
      </c>
      <c r="U935" s="64" t="str">
        <f t="shared" ca="1" si="70"/>
        <v xml:space="preserve"> </v>
      </c>
      <c r="V935" s="150" t="str">
        <f t="shared" ca="1" si="73"/>
        <v xml:space="preserve"> </v>
      </c>
      <c r="W935" s="62" t="str">
        <f t="shared" ca="1" si="74"/>
        <v xml:space="preserve"> </v>
      </c>
      <c r="X935" s="141" t="str">
        <f ca="1">IF(S935=" "," ",IFERROR(VLOOKUP(U935,$F$23:$N$1023,7)+VLOOKUP(U935,$F$23:$N$1023,9)+IF(AND('депозитный калькулятор'!$G$13="нет",U935&lt;&gt;'депозитный калькулятор'!$D$8),VLOOKUP(U935,$F$23:$N$1023,4),0),0)+IF(U935='депозитный калькулятор'!$D$8,VLOOKUP(U935,$F$23:$N$1023,2)+VLOOKUP(U935,$F$23:$N$1023,4),0))</f>
        <v xml:space="preserve"> </v>
      </c>
      <c r="Y935" s="142" t="str">
        <f ca="1">IF(S935=" "," ",W935/(1+'депозитный калькулятор'!$K$8)^(T935/IF('депозитный калькулятор'!$G$7="30/360",360,365)))</f>
        <v xml:space="preserve"> </v>
      </c>
      <c r="Z935" s="142" t="str">
        <f ca="1">IF(S935=" "," ",X935/(1+'депозитный калькулятор'!$K$8)^(T935/IF('депозитный калькулятор'!$G$7="30/360",360,365)))</f>
        <v xml:space="preserve"> </v>
      </c>
      <c r="AA935" s="151"/>
      <c r="AB935" s="151"/>
      <c r="AC935" s="155"/>
      <c r="AD935" s="155"/>
    </row>
    <row r="936" spans="1:30" s="2" customFormat="1" ht="15.5" x14ac:dyDescent="0.35">
      <c r="A936" s="41" t="str">
        <f>IF(F936=" "," ",IF(OR('депозитный калькулятор'!$G$7="30/365",'депозитный калькулятор'!$G$7="30/360"),IF(AND(MONTH(F936)=2,DAY(F936)=DAY(EOMONTH(F936,0))),30-DAY(EOMONTH(F936,0)),IF(DAY(F936)=31,1," "))," "))</f>
        <v xml:space="preserve"> </v>
      </c>
      <c r="B936" s="130" t="str">
        <f t="shared" si="71"/>
        <v xml:space="preserve"> </v>
      </c>
      <c r="C936" s="130" t="str">
        <f>IF(OR(B936=0,B936=" ")," ",SUM($B$23:B936))</f>
        <v xml:space="preserve"> </v>
      </c>
      <c r="D936" s="62" t="str">
        <f>IF(D935=" "," ",IF(OR(F935='депозитный калькулятор'!$D$8,F935=" ")," ",D935+1))</f>
        <v xml:space="preserve"> </v>
      </c>
      <c r="E936" s="130" t="str">
        <f>IF(OR(F935='депозитный калькулятор'!$D$8,F935=" ")," ",IF(EOMONTH(F935,0)=F935,1,E935+1))</f>
        <v xml:space="preserve"> </v>
      </c>
      <c r="F936" s="64" t="str">
        <f>IF(F935=" "," ",IF(F935='депозитный калькулятор'!$D$8," ",F935+1))</f>
        <v xml:space="preserve"> </v>
      </c>
      <c r="G936" s="145" t="str">
        <f xml:space="preserve"> IF(F936&gt;'депозитный калькулятор'!$D$8," ",IF('депозитный калькулятор'!$G$13="есть",IF('депозитный калькулятор'!$G$14="есть",G935+IF(I935=" ",0,I935)-J936-K936+L936+M936-N936,G935+IF(I935=" ",0,I935)-J936-K936+M936-N936),IF('депозитный калькулятор'!$G$14="есть",G935-J936-K936+L936+M936-N936,G935-J936-K936+M936-N936)))</f>
        <v xml:space="preserve"> </v>
      </c>
      <c r="H936" s="133" t="str">
        <f>IF(F936&gt;'депозитный калькулятор'!$D$8," ",IF(AND(OR('депозитный калькулятор'!$G$7="30/365",'депозитный калькулятор'!$G$7="30/360"),AND(MONTH(F936)=2,EOMONTH(F936,0)=F936)),IF(DAY(F936)=28,3*G936*'депозитный калькулятор'!$G$8,2*G936*'депозитный калькулятор'!$G$8),IF(AND(OR('депозитный калькулятор'!$G$7="30/365",'депозитный калькулятор'!$G$7="30/360"),DAY(F936)=31)," ",IF(AND('депозитный калькулятор'!$G$7="факт/факт",MOD(YEAR(F936),4)=0),G936*'депозитный калькулятор'!$D$11/366,G936*'депозитный калькулятор'!$G$8))))</f>
        <v xml:space="preserve"> </v>
      </c>
      <c r="I936" s="134" t="str">
        <f ca="1">IF(F936=" "," ",IF('депозитный калькулятор'!$G$10="ежедневное",H936,IF(AND('депозитный калькулятор'!$G$10="еженедельное",WEEKDAY(F936,2)=7),SUM(OFFSET(H936,-6,0):H936),IF(AND('депозитный калькулятор'!$G$10="еженедельное",F936='депозитный калькулятор'!$D$8),SUM($H$23:H936)-SUM($I$23:I935),IF(AND('депозитный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недели",WEEKDAY(F936,2)=7),MIN(OFFSET(H936,-6,0):H936)*(COUNTIF(OFFSET(H936,-6,0):H936,"&gt;0")+SUMIF(OFFSET(A936,-WEEKDAY(F936,2),0):A936,"=2",OFFSET(A936,-WEEKDAY(F936,2),0):A936)),IF(AND('депозитный калькулятор'!$G$10="еженедельное, на минимальную сумму зафиксированную в течение недели",F936='депозитный калькулятор'!$D$8,WEEKDAY(F936,2)&lt;&gt;7),MIN(OFFSET(H936,-WEEKDAY(F936,2),0):H936)*(COUNTIF(OFFSET(H936,-WEEKDAY(F936,2)+1,0):H936,"&gt;0")+SUM(OFFSET(A936,-WEEKDAY(F936,2),0):A936)),IF(AND('депозитный калькулятор'!$G$10="ежемесячное (в конце месяца)",F936='депозитный калькулятор'!$D$8,EOMONTH(F936,0)&lt;&gt;F936),IF('депозитный калькулятор'!$F$1=1,$H$24,SUM($H$23:H936)-SUM($I$23:I935)),IF(AND('депозитный калькулятор'!$G$10="ежемесячное (в конце месяца)",EOMONTH(F936,0)=F936),SUM($H$23:H936)-SUM($I$23:I935),IF(AND('депозитный калькулятор'!$G$10="ежемесячное (по дням открытия вклада)",F936='депозитный калькулятор'!$D$8,DAY('депозитный калькулятор'!$D$7)&lt;&gt;DAY(F936)),IF('депозитный калькулятор'!$F$1=1,$H$24,SUM($H$23:H936)-SUM($I$23:I935)),IF(AND('депозитный калькулятор'!$G$10="ежемесячное (по дням открытия вклада)",DAY('депозитный калькулятор'!$D$7)=DAY(F936)),SUM($H$23:H936)-SUM($I$23:I935),IF(AND('депозитный калькулятор'!$G$10="ежемесячное, на минимальную сумму зафиксированную в течение месяца",F936='депозитный калькулятор'!$D$8,EOMONTH(F936,0)&lt;&gt;F936),IF('депозитный калькулятор'!$F$1=1,$H$24,IF(AND(OR('депозитный калькулятор'!$G$7="30/365",'депозитный калькулятор'!$G$7="30/360"),DAY(F936)=31),0,MIN(OFFSET(H936,-E936+1,0):H936)*(E936+SUMIF(OFFSET(A936,-E936+1,0):A936,"=2",OFFSET(A936,-E936+1,0):A936)))),IF(AND('депозитный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калькулятор'!$G$7="30/360"),DAY(EOMONTH(F936,0))=31),EOMONTH(F936,0)-1=F936,EOMONTH(F936,0)=F936)),IF(IF(AND(OR('депозитный калькулятор'!$G$7="30/365",'депозитный калькулятор'!$G$7="30/360"),DAY(EOMONTH($F$23,0))=31),F936=EOMONTH($F$23,0)-1,F936=EOMONTH($F$23,0)),MIN(OFFSET(H936,-(DAY(F936)-DAY($F$23)),0):H936)*E936,MIN(OFFSET(H936,-(DAY(F936)-1),0):H936)*IF(AND(OR('депозитный калькулятор'!$G$7="30/365",'депозитный калькулятор'!$G$7="30/360"),DAY(F936)&lt;30),30,DAY(F936))),IF(AND('депозитный калькулятор'!$G$10="ежемесячное, на средний остаток в течение месяца, при условии что остаток больше чем ограничение",F936='депозитный калькулятор'!$D$8,EOMONTH(F936,0)&lt;&gt;F936),IF('депозитный калькулятор'!$F$1=1,$H$24,SUM(OFFSET(Q936,-E936+1,0):Q936)),IF(AND('депозитный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калькулятор'!$G$7="30/360"),DAY(EOMONTH(F936,0))=31),EOMONTH(F936,0)-1=F936,EOMONTH(F936,0)=F936)),IF(IF(AND(OR('депозитный калькулятор'!$G$7="30/365",'депозитный калькулятор'!$G$7="30/360"),DAY(EOMONTH($F$24,0))=31),F936=EOMONTH($F$24,0)-1,F936=EOMONTH($F$24,0)),SUM(OFFSET(Q936,-E936+1,0):Q936),SUM(OFFSET(Q936,-E936+1,0):Q936)),IF('депозитный калькулятор'!$G$10="ежеквартальное",IF(F936&gt;'депозитный калькулятор'!$D$8," ",IF(AND(EOMONTH(F936,0)=F936,OR(MONTH(F936)=3,MONTH(F936)=6,MONTH(F936)=9,MONTH(F936)=12)),IF(EDATE(F936,-3)&lt;'депозитный калькулятор'!$D$7,SUM($H$23:H936),IF(MOD(YEAR(F936),4)=0,IF(AND(EOMONTH(F936,0)=F936,OR(MONTH(F936)=3,MONTH(F936)=6)),SUM(OFFSET(H936,-90,0):H936),IF(AND(EOMONTH(F936,0)=F936,OR(MONTH(F936)=9,MONTH(F936)=12)),SUM(OFFSET(H936,-91,0):H936))),IF(AND(EOMONTH(F936,0)=F936,MONTH(F936)=3),SUM(OFFSET(H936,-89,0):H936),IF(AND(EOMONTH(F936,0)=F936,MONTH(F936)=6),SUM(OFFSET(H936,-90,0):H936),IF(AND(EOMONTH(F936,0)=F936,OR(MONTH(F936)=9,MONTH(F936)=12)),SUM(OFFSET(H936,-91,0):H936)))))),IF(F936='депозитный калькулятор'!$D$8,SUM($H$23:H936)-SUM($I$23:I935),0))),IF('депозитный калькулятор'!$G$10="ежегодное",IF(F936&gt;'депозитный калькулятор'!$D$8," ",IF(F936='депозитный калькулятор'!$D$8,SUM($H$23:H936)-SUM($I$23:I935),IF(AND(EOMONTH(F936,0)=F936,MONTH(F936)=12),IF(MOD(YEAR(F935),4)=0,IF(F936-'депозитный калькулятор'!$D$7&lt;366,SUM($H$23:H936),SUM(OFFSET(H936,-365,0):H936)),IF(F936-'депозитный калькулятор'!$D$7&lt;365,SUM($H$23:H936),SUM(OFFSET(H936,-364,0):H936))),0))),IF(AND('депозитный калькулятор'!$G$10="в конце срока",'депозитный калькулятор'!$D$8=F936),SUM($H$23:H936),0))))))))))))))))))</f>
        <v xml:space="preserve"> </v>
      </c>
      <c r="J936" s="59" t="str">
        <f>IF(F936&gt;'депозитный калькулятор'!$D$8," ",IF('депозитный калькулятор'!$G$16="нет",0,IF(AND('депозитный калькулятор'!$G$17="разовая (в конце срока)",F936='депозитный калькулятор'!$D$8),'депозитный калькулятор'!$G$18,IF(AND('депозитный калькулятор'!$G$17="ежемесячная",EOMONTH(F935,0)=F935),'депозитный калькулятор'!$G$18,IF(AND('депозитный калькулятор'!$G$17="ежегодная",DAY(F935)=31,MONTH(F935)=12),'депозитный калькулятор'!$G$18,IF(AND('депозитный калькулятор'!$G$17="ежемесячная в зависимости от остатка",EOMONTH(F935,0)=F935,P935&gt;0),'депозитный калькулятор'!$G$18,IF(AND('депозитный калькулятор'!$G$17="ежегодная в зависимости от остатка",DAY(F935)=31,MONTH(F935)=12,P935&gt;0),'депозитный калькулятор'!$G$18,0)))))))</f>
        <v xml:space="preserve"> </v>
      </c>
      <c r="K936" s="135" t="str">
        <f>IF($F936=" "," ",IFERROR(VLOOKUP($F936,'депозитный калькулятор'!$B$26:$F$70,2,0),0))</f>
        <v xml:space="preserve"> </v>
      </c>
      <c r="L936" s="135" t="str">
        <f>IF($F936=" "," ",IFERROR(VLOOKUP($F936,'депозитный калькулятор'!$B$26:$F$70,3,0),0))</f>
        <v xml:space="preserve"> </v>
      </c>
      <c r="M936" s="135" t="str">
        <f>IF($F936=" "," ",IFERROR(VLOOKUP($F936,'депозитный калькулятор'!$B$26:$F$70,4,0),0))</f>
        <v xml:space="preserve"> </v>
      </c>
      <c r="N936" s="135" t="str">
        <f>IF($F936=" "," ",IFERROR(VLOOKUP($F936,'депозитный калькулятор'!$B$26:$F$70,5,0),0))</f>
        <v xml:space="preserve"> </v>
      </c>
      <c r="O936" s="146" t="str">
        <f>IF(F936&gt;'депозитный калькулятор'!$D$8," ",IF(F936='депозитный калькулятор'!$D$8,IF(AND($F$24='депозитный калькулятор'!$D$8,'депозитный калькулятор'!$G$13="нет"),-G936-IF(I936=" ",0,I936)-IF(AND(OR('депозитный калькулятор'!$G$7="30/365",'депозитный калькулятор'!$G$7="30/360"),'депозитный калькулятор'!$G$10="в начале срока"),I935,0)-L936+M936-N936,-G936-IF(I936=" ",0,I936)-L936+M936-N936),IF('депозитный калькулятор'!$G$13="есть",M936-N936+IF('депозитный калькулятор'!$G$14="есть",0,-L936),-IF(I936=" ",0,I936)-IF(AND(OR('депозитный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срока"),I935,0)+M936-N936+IF('депозитный калькулятор'!$G$14="есть",0,-L936))))</f>
        <v xml:space="preserve"> </v>
      </c>
      <c r="P936" s="147" t="str">
        <f>IF(F936&gt;'депозитный калькулятор'!$D$8," ",IF(EOMONTH(F935,0)=F935,0,IF(G936&gt;='депозитный калькулятор'!$G$19,P935,P935+1)))</f>
        <v xml:space="preserve"> </v>
      </c>
      <c r="Q936" s="138" t="str">
        <f>IF(F936=" "," ",IF(AND(OR('депозитный калькулятор'!$G$7="30/365",'депозитный калькулятор'!$G$7="30/360"),AND(MONTH(F936)=2,EOMONTH(F936,0)=F936)),IF(DAY(F936)=28,3,2),1)*IF(G936&gt;='депозитный калькулятор'!$G$11,IF(AND('депозитный калькулятор'!$G$7="факт/факт",MOD(YEAR(F936),4)=0),G936*'депозитный калькулятор'!$D$11/366,G936*'депозитный калькулятор'!$G$8),0))</f>
        <v xml:space="preserve"> </v>
      </c>
      <c r="S936" s="62" t="str">
        <f t="shared" ca="1" si="72"/>
        <v xml:space="preserve"> </v>
      </c>
      <c r="T936" s="149" t="str">
        <f ca="1">IF(S936=" "," ",IF('депозитный калькулятор'!$G$7="30/360",DAYS360(U935,IF(DAY(U936)=31,U936-1,U936))+IF(AND(MONTH(U936)=2,U936=EOMONTH(U936,0)),30-DAY(EOMONTH(U936,0)))+T935,VLOOKUP(S936,$C$22:$F$1023,2,0)))</f>
        <v xml:space="preserve"> </v>
      </c>
      <c r="U936" s="64" t="str">
        <f t="shared" ca="1" si="70"/>
        <v xml:space="preserve"> </v>
      </c>
      <c r="V936" s="150" t="str">
        <f t="shared" ca="1" si="73"/>
        <v xml:space="preserve"> </v>
      </c>
      <c r="W936" s="62" t="str">
        <f t="shared" ca="1" si="74"/>
        <v xml:space="preserve"> </v>
      </c>
      <c r="X936" s="141" t="str">
        <f ca="1">IF(S936=" "," ",IFERROR(VLOOKUP(U936,$F$23:$N$1023,7)+VLOOKUP(U936,$F$23:$N$1023,9)+IF(AND('депозитный калькулятор'!$G$13="нет",U936&lt;&gt;'депозитный калькулятор'!$D$8),VLOOKUP(U936,$F$23:$N$1023,4),0),0)+IF(U936='депозитный калькулятор'!$D$8,VLOOKUP(U936,$F$23:$N$1023,2)+VLOOKUP(U936,$F$23:$N$1023,4),0))</f>
        <v xml:space="preserve"> </v>
      </c>
      <c r="Y936" s="142" t="str">
        <f ca="1">IF(S936=" "," ",W936/(1+'депозитный калькулятор'!$K$8)^(T936/IF('депозитный калькулятор'!$G$7="30/360",360,365)))</f>
        <v xml:space="preserve"> </v>
      </c>
      <c r="Z936" s="142" t="str">
        <f ca="1">IF(S936=" "," ",X936/(1+'депозитный калькулятор'!$K$8)^(T936/IF('депозитный калькулятор'!$G$7="30/360",360,365)))</f>
        <v xml:space="preserve"> </v>
      </c>
      <c r="AA936" s="151"/>
      <c r="AB936" s="151"/>
      <c r="AC936" s="155"/>
      <c r="AD936" s="155"/>
    </row>
    <row r="937" spans="1:30" s="2" customFormat="1" ht="15.5" x14ac:dyDescent="0.35">
      <c r="A937" s="41" t="str">
        <f>IF(F937=" "," ",IF(OR('депозитный калькулятор'!$G$7="30/365",'депозитный калькулятор'!$G$7="30/360"),IF(AND(MONTH(F937)=2,DAY(F937)=DAY(EOMONTH(F937,0))),30-DAY(EOMONTH(F937,0)),IF(DAY(F937)=31,1," "))," "))</f>
        <v xml:space="preserve"> </v>
      </c>
      <c r="B937" s="130" t="str">
        <f t="shared" si="71"/>
        <v xml:space="preserve"> </v>
      </c>
      <c r="C937" s="130" t="str">
        <f>IF(OR(B937=0,B937=" ")," ",SUM($B$23:B937))</f>
        <v xml:space="preserve"> </v>
      </c>
      <c r="D937" s="62" t="str">
        <f>IF(D936=" "," ",IF(OR(F936='депозитный калькулятор'!$D$8,F936=" ")," ",D936+1))</f>
        <v xml:space="preserve"> </v>
      </c>
      <c r="E937" s="130" t="str">
        <f>IF(OR(F936='депозитный калькулятор'!$D$8,F936=" ")," ",IF(EOMONTH(F936,0)=F936,1,E936+1))</f>
        <v xml:space="preserve"> </v>
      </c>
      <c r="F937" s="64" t="str">
        <f>IF(F936=" "," ",IF(F936='депозитный калькулятор'!$D$8," ",F936+1))</f>
        <v xml:space="preserve"> </v>
      </c>
      <c r="G937" s="145" t="str">
        <f xml:space="preserve"> IF(F937&gt;'депозитный калькулятор'!$D$8," ",IF('депозитный калькулятор'!$G$13="есть",IF('депозитный калькулятор'!$G$14="есть",G936+IF(I936=" ",0,I936)-J937-K937+L937+M937-N937,G936+IF(I936=" ",0,I936)-J937-K937+M937-N937),IF('депозитный калькулятор'!$G$14="есть",G936-J937-K937+L937+M937-N937,G936-J937-K937+M937-N937)))</f>
        <v xml:space="preserve"> </v>
      </c>
      <c r="H937" s="133" t="str">
        <f>IF(F937&gt;'депозитный калькулятор'!$D$8," ",IF(AND(OR('депозитный калькулятор'!$G$7="30/365",'депозитный калькулятор'!$G$7="30/360"),AND(MONTH(F937)=2,EOMONTH(F937,0)=F937)),IF(DAY(F937)=28,3*G937*'депозитный калькулятор'!$G$8,2*G937*'депозитный калькулятор'!$G$8),IF(AND(OR('депозитный калькулятор'!$G$7="30/365",'депозитный калькулятор'!$G$7="30/360"),DAY(F937)=31)," ",IF(AND('депозитный калькулятор'!$G$7="факт/факт",MOD(YEAR(F937),4)=0),G937*'депозитный калькулятор'!$D$11/366,G937*'депозитный калькулятор'!$G$8))))</f>
        <v xml:space="preserve"> </v>
      </c>
      <c r="I937" s="134" t="str">
        <f ca="1">IF(F937=" "," ",IF('депозитный калькулятор'!$G$10="ежедневное",H937,IF(AND('депозитный калькулятор'!$G$10="еженедельное",WEEKDAY(F937,2)=7),SUM(OFFSET(H937,-6,0):H937),IF(AND('депозитный калькулятор'!$G$10="еженедельное",F937='депозитный калькулятор'!$D$8),SUM($H$23:H937)-SUM($I$23:I936),IF(AND('депозитный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недели",WEEKDAY(F937,2)=7),MIN(OFFSET(H937,-6,0):H937)*(COUNTIF(OFFSET(H937,-6,0):H937,"&gt;0")+SUMIF(OFFSET(A937,-WEEKDAY(F937,2),0):A937,"=2",OFFSET(A937,-WEEKDAY(F937,2),0):A937)),IF(AND('депозитный калькулятор'!$G$10="еженедельное, на минимальную сумму зафиксированную в течение недели",F937='депозитный калькулятор'!$D$8,WEEKDAY(F937,2)&lt;&gt;7),MIN(OFFSET(H937,-WEEKDAY(F937,2),0):H937)*(COUNTIF(OFFSET(H937,-WEEKDAY(F937,2)+1,0):H937,"&gt;0")+SUM(OFFSET(A937,-WEEKDAY(F937,2),0):A937)),IF(AND('депозитный калькулятор'!$G$10="ежемесячное (в конце месяца)",F937='депозитный калькулятор'!$D$8,EOMONTH(F937,0)&lt;&gt;F937),IF('депозитный калькулятор'!$F$1=1,$H$24,SUM($H$23:H937)-SUM($I$23:I936)),IF(AND('депозитный калькулятор'!$G$10="ежемесячное (в конце месяца)",EOMONTH(F937,0)=F937),SUM($H$23:H937)-SUM($I$23:I936),IF(AND('депозитный калькулятор'!$G$10="ежемесячное (по дням открытия вклада)",F937='депозитный калькулятор'!$D$8,DAY('депозитный калькулятор'!$D$7)&lt;&gt;DAY(F937)),IF('депозитный калькулятор'!$F$1=1,$H$24,SUM($H$23:H937)-SUM($I$23:I936)),IF(AND('депозитный калькулятор'!$G$10="ежемесячное (по дням открытия вклада)",DAY('депозитный калькулятор'!$D$7)=DAY(F937)),SUM($H$23:H937)-SUM($I$23:I936),IF(AND('депозитный калькулятор'!$G$10="ежемесячное, на минимальную сумму зафиксированную в течение месяца",F937='депозитный калькулятор'!$D$8,EOMONTH(F937,0)&lt;&gt;F937),IF('депозитный калькулятор'!$F$1=1,$H$24,IF(AND(OR('депозитный калькулятор'!$G$7="30/365",'депозитный калькулятор'!$G$7="30/360"),DAY(F937)=31),0,MIN(OFFSET(H937,-E937+1,0):H937)*(E937+SUMIF(OFFSET(A937,-E937+1,0):A937,"=2",OFFSET(A937,-E937+1,0):A937)))),IF(AND('депозитный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калькулятор'!$G$7="30/360"),DAY(EOMONTH(F937,0))=31),EOMONTH(F937,0)-1=F937,EOMONTH(F937,0)=F937)),IF(IF(AND(OR('депозитный калькулятор'!$G$7="30/365",'депозитный калькулятор'!$G$7="30/360"),DAY(EOMONTH($F$23,0))=31),F937=EOMONTH($F$23,0)-1,F937=EOMONTH($F$23,0)),MIN(OFFSET(H937,-(DAY(F937)-DAY($F$23)),0):H937)*E937,MIN(OFFSET(H937,-(DAY(F937)-1),0):H937)*IF(AND(OR('депозитный калькулятор'!$G$7="30/365",'депозитный калькулятор'!$G$7="30/360"),DAY(F937)&lt;30),30,DAY(F937))),IF(AND('депозитный калькулятор'!$G$10="ежемесячное, на средний остаток в течение месяца, при условии что остаток больше чем ограничение",F937='депозитный калькулятор'!$D$8,EOMONTH(F937,0)&lt;&gt;F937),IF('депозитный калькулятор'!$F$1=1,$H$24,SUM(OFFSET(Q937,-E937+1,0):Q937)),IF(AND('депозитный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калькулятор'!$G$7="30/360"),DAY(EOMONTH(F937,0))=31),EOMONTH(F937,0)-1=F937,EOMONTH(F937,0)=F937)),IF(IF(AND(OR('депозитный калькулятор'!$G$7="30/365",'депозитный калькулятор'!$G$7="30/360"),DAY(EOMONTH($F$24,0))=31),F937=EOMONTH($F$24,0)-1,F937=EOMONTH($F$24,0)),SUM(OFFSET(Q937,-E937+1,0):Q937),SUM(OFFSET(Q937,-E937+1,0):Q937)),IF('депозитный калькулятор'!$G$10="ежеквартальное",IF(F937&gt;'депозитный калькулятор'!$D$8," ",IF(AND(EOMONTH(F937,0)=F937,OR(MONTH(F937)=3,MONTH(F937)=6,MONTH(F937)=9,MONTH(F937)=12)),IF(EDATE(F937,-3)&lt;'депозитный калькулятор'!$D$7,SUM($H$23:H937),IF(MOD(YEAR(F937),4)=0,IF(AND(EOMONTH(F937,0)=F937,OR(MONTH(F937)=3,MONTH(F937)=6)),SUM(OFFSET(H937,-90,0):H937),IF(AND(EOMONTH(F937,0)=F937,OR(MONTH(F937)=9,MONTH(F937)=12)),SUM(OFFSET(H937,-91,0):H937))),IF(AND(EOMONTH(F937,0)=F937,MONTH(F937)=3),SUM(OFFSET(H937,-89,0):H937),IF(AND(EOMONTH(F937,0)=F937,MONTH(F937)=6),SUM(OFFSET(H937,-90,0):H937),IF(AND(EOMONTH(F937,0)=F937,OR(MONTH(F937)=9,MONTH(F937)=12)),SUM(OFFSET(H937,-91,0):H937)))))),IF(F937='депозитный калькулятор'!$D$8,SUM($H$23:H937)-SUM($I$23:I936),0))),IF('депозитный калькулятор'!$G$10="ежегодное",IF(F937&gt;'депозитный калькулятор'!$D$8," ",IF(F937='депозитный калькулятор'!$D$8,SUM($H$23:H937)-SUM($I$23:I936),IF(AND(EOMONTH(F937,0)=F937,MONTH(F937)=12),IF(MOD(YEAR(F936),4)=0,IF(F937-'депозитный калькулятор'!$D$7&lt;366,SUM($H$23:H937),SUM(OFFSET(H937,-365,0):H937)),IF(F937-'депозитный калькулятор'!$D$7&lt;365,SUM($H$23:H937),SUM(OFFSET(H937,-364,0):H937))),0))),IF(AND('депозитный калькулятор'!$G$10="в конце срока",'депозитный калькулятор'!$D$8=F937),SUM($H$23:H937),0))))))))))))))))))</f>
        <v xml:space="preserve"> </v>
      </c>
      <c r="J937" s="59" t="str">
        <f>IF(F937&gt;'депозитный калькулятор'!$D$8," ",IF('депозитный калькулятор'!$G$16="нет",0,IF(AND('депозитный калькулятор'!$G$17="разовая (в конце срока)",F937='депозитный калькулятор'!$D$8),'депозитный калькулятор'!$G$18,IF(AND('депозитный калькулятор'!$G$17="ежемесячная",EOMONTH(F936,0)=F936),'депозитный калькулятор'!$G$18,IF(AND('депозитный калькулятор'!$G$17="ежегодная",DAY(F936)=31,MONTH(F936)=12),'депозитный калькулятор'!$G$18,IF(AND('депозитный калькулятор'!$G$17="ежемесячная в зависимости от остатка",EOMONTH(F936,0)=F936,P936&gt;0),'депозитный калькулятор'!$G$18,IF(AND('депозитный калькулятор'!$G$17="ежегодная в зависимости от остатка",DAY(F936)=31,MONTH(F936)=12,P936&gt;0),'депозитный калькулятор'!$G$18,0)))))))</f>
        <v xml:space="preserve"> </v>
      </c>
      <c r="K937" s="135" t="str">
        <f>IF($F937=" "," ",IFERROR(VLOOKUP($F937,'депозитный калькулятор'!$B$26:$F$70,2,0),0))</f>
        <v xml:space="preserve"> </v>
      </c>
      <c r="L937" s="135" t="str">
        <f>IF($F937=" "," ",IFERROR(VLOOKUP($F937,'депозитный калькулятор'!$B$26:$F$70,3,0),0))</f>
        <v xml:space="preserve"> </v>
      </c>
      <c r="M937" s="135" t="str">
        <f>IF($F937=" "," ",IFERROR(VLOOKUP($F937,'депозитный калькулятор'!$B$26:$F$70,4,0),0))</f>
        <v xml:space="preserve"> </v>
      </c>
      <c r="N937" s="135" t="str">
        <f>IF($F937=" "," ",IFERROR(VLOOKUP($F937,'депозитный калькулятор'!$B$26:$F$70,5,0),0))</f>
        <v xml:space="preserve"> </v>
      </c>
      <c r="O937" s="146" t="str">
        <f>IF(F937&gt;'депозитный калькулятор'!$D$8," ",IF(F937='депозитный калькулятор'!$D$8,IF(AND($F$24='депозитный калькулятор'!$D$8,'депозитный калькулятор'!$G$13="нет"),-G937-IF(I937=" ",0,I937)-IF(AND(OR('депозитный калькулятор'!$G$7="30/365",'депозитный калькулятор'!$G$7="30/360"),'депозитный калькулятор'!$G$10="в начале срока"),I936,0)-L937+M937-N937,-G937-IF(I937=" ",0,I937)-L937+M937-N937),IF('депозитный калькулятор'!$G$13="есть",M937-N937+IF('депозитный калькулятор'!$G$14="есть",0,-L937),-IF(I937=" ",0,I937)-IF(AND(OR('депозитный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срока"),I936,0)+M937-N937+IF('депозитный калькулятор'!$G$14="есть",0,-L937))))</f>
        <v xml:space="preserve"> </v>
      </c>
      <c r="P937" s="147" t="str">
        <f>IF(F937&gt;'депозитный калькулятор'!$D$8," ",IF(EOMONTH(F936,0)=F936,0,IF(G937&gt;='депозитный калькулятор'!$G$19,P936,P936+1)))</f>
        <v xml:space="preserve"> </v>
      </c>
      <c r="Q937" s="138" t="str">
        <f>IF(F937=" "," ",IF(AND(OR('депозитный калькулятор'!$G$7="30/365",'депозитный калькулятор'!$G$7="30/360"),AND(MONTH(F937)=2,EOMONTH(F937,0)=F937)),IF(DAY(F937)=28,3,2),1)*IF(G937&gt;='депозитный калькулятор'!$G$11,IF(AND('депозитный калькулятор'!$G$7="факт/факт",MOD(YEAR(F937),4)=0),G937*'депозитный калькулятор'!$D$11/366,G937*'депозитный калькулятор'!$G$8),0))</f>
        <v xml:space="preserve"> </v>
      </c>
      <c r="S937" s="62" t="str">
        <f t="shared" ca="1" si="72"/>
        <v xml:space="preserve"> </v>
      </c>
      <c r="T937" s="149" t="str">
        <f ca="1">IF(S937=" "," ",IF('депозитный калькулятор'!$G$7="30/360",DAYS360(U936,IF(DAY(U937)=31,U937-1,U937))+IF(AND(MONTH(U937)=2,U937=EOMONTH(U937,0)),30-DAY(EOMONTH(U937,0)))+T936,VLOOKUP(S937,$C$22:$F$1023,2,0)))</f>
        <v xml:space="preserve"> </v>
      </c>
      <c r="U937" s="64" t="str">
        <f t="shared" ca="1" si="70"/>
        <v xml:space="preserve"> </v>
      </c>
      <c r="V937" s="150" t="str">
        <f t="shared" ca="1" si="73"/>
        <v xml:space="preserve"> </v>
      </c>
      <c r="W937" s="62" t="str">
        <f t="shared" ca="1" si="74"/>
        <v xml:space="preserve"> </v>
      </c>
      <c r="X937" s="141" t="str">
        <f ca="1">IF(S937=" "," ",IFERROR(VLOOKUP(U937,$F$23:$N$1023,7)+VLOOKUP(U937,$F$23:$N$1023,9)+IF(AND('депозитный калькулятор'!$G$13="нет",U937&lt;&gt;'депозитный калькулятор'!$D$8),VLOOKUP(U937,$F$23:$N$1023,4),0),0)+IF(U937='депозитный калькулятор'!$D$8,VLOOKUP(U937,$F$23:$N$1023,2)+VLOOKUP(U937,$F$23:$N$1023,4),0))</f>
        <v xml:space="preserve"> </v>
      </c>
      <c r="Y937" s="142" t="str">
        <f ca="1">IF(S937=" "," ",W937/(1+'депозитный калькулятор'!$K$8)^(T937/IF('депозитный калькулятор'!$G$7="30/360",360,365)))</f>
        <v xml:space="preserve"> </v>
      </c>
      <c r="Z937" s="142" t="str">
        <f ca="1">IF(S937=" "," ",X937/(1+'депозитный калькулятор'!$K$8)^(T937/IF('депозитный калькулятор'!$G$7="30/360",360,365)))</f>
        <v xml:space="preserve"> </v>
      </c>
      <c r="AA937" s="151"/>
      <c r="AB937" s="151"/>
      <c r="AC937" s="155"/>
      <c r="AD937" s="155"/>
    </row>
    <row r="938" spans="1:30" s="2" customFormat="1" ht="15.5" x14ac:dyDescent="0.35">
      <c r="A938" s="41" t="str">
        <f>IF(F938=" "," ",IF(OR('депозитный калькулятор'!$G$7="30/365",'депозитный калькулятор'!$G$7="30/360"),IF(AND(MONTH(F938)=2,DAY(F938)=DAY(EOMONTH(F938,0))),30-DAY(EOMONTH(F938,0)),IF(DAY(F938)=31,1," "))," "))</f>
        <v xml:space="preserve"> </v>
      </c>
      <c r="B938" s="130" t="str">
        <f t="shared" si="71"/>
        <v xml:space="preserve"> </v>
      </c>
      <c r="C938" s="130" t="str">
        <f>IF(OR(B938=0,B938=" ")," ",SUM($B$23:B938))</f>
        <v xml:space="preserve"> </v>
      </c>
      <c r="D938" s="62" t="str">
        <f>IF(D937=" "," ",IF(OR(F937='депозитный калькулятор'!$D$8,F937=" ")," ",D937+1))</f>
        <v xml:space="preserve"> </v>
      </c>
      <c r="E938" s="130" t="str">
        <f>IF(OR(F937='депозитный калькулятор'!$D$8,F937=" ")," ",IF(EOMONTH(F937,0)=F937,1,E937+1))</f>
        <v xml:space="preserve"> </v>
      </c>
      <c r="F938" s="64" t="str">
        <f>IF(F937=" "," ",IF(F937='депозитный калькулятор'!$D$8," ",F937+1))</f>
        <v xml:space="preserve"> </v>
      </c>
      <c r="G938" s="145" t="str">
        <f xml:space="preserve"> IF(F938&gt;'депозитный калькулятор'!$D$8," ",IF('депозитный калькулятор'!$G$13="есть",IF('депозитный калькулятор'!$G$14="есть",G937+IF(I937=" ",0,I937)-J938-K938+L938+M938-N938,G937+IF(I937=" ",0,I937)-J938-K938+M938-N938),IF('депозитный калькулятор'!$G$14="есть",G937-J938-K938+L938+M938-N938,G937-J938-K938+M938-N938)))</f>
        <v xml:space="preserve"> </v>
      </c>
      <c r="H938" s="133" t="str">
        <f>IF(F938&gt;'депозитный калькулятор'!$D$8," ",IF(AND(OR('депозитный калькулятор'!$G$7="30/365",'депозитный калькулятор'!$G$7="30/360"),AND(MONTH(F938)=2,EOMONTH(F938,0)=F938)),IF(DAY(F938)=28,3*G938*'депозитный калькулятор'!$G$8,2*G938*'депозитный калькулятор'!$G$8),IF(AND(OR('депозитный калькулятор'!$G$7="30/365",'депозитный калькулятор'!$G$7="30/360"),DAY(F938)=31)," ",IF(AND('депозитный калькулятор'!$G$7="факт/факт",MOD(YEAR(F938),4)=0),G938*'депозитный калькулятор'!$D$11/366,G938*'депозитный калькулятор'!$G$8))))</f>
        <v xml:space="preserve"> </v>
      </c>
      <c r="I938" s="134" t="str">
        <f ca="1">IF(F938=" "," ",IF('депозитный калькулятор'!$G$10="ежедневное",H938,IF(AND('депозитный калькулятор'!$G$10="еженедельное",WEEKDAY(F938,2)=7),SUM(OFFSET(H938,-6,0):H938),IF(AND('депозитный калькулятор'!$G$10="еженедельное",F938='депозитный калькулятор'!$D$8),SUM($H$23:H938)-SUM($I$23:I937),IF(AND('депозитный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недели",WEEKDAY(F938,2)=7),MIN(OFFSET(H938,-6,0):H938)*(COUNTIF(OFFSET(H938,-6,0):H938,"&gt;0")+SUMIF(OFFSET(A938,-WEEKDAY(F938,2),0):A938,"=2",OFFSET(A938,-WEEKDAY(F938,2),0):A938)),IF(AND('депозитный калькулятор'!$G$10="еженедельное, на минимальную сумму зафиксированную в течение недели",F938='депозитный калькулятор'!$D$8,WEEKDAY(F938,2)&lt;&gt;7),MIN(OFFSET(H938,-WEEKDAY(F938,2),0):H938)*(COUNTIF(OFFSET(H938,-WEEKDAY(F938,2)+1,0):H938,"&gt;0")+SUM(OFFSET(A938,-WEEKDAY(F938,2),0):A938)),IF(AND('депозитный калькулятор'!$G$10="ежемесячное (в конце месяца)",F938='депозитный калькулятор'!$D$8,EOMONTH(F938,0)&lt;&gt;F938),IF('депозитный калькулятор'!$F$1=1,$H$24,SUM($H$23:H938)-SUM($I$23:I937)),IF(AND('депозитный калькулятор'!$G$10="ежемесячное (в конце месяца)",EOMONTH(F938,0)=F938),SUM($H$23:H938)-SUM($I$23:I937),IF(AND('депозитный калькулятор'!$G$10="ежемесячное (по дням открытия вклада)",F938='депозитный калькулятор'!$D$8,DAY('депозитный калькулятор'!$D$7)&lt;&gt;DAY(F938)),IF('депозитный калькулятор'!$F$1=1,$H$24,SUM($H$23:H938)-SUM($I$23:I937)),IF(AND('депозитный калькулятор'!$G$10="ежемесячное (по дням открытия вклада)",DAY('депозитный калькулятор'!$D$7)=DAY(F938)),SUM($H$23:H938)-SUM($I$23:I937),IF(AND('депозитный калькулятор'!$G$10="ежемесячное, на минимальную сумму зафиксированную в течение месяца",F938='депозитный калькулятор'!$D$8,EOMONTH(F938,0)&lt;&gt;F938),IF('депозитный калькулятор'!$F$1=1,$H$24,IF(AND(OR('депозитный калькулятор'!$G$7="30/365",'депозитный калькулятор'!$G$7="30/360"),DAY(F938)=31),0,MIN(OFFSET(H938,-E938+1,0):H938)*(E938+SUMIF(OFFSET(A938,-E938+1,0):A938,"=2",OFFSET(A938,-E938+1,0):A938)))),IF(AND('депозитный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калькулятор'!$G$7="30/360"),DAY(EOMONTH(F938,0))=31),EOMONTH(F938,0)-1=F938,EOMONTH(F938,0)=F938)),IF(IF(AND(OR('депозитный калькулятор'!$G$7="30/365",'депозитный калькулятор'!$G$7="30/360"),DAY(EOMONTH($F$23,0))=31),F938=EOMONTH($F$23,0)-1,F938=EOMONTH($F$23,0)),MIN(OFFSET(H938,-(DAY(F938)-DAY($F$23)),0):H938)*E938,MIN(OFFSET(H938,-(DAY(F938)-1),0):H938)*IF(AND(OR('депозитный калькулятор'!$G$7="30/365",'депозитный калькулятор'!$G$7="30/360"),DAY(F938)&lt;30),30,DAY(F938))),IF(AND('депозитный калькулятор'!$G$10="ежемесячное, на средний остаток в течение месяца, при условии что остаток больше чем ограничение",F938='депозитный калькулятор'!$D$8,EOMONTH(F938,0)&lt;&gt;F938),IF('депозитный калькулятор'!$F$1=1,$H$24,SUM(OFFSET(Q938,-E938+1,0):Q938)),IF(AND('депозитный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калькулятор'!$G$7="30/360"),DAY(EOMONTH(F938,0))=31),EOMONTH(F938,0)-1=F938,EOMONTH(F938,0)=F938)),IF(IF(AND(OR('депозитный калькулятор'!$G$7="30/365",'депозитный калькулятор'!$G$7="30/360"),DAY(EOMONTH($F$24,0))=31),F938=EOMONTH($F$24,0)-1,F938=EOMONTH($F$24,0)),SUM(OFFSET(Q938,-E938+1,0):Q938),SUM(OFFSET(Q938,-E938+1,0):Q938)),IF('депозитный калькулятор'!$G$10="ежеквартальное",IF(F938&gt;'депозитный калькулятор'!$D$8," ",IF(AND(EOMONTH(F938,0)=F938,OR(MONTH(F938)=3,MONTH(F938)=6,MONTH(F938)=9,MONTH(F938)=12)),IF(EDATE(F938,-3)&lt;'депозитный калькулятор'!$D$7,SUM($H$23:H938),IF(MOD(YEAR(F938),4)=0,IF(AND(EOMONTH(F938,0)=F938,OR(MONTH(F938)=3,MONTH(F938)=6)),SUM(OFFSET(H938,-90,0):H938),IF(AND(EOMONTH(F938,0)=F938,OR(MONTH(F938)=9,MONTH(F938)=12)),SUM(OFFSET(H938,-91,0):H938))),IF(AND(EOMONTH(F938,0)=F938,MONTH(F938)=3),SUM(OFFSET(H938,-89,0):H938),IF(AND(EOMONTH(F938,0)=F938,MONTH(F938)=6),SUM(OFFSET(H938,-90,0):H938),IF(AND(EOMONTH(F938,0)=F938,OR(MONTH(F938)=9,MONTH(F938)=12)),SUM(OFFSET(H938,-91,0):H938)))))),IF(F938='депозитный калькулятор'!$D$8,SUM($H$23:H938)-SUM($I$23:I937),0))),IF('депозитный калькулятор'!$G$10="ежегодное",IF(F938&gt;'депозитный калькулятор'!$D$8," ",IF(F938='депозитный калькулятор'!$D$8,SUM($H$23:H938)-SUM($I$23:I937),IF(AND(EOMONTH(F938,0)=F938,MONTH(F938)=12),IF(MOD(YEAR(F937),4)=0,IF(F938-'депозитный калькулятор'!$D$7&lt;366,SUM($H$23:H938),SUM(OFFSET(H938,-365,0):H938)),IF(F938-'депозитный калькулятор'!$D$7&lt;365,SUM($H$23:H938),SUM(OFFSET(H938,-364,0):H938))),0))),IF(AND('депозитный калькулятор'!$G$10="в конце срока",'депозитный калькулятор'!$D$8=F938),SUM($H$23:H938),0))))))))))))))))))</f>
        <v xml:space="preserve"> </v>
      </c>
      <c r="J938" s="59" t="str">
        <f>IF(F938&gt;'депозитный калькулятор'!$D$8," ",IF('депозитный калькулятор'!$G$16="нет",0,IF(AND('депозитный калькулятор'!$G$17="разовая (в конце срока)",F938='депозитный калькулятор'!$D$8),'депозитный калькулятор'!$G$18,IF(AND('депозитный калькулятор'!$G$17="ежемесячная",EOMONTH(F937,0)=F937),'депозитный калькулятор'!$G$18,IF(AND('депозитный калькулятор'!$G$17="ежегодная",DAY(F937)=31,MONTH(F937)=12),'депозитный калькулятор'!$G$18,IF(AND('депозитный калькулятор'!$G$17="ежемесячная в зависимости от остатка",EOMONTH(F937,0)=F937,P937&gt;0),'депозитный калькулятор'!$G$18,IF(AND('депозитный калькулятор'!$G$17="ежегодная в зависимости от остатка",DAY(F937)=31,MONTH(F937)=12,P937&gt;0),'депозитный калькулятор'!$G$18,0)))))))</f>
        <v xml:space="preserve"> </v>
      </c>
      <c r="K938" s="135" t="str">
        <f>IF($F938=" "," ",IFERROR(VLOOKUP($F938,'депозитный калькулятор'!$B$26:$F$70,2,0),0))</f>
        <v xml:space="preserve"> </v>
      </c>
      <c r="L938" s="135" t="str">
        <f>IF($F938=" "," ",IFERROR(VLOOKUP($F938,'депозитный калькулятор'!$B$26:$F$70,3,0),0))</f>
        <v xml:space="preserve"> </v>
      </c>
      <c r="M938" s="135" t="str">
        <f>IF($F938=" "," ",IFERROR(VLOOKUP($F938,'депозитный калькулятор'!$B$26:$F$70,4,0),0))</f>
        <v xml:space="preserve"> </v>
      </c>
      <c r="N938" s="135" t="str">
        <f>IF($F938=" "," ",IFERROR(VLOOKUP($F938,'депозитный калькулятор'!$B$26:$F$70,5,0),0))</f>
        <v xml:space="preserve"> </v>
      </c>
      <c r="O938" s="146" t="str">
        <f>IF(F938&gt;'депозитный калькулятор'!$D$8," ",IF(F938='депозитный калькулятор'!$D$8,IF(AND($F$24='депозитный калькулятор'!$D$8,'депозитный калькулятор'!$G$13="нет"),-G938-IF(I938=" ",0,I938)-IF(AND(OR('депозитный калькулятор'!$G$7="30/365",'депозитный калькулятор'!$G$7="30/360"),'депозитный калькулятор'!$G$10="в начале срока"),I937,0)-L938+M938-N938,-G938-IF(I938=" ",0,I938)-L938+M938-N938),IF('депозитный калькулятор'!$G$13="есть",M938-N938+IF('депозитный калькулятор'!$G$14="есть",0,-L938),-IF(I938=" ",0,I938)-IF(AND(OR('депозитный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срока"),I937,0)+M938-N938+IF('депозитный калькулятор'!$G$14="есть",0,-L938))))</f>
        <v xml:space="preserve"> </v>
      </c>
      <c r="P938" s="147" t="str">
        <f>IF(F938&gt;'депозитный калькулятор'!$D$8," ",IF(EOMONTH(F937,0)=F937,0,IF(G938&gt;='депозитный калькулятор'!$G$19,P937,P937+1)))</f>
        <v xml:space="preserve"> </v>
      </c>
      <c r="Q938" s="138" t="str">
        <f>IF(F938=" "," ",IF(AND(OR('депозитный калькулятор'!$G$7="30/365",'депозитный калькулятор'!$G$7="30/360"),AND(MONTH(F938)=2,EOMONTH(F938,0)=F938)),IF(DAY(F938)=28,3,2),1)*IF(G938&gt;='депозитный калькулятор'!$G$11,IF(AND('депозитный калькулятор'!$G$7="факт/факт",MOD(YEAR(F938),4)=0),G938*'депозитный калькулятор'!$D$11/366,G938*'депозитный калькулятор'!$G$8),0))</f>
        <v xml:space="preserve"> </v>
      </c>
      <c r="S938" s="62" t="str">
        <f t="shared" ca="1" si="72"/>
        <v xml:space="preserve"> </v>
      </c>
      <c r="T938" s="149" t="str">
        <f ca="1">IF(S938=" "," ",IF('депозитный калькулятор'!$G$7="30/360",DAYS360(U937,IF(DAY(U938)=31,U938-1,U938))+IF(AND(MONTH(U938)=2,U938=EOMONTH(U938,0)),30-DAY(EOMONTH(U938,0)))+T937,VLOOKUP(S938,$C$22:$F$1023,2,0)))</f>
        <v xml:space="preserve"> </v>
      </c>
      <c r="U938" s="64" t="str">
        <f t="shared" ca="1" si="70"/>
        <v xml:space="preserve"> </v>
      </c>
      <c r="V938" s="150" t="str">
        <f t="shared" ca="1" si="73"/>
        <v xml:space="preserve"> </v>
      </c>
      <c r="W938" s="62" t="str">
        <f t="shared" ca="1" si="74"/>
        <v xml:space="preserve"> </v>
      </c>
      <c r="X938" s="141" t="str">
        <f ca="1">IF(S938=" "," ",IFERROR(VLOOKUP(U938,$F$23:$N$1023,7)+VLOOKUP(U938,$F$23:$N$1023,9)+IF(AND('депозитный калькулятор'!$G$13="нет",U938&lt;&gt;'депозитный калькулятор'!$D$8),VLOOKUP(U938,$F$23:$N$1023,4),0),0)+IF(U938='депозитный калькулятор'!$D$8,VLOOKUP(U938,$F$23:$N$1023,2)+VLOOKUP(U938,$F$23:$N$1023,4),0))</f>
        <v xml:space="preserve"> </v>
      </c>
      <c r="Y938" s="142" t="str">
        <f ca="1">IF(S938=" "," ",W938/(1+'депозитный калькулятор'!$K$8)^(T938/IF('депозитный калькулятор'!$G$7="30/360",360,365)))</f>
        <v xml:space="preserve"> </v>
      </c>
      <c r="Z938" s="142" t="str">
        <f ca="1">IF(S938=" "," ",X938/(1+'депозитный калькулятор'!$K$8)^(T938/IF('депозитный калькулятор'!$G$7="30/360",360,365)))</f>
        <v xml:space="preserve"> </v>
      </c>
      <c r="AA938" s="151"/>
      <c r="AB938" s="151"/>
      <c r="AC938" s="155"/>
      <c r="AD938" s="155"/>
    </row>
    <row r="939" spans="1:30" s="2" customFormat="1" ht="15.5" x14ac:dyDescent="0.35">
      <c r="A939" s="41" t="str">
        <f>IF(F939=" "," ",IF(OR('депозитный калькулятор'!$G$7="30/365",'депозитный калькулятор'!$G$7="30/360"),IF(AND(MONTH(F939)=2,DAY(F939)=DAY(EOMONTH(F939,0))),30-DAY(EOMONTH(F939,0)),IF(DAY(F939)=31,1," "))," "))</f>
        <v xml:space="preserve"> </v>
      </c>
      <c r="B939" s="130" t="str">
        <f t="shared" si="71"/>
        <v xml:space="preserve"> </v>
      </c>
      <c r="C939" s="130" t="str">
        <f>IF(OR(B939=0,B939=" ")," ",SUM($B$23:B939))</f>
        <v xml:space="preserve"> </v>
      </c>
      <c r="D939" s="62" t="str">
        <f>IF(D938=" "," ",IF(OR(F938='депозитный калькулятор'!$D$8,F938=" ")," ",D938+1))</f>
        <v xml:space="preserve"> </v>
      </c>
      <c r="E939" s="130" t="str">
        <f>IF(OR(F938='депозитный калькулятор'!$D$8,F938=" ")," ",IF(EOMONTH(F938,0)=F938,1,E938+1))</f>
        <v xml:space="preserve"> </v>
      </c>
      <c r="F939" s="64" t="str">
        <f>IF(F938=" "," ",IF(F938='депозитный калькулятор'!$D$8," ",F938+1))</f>
        <v xml:space="preserve"> </v>
      </c>
      <c r="G939" s="145" t="str">
        <f xml:space="preserve"> IF(F939&gt;'депозитный калькулятор'!$D$8," ",IF('депозитный калькулятор'!$G$13="есть",IF('депозитный калькулятор'!$G$14="есть",G938+IF(I938=" ",0,I938)-J939-K939+L939+M939-N939,G938+IF(I938=" ",0,I938)-J939-K939+M939-N939),IF('депозитный калькулятор'!$G$14="есть",G938-J939-K939+L939+M939-N939,G938-J939-K939+M939-N939)))</f>
        <v xml:space="preserve"> </v>
      </c>
      <c r="H939" s="133" t="str">
        <f>IF(F939&gt;'депозитный калькулятор'!$D$8," ",IF(AND(OR('депозитный калькулятор'!$G$7="30/365",'депозитный калькулятор'!$G$7="30/360"),AND(MONTH(F939)=2,EOMONTH(F939,0)=F939)),IF(DAY(F939)=28,3*G939*'депозитный калькулятор'!$G$8,2*G939*'депозитный калькулятор'!$G$8),IF(AND(OR('депозитный калькулятор'!$G$7="30/365",'депозитный калькулятор'!$G$7="30/360"),DAY(F939)=31)," ",IF(AND('депозитный калькулятор'!$G$7="факт/факт",MOD(YEAR(F939),4)=0),G939*'депозитный калькулятор'!$D$11/366,G939*'депозитный калькулятор'!$G$8))))</f>
        <v xml:space="preserve"> </v>
      </c>
      <c r="I939" s="134" t="str">
        <f ca="1">IF(F939=" "," ",IF('депозитный калькулятор'!$G$10="ежедневное",H939,IF(AND('депозитный калькулятор'!$G$10="еженедельное",WEEKDAY(F939,2)=7),SUM(OFFSET(H939,-6,0):H939),IF(AND('депозитный калькулятор'!$G$10="еженедельное",F939='депозитный калькулятор'!$D$8),SUM($H$23:H939)-SUM($I$23:I938),IF(AND('депозитный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недели",WEEKDAY(F939,2)=7),MIN(OFFSET(H939,-6,0):H939)*(COUNTIF(OFFSET(H939,-6,0):H939,"&gt;0")+SUMIF(OFFSET(A939,-WEEKDAY(F939,2),0):A939,"=2",OFFSET(A939,-WEEKDAY(F939,2),0):A939)),IF(AND('депозитный калькулятор'!$G$10="еженедельное, на минимальную сумму зафиксированную в течение недели",F939='депозитный калькулятор'!$D$8,WEEKDAY(F939,2)&lt;&gt;7),MIN(OFFSET(H939,-WEEKDAY(F939,2),0):H939)*(COUNTIF(OFFSET(H939,-WEEKDAY(F939,2)+1,0):H939,"&gt;0")+SUM(OFFSET(A939,-WEEKDAY(F939,2),0):A939)),IF(AND('депозитный калькулятор'!$G$10="ежемесячное (в конце месяца)",F939='депозитный калькулятор'!$D$8,EOMONTH(F939,0)&lt;&gt;F939),IF('депозитный калькулятор'!$F$1=1,$H$24,SUM($H$23:H939)-SUM($I$23:I938)),IF(AND('депозитный калькулятор'!$G$10="ежемесячное (в конце месяца)",EOMONTH(F939,0)=F939),SUM($H$23:H939)-SUM($I$23:I938),IF(AND('депозитный калькулятор'!$G$10="ежемесячное (по дням открытия вклада)",F939='депозитный калькулятор'!$D$8,DAY('депозитный калькулятор'!$D$7)&lt;&gt;DAY(F939)),IF('депозитный калькулятор'!$F$1=1,$H$24,SUM($H$23:H939)-SUM($I$23:I938)),IF(AND('депозитный калькулятор'!$G$10="ежемесячное (по дням открытия вклада)",DAY('депозитный калькулятор'!$D$7)=DAY(F939)),SUM($H$23:H939)-SUM($I$23:I938),IF(AND('депозитный калькулятор'!$G$10="ежемесячное, на минимальную сумму зафиксированную в течение месяца",F939='депозитный калькулятор'!$D$8,EOMONTH(F939,0)&lt;&gt;F939),IF('депозитный калькулятор'!$F$1=1,$H$24,IF(AND(OR('депозитный калькулятор'!$G$7="30/365",'депозитный калькулятор'!$G$7="30/360"),DAY(F939)=31),0,MIN(OFFSET(H939,-E939+1,0):H939)*(E939+SUMIF(OFFSET(A939,-E939+1,0):A939,"=2",OFFSET(A939,-E939+1,0):A939)))),IF(AND('депозитный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калькулятор'!$G$7="30/360"),DAY(EOMONTH(F939,0))=31),EOMONTH(F939,0)-1=F939,EOMONTH(F939,0)=F939)),IF(IF(AND(OR('депозитный калькулятор'!$G$7="30/365",'депозитный калькулятор'!$G$7="30/360"),DAY(EOMONTH($F$23,0))=31),F939=EOMONTH($F$23,0)-1,F939=EOMONTH($F$23,0)),MIN(OFFSET(H939,-(DAY(F939)-DAY($F$23)),0):H939)*E939,MIN(OFFSET(H939,-(DAY(F939)-1),0):H939)*IF(AND(OR('депозитный калькулятор'!$G$7="30/365",'депозитный калькулятор'!$G$7="30/360"),DAY(F939)&lt;30),30,DAY(F939))),IF(AND('депозитный калькулятор'!$G$10="ежемесячное, на средний остаток в течение месяца, при условии что остаток больше чем ограничение",F939='депозитный калькулятор'!$D$8,EOMONTH(F939,0)&lt;&gt;F939),IF('депозитный калькулятор'!$F$1=1,$H$24,SUM(OFFSET(Q939,-E939+1,0):Q939)),IF(AND('депозитный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калькулятор'!$G$7="30/360"),DAY(EOMONTH(F939,0))=31),EOMONTH(F939,0)-1=F939,EOMONTH(F939,0)=F939)),IF(IF(AND(OR('депозитный калькулятор'!$G$7="30/365",'депозитный калькулятор'!$G$7="30/360"),DAY(EOMONTH($F$24,0))=31),F939=EOMONTH($F$24,0)-1,F939=EOMONTH($F$24,0)),SUM(OFFSET(Q939,-E939+1,0):Q939),SUM(OFFSET(Q939,-E939+1,0):Q939)),IF('депозитный калькулятор'!$G$10="ежеквартальное",IF(F939&gt;'депозитный калькулятор'!$D$8," ",IF(AND(EOMONTH(F939,0)=F939,OR(MONTH(F939)=3,MONTH(F939)=6,MONTH(F939)=9,MONTH(F939)=12)),IF(EDATE(F939,-3)&lt;'депозитный калькулятор'!$D$7,SUM($H$23:H939),IF(MOD(YEAR(F939),4)=0,IF(AND(EOMONTH(F939,0)=F939,OR(MONTH(F939)=3,MONTH(F939)=6)),SUM(OFFSET(H939,-90,0):H939),IF(AND(EOMONTH(F939,0)=F939,OR(MONTH(F939)=9,MONTH(F939)=12)),SUM(OFFSET(H939,-91,0):H939))),IF(AND(EOMONTH(F939,0)=F939,MONTH(F939)=3),SUM(OFFSET(H939,-89,0):H939),IF(AND(EOMONTH(F939,0)=F939,MONTH(F939)=6),SUM(OFFSET(H939,-90,0):H939),IF(AND(EOMONTH(F939,0)=F939,OR(MONTH(F939)=9,MONTH(F939)=12)),SUM(OFFSET(H939,-91,0):H939)))))),IF(F939='депозитный калькулятор'!$D$8,SUM($H$23:H939)-SUM($I$23:I938),0))),IF('депозитный калькулятор'!$G$10="ежегодное",IF(F939&gt;'депозитный калькулятор'!$D$8," ",IF(F939='депозитный калькулятор'!$D$8,SUM($H$23:H939)-SUM($I$23:I938),IF(AND(EOMONTH(F939,0)=F939,MONTH(F939)=12),IF(MOD(YEAR(F938),4)=0,IF(F939-'депозитный калькулятор'!$D$7&lt;366,SUM($H$23:H939),SUM(OFFSET(H939,-365,0):H939)),IF(F939-'депозитный калькулятор'!$D$7&lt;365,SUM($H$23:H939),SUM(OFFSET(H939,-364,0):H939))),0))),IF(AND('депозитный калькулятор'!$G$10="в конце срока",'депозитный калькулятор'!$D$8=F939),SUM($H$23:H939),0))))))))))))))))))</f>
        <v xml:space="preserve"> </v>
      </c>
      <c r="J939" s="59" t="str">
        <f>IF(F939&gt;'депозитный калькулятор'!$D$8," ",IF('депозитный калькулятор'!$G$16="нет",0,IF(AND('депозитный калькулятор'!$G$17="разовая (в конце срока)",F939='депозитный калькулятор'!$D$8),'депозитный калькулятор'!$G$18,IF(AND('депозитный калькулятор'!$G$17="ежемесячная",EOMONTH(F938,0)=F938),'депозитный калькулятор'!$G$18,IF(AND('депозитный калькулятор'!$G$17="ежегодная",DAY(F938)=31,MONTH(F938)=12),'депозитный калькулятор'!$G$18,IF(AND('депозитный калькулятор'!$G$17="ежемесячная в зависимости от остатка",EOMONTH(F938,0)=F938,P938&gt;0),'депозитный калькулятор'!$G$18,IF(AND('депозитный калькулятор'!$G$17="ежегодная в зависимости от остатка",DAY(F938)=31,MONTH(F938)=12,P938&gt;0),'депозитный калькулятор'!$G$18,0)))))))</f>
        <v xml:space="preserve"> </v>
      </c>
      <c r="K939" s="135" t="str">
        <f>IF($F939=" "," ",IFERROR(VLOOKUP($F939,'депозитный калькулятор'!$B$26:$F$70,2,0),0))</f>
        <v xml:space="preserve"> </v>
      </c>
      <c r="L939" s="135" t="str">
        <f>IF($F939=" "," ",IFERROR(VLOOKUP($F939,'депозитный калькулятор'!$B$26:$F$70,3,0),0))</f>
        <v xml:space="preserve"> </v>
      </c>
      <c r="M939" s="135" t="str">
        <f>IF($F939=" "," ",IFERROR(VLOOKUP($F939,'депозитный калькулятор'!$B$26:$F$70,4,0),0))</f>
        <v xml:space="preserve"> </v>
      </c>
      <c r="N939" s="135" t="str">
        <f>IF($F939=" "," ",IFERROR(VLOOKUP($F939,'депозитный калькулятор'!$B$26:$F$70,5,0),0))</f>
        <v xml:space="preserve"> </v>
      </c>
      <c r="O939" s="146" t="str">
        <f>IF(F939&gt;'депозитный калькулятор'!$D$8," ",IF(F939='депозитный калькулятор'!$D$8,IF(AND($F$24='депозитный калькулятор'!$D$8,'депозитный калькулятор'!$G$13="нет"),-G939-IF(I939=" ",0,I939)-IF(AND(OR('депозитный калькулятор'!$G$7="30/365",'депозитный калькулятор'!$G$7="30/360"),'депозитный калькулятор'!$G$10="в начале срока"),I938,0)-L939+M939-N939,-G939-IF(I939=" ",0,I939)-L939+M939-N939),IF('депозитный калькулятор'!$G$13="есть",M939-N939+IF('депозитный калькулятор'!$G$14="есть",0,-L939),-IF(I939=" ",0,I939)-IF(AND(OR('депозитный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срока"),I938,0)+M939-N939+IF('депозитный калькулятор'!$G$14="есть",0,-L939))))</f>
        <v xml:space="preserve"> </v>
      </c>
      <c r="P939" s="147" t="str">
        <f>IF(F939&gt;'депозитный калькулятор'!$D$8," ",IF(EOMONTH(F938,0)=F938,0,IF(G939&gt;='депозитный калькулятор'!$G$19,P938,P938+1)))</f>
        <v xml:space="preserve"> </v>
      </c>
      <c r="Q939" s="138" t="str">
        <f>IF(F939=" "," ",IF(AND(OR('депозитный калькулятор'!$G$7="30/365",'депозитный калькулятор'!$G$7="30/360"),AND(MONTH(F939)=2,EOMONTH(F939,0)=F939)),IF(DAY(F939)=28,3,2),1)*IF(G939&gt;='депозитный калькулятор'!$G$11,IF(AND('депозитный калькулятор'!$G$7="факт/факт",MOD(YEAR(F939),4)=0),G939*'депозитный калькулятор'!$D$11/366,G939*'депозитный калькулятор'!$G$8),0))</f>
        <v xml:space="preserve"> </v>
      </c>
      <c r="S939" s="62" t="str">
        <f t="shared" ca="1" si="72"/>
        <v xml:space="preserve"> </v>
      </c>
      <c r="T939" s="149" t="str">
        <f ca="1">IF(S939=" "," ",IF('депозитный калькулятор'!$G$7="30/360",DAYS360(U938,IF(DAY(U939)=31,U939-1,U939))+IF(AND(MONTH(U939)=2,U939=EOMONTH(U939,0)),30-DAY(EOMONTH(U939,0)))+T938,VLOOKUP(S939,$C$22:$F$1023,2,0)))</f>
        <v xml:space="preserve"> </v>
      </c>
      <c r="U939" s="64" t="str">
        <f t="shared" ca="1" si="70"/>
        <v xml:space="preserve"> </v>
      </c>
      <c r="V939" s="150" t="str">
        <f t="shared" ca="1" si="73"/>
        <v xml:space="preserve"> </v>
      </c>
      <c r="W939" s="62" t="str">
        <f t="shared" ca="1" si="74"/>
        <v xml:space="preserve"> </v>
      </c>
      <c r="X939" s="141" t="str">
        <f ca="1">IF(S939=" "," ",IFERROR(VLOOKUP(U939,$F$23:$N$1023,7)+VLOOKUP(U939,$F$23:$N$1023,9)+IF(AND('депозитный калькулятор'!$G$13="нет",U939&lt;&gt;'депозитный калькулятор'!$D$8),VLOOKUP(U939,$F$23:$N$1023,4),0),0)+IF(U939='депозитный калькулятор'!$D$8,VLOOKUP(U939,$F$23:$N$1023,2)+VLOOKUP(U939,$F$23:$N$1023,4),0))</f>
        <v xml:space="preserve"> </v>
      </c>
      <c r="Y939" s="142" t="str">
        <f ca="1">IF(S939=" "," ",W939/(1+'депозитный калькулятор'!$K$8)^(T939/IF('депозитный калькулятор'!$G$7="30/360",360,365)))</f>
        <v xml:space="preserve"> </v>
      </c>
      <c r="Z939" s="142" t="str">
        <f ca="1">IF(S939=" "," ",X939/(1+'депозитный калькулятор'!$K$8)^(T939/IF('депозитный калькулятор'!$G$7="30/360",360,365)))</f>
        <v xml:space="preserve"> </v>
      </c>
      <c r="AA939" s="151"/>
      <c r="AB939" s="151"/>
      <c r="AC939" s="155"/>
      <c r="AD939" s="155"/>
    </row>
    <row r="940" spans="1:30" s="2" customFormat="1" ht="15.5" x14ac:dyDescent="0.35">
      <c r="A940" s="41" t="str">
        <f>IF(F940=" "," ",IF(OR('депозитный калькулятор'!$G$7="30/365",'депозитный калькулятор'!$G$7="30/360"),IF(AND(MONTH(F940)=2,DAY(F940)=DAY(EOMONTH(F940,0))),30-DAY(EOMONTH(F940,0)),IF(DAY(F940)=31,1," "))," "))</f>
        <v xml:space="preserve"> </v>
      </c>
      <c r="B940" s="130" t="str">
        <f t="shared" si="71"/>
        <v xml:space="preserve"> </v>
      </c>
      <c r="C940" s="130" t="str">
        <f>IF(OR(B940=0,B940=" ")," ",SUM($B$23:B940))</f>
        <v xml:space="preserve"> </v>
      </c>
      <c r="D940" s="62" t="str">
        <f>IF(D939=" "," ",IF(OR(F939='депозитный калькулятор'!$D$8,F939=" ")," ",D939+1))</f>
        <v xml:space="preserve"> </v>
      </c>
      <c r="E940" s="130" t="str">
        <f>IF(OR(F939='депозитный калькулятор'!$D$8,F939=" ")," ",IF(EOMONTH(F939,0)=F939,1,E939+1))</f>
        <v xml:space="preserve"> </v>
      </c>
      <c r="F940" s="64" t="str">
        <f>IF(F939=" "," ",IF(F939='депозитный калькулятор'!$D$8," ",F939+1))</f>
        <v xml:space="preserve"> </v>
      </c>
      <c r="G940" s="145" t="str">
        <f xml:space="preserve"> IF(F940&gt;'депозитный калькулятор'!$D$8," ",IF('депозитный калькулятор'!$G$13="есть",IF('депозитный калькулятор'!$G$14="есть",G939+IF(I939=" ",0,I939)-J940-K940+L940+M940-N940,G939+IF(I939=" ",0,I939)-J940-K940+M940-N940),IF('депозитный калькулятор'!$G$14="есть",G939-J940-K940+L940+M940-N940,G939-J940-K940+M940-N940)))</f>
        <v xml:space="preserve"> </v>
      </c>
      <c r="H940" s="133" t="str">
        <f>IF(F940&gt;'депозитный калькулятор'!$D$8," ",IF(AND(OR('депозитный калькулятор'!$G$7="30/365",'депозитный калькулятор'!$G$7="30/360"),AND(MONTH(F940)=2,EOMONTH(F940,0)=F940)),IF(DAY(F940)=28,3*G940*'депозитный калькулятор'!$G$8,2*G940*'депозитный калькулятор'!$G$8),IF(AND(OR('депозитный калькулятор'!$G$7="30/365",'депозитный калькулятор'!$G$7="30/360"),DAY(F940)=31)," ",IF(AND('депозитный калькулятор'!$G$7="факт/факт",MOD(YEAR(F940),4)=0),G940*'депозитный калькулятор'!$D$11/366,G940*'депозитный калькулятор'!$G$8))))</f>
        <v xml:space="preserve"> </v>
      </c>
      <c r="I940" s="134" t="str">
        <f ca="1">IF(F940=" "," ",IF('депозитный калькулятор'!$G$10="ежедневное",H940,IF(AND('депозитный калькулятор'!$G$10="еженедельное",WEEKDAY(F940,2)=7),SUM(OFFSET(H940,-6,0):H940),IF(AND('депозитный калькулятор'!$G$10="еженедельное",F940='депозитный калькулятор'!$D$8),SUM($H$23:H940)-SUM($I$23:I939),IF(AND('депозитный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недели",WEEKDAY(F940,2)=7),MIN(OFFSET(H940,-6,0):H940)*(COUNTIF(OFFSET(H940,-6,0):H940,"&gt;0")+SUMIF(OFFSET(A940,-WEEKDAY(F940,2),0):A940,"=2",OFFSET(A940,-WEEKDAY(F940,2),0):A940)),IF(AND('депозитный калькулятор'!$G$10="еженедельное, на минимальную сумму зафиксированную в течение недели",F940='депозитный калькулятор'!$D$8,WEEKDAY(F940,2)&lt;&gt;7),MIN(OFFSET(H940,-WEEKDAY(F940,2),0):H940)*(COUNTIF(OFFSET(H940,-WEEKDAY(F940,2)+1,0):H940,"&gt;0")+SUM(OFFSET(A940,-WEEKDAY(F940,2),0):A940)),IF(AND('депозитный калькулятор'!$G$10="ежемесячное (в конце месяца)",F940='депозитный калькулятор'!$D$8,EOMONTH(F940,0)&lt;&gt;F940),IF('депозитный калькулятор'!$F$1=1,$H$24,SUM($H$23:H940)-SUM($I$23:I939)),IF(AND('депозитный калькулятор'!$G$10="ежемесячное (в конце месяца)",EOMONTH(F940,0)=F940),SUM($H$23:H940)-SUM($I$23:I939),IF(AND('депозитный калькулятор'!$G$10="ежемесячное (по дням открытия вклада)",F940='депозитный калькулятор'!$D$8,DAY('депозитный калькулятор'!$D$7)&lt;&gt;DAY(F940)),IF('депозитный калькулятор'!$F$1=1,$H$24,SUM($H$23:H940)-SUM($I$23:I939)),IF(AND('депозитный калькулятор'!$G$10="ежемесячное (по дням открытия вклада)",DAY('депозитный калькулятор'!$D$7)=DAY(F940)),SUM($H$23:H940)-SUM($I$23:I939),IF(AND('депозитный калькулятор'!$G$10="ежемесячное, на минимальную сумму зафиксированную в течение месяца",F940='депозитный калькулятор'!$D$8,EOMONTH(F940,0)&lt;&gt;F940),IF('депозитный калькулятор'!$F$1=1,$H$24,IF(AND(OR('депозитный калькулятор'!$G$7="30/365",'депозитный калькулятор'!$G$7="30/360"),DAY(F940)=31),0,MIN(OFFSET(H940,-E940+1,0):H940)*(E940+SUMIF(OFFSET(A940,-E940+1,0):A940,"=2",OFFSET(A940,-E940+1,0):A940)))),IF(AND('депозитный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калькулятор'!$G$7="30/360"),DAY(EOMONTH(F940,0))=31),EOMONTH(F940,0)-1=F940,EOMONTH(F940,0)=F940)),IF(IF(AND(OR('депозитный калькулятор'!$G$7="30/365",'депозитный калькулятор'!$G$7="30/360"),DAY(EOMONTH($F$23,0))=31),F940=EOMONTH($F$23,0)-1,F940=EOMONTH($F$23,0)),MIN(OFFSET(H940,-(DAY(F940)-DAY($F$23)),0):H940)*E940,MIN(OFFSET(H940,-(DAY(F940)-1),0):H940)*IF(AND(OR('депозитный калькулятор'!$G$7="30/365",'депозитный калькулятор'!$G$7="30/360"),DAY(F940)&lt;30),30,DAY(F940))),IF(AND('депозитный калькулятор'!$G$10="ежемесячное, на средний остаток в течение месяца, при условии что остаток больше чем ограничение",F940='депозитный калькулятор'!$D$8,EOMONTH(F940,0)&lt;&gt;F940),IF('депозитный калькулятор'!$F$1=1,$H$24,SUM(OFFSET(Q940,-E940+1,0):Q940)),IF(AND('депозитный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калькулятор'!$G$7="30/360"),DAY(EOMONTH(F940,0))=31),EOMONTH(F940,0)-1=F940,EOMONTH(F940,0)=F940)),IF(IF(AND(OR('депозитный калькулятор'!$G$7="30/365",'депозитный калькулятор'!$G$7="30/360"),DAY(EOMONTH($F$24,0))=31),F940=EOMONTH($F$24,0)-1,F940=EOMONTH($F$24,0)),SUM(OFFSET(Q940,-E940+1,0):Q940),SUM(OFFSET(Q940,-E940+1,0):Q940)),IF('депозитный калькулятор'!$G$10="ежеквартальное",IF(F940&gt;'депозитный калькулятор'!$D$8," ",IF(AND(EOMONTH(F940,0)=F940,OR(MONTH(F940)=3,MONTH(F940)=6,MONTH(F940)=9,MONTH(F940)=12)),IF(EDATE(F940,-3)&lt;'депозитный калькулятор'!$D$7,SUM($H$23:H940),IF(MOD(YEAR(F940),4)=0,IF(AND(EOMONTH(F940,0)=F940,OR(MONTH(F940)=3,MONTH(F940)=6)),SUM(OFFSET(H940,-90,0):H940),IF(AND(EOMONTH(F940,0)=F940,OR(MONTH(F940)=9,MONTH(F940)=12)),SUM(OFFSET(H940,-91,0):H940))),IF(AND(EOMONTH(F940,0)=F940,MONTH(F940)=3),SUM(OFFSET(H940,-89,0):H940),IF(AND(EOMONTH(F940,0)=F940,MONTH(F940)=6),SUM(OFFSET(H940,-90,0):H940),IF(AND(EOMONTH(F940,0)=F940,OR(MONTH(F940)=9,MONTH(F940)=12)),SUM(OFFSET(H940,-91,0):H940)))))),IF(F940='депозитный калькулятор'!$D$8,SUM($H$23:H940)-SUM($I$23:I939),0))),IF('депозитный калькулятор'!$G$10="ежегодное",IF(F940&gt;'депозитный калькулятор'!$D$8," ",IF(F940='депозитный калькулятор'!$D$8,SUM($H$23:H940)-SUM($I$23:I939),IF(AND(EOMONTH(F940,0)=F940,MONTH(F940)=12),IF(MOD(YEAR(F939),4)=0,IF(F940-'депозитный калькулятор'!$D$7&lt;366,SUM($H$23:H940),SUM(OFFSET(H940,-365,0):H940)),IF(F940-'депозитный калькулятор'!$D$7&lt;365,SUM($H$23:H940),SUM(OFFSET(H940,-364,0):H940))),0))),IF(AND('депозитный калькулятор'!$G$10="в конце срока",'депозитный калькулятор'!$D$8=F940),SUM($H$23:H940),0))))))))))))))))))</f>
        <v xml:space="preserve"> </v>
      </c>
      <c r="J940" s="59" t="str">
        <f>IF(F940&gt;'депозитный калькулятор'!$D$8," ",IF('депозитный калькулятор'!$G$16="нет",0,IF(AND('депозитный калькулятор'!$G$17="разовая (в конце срока)",F940='депозитный калькулятор'!$D$8),'депозитный калькулятор'!$G$18,IF(AND('депозитный калькулятор'!$G$17="ежемесячная",EOMONTH(F939,0)=F939),'депозитный калькулятор'!$G$18,IF(AND('депозитный калькулятор'!$G$17="ежегодная",DAY(F939)=31,MONTH(F939)=12),'депозитный калькулятор'!$G$18,IF(AND('депозитный калькулятор'!$G$17="ежемесячная в зависимости от остатка",EOMONTH(F939,0)=F939,P939&gt;0),'депозитный калькулятор'!$G$18,IF(AND('депозитный калькулятор'!$G$17="ежегодная в зависимости от остатка",DAY(F939)=31,MONTH(F939)=12,P939&gt;0),'депозитный калькулятор'!$G$18,0)))))))</f>
        <v xml:space="preserve"> </v>
      </c>
      <c r="K940" s="135" t="str">
        <f>IF($F940=" "," ",IFERROR(VLOOKUP($F940,'депозитный калькулятор'!$B$26:$F$70,2,0),0))</f>
        <v xml:space="preserve"> </v>
      </c>
      <c r="L940" s="135" t="str">
        <f>IF($F940=" "," ",IFERROR(VLOOKUP($F940,'депозитный калькулятор'!$B$26:$F$70,3,0),0))</f>
        <v xml:space="preserve"> </v>
      </c>
      <c r="M940" s="135" t="str">
        <f>IF($F940=" "," ",IFERROR(VLOOKUP($F940,'депозитный калькулятор'!$B$26:$F$70,4,0),0))</f>
        <v xml:space="preserve"> </v>
      </c>
      <c r="N940" s="135" t="str">
        <f>IF($F940=" "," ",IFERROR(VLOOKUP($F940,'депозитный калькулятор'!$B$26:$F$70,5,0),0))</f>
        <v xml:space="preserve"> </v>
      </c>
      <c r="O940" s="146" t="str">
        <f>IF(F940&gt;'депозитный калькулятор'!$D$8," ",IF(F940='депозитный калькулятор'!$D$8,IF(AND($F$24='депозитный калькулятор'!$D$8,'депозитный калькулятор'!$G$13="нет"),-G940-IF(I940=" ",0,I940)-IF(AND(OR('депозитный калькулятор'!$G$7="30/365",'депозитный калькулятор'!$G$7="30/360"),'депозитный калькулятор'!$G$10="в начале срока"),I939,0)-L940+M940-N940,-G940-IF(I940=" ",0,I940)-L940+M940-N940),IF('депозитный калькулятор'!$G$13="есть",M940-N940+IF('депозитный калькулятор'!$G$14="есть",0,-L940),-IF(I940=" ",0,I940)-IF(AND(OR('депозитный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срока"),I939,0)+M940-N940+IF('депозитный калькулятор'!$G$14="есть",0,-L940))))</f>
        <v xml:space="preserve"> </v>
      </c>
      <c r="P940" s="147" t="str">
        <f>IF(F940&gt;'депозитный калькулятор'!$D$8," ",IF(EOMONTH(F939,0)=F939,0,IF(G940&gt;='депозитный калькулятор'!$G$19,P939,P939+1)))</f>
        <v xml:space="preserve"> </v>
      </c>
      <c r="Q940" s="138" t="str">
        <f>IF(F940=" "," ",IF(AND(OR('депозитный калькулятор'!$G$7="30/365",'депозитный калькулятор'!$G$7="30/360"),AND(MONTH(F940)=2,EOMONTH(F940,0)=F940)),IF(DAY(F940)=28,3,2),1)*IF(G940&gt;='депозитный калькулятор'!$G$11,IF(AND('депозитный калькулятор'!$G$7="факт/факт",MOD(YEAR(F940),4)=0),G940*'депозитный калькулятор'!$D$11/366,G940*'депозитный калькулятор'!$G$8),0))</f>
        <v xml:space="preserve"> </v>
      </c>
      <c r="S940" s="62" t="str">
        <f t="shared" ca="1" si="72"/>
        <v xml:space="preserve"> </v>
      </c>
      <c r="T940" s="149" t="str">
        <f ca="1">IF(S940=" "," ",IF('депозитный калькулятор'!$G$7="30/360",DAYS360(U939,IF(DAY(U940)=31,U940-1,U940))+IF(AND(MONTH(U940)=2,U940=EOMONTH(U940,0)),30-DAY(EOMONTH(U940,0)))+T939,VLOOKUP(S940,$C$22:$F$1023,2,0)))</f>
        <v xml:space="preserve"> </v>
      </c>
      <c r="U940" s="64" t="str">
        <f t="shared" ca="1" si="70"/>
        <v xml:space="preserve"> </v>
      </c>
      <c r="V940" s="150" t="str">
        <f t="shared" ca="1" si="73"/>
        <v xml:space="preserve"> </v>
      </c>
      <c r="W940" s="62" t="str">
        <f t="shared" ca="1" si="74"/>
        <v xml:space="preserve"> </v>
      </c>
      <c r="X940" s="141" t="str">
        <f ca="1">IF(S940=" "," ",IFERROR(VLOOKUP(U940,$F$23:$N$1023,7)+VLOOKUP(U940,$F$23:$N$1023,9)+IF(AND('депозитный калькулятор'!$G$13="нет",U940&lt;&gt;'депозитный калькулятор'!$D$8),VLOOKUP(U940,$F$23:$N$1023,4),0),0)+IF(U940='депозитный калькулятор'!$D$8,VLOOKUP(U940,$F$23:$N$1023,2)+VLOOKUP(U940,$F$23:$N$1023,4),0))</f>
        <v xml:space="preserve"> </v>
      </c>
      <c r="Y940" s="142" t="str">
        <f ca="1">IF(S940=" "," ",W940/(1+'депозитный калькулятор'!$K$8)^(T940/IF('депозитный калькулятор'!$G$7="30/360",360,365)))</f>
        <v xml:space="preserve"> </v>
      </c>
      <c r="Z940" s="142" t="str">
        <f ca="1">IF(S940=" "," ",X940/(1+'депозитный калькулятор'!$K$8)^(T940/IF('депозитный калькулятор'!$G$7="30/360",360,365)))</f>
        <v xml:space="preserve"> </v>
      </c>
      <c r="AA940" s="151"/>
      <c r="AB940" s="151"/>
      <c r="AC940" s="155"/>
      <c r="AD940" s="155"/>
    </row>
    <row r="941" spans="1:30" s="2" customFormat="1" ht="15.5" x14ac:dyDescent="0.35">
      <c r="A941" s="41" t="str">
        <f>IF(F941=" "," ",IF(OR('депозитный калькулятор'!$G$7="30/365",'депозитный калькулятор'!$G$7="30/360"),IF(AND(MONTH(F941)=2,DAY(F941)=DAY(EOMONTH(F941,0))),30-DAY(EOMONTH(F941,0)),IF(DAY(F941)=31,1," "))," "))</f>
        <v xml:space="preserve"> </v>
      </c>
      <c r="B941" s="130" t="str">
        <f t="shared" si="71"/>
        <v xml:space="preserve"> </v>
      </c>
      <c r="C941" s="130" t="str">
        <f>IF(OR(B941=0,B941=" ")," ",SUM($B$23:B941))</f>
        <v xml:space="preserve"> </v>
      </c>
      <c r="D941" s="62" t="str">
        <f>IF(D940=" "," ",IF(OR(F940='депозитный калькулятор'!$D$8,F940=" ")," ",D940+1))</f>
        <v xml:space="preserve"> </v>
      </c>
      <c r="E941" s="130" t="str">
        <f>IF(OR(F940='депозитный калькулятор'!$D$8,F940=" ")," ",IF(EOMONTH(F940,0)=F940,1,E940+1))</f>
        <v xml:space="preserve"> </v>
      </c>
      <c r="F941" s="64" t="str">
        <f>IF(F940=" "," ",IF(F940='депозитный калькулятор'!$D$8," ",F940+1))</f>
        <v xml:space="preserve"> </v>
      </c>
      <c r="G941" s="145" t="str">
        <f xml:space="preserve"> IF(F941&gt;'депозитный калькулятор'!$D$8," ",IF('депозитный калькулятор'!$G$13="есть",IF('депозитный калькулятор'!$G$14="есть",G940+IF(I940=" ",0,I940)-J941-K941+L941+M941-N941,G940+IF(I940=" ",0,I940)-J941-K941+M941-N941),IF('депозитный калькулятор'!$G$14="есть",G940-J941-K941+L941+M941-N941,G940-J941-K941+M941-N941)))</f>
        <v xml:space="preserve"> </v>
      </c>
      <c r="H941" s="133" t="str">
        <f>IF(F941&gt;'депозитный калькулятор'!$D$8," ",IF(AND(OR('депозитный калькулятор'!$G$7="30/365",'депозитный калькулятор'!$G$7="30/360"),AND(MONTH(F941)=2,EOMONTH(F941,0)=F941)),IF(DAY(F941)=28,3*G941*'депозитный калькулятор'!$G$8,2*G941*'депозитный калькулятор'!$G$8),IF(AND(OR('депозитный калькулятор'!$G$7="30/365",'депозитный калькулятор'!$G$7="30/360"),DAY(F941)=31)," ",IF(AND('депозитный калькулятор'!$G$7="факт/факт",MOD(YEAR(F941),4)=0),G941*'депозитный калькулятор'!$D$11/366,G941*'депозитный калькулятор'!$G$8))))</f>
        <v xml:space="preserve"> </v>
      </c>
      <c r="I941" s="134" t="str">
        <f ca="1">IF(F941=" "," ",IF('депозитный калькулятор'!$G$10="ежедневное",H941,IF(AND('депозитный калькулятор'!$G$10="еженедельное",WEEKDAY(F941,2)=7),SUM(OFFSET(H941,-6,0):H941),IF(AND('депозитный калькулятор'!$G$10="еженедельное",F941='депозитный калькулятор'!$D$8),SUM($H$23:H941)-SUM($I$23:I940),IF(AND('депозитный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недели",WEEKDAY(F941,2)=7),MIN(OFFSET(H941,-6,0):H941)*(COUNTIF(OFFSET(H941,-6,0):H941,"&gt;0")+SUMIF(OFFSET(A941,-WEEKDAY(F941,2),0):A941,"=2",OFFSET(A941,-WEEKDAY(F941,2),0):A941)),IF(AND('депозитный калькулятор'!$G$10="еженедельное, на минимальную сумму зафиксированную в течение недели",F941='депозитный калькулятор'!$D$8,WEEKDAY(F941,2)&lt;&gt;7),MIN(OFFSET(H941,-WEEKDAY(F941,2),0):H941)*(COUNTIF(OFFSET(H941,-WEEKDAY(F941,2)+1,0):H941,"&gt;0")+SUM(OFFSET(A941,-WEEKDAY(F941,2),0):A941)),IF(AND('депозитный калькулятор'!$G$10="ежемесячное (в конце месяца)",F941='депозитный калькулятор'!$D$8,EOMONTH(F941,0)&lt;&gt;F941),IF('депозитный калькулятор'!$F$1=1,$H$24,SUM($H$23:H941)-SUM($I$23:I940)),IF(AND('депозитный калькулятор'!$G$10="ежемесячное (в конце месяца)",EOMONTH(F941,0)=F941),SUM($H$23:H941)-SUM($I$23:I940),IF(AND('депозитный калькулятор'!$G$10="ежемесячное (по дням открытия вклада)",F941='депозитный калькулятор'!$D$8,DAY('депозитный калькулятор'!$D$7)&lt;&gt;DAY(F941)),IF('депозитный калькулятор'!$F$1=1,$H$24,SUM($H$23:H941)-SUM($I$23:I940)),IF(AND('депозитный калькулятор'!$G$10="ежемесячное (по дням открытия вклада)",DAY('депозитный калькулятор'!$D$7)=DAY(F941)),SUM($H$23:H941)-SUM($I$23:I940),IF(AND('депозитный калькулятор'!$G$10="ежемесячное, на минимальную сумму зафиксированную в течение месяца",F941='депозитный калькулятор'!$D$8,EOMONTH(F941,0)&lt;&gt;F941),IF('депозитный калькулятор'!$F$1=1,$H$24,IF(AND(OR('депозитный калькулятор'!$G$7="30/365",'депозитный калькулятор'!$G$7="30/360"),DAY(F941)=31),0,MIN(OFFSET(H941,-E941+1,0):H941)*(E941+SUMIF(OFFSET(A941,-E941+1,0):A941,"=2",OFFSET(A941,-E941+1,0):A941)))),IF(AND('депозитный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калькулятор'!$G$7="30/360"),DAY(EOMONTH(F941,0))=31),EOMONTH(F941,0)-1=F941,EOMONTH(F941,0)=F941)),IF(IF(AND(OR('депозитный калькулятор'!$G$7="30/365",'депозитный калькулятор'!$G$7="30/360"),DAY(EOMONTH($F$23,0))=31),F941=EOMONTH($F$23,0)-1,F941=EOMONTH($F$23,0)),MIN(OFFSET(H941,-(DAY(F941)-DAY($F$23)),0):H941)*E941,MIN(OFFSET(H941,-(DAY(F941)-1),0):H941)*IF(AND(OR('депозитный калькулятор'!$G$7="30/365",'депозитный калькулятор'!$G$7="30/360"),DAY(F941)&lt;30),30,DAY(F941))),IF(AND('депозитный калькулятор'!$G$10="ежемесячное, на средний остаток в течение месяца, при условии что остаток больше чем ограничение",F941='депозитный калькулятор'!$D$8,EOMONTH(F941,0)&lt;&gt;F941),IF('депозитный калькулятор'!$F$1=1,$H$24,SUM(OFFSET(Q941,-E941+1,0):Q941)),IF(AND('депозитный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калькулятор'!$G$7="30/360"),DAY(EOMONTH(F941,0))=31),EOMONTH(F941,0)-1=F941,EOMONTH(F941,0)=F941)),IF(IF(AND(OR('депозитный калькулятор'!$G$7="30/365",'депозитный калькулятор'!$G$7="30/360"),DAY(EOMONTH($F$24,0))=31),F941=EOMONTH($F$24,0)-1,F941=EOMONTH($F$24,0)),SUM(OFFSET(Q941,-E941+1,0):Q941),SUM(OFFSET(Q941,-E941+1,0):Q941)),IF('депозитный калькулятор'!$G$10="ежеквартальное",IF(F941&gt;'депозитный калькулятор'!$D$8," ",IF(AND(EOMONTH(F941,0)=F941,OR(MONTH(F941)=3,MONTH(F941)=6,MONTH(F941)=9,MONTH(F941)=12)),IF(EDATE(F941,-3)&lt;'депозитный калькулятор'!$D$7,SUM($H$23:H941),IF(MOD(YEAR(F941),4)=0,IF(AND(EOMONTH(F941,0)=F941,OR(MONTH(F941)=3,MONTH(F941)=6)),SUM(OFFSET(H941,-90,0):H941),IF(AND(EOMONTH(F941,0)=F941,OR(MONTH(F941)=9,MONTH(F941)=12)),SUM(OFFSET(H941,-91,0):H941))),IF(AND(EOMONTH(F941,0)=F941,MONTH(F941)=3),SUM(OFFSET(H941,-89,0):H941),IF(AND(EOMONTH(F941,0)=F941,MONTH(F941)=6),SUM(OFFSET(H941,-90,0):H941),IF(AND(EOMONTH(F941,0)=F941,OR(MONTH(F941)=9,MONTH(F941)=12)),SUM(OFFSET(H941,-91,0):H941)))))),IF(F941='депозитный калькулятор'!$D$8,SUM($H$23:H941)-SUM($I$23:I940),0))),IF('депозитный калькулятор'!$G$10="ежегодное",IF(F941&gt;'депозитный калькулятор'!$D$8," ",IF(F941='депозитный калькулятор'!$D$8,SUM($H$23:H941)-SUM($I$23:I940),IF(AND(EOMONTH(F941,0)=F941,MONTH(F941)=12),IF(MOD(YEAR(F940),4)=0,IF(F941-'депозитный калькулятор'!$D$7&lt;366,SUM($H$23:H941),SUM(OFFSET(H941,-365,0):H941)),IF(F941-'депозитный калькулятор'!$D$7&lt;365,SUM($H$23:H941),SUM(OFFSET(H941,-364,0):H941))),0))),IF(AND('депозитный калькулятор'!$G$10="в конце срока",'депозитный калькулятор'!$D$8=F941),SUM($H$23:H941),0))))))))))))))))))</f>
        <v xml:space="preserve"> </v>
      </c>
      <c r="J941" s="59" t="str">
        <f>IF(F941&gt;'депозитный калькулятор'!$D$8," ",IF('депозитный калькулятор'!$G$16="нет",0,IF(AND('депозитный калькулятор'!$G$17="разовая (в конце срока)",F941='депозитный калькулятор'!$D$8),'депозитный калькулятор'!$G$18,IF(AND('депозитный калькулятор'!$G$17="ежемесячная",EOMONTH(F940,0)=F940),'депозитный калькулятор'!$G$18,IF(AND('депозитный калькулятор'!$G$17="ежегодная",DAY(F940)=31,MONTH(F940)=12),'депозитный калькулятор'!$G$18,IF(AND('депозитный калькулятор'!$G$17="ежемесячная в зависимости от остатка",EOMONTH(F940,0)=F940,P940&gt;0),'депозитный калькулятор'!$G$18,IF(AND('депозитный калькулятор'!$G$17="ежегодная в зависимости от остатка",DAY(F940)=31,MONTH(F940)=12,P940&gt;0),'депозитный калькулятор'!$G$18,0)))))))</f>
        <v xml:space="preserve"> </v>
      </c>
      <c r="K941" s="135" t="str">
        <f>IF($F941=" "," ",IFERROR(VLOOKUP($F941,'депозитный калькулятор'!$B$26:$F$70,2,0),0))</f>
        <v xml:space="preserve"> </v>
      </c>
      <c r="L941" s="135" t="str">
        <f>IF($F941=" "," ",IFERROR(VLOOKUP($F941,'депозитный калькулятор'!$B$26:$F$70,3,0),0))</f>
        <v xml:space="preserve"> </v>
      </c>
      <c r="M941" s="135" t="str">
        <f>IF($F941=" "," ",IFERROR(VLOOKUP($F941,'депозитный калькулятор'!$B$26:$F$70,4,0),0))</f>
        <v xml:space="preserve"> </v>
      </c>
      <c r="N941" s="135" t="str">
        <f>IF($F941=" "," ",IFERROR(VLOOKUP($F941,'депозитный калькулятор'!$B$26:$F$70,5,0),0))</f>
        <v xml:space="preserve"> </v>
      </c>
      <c r="O941" s="146" t="str">
        <f>IF(F941&gt;'депозитный калькулятор'!$D$8," ",IF(F941='депозитный калькулятор'!$D$8,IF(AND($F$24='депозитный калькулятор'!$D$8,'депозитный калькулятор'!$G$13="нет"),-G941-IF(I941=" ",0,I941)-IF(AND(OR('депозитный калькулятор'!$G$7="30/365",'депозитный калькулятор'!$G$7="30/360"),'депозитный калькулятор'!$G$10="в начале срока"),I940,0)-L941+M941-N941,-G941-IF(I941=" ",0,I941)-L941+M941-N941),IF('депозитный калькулятор'!$G$13="есть",M941-N941+IF('депозитный калькулятор'!$G$14="есть",0,-L941),-IF(I941=" ",0,I941)-IF(AND(OR('депозитный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срока"),I940,0)+M941-N941+IF('депозитный калькулятор'!$G$14="есть",0,-L941))))</f>
        <v xml:space="preserve"> </v>
      </c>
      <c r="P941" s="147" t="str">
        <f>IF(F941&gt;'депозитный калькулятор'!$D$8," ",IF(EOMONTH(F940,0)=F940,0,IF(G941&gt;='депозитный калькулятор'!$G$19,P940,P940+1)))</f>
        <v xml:space="preserve"> </v>
      </c>
      <c r="Q941" s="138" t="str">
        <f>IF(F941=" "," ",IF(AND(OR('депозитный калькулятор'!$G$7="30/365",'депозитный калькулятор'!$G$7="30/360"),AND(MONTH(F941)=2,EOMONTH(F941,0)=F941)),IF(DAY(F941)=28,3,2),1)*IF(G941&gt;='депозитный калькулятор'!$G$11,IF(AND('депозитный калькулятор'!$G$7="факт/факт",MOD(YEAR(F941),4)=0),G941*'депозитный калькулятор'!$D$11/366,G941*'депозитный калькулятор'!$G$8),0))</f>
        <v xml:space="preserve"> </v>
      </c>
      <c r="S941" s="62" t="str">
        <f t="shared" ca="1" si="72"/>
        <v xml:space="preserve"> </v>
      </c>
      <c r="T941" s="149" t="str">
        <f ca="1">IF(S941=" "," ",IF('депозитный калькулятор'!$G$7="30/360",DAYS360(U940,IF(DAY(U941)=31,U941-1,U941))+IF(AND(MONTH(U941)=2,U941=EOMONTH(U941,0)),30-DAY(EOMONTH(U941,0)))+T940,VLOOKUP(S941,$C$22:$F$1023,2,0)))</f>
        <v xml:space="preserve"> </v>
      </c>
      <c r="U941" s="64" t="str">
        <f t="shared" ca="1" si="70"/>
        <v xml:space="preserve"> </v>
      </c>
      <c r="V941" s="150" t="str">
        <f t="shared" ca="1" si="73"/>
        <v xml:space="preserve"> </v>
      </c>
      <c r="W941" s="62" t="str">
        <f t="shared" ca="1" si="74"/>
        <v xml:space="preserve"> </v>
      </c>
      <c r="X941" s="141" t="str">
        <f ca="1">IF(S941=" "," ",IFERROR(VLOOKUP(U941,$F$23:$N$1023,7)+VLOOKUP(U941,$F$23:$N$1023,9)+IF(AND('депозитный калькулятор'!$G$13="нет",U941&lt;&gt;'депозитный калькулятор'!$D$8),VLOOKUP(U941,$F$23:$N$1023,4),0),0)+IF(U941='депозитный калькулятор'!$D$8,VLOOKUP(U941,$F$23:$N$1023,2)+VLOOKUP(U941,$F$23:$N$1023,4),0))</f>
        <v xml:space="preserve"> </v>
      </c>
      <c r="Y941" s="142" t="str">
        <f ca="1">IF(S941=" "," ",W941/(1+'депозитный калькулятор'!$K$8)^(T941/IF('депозитный калькулятор'!$G$7="30/360",360,365)))</f>
        <v xml:space="preserve"> </v>
      </c>
      <c r="Z941" s="142" t="str">
        <f ca="1">IF(S941=" "," ",X941/(1+'депозитный калькулятор'!$K$8)^(T941/IF('депозитный калькулятор'!$G$7="30/360",360,365)))</f>
        <v xml:space="preserve"> </v>
      </c>
      <c r="AA941" s="151"/>
      <c r="AB941" s="151"/>
      <c r="AC941" s="155"/>
      <c r="AD941" s="155"/>
    </row>
    <row r="942" spans="1:30" s="2" customFormat="1" ht="15.5" x14ac:dyDescent="0.35">
      <c r="A942" s="41" t="str">
        <f>IF(F942=" "," ",IF(OR('депозитный калькулятор'!$G$7="30/365",'депозитный калькулятор'!$G$7="30/360"),IF(AND(MONTH(F942)=2,DAY(F942)=DAY(EOMONTH(F942,0))),30-DAY(EOMONTH(F942,0)),IF(DAY(F942)=31,1," "))," "))</f>
        <v xml:space="preserve"> </v>
      </c>
      <c r="B942" s="130" t="str">
        <f t="shared" si="71"/>
        <v xml:space="preserve"> </v>
      </c>
      <c r="C942" s="130" t="str">
        <f>IF(OR(B942=0,B942=" ")," ",SUM($B$23:B942))</f>
        <v xml:space="preserve"> </v>
      </c>
      <c r="D942" s="62" t="str">
        <f>IF(D941=" "," ",IF(OR(F941='депозитный калькулятор'!$D$8,F941=" ")," ",D941+1))</f>
        <v xml:space="preserve"> </v>
      </c>
      <c r="E942" s="130" t="str">
        <f>IF(OR(F941='депозитный калькулятор'!$D$8,F941=" ")," ",IF(EOMONTH(F941,0)=F941,1,E941+1))</f>
        <v xml:space="preserve"> </v>
      </c>
      <c r="F942" s="64" t="str">
        <f>IF(F941=" "," ",IF(F941='депозитный калькулятор'!$D$8," ",F941+1))</f>
        <v xml:space="preserve"> </v>
      </c>
      <c r="G942" s="145" t="str">
        <f xml:space="preserve"> IF(F942&gt;'депозитный калькулятор'!$D$8," ",IF('депозитный калькулятор'!$G$13="есть",IF('депозитный калькулятор'!$G$14="есть",G941+IF(I941=" ",0,I941)-J942-K942+L942+M942-N942,G941+IF(I941=" ",0,I941)-J942-K942+M942-N942),IF('депозитный калькулятор'!$G$14="есть",G941-J942-K942+L942+M942-N942,G941-J942-K942+M942-N942)))</f>
        <v xml:space="preserve"> </v>
      </c>
      <c r="H942" s="133" t="str">
        <f>IF(F942&gt;'депозитный калькулятор'!$D$8," ",IF(AND(OR('депозитный калькулятор'!$G$7="30/365",'депозитный калькулятор'!$G$7="30/360"),AND(MONTH(F942)=2,EOMONTH(F942,0)=F942)),IF(DAY(F942)=28,3*G942*'депозитный калькулятор'!$G$8,2*G942*'депозитный калькулятор'!$G$8),IF(AND(OR('депозитный калькулятор'!$G$7="30/365",'депозитный калькулятор'!$G$7="30/360"),DAY(F942)=31)," ",IF(AND('депозитный калькулятор'!$G$7="факт/факт",MOD(YEAR(F942),4)=0),G942*'депозитный калькулятор'!$D$11/366,G942*'депозитный калькулятор'!$G$8))))</f>
        <v xml:space="preserve"> </v>
      </c>
      <c r="I942" s="134" t="str">
        <f ca="1">IF(F942=" "," ",IF('депозитный калькулятор'!$G$10="ежедневное",H942,IF(AND('депозитный калькулятор'!$G$10="еженедельное",WEEKDAY(F942,2)=7),SUM(OFFSET(H942,-6,0):H942),IF(AND('депозитный калькулятор'!$G$10="еженедельное",F942='депозитный калькулятор'!$D$8),SUM($H$23:H942)-SUM($I$23:I941),IF(AND('депозитный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недели",WEEKDAY(F942,2)=7),MIN(OFFSET(H942,-6,0):H942)*(COUNTIF(OFFSET(H942,-6,0):H942,"&gt;0")+SUMIF(OFFSET(A942,-WEEKDAY(F942,2),0):A942,"=2",OFFSET(A942,-WEEKDAY(F942,2),0):A942)),IF(AND('депозитный калькулятор'!$G$10="еженедельное, на минимальную сумму зафиксированную в течение недели",F942='депозитный калькулятор'!$D$8,WEEKDAY(F942,2)&lt;&gt;7),MIN(OFFSET(H942,-WEEKDAY(F942,2),0):H942)*(COUNTIF(OFFSET(H942,-WEEKDAY(F942,2)+1,0):H942,"&gt;0")+SUM(OFFSET(A942,-WEEKDAY(F942,2),0):A942)),IF(AND('депозитный калькулятор'!$G$10="ежемесячное (в конце месяца)",F942='депозитный калькулятор'!$D$8,EOMONTH(F942,0)&lt;&gt;F942),IF('депозитный калькулятор'!$F$1=1,$H$24,SUM($H$23:H942)-SUM($I$23:I941)),IF(AND('депозитный калькулятор'!$G$10="ежемесячное (в конце месяца)",EOMONTH(F942,0)=F942),SUM($H$23:H942)-SUM($I$23:I941),IF(AND('депозитный калькулятор'!$G$10="ежемесячное (по дням открытия вклада)",F942='депозитный калькулятор'!$D$8,DAY('депозитный калькулятор'!$D$7)&lt;&gt;DAY(F942)),IF('депозитный калькулятор'!$F$1=1,$H$24,SUM($H$23:H942)-SUM($I$23:I941)),IF(AND('депозитный калькулятор'!$G$10="ежемесячное (по дням открытия вклада)",DAY('депозитный калькулятор'!$D$7)=DAY(F942)),SUM($H$23:H942)-SUM($I$23:I941),IF(AND('депозитный калькулятор'!$G$10="ежемесячное, на минимальную сумму зафиксированную в течение месяца",F942='депозитный калькулятор'!$D$8,EOMONTH(F942,0)&lt;&gt;F942),IF('депозитный калькулятор'!$F$1=1,$H$24,IF(AND(OR('депозитный калькулятор'!$G$7="30/365",'депозитный калькулятор'!$G$7="30/360"),DAY(F942)=31),0,MIN(OFFSET(H942,-E942+1,0):H942)*(E942+SUMIF(OFFSET(A942,-E942+1,0):A942,"=2",OFFSET(A942,-E942+1,0):A942)))),IF(AND('депозитный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калькулятор'!$G$7="30/360"),DAY(EOMONTH(F942,0))=31),EOMONTH(F942,0)-1=F942,EOMONTH(F942,0)=F942)),IF(IF(AND(OR('депозитный калькулятор'!$G$7="30/365",'депозитный калькулятор'!$G$7="30/360"),DAY(EOMONTH($F$23,0))=31),F942=EOMONTH($F$23,0)-1,F942=EOMONTH($F$23,0)),MIN(OFFSET(H942,-(DAY(F942)-DAY($F$23)),0):H942)*E942,MIN(OFFSET(H942,-(DAY(F942)-1),0):H942)*IF(AND(OR('депозитный калькулятор'!$G$7="30/365",'депозитный калькулятор'!$G$7="30/360"),DAY(F942)&lt;30),30,DAY(F942))),IF(AND('депозитный калькулятор'!$G$10="ежемесячное, на средний остаток в течение месяца, при условии что остаток больше чем ограничение",F942='депозитный калькулятор'!$D$8,EOMONTH(F942,0)&lt;&gt;F942),IF('депозитный калькулятор'!$F$1=1,$H$24,SUM(OFFSET(Q942,-E942+1,0):Q942)),IF(AND('депозитный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калькулятор'!$G$7="30/360"),DAY(EOMONTH(F942,0))=31),EOMONTH(F942,0)-1=F942,EOMONTH(F942,0)=F942)),IF(IF(AND(OR('депозитный калькулятор'!$G$7="30/365",'депозитный калькулятор'!$G$7="30/360"),DAY(EOMONTH($F$24,0))=31),F942=EOMONTH($F$24,0)-1,F942=EOMONTH($F$24,0)),SUM(OFFSET(Q942,-E942+1,0):Q942),SUM(OFFSET(Q942,-E942+1,0):Q942)),IF('депозитный калькулятор'!$G$10="ежеквартальное",IF(F942&gt;'депозитный калькулятор'!$D$8," ",IF(AND(EOMONTH(F942,0)=F942,OR(MONTH(F942)=3,MONTH(F942)=6,MONTH(F942)=9,MONTH(F942)=12)),IF(EDATE(F942,-3)&lt;'депозитный калькулятор'!$D$7,SUM($H$23:H942),IF(MOD(YEAR(F942),4)=0,IF(AND(EOMONTH(F942,0)=F942,OR(MONTH(F942)=3,MONTH(F942)=6)),SUM(OFFSET(H942,-90,0):H942),IF(AND(EOMONTH(F942,0)=F942,OR(MONTH(F942)=9,MONTH(F942)=12)),SUM(OFFSET(H942,-91,0):H942))),IF(AND(EOMONTH(F942,0)=F942,MONTH(F942)=3),SUM(OFFSET(H942,-89,0):H942),IF(AND(EOMONTH(F942,0)=F942,MONTH(F942)=6),SUM(OFFSET(H942,-90,0):H942),IF(AND(EOMONTH(F942,0)=F942,OR(MONTH(F942)=9,MONTH(F942)=12)),SUM(OFFSET(H942,-91,0):H942)))))),IF(F942='депозитный калькулятор'!$D$8,SUM($H$23:H942)-SUM($I$23:I941),0))),IF('депозитный калькулятор'!$G$10="ежегодное",IF(F942&gt;'депозитный калькулятор'!$D$8," ",IF(F942='депозитный калькулятор'!$D$8,SUM($H$23:H942)-SUM($I$23:I941),IF(AND(EOMONTH(F942,0)=F942,MONTH(F942)=12),IF(MOD(YEAR(F941),4)=0,IF(F942-'депозитный калькулятор'!$D$7&lt;366,SUM($H$23:H942),SUM(OFFSET(H942,-365,0):H942)),IF(F942-'депозитный калькулятор'!$D$7&lt;365,SUM($H$23:H942),SUM(OFFSET(H942,-364,0):H942))),0))),IF(AND('депозитный калькулятор'!$G$10="в конце срока",'депозитный калькулятор'!$D$8=F942),SUM($H$23:H942),0))))))))))))))))))</f>
        <v xml:space="preserve"> </v>
      </c>
      <c r="J942" s="59" t="str">
        <f>IF(F942&gt;'депозитный калькулятор'!$D$8," ",IF('депозитный калькулятор'!$G$16="нет",0,IF(AND('депозитный калькулятор'!$G$17="разовая (в конце срока)",F942='депозитный калькулятор'!$D$8),'депозитный калькулятор'!$G$18,IF(AND('депозитный калькулятор'!$G$17="ежемесячная",EOMONTH(F941,0)=F941),'депозитный калькулятор'!$G$18,IF(AND('депозитный калькулятор'!$G$17="ежегодная",DAY(F941)=31,MONTH(F941)=12),'депозитный калькулятор'!$G$18,IF(AND('депозитный калькулятор'!$G$17="ежемесячная в зависимости от остатка",EOMONTH(F941,0)=F941,P941&gt;0),'депозитный калькулятор'!$G$18,IF(AND('депозитный калькулятор'!$G$17="ежегодная в зависимости от остатка",DAY(F941)=31,MONTH(F941)=12,P941&gt;0),'депозитный калькулятор'!$G$18,0)))))))</f>
        <v xml:space="preserve"> </v>
      </c>
      <c r="K942" s="135" t="str">
        <f>IF($F942=" "," ",IFERROR(VLOOKUP($F942,'депозитный калькулятор'!$B$26:$F$70,2,0),0))</f>
        <v xml:space="preserve"> </v>
      </c>
      <c r="L942" s="135" t="str">
        <f>IF($F942=" "," ",IFERROR(VLOOKUP($F942,'депозитный калькулятор'!$B$26:$F$70,3,0),0))</f>
        <v xml:space="preserve"> </v>
      </c>
      <c r="M942" s="135" t="str">
        <f>IF($F942=" "," ",IFERROR(VLOOKUP($F942,'депозитный калькулятор'!$B$26:$F$70,4,0),0))</f>
        <v xml:space="preserve"> </v>
      </c>
      <c r="N942" s="135" t="str">
        <f>IF($F942=" "," ",IFERROR(VLOOKUP($F942,'депозитный калькулятор'!$B$26:$F$70,5,0),0))</f>
        <v xml:space="preserve"> </v>
      </c>
      <c r="O942" s="146" t="str">
        <f>IF(F942&gt;'депозитный калькулятор'!$D$8," ",IF(F942='депозитный калькулятор'!$D$8,IF(AND($F$24='депозитный калькулятор'!$D$8,'депозитный калькулятор'!$G$13="нет"),-G942-IF(I942=" ",0,I942)-IF(AND(OR('депозитный калькулятор'!$G$7="30/365",'депозитный калькулятор'!$G$7="30/360"),'депозитный калькулятор'!$G$10="в начале срока"),I941,0)-L942+M942-N942,-G942-IF(I942=" ",0,I942)-L942+M942-N942),IF('депозитный калькулятор'!$G$13="есть",M942-N942+IF('депозитный калькулятор'!$G$14="есть",0,-L942),-IF(I942=" ",0,I942)-IF(AND(OR('депозитный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срока"),I941,0)+M942-N942+IF('депозитный калькулятор'!$G$14="есть",0,-L942))))</f>
        <v xml:space="preserve"> </v>
      </c>
      <c r="P942" s="147" t="str">
        <f>IF(F942&gt;'депозитный калькулятор'!$D$8," ",IF(EOMONTH(F941,0)=F941,0,IF(G942&gt;='депозитный калькулятор'!$G$19,P941,P941+1)))</f>
        <v xml:space="preserve"> </v>
      </c>
      <c r="Q942" s="138" t="str">
        <f>IF(F942=" "," ",IF(AND(OR('депозитный калькулятор'!$G$7="30/365",'депозитный калькулятор'!$G$7="30/360"),AND(MONTH(F942)=2,EOMONTH(F942,0)=F942)),IF(DAY(F942)=28,3,2),1)*IF(G942&gt;='депозитный калькулятор'!$G$11,IF(AND('депозитный калькулятор'!$G$7="факт/факт",MOD(YEAR(F942),4)=0),G942*'депозитный калькулятор'!$D$11/366,G942*'депозитный калькулятор'!$G$8),0))</f>
        <v xml:space="preserve"> </v>
      </c>
      <c r="S942" s="62" t="str">
        <f t="shared" ca="1" si="72"/>
        <v xml:space="preserve"> </v>
      </c>
      <c r="T942" s="149" t="str">
        <f ca="1">IF(S942=" "," ",IF('депозитный калькулятор'!$G$7="30/360",DAYS360(U941,IF(DAY(U942)=31,U942-1,U942))+IF(AND(MONTH(U942)=2,U942=EOMONTH(U942,0)),30-DAY(EOMONTH(U942,0)))+T941,VLOOKUP(S942,$C$22:$F$1023,2,0)))</f>
        <v xml:space="preserve"> </v>
      </c>
      <c r="U942" s="64" t="str">
        <f t="shared" ca="1" si="70"/>
        <v xml:space="preserve"> </v>
      </c>
      <c r="V942" s="150" t="str">
        <f t="shared" ca="1" si="73"/>
        <v xml:space="preserve"> </v>
      </c>
      <c r="W942" s="62" t="str">
        <f t="shared" ca="1" si="74"/>
        <v xml:space="preserve"> </v>
      </c>
      <c r="X942" s="141" t="str">
        <f ca="1">IF(S942=" "," ",IFERROR(VLOOKUP(U942,$F$23:$N$1023,7)+VLOOKUP(U942,$F$23:$N$1023,9)+IF(AND('депозитный калькулятор'!$G$13="нет",U942&lt;&gt;'депозитный калькулятор'!$D$8),VLOOKUP(U942,$F$23:$N$1023,4),0),0)+IF(U942='депозитный калькулятор'!$D$8,VLOOKUP(U942,$F$23:$N$1023,2)+VLOOKUP(U942,$F$23:$N$1023,4),0))</f>
        <v xml:space="preserve"> </v>
      </c>
      <c r="Y942" s="142" t="str">
        <f ca="1">IF(S942=" "," ",W942/(1+'депозитный калькулятор'!$K$8)^(T942/IF('депозитный калькулятор'!$G$7="30/360",360,365)))</f>
        <v xml:space="preserve"> </v>
      </c>
      <c r="Z942" s="142" t="str">
        <f ca="1">IF(S942=" "," ",X942/(1+'депозитный калькулятор'!$K$8)^(T942/IF('депозитный калькулятор'!$G$7="30/360",360,365)))</f>
        <v xml:space="preserve"> </v>
      </c>
      <c r="AA942" s="151"/>
      <c r="AB942" s="151"/>
      <c r="AC942" s="155"/>
      <c r="AD942" s="155"/>
    </row>
    <row r="943" spans="1:30" s="2" customFormat="1" ht="15.5" x14ac:dyDescent="0.35">
      <c r="A943" s="41" t="str">
        <f>IF(F943=" "," ",IF(OR('депозитный калькулятор'!$G$7="30/365",'депозитный калькулятор'!$G$7="30/360"),IF(AND(MONTH(F943)=2,DAY(F943)=DAY(EOMONTH(F943,0))),30-DAY(EOMONTH(F943,0)),IF(DAY(F943)=31,1," "))," "))</f>
        <v xml:space="preserve"> </v>
      </c>
      <c r="B943" s="130" t="str">
        <f t="shared" si="71"/>
        <v xml:space="preserve"> </v>
      </c>
      <c r="C943" s="130" t="str">
        <f>IF(OR(B943=0,B943=" ")," ",SUM($B$23:B943))</f>
        <v xml:space="preserve"> </v>
      </c>
      <c r="D943" s="62" t="str">
        <f>IF(D942=" "," ",IF(OR(F942='депозитный калькулятор'!$D$8,F942=" ")," ",D942+1))</f>
        <v xml:space="preserve"> </v>
      </c>
      <c r="E943" s="130" t="str">
        <f>IF(OR(F942='депозитный калькулятор'!$D$8,F942=" ")," ",IF(EOMONTH(F942,0)=F942,1,E942+1))</f>
        <v xml:space="preserve"> </v>
      </c>
      <c r="F943" s="64" t="str">
        <f>IF(F942=" "," ",IF(F942='депозитный калькулятор'!$D$8," ",F942+1))</f>
        <v xml:space="preserve"> </v>
      </c>
      <c r="G943" s="145" t="str">
        <f xml:space="preserve"> IF(F943&gt;'депозитный калькулятор'!$D$8," ",IF('депозитный калькулятор'!$G$13="есть",IF('депозитный калькулятор'!$G$14="есть",G942+IF(I942=" ",0,I942)-J943-K943+L943+M943-N943,G942+IF(I942=" ",0,I942)-J943-K943+M943-N943),IF('депозитный калькулятор'!$G$14="есть",G942-J943-K943+L943+M943-N943,G942-J943-K943+M943-N943)))</f>
        <v xml:space="preserve"> </v>
      </c>
      <c r="H943" s="133" t="str">
        <f>IF(F943&gt;'депозитный калькулятор'!$D$8," ",IF(AND(OR('депозитный калькулятор'!$G$7="30/365",'депозитный калькулятор'!$G$7="30/360"),AND(MONTH(F943)=2,EOMONTH(F943,0)=F943)),IF(DAY(F943)=28,3*G943*'депозитный калькулятор'!$G$8,2*G943*'депозитный калькулятор'!$G$8),IF(AND(OR('депозитный калькулятор'!$G$7="30/365",'депозитный калькулятор'!$G$7="30/360"),DAY(F943)=31)," ",IF(AND('депозитный калькулятор'!$G$7="факт/факт",MOD(YEAR(F943),4)=0),G943*'депозитный калькулятор'!$D$11/366,G943*'депозитный калькулятор'!$G$8))))</f>
        <v xml:space="preserve"> </v>
      </c>
      <c r="I943" s="134" t="str">
        <f ca="1">IF(F943=" "," ",IF('депозитный калькулятор'!$G$10="ежедневное",H943,IF(AND('депозитный калькулятор'!$G$10="еженедельное",WEEKDAY(F943,2)=7),SUM(OFFSET(H943,-6,0):H943),IF(AND('депозитный калькулятор'!$G$10="еженедельное",F943='депозитный калькулятор'!$D$8),SUM($H$23:H943)-SUM($I$23:I942),IF(AND('депозитный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недели",WEEKDAY(F943,2)=7),MIN(OFFSET(H943,-6,0):H943)*(COUNTIF(OFFSET(H943,-6,0):H943,"&gt;0")+SUMIF(OFFSET(A943,-WEEKDAY(F943,2),0):A943,"=2",OFFSET(A943,-WEEKDAY(F943,2),0):A943)),IF(AND('депозитный калькулятор'!$G$10="еженедельное, на минимальную сумму зафиксированную в течение недели",F943='депозитный калькулятор'!$D$8,WEEKDAY(F943,2)&lt;&gt;7),MIN(OFFSET(H943,-WEEKDAY(F943,2),0):H943)*(COUNTIF(OFFSET(H943,-WEEKDAY(F943,2)+1,0):H943,"&gt;0")+SUM(OFFSET(A943,-WEEKDAY(F943,2),0):A943)),IF(AND('депозитный калькулятор'!$G$10="ежемесячное (в конце месяца)",F943='депозитный калькулятор'!$D$8,EOMONTH(F943,0)&lt;&gt;F943),IF('депозитный калькулятор'!$F$1=1,$H$24,SUM($H$23:H943)-SUM($I$23:I942)),IF(AND('депозитный калькулятор'!$G$10="ежемесячное (в конце месяца)",EOMONTH(F943,0)=F943),SUM($H$23:H943)-SUM($I$23:I942),IF(AND('депозитный калькулятор'!$G$10="ежемесячное (по дням открытия вклада)",F943='депозитный калькулятор'!$D$8,DAY('депозитный калькулятор'!$D$7)&lt;&gt;DAY(F943)),IF('депозитный калькулятор'!$F$1=1,$H$24,SUM($H$23:H943)-SUM($I$23:I942)),IF(AND('депозитный калькулятор'!$G$10="ежемесячное (по дням открытия вклада)",DAY('депозитный калькулятор'!$D$7)=DAY(F943)),SUM($H$23:H943)-SUM($I$23:I942),IF(AND('депозитный калькулятор'!$G$10="ежемесячное, на минимальную сумму зафиксированную в течение месяца",F943='депозитный калькулятор'!$D$8,EOMONTH(F943,0)&lt;&gt;F943),IF('депозитный калькулятор'!$F$1=1,$H$24,IF(AND(OR('депозитный калькулятор'!$G$7="30/365",'депозитный калькулятор'!$G$7="30/360"),DAY(F943)=31),0,MIN(OFFSET(H943,-E943+1,0):H943)*(E943+SUMIF(OFFSET(A943,-E943+1,0):A943,"=2",OFFSET(A943,-E943+1,0):A943)))),IF(AND('депозитный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калькулятор'!$G$7="30/360"),DAY(EOMONTH(F943,0))=31),EOMONTH(F943,0)-1=F943,EOMONTH(F943,0)=F943)),IF(IF(AND(OR('депозитный калькулятор'!$G$7="30/365",'депозитный калькулятор'!$G$7="30/360"),DAY(EOMONTH($F$23,0))=31),F943=EOMONTH($F$23,0)-1,F943=EOMONTH($F$23,0)),MIN(OFFSET(H943,-(DAY(F943)-DAY($F$23)),0):H943)*E943,MIN(OFFSET(H943,-(DAY(F943)-1),0):H943)*IF(AND(OR('депозитный калькулятор'!$G$7="30/365",'депозитный калькулятор'!$G$7="30/360"),DAY(F943)&lt;30),30,DAY(F943))),IF(AND('депозитный калькулятор'!$G$10="ежемесячное, на средний остаток в течение месяца, при условии что остаток больше чем ограничение",F943='депозитный калькулятор'!$D$8,EOMONTH(F943,0)&lt;&gt;F943),IF('депозитный калькулятор'!$F$1=1,$H$24,SUM(OFFSET(Q943,-E943+1,0):Q943)),IF(AND('депозитный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калькулятор'!$G$7="30/360"),DAY(EOMONTH(F943,0))=31),EOMONTH(F943,0)-1=F943,EOMONTH(F943,0)=F943)),IF(IF(AND(OR('депозитный калькулятор'!$G$7="30/365",'депозитный калькулятор'!$G$7="30/360"),DAY(EOMONTH($F$24,0))=31),F943=EOMONTH($F$24,0)-1,F943=EOMONTH($F$24,0)),SUM(OFFSET(Q943,-E943+1,0):Q943),SUM(OFFSET(Q943,-E943+1,0):Q943)),IF('депозитный калькулятор'!$G$10="ежеквартальное",IF(F943&gt;'депозитный калькулятор'!$D$8," ",IF(AND(EOMONTH(F943,0)=F943,OR(MONTH(F943)=3,MONTH(F943)=6,MONTH(F943)=9,MONTH(F943)=12)),IF(EDATE(F943,-3)&lt;'депозитный калькулятор'!$D$7,SUM($H$23:H943),IF(MOD(YEAR(F943),4)=0,IF(AND(EOMONTH(F943,0)=F943,OR(MONTH(F943)=3,MONTH(F943)=6)),SUM(OFFSET(H943,-90,0):H943),IF(AND(EOMONTH(F943,0)=F943,OR(MONTH(F943)=9,MONTH(F943)=12)),SUM(OFFSET(H943,-91,0):H943))),IF(AND(EOMONTH(F943,0)=F943,MONTH(F943)=3),SUM(OFFSET(H943,-89,0):H943),IF(AND(EOMONTH(F943,0)=F943,MONTH(F943)=6),SUM(OFFSET(H943,-90,0):H943),IF(AND(EOMONTH(F943,0)=F943,OR(MONTH(F943)=9,MONTH(F943)=12)),SUM(OFFSET(H943,-91,0):H943)))))),IF(F943='депозитный калькулятор'!$D$8,SUM($H$23:H943)-SUM($I$23:I942),0))),IF('депозитный калькулятор'!$G$10="ежегодное",IF(F943&gt;'депозитный калькулятор'!$D$8," ",IF(F943='депозитный калькулятор'!$D$8,SUM($H$23:H943)-SUM($I$23:I942),IF(AND(EOMONTH(F943,0)=F943,MONTH(F943)=12),IF(MOD(YEAR(F942),4)=0,IF(F943-'депозитный калькулятор'!$D$7&lt;366,SUM($H$23:H943),SUM(OFFSET(H943,-365,0):H943)),IF(F943-'депозитный калькулятор'!$D$7&lt;365,SUM($H$23:H943),SUM(OFFSET(H943,-364,0):H943))),0))),IF(AND('депозитный калькулятор'!$G$10="в конце срока",'депозитный калькулятор'!$D$8=F943),SUM($H$23:H943),0))))))))))))))))))</f>
        <v xml:space="preserve"> </v>
      </c>
      <c r="J943" s="59" t="str">
        <f>IF(F943&gt;'депозитный калькулятор'!$D$8," ",IF('депозитный калькулятор'!$G$16="нет",0,IF(AND('депозитный калькулятор'!$G$17="разовая (в конце срока)",F943='депозитный калькулятор'!$D$8),'депозитный калькулятор'!$G$18,IF(AND('депозитный калькулятор'!$G$17="ежемесячная",EOMONTH(F942,0)=F942),'депозитный калькулятор'!$G$18,IF(AND('депозитный калькулятор'!$G$17="ежегодная",DAY(F942)=31,MONTH(F942)=12),'депозитный калькулятор'!$G$18,IF(AND('депозитный калькулятор'!$G$17="ежемесячная в зависимости от остатка",EOMONTH(F942,0)=F942,P942&gt;0),'депозитный калькулятор'!$G$18,IF(AND('депозитный калькулятор'!$G$17="ежегодная в зависимости от остатка",DAY(F942)=31,MONTH(F942)=12,P942&gt;0),'депозитный калькулятор'!$G$18,0)))))))</f>
        <v xml:space="preserve"> </v>
      </c>
      <c r="K943" s="135" t="str">
        <f>IF($F943=" "," ",IFERROR(VLOOKUP($F943,'депозитный калькулятор'!$B$26:$F$70,2,0),0))</f>
        <v xml:space="preserve"> </v>
      </c>
      <c r="L943" s="135" t="str">
        <f>IF($F943=" "," ",IFERROR(VLOOKUP($F943,'депозитный калькулятор'!$B$26:$F$70,3,0),0))</f>
        <v xml:space="preserve"> </v>
      </c>
      <c r="M943" s="135" t="str">
        <f>IF($F943=" "," ",IFERROR(VLOOKUP($F943,'депозитный калькулятор'!$B$26:$F$70,4,0),0))</f>
        <v xml:space="preserve"> </v>
      </c>
      <c r="N943" s="135" t="str">
        <f>IF($F943=" "," ",IFERROR(VLOOKUP($F943,'депозитный калькулятор'!$B$26:$F$70,5,0),0))</f>
        <v xml:space="preserve"> </v>
      </c>
      <c r="O943" s="146" t="str">
        <f>IF(F943&gt;'депозитный калькулятор'!$D$8," ",IF(F943='депозитный калькулятор'!$D$8,IF(AND($F$24='депозитный калькулятор'!$D$8,'депозитный калькулятор'!$G$13="нет"),-G943-IF(I943=" ",0,I943)-IF(AND(OR('депозитный калькулятор'!$G$7="30/365",'депозитный калькулятор'!$G$7="30/360"),'депозитный калькулятор'!$G$10="в начале срока"),I942,0)-L943+M943-N943,-G943-IF(I943=" ",0,I943)-L943+M943-N943),IF('депозитный калькулятор'!$G$13="есть",M943-N943+IF('депозитный калькулятор'!$G$14="есть",0,-L943),-IF(I943=" ",0,I943)-IF(AND(OR('депозитный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срока"),I942,0)+M943-N943+IF('депозитный калькулятор'!$G$14="есть",0,-L943))))</f>
        <v xml:space="preserve"> </v>
      </c>
      <c r="P943" s="147" t="str">
        <f>IF(F943&gt;'депозитный калькулятор'!$D$8," ",IF(EOMONTH(F942,0)=F942,0,IF(G943&gt;='депозитный калькулятор'!$G$19,P942,P942+1)))</f>
        <v xml:space="preserve"> </v>
      </c>
      <c r="Q943" s="138" t="str">
        <f>IF(F943=" "," ",IF(AND(OR('депозитный калькулятор'!$G$7="30/365",'депозитный калькулятор'!$G$7="30/360"),AND(MONTH(F943)=2,EOMONTH(F943,0)=F943)),IF(DAY(F943)=28,3,2),1)*IF(G943&gt;='депозитный калькулятор'!$G$11,IF(AND('депозитный калькулятор'!$G$7="факт/факт",MOD(YEAR(F943),4)=0),G943*'депозитный калькулятор'!$D$11/366,G943*'депозитный калькулятор'!$G$8),0))</f>
        <v xml:space="preserve"> </v>
      </c>
      <c r="S943" s="62" t="str">
        <f t="shared" ca="1" si="72"/>
        <v xml:space="preserve"> </v>
      </c>
      <c r="T943" s="149" t="str">
        <f ca="1">IF(S943=" "," ",IF('депозитный калькулятор'!$G$7="30/360",DAYS360(U942,IF(DAY(U943)=31,U943-1,U943))+IF(AND(MONTH(U943)=2,U943=EOMONTH(U943,0)),30-DAY(EOMONTH(U943,0)))+T942,VLOOKUP(S943,$C$22:$F$1023,2,0)))</f>
        <v xml:space="preserve"> </v>
      </c>
      <c r="U943" s="64" t="str">
        <f t="shared" ca="1" si="70"/>
        <v xml:space="preserve"> </v>
      </c>
      <c r="V943" s="150" t="str">
        <f t="shared" ca="1" si="73"/>
        <v xml:space="preserve"> </v>
      </c>
      <c r="W943" s="62" t="str">
        <f t="shared" ca="1" si="74"/>
        <v xml:space="preserve"> </v>
      </c>
      <c r="X943" s="141" t="str">
        <f ca="1">IF(S943=" "," ",IFERROR(VLOOKUP(U943,$F$23:$N$1023,7)+VLOOKUP(U943,$F$23:$N$1023,9)+IF(AND('депозитный калькулятор'!$G$13="нет",U943&lt;&gt;'депозитный калькулятор'!$D$8),VLOOKUP(U943,$F$23:$N$1023,4),0),0)+IF(U943='депозитный калькулятор'!$D$8,VLOOKUP(U943,$F$23:$N$1023,2)+VLOOKUP(U943,$F$23:$N$1023,4),0))</f>
        <v xml:space="preserve"> </v>
      </c>
      <c r="Y943" s="142" t="str">
        <f ca="1">IF(S943=" "," ",W943/(1+'депозитный калькулятор'!$K$8)^(T943/IF('депозитный калькулятор'!$G$7="30/360",360,365)))</f>
        <v xml:space="preserve"> </v>
      </c>
      <c r="Z943" s="142" t="str">
        <f ca="1">IF(S943=" "," ",X943/(1+'депозитный калькулятор'!$K$8)^(T943/IF('депозитный калькулятор'!$G$7="30/360",360,365)))</f>
        <v xml:space="preserve"> </v>
      </c>
      <c r="AA943" s="151"/>
      <c r="AB943" s="151"/>
      <c r="AC943" s="155"/>
      <c r="AD943" s="155"/>
    </row>
    <row r="944" spans="1:30" s="2" customFormat="1" ht="15.5" x14ac:dyDescent="0.35">
      <c r="A944" s="41" t="str">
        <f>IF(F944=" "," ",IF(OR('депозитный калькулятор'!$G$7="30/365",'депозитный калькулятор'!$G$7="30/360"),IF(AND(MONTH(F944)=2,DAY(F944)=DAY(EOMONTH(F944,0))),30-DAY(EOMONTH(F944,0)),IF(DAY(F944)=31,1," "))," "))</f>
        <v xml:space="preserve"> </v>
      </c>
      <c r="B944" s="130" t="str">
        <f t="shared" si="71"/>
        <v xml:space="preserve"> </v>
      </c>
      <c r="C944" s="130" t="str">
        <f>IF(OR(B944=0,B944=" ")," ",SUM($B$23:B944))</f>
        <v xml:space="preserve"> </v>
      </c>
      <c r="D944" s="62" t="str">
        <f>IF(D943=" "," ",IF(OR(F943='депозитный калькулятор'!$D$8,F943=" ")," ",D943+1))</f>
        <v xml:space="preserve"> </v>
      </c>
      <c r="E944" s="130" t="str">
        <f>IF(OR(F943='депозитный калькулятор'!$D$8,F943=" ")," ",IF(EOMONTH(F943,0)=F943,1,E943+1))</f>
        <v xml:space="preserve"> </v>
      </c>
      <c r="F944" s="64" t="str">
        <f>IF(F943=" "," ",IF(F943='депозитный калькулятор'!$D$8," ",F943+1))</f>
        <v xml:space="preserve"> </v>
      </c>
      <c r="G944" s="145" t="str">
        <f xml:space="preserve"> IF(F944&gt;'депозитный калькулятор'!$D$8," ",IF('депозитный калькулятор'!$G$13="есть",IF('депозитный калькулятор'!$G$14="есть",G943+IF(I943=" ",0,I943)-J944-K944+L944+M944-N944,G943+IF(I943=" ",0,I943)-J944-K944+M944-N944),IF('депозитный калькулятор'!$G$14="есть",G943-J944-K944+L944+M944-N944,G943-J944-K944+M944-N944)))</f>
        <v xml:space="preserve"> </v>
      </c>
      <c r="H944" s="133" t="str">
        <f>IF(F944&gt;'депозитный калькулятор'!$D$8," ",IF(AND(OR('депозитный калькулятор'!$G$7="30/365",'депозитный калькулятор'!$G$7="30/360"),AND(MONTH(F944)=2,EOMONTH(F944,0)=F944)),IF(DAY(F944)=28,3*G944*'депозитный калькулятор'!$G$8,2*G944*'депозитный калькулятор'!$G$8),IF(AND(OR('депозитный калькулятор'!$G$7="30/365",'депозитный калькулятор'!$G$7="30/360"),DAY(F944)=31)," ",IF(AND('депозитный калькулятор'!$G$7="факт/факт",MOD(YEAR(F944),4)=0),G944*'депозитный калькулятор'!$D$11/366,G944*'депозитный калькулятор'!$G$8))))</f>
        <v xml:space="preserve"> </v>
      </c>
      <c r="I944" s="134" t="str">
        <f ca="1">IF(F944=" "," ",IF('депозитный калькулятор'!$G$10="ежедневное",H944,IF(AND('депозитный калькулятор'!$G$10="еженедельное",WEEKDAY(F944,2)=7),SUM(OFFSET(H944,-6,0):H944),IF(AND('депозитный калькулятор'!$G$10="еженедельное",F944='депозитный калькулятор'!$D$8),SUM($H$23:H944)-SUM($I$23:I943),IF(AND('депозитный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недели",WEEKDAY(F944,2)=7),MIN(OFFSET(H944,-6,0):H944)*(COUNTIF(OFFSET(H944,-6,0):H944,"&gt;0")+SUMIF(OFFSET(A944,-WEEKDAY(F944,2),0):A944,"=2",OFFSET(A944,-WEEKDAY(F944,2),0):A944)),IF(AND('депозитный калькулятор'!$G$10="еженедельное, на минимальную сумму зафиксированную в течение недели",F944='депозитный калькулятор'!$D$8,WEEKDAY(F944,2)&lt;&gt;7),MIN(OFFSET(H944,-WEEKDAY(F944,2),0):H944)*(COUNTIF(OFFSET(H944,-WEEKDAY(F944,2)+1,0):H944,"&gt;0")+SUM(OFFSET(A944,-WEEKDAY(F944,2),0):A944)),IF(AND('депозитный калькулятор'!$G$10="ежемесячное (в конце месяца)",F944='депозитный калькулятор'!$D$8,EOMONTH(F944,0)&lt;&gt;F944),IF('депозитный калькулятор'!$F$1=1,$H$24,SUM($H$23:H944)-SUM($I$23:I943)),IF(AND('депозитный калькулятор'!$G$10="ежемесячное (в конце месяца)",EOMONTH(F944,0)=F944),SUM($H$23:H944)-SUM($I$23:I943),IF(AND('депозитный калькулятор'!$G$10="ежемесячное (по дням открытия вклада)",F944='депозитный калькулятор'!$D$8,DAY('депозитный калькулятор'!$D$7)&lt;&gt;DAY(F944)),IF('депозитный калькулятор'!$F$1=1,$H$24,SUM($H$23:H944)-SUM($I$23:I943)),IF(AND('депозитный калькулятор'!$G$10="ежемесячное (по дням открытия вклада)",DAY('депозитный калькулятор'!$D$7)=DAY(F944)),SUM($H$23:H944)-SUM($I$23:I943),IF(AND('депозитный калькулятор'!$G$10="ежемесячное, на минимальную сумму зафиксированную в течение месяца",F944='депозитный калькулятор'!$D$8,EOMONTH(F944,0)&lt;&gt;F944),IF('депозитный калькулятор'!$F$1=1,$H$24,IF(AND(OR('депозитный калькулятор'!$G$7="30/365",'депозитный калькулятор'!$G$7="30/360"),DAY(F944)=31),0,MIN(OFFSET(H944,-E944+1,0):H944)*(E944+SUMIF(OFFSET(A944,-E944+1,0):A944,"=2",OFFSET(A944,-E944+1,0):A944)))),IF(AND('депозитный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калькулятор'!$G$7="30/360"),DAY(EOMONTH(F944,0))=31),EOMONTH(F944,0)-1=F944,EOMONTH(F944,0)=F944)),IF(IF(AND(OR('депозитный калькулятор'!$G$7="30/365",'депозитный калькулятор'!$G$7="30/360"),DAY(EOMONTH($F$23,0))=31),F944=EOMONTH($F$23,0)-1,F944=EOMONTH($F$23,0)),MIN(OFFSET(H944,-(DAY(F944)-DAY($F$23)),0):H944)*E944,MIN(OFFSET(H944,-(DAY(F944)-1),0):H944)*IF(AND(OR('депозитный калькулятор'!$G$7="30/365",'депозитный калькулятор'!$G$7="30/360"),DAY(F944)&lt;30),30,DAY(F944))),IF(AND('депозитный калькулятор'!$G$10="ежемесячное, на средний остаток в течение месяца, при условии что остаток больше чем ограничение",F944='депозитный калькулятор'!$D$8,EOMONTH(F944,0)&lt;&gt;F944),IF('депозитный калькулятор'!$F$1=1,$H$24,SUM(OFFSET(Q944,-E944+1,0):Q944)),IF(AND('депозитный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калькулятор'!$G$7="30/360"),DAY(EOMONTH(F944,0))=31),EOMONTH(F944,0)-1=F944,EOMONTH(F944,0)=F944)),IF(IF(AND(OR('депозитный калькулятор'!$G$7="30/365",'депозитный калькулятор'!$G$7="30/360"),DAY(EOMONTH($F$24,0))=31),F944=EOMONTH($F$24,0)-1,F944=EOMONTH($F$24,0)),SUM(OFFSET(Q944,-E944+1,0):Q944),SUM(OFFSET(Q944,-E944+1,0):Q944)),IF('депозитный калькулятор'!$G$10="ежеквартальное",IF(F944&gt;'депозитный калькулятор'!$D$8," ",IF(AND(EOMONTH(F944,0)=F944,OR(MONTH(F944)=3,MONTH(F944)=6,MONTH(F944)=9,MONTH(F944)=12)),IF(EDATE(F944,-3)&lt;'депозитный калькулятор'!$D$7,SUM($H$23:H944),IF(MOD(YEAR(F944),4)=0,IF(AND(EOMONTH(F944,0)=F944,OR(MONTH(F944)=3,MONTH(F944)=6)),SUM(OFFSET(H944,-90,0):H944),IF(AND(EOMONTH(F944,0)=F944,OR(MONTH(F944)=9,MONTH(F944)=12)),SUM(OFFSET(H944,-91,0):H944))),IF(AND(EOMONTH(F944,0)=F944,MONTH(F944)=3),SUM(OFFSET(H944,-89,0):H944),IF(AND(EOMONTH(F944,0)=F944,MONTH(F944)=6),SUM(OFFSET(H944,-90,0):H944),IF(AND(EOMONTH(F944,0)=F944,OR(MONTH(F944)=9,MONTH(F944)=12)),SUM(OFFSET(H944,-91,0):H944)))))),IF(F944='депозитный калькулятор'!$D$8,SUM($H$23:H944)-SUM($I$23:I943),0))),IF('депозитный калькулятор'!$G$10="ежегодное",IF(F944&gt;'депозитный калькулятор'!$D$8," ",IF(F944='депозитный калькулятор'!$D$8,SUM($H$23:H944)-SUM($I$23:I943),IF(AND(EOMONTH(F944,0)=F944,MONTH(F944)=12),IF(MOD(YEAR(F943),4)=0,IF(F944-'депозитный калькулятор'!$D$7&lt;366,SUM($H$23:H944),SUM(OFFSET(H944,-365,0):H944)),IF(F944-'депозитный калькулятор'!$D$7&lt;365,SUM($H$23:H944),SUM(OFFSET(H944,-364,0):H944))),0))),IF(AND('депозитный калькулятор'!$G$10="в конце срока",'депозитный калькулятор'!$D$8=F944),SUM($H$23:H944),0))))))))))))))))))</f>
        <v xml:space="preserve"> </v>
      </c>
      <c r="J944" s="59" t="str">
        <f>IF(F944&gt;'депозитный калькулятор'!$D$8," ",IF('депозитный калькулятор'!$G$16="нет",0,IF(AND('депозитный калькулятор'!$G$17="разовая (в конце срока)",F944='депозитный калькулятор'!$D$8),'депозитный калькулятор'!$G$18,IF(AND('депозитный калькулятор'!$G$17="ежемесячная",EOMONTH(F943,0)=F943),'депозитный калькулятор'!$G$18,IF(AND('депозитный калькулятор'!$G$17="ежегодная",DAY(F943)=31,MONTH(F943)=12),'депозитный калькулятор'!$G$18,IF(AND('депозитный калькулятор'!$G$17="ежемесячная в зависимости от остатка",EOMONTH(F943,0)=F943,P943&gt;0),'депозитный калькулятор'!$G$18,IF(AND('депозитный калькулятор'!$G$17="ежегодная в зависимости от остатка",DAY(F943)=31,MONTH(F943)=12,P943&gt;0),'депозитный калькулятор'!$G$18,0)))))))</f>
        <v xml:space="preserve"> </v>
      </c>
      <c r="K944" s="135" t="str">
        <f>IF($F944=" "," ",IFERROR(VLOOKUP($F944,'депозитный калькулятор'!$B$26:$F$70,2,0),0))</f>
        <v xml:space="preserve"> </v>
      </c>
      <c r="L944" s="135" t="str">
        <f>IF($F944=" "," ",IFERROR(VLOOKUP($F944,'депозитный калькулятор'!$B$26:$F$70,3,0),0))</f>
        <v xml:space="preserve"> </v>
      </c>
      <c r="M944" s="135" t="str">
        <f>IF($F944=" "," ",IFERROR(VLOOKUP($F944,'депозитный калькулятор'!$B$26:$F$70,4,0),0))</f>
        <v xml:space="preserve"> </v>
      </c>
      <c r="N944" s="135" t="str">
        <f>IF($F944=" "," ",IFERROR(VLOOKUP($F944,'депозитный калькулятор'!$B$26:$F$70,5,0),0))</f>
        <v xml:space="preserve"> </v>
      </c>
      <c r="O944" s="146" t="str">
        <f>IF(F944&gt;'депозитный калькулятор'!$D$8," ",IF(F944='депозитный калькулятор'!$D$8,IF(AND($F$24='депозитный калькулятор'!$D$8,'депозитный калькулятор'!$G$13="нет"),-G944-IF(I944=" ",0,I944)-IF(AND(OR('депозитный калькулятор'!$G$7="30/365",'депозитный калькулятор'!$G$7="30/360"),'депозитный калькулятор'!$G$10="в начале срока"),I943,0)-L944+M944-N944,-G944-IF(I944=" ",0,I944)-L944+M944-N944),IF('депозитный калькулятор'!$G$13="есть",M944-N944+IF('депозитный калькулятор'!$G$14="есть",0,-L944),-IF(I944=" ",0,I944)-IF(AND(OR('депозитный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срока"),I943,0)+M944-N944+IF('депозитный калькулятор'!$G$14="есть",0,-L944))))</f>
        <v xml:space="preserve"> </v>
      </c>
      <c r="P944" s="147" t="str">
        <f>IF(F944&gt;'депозитный калькулятор'!$D$8," ",IF(EOMONTH(F943,0)=F943,0,IF(G944&gt;='депозитный калькулятор'!$G$19,P943,P943+1)))</f>
        <v xml:space="preserve"> </v>
      </c>
      <c r="Q944" s="138" t="str">
        <f>IF(F944=" "," ",IF(AND(OR('депозитный калькулятор'!$G$7="30/365",'депозитный калькулятор'!$G$7="30/360"),AND(MONTH(F944)=2,EOMONTH(F944,0)=F944)),IF(DAY(F944)=28,3,2),1)*IF(G944&gt;='депозитный калькулятор'!$G$11,IF(AND('депозитный калькулятор'!$G$7="факт/факт",MOD(YEAR(F944),4)=0),G944*'депозитный калькулятор'!$D$11/366,G944*'депозитный калькулятор'!$G$8),0))</f>
        <v xml:space="preserve"> </v>
      </c>
      <c r="S944" s="62" t="str">
        <f t="shared" ca="1" si="72"/>
        <v xml:space="preserve"> </v>
      </c>
      <c r="T944" s="149" t="str">
        <f ca="1">IF(S944=" "," ",IF('депозитный калькулятор'!$G$7="30/360",DAYS360(U943,IF(DAY(U944)=31,U944-1,U944))+IF(AND(MONTH(U944)=2,U944=EOMONTH(U944,0)),30-DAY(EOMONTH(U944,0)))+T943,VLOOKUP(S944,$C$22:$F$1023,2,0)))</f>
        <v xml:space="preserve"> </v>
      </c>
      <c r="U944" s="64" t="str">
        <f t="shared" ca="1" si="70"/>
        <v xml:space="preserve"> </v>
      </c>
      <c r="V944" s="150" t="str">
        <f t="shared" ca="1" si="73"/>
        <v xml:space="preserve"> </v>
      </c>
      <c r="W944" s="62" t="str">
        <f t="shared" ca="1" si="74"/>
        <v xml:space="preserve"> </v>
      </c>
      <c r="X944" s="141" t="str">
        <f ca="1">IF(S944=" "," ",IFERROR(VLOOKUP(U944,$F$23:$N$1023,7)+VLOOKUP(U944,$F$23:$N$1023,9)+IF(AND('депозитный калькулятор'!$G$13="нет",U944&lt;&gt;'депозитный калькулятор'!$D$8),VLOOKUP(U944,$F$23:$N$1023,4),0),0)+IF(U944='депозитный калькулятор'!$D$8,VLOOKUP(U944,$F$23:$N$1023,2)+VLOOKUP(U944,$F$23:$N$1023,4),0))</f>
        <v xml:space="preserve"> </v>
      </c>
      <c r="Y944" s="142" t="str">
        <f ca="1">IF(S944=" "," ",W944/(1+'депозитный калькулятор'!$K$8)^(T944/IF('депозитный калькулятор'!$G$7="30/360",360,365)))</f>
        <v xml:space="preserve"> </v>
      </c>
      <c r="Z944" s="142" t="str">
        <f ca="1">IF(S944=" "," ",X944/(1+'депозитный калькулятор'!$K$8)^(T944/IF('депозитный калькулятор'!$G$7="30/360",360,365)))</f>
        <v xml:space="preserve"> </v>
      </c>
      <c r="AA944" s="151"/>
      <c r="AB944" s="151"/>
      <c r="AC944" s="155"/>
      <c r="AD944" s="155"/>
    </row>
    <row r="945" spans="1:30" s="2" customFormat="1" ht="15.5" x14ac:dyDescent="0.35">
      <c r="A945" s="41" t="str">
        <f>IF(F945=" "," ",IF(OR('депозитный калькулятор'!$G$7="30/365",'депозитный калькулятор'!$G$7="30/360"),IF(AND(MONTH(F945)=2,DAY(F945)=DAY(EOMONTH(F945,0))),30-DAY(EOMONTH(F945,0)),IF(DAY(F945)=31,1," "))," "))</f>
        <v xml:space="preserve"> </v>
      </c>
      <c r="B945" s="130" t="str">
        <f t="shared" si="71"/>
        <v xml:space="preserve"> </v>
      </c>
      <c r="C945" s="130" t="str">
        <f>IF(OR(B945=0,B945=" ")," ",SUM($B$23:B945))</f>
        <v xml:space="preserve"> </v>
      </c>
      <c r="D945" s="62" t="str">
        <f>IF(D944=" "," ",IF(OR(F944='депозитный калькулятор'!$D$8,F944=" ")," ",D944+1))</f>
        <v xml:space="preserve"> </v>
      </c>
      <c r="E945" s="130" t="str">
        <f>IF(OR(F944='депозитный калькулятор'!$D$8,F944=" ")," ",IF(EOMONTH(F944,0)=F944,1,E944+1))</f>
        <v xml:space="preserve"> </v>
      </c>
      <c r="F945" s="64" t="str">
        <f>IF(F944=" "," ",IF(F944='депозитный калькулятор'!$D$8," ",F944+1))</f>
        <v xml:space="preserve"> </v>
      </c>
      <c r="G945" s="145" t="str">
        <f xml:space="preserve"> IF(F945&gt;'депозитный калькулятор'!$D$8," ",IF('депозитный калькулятор'!$G$13="есть",IF('депозитный калькулятор'!$G$14="есть",G944+IF(I944=" ",0,I944)-J945-K945+L945+M945-N945,G944+IF(I944=" ",0,I944)-J945-K945+M945-N945),IF('депозитный калькулятор'!$G$14="есть",G944-J945-K945+L945+M945-N945,G944-J945-K945+M945-N945)))</f>
        <v xml:space="preserve"> </v>
      </c>
      <c r="H945" s="133" t="str">
        <f>IF(F945&gt;'депозитный калькулятор'!$D$8," ",IF(AND(OR('депозитный калькулятор'!$G$7="30/365",'депозитный калькулятор'!$G$7="30/360"),AND(MONTH(F945)=2,EOMONTH(F945,0)=F945)),IF(DAY(F945)=28,3*G945*'депозитный калькулятор'!$G$8,2*G945*'депозитный калькулятор'!$G$8),IF(AND(OR('депозитный калькулятор'!$G$7="30/365",'депозитный калькулятор'!$G$7="30/360"),DAY(F945)=31)," ",IF(AND('депозитный калькулятор'!$G$7="факт/факт",MOD(YEAR(F945),4)=0),G945*'депозитный калькулятор'!$D$11/366,G945*'депозитный калькулятор'!$G$8))))</f>
        <v xml:space="preserve"> </v>
      </c>
      <c r="I945" s="134" t="str">
        <f ca="1">IF(F945=" "," ",IF('депозитный калькулятор'!$G$10="ежедневное",H945,IF(AND('депозитный калькулятор'!$G$10="еженедельное",WEEKDAY(F945,2)=7),SUM(OFFSET(H945,-6,0):H945),IF(AND('депозитный калькулятор'!$G$10="еженедельное",F945='депозитный калькулятор'!$D$8),SUM($H$23:H945)-SUM($I$23:I944),IF(AND('депозитный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недели",WEEKDAY(F945,2)=7),MIN(OFFSET(H945,-6,0):H945)*(COUNTIF(OFFSET(H945,-6,0):H945,"&gt;0")+SUMIF(OFFSET(A945,-WEEKDAY(F945,2),0):A945,"=2",OFFSET(A945,-WEEKDAY(F945,2),0):A945)),IF(AND('депозитный калькулятор'!$G$10="еженедельное, на минимальную сумму зафиксированную в течение недели",F945='депозитный калькулятор'!$D$8,WEEKDAY(F945,2)&lt;&gt;7),MIN(OFFSET(H945,-WEEKDAY(F945,2),0):H945)*(COUNTIF(OFFSET(H945,-WEEKDAY(F945,2)+1,0):H945,"&gt;0")+SUM(OFFSET(A945,-WEEKDAY(F945,2),0):A945)),IF(AND('депозитный калькулятор'!$G$10="ежемесячное (в конце месяца)",F945='депозитный калькулятор'!$D$8,EOMONTH(F945,0)&lt;&gt;F945),IF('депозитный калькулятор'!$F$1=1,$H$24,SUM($H$23:H945)-SUM($I$23:I944)),IF(AND('депозитный калькулятор'!$G$10="ежемесячное (в конце месяца)",EOMONTH(F945,0)=F945),SUM($H$23:H945)-SUM($I$23:I944),IF(AND('депозитный калькулятор'!$G$10="ежемесячное (по дням открытия вклада)",F945='депозитный калькулятор'!$D$8,DAY('депозитный калькулятор'!$D$7)&lt;&gt;DAY(F945)),IF('депозитный калькулятор'!$F$1=1,$H$24,SUM($H$23:H945)-SUM($I$23:I944)),IF(AND('депозитный калькулятор'!$G$10="ежемесячное (по дням открытия вклада)",DAY('депозитный калькулятор'!$D$7)=DAY(F945)),SUM($H$23:H945)-SUM($I$23:I944),IF(AND('депозитный калькулятор'!$G$10="ежемесячное, на минимальную сумму зафиксированную в течение месяца",F945='депозитный калькулятор'!$D$8,EOMONTH(F945,0)&lt;&gt;F945),IF('депозитный калькулятор'!$F$1=1,$H$24,IF(AND(OR('депозитный калькулятор'!$G$7="30/365",'депозитный калькулятор'!$G$7="30/360"),DAY(F945)=31),0,MIN(OFFSET(H945,-E945+1,0):H945)*(E945+SUMIF(OFFSET(A945,-E945+1,0):A945,"=2",OFFSET(A945,-E945+1,0):A945)))),IF(AND('депозитный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калькулятор'!$G$7="30/360"),DAY(EOMONTH(F945,0))=31),EOMONTH(F945,0)-1=F945,EOMONTH(F945,0)=F945)),IF(IF(AND(OR('депозитный калькулятор'!$G$7="30/365",'депозитный калькулятор'!$G$7="30/360"),DAY(EOMONTH($F$23,0))=31),F945=EOMONTH($F$23,0)-1,F945=EOMONTH($F$23,0)),MIN(OFFSET(H945,-(DAY(F945)-DAY($F$23)),0):H945)*E945,MIN(OFFSET(H945,-(DAY(F945)-1),0):H945)*IF(AND(OR('депозитный калькулятор'!$G$7="30/365",'депозитный калькулятор'!$G$7="30/360"),DAY(F945)&lt;30),30,DAY(F945))),IF(AND('депозитный калькулятор'!$G$10="ежемесячное, на средний остаток в течение месяца, при условии что остаток больше чем ограничение",F945='депозитный калькулятор'!$D$8,EOMONTH(F945,0)&lt;&gt;F945),IF('депозитный калькулятор'!$F$1=1,$H$24,SUM(OFFSET(Q945,-E945+1,0):Q945)),IF(AND('депозитный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калькулятор'!$G$7="30/360"),DAY(EOMONTH(F945,0))=31),EOMONTH(F945,0)-1=F945,EOMONTH(F945,0)=F945)),IF(IF(AND(OR('депозитный калькулятор'!$G$7="30/365",'депозитный калькулятор'!$G$7="30/360"),DAY(EOMONTH($F$24,0))=31),F945=EOMONTH($F$24,0)-1,F945=EOMONTH($F$24,0)),SUM(OFFSET(Q945,-E945+1,0):Q945),SUM(OFFSET(Q945,-E945+1,0):Q945)),IF('депозитный калькулятор'!$G$10="ежеквартальное",IF(F945&gt;'депозитный калькулятор'!$D$8," ",IF(AND(EOMONTH(F945,0)=F945,OR(MONTH(F945)=3,MONTH(F945)=6,MONTH(F945)=9,MONTH(F945)=12)),IF(EDATE(F945,-3)&lt;'депозитный калькулятор'!$D$7,SUM($H$23:H945),IF(MOD(YEAR(F945),4)=0,IF(AND(EOMONTH(F945,0)=F945,OR(MONTH(F945)=3,MONTH(F945)=6)),SUM(OFFSET(H945,-90,0):H945),IF(AND(EOMONTH(F945,0)=F945,OR(MONTH(F945)=9,MONTH(F945)=12)),SUM(OFFSET(H945,-91,0):H945))),IF(AND(EOMONTH(F945,0)=F945,MONTH(F945)=3),SUM(OFFSET(H945,-89,0):H945),IF(AND(EOMONTH(F945,0)=F945,MONTH(F945)=6),SUM(OFFSET(H945,-90,0):H945),IF(AND(EOMONTH(F945,0)=F945,OR(MONTH(F945)=9,MONTH(F945)=12)),SUM(OFFSET(H945,-91,0):H945)))))),IF(F945='депозитный калькулятор'!$D$8,SUM($H$23:H945)-SUM($I$23:I944),0))),IF('депозитный калькулятор'!$G$10="ежегодное",IF(F945&gt;'депозитный калькулятор'!$D$8," ",IF(F945='депозитный калькулятор'!$D$8,SUM($H$23:H945)-SUM($I$23:I944),IF(AND(EOMONTH(F945,0)=F945,MONTH(F945)=12),IF(MOD(YEAR(F944),4)=0,IF(F945-'депозитный калькулятор'!$D$7&lt;366,SUM($H$23:H945),SUM(OFFSET(H945,-365,0):H945)),IF(F945-'депозитный калькулятор'!$D$7&lt;365,SUM($H$23:H945),SUM(OFFSET(H945,-364,0):H945))),0))),IF(AND('депозитный калькулятор'!$G$10="в конце срока",'депозитный калькулятор'!$D$8=F945),SUM($H$23:H945),0))))))))))))))))))</f>
        <v xml:space="preserve"> </v>
      </c>
      <c r="J945" s="59" t="str">
        <f>IF(F945&gt;'депозитный калькулятор'!$D$8," ",IF('депозитный калькулятор'!$G$16="нет",0,IF(AND('депозитный калькулятор'!$G$17="разовая (в конце срока)",F945='депозитный калькулятор'!$D$8),'депозитный калькулятор'!$G$18,IF(AND('депозитный калькулятор'!$G$17="ежемесячная",EOMONTH(F944,0)=F944),'депозитный калькулятор'!$G$18,IF(AND('депозитный калькулятор'!$G$17="ежегодная",DAY(F944)=31,MONTH(F944)=12),'депозитный калькулятор'!$G$18,IF(AND('депозитный калькулятор'!$G$17="ежемесячная в зависимости от остатка",EOMONTH(F944,0)=F944,P944&gt;0),'депозитный калькулятор'!$G$18,IF(AND('депозитный калькулятор'!$G$17="ежегодная в зависимости от остатка",DAY(F944)=31,MONTH(F944)=12,P944&gt;0),'депозитный калькулятор'!$G$18,0)))))))</f>
        <v xml:space="preserve"> </v>
      </c>
      <c r="K945" s="135" t="str">
        <f>IF($F945=" "," ",IFERROR(VLOOKUP($F945,'депозитный калькулятор'!$B$26:$F$70,2,0),0))</f>
        <v xml:space="preserve"> </v>
      </c>
      <c r="L945" s="135" t="str">
        <f>IF($F945=" "," ",IFERROR(VLOOKUP($F945,'депозитный калькулятор'!$B$26:$F$70,3,0),0))</f>
        <v xml:space="preserve"> </v>
      </c>
      <c r="M945" s="135" t="str">
        <f>IF($F945=" "," ",IFERROR(VLOOKUP($F945,'депозитный калькулятор'!$B$26:$F$70,4,0),0))</f>
        <v xml:space="preserve"> </v>
      </c>
      <c r="N945" s="135" t="str">
        <f>IF($F945=" "," ",IFERROR(VLOOKUP($F945,'депозитный калькулятор'!$B$26:$F$70,5,0),0))</f>
        <v xml:space="preserve"> </v>
      </c>
      <c r="O945" s="146" t="str">
        <f>IF(F945&gt;'депозитный калькулятор'!$D$8," ",IF(F945='депозитный калькулятор'!$D$8,IF(AND($F$24='депозитный калькулятор'!$D$8,'депозитный калькулятор'!$G$13="нет"),-G945-IF(I945=" ",0,I945)-IF(AND(OR('депозитный калькулятор'!$G$7="30/365",'депозитный калькулятор'!$G$7="30/360"),'депозитный калькулятор'!$G$10="в начале срока"),I944,0)-L945+M945-N945,-G945-IF(I945=" ",0,I945)-L945+M945-N945),IF('депозитный калькулятор'!$G$13="есть",M945-N945+IF('депозитный калькулятор'!$G$14="есть",0,-L945),-IF(I945=" ",0,I945)-IF(AND(OR('депозитный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срока"),I944,0)+M945-N945+IF('депозитный калькулятор'!$G$14="есть",0,-L945))))</f>
        <v xml:space="preserve"> </v>
      </c>
      <c r="P945" s="147" t="str">
        <f>IF(F945&gt;'депозитный калькулятор'!$D$8," ",IF(EOMONTH(F944,0)=F944,0,IF(G945&gt;='депозитный калькулятор'!$G$19,P944,P944+1)))</f>
        <v xml:space="preserve"> </v>
      </c>
      <c r="Q945" s="138" t="str">
        <f>IF(F945=" "," ",IF(AND(OR('депозитный калькулятор'!$G$7="30/365",'депозитный калькулятор'!$G$7="30/360"),AND(MONTH(F945)=2,EOMONTH(F945,0)=F945)),IF(DAY(F945)=28,3,2),1)*IF(G945&gt;='депозитный калькулятор'!$G$11,IF(AND('депозитный калькулятор'!$G$7="факт/факт",MOD(YEAR(F945),4)=0),G945*'депозитный калькулятор'!$D$11/366,G945*'депозитный калькулятор'!$G$8),0))</f>
        <v xml:space="preserve"> </v>
      </c>
      <c r="S945" s="62" t="str">
        <f t="shared" ca="1" si="72"/>
        <v xml:space="preserve"> </v>
      </c>
      <c r="T945" s="149" t="str">
        <f ca="1">IF(S945=" "," ",IF('депозитный калькулятор'!$G$7="30/360",DAYS360(U944,IF(DAY(U945)=31,U945-1,U945))+IF(AND(MONTH(U945)=2,U945=EOMONTH(U945,0)),30-DAY(EOMONTH(U945,0)))+T944,VLOOKUP(S945,$C$22:$F$1023,2,0)))</f>
        <v xml:space="preserve"> </v>
      </c>
      <c r="U945" s="64" t="str">
        <f t="shared" ca="1" si="70"/>
        <v xml:space="preserve"> </v>
      </c>
      <c r="V945" s="150" t="str">
        <f t="shared" ca="1" si="73"/>
        <v xml:space="preserve"> </v>
      </c>
      <c r="W945" s="62" t="str">
        <f t="shared" ca="1" si="74"/>
        <v xml:space="preserve"> </v>
      </c>
      <c r="X945" s="141" t="str">
        <f ca="1">IF(S945=" "," ",IFERROR(VLOOKUP(U945,$F$23:$N$1023,7)+VLOOKUP(U945,$F$23:$N$1023,9)+IF(AND('депозитный калькулятор'!$G$13="нет",U945&lt;&gt;'депозитный калькулятор'!$D$8),VLOOKUP(U945,$F$23:$N$1023,4),0),0)+IF(U945='депозитный калькулятор'!$D$8,VLOOKUP(U945,$F$23:$N$1023,2)+VLOOKUP(U945,$F$23:$N$1023,4),0))</f>
        <v xml:space="preserve"> </v>
      </c>
      <c r="Y945" s="142" t="str">
        <f ca="1">IF(S945=" "," ",W945/(1+'депозитный калькулятор'!$K$8)^(T945/IF('депозитный калькулятор'!$G$7="30/360",360,365)))</f>
        <v xml:space="preserve"> </v>
      </c>
      <c r="Z945" s="142" t="str">
        <f ca="1">IF(S945=" "," ",X945/(1+'депозитный калькулятор'!$K$8)^(T945/IF('депозитный калькулятор'!$G$7="30/360",360,365)))</f>
        <v xml:space="preserve"> </v>
      </c>
      <c r="AA945" s="151"/>
      <c r="AB945" s="151"/>
      <c r="AC945" s="155"/>
      <c r="AD945" s="155"/>
    </row>
    <row r="946" spans="1:30" s="2" customFormat="1" ht="15.5" x14ac:dyDescent="0.35">
      <c r="A946" s="41" t="str">
        <f>IF(F946=" "," ",IF(OR('депозитный калькулятор'!$G$7="30/365",'депозитный калькулятор'!$G$7="30/360"),IF(AND(MONTH(F946)=2,DAY(F946)=DAY(EOMONTH(F946,0))),30-DAY(EOMONTH(F946,0)),IF(DAY(F946)=31,1," "))," "))</f>
        <v xml:space="preserve"> </v>
      </c>
      <c r="B946" s="130" t="str">
        <f t="shared" si="71"/>
        <v xml:space="preserve"> </v>
      </c>
      <c r="C946" s="130" t="str">
        <f>IF(OR(B946=0,B946=" ")," ",SUM($B$23:B946))</f>
        <v xml:space="preserve"> </v>
      </c>
      <c r="D946" s="62" t="str">
        <f>IF(D945=" "," ",IF(OR(F945='депозитный калькулятор'!$D$8,F945=" ")," ",D945+1))</f>
        <v xml:space="preserve"> </v>
      </c>
      <c r="E946" s="130" t="str">
        <f>IF(OR(F945='депозитный калькулятор'!$D$8,F945=" ")," ",IF(EOMONTH(F945,0)=F945,1,E945+1))</f>
        <v xml:space="preserve"> </v>
      </c>
      <c r="F946" s="64" t="str">
        <f>IF(F945=" "," ",IF(F945='депозитный калькулятор'!$D$8," ",F945+1))</f>
        <v xml:space="preserve"> </v>
      </c>
      <c r="G946" s="145" t="str">
        <f xml:space="preserve"> IF(F946&gt;'депозитный калькулятор'!$D$8," ",IF('депозитный калькулятор'!$G$13="есть",IF('депозитный калькулятор'!$G$14="есть",G945+IF(I945=" ",0,I945)-J946-K946+L946+M946-N946,G945+IF(I945=" ",0,I945)-J946-K946+M946-N946),IF('депозитный калькулятор'!$G$14="есть",G945-J946-K946+L946+M946-N946,G945-J946-K946+M946-N946)))</f>
        <v xml:space="preserve"> </v>
      </c>
      <c r="H946" s="133" t="str">
        <f>IF(F946&gt;'депозитный калькулятор'!$D$8," ",IF(AND(OR('депозитный калькулятор'!$G$7="30/365",'депозитный калькулятор'!$G$7="30/360"),AND(MONTH(F946)=2,EOMONTH(F946,0)=F946)),IF(DAY(F946)=28,3*G946*'депозитный калькулятор'!$G$8,2*G946*'депозитный калькулятор'!$G$8),IF(AND(OR('депозитный калькулятор'!$G$7="30/365",'депозитный калькулятор'!$G$7="30/360"),DAY(F946)=31)," ",IF(AND('депозитный калькулятор'!$G$7="факт/факт",MOD(YEAR(F946),4)=0),G946*'депозитный калькулятор'!$D$11/366,G946*'депозитный калькулятор'!$G$8))))</f>
        <v xml:space="preserve"> </v>
      </c>
      <c r="I946" s="134" t="str">
        <f ca="1">IF(F946=" "," ",IF('депозитный калькулятор'!$G$10="ежедневное",H946,IF(AND('депозитный калькулятор'!$G$10="еженедельное",WEEKDAY(F946,2)=7),SUM(OFFSET(H946,-6,0):H946),IF(AND('депозитный калькулятор'!$G$10="еженедельное",F946='депозитный калькулятор'!$D$8),SUM($H$23:H946)-SUM($I$23:I945),IF(AND('депозитный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недели",WEEKDAY(F946,2)=7),MIN(OFFSET(H946,-6,0):H946)*(COUNTIF(OFFSET(H946,-6,0):H946,"&gt;0")+SUMIF(OFFSET(A946,-WEEKDAY(F946,2),0):A946,"=2",OFFSET(A946,-WEEKDAY(F946,2),0):A946)),IF(AND('депозитный калькулятор'!$G$10="еженедельное, на минимальную сумму зафиксированную в течение недели",F946='депозитный калькулятор'!$D$8,WEEKDAY(F946,2)&lt;&gt;7),MIN(OFFSET(H946,-WEEKDAY(F946,2),0):H946)*(COUNTIF(OFFSET(H946,-WEEKDAY(F946,2)+1,0):H946,"&gt;0")+SUM(OFFSET(A946,-WEEKDAY(F946,2),0):A946)),IF(AND('депозитный калькулятор'!$G$10="ежемесячное (в конце месяца)",F946='депозитный калькулятор'!$D$8,EOMONTH(F946,0)&lt;&gt;F946),IF('депозитный калькулятор'!$F$1=1,$H$24,SUM($H$23:H946)-SUM($I$23:I945)),IF(AND('депозитный калькулятор'!$G$10="ежемесячное (в конце месяца)",EOMONTH(F946,0)=F946),SUM($H$23:H946)-SUM($I$23:I945),IF(AND('депозитный калькулятор'!$G$10="ежемесячное (по дням открытия вклада)",F946='депозитный калькулятор'!$D$8,DAY('депозитный калькулятор'!$D$7)&lt;&gt;DAY(F946)),IF('депозитный калькулятор'!$F$1=1,$H$24,SUM($H$23:H946)-SUM($I$23:I945)),IF(AND('депозитный калькулятор'!$G$10="ежемесячное (по дням открытия вклада)",DAY('депозитный калькулятор'!$D$7)=DAY(F946)),SUM($H$23:H946)-SUM($I$23:I945),IF(AND('депозитный калькулятор'!$G$10="ежемесячное, на минимальную сумму зафиксированную в течение месяца",F946='депозитный калькулятор'!$D$8,EOMONTH(F946,0)&lt;&gt;F946),IF('депозитный калькулятор'!$F$1=1,$H$24,IF(AND(OR('депозитный калькулятор'!$G$7="30/365",'депозитный калькулятор'!$G$7="30/360"),DAY(F946)=31),0,MIN(OFFSET(H946,-E946+1,0):H946)*(E946+SUMIF(OFFSET(A946,-E946+1,0):A946,"=2",OFFSET(A946,-E946+1,0):A946)))),IF(AND('депозитный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калькулятор'!$G$7="30/360"),DAY(EOMONTH(F946,0))=31),EOMONTH(F946,0)-1=F946,EOMONTH(F946,0)=F946)),IF(IF(AND(OR('депозитный калькулятор'!$G$7="30/365",'депозитный калькулятор'!$G$7="30/360"),DAY(EOMONTH($F$23,0))=31),F946=EOMONTH($F$23,0)-1,F946=EOMONTH($F$23,0)),MIN(OFFSET(H946,-(DAY(F946)-DAY($F$23)),0):H946)*E946,MIN(OFFSET(H946,-(DAY(F946)-1),0):H946)*IF(AND(OR('депозитный калькулятор'!$G$7="30/365",'депозитный калькулятор'!$G$7="30/360"),DAY(F946)&lt;30),30,DAY(F946))),IF(AND('депозитный калькулятор'!$G$10="ежемесячное, на средний остаток в течение месяца, при условии что остаток больше чем ограничение",F946='депозитный калькулятор'!$D$8,EOMONTH(F946,0)&lt;&gt;F946),IF('депозитный калькулятор'!$F$1=1,$H$24,SUM(OFFSET(Q946,-E946+1,0):Q946)),IF(AND('депозитный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калькулятор'!$G$7="30/360"),DAY(EOMONTH(F946,0))=31),EOMONTH(F946,0)-1=F946,EOMONTH(F946,0)=F946)),IF(IF(AND(OR('депозитный калькулятор'!$G$7="30/365",'депозитный калькулятор'!$G$7="30/360"),DAY(EOMONTH($F$24,0))=31),F946=EOMONTH($F$24,0)-1,F946=EOMONTH($F$24,0)),SUM(OFFSET(Q946,-E946+1,0):Q946),SUM(OFFSET(Q946,-E946+1,0):Q946)),IF('депозитный калькулятор'!$G$10="ежеквартальное",IF(F946&gt;'депозитный калькулятор'!$D$8," ",IF(AND(EOMONTH(F946,0)=F946,OR(MONTH(F946)=3,MONTH(F946)=6,MONTH(F946)=9,MONTH(F946)=12)),IF(EDATE(F946,-3)&lt;'депозитный калькулятор'!$D$7,SUM($H$23:H946),IF(MOD(YEAR(F946),4)=0,IF(AND(EOMONTH(F946,0)=F946,OR(MONTH(F946)=3,MONTH(F946)=6)),SUM(OFFSET(H946,-90,0):H946),IF(AND(EOMONTH(F946,0)=F946,OR(MONTH(F946)=9,MONTH(F946)=12)),SUM(OFFSET(H946,-91,0):H946))),IF(AND(EOMONTH(F946,0)=F946,MONTH(F946)=3),SUM(OFFSET(H946,-89,0):H946),IF(AND(EOMONTH(F946,0)=F946,MONTH(F946)=6),SUM(OFFSET(H946,-90,0):H946),IF(AND(EOMONTH(F946,0)=F946,OR(MONTH(F946)=9,MONTH(F946)=12)),SUM(OFFSET(H946,-91,0):H946)))))),IF(F946='депозитный калькулятор'!$D$8,SUM($H$23:H946)-SUM($I$23:I945),0))),IF('депозитный калькулятор'!$G$10="ежегодное",IF(F946&gt;'депозитный калькулятор'!$D$8," ",IF(F946='депозитный калькулятор'!$D$8,SUM($H$23:H946)-SUM($I$23:I945),IF(AND(EOMONTH(F946,0)=F946,MONTH(F946)=12),IF(MOD(YEAR(F945),4)=0,IF(F946-'депозитный калькулятор'!$D$7&lt;366,SUM($H$23:H946),SUM(OFFSET(H946,-365,0):H946)),IF(F946-'депозитный калькулятор'!$D$7&lt;365,SUM($H$23:H946),SUM(OFFSET(H946,-364,0):H946))),0))),IF(AND('депозитный калькулятор'!$G$10="в конце срока",'депозитный калькулятор'!$D$8=F946),SUM($H$23:H946),0))))))))))))))))))</f>
        <v xml:space="preserve"> </v>
      </c>
      <c r="J946" s="59" t="str">
        <f>IF(F946&gt;'депозитный калькулятор'!$D$8," ",IF('депозитный калькулятор'!$G$16="нет",0,IF(AND('депозитный калькулятор'!$G$17="разовая (в конце срока)",F946='депозитный калькулятор'!$D$8),'депозитный калькулятор'!$G$18,IF(AND('депозитный калькулятор'!$G$17="ежемесячная",EOMONTH(F945,0)=F945),'депозитный калькулятор'!$G$18,IF(AND('депозитный калькулятор'!$G$17="ежегодная",DAY(F945)=31,MONTH(F945)=12),'депозитный калькулятор'!$G$18,IF(AND('депозитный калькулятор'!$G$17="ежемесячная в зависимости от остатка",EOMONTH(F945,0)=F945,P945&gt;0),'депозитный калькулятор'!$G$18,IF(AND('депозитный калькулятор'!$G$17="ежегодная в зависимости от остатка",DAY(F945)=31,MONTH(F945)=12,P945&gt;0),'депозитный калькулятор'!$G$18,0)))))))</f>
        <v xml:space="preserve"> </v>
      </c>
      <c r="K946" s="135" t="str">
        <f>IF($F946=" "," ",IFERROR(VLOOKUP($F946,'депозитный калькулятор'!$B$26:$F$70,2,0),0))</f>
        <v xml:space="preserve"> </v>
      </c>
      <c r="L946" s="135" t="str">
        <f>IF($F946=" "," ",IFERROR(VLOOKUP($F946,'депозитный калькулятор'!$B$26:$F$70,3,0),0))</f>
        <v xml:space="preserve"> </v>
      </c>
      <c r="M946" s="135" t="str">
        <f>IF($F946=" "," ",IFERROR(VLOOKUP($F946,'депозитный калькулятор'!$B$26:$F$70,4,0),0))</f>
        <v xml:space="preserve"> </v>
      </c>
      <c r="N946" s="135" t="str">
        <f>IF($F946=" "," ",IFERROR(VLOOKUP($F946,'депозитный калькулятор'!$B$26:$F$70,5,0),0))</f>
        <v xml:space="preserve"> </v>
      </c>
      <c r="O946" s="146" t="str">
        <f>IF(F946&gt;'депозитный калькулятор'!$D$8," ",IF(F946='депозитный калькулятор'!$D$8,IF(AND($F$24='депозитный калькулятор'!$D$8,'депозитный калькулятор'!$G$13="нет"),-G946-IF(I946=" ",0,I946)-IF(AND(OR('депозитный калькулятор'!$G$7="30/365",'депозитный калькулятор'!$G$7="30/360"),'депозитный калькулятор'!$G$10="в начале срока"),I945,0)-L946+M946-N946,-G946-IF(I946=" ",0,I946)-L946+M946-N946),IF('депозитный калькулятор'!$G$13="есть",M946-N946+IF('депозитный калькулятор'!$G$14="есть",0,-L946),-IF(I946=" ",0,I946)-IF(AND(OR('депозитный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срока"),I945,0)+M946-N946+IF('депозитный калькулятор'!$G$14="есть",0,-L946))))</f>
        <v xml:space="preserve"> </v>
      </c>
      <c r="P946" s="147" t="str">
        <f>IF(F946&gt;'депозитный калькулятор'!$D$8," ",IF(EOMONTH(F945,0)=F945,0,IF(G946&gt;='депозитный калькулятор'!$G$19,P945,P945+1)))</f>
        <v xml:space="preserve"> </v>
      </c>
      <c r="Q946" s="138" t="str">
        <f>IF(F946=" "," ",IF(AND(OR('депозитный калькулятор'!$G$7="30/365",'депозитный калькулятор'!$G$7="30/360"),AND(MONTH(F946)=2,EOMONTH(F946,0)=F946)),IF(DAY(F946)=28,3,2),1)*IF(G946&gt;='депозитный калькулятор'!$G$11,IF(AND('депозитный калькулятор'!$G$7="факт/факт",MOD(YEAR(F946),4)=0),G946*'депозитный калькулятор'!$D$11/366,G946*'депозитный калькулятор'!$G$8),0))</f>
        <v xml:space="preserve"> </v>
      </c>
      <c r="S946" s="62" t="str">
        <f t="shared" ca="1" si="72"/>
        <v xml:space="preserve"> </v>
      </c>
      <c r="T946" s="149" t="str">
        <f ca="1">IF(S946=" "," ",IF('депозитный калькулятор'!$G$7="30/360",DAYS360(U945,IF(DAY(U946)=31,U946-1,U946))+IF(AND(MONTH(U946)=2,U946=EOMONTH(U946,0)),30-DAY(EOMONTH(U946,0)))+T945,VLOOKUP(S946,$C$22:$F$1023,2,0)))</f>
        <v xml:space="preserve"> </v>
      </c>
      <c r="U946" s="64" t="str">
        <f t="shared" ca="1" si="70"/>
        <v xml:space="preserve"> </v>
      </c>
      <c r="V946" s="150" t="str">
        <f t="shared" ca="1" si="73"/>
        <v xml:space="preserve"> </v>
      </c>
      <c r="W946" s="62" t="str">
        <f t="shared" ca="1" si="74"/>
        <v xml:space="preserve"> </v>
      </c>
      <c r="X946" s="141" t="str">
        <f ca="1">IF(S946=" "," ",IFERROR(VLOOKUP(U946,$F$23:$N$1023,7)+VLOOKUP(U946,$F$23:$N$1023,9)+IF(AND('депозитный калькулятор'!$G$13="нет",U946&lt;&gt;'депозитный калькулятор'!$D$8),VLOOKUP(U946,$F$23:$N$1023,4),0),0)+IF(U946='депозитный калькулятор'!$D$8,VLOOKUP(U946,$F$23:$N$1023,2)+VLOOKUP(U946,$F$23:$N$1023,4),0))</f>
        <v xml:space="preserve"> </v>
      </c>
      <c r="Y946" s="142" t="str">
        <f ca="1">IF(S946=" "," ",W946/(1+'депозитный калькулятор'!$K$8)^(T946/IF('депозитный калькулятор'!$G$7="30/360",360,365)))</f>
        <v xml:space="preserve"> </v>
      </c>
      <c r="Z946" s="142" t="str">
        <f ca="1">IF(S946=" "," ",X946/(1+'депозитный калькулятор'!$K$8)^(T946/IF('депозитный калькулятор'!$G$7="30/360",360,365)))</f>
        <v xml:space="preserve"> </v>
      </c>
      <c r="AA946" s="151"/>
      <c r="AB946" s="151"/>
      <c r="AC946" s="155"/>
      <c r="AD946" s="155"/>
    </row>
    <row r="947" spans="1:30" s="2" customFormat="1" ht="15.5" x14ac:dyDescent="0.35">
      <c r="A947" s="41" t="str">
        <f>IF(F947=" "," ",IF(OR('депозитный калькулятор'!$G$7="30/365",'депозитный калькулятор'!$G$7="30/360"),IF(AND(MONTH(F947)=2,DAY(F947)=DAY(EOMONTH(F947,0))),30-DAY(EOMONTH(F947,0)),IF(DAY(F947)=31,1," "))," "))</f>
        <v xml:space="preserve"> </v>
      </c>
      <c r="B947" s="130" t="str">
        <f t="shared" si="71"/>
        <v xml:space="preserve"> </v>
      </c>
      <c r="C947" s="130" t="str">
        <f>IF(OR(B947=0,B947=" ")," ",SUM($B$23:B947))</f>
        <v xml:space="preserve"> </v>
      </c>
      <c r="D947" s="62" t="str">
        <f>IF(D946=" "," ",IF(OR(F946='депозитный калькулятор'!$D$8,F946=" ")," ",D946+1))</f>
        <v xml:space="preserve"> </v>
      </c>
      <c r="E947" s="130" t="str">
        <f>IF(OR(F946='депозитный калькулятор'!$D$8,F946=" ")," ",IF(EOMONTH(F946,0)=F946,1,E946+1))</f>
        <v xml:space="preserve"> </v>
      </c>
      <c r="F947" s="64" t="str">
        <f>IF(F946=" "," ",IF(F946='депозитный калькулятор'!$D$8," ",F946+1))</f>
        <v xml:space="preserve"> </v>
      </c>
      <c r="G947" s="145" t="str">
        <f xml:space="preserve"> IF(F947&gt;'депозитный калькулятор'!$D$8," ",IF('депозитный калькулятор'!$G$13="есть",IF('депозитный калькулятор'!$G$14="есть",G946+IF(I946=" ",0,I946)-J947-K947+L947+M947-N947,G946+IF(I946=" ",0,I946)-J947-K947+M947-N947),IF('депозитный калькулятор'!$G$14="есть",G946-J947-K947+L947+M947-N947,G946-J947-K947+M947-N947)))</f>
        <v xml:space="preserve"> </v>
      </c>
      <c r="H947" s="133" t="str">
        <f>IF(F947&gt;'депозитный калькулятор'!$D$8," ",IF(AND(OR('депозитный калькулятор'!$G$7="30/365",'депозитный калькулятор'!$G$7="30/360"),AND(MONTH(F947)=2,EOMONTH(F947,0)=F947)),IF(DAY(F947)=28,3*G947*'депозитный калькулятор'!$G$8,2*G947*'депозитный калькулятор'!$G$8),IF(AND(OR('депозитный калькулятор'!$G$7="30/365",'депозитный калькулятор'!$G$7="30/360"),DAY(F947)=31)," ",IF(AND('депозитный калькулятор'!$G$7="факт/факт",MOD(YEAR(F947),4)=0),G947*'депозитный калькулятор'!$D$11/366,G947*'депозитный калькулятор'!$G$8))))</f>
        <v xml:space="preserve"> </v>
      </c>
      <c r="I947" s="134" t="str">
        <f ca="1">IF(F947=" "," ",IF('депозитный калькулятор'!$G$10="ежедневное",H947,IF(AND('депозитный калькулятор'!$G$10="еженедельное",WEEKDAY(F947,2)=7),SUM(OFFSET(H947,-6,0):H947),IF(AND('депозитный калькулятор'!$G$10="еженедельное",F947='депозитный калькулятор'!$D$8),SUM($H$23:H947)-SUM($I$23:I946),IF(AND('депозитный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недели",WEEKDAY(F947,2)=7),MIN(OFFSET(H947,-6,0):H947)*(COUNTIF(OFFSET(H947,-6,0):H947,"&gt;0")+SUMIF(OFFSET(A947,-WEEKDAY(F947,2),0):A947,"=2",OFFSET(A947,-WEEKDAY(F947,2),0):A947)),IF(AND('депозитный калькулятор'!$G$10="еженедельное, на минимальную сумму зафиксированную в течение недели",F947='депозитный калькулятор'!$D$8,WEEKDAY(F947,2)&lt;&gt;7),MIN(OFFSET(H947,-WEEKDAY(F947,2),0):H947)*(COUNTIF(OFFSET(H947,-WEEKDAY(F947,2)+1,0):H947,"&gt;0")+SUM(OFFSET(A947,-WEEKDAY(F947,2),0):A947)),IF(AND('депозитный калькулятор'!$G$10="ежемесячное (в конце месяца)",F947='депозитный калькулятор'!$D$8,EOMONTH(F947,0)&lt;&gt;F947),IF('депозитный калькулятор'!$F$1=1,$H$24,SUM($H$23:H947)-SUM($I$23:I946)),IF(AND('депозитный калькулятор'!$G$10="ежемесячное (в конце месяца)",EOMONTH(F947,0)=F947),SUM($H$23:H947)-SUM($I$23:I946),IF(AND('депозитный калькулятор'!$G$10="ежемесячное (по дням открытия вклада)",F947='депозитный калькулятор'!$D$8,DAY('депозитный калькулятор'!$D$7)&lt;&gt;DAY(F947)),IF('депозитный калькулятор'!$F$1=1,$H$24,SUM($H$23:H947)-SUM($I$23:I946)),IF(AND('депозитный калькулятор'!$G$10="ежемесячное (по дням открытия вклада)",DAY('депозитный калькулятор'!$D$7)=DAY(F947)),SUM($H$23:H947)-SUM($I$23:I946),IF(AND('депозитный калькулятор'!$G$10="ежемесячное, на минимальную сумму зафиксированную в течение месяца",F947='депозитный калькулятор'!$D$8,EOMONTH(F947,0)&lt;&gt;F947),IF('депозитный калькулятор'!$F$1=1,$H$24,IF(AND(OR('депозитный калькулятор'!$G$7="30/365",'депозитный калькулятор'!$G$7="30/360"),DAY(F947)=31),0,MIN(OFFSET(H947,-E947+1,0):H947)*(E947+SUMIF(OFFSET(A947,-E947+1,0):A947,"=2",OFFSET(A947,-E947+1,0):A947)))),IF(AND('депозитный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калькулятор'!$G$7="30/360"),DAY(EOMONTH(F947,0))=31),EOMONTH(F947,0)-1=F947,EOMONTH(F947,0)=F947)),IF(IF(AND(OR('депозитный калькулятор'!$G$7="30/365",'депозитный калькулятор'!$G$7="30/360"),DAY(EOMONTH($F$23,0))=31),F947=EOMONTH($F$23,0)-1,F947=EOMONTH($F$23,0)),MIN(OFFSET(H947,-(DAY(F947)-DAY($F$23)),0):H947)*E947,MIN(OFFSET(H947,-(DAY(F947)-1),0):H947)*IF(AND(OR('депозитный калькулятор'!$G$7="30/365",'депозитный калькулятор'!$G$7="30/360"),DAY(F947)&lt;30),30,DAY(F947))),IF(AND('депозитный калькулятор'!$G$10="ежемесячное, на средний остаток в течение месяца, при условии что остаток больше чем ограничение",F947='депозитный калькулятор'!$D$8,EOMONTH(F947,0)&lt;&gt;F947),IF('депозитный калькулятор'!$F$1=1,$H$24,SUM(OFFSET(Q947,-E947+1,0):Q947)),IF(AND('депозитный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калькулятор'!$G$7="30/360"),DAY(EOMONTH(F947,0))=31),EOMONTH(F947,0)-1=F947,EOMONTH(F947,0)=F947)),IF(IF(AND(OR('депозитный калькулятор'!$G$7="30/365",'депозитный калькулятор'!$G$7="30/360"),DAY(EOMONTH($F$24,0))=31),F947=EOMONTH($F$24,0)-1,F947=EOMONTH($F$24,0)),SUM(OFFSET(Q947,-E947+1,0):Q947),SUM(OFFSET(Q947,-E947+1,0):Q947)),IF('депозитный калькулятор'!$G$10="ежеквартальное",IF(F947&gt;'депозитный калькулятор'!$D$8," ",IF(AND(EOMONTH(F947,0)=F947,OR(MONTH(F947)=3,MONTH(F947)=6,MONTH(F947)=9,MONTH(F947)=12)),IF(EDATE(F947,-3)&lt;'депозитный калькулятор'!$D$7,SUM($H$23:H947),IF(MOD(YEAR(F947),4)=0,IF(AND(EOMONTH(F947,0)=F947,OR(MONTH(F947)=3,MONTH(F947)=6)),SUM(OFFSET(H947,-90,0):H947),IF(AND(EOMONTH(F947,0)=F947,OR(MONTH(F947)=9,MONTH(F947)=12)),SUM(OFFSET(H947,-91,0):H947))),IF(AND(EOMONTH(F947,0)=F947,MONTH(F947)=3),SUM(OFFSET(H947,-89,0):H947),IF(AND(EOMONTH(F947,0)=F947,MONTH(F947)=6),SUM(OFFSET(H947,-90,0):H947),IF(AND(EOMONTH(F947,0)=F947,OR(MONTH(F947)=9,MONTH(F947)=12)),SUM(OFFSET(H947,-91,0):H947)))))),IF(F947='депозитный калькулятор'!$D$8,SUM($H$23:H947)-SUM($I$23:I946),0))),IF('депозитный калькулятор'!$G$10="ежегодное",IF(F947&gt;'депозитный калькулятор'!$D$8," ",IF(F947='депозитный калькулятор'!$D$8,SUM($H$23:H947)-SUM($I$23:I946),IF(AND(EOMONTH(F947,0)=F947,MONTH(F947)=12),IF(MOD(YEAR(F946),4)=0,IF(F947-'депозитный калькулятор'!$D$7&lt;366,SUM($H$23:H947),SUM(OFFSET(H947,-365,0):H947)),IF(F947-'депозитный калькулятор'!$D$7&lt;365,SUM($H$23:H947),SUM(OFFSET(H947,-364,0):H947))),0))),IF(AND('депозитный калькулятор'!$G$10="в конце срока",'депозитный калькулятор'!$D$8=F947),SUM($H$23:H947),0))))))))))))))))))</f>
        <v xml:space="preserve"> </v>
      </c>
      <c r="J947" s="59" t="str">
        <f>IF(F947&gt;'депозитный калькулятор'!$D$8," ",IF('депозитный калькулятор'!$G$16="нет",0,IF(AND('депозитный калькулятор'!$G$17="разовая (в конце срока)",F947='депозитный калькулятор'!$D$8),'депозитный калькулятор'!$G$18,IF(AND('депозитный калькулятор'!$G$17="ежемесячная",EOMONTH(F946,0)=F946),'депозитный калькулятор'!$G$18,IF(AND('депозитный калькулятор'!$G$17="ежегодная",DAY(F946)=31,MONTH(F946)=12),'депозитный калькулятор'!$G$18,IF(AND('депозитный калькулятор'!$G$17="ежемесячная в зависимости от остатка",EOMONTH(F946,0)=F946,P946&gt;0),'депозитный калькулятор'!$G$18,IF(AND('депозитный калькулятор'!$G$17="ежегодная в зависимости от остатка",DAY(F946)=31,MONTH(F946)=12,P946&gt;0),'депозитный калькулятор'!$G$18,0)))))))</f>
        <v xml:space="preserve"> </v>
      </c>
      <c r="K947" s="135" t="str">
        <f>IF($F947=" "," ",IFERROR(VLOOKUP($F947,'депозитный калькулятор'!$B$26:$F$70,2,0),0))</f>
        <v xml:space="preserve"> </v>
      </c>
      <c r="L947" s="135" t="str">
        <f>IF($F947=" "," ",IFERROR(VLOOKUP($F947,'депозитный калькулятор'!$B$26:$F$70,3,0),0))</f>
        <v xml:space="preserve"> </v>
      </c>
      <c r="M947" s="135" t="str">
        <f>IF($F947=" "," ",IFERROR(VLOOKUP($F947,'депозитный калькулятор'!$B$26:$F$70,4,0),0))</f>
        <v xml:space="preserve"> </v>
      </c>
      <c r="N947" s="135" t="str">
        <f>IF($F947=" "," ",IFERROR(VLOOKUP($F947,'депозитный калькулятор'!$B$26:$F$70,5,0),0))</f>
        <v xml:space="preserve"> </v>
      </c>
      <c r="O947" s="146" t="str">
        <f>IF(F947&gt;'депозитный калькулятор'!$D$8," ",IF(F947='депозитный калькулятор'!$D$8,IF(AND($F$24='депозитный калькулятор'!$D$8,'депозитный калькулятор'!$G$13="нет"),-G947-IF(I947=" ",0,I947)-IF(AND(OR('депозитный калькулятор'!$G$7="30/365",'депозитный калькулятор'!$G$7="30/360"),'депозитный калькулятор'!$G$10="в начале срока"),I946,0)-L947+M947-N947,-G947-IF(I947=" ",0,I947)-L947+M947-N947),IF('депозитный калькулятор'!$G$13="есть",M947-N947+IF('депозитный калькулятор'!$G$14="есть",0,-L947),-IF(I947=" ",0,I947)-IF(AND(OR('депозитный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срока"),I946,0)+M947-N947+IF('депозитный калькулятор'!$G$14="есть",0,-L947))))</f>
        <v xml:space="preserve"> </v>
      </c>
      <c r="P947" s="147" t="str">
        <f>IF(F947&gt;'депозитный калькулятор'!$D$8," ",IF(EOMONTH(F946,0)=F946,0,IF(G947&gt;='депозитный калькулятор'!$G$19,P946,P946+1)))</f>
        <v xml:space="preserve"> </v>
      </c>
      <c r="Q947" s="138" t="str">
        <f>IF(F947=" "," ",IF(AND(OR('депозитный калькулятор'!$G$7="30/365",'депозитный калькулятор'!$G$7="30/360"),AND(MONTH(F947)=2,EOMONTH(F947,0)=F947)),IF(DAY(F947)=28,3,2),1)*IF(G947&gt;='депозитный калькулятор'!$G$11,IF(AND('депозитный калькулятор'!$G$7="факт/факт",MOD(YEAR(F947),4)=0),G947*'депозитный калькулятор'!$D$11/366,G947*'депозитный калькулятор'!$G$8),0))</f>
        <v xml:space="preserve"> </v>
      </c>
      <c r="S947" s="62" t="str">
        <f t="shared" ca="1" si="72"/>
        <v xml:space="preserve"> </v>
      </c>
      <c r="T947" s="149" t="str">
        <f ca="1">IF(S947=" "," ",IF('депозитный калькулятор'!$G$7="30/360",DAYS360(U946,IF(DAY(U947)=31,U947-1,U947))+IF(AND(MONTH(U947)=2,U947=EOMONTH(U947,0)),30-DAY(EOMONTH(U947,0)))+T946,VLOOKUP(S947,$C$22:$F$1023,2,0)))</f>
        <v xml:space="preserve"> </v>
      </c>
      <c r="U947" s="64" t="str">
        <f t="shared" ca="1" si="70"/>
        <v xml:space="preserve"> </v>
      </c>
      <c r="V947" s="150" t="str">
        <f t="shared" ca="1" si="73"/>
        <v xml:space="preserve"> </v>
      </c>
      <c r="W947" s="62" t="str">
        <f t="shared" ca="1" si="74"/>
        <v xml:space="preserve"> </v>
      </c>
      <c r="X947" s="141" t="str">
        <f ca="1">IF(S947=" "," ",IFERROR(VLOOKUP(U947,$F$23:$N$1023,7)+VLOOKUP(U947,$F$23:$N$1023,9)+IF(AND('депозитный калькулятор'!$G$13="нет",U947&lt;&gt;'депозитный калькулятор'!$D$8),VLOOKUP(U947,$F$23:$N$1023,4),0),0)+IF(U947='депозитный калькулятор'!$D$8,VLOOKUP(U947,$F$23:$N$1023,2)+VLOOKUP(U947,$F$23:$N$1023,4),0))</f>
        <v xml:space="preserve"> </v>
      </c>
      <c r="Y947" s="142" t="str">
        <f ca="1">IF(S947=" "," ",W947/(1+'депозитный калькулятор'!$K$8)^(T947/IF('депозитный калькулятор'!$G$7="30/360",360,365)))</f>
        <v xml:space="preserve"> </v>
      </c>
      <c r="Z947" s="142" t="str">
        <f ca="1">IF(S947=" "," ",X947/(1+'депозитный калькулятор'!$K$8)^(T947/IF('депозитный калькулятор'!$G$7="30/360",360,365)))</f>
        <v xml:space="preserve"> </v>
      </c>
      <c r="AA947" s="151"/>
      <c r="AB947" s="151"/>
      <c r="AC947" s="155"/>
      <c r="AD947" s="155"/>
    </row>
    <row r="948" spans="1:30" s="2" customFormat="1" ht="15.5" x14ac:dyDescent="0.35">
      <c r="A948" s="41" t="str">
        <f>IF(F948=" "," ",IF(OR('депозитный калькулятор'!$G$7="30/365",'депозитный калькулятор'!$G$7="30/360"),IF(AND(MONTH(F948)=2,DAY(F948)=DAY(EOMONTH(F948,0))),30-DAY(EOMONTH(F948,0)),IF(DAY(F948)=31,1," "))," "))</f>
        <v xml:space="preserve"> </v>
      </c>
      <c r="B948" s="130" t="str">
        <f t="shared" si="71"/>
        <v xml:space="preserve"> </v>
      </c>
      <c r="C948" s="130" t="str">
        <f>IF(OR(B948=0,B948=" ")," ",SUM($B$23:B948))</f>
        <v xml:space="preserve"> </v>
      </c>
      <c r="D948" s="62" t="str">
        <f>IF(D947=" "," ",IF(OR(F947='депозитный калькулятор'!$D$8,F947=" ")," ",D947+1))</f>
        <v xml:space="preserve"> </v>
      </c>
      <c r="E948" s="130" t="str">
        <f>IF(OR(F947='депозитный калькулятор'!$D$8,F947=" ")," ",IF(EOMONTH(F947,0)=F947,1,E947+1))</f>
        <v xml:space="preserve"> </v>
      </c>
      <c r="F948" s="64" t="str">
        <f>IF(F947=" "," ",IF(F947='депозитный калькулятор'!$D$8," ",F947+1))</f>
        <v xml:space="preserve"> </v>
      </c>
      <c r="G948" s="145" t="str">
        <f xml:space="preserve"> IF(F948&gt;'депозитный калькулятор'!$D$8," ",IF('депозитный калькулятор'!$G$13="есть",IF('депозитный калькулятор'!$G$14="есть",G947+IF(I947=" ",0,I947)-J948-K948+L948+M948-N948,G947+IF(I947=" ",0,I947)-J948-K948+M948-N948),IF('депозитный калькулятор'!$G$14="есть",G947-J948-K948+L948+M948-N948,G947-J948-K948+M948-N948)))</f>
        <v xml:space="preserve"> </v>
      </c>
      <c r="H948" s="133" t="str">
        <f>IF(F948&gt;'депозитный калькулятор'!$D$8," ",IF(AND(OR('депозитный калькулятор'!$G$7="30/365",'депозитный калькулятор'!$G$7="30/360"),AND(MONTH(F948)=2,EOMONTH(F948,0)=F948)),IF(DAY(F948)=28,3*G948*'депозитный калькулятор'!$G$8,2*G948*'депозитный калькулятор'!$G$8),IF(AND(OR('депозитный калькулятор'!$G$7="30/365",'депозитный калькулятор'!$G$7="30/360"),DAY(F948)=31)," ",IF(AND('депозитный калькулятор'!$G$7="факт/факт",MOD(YEAR(F948),4)=0),G948*'депозитный калькулятор'!$D$11/366,G948*'депозитный калькулятор'!$G$8))))</f>
        <v xml:space="preserve"> </v>
      </c>
      <c r="I948" s="134" t="str">
        <f ca="1">IF(F948=" "," ",IF('депозитный калькулятор'!$G$10="ежедневное",H948,IF(AND('депозитный калькулятор'!$G$10="еженедельное",WEEKDAY(F948,2)=7),SUM(OFFSET(H948,-6,0):H948),IF(AND('депозитный калькулятор'!$G$10="еженедельное",F948='депозитный калькулятор'!$D$8),SUM($H$23:H948)-SUM($I$23:I947),IF(AND('депозитный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недели",WEEKDAY(F948,2)=7),MIN(OFFSET(H948,-6,0):H948)*(COUNTIF(OFFSET(H948,-6,0):H948,"&gt;0")+SUMIF(OFFSET(A948,-WEEKDAY(F948,2),0):A948,"=2",OFFSET(A948,-WEEKDAY(F948,2),0):A948)),IF(AND('депозитный калькулятор'!$G$10="еженедельное, на минимальную сумму зафиксированную в течение недели",F948='депозитный калькулятор'!$D$8,WEEKDAY(F948,2)&lt;&gt;7),MIN(OFFSET(H948,-WEEKDAY(F948,2),0):H948)*(COUNTIF(OFFSET(H948,-WEEKDAY(F948,2)+1,0):H948,"&gt;0")+SUM(OFFSET(A948,-WEEKDAY(F948,2),0):A948)),IF(AND('депозитный калькулятор'!$G$10="ежемесячное (в конце месяца)",F948='депозитный калькулятор'!$D$8,EOMONTH(F948,0)&lt;&gt;F948),IF('депозитный калькулятор'!$F$1=1,$H$24,SUM($H$23:H948)-SUM($I$23:I947)),IF(AND('депозитный калькулятор'!$G$10="ежемесячное (в конце месяца)",EOMONTH(F948,0)=F948),SUM($H$23:H948)-SUM($I$23:I947),IF(AND('депозитный калькулятор'!$G$10="ежемесячное (по дням открытия вклада)",F948='депозитный калькулятор'!$D$8,DAY('депозитный калькулятор'!$D$7)&lt;&gt;DAY(F948)),IF('депозитный калькулятор'!$F$1=1,$H$24,SUM($H$23:H948)-SUM($I$23:I947)),IF(AND('депозитный калькулятор'!$G$10="ежемесячное (по дням открытия вклада)",DAY('депозитный калькулятор'!$D$7)=DAY(F948)),SUM($H$23:H948)-SUM($I$23:I947),IF(AND('депозитный калькулятор'!$G$10="ежемесячное, на минимальную сумму зафиксированную в течение месяца",F948='депозитный калькулятор'!$D$8,EOMONTH(F948,0)&lt;&gt;F948),IF('депозитный калькулятор'!$F$1=1,$H$24,IF(AND(OR('депозитный калькулятор'!$G$7="30/365",'депозитный калькулятор'!$G$7="30/360"),DAY(F948)=31),0,MIN(OFFSET(H948,-E948+1,0):H948)*(E948+SUMIF(OFFSET(A948,-E948+1,0):A948,"=2",OFFSET(A948,-E948+1,0):A948)))),IF(AND('депозитный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калькулятор'!$G$7="30/360"),DAY(EOMONTH(F948,0))=31),EOMONTH(F948,0)-1=F948,EOMONTH(F948,0)=F948)),IF(IF(AND(OR('депозитный калькулятор'!$G$7="30/365",'депозитный калькулятор'!$G$7="30/360"),DAY(EOMONTH($F$23,0))=31),F948=EOMONTH($F$23,0)-1,F948=EOMONTH($F$23,0)),MIN(OFFSET(H948,-(DAY(F948)-DAY($F$23)),0):H948)*E948,MIN(OFFSET(H948,-(DAY(F948)-1),0):H948)*IF(AND(OR('депозитный калькулятор'!$G$7="30/365",'депозитный калькулятор'!$G$7="30/360"),DAY(F948)&lt;30),30,DAY(F948))),IF(AND('депозитный калькулятор'!$G$10="ежемесячное, на средний остаток в течение месяца, при условии что остаток больше чем ограничение",F948='депозитный калькулятор'!$D$8,EOMONTH(F948,0)&lt;&gt;F948),IF('депозитный калькулятор'!$F$1=1,$H$24,SUM(OFFSET(Q948,-E948+1,0):Q948)),IF(AND('депозитный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калькулятор'!$G$7="30/360"),DAY(EOMONTH(F948,0))=31),EOMONTH(F948,0)-1=F948,EOMONTH(F948,0)=F948)),IF(IF(AND(OR('депозитный калькулятор'!$G$7="30/365",'депозитный калькулятор'!$G$7="30/360"),DAY(EOMONTH($F$24,0))=31),F948=EOMONTH($F$24,0)-1,F948=EOMONTH($F$24,0)),SUM(OFFSET(Q948,-E948+1,0):Q948),SUM(OFFSET(Q948,-E948+1,0):Q948)),IF('депозитный калькулятор'!$G$10="ежеквартальное",IF(F948&gt;'депозитный калькулятор'!$D$8," ",IF(AND(EOMONTH(F948,0)=F948,OR(MONTH(F948)=3,MONTH(F948)=6,MONTH(F948)=9,MONTH(F948)=12)),IF(EDATE(F948,-3)&lt;'депозитный калькулятор'!$D$7,SUM($H$23:H948),IF(MOD(YEAR(F948),4)=0,IF(AND(EOMONTH(F948,0)=F948,OR(MONTH(F948)=3,MONTH(F948)=6)),SUM(OFFSET(H948,-90,0):H948),IF(AND(EOMONTH(F948,0)=F948,OR(MONTH(F948)=9,MONTH(F948)=12)),SUM(OFFSET(H948,-91,0):H948))),IF(AND(EOMONTH(F948,0)=F948,MONTH(F948)=3),SUM(OFFSET(H948,-89,0):H948),IF(AND(EOMONTH(F948,0)=F948,MONTH(F948)=6),SUM(OFFSET(H948,-90,0):H948),IF(AND(EOMONTH(F948,0)=F948,OR(MONTH(F948)=9,MONTH(F948)=12)),SUM(OFFSET(H948,-91,0):H948)))))),IF(F948='депозитный калькулятор'!$D$8,SUM($H$23:H948)-SUM($I$23:I947),0))),IF('депозитный калькулятор'!$G$10="ежегодное",IF(F948&gt;'депозитный калькулятор'!$D$8," ",IF(F948='депозитный калькулятор'!$D$8,SUM($H$23:H948)-SUM($I$23:I947),IF(AND(EOMONTH(F948,0)=F948,MONTH(F948)=12),IF(MOD(YEAR(F947),4)=0,IF(F948-'депозитный калькулятор'!$D$7&lt;366,SUM($H$23:H948),SUM(OFFSET(H948,-365,0):H948)),IF(F948-'депозитный калькулятор'!$D$7&lt;365,SUM($H$23:H948),SUM(OFFSET(H948,-364,0):H948))),0))),IF(AND('депозитный калькулятор'!$G$10="в конце срока",'депозитный калькулятор'!$D$8=F948),SUM($H$23:H948),0))))))))))))))))))</f>
        <v xml:space="preserve"> </v>
      </c>
      <c r="J948" s="59" t="str">
        <f>IF(F948&gt;'депозитный калькулятор'!$D$8," ",IF('депозитный калькулятор'!$G$16="нет",0,IF(AND('депозитный калькулятор'!$G$17="разовая (в конце срока)",F948='депозитный калькулятор'!$D$8),'депозитный калькулятор'!$G$18,IF(AND('депозитный калькулятор'!$G$17="ежемесячная",EOMONTH(F947,0)=F947),'депозитный калькулятор'!$G$18,IF(AND('депозитный калькулятор'!$G$17="ежегодная",DAY(F947)=31,MONTH(F947)=12),'депозитный калькулятор'!$G$18,IF(AND('депозитный калькулятор'!$G$17="ежемесячная в зависимости от остатка",EOMONTH(F947,0)=F947,P947&gt;0),'депозитный калькулятор'!$G$18,IF(AND('депозитный калькулятор'!$G$17="ежегодная в зависимости от остатка",DAY(F947)=31,MONTH(F947)=12,P947&gt;0),'депозитный калькулятор'!$G$18,0)))))))</f>
        <v xml:space="preserve"> </v>
      </c>
      <c r="K948" s="135" t="str">
        <f>IF($F948=" "," ",IFERROR(VLOOKUP($F948,'депозитный калькулятор'!$B$26:$F$70,2,0),0))</f>
        <v xml:space="preserve"> </v>
      </c>
      <c r="L948" s="135" t="str">
        <f>IF($F948=" "," ",IFERROR(VLOOKUP($F948,'депозитный калькулятор'!$B$26:$F$70,3,0),0))</f>
        <v xml:space="preserve"> </v>
      </c>
      <c r="M948" s="135" t="str">
        <f>IF($F948=" "," ",IFERROR(VLOOKUP($F948,'депозитный калькулятор'!$B$26:$F$70,4,0),0))</f>
        <v xml:space="preserve"> </v>
      </c>
      <c r="N948" s="135" t="str">
        <f>IF($F948=" "," ",IFERROR(VLOOKUP($F948,'депозитный калькулятор'!$B$26:$F$70,5,0),0))</f>
        <v xml:space="preserve"> </v>
      </c>
      <c r="O948" s="146" t="str">
        <f>IF(F948&gt;'депозитный калькулятор'!$D$8," ",IF(F948='депозитный калькулятор'!$D$8,IF(AND($F$24='депозитный калькулятор'!$D$8,'депозитный калькулятор'!$G$13="нет"),-G948-IF(I948=" ",0,I948)-IF(AND(OR('депозитный калькулятор'!$G$7="30/365",'депозитный калькулятор'!$G$7="30/360"),'депозитный калькулятор'!$G$10="в начале срока"),I947,0)-L948+M948-N948,-G948-IF(I948=" ",0,I948)-L948+M948-N948),IF('депозитный калькулятор'!$G$13="есть",M948-N948+IF('депозитный калькулятор'!$G$14="есть",0,-L948),-IF(I948=" ",0,I948)-IF(AND(OR('депозитный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срока"),I947,0)+M948-N948+IF('депозитный калькулятор'!$G$14="есть",0,-L948))))</f>
        <v xml:space="preserve"> </v>
      </c>
      <c r="P948" s="147" t="str">
        <f>IF(F948&gt;'депозитный калькулятор'!$D$8," ",IF(EOMONTH(F947,0)=F947,0,IF(G948&gt;='депозитный калькулятор'!$G$19,P947,P947+1)))</f>
        <v xml:space="preserve"> </v>
      </c>
      <c r="Q948" s="138" t="str">
        <f>IF(F948=" "," ",IF(AND(OR('депозитный калькулятор'!$G$7="30/365",'депозитный калькулятор'!$G$7="30/360"),AND(MONTH(F948)=2,EOMONTH(F948,0)=F948)),IF(DAY(F948)=28,3,2),1)*IF(G948&gt;='депозитный калькулятор'!$G$11,IF(AND('депозитный калькулятор'!$G$7="факт/факт",MOD(YEAR(F948),4)=0),G948*'депозитный калькулятор'!$D$11/366,G948*'депозитный калькулятор'!$G$8),0))</f>
        <v xml:space="preserve"> </v>
      </c>
      <c r="S948" s="62" t="str">
        <f t="shared" ca="1" si="72"/>
        <v xml:space="preserve"> </v>
      </c>
      <c r="T948" s="149" t="str">
        <f ca="1">IF(S948=" "," ",IF('депозитный калькулятор'!$G$7="30/360",DAYS360(U947,IF(DAY(U948)=31,U948-1,U948))+IF(AND(MONTH(U948)=2,U948=EOMONTH(U948,0)),30-DAY(EOMONTH(U948,0)))+T947,VLOOKUP(S948,$C$22:$F$1023,2,0)))</f>
        <v xml:space="preserve"> </v>
      </c>
      <c r="U948" s="64" t="str">
        <f t="shared" ca="1" si="70"/>
        <v xml:space="preserve"> </v>
      </c>
      <c r="V948" s="150" t="str">
        <f t="shared" ca="1" si="73"/>
        <v xml:space="preserve"> </v>
      </c>
      <c r="W948" s="62" t="str">
        <f t="shared" ca="1" si="74"/>
        <v xml:space="preserve"> </v>
      </c>
      <c r="X948" s="141" t="str">
        <f ca="1">IF(S948=" "," ",IFERROR(VLOOKUP(U948,$F$23:$N$1023,7)+VLOOKUP(U948,$F$23:$N$1023,9)+IF(AND('депозитный калькулятор'!$G$13="нет",U948&lt;&gt;'депозитный калькулятор'!$D$8),VLOOKUP(U948,$F$23:$N$1023,4),0),0)+IF(U948='депозитный калькулятор'!$D$8,VLOOKUP(U948,$F$23:$N$1023,2)+VLOOKUP(U948,$F$23:$N$1023,4),0))</f>
        <v xml:space="preserve"> </v>
      </c>
      <c r="Y948" s="142" t="str">
        <f ca="1">IF(S948=" "," ",W948/(1+'депозитный калькулятор'!$K$8)^(T948/IF('депозитный калькулятор'!$G$7="30/360",360,365)))</f>
        <v xml:space="preserve"> </v>
      </c>
      <c r="Z948" s="142" t="str">
        <f ca="1">IF(S948=" "," ",X948/(1+'депозитный калькулятор'!$K$8)^(T948/IF('депозитный калькулятор'!$G$7="30/360",360,365)))</f>
        <v xml:space="preserve"> </v>
      </c>
      <c r="AA948" s="151"/>
      <c r="AB948" s="151"/>
      <c r="AC948" s="155"/>
      <c r="AD948" s="155"/>
    </row>
    <row r="949" spans="1:30" s="2" customFormat="1" ht="15.5" x14ac:dyDescent="0.35">
      <c r="A949" s="41" t="str">
        <f>IF(F949=" "," ",IF(OR('депозитный калькулятор'!$G$7="30/365",'депозитный калькулятор'!$G$7="30/360"),IF(AND(MONTH(F949)=2,DAY(F949)=DAY(EOMONTH(F949,0))),30-DAY(EOMONTH(F949,0)),IF(DAY(F949)=31,1," "))," "))</f>
        <v xml:space="preserve"> </v>
      </c>
      <c r="B949" s="130" t="str">
        <f t="shared" si="71"/>
        <v xml:space="preserve"> </v>
      </c>
      <c r="C949" s="130" t="str">
        <f>IF(OR(B949=0,B949=" ")," ",SUM($B$23:B949))</f>
        <v xml:space="preserve"> </v>
      </c>
      <c r="D949" s="62" t="str">
        <f>IF(D948=" "," ",IF(OR(F948='депозитный калькулятор'!$D$8,F948=" ")," ",D948+1))</f>
        <v xml:space="preserve"> </v>
      </c>
      <c r="E949" s="130" t="str">
        <f>IF(OR(F948='депозитный калькулятор'!$D$8,F948=" ")," ",IF(EOMONTH(F948,0)=F948,1,E948+1))</f>
        <v xml:space="preserve"> </v>
      </c>
      <c r="F949" s="64" t="str">
        <f>IF(F948=" "," ",IF(F948='депозитный калькулятор'!$D$8," ",F948+1))</f>
        <v xml:space="preserve"> </v>
      </c>
      <c r="G949" s="145" t="str">
        <f xml:space="preserve"> IF(F949&gt;'депозитный калькулятор'!$D$8," ",IF('депозитный калькулятор'!$G$13="есть",IF('депозитный калькулятор'!$G$14="есть",G948+IF(I948=" ",0,I948)-J949-K949+L949+M949-N949,G948+IF(I948=" ",0,I948)-J949-K949+M949-N949),IF('депозитный калькулятор'!$G$14="есть",G948-J949-K949+L949+M949-N949,G948-J949-K949+M949-N949)))</f>
        <v xml:space="preserve"> </v>
      </c>
      <c r="H949" s="133" t="str">
        <f>IF(F949&gt;'депозитный калькулятор'!$D$8," ",IF(AND(OR('депозитный калькулятор'!$G$7="30/365",'депозитный калькулятор'!$G$7="30/360"),AND(MONTH(F949)=2,EOMONTH(F949,0)=F949)),IF(DAY(F949)=28,3*G949*'депозитный калькулятор'!$G$8,2*G949*'депозитный калькулятор'!$G$8),IF(AND(OR('депозитный калькулятор'!$G$7="30/365",'депозитный калькулятор'!$G$7="30/360"),DAY(F949)=31)," ",IF(AND('депозитный калькулятор'!$G$7="факт/факт",MOD(YEAR(F949),4)=0),G949*'депозитный калькулятор'!$D$11/366,G949*'депозитный калькулятор'!$G$8))))</f>
        <v xml:space="preserve"> </v>
      </c>
      <c r="I949" s="134" t="str">
        <f ca="1">IF(F949=" "," ",IF('депозитный калькулятор'!$G$10="ежедневное",H949,IF(AND('депозитный калькулятор'!$G$10="еженедельное",WEEKDAY(F949,2)=7),SUM(OFFSET(H949,-6,0):H949),IF(AND('депозитный калькулятор'!$G$10="еженедельное",F949='депозитный калькулятор'!$D$8),SUM($H$23:H949)-SUM($I$23:I948),IF(AND('депозитный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недели",WEEKDAY(F949,2)=7),MIN(OFFSET(H949,-6,0):H949)*(COUNTIF(OFFSET(H949,-6,0):H949,"&gt;0")+SUMIF(OFFSET(A949,-WEEKDAY(F949,2),0):A949,"=2",OFFSET(A949,-WEEKDAY(F949,2),0):A949)),IF(AND('депозитный калькулятор'!$G$10="еженедельное, на минимальную сумму зафиксированную в течение недели",F949='депозитный калькулятор'!$D$8,WEEKDAY(F949,2)&lt;&gt;7),MIN(OFFSET(H949,-WEEKDAY(F949,2),0):H949)*(COUNTIF(OFFSET(H949,-WEEKDAY(F949,2)+1,0):H949,"&gt;0")+SUM(OFFSET(A949,-WEEKDAY(F949,2),0):A949)),IF(AND('депозитный калькулятор'!$G$10="ежемесячное (в конце месяца)",F949='депозитный калькулятор'!$D$8,EOMONTH(F949,0)&lt;&gt;F949),IF('депозитный калькулятор'!$F$1=1,$H$24,SUM($H$23:H949)-SUM($I$23:I948)),IF(AND('депозитный калькулятор'!$G$10="ежемесячное (в конце месяца)",EOMONTH(F949,0)=F949),SUM($H$23:H949)-SUM($I$23:I948),IF(AND('депозитный калькулятор'!$G$10="ежемесячное (по дням открытия вклада)",F949='депозитный калькулятор'!$D$8,DAY('депозитный калькулятор'!$D$7)&lt;&gt;DAY(F949)),IF('депозитный калькулятор'!$F$1=1,$H$24,SUM($H$23:H949)-SUM($I$23:I948)),IF(AND('депозитный калькулятор'!$G$10="ежемесячное (по дням открытия вклада)",DAY('депозитный калькулятор'!$D$7)=DAY(F949)),SUM($H$23:H949)-SUM($I$23:I948),IF(AND('депозитный калькулятор'!$G$10="ежемесячное, на минимальную сумму зафиксированную в течение месяца",F949='депозитный калькулятор'!$D$8,EOMONTH(F949,0)&lt;&gt;F949),IF('депозитный калькулятор'!$F$1=1,$H$24,IF(AND(OR('депозитный калькулятор'!$G$7="30/365",'депозитный калькулятор'!$G$7="30/360"),DAY(F949)=31),0,MIN(OFFSET(H949,-E949+1,0):H949)*(E949+SUMIF(OFFSET(A949,-E949+1,0):A949,"=2",OFFSET(A949,-E949+1,0):A949)))),IF(AND('депозитный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калькулятор'!$G$7="30/360"),DAY(EOMONTH(F949,0))=31),EOMONTH(F949,0)-1=F949,EOMONTH(F949,0)=F949)),IF(IF(AND(OR('депозитный калькулятор'!$G$7="30/365",'депозитный калькулятор'!$G$7="30/360"),DAY(EOMONTH($F$23,0))=31),F949=EOMONTH($F$23,0)-1,F949=EOMONTH($F$23,0)),MIN(OFFSET(H949,-(DAY(F949)-DAY($F$23)),0):H949)*E949,MIN(OFFSET(H949,-(DAY(F949)-1),0):H949)*IF(AND(OR('депозитный калькулятор'!$G$7="30/365",'депозитный калькулятор'!$G$7="30/360"),DAY(F949)&lt;30),30,DAY(F949))),IF(AND('депозитный калькулятор'!$G$10="ежемесячное, на средний остаток в течение месяца, при условии что остаток больше чем ограничение",F949='депозитный калькулятор'!$D$8,EOMONTH(F949,0)&lt;&gt;F949),IF('депозитный калькулятор'!$F$1=1,$H$24,SUM(OFFSET(Q949,-E949+1,0):Q949)),IF(AND('депозитный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калькулятор'!$G$7="30/360"),DAY(EOMONTH(F949,0))=31),EOMONTH(F949,0)-1=F949,EOMONTH(F949,0)=F949)),IF(IF(AND(OR('депозитный калькулятор'!$G$7="30/365",'депозитный калькулятор'!$G$7="30/360"),DAY(EOMONTH($F$24,0))=31),F949=EOMONTH($F$24,0)-1,F949=EOMONTH($F$24,0)),SUM(OFFSET(Q949,-E949+1,0):Q949),SUM(OFFSET(Q949,-E949+1,0):Q949)),IF('депозитный калькулятор'!$G$10="ежеквартальное",IF(F949&gt;'депозитный калькулятор'!$D$8," ",IF(AND(EOMONTH(F949,0)=F949,OR(MONTH(F949)=3,MONTH(F949)=6,MONTH(F949)=9,MONTH(F949)=12)),IF(EDATE(F949,-3)&lt;'депозитный калькулятор'!$D$7,SUM($H$23:H949),IF(MOD(YEAR(F949),4)=0,IF(AND(EOMONTH(F949,0)=F949,OR(MONTH(F949)=3,MONTH(F949)=6)),SUM(OFFSET(H949,-90,0):H949),IF(AND(EOMONTH(F949,0)=F949,OR(MONTH(F949)=9,MONTH(F949)=12)),SUM(OFFSET(H949,-91,0):H949))),IF(AND(EOMONTH(F949,0)=F949,MONTH(F949)=3),SUM(OFFSET(H949,-89,0):H949),IF(AND(EOMONTH(F949,0)=F949,MONTH(F949)=6),SUM(OFFSET(H949,-90,0):H949),IF(AND(EOMONTH(F949,0)=F949,OR(MONTH(F949)=9,MONTH(F949)=12)),SUM(OFFSET(H949,-91,0):H949)))))),IF(F949='депозитный калькулятор'!$D$8,SUM($H$23:H949)-SUM($I$23:I948),0))),IF('депозитный калькулятор'!$G$10="ежегодное",IF(F949&gt;'депозитный калькулятор'!$D$8," ",IF(F949='депозитный калькулятор'!$D$8,SUM($H$23:H949)-SUM($I$23:I948),IF(AND(EOMONTH(F949,0)=F949,MONTH(F949)=12),IF(MOD(YEAR(F948),4)=0,IF(F949-'депозитный калькулятор'!$D$7&lt;366,SUM($H$23:H949),SUM(OFFSET(H949,-365,0):H949)),IF(F949-'депозитный калькулятор'!$D$7&lt;365,SUM($H$23:H949),SUM(OFFSET(H949,-364,0):H949))),0))),IF(AND('депозитный калькулятор'!$G$10="в конце срока",'депозитный калькулятор'!$D$8=F949),SUM($H$23:H949),0))))))))))))))))))</f>
        <v xml:space="preserve"> </v>
      </c>
      <c r="J949" s="59" t="str">
        <f>IF(F949&gt;'депозитный калькулятор'!$D$8," ",IF('депозитный калькулятор'!$G$16="нет",0,IF(AND('депозитный калькулятор'!$G$17="разовая (в конце срока)",F949='депозитный калькулятор'!$D$8),'депозитный калькулятор'!$G$18,IF(AND('депозитный калькулятор'!$G$17="ежемесячная",EOMONTH(F948,0)=F948),'депозитный калькулятор'!$G$18,IF(AND('депозитный калькулятор'!$G$17="ежегодная",DAY(F948)=31,MONTH(F948)=12),'депозитный калькулятор'!$G$18,IF(AND('депозитный калькулятор'!$G$17="ежемесячная в зависимости от остатка",EOMONTH(F948,0)=F948,P948&gt;0),'депозитный калькулятор'!$G$18,IF(AND('депозитный калькулятор'!$G$17="ежегодная в зависимости от остатка",DAY(F948)=31,MONTH(F948)=12,P948&gt;0),'депозитный калькулятор'!$G$18,0)))))))</f>
        <v xml:space="preserve"> </v>
      </c>
      <c r="K949" s="135" t="str">
        <f>IF($F949=" "," ",IFERROR(VLOOKUP($F949,'депозитный калькулятор'!$B$26:$F$70,2,0),0))</f>
        <v xml:space="preserve"> </v>
      </c>
      <c r="L949" s="135" t="str">
        <f>IF($F949=" "," ",IFERROR(VLOOKUP($F949,'депозитный калькулятор'!$B$26:$F$70,3,0),0))</f>
        <v xml:space="preserve"> </v>
      </c>
      <c r="M949" s="135" t="str">
        <f>IF($F949=" "," ",IFERROR(VLOOKUP($F949,'депозитный калькулятор'!$B$26:$F$70,4,0),0))</f>
        <v xml:space="preserve"> </v>
      </c>
      <c r="N949" s="135" t="str">
        <f>IF($F949=" "," ",IFERROR(VLOOKUP($F949,'депозитный калькулятор'!$B$26:$F$70,5,0),0))</f>
        <v xml:space="preserve"> </v>
      </c>
      <c r="O949" s="146" t="str">
        <f>IF(F949&gt;'депозитный калькулятор'!$D$8," ",IF(F949='депозитный калькулятор'!$D$8,IF(AND($F$24='депозитный калькулятор'!$D$8,'депозитный калькулятор'!$G$13="нет"),-G949-IF(I949=" ",0,I949)-IF(AND(OR('депозитный калькулятор'!$G$7="30/365",'депозитный калькулятор'!$G$7="30/360"),'депозитный калькулятор'!$G$10="в начале срока"),I948,0)-L949+M949-N949,-G949-IF(I949=" ",0,I949)-L949+M949-N949),IF('депозитный калькулятор'!$G$13="есть",M949-N949+IF('депозитный калькулятор'!$G$14="есть",0,-L949),-IF(I949=" ",0,I949)-IF(AND(OR('депозитный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срока"),I948,0)+M949-N949+IF('депозитный калькулятор'!$G$14="есть",0,-L949))))</f>
        <v xml:space="preserve"> </v>
      </c>
      <c r="P949" s="147" t="str">
        <f>IF(F949&gt;'депозитный калькулятор'!$D$8," ",IF(EOMONTH(F948,0)=F948,0,IF(G949&gt;='депозитный калькулятор'!$G$19,P948,P948+1)))</f>
        <v xml:space="preserve"> </v>
      </c>
      <c r="Q949" s="138" t="str">
        <f>IF(F949=" "," ",IF(AND(OR('депозитный калькулятор'!$G$7="30/365",'депозитный калькулятор'!$G$7="30/360"),AND(MONTH(F949)=2,EOMONTH(F949,0)=F949)),IF(DAY(F949)=28,3,2),1)*IF(G949&gt;='депозитный калькулятор'!$G$11,IF(AND('депозитный калькулятор'!$G$7="факт/факт",MOD(YEAR(F949),4)=0),G949*'депозитный калькулятор'!$D$11/366,G949*'депозитный калькулятор'!$G$8),0))</f>
        <v xml:space="preserve"> </v>
      </c>
      <c r="S949" s="62" t="str">
        <f t="shared" ca="1" si="72"/>
        <v xml:space="preserve"> </v>
      </c>
      <c r="T949" s="149" t="str">
        <f ca="1">IF(S949=" "," ",IF('депозитный калькулятор'!$G$7="30/360",DAYS360(U948,IF(DAY(U949)=31,U949-1,U949))+IF(AND(MONTH(U949)=2,U949=EOMONTH(U949,0)),30-DAY(EOMONTH(U949,0)))+T948,VLOOKUP(S949,$C$22:$F$1023,2,0)))</f>
        <v xml:space="preserve"> </v>
      </c>
      <c r="U949" s="64" t="str">
        <f t="shared" ca="1" si="70"/>
        <v xml:space="preserve"> </v>
      </c>
      <c r="V949" s="150" t="str">
        <f t="shared" ca="1" si="73"/>
        <v xml:space="preserve"> </v>
      </c>
      <c r="W949" s="62" t="str">
        <f t="shared" ca="1" si="74"/>
        <v xml:space="preserve"> </v>
      </c>
      <c r="X949" s="141" t="str">
        <f ca="1">IF(S949=" "," ",IFERROR(VLOOKUP(U949,$F$23:$N$1023,7)+VLOOKUP(U949,$F$23:$N$1023,9)+IF(AND('депозитный калькулятор'!$G$13="нет",U949&lt;&gt;'депозитный калькулятор'!$D$8),VLOOKUP(U949,$F$23:$N$1023,4),0),0)+IF(U949='депозитный калькулятор'!$D$8,VLOOKUP(U949,$F$23:$N$1023,2)+VLOOKUP(U949,$F$23:$N$1023,4),0))</f>
        <v xml:space="preserve"> </v>
      </c>
      <c r="Y949" s="142" t="str">
        <f ca="1">IF(S949=" "," ",W949/(1+'депозитный калькулятор'!$K$8)^(T949/IF('депозитный калькулятор'!$G$7="30/360",360,365)))</f>
        <v xml:space="preserve"> </v>
      </c>
      <c r="Z949" s="142" t="str">
        <f ca="1">IF(S949=" "," ",X949/(1+'депозитный калькулятор'!$K$8)^(T949/IF('депозитный калькулятор'!$G$7="30/360",360,365)))</f>
        <v xml:space="preserve"> </v>
      </c>
      <c r="AA949" s="151"/>
      <c r="AB949" s="151"/>
      <c r="AC949" s="155"/>
      <c r="AD949" s="155"/>
    </row>
    <row r="950" spans="1:30" s="2" customFormat="1" ht="15.5" x14ac:dyDescent="0.35">
      <c r="A950" s="41" t="str">
        <f>IF(F950=" "," ",IF(OR('депозитный калькулятор'!$G$7="30/365",'депозитный калькулятор'!$G$7="30/360"),IF(AND(MONTH(F950)=2,DAY(F950)=DAY(EOMONTH(F950,0))),30-DAY(EOMONTH(F950,0)),IF(DAY(F950)=31,1," "))," "))</f>
        <v xml:space="preserve"> </v>
      </c>
      <c r="B950" s="130" t="str">
        <f t="shared" si="71"/>
        <v xml:space="preserve"> </v>
      </c>
      <c r="C950" s="130" t="str">
        <f>IF(OR(B950=0,B950=" ")," ",SUM($B$23:B950))</f>
        <v xml:space="preserve"> </v>
      </c>
      <c r="D950" s="62" t="str">
        <f>IF(D949=" "," ",IF(OR(F949='депозитный калькулятор'!$D$8,F949=" ")," ",D949+1))</f>
        <v xml:space="preserve"> </v>
      </c>
      <c r="E950" s="130" t="str">
        <f>IF(OR(F949='депозитный калькулятор'!$D$8,F949=" ")," ",IF(EOMONTH(F949,0)=F949,1,E949+1))</f>
        <v xml:space="preserve"> </v>
      </c>
      <c r="F950" s="64" t="str">
        <f>IF(F949=" "," ",IF(F949='депозитный калькулятор'!$D$8," ",F949+1))</f>
        <v xml:space="preserve"> </v>
      </c>
      <c r="G950" s="145" t="str">
        <f xml:space="preserve"> IF(F950&gt;'депозитный калькулятор'!$D$8," ",IF('депозитный калькулятор'!$G$13="есть",IF('депозитный калькулятор'!$G$14="есть",G949+IF(I949=" ",0,I949)-J950-K950+L950+M950-N950,G949+IF(I949=" ",0,I949)-J950-K950+M950-N950),IF('депозитный калькулятор'!$G$14="есть",G949-J950-K950+L950+M950-N950,G949-J950-K950+M950-N950)))</f>
        <v xml:space="preserve"> </v>
      </c>
      <c r="H950" s="133" t="str">
        <f>IF(F950&gt;'депозитный калькулятор'!$D$8," ",IF(AND(OR('депозитный калькулятор'!$G$7="30/365",'депозитный калькулятор'!$G$7="30/360"),AND(MONTH(F950)=2,EOMONTH(F950,0)=F950)),IF(DAY(F950)=28,3*G950*'депозитный калькулятор'!$G$8,2*G950*'депозитный калькулятор'!$G$8),IF(AND(OR('депозитный калькулятор'!$G$7="30/365",'депозитный калькулятор'!$G$7="30/360"),DAY(F950)=31)," ",IF(AND('депозитный калькулятор'!$G$7="факт/факт",MOD(YEAR(F950),4)=0),G950*'депозитный калькулятор'!$D$11/366,G950*'депозитный калькулятор'!$G$8))))</f>
        <v xml:space="preserve"> </v>
      </c>
      <c r="I950" s="134" t="str">
        <f ca="1">IF(F950=" "," ",IF('депозитный калькулятор'!$G$10="ежедневное",H950,IF(AND('депозитный калькулятор'!$G$10="еженедельное",WEEKDAY(F950,2)=7),SUM(OFFSET(H950,-6,0):H950),IF(AND('депозитный калькулятор'!$G$10="еженедельное",F950='депозитный калькулятор'!$D$8),SUM($H$23:H950)-SUM($I$23:I949),IF(AND('депозитный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недели",WEEKDAY(F950,2)=7),MIN(OFFSET(H950,-6,0):H950)*(COUNTIF(OFFSET(H950,-6,0):H950,"&gt;0")+SUMIF(OFFSET(A950,-WEEKDAY(F950,2),0):A950,"=2",OFFSET(A950,-WEEKDAY(F950,2),0):A950)),IF(AND('депозитный калькулятор'!$G$10="еженедельное, на минимальную сумму зафиксированную в течение недели",F950='депозитный калькулятор'!$D$8,WEEKDAY(F950,2)&lt;&gt;7),MIN(OFFSET(H950,-WEEKDAY(F950,2),0):H950)*(COUNTIF(OFFSET(H950,-WEEKDAY(F950,2)+1,0):H950,"&gt;0")+SUM(OFFSET(A950,-WEEKDAY(F950,2),0):A950)),IF(AND('депозитный калькулятор'!$G$10="ежемесячное (в конце месяца)",F950='депозитный калькулятор'!$D$8,EOMONTH(F950,0)&lt;&gt;F950),IF('депозитный калькулятор'!$F$1=1,$H$24,SUM($H$23:H950)-SUM($I$23:I949)),IF(AND('депозитный калькулятор'!$G$10="ежемесячное (в конце месяца)",EOMONTH(F950,0)=F950),SUM($H$23:H950)-SUM($I$23:I949),IF(AND('депозитный калькулятор'!$G$10="ежемесячное (по дням открытия вклада)",F950='депозитный калькулятор'!$D$8,DAY('депозитный калькулятор'!$D$7)&lt;&gt;DAY(F950)),IF('депозитный калькулятор'!$F$1=1,$H$24,SUM($H$23:H950)-SUM($I$23:I949)),IF(AND('депозитный калькулятор'!$G$10="ежемесячное (по дням открытия вклада)",DAY('депозитный калькулятор'!$D$7)=DAY(F950)),SUM($H$23:H950)-SUM($I$23:I949),IF(AND('депозитный калькулятор'!$G$10="ежемесячное, на минимальную сумму зафиксированную в течение месяца",F950='депозитный калькулятор'!$D$8,EOMONTH(F950,0)&lt;&gt;F950),IF('депозитный калькулятор'!$F$1=1,$H$24,IF(AND(OR('депозитный калькулятор'!$G$7="30/365",'депозитный калькулятор'!$G$7="30/360"),DAY(F950)=31),0,MIN(OFFSET(H950,-E950+1,0):H950)*(E950+SUMIF(OFFSET(A950,-E950+1,0):A950,"=2",OFFSET(A950,-E950+1,0):A950)))),IF(AND('депозитный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калькулятор'!$G$7="30/360"),DAY(EOMONTH(F950,0))=31),EOMONTH(F950,0)-1=F950,EOMONTH(F950,0)=F950)),IF(IF(AND(OR('депозитный калькулятор'!$G$7="30/365",'депозитный калькулятор'!$G$7="30/360"),DAY(EOMONTH($F$23,0))=31),F950=EOMONTH($F$23,0)-1,F950=EOMONTH($F$23,0)),MIN(OFFSET(H950,-(DAY(F950)-DAY($F$23)),0):H950)*E950,MIN(OFFSET(H950,-(DAY(F950)-1),0):H950)*IF(AND(OR('депозитный калькулятор'!$G$7="30/365",'депозитный калькулятор'!$G$7="30/360"),DAY(F950)&lt;30),30,DAY(F950))),IF(AND('депозитный калькулятор'!$G$10="ежемесячное, на средний остаток в течение месяца, при условии что остаток больше чем ограничение",F950='депозитный калькулятор'!$D$8,EOMONTH(F950,0)&lt;&gt;F950),IF('депозитный калькулятор'!$F$1=1,$H$24,SUM(OFFSET(Q950,-E950+1,0):Q950)),IF(AND('депозитный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калькулятор'!$G$7="30/360"),DAY(EOMONTH(F950,0))=31),EOMONTH(F950,0)-1=F950,EOMONTH(F950,0)=F950)),IF(IF(AND(OR('депозитный калькулятор'!$G$7="30/365",'депозитный калькулятор'!$G$7="30/360"),DAY(EOMONTH($F$24,0))=31),F950=EOMONTH($F$24,0)-1,F950=EOMONTH($F$24,0)),SUM(OFFSET(Q950,-E950+1,0):Q950),SUM(OFFSET(Q950,-E950+1,0):Q950)),IF('депозитный калькулятор'!$G$10="ежеквартальное",IF(F950&gt;'депозитный калькулятор'!$D$8," ",IF(AND(EOMONTH(F950,0)=F950,OR(MONTH(F950)=3,MONTH(F950)=6,MONTH(F950)=9,MONTH(F950)=12)),IF(EDATE(F950,-3)&lt;'депозитный калькулятор'!$D$7,SUM($H$23:H950),IF(MOD(YEAR(F950),4)=0,IF(AND(EOMONTH(F950,0)=F950,OR(MONTH(F950)=3,MONTH(F950)=6)),SUM(OFFSET(H950,-90,0):H950),IF(AND(EOMONTH(F950,0)=F950,OR(MONTH(F950)=9,MONTH(F950)=12)),SUM(OFFSET(H950,-91,0):H950))),IF(AND(EOMONTH(F950,0)=F950,MONTH(F950)=3),SUM(OFFSET(H950,-89,0):H950),IF(AND(EOMONTH(F950,0)=F950,MONTH(F950)=6),SUM(OFFSET(H950,-90,0):H950),IF(AND(EOMONTH(F950,0)=F950,OR(MONTH(F950)=9,MONTH(F950)=12)),SUM(OFFSET(H950,-91,0):H950)))))),IF(F950='депозитный калькулятор'!$D$8,SUM($H$23:H950)-SUM($I$23:I949),0))),IF('депозитный калькулятор'!$G$10="ежегодное",IF(F950&gt;'депозитный калькулятор'!$D$8," ",IF(F950='депозитный калькулятор'!$D$8,SUM($H$23:H950)-SUM($I$23:I949),IF(AND(EOMONTH(F950,0)=F950,MONTH(F950)=12),IF(MOD(YEAR(F949),4)=0,IF(F950-'депозитный калькулятор'!$D$7&lt;366,SUM($H$23:H950),SUM(OFFSET(H950,-365,0):H950)),IF(F950-'депозитный калькулятор'!$D$7&lt;365,SUM($H$23:H950),SUM(OFFSET(H950,-364,0):H950))),0))),IF(AND('депозитный калькулятор'!$G$10="в конце срока",'депозитный калькулятор'!$D$8=F950),SUM($H$23:H950),0))))))))))))))))))</f>
        <v xml:space="preserve"> </v>
      </c>
      <c r="J950" s="59" t="str">
        <f>IF(F950&gt;'депозитный калькулятор'!$D$8," ",IF('депозитный калькулятор'!$G$16="нет",0,IF(AND('депозитный калькулятор'!$G$17="разовая (в конце срока)",F950='депозитный калькулятор'!$D$8),'депозитный калькулятор'!$G$18,IF(AND('депозитный калькулятор'!$G$17="ежемесячная",EOMONTH(F949,0)=F949),'депозитный калькулятор'!$G$18,IF(AND('депозитный калькулятор'!$G$17="ежегодная",DAY(F949)=31,MONTH(F949)=12),'депозитный калькулятор'!$G$18,IF(AND('депозитный калькулятор'!$G$17="ежемесячная в зависимости от остатка",EOMONTH(F949,0)=F949,P949&gt;0),'депозитный калькулятор'!$G$18,IF(AND('депозитный калькулятор'!$G$17="ежегодная в зависимости от остатка",DAY(F949)=31,MONTH(F949)=12,P949&gt;0),'депозитный калькулятор'!$G$18,0)))))))</f>
        <v xml:space="preserve"> </v>
      </c>
      <c r="K950" s="135" t="str">
        <f>IF($F950=" "," ",IFERROR(VLOOKUP($F950,'депозитный калькулятор'!$B$26:$F$70,2,0),0))</f>
        <v xml:space="preserve"> </v>
      </c>
      <c r="L950" s="135" t="str">
        <f>IF($F950=" "," ",IFERROR(VLOOKUP($F950,'депозитный калькулятор'!$B$26:$F$70,3,0),0))</f>
        <v xml:space="preserve"> </v>
      </c>
      <c r="M950" s="135" t="str">
        <f>IF($F950=" "," ",IFERROR(VLOOKUP($F950,'депозитный калькулятор'!$B$26:$F$70,4,0),0))</f>
        <v xml:space="preserve"> </v>
      </c>
      <c r="N950" s="135" t="str">
        <f>IF($F950=" "," ",IFERROR(VLOOKUP($F950,'депозитный калькулятор'!$B$26:$F$70,5,0),0))</f>
        <v xml:space="preserve"> </v>
      </c>
      <c r="O950" s="146" t="str">
        <f>IF(F950&gt;'депозитный калькулятор'!$D$8," ",IF(F950='депозитный калькулятор'!$D$8,IF(AND($F$24='депозитный калькулятор'!$D$8,'депозитный калькулятор'!$G$13="нет"),-G950-IF(I950=" ",0,I950)-IF(AND(OR('депозитный калькулятор'!$G$7="30/365",'депозитный калькулятор'!$G$7="30/360"),'депозитный калькулятор'!$G$10="в начале срока"),I949,0)-L950+M950-N950,-G950-IF(I950=" ",0,I950)-L950+M950-N950),IF('депозитный калькулятор'!$G$13="есть",M950-N950+IF('депозитный калькулятор'!$G$14="есть",0,-L950),-IF(I950=" ",0,I950)-IF(AND(OR('депозитный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срока"),I949,0)+M950-N950+IF('депозитный калькулятор'!$G$14="есть",0,-L950))))</f>
        <v xml:space="preserve"> </v>
      </c>
      <c r="P950" s="147" t="str">
        <f>IF(F950&gt;'депозитный калькулятор'!$D$8," ",IF(EOMONTH(F949,0)=F949,0,IF(G950&gt;='депозитный калькулятор'!$G$19,P949,P949+1)))</f>
        <v xml:space="preserve"> </v>
      </c>
      <c r="Q950" s="138" t="str">
        <f>IF(F950=" "," ",IF(AND(OR('депозитный калькулятор'!$G$7="30/365",'депозитный калькулятор'!$G$7="30/360"),AND(MONTH(F950)=2,EOMONTH(F950,0)=F950)),IF(DAY(F950)=28,3,2),1)*IF(G950&gt;='депозитный калькулятор'!$G$11,IF(AND('депозитный калькулятор'!$G$7="факт/факт",MOD(YEAR(F950),4)=0),G950*'депозитный калькулятор'!$D$11/366,G950*'депозитный калькулятор'!$G$8),0))</f>
        <v xml:space="preserve"> </v>
      </c>
      <c r="S950" s="62" t="str">
        <f t="shared" ca="1" si="72"/>
        <v xml:space="preserve"> </v>
      </c>
      <c r="T950" s="149" t="str">
        <f ca="1">IF(S950=" "," ",IF('депозитный калькулятор'!$G$7="30/360",DAYS360(U949,IF(DAY(U950)=31,U950-1,U950))+IF(AND(MONTH(U950)=2,U950=EOMONTH(U950,0)),30-DAY(EOMONTH(U950,0)))+T949,VLOOKUP(S950,$C$22:$F$1023,2,0)))</f>
        <v xml:space="preserve"> </v>
      </c>
      <c r="U950" s="64" t="str">
        <f t="shared" ca="1" si="70"/>
        <v xml:space="preserve"> </v>
      </c>
      <c r="V950" s="150" t="str">
        <f t="shared" ca="1" si="73"/>
        <v xml:space="preserve"> </v>
      </c>
      <c r="W950" s="62" t="str">
        <f t="shared" ca="1" si="74"/>
        <v xml:space="preserve"> </v>
      </c>
      <c r="X950" s="141" t="str">
        <f ca="1">IF(S950=" "," ",IFERROR(VLOOKUP(U950,$F$23:$N$1023,7)+VLOOKUP(U950,$F$23:$N$1023,9)+IF(AND('депозитный калькулятор'!$G$13="нет",U950&lt;&gt;'депозитный калькулятор'!$D$8),VLOOKUP(U950,$F$23:$N$1023,4),0),0)+IF(U950='депозитный калькулятор'!$D$8,VLOOKUP(U950,$F$23:$N$1023,2)+VLOOKUP(U950,$F$23:$N$1023,4),0))</f>
        <v xml:space="preserve"> </v>
      </c>
      <c r="Y950" s="142" t="str">
        <f ca="1">IF(S950=" "," ",W950/(1+'депозитный калькулятор'!$K$8)^(T950/IF('депозитный калькулятор'!$G$7="30/360",360,365)))</f>
        <v xml:space="preserve"> </v>
      </c>
      <c r="Z950" s="142" t="str">
        <f ca="1">IF(S950=" "," ",X950/(1+'депозитный калькулятор'!$K$8)^(T950/IF('депозитный калькулятор'!$G$7="30/360",360,365)))</f>
        <v xml:space="preserve"> </v>
      </c>
      <c r="AA950" s="151"/>
      <c r="AB950" s="151"/>
      <c r="AC950" s="155"/>
      <c r="AD950" s="155"/>
    </row>
    <row r="951" spans="1:30" s="2" customFormat="1" ht="15.5" x14ac:dyDescent="0.35">
      <c r="A951" s="41" t="str">
        <f>IF(F951=" "," ",IF(OR('депозитный калькулятор'!$G$7="30/365",'депозитный калькулятор'!$G$7="30/360"),IF(AND(MONTH(F951)=2,DAY(F951)=DAY(EOMONTH(F951,0))),30-DAY(EOMONTH(F951,0)),IF(DAY(F951)=31,1," "))," "))</f>
        <v xml:space="preserve"> </v>
      </c>
      <c r="B951" s="130" t="str">
        <f t="shared" si="71"/>
        <v xml:space="preserve"> </v>
      </c>
      <c r="C951" s="130" t="str">
        <f>IF(OR(B951=0,B951=" ")," ",SUM($B$23:B951))</f>
        <v xml:space="preserve"> </v>
      </c>
      <c r="D951" s="62" t="str">
        <f>IF(D950=" "," ",IF(OR(F950='депозитный калькулятор'!$D$8,F950=" ")," ",D950+1))</f>
        <v xml:space="preserve"> </v>
      </c>
      <c r="E951" s="130" t="str">
        <f>IF(OR(F950='депозитный калькулятор'!$D$8,F950=" ")," ",IF(EOMONTH(F950,0)=F950,1,E950+1))</f>
        <v xml:space="preserve"> </v>
      </c>
      <c r="F951" s="64" t="str">
        <f>IF(F950=" "," ",IF(F950='депозитный калькулятор'!$D$8," ",F950+1))</f>
        <v xml:space="preserve"> </v>
      </c>
      <c r="G951" s="145" t="str">
        <f xml:space="preserve"> IF(F951&gt;'депозитный калькулятор'!$D$8," ",IF('депозитный калькулятор'!$G$13="есть",IF('депозитный калькулятор'!$G$14="есть",G950+IF(I950=" ",0,I950)-J951-K951+L951+M951-N951,G950+IF(I950=" ",0,I950)-J951-K951+M951-N951),IF('депозитный калькулятор'!$G$14="есть",G950-J951-K951+L951+M951-N951,G950-J951-K951+M951-N951)))</f>
        <v xml:space="preserve"> </v>
      </c>
      <c r="H951" s="133" t="str">
        <f>IF(F951&gt;'депозитный калькулятор'!$D$8," ",IF(AND(OR('депозитный калькулятор'!$G$7="30/365",'депозитный калькулятор'!$G$7="30/360"),AND(MONTH(F951)=2,EOMONTH(F951,0)=F951)),IF(DAY(F951)=28,3*G951*'депозитный калькулятор'!$G$8,2*G951*'депозитный калькулятор'!$G$8),IF(AND(OR('депозитный калькулятор'!$G$7="30/365",'депозитный калькулятор'!$G$7="30/360"),DAY(F951)=31)," ",IF(AND('депозитный калькулятор'!$G$7="факт/факт",MOD(YEAR(F951),4)=0),G951*'депозитный калькулятор'!$D$11/366,G951*'депозитный калькулятор'!$G$8))))</f>
        <v xml:space="preserve"> </v>
      </c>
      <c r="I951" s="134" t="str">
        <f ca="1">IF(F951=" "," ",IF('депозитный калькулятор'!$G$10="ежедневное",H951,IF(AND('депозитный калькулятор'!$G$10="еженедельное",WEEKDAY(F951,2)=7),SUM(OFFSET(H951,-6,0):H951),IF(AND('депозитный калькулятор'!$G$10="еженедельное",F951='депозитный калькулятор'!$D$8),SUM($H$23:H951)-SUM($I$23:I950),IF(AND('депозитный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недели",WEEKDAY(F951,2)=7),MIN(OFFSET(H951,-6,0):H951)*(COUNTIF(OFFSET(H951,-6,0):H951,"&gt;0")+SUMIF(OFFSET(A951,-WEEKDAY(F951,2),0):A951,"=2",OFFSET(A951,-WEEKDAY(F951,2),0):A951)),IF(AND('депозитный калькулятор'!$G$10="еженедельное, на минимальную сумму зафиксированную в течение недели",F951='депозитный калькулятор'!$D$8,WEEKDAY(F951,2)&lt;&gt;7),MIN(OFFSET(H951,-WEEKDAY(F951,2),0):H951)*(COUNTIF(OFFSET(H951,-WEEKDAY(F951,2)+1,0):H951,"&gt;0")+SUM(OFFSET(A951,-WEEKDAY(F951,2),0):A951)),IF(AND('депозитный калькулятор'!$G$10="ежемесячное (в конце месяца)",F951='депозитный калькулятор'!$D$8,EOMONTH(F951,0)&lt;&gt;F951),IF('депозитный калькулятор'!$F$1=1,$H$24,SUM($H$23:H951)-SUM($I$23:I950)),IF(AND('депозитный калькулятор'!$G$10="ежемесячное (в конце месяца)",EOMONTH(F951,0)=F951),SUM($H$23:H951)-SUM($I$23:I950),IF(AND('депозитный калькулятор'!$G$10="ежемесячное (по дням открытия вклада)",F951='депозитный калькулятор'!$D$8,DAY('депозитный калькулятор'!$D$7)&lt;&gt;DAY(F951)),IF('депозитный калькулятор'!$F$1=1,$H$24,SUM($H$23:H951)-SUM($I$23:I950)),IF(AND('депозитный калькулятор'!$G$10="ежемесячное (по дням открытия вклада)",DAY('депозитный калькулятор'!$D$7)=DAY(F951)),SUM($H$23:H951)-SUM($I$23:I950),IF(AND('депозитный калькулятор'!$G$10="ежемесячное, на минимальную сумму зафиксированную в течение месяца",F951='депозитный калькулятор'!$D$8,EOMONTH(F951,0)&lt;&gt;F951),IF('депозитный калькулятор'!$F$1=1,$H$24,IF(AND(OR('депозитный калькулятор'!$G$7="30/365",'депозитный калькулятор'!$G$7="30/360"),DAY(F951)=31),0,MIN(OFFSET(H951,-E951+1,0):H951)*(E951+SUMIF(OFFSET(A951,-E951+1,0):A951,"=2",OFFSET(A951,-E951+1,0):A951)))),IF(AND('депозитный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калькулятор'!$G$7="30/360"),DAY(EOMONTH(F951,0))=31),EOMONTH(F951,0)-1=F951,EOMONTH(F951,0)=F951)),IF(IF(AND(OR('депозитный калькулятор'!$G$7="30/365",'депозитный калькулятор'!$G$7="30/360"),DAY(EOMONTH($F$23,0))=31),F951=EOMONTH($F$23,0)-1,F951=EOMONTH($F$23,0)),MIN(OFFSET(H951,-(DAY(F951)-DAY($F$23)),0):H951)*E951,MIN(OFFSET(H951,-(DAY(F951)-1),0):H951)*IF(AND(OR('депозитный калькулятор'!$G$7="30/365",'депозитный калькулятор'!$G$7="30/360"),DAY(F951)&lt;30),30,DAY(F951))),IF(AND('депозитный калькулятор'!$G$10="ежемесячное, на средний остаток в течение месяца, при условии что остаток больше чем ограничение",F951='депозитный калькулятор'!$D$8,EOMONTH(F951,0)&lt;&gt;F951),IF('депозитный калькулятор'!$F$1=1,$H$24,SUM(OFFSET(Q951,-E951+1,0):Q951)),IF(AND('депозитный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калькулятор'!$G$7="30/360"),DAY(EOMONTH(F951,0))=31),EOMONTH(F951,0)-1=F951,EOMONTH(F951,0)=F951)),IF(IF(AND(OR('депозитный калькулятор'!$G$7="30/365",'депозитный калькулятор'!$G$7="30/360"),DAY(EOMONTH($F$24,0))=31),F951=EOMONTH($F$24,0)-1,F951=EOMONTH($F$24,0)),SUM(OFFSET(Q951,-E951+1,0):Q951),SUM(OFFSET(Q951,-E951+1,0):Q951)),IF('депозитный калькулятор'!$G$10="ежеквартальное",IF(F951&gt;'депозитный калькулятор'!$D$8," ",IF(AND(EOMONTH(F951,0)=F951,OR(MONTH(F951)=3,MONTH(F951)=6,MONTH(F951)=9,MONTH(F951)=12)),IF(EDATE(F951,-3)&lt;'депозитный калькулятор'!$D$7,SUM($H$23:H951),IF(MOD(YEAR(F951),4)=0,IF(AND(EOMONTH(F951,0)=F951,OR(MONTH(F951)=3,MONTH(F951)=6)),SUM(OFFSET(H951,-90,0):H951),IF(AND(EOMONTH(F951,0)=F951,OR(MONTH(F951)=9,MONTH(F951)=12)),SUM(OFFSET(H951,-91,0):H951))),IF(AND(EOMONTH(F951,0)=F951,MONTH(F951)=3),SUM(OFFSET(H951,-89,0):H951),IF(AND(EOMONTH(F951,0)=F951,MONTH(F951)=6),SUM(OFFSET(H951,-90,0):H951),IF(AND(EOMONTH(F951,0)=F951,OR(MONTH(F951)=9,MONTH(F951)=12)),SUM(OFFSET(H951,-91,0):H951)))))),IF(F951='депозитный калькулятор'!$D$8,SUM($H$23:H951)-SUM($I$23:I950),0))),IF('депозитный калькулятор'!$G$10="ежегодное",IF(F951&gt;'депозитный калькулятор'!$D$8," ",IF(F951='депозитный калькулятор'!$D$8,SUM($H$23:H951)-SUM($I$23:I950),IF(AND(EOMONTH(F951,0)=F951,MONTH(F951)=12),IF(MOD(YEAR(F950),4)=0,IF(F951-'депозитный калькулятор'!$D$7&lt;366,SUM($H$23:H951),SUM(OFFSET(H951,-365,0):H951)),IF(F951-'депозитный калькулятор'!$D$7&lt;365,SUM($H$23:H951),SUM(OFFSET(H951,-364,0):H951))),0))),IF(AND('депозитный калькулятор'!$G$10="в конце срока",'депозитный калькулятор'!$D$8=F951),SUM($H$23:H951),0))))))))))))))))))</f>
        <v xml:space="preserve"> </v>
      </c>
      <c r="J951" s="59" t="str">
        <f>IF(F951&gt;'депозитный калькулятор'!$D$8," ",IF('депозитный калькулятор'!$G$16="нет",0,IF(AND('депозитный калькулятор'!$G$17="разовая (в конце срока)",F951='депозитный калькулятор'!$D$8),'депозитный калькулятор'!$G$18,IF(AND('депозитный калькулятор'!$G$17="ежемесячная",EOMONTH(F950,0)=F950),'депозитный калькулятор'!$G$18,IF(AND('депозитный калькулятор'!$G$17="ежегодная",DAY(F950)=31,MONTH(F950)=12),'депозитный калькулятор'!$G$18,IF(AND('депозитный калькулятор'!$G$17="ежемесячная в зависимости от остатка",EOMONTH(F950,0)=F950,P950&gt;0),'депозитный калькулятор'!$G$18,IF(AND('депозитный калькулятор'!$G$17="ежегодная в зависимости от остатка",DAY(F950)=31,MONTH(F950)=12,P950&gt;0),'депозитный калькулятор'!$G$18,0)))))))</f>
        <v xml:space="preserve"> </v>
      </c>
      <c r="K951" s="135" t="str">
        <f>IF($F951=" "," ",IFERROR(VLOOKUP($F951,'депозитный калькулятор'!$B$26:$F$70,2,0),0))</f>
        <v xml:space="preserve"> </v>
      </c>
      <c r="L951" s="135" t="str">
        <f>IF($F951=" "," ",IFERROR(VLOOKUP($F951,'депозитный калькулятор'!$B$26:$F$70,3,0),0))</f>
        <v xml:space="preserve"> </v>
      </c>
      <c r="M951" s="135" t="str">
        <f>IF($F951=" "," ",IFERROR(VLOOKUP($F951,'депозитный калькулятор'!$B$26:$F$70,4,0),0))</f>
        <v xml:space="preserve"> </v>
      </c>
      <c r="N951" s="135" t="str">
        <f>IF($F951=" "," ",IFERROR(VLOOKUP($F951,'депозитный калькулятор'!$B$26:$F$70,5,0),0))</f>
        <v xml:space="preserve"> </v>
      </c>
      <c r="O951" s="146" t="str">
        <f>IF(F951&gt;'депозитный калькулятор'!$D$8," ",IF(F951='депозитный калькулятор'!$D$8,IF(AND($F$24='депозитный калькулятор'!$D$8,'депозитный калькулятор'!$G$13="нет"),-G951-IF(I951=" ",0,I951)-IF(AND(OR('депозитный калькулятор'!$G$7="30/365",'депозитный калькулятор'!$G$7="30/360"),'депозитный калькулятор'!$G$10="в начале срока"),I950,0)-L951+M951-N951,-G951-IF(I951=" ",0,I951)-L951+M951-N951),IF('депозитный калькулятор'!$G$13="есть",M951-N951+IF('депозитный калькулятор'!$G$14="есть",0,-L951),-IF(I951=" ",0,I951)-IF(AND(OR('депозитный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срока"),I950,0)+M951-N951+IF('депозитный калькулятор'!$G$14="есть",0,-L951))))</f>
        <v xml:space="preserve"> </v>
      </c>
      <c r="P951" s="147" t="str">
        <f>IF(F951&gt;'депозитный калькулятор'!$D$8," ",IF(EOMONTH(F950,0)=F950,0,IF(G951&gt;='депозитный калькулятор'!$G$19,P950,P950+1)))</f>
        <v xml:space="preserve"> </v>
      </c>
      <c r="Q951" s="138" t="str">
        <f>IF(F951=" "," ",IF(AND(OR('депозитный калькулятор'!$G$7="30/365",'депозитный калькулятор'!$G$7="30/360"),AND(MONTH(F951)=2,EOMONTH(F951,0)=F951)),IF(DAY(F951)=28,3,2),1)*IF(G951&gt;='депозитный калькулятор'!$G$11,IF(AND('депозитный калькулятор'!$G$7="факт/факт",MOD(YEAR(F951),4)=0),G951*'депозитный калькулятор'!$D$11/366,G951*'депозитный калькулятор'!$G$8),0))</f>
        <v xml:space="preserve"> </v>
      </c>
      <c r="S951" s="62" t="str">
        <f t="shared" ca="1" si="72"/>
        <v xml:space="preserve"> </v>
      </c>
      <c r="T951" s="149" t="str">
        <f ca="1">IF(S951=" "," ",IF('депозитный калькулятор'!$G$7="30/360",DAYS360(U950,IF(DAY(U951)=31,U951-1,U951))+IF(AND(MONTH(U951)=2,U951=EOMONTH(U951,0)),30-DAY(EOMONTH(U951,0)))+T950,VLOOKUP(S951,$C$22:$F$1023,2,0)))</f>
        <v xml:space="preserve"> </v>
      </c>
      <c r="U951" s="64" t="str">
        <f t="shared" ca="1" si="70"/>
        <v xml:space="preserve"> </v>
      </c>
      <c r="V951" s="150" t="str">
        <f t="shared" ca="1" si="73"/>
        <v xml:space="preserve"> </v>
      </c>
      <c r="W951" s="62" t="str">
        <f t="shared" ca="1" si="74"/>
        <v xml:space="preserve"> </v>
      </c>
      <c r="X951" s="141" t="str">
        <f ca="1">IF(S951=" "," ",IFERROR(VLOOKUP(U951,$F$23:$N$1023,7)+VLOOKUP(U951,$F$23:$N$1023,9)+IF(AND('депозитный калькулятор'!$G$13="нет",U951&lt;&gt;'депозитный калькулятор'!$D$8),VLOOKUP(U951,$F$23:$N$1023,4),0),0)+IF(U951='депозитный калькулятор'!$D$8,VLOOKUP(U951,$F$23:$N$1023,2)+VLOOKUP(U951,$F$23:$N$1023,4),0))</f>
        <v xml:space="preserve"> </v>
      </c>
      <c r="Y951" s="142" t="str">
        <f ca="1">IF(S951=" "," ",W951/(1+'депозитный калькулятор'!$K$8)^(T951/IF('депозитный калькулятор'!$G$7="30/360",360,365)))</f>
        <v xml:space="preserve"> </v>
      </c>
      <c r="Z951" s="142" t="str">
        <f ca="1">IF(S951=" "," ",X951/(1+'депозитный калькулятор'!$K$8)^(T951/IF('депозитный калькулятор'!$G$7="30/360",360,365)))</f>
        <v xml:space="preserve"> </v>
      </c>
      <c r="AA951" s="151"/>
      <c r="AB951" s="151"/>
      <c r="AC951" s="155"/>
      <c r="AD951" s="155"/>
    </row>
    <row r="952" spans="1:30" s="2" customFormat="1" ht="15.5" x14ac:dyDescent="0.35">
      <c r="A952" s="41" t="str">
        <f>IF(F952=" "," ",IF(OR('депозитный калькулятор'!$G$7="30/365",'депозитный калькулятор'!$G$7="30/360"),IF(AND(MONTH(F952)=2,DAY(F952)=DAY(EOMONTH(F952,0))),30-DAY(EOMONTH(F952,0)),IF(DAY(F952)=31,1," "))," "))</f>
        <v xml:space="preserve"> </v>
      </c>
      <c r="B952" s="130" t="str">
        <f t="shared" si="71"/>
        <v xml:space="preserve"> </v>
      </c>
      <c r="C952" s="130" t="str">
        <f>IF(OR(B952=0,B952=" ")," ",SUM($B$23:B952))</f>
        <v xml:space="preserve"> </v>
      </c>
      <c r="D952" s="62" t="str">
        <f>IF(D951=" "," ",IF(OR(F951='депозитный калькулятор'!$D$8,F951=" ")," ",D951+1))</f>
        <v xml:space="preserve"> </v>
      </c>
      <c r="E952" s="130" t="str">
        <f>IF(OR(F951='депозитный калькулятор'!$D$8,F951=" ")," ",IF(EOMONTH(F951,0)=F951,1,E951+1))</f>
        <v xml:space="preserve"> </v>
      </c>
      <c r="F952" s="64" t="str">
        <f>IF(F951=" "," ",IF(F951='депозитный калькулятор'!$D$8," ",F951+1))</f>
        <v xml:space="preserve"> </v>
      </c>
      <c r="G952" s="145" t="str">
        <f xml:space="preserve"> IF(F952&gt;'депозитный калькулятор'!$D$8," ",IF('депозитный калькулятор'!$G$13="есть",IF('депозитный калькулятор'!$G$14="есть",G951+IF(I951=" ",0,I951)-J952-K952+L952+M952-N952,G951+IF(I951=" ",0,I951)-J952-K952+M952-N952),IF('депозитный калькулятор'!$G$14="есть",G951-J952-K952+L952+M952-N952,G951-J952-K952+M952-N952)))</f>
        <v xml:space="preserve"> </v>
      </c>
      <c r="H952" s="133" t="str">
        <f>IF(F952&gt;'депозитный калькулятор'!$D$8," ",IF(AND(OR('депозитный калькулятор'!$G$7="30/365",'депозитный калькулятор'!$G$7="30/360"),AND(MONTH(F952)=2,EOMONTH(F952,0)=F952)),IF(DAY(F952)=28,3*G952*'депозитный калькулятор'!$G$8,2*G952*'депозитный калькулятор'!$G$8),IF(AND(OR('депозитный калькулятор'!$G$7="30/365",'депозитный калькулятор'!$G$7="30/360"),DAY(F952)=31)," ",IF(AND('депозитный калькулятор'!$G$7="факт/факт",MOD(YEAR(F952),4)=0),G952*'депозитный калькулятор'!$D$11/366,G952*'депозитный калькулятор'!$G$8))))</f>
        <v xml:space="preserve"> </v>
      </c>
      <c r="I952" s="134" t="str">
        <f ca="1">IF(F952=" "," ",IF('депозитный калькулятор'!$G$10="ежедневное",H952,IF(AND('депозитный калькулятор'!$G$10="еженедельное",WEEKDAY(F952,2)=7),SUM(OFFSET(H952,-6,0):H952),IF(AND('депозитный калькулятор'!$G$10="еженедельное",F952='депозитный калькулятор'!$D$8),SUM($H$23:H952)-SUM($I$23:I951),IF(AND('депозитный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недели",WEEKDAY(F952,2)=7),MIN(OFFSET(H952,-6,0):H952)*(COUNTIF(OFFSET(H952,-6,0):H952,"&gt;0")+SUMIF(OFFSET(A952,-WEEKDAY(F952,2),0):A952,"=2",OFFSET(A952,-WEEKDAY(F952,2),0):A952)),IF(AND('депозитный калькулятор'!$G$10="еженедельное, на минимальную сумму зафиксированную в течение недели",F952='депозитный калькулятор'!$D$8,WEEKDAY(F952,2)&lt;&gt;7),MIN(OFFSET(H952,-WEEKDAY(F952,2),0):H952)*(COUNTIF(OFFSET(H952,-WEEKDAY(F952,2)+1,0):H952,"&gt;0")+SUM(OFFSET(A952,-WEEKDAY(F952,2),0):A952)),IF(AND('депозитный калькулятор'!$G$10="ежемесячное (в конце месяца)",F952='депозитный калькулятор'!$D$8,EOMONTH(F952,0)&lt;&gt;F952),IF('депозитный калькулятор'!$F$1=1,$H$24,SUM($H$23:H952)-SUM($I$23:I951)),IF(AND('депозитный калькулятор'!$G$10="ежемесячное (в конце месяца)",EOMONTH(F952,0)=F952),SUM($H$23:H952)-SUM($I$23:I951),IF(AND('депозитный калькулятор'!$G$10="ежемесячное (по дням открытия вклада)",F952='депозитный калькулятор'!$D$8,DAY('депозитный калькулятор'!$D$7)&lt;&gt;DAY(F952)),IF('депозитный калькулятор'!$F$1=1,$H$24,SUM($H$23:H952)-SUM($I$23:I951)),IF(AND('депозитный калькулятор'!$G$10="ежемесячное (по дням открытия вклада)",DAY('депозитный калькулятор'!$D$7)=DAY(F952)),SUM($H$23:H952)-SUM($I$23:I951),IF(AND('депозитный калькулятор'!$G$10="ежемесячное, на минимальную сумму зафиксированную в течение месяца",F952='депозитный калькулятор'!$D$8,EOMONTH(F952,0)&lt;&gt;F952),IF('депозитный калькулятор'!$F$1=1,$H$24,IF(AND(OR('депозитный калькулятор'!$G$7="30/365",'депозитный калькулятор'!$G$7="30/360"),DAY(F952)=31),0,MIN(OFFSET(H952,-E952+1,0):H952)*(E952+SUMIF(OFFSET(A952,-E952+1,0):A952,"=2",OFFSET(A952,-E952+1,0):A952)))),IF(AND('депозитный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калькулятор'!$G$7="30/360"),DAY(EOMONTH(F952,0))=31),EOMONTH(F952,0)-1=F952,EOMONTH(F952,0)=F952)),IF(IF(AND(OR('депозитный калькулятор'!$G$7="30/365",'депозитный калькулятор'!$G$7="30/360"),DAY(EOMONTH($F$23,0))=31),F952=EOMONTH($F$23,0)-1,F952=EOMONTH($F$23,0)),MIN(OFFSET(H952,-(DAY(F952)-DAY($F$23)),0):H952)*E952,MIN(OFFSET(H952,-(DAY(F952)-1),0):H952)*IF(AND(OR('депозитный калькулятор'!$G$7="30/365",'депозитный калькулятор'!$G$7="30/360"),DAY(F952)&lt;30),30,DAY(F952))),IF(AND('депозитный калькулятор'!$G$10="ежемесячное, на средний остаток в течение месяца, при условии что остаток больше чем ограничение",F952='депозитный калькулятор'!$D$8,EOMONTH(F952,0)&lt;&gt;F952),IF('депозитный калькулятор'!$F$1=1,$H$24,SUM(OFFSET(Q952,-E952+1,0):Q952)),IF(AND('депозитный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калькулятор'!$G$7="30/360"),DAY(EOMONTH(F952,0))=31),EOMONTH(F952,0)-1=F952,EOMONTH(F952,0)=F952)),IF(IF(AND(OR('депозитный калькулятор'!$G$7="30/365",'депозитный калькулятор'!$G$7="30/360"),DAY(EOMONTH($F$24,0))=31),F952=EOMONTH($F$24,0)-1,F952=EOMONTH($F$24,0)),SUM(OFFSET(Q952,-E952+1,0):Q952),SUM(OFFSET(Q952,-E952+1,0):Q952)),IF('депозитный калькулятор'!$G$10="ежеквартальное",IF(F952&gt;'депозитный калькулятор'!$D$8," ",IF(AND(EOMONTH(F952,0)=F952,OR(MONTH(F952)=3,MONTH(F952)=6,MONTH(F952)=9,MONTH(F952)=12)),IF(EDATE(F952,-3)&lt;'депозитный калькулятор'!$D$7,SUM($H$23:H952),IF(MOD(YEAR(F952),4)=0,IF(AND(EOMONTH(F952,0)=F952,OR(MONTH(F952)=3,MONTH(F952)=6)),SUM(OFFSET(H952,-90,0):H952),IF(AND(EOMONTH(F952,0)=F952,OR(MONTH(F952)=9,MONTH(F952)=12)),SUM(OFFSET(H952,-91,0):H952))),IF(AND(EOMONTH(F952,0)=F952,MONTH(F952)=3),SUM(OFFSET(H952,-89,0):H952),IF(AND(EOMONTH(F952,0)=F952,MONTH(F952)=6),SUM(OFFSET(H952,-90,0):H952),IF(AND(EOMONTH(F952,0)=F952,OR(MONTH(F952)=9,MONTH(F952)=12)),SUM(OFFSET(H952,-91,0):H952)))))),IF(F952='депозитный калькулятор'!$D$8,SUM($H$23:H952)-SUM($I$23:I951),0))),IF('депозитный калькулятор'!$G$10="ежегодное",IF(F952&gt;'депозитный калькулятор'!$D$8," ",IF(F952='депозитный калькулятор'!$D$8,SUM($H$23:H952)-SUM($I$23:I951),IF(AND(EOMONTH(F952,0)=F952,MONTH(F952)=12),IF(MOD(YEAR(F951),4)=0,IF(F952-'депозитный калькулятор'!$D$7&lt;366,SUM($H$23:H952),SUM(OFFSET(H952,-365,0):H952)),IF(F952-'депозитный калькулятор'!$D$7&lt;365,SUM($H$23:H952),SUM(OFFSET(H952,-364,0):H952))),0))),IF(AND('депозитный калькулятор'!$G$10="в конце срока",'депозитный калькулятор'!$D$8=F952),SUM($H$23:H952),0))))))))))))))))))</f>
        <v xml:space="preserve"> </v>
      </c>
      <c r="J952" s="59" t="str">
        <f>IF(F952&gt;'депозитный калькулятор'!$D$8," ",IF('депозитный калькулятор'!$G$16="нет",0,IF(AND('депозитный калькулятор'!$G$17="разовая (в конце срока)",F952='депозитный калькулятор'!$D$8),'депозитный калькулятор'!$G$18,IF(AND('депозитный калькулятор'!$G$17="ежемесячная",EOMONTH(F951,0)=F951),'депозитный калькулятор'!$G$18,IF(AND('депозитный калькулятор'!$G$17="ежегодная",DAY(F951)=31,MONTH(F951)=12),'депозитный калькулятор'!$G$18,IF(AND('депозитный калькулятор'!$G$17="ежемесячная в зависимости от остатка",EOMONTH(F951,0)=F951,P951&gt;0),'депозитный калькулятор'!$G$18,IF(AND('депозитный калькулятор'!$G$17="ежегодная в зависимости от остатка",DAY(F951)=31,MONTH(F951)=12,P951&gt;0),'депозитный калькулятор'!$G$18,0)))))))</f>
        <v xml:space="preserve"> </v>
      </c>
      <c r="K952" s="135" t="str">
        <f>IF($F952=" "," ",IFERROR(VLOOKUP($F952,'депозитный калькулятор'!$B$26:$F$70,2,0),0))</f>
        <v xml:space="preserve"> </v>
      </c>
      <c r="L952" s="135" t="str">
        <f>IF($F952=" "," ",IFERROR(VLOOKUP($F952,'депозитный калькулятор'!$B$26:$F$70,3,0),0))</f>
        <v xml:space="preserve"> </v>
      </c>
      <c r="M952" s="135" t="str">
        <f>IF($F952=" "," ",IFERROR(VLOOKUP($F952,'депозитный калькулятор'!$B$26:$F$70,4,0),0))</f>
        <v xml:space="preserve"> </v>
      </c>
      <c r="N952" s="135" t="str">
        <f>IF($F952=" "," ",IFERROR(VLOOKUP($F952,'депозитный калькулятор'!$B$26:$F$70,5,0),0))</f>
        <v xml:space="preserve"> </v>
      </c>
      <c r="O952" s="146" t="str">
        <f>IF(F952&gt;'депозитный калькулятор'!$D$8," ",IF(F952='депозитный калькулятор'!$D$8,IF(AND($F$24='депозитный калькулятор'!$D$8,'депозитный калькулятор'!$G$13="нет"),-G952-IF(I952=" ",0,I952)-IF(AND(OR('депозитный калькулятор'!$G$7="30/365",'депозитный калькулятор'!$G$7="30/360"),'депозитный калькулятор'!$G$10="в начале срока"),I951,0)-L952+M952-N952,-G952-IF(I952=" ",0,I952)-L952+M952-N952),IF('депозитный калькулятор'!$G$13="есть",M952-N952+IF('депозитный калькулятор'!$G$14="есть",0,-L952),-IF(I952=" ",0,I952)-IF(AND(OR('депозитный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срока"),I951,0)+M952-N952+IF('депозитный калькулятор'!$G$14="есть",0,-L952))))</f>
        <v xml:space="preserve"> </v>
      </c>
      <c r="P952" s="147" t="str">
        <f>IF(F952&gt;'депозитный калькулятор'!$D$8," ",IF(EOMONTH(F951,0)=F951,0,IF(G952&gt;='депозитный калькулятор'!$G$19,P951,P951+1)))</f>
        <v xml:space="preserve"> </v>
      </c>
      <c r="Q952" s="138" t="str">
        <f>IF(F952=" "," ",IF(AND(OR('депозитный калькулятор'!$G$7="30/365",'депозитный калькулятор'!$G$7="30/360"),AND(MONTH(F952)=2,EOMONTH(F952,0)=F952)),IF(DAY(F952)=28,3,2),1)*IF(G952&gt;='депозитный калькулятор'!$G$11,IF(AND('депозитный калькулятор'!$G$7="факт/факт",MOD(YEAR(F952),4)=0),G952*'депозитный калькулятор'!$D$11/366,G952*'депозитный калькулятор'!$G$8),0))</f>
        <v xml:space="preserve"> </v>
      </c>
      <c r="S952" s="62" t="str">
        <f t="shared" ca="1" si="72"/>
        <v xml:space="preserve"> </v>
      </c>
      <c r="T952" s="149" t="str">
        <f ca="1">IF(S952=" "," ",IF('депозитный калькулятор'!$G$7="30/360",DAYS360(U951,IF(DAY(U952)=31,U952-1,U952))+IF(AND(MONTH(U952)=2,U952=EOMONTH(U952,0)),30-DAY(EOMONTH(U952,0)))+T951,VLOOKUP(S952,$C$22:$F$1023,2,0)))</f>
        <v xml:space="preserve"> </v>
      </c>
      <c r="U952" s="64" t="str">
        <f t="shared" ca="1" si="70"/>
        <v xml:space="preserve"> </v>
      </c>
      <c r="V952" s="150" t="str">
        <f t="shared" ca="1" si="73"/>
        <v xml:space="preserve"> </v>
      </c>
      <c r="W952" s="62" t="str">
        <f t="shared" ca="1" si="74"/>
        <v xml:space="preserve"> </v>
      </c>
      <c r="X952" s="141" t="str">
        <f ca="1">IF(S952=" "," ",IFERROR(VLOOKUP(U952,$F$23:$N$1023,7)+VLOOKUP(U952,$F$23:$N$1023,9)+IF(AND('депозитный калькулятор'!$G$13="нет",U952&lt;&gt;'депозитный калькулятор'!$D$8),VLOOKUP(U952,$F$23:$N$1023,4),0),0)+IF(U952='депозитный калькулятор'!$D$8,VLOOKUP(U952,$F$23:$N$1023,2)+VLOOKUP(U952,$F$23:$N$1023,4),0))</f>
        <v xml:space="preserve"> </v>
      </c>
      <c r="Y952" s="142" t="str">
        <f ca="1">IF(S952=" "," ",W952/(1+'депозитный калькулятор'!$K$8)^(T952/IF('депозитный калькулятор'!$G$7="30/360",360,365)))</f>
        <v xml:space="preserve"> </v>
      </c>
      <c r="Z952" s="142" t="str">
        <f ca="1">IF(S952=" "," ",X952/(1+'депозитный калькулятор'!$K$8)^(T952/IF('депозитный калькулятор'!$G$7="30/360",360,365)))</f>
        <v xml:space="preserve"> </v>
      </c>
      <c r="AA952" s="151"/>
      <c r="AB952" s="151"/>
      <c r="AC952" s="155"/>
      <c r="AD952" s="155"/>
    </row>
    <row r="953" spans="1:30" s="2" customFormat="1" ht="15.5" x14ac:dyDescent="0.35">
      <c r="A953" s="41" t="str">
        <f>IF(F953=" "," ",IF(OR('депозитный калькулятор'!$G$7="30/365",'депозитный калькулятор'!$G$7="30/360"),IF(AND(MONTH(F953)=2,DAY(F953)=DAY(EOMONTH(F953,0))),30-DAY(EOMONTH(F953,0)),IF(DAY(F953)=31,1," "))," "))</f>
        <v xml:space="preserve"> </v>
      </c>
      <c r="B953" s="130" t="str">
        <f t="shared" si="71"/>
        <v xml:space="preserve"> </v>
      </c>
      <c r="C953" s="130" t="str">
        <f>IF(OR(B953=0,B953=" ")," ",SUM($B$23:B953))</f>
        <v xml:space="preserve"> </v>
      </c>
      <c r="D953" s="62" t="str">
        <f>IF(D952=" "," ",IF(OR(F952='депозитный калькулятор'!$D$8,F952=" ")," ",D952+1))</f>
        <v xml:space="preserve"> </v>
      </c>
      <c r="E953" s="130" t="str">
        <f>IF(OR(F952='депозитный калькулятор'!$D$8,F952=" ")," ",IF(EOMONTH(F952,0)=F952,1,E952+1))</f>
        <v xml:space="preserve"> </v>
      </c>
      <c r="F953" s="64" t="str">
        <f>IF(F952=" "," ",IF(F952='депозитный калькулятор'!$D$8," ",F952+1))</f>
        <v xml:space="preserve"> </v>
      </c>
      <c r="G953" s="145" t="str">
        <f xml:space="preserve"> IF(F953&gt;'депозитный калькулятор'!$D$8," ",IF('депозитный калькулятор'!$G$13="есть",IF('депозитный калькулятор'!$G$14="есть",G952+IF(I952=" ",0,I952)-J953-K953+L953+M953-N953,G952+IF(I952=" ",0,I952)-J953-K953+M953-N953),IF('депозитный калькулятор'!$G$14="есть",G952-J953-K953+L953+M953-N953,G952-J953-K953+M953-N953)))</f>
        <v xml:space="preserve"> </v>
      </c>
      <c r="H953" s="133" t="str">
        <f>IF(F953&gt;'депозитный калькулятор'!$D$8," ",IF(AND(OR('депозитный калькулятор'!$G$7="30/365",'депозитный калькулятор'!$G$7="30/360"),AND(MONTH(F953)=2,EOMONTH(F953,0)=F953)),IF(DAY(F953)=28,3*G953*'депозитный калькулятор'!$G$8,2*G953*'депозитный калькулятор'!$G$8),IF(AND(OR('депозитный калькулятор'!$G$7="30/365",'депозитный калькулятор'!$G$7="30/360"),DAY(F953)=31)," ",IF(AND('депозитный калькулятор'!$G$7="факт/факт",MOD(YEAR(F953),4)=0),G953*'депозитный калькулятор'!$D$11/366,G953*'депозитный калькулятор'!$G$8))))</f>
        <v xml:space="preserve"> </v>
      </c>
      <c r="I953" s="134" t="str">
        <f ca="1">IF(F953=" "," ",IF('депозитный калькулятор'!$G$10="ежедневное",H953,IF(AND('депозитный калькулятор'!$G$10="еженедельное",WEEKDAY(F953,2)=7),SUM(OFFSET(H953,-6,0):H953),IF(AND('депозитный калькулятор'!$G$10="еженедельное",F953='депозитный калькулятор'!$D$8),SUM($H$23:H953)-SUM($I$23:I952),IF(AND('депозитный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недели",WEEKDAY(F953,2)=7),MIN(OFFSET(H953,-6,0):H953)*(COUNTIF(OFFSET(H953,-6,0):H953,"&gt;0")+SUMIF(OFFSET(A953,-WEEKDAY(F953,2),0):A953,"=2",OFFSET(A953,-WEEKDAY(F953,2),0):A953)),IF(AND('депозитный калькулятор'!$G$10="еженедельное, на минимальную сумму зафиксированную в течение недели",F953='депозитный калькулятор'!$D$8,WEEKDAY(F953,2)&lt;&gt;7),MIN(OFFSET(H953,-WEEKDAY(F953,2),0):H953)*(COUNTIF(OFFSET(H953,-WEEKDAY(F953,2)+1,0):H953,"&gt;0")+SUM(OFFSET(A953,-WEEKDAY(F953,2),0):A953)),IF(AND('депозитный калькулятор'!$G$10="ежемесячное (в конце месяца)",F953='депозитный калькулятор'!$D$8,EOMONTH(F953,0)&lt;&gt;F953),IF('депозитный калькулятор'!$F$1=1,$H$24,SUM($H$23:H953)-SUM($I$23:I952)),IF(AND('депозитный калькулятор'!$G$10="ежемесячное (в конце месяца)",EOMONTH(F953,0)=F953),SUM($H$23:H953)-SUM($I$23:I952),IF(AND('депозитный калькулятор'!$G$10="ежемесячное (по дням открытия вклада)",F953='депозитный калькулятор'!$D$8,DAY('депозитный калькулятор'!$D$7)&lt;&gt;DAY(F953)),IF('депозитный калькулятор'!$F$1=1,$H$24,SUM($H$23:H953)-SUM($I$23:I952)),IF(AND('депозитный калькулятор'!$G$10="ежемесячное (по дням открытия вклада)",DAY('депозитный калькулятор'!$D$7)=DAY(F953)),SUM($H$23:H953)-SUM($I$23:I952),IF(AND('депозитный калькулятор'!$G$10="ежемесячное, на минимальную сумму зафиксированную в течение месяца",F953='депозитный калькулятор'!$D$8,EOMONTH(F953,0)&lt;&gt;F953),IF('депозитный калькулятор'!$F$1=1,$H$24,IF(AND(OR('депозитный калькулятор'!$G$7="30/365",'депозитный калькулятор'!$G$7="30/360"),DAY(F953)=31),0,MIN(OFFSET(H953,-E953+1,0):H953)*(E953+SUMIF(OFFSET(A953,-E953+1,0):A953,"=2",OFFSET(A953,-E953+1,0):A953)))),IF(AND('депозитный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калькулятор'!$G$7="30/360"),DAY(EOMONTH(F953,0))=31),EOMONTH(F953,0)-1=F953,EOMONTH(F953,0)=F953)),IF(IF(AND(OR('депозитный калькулятор'!$G$7="30/365",'депозитный калькулятор'!$G$7="30/360"),DAY(EOMONTH($F$23,0))=31),F953=EOMONTH($F$23,0)-1,F953=EOMONTH($F$23,0)),MIN(OFFSET(H953,-(DAY(F953)-DAY($F$23)),0):H953)*E953,MIN(OFFSET(H953,-(DAY(F953)-1),0):H953)*IF(AND(OR('депозитный калькулятор'!$G$7="30/365",'депозитный калькулятор'!$G$7="30/360"),DAY(F953)&lt;30),30,DAY(F953))),IF(AND('депозитный калькулятор'!$G$10="ежемесячное, на средний остаток в течение месяца, при условии что остаток больше чем ограничение",F953='депозитный калькулятор'!$D$8,EOMONTH(F953,0)&lt;&gt;F953),IF('депозитный калькулятор'!$F$1=1,$H$24,SUM(OFFSET(Q953,-E953+1,0):Q953)),IF(AND('депозитный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калькулятор'!$G$7="30/360"),DAY(EOMONTH(F953,0))=31),EOMONTH(F953,0)-1=F953,EOMONTH(F953,0)=F953)),IF(IF(AND(OR('депозитный калькулятор'!$G$7="30/365",'депозитный калькулятор'!$G$7="30/360"),DAY(EOMONTH($F$24,0))=31),F953=EOMONTH($F$24,0)-1,F953=EOMONTH($F$24,0)),SUM(OFFSET(Q953,-E953+1,0):Q953),SUM(OFFSET(Q953,-E953+1,0):Q953)),IF('депозитный калькулятор'!$G$10="ежеквартальное",IF(F953&gt;'депозитный калькулятор'!$D$8," ",IF(AND(EOMONTH(F953,0)=F953,OR(MONTH(F953)=3,MONTH(F953)=6,MONTH(F953)=9,MONTH(F953)=12)),IF(EDATE(F953,-3)&lt;'депозитный калькулятор'!$D$7,SUM($H$23:H953),IF(MOD(YEAR(F953),4)=0,IF(AND(EOMONTH(F953,0)=F953,OR(MONTH(F953)=3,MONTH(F953)=6)),SUM(OFFSET(H953,-90,0):H953),IF(AND(EOMONTH(F953,0)=F953,OR(MONTH(F953)=9,MONTH(F953)=12)),SUM(OFFSET(H953,-91,0):H953))),IF(AND(EOMONTH(F953,0)=F953,MONTH(F953)=3),SUM(OFFSET(H953,-89,0):H953),IF(AND(EOMONTH(F953,0)=F953,MONTH(F953)=6),SUM(OFFSET(H953,-90,0):H953),IF(AND(EOMONTH(F953,0)=F953,OR(MONTH(F953)=9,MONTH(F953)=12)),SUM(OFFSET(H953,-91,0):H953)))))),IF(F953='депозитный калькулятор'!$D$8,SUM($H$23:H953)-SUM($I$23:I952),0))),IF('депозитный калькулятор'!$G$10="ежегодное",IF(F953&gt;'депозитный калькулятор'!$D$8," ",IF(F953='депозитный калькулятор'!$D$8,SUM($H$23:H953)-SUM($I$23:I952),IF(AND(EOMONTH(F953,0)=F953,MONTH(F953)=12),IF(MOD(YEAR(F952),4)=0,IF(F953-'депозитный калькулятор'!$D$7&lt;366,SUM($H$23:H953),SUM(OFFSET(H953,-365,0):H953)),IF(F953-'депозитный калькулятор'!$D$7&lt;365,SUM($H$23:H953),SUM(OFFSET(H953,-364,0):H953))),0))),IF(AND('депозитный калькулятор'!$G$10="в конце срока",'депозитный калькулятор'!$D$8=F953),SUM($H$23:H953),0))))))))))))))))))</f>
        <v xml:space="preserve"> </v>
      </c>
      <c r="J953" s="59" t="str">
        <f>IF(F953&gt;'депозитный калькулятор'!$D$8," ",IF('депозитный калькулятор'!$G$16="нет",0,IF(AND('депозитный калькулятор'!$G$17="разовая (в конце срока)",F953='депозитный калькулятор'!$D$8),'депозитный калькулятор'!$G$18,IF(AND('депозитный калькулятор'!$G$17="ежемесячная",EOMONTH(F952,0)=F952),'депозитный калькулятор'!$G$18,IF(AND('депозитный калькулятор'!$G$17="ежегодная",DAY(F952)=31,MONTH(F952)=12),'депозитный калькулятор'!$G$18,IF(AND('депозитный калькулятор'!$G$17="ежемесячная в зависимости от остатка",EOMONTH(F952,0)=F952,P952&gt;0),'депозитный калькулятор'!$G$18,IF(AND('депозитный калькулятор'!$G$17="ежегодная в зависимости от остатка",DAY(F952)=31,MONTH(F952)=12,P952&gt;0),'депозитный калькулятор'!$G$18,0)))))))</f>
        <v xml:space="preserve"> </v>
      </c>
      <c r="K953" s="135" t="str">
        <f>IF($F953=" "," ",IFERROR(VLOOKUP($F953,'депозитный калькулятор'!$B$26:$F$70,2,0),0))</f>
        <v xml:space="preserve"> </v>
      </c>
      <c r="L953" s="135" t="str">
        <f>IF($F953=" "," ",IFERROR(VLOOKUP($F953,'депозитный калькулятор'!$B$26:$F$70,3,0),0))</f>
        <v xml:space="preserve"> </v>
      </c>
      <c r="M953" s="135" t="str">
        <f>IF($F953=" "," ",IFERROR(VLOOKUP($F953,'депозитный калькулятор'!$B$26:$F$70,4,0),0))</f>
        <v xml:space="preserve"> </v>
      </c>
      <c r="N953" s="135" t="str">
        <f>IF($F953=" "," ",IFERROR(VLOOKUP($F953,'депозитный калькулятор'!$B$26:$F$70,5,0),0))</f>
        <v xml:space="preserve"> </v>
      </c>
      <c r="O953" s="146" t="str">
        <f>IF(F953&gt;'депозитный калькулятор'!$D$8," ",IF(F953='депозитный калькулятор'!$D$8,IF(AND($F$24='депозитный калькулятор'!$D$8,'депозитный калькулятор'!$G$13="нет"),-G953-IF(I953=" ",0,I953)-IF(AND(OR('депозитный калькулятор'!$G$7="30/365",'депозитный калькулятор'!$G$7="30/360"),'депозитный калькулятор'!$G$10="в начале срока"),I952,0)-L953+M953-N953,-G953-IF(I953=" ",0,I953)-L953+M953-N953),IF('депозитный калькулятор'!$G$13="есть",M953-N953+IF('депозитный калькулятор'!$G$14="есть",0,-L953),-IF(I953=" ",0,I953)-IF(AND(OR('депозитный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срока"),I952,0)+M953-N953+IF('депозитный калькулятор'!$G$14="есть",0,-L953))))</f>
        <v xml:space="preserve"> </v>
      </c>
      <c r="P953" s="147" t="str">
        <f>IF(F953&gt;'депозитный калькулятор'!$D$8," ",IF(EOMONTH(F952,0)=F952,0,IF(G953&gt;='депозитный калькулятор'!$G$19,P952,P952+1)))</f>
        <v xml:space="preserve"> </v>
      </c>
      <c r="Q953" s="138" t="str">
        <f>IF(F953=" "," ",IF(AND(OR('депозитный калькулятор'!$G$7="30/365",'депозитный калькулятор'!$G$7="30/360"),AND(MONTH(F953)=2,EOMONTH(F953,0)=F953)),IF(DAY(F953)=28,3,2),1)*IF(G953&gt;='депозитный калькулятор'!$G$11,IF(AND('депозитный калькулятор'!$G$7="факт/факт",MOD(YEAR(F953),4)=0),G953*'депозитный калькулятор'!$D$11/366,G953*'депозитный калькулятор'!$G$8),0))</f>
        <v xml:space="preserve"> </v>
      </c>
      <c r="S953" s="62" t="str">
        <f t="shared" ca="1" si="72"/>
        <v xml:space="preserve"> </v>
      </c>
      <c r="T953" s="149" t="str">
        <f ca="1">IF(S953=" "," ",IF('депозитный калькулятор'!$G$7="30/360",DAYS360(U952,IF(DAY(U953)=31,U953-1,U953))+IF(AND(MONTH(U953)=2,U953=EOMONTH(U953,0)),30-DAY(EOMONTH(U953,0)))+T952,VLOOKUP(S953,$C$22:$F$1023,2,0)))</f>
        <v xml:space="preserve"> </v>
      </c>
      <c r="U953" s="64" t="str">
        <f t="shared" ca="1" si="70"/>
        <v xml:space="preserve"> </v>
      </c>
      <c r="V953" s="150" t="str">
        <f t="shared" ca="1" si="73"/>
        <v xml:space="preserve"> </v>
      </c>
      <c r="W953" s="62" t="str">
        <f t="shared" ca="1" si="74"/>
        <v xml:space="preserve"> </v>
      </c>
      <c r="X953" s="141" t="str">
        <f ca="1">IF(S953=" "," ",IFERROR(VLOOKUP(U953,$F$23:$N$1023,7)+VLOOKUP(U953,$F$23:$N$1023,9)+IF(AND('депозитный калькулятор'!$G$13="нет",U953&lt;&gt;'депозитный калькулятор'!$D$8),VLOOKUP(U953,$F$23:$N$1023,4),0),0)+IF(U953='депозитный калькулятор'!$D$8,VLOOKUP(U953,$F$23:$N$1023,2)+VLOOKUP(U953,$F$23:$N$1023,4),0))</f>
        <v xml:space="preserve"> </v>
      </c>
      <c r="Y953" s="142" t="str">
        <f ca="1">IF(S953=" "," ",W953/(1+'депозитный калькулятор'!$K$8)^(T953/IF('депозитный калькулятор'!$G$7="30/360",360,365)))</f>
        <v xml:space="preserve"> </v>
      </c>
      <c r="Z953" s="142" t="str">
        <f ca="1">IF(S953=" "," ",X953/(1+'депозитный калькулятор'!$K$8)^(T953/IF('депозитный калькулятор'!$G$7="30/360",360,365)))</f>
        <v xml:space="preserve"> </v>
      </c>
      <c r="AA953" s="151"/>
      <c r="AB953" s="151"/>
      <c r="AC953" s="155"/>
      <c r="AD953" s="155"/>
    </row>
    <row r="954" spans="1:30" s="2" customFormat="1" ht="15.5" x14ac:dyDescent="0.35">
      <c r="A954" s="41" t="str">
        <f>IF(F954=" "," ",IF(OR('депозитный калькулятор'!$G$7="30/365",'депозитный калькулятор'!$G$7="30/360"),IF(AND(MONTH(F954)=2,DAY(F954)=DAY(EOMONTH(F954,0))),30-DAY(EOMONTH(F954,0)),IF(DAY(F954)=31,1," "))," "))</f>
        <v xml:space="preserve"> </v>
      </c>
      <c r="B954" s="130" t="str">
        <f t="shared" si="71"/>
        <v xml:space="preserve"> </v>
      </c>
      <c r="C954" s="130" t="str">
        <f>IF(OR(B954=0,B954=" ")," ",SUM($B$23:B954))</f>
        <v xml:space="preserve"> </v>
      </c>
      <c r="D954" s="62" t="str">
        <f>IF(D953=" "," ",IF(OR(F953='депозитный калькулятор'!$D$8,F953=" ")," ",D953+1))</f>
        <v xml:space="preserve"> </v>
      </c>
      <c r="E954" s="130" t="str">
        <f>IF(OR(F953='депозитный калькулятор'!$D$8,F953=" ")," ",IF(EOMONTH(F953,0)=F953,1,E953+1))</f>
        <v xml:space="preserve"> </v>
      </c>
      <c r="F954" s="64" t="str">
        <f>IF(F953=" "," ",IF(F953='депозитный калькулятор'!$D$8," ",F953+1))</f>
        <v xml:space="preserve"> </v>
      </c>
      <c r="G954" s="145" t="str">
        <f xml:space="preserve"> IF(F954&gt;'депозитный калькулятор'!$D$8," ",IF('депозитный калькулятор'!$G$13="есть",IF('депозитный калькулятор'!$G$14="есть",G953+IF(I953=" ",0,I953)-J954-K954+L954+M954-N954,G953+IF(I953=" ",0,I953)-J954-K954+M954-N954),IF('депозитный калькулятор'!$G$14="есть",G953-J954-K954+L954+M954-N954,G953-J954-K954+M954-N954)))</f>
        <v xml:space="preserve"> </v>
      </c>
      <c r="H954" s="133" t="str">
        <f>IF(F954&gt;'депозитный калькулятор'!$D$8," ",IF(AND(OR('депозитный калькулятор'!$G$7="30/365",'депозитный калькулятор'!$G$7="30/360"),AND(MONTH(F954)=2,EOMONTH(F954,0)=F954)),IF(DAY(F954)=28,3*G954*'депозитный калькулятор'!$G$8,2*G954*'депозитный калькулятор'!$G$8),IF(AND(OR('депозитный калькулятор'!$G$7="30/365",'депозитный калькулятор'!$G$7="30/360"),DAY(F954)=31)," ",IF(AND('депозитный калькулятор'!$G$7="факт/факт",MOD(YEAR(F954),4)=0),G954*'депозитный калькулятор'!$D$11/366,G954*'депозитный калькулятор'!$G$8))))</f>
        <v xml:space="preserve"> </v>
      </c>
      <c r="I954" s="134" t="str">
        <f ca="1">IF(F954=" "," ",IF('депозитный калькулятор'!$G$10="ежедневное",H954,IF(AND('депозитный калькулятор'!$G$10="еженедельное",WEEKDAY(F954,2)=7),SUM(OFFSET(H954,-6,0):H954),IF(AND('депозитный калькулятор'!$G$10="еженедельное",F954='депозитный калькулятор'!$D$8),SUM($H$23:H954)-SUM($I$23:I953),IF(AND('депозитный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недели",WEEKDAY(F954,2)=7),MIN(OFFSET(H954,-6,0):H954)*(COUNTIF(OFFSET(H954,-6,0):H954,"&gt;0")+SUMIF(OFFSET(A954,-WEEKDAY(F954,2),0):A954,"=2",OFFSET(A954,-WEEKDAY(F954,2),0):A954)),IF(AND('депозитный калькулятор'!$G$10="еженедельное, на минимальную сумму зафиксированную в течение недели",F954='депозитный калькулятор'!$D$8,WEEKDAY(F954,2)&lt;&gt;7),MIN(OFFSET(H954,-WEEKDAY(F954,2),0):H954)*(COUNTIF(OFFSET(H954,-WEEKDAY(F954,2)+1,0):H954,"&gt;0")+SUM(OFFSET(A954,-WEEKDAY(F954,2),0):A954)),IF(AND('депозитный калькулятор'!$G$10="ежемесячное (в конце месяца)",F954='депозитный калькулятор'!$D$8,EOMONTH(F954,0)&lt;&gt;F954),IF('депозитный калькулятор'!$F$1=1,$H$24,SUM($H$23:H954)-SUM($I$23:I953)),IF(AND('депозитный калькулятор'!$G$10="ежемесячное (в конце месяца)",EOMONTH(F954,0)=F954),SUM($H$23:H954)-SUM($I$23:I953),IF(AND('депозитный калькулятор'!$G$10="ежемесячное (по дням открытия вклада)",F954='депозитный калькулятор'!$D$8,DAY('депозитный калькулятор'!$D$7)&lt;&gt;DAY(F954)),IF('депозитный калькулятор'!$F$1=1,$H$24,SUM($H$23:H954)-SUM($I$23:I953)),IF(AND('депозитный калькулятор'!$G$10="ежемесячное (по дням открытия вклада)",DAY('депозитный калькулятор'!$D$7)=DAY(F954)),SUM($H$23:H954)-SUM($I$23:I953),IF(AND('депозитный калькулятор'!$G$10="ежемесячное, на минимальную сумму зафиксированную в течение месяца",F954='депозитный калькулятор'!$D$8,EOMONTH(F954,0)&lt;&gt;F954),IF('депозитный калькулятор'!$F$1=1,$H$24,IF(AND(OR('депозитный калькулятор'!$G$7="30/365",'депозитный калькулятор'!$G$7="30/360"),DAY(F954)=31),0,MIN(OFFSET(H954,-E954+1,0):H954)*(E954+SUMIF(OFFSET(A954,-E954+1,0):A954,"=2",OFFSET(A954,-E954+1,0):A954)))),IF(AND('депозитный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калькулятор'!$G$7="30/360"),DAY(EOMONTH(F954,0))=31),EOMONTH(F954,0)-1=F954,EOMONTH(F954,0)=F954)),IF(IF(AND(OR('депозитный калькулятор'!$G$7="30/365",'депозитный калькулятор'!$G$7="30/360"),DAY(EOMONTH($F$23,0))=31),F954=EOMONTH($F$23,0)-1,F954=EOMONTH($F$23,0)),MIN(OFFSET(H954,-(DAY(F954)-DAY($F$23)),0):H954)*E954,MIN(OFFSET(H954,-(DAY(F954)-1),0):H954)*IF(AND(OR('депозитный калькулятор'!$G$7="30/365",'депозитный калькулятор'!$G$7="30/360"),DAY(F954)&lt;30),30,DAY(F954))),IF(AND('депозитный калькулятор'!$G$10="ежемесячное, на средний остаток в течение месяца, при условии что остаток больше чем ограничение",F954='депозитный калькулятор'!$D$8,EOMONTH(F954,0)&lt;&gt;F954),IF('депозитный калькулятор'!$F$1=1,$H$24,SUM(OFFSET(Q954,-E954+1,0):Q954)),IF(AND('депозитный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калькулятор'!$G$7="30/360"),DAY(EOMONTH(F954,0))=31),EOMONTH(F954,0)-1=F954,EOMONTH(F954,0)=F954)),IF(IF(AND(OR('депозитный калькулятор'!$G$7="30/365",'депозитный калькулятор'!$G$7="30/360"),DAY(EOMONTH($F$24,0))=31),F954=EOMONTH($F$24,0)-1,F954=EOMONTH($F$24,0)),SUM(OFFSET(Q954,-E954+1,0):Q954),SUM(OFFSET(Q954,-E954+1,0):Q954)),IF('депозитный калькулятор'!$G$10="ежеквартальное",IF(F954&gt;'депозитный калькулятор'!$D$8," ",IF(AND(EOMONTH(F954,0)=F954,OR(MONTH(F954)=3,MONTH(F954)=6,MONTH(F954)=9,MONTH(F954)=12)),IF(EDATE(F954,-3)&lt;'депозитный калькулятор'!$D$7,SUM($H$23:H954),IF(MOD(YEAR(F954),4)=0,IF(AND(EOMONTH(F954,0)=F954,OR(MONTH(F954)=3,MONTH(F954)=6)),SUM(OFFSET(H954,-90,0):H954),IF(AND(EOMONTH(F954,0)=F954,OR(MONTH(F954)=9,MONTH(F954)=12)),SUM(OFFSET(H954,-91,0):H954))),IF(AND(EOMONTH(F954,0)=F954,MONTH(F954)=3),SUM(OFFSET(H954,-89,0):H954),IF(AND(EOMONTH(F954,0)=F954,MONTH(F954)=6),SUM(OFFSET(H954,-90,0):H954),IF(AND(EOMONTH(F954,0)=F954,OR(MONTH(F954)=9,MONTH(F954)=12)),SUM(OFFSET(H954,-91,0):H954)))))),IF(F954='депозитный калькулятор'!$D$8,SUM($H$23:H954)-SUM($I$23:I953),0))),IF('депозитный калькулятор'!$G$10="ежегодное",IF(F954&gt;'депозитный калькулятор'!$D$8," ",IF(F954='депозитный калькулятор'!$D$8,SUM($H$23:H954)-SUM($I$23:I953),IF(AND(EOMONTH(F954,0)=F954,MONTH(F954)=12),IF(MOD(YEAR(F953),4)=0,IF(F954-'депозитный калькулятор'!$D$7&lt;366,SUM($H$23:H954),SUM(OFFSET(H954,-365,0):H954)),IF(F954-'депозитный калькулятор'!$D$7&lt;365,SUM($H$23:H954),SUM(OFFSET(H954,-364,0):H954))),0))),IF(AND('депозитный калькулятор'!$G$10="в конце срока",'депозитный калькулятор'!$D$8=F954),SUM($H$23:H954),0))))))))))))))))))</f>
        <v xml:space="preserve"> </v>
      </c>
      <c r="J954" s="59" t="str">
        <f>IF(F954&gt;'депозитный калькулятор'!$D$8," ",IF('депозитный калькулятор'!$G$16="нет",0,IF(AND('депозитный калькулятор'!$G$17="разовая (в конце срока)",F954='депозитный калькулятор'!$D$8),'депозитный калькулятор'!$G$18,IF(AND('депозитный калькулятор'!$G$17="ежемесячная",EOMONTH(F953,0)=F953),'депозитный калькулятор'!$G$18,IF(AND('депозитный калькулятор'!$G$17="ежегодная",DAY(F953)=31,MONTH(F953)=12),'депозитный калькулятор'!$G$18,IF(AND('депозитный калькулятор'!$G$17="ежемесячная в зависимости от остатка",EOMONTH(F953,0)=F953,P953&gt;0),'депозитный калькулятор'!$G$18,IF(AND('депозитный калькулятор'!$G$17="ежегодная в зависимости от остатка",DAY(F953)=31,MONTH(F953)=12,P953&gt;0),'депозитный калькулятор'!$G$18,0)))))))</f>
        <v xml:space="preserve"> </v>
      </c>
      <c r="K954" s="135" t="str">
        <f>IF($F954=" "," ",IFERROR(VLOOKUP($F954,'депозитный калькулятор'!$B$26:$F$70,2,0),0))</f>
        <v xml:space="preserve"> </v>
      </c>
      <c r="L954" s="135" t="str">
        <f>IF($F954=" "," ",IFERROR(VLOOKUP($F954,'депозитный калькулятор'!$B$26:$F$70,3,0),0))</f>
        <v xml:space="preserve"> </v>
      </c>
      <c r="M954" s="135" t="str">
        <f>IF($F954=" "," ",IFERROR(VLOOKUP($F954,'депозитный калькулятор'!$B$26:$F$70,4,0),0))</f>
        <v xml:space="preserve"> </v>
      </c>
      <c r="N954" s="135" t="str">
        <f>IF($F954=" "," ",IFERROR(VLOOKUP($F954,'депозитный калькулятор'!$B$26:$F$70,5,0),0))</f>
        <v xml:space="preserve"> </v>
      </c>
      <c r="O954" s="146" t="str">
        <f>IF(F954&gt;'депозитный калькулятор'!$D$8," ",IF(F954='депозитный калькулятор'!$D$8,IF(AND($F$24='депозитный калькулятор'!$D$8,'депозитный калькулятор'!$G$13="нет"),-G954-IF(I954=" ",0,I954)-IF(AND(OR('депозитный калькулятор'!$G$7="30/365",'депозитный калькулятор'!$G$7="30/360"),'депозитный калькулятор'!$G$10="в начале срока"),I953,0)-L954+M954-N954,-G954-IF(I954=" ",0,I954)-L954+M954-N954),IF('депозитный калькулятор'!$G$13="есть",M954-N954+IF('депозитный калькулятор'!$G$14="есть",0,-L954),-IF(I954=" ",0,I954)-IF(AND(OR('депозитный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срока"),I953,0)+M954-N954+IF('депозитный калькулятор'!$G$14="есть",0,-L954))))</f>
        <v xml:space="preserve"> </v>
      </c>
      <c r="P954" s="147" t="str">
        <f>IF(F954&gt;'депозитный калькулятор'!$D$8," ",IF(EOMONTH(F953,0)=F953,0,IF(G954&gt;='депозитный калькулятор'!$G$19,P953,P953+1)))</f>
        <v xml:space="preserve"> </v>
      </c>
      <c r="Q954" s="138" t="str">
        <f>IF(F954=" "," ",IF(AND(OR('депозитный калькулятор'!$G$7="30/365",'депозитный калькулятор'!$G$7="30/360"),AND(MONTH(F954)=2,EOMONTH(F954,0)=F954)),IF(DAY(F954)=28,3,2),1)*IF(G954&gt;='депозитный калькулятор'!$G$11,IF(AND('депозитный калькулятор'!$G$7="факт/факт",MOD(YEAR(F954),4)=0),G954*'депозитный калькулятор'!$D$11/366,G954*'депозитный калькулятор'!$G$8),0))</f>
        <v xml:space="preserve"> </v>
      </c>
      <c r="S954" s="62" t="str">
        <f t="shared" ca="1" si="72"/>
        <v xml:space="preserve"> </v>
      </c>
      <c r="T954" s="149" t="str">
        <f ca="1">IF(S954=" "," ",IF('депозитный калькулятор'!$G$7="30/360",DAYS360(U953,IF(DAY(U954)=31,U954-1,U954))+IF(AND(MONTH(U954)=2,U954=EOMONTH(U954,0)),30-DAY(EOMONTH(U954,0)))+T953,VLOOKUP(S954,$C$22:$F$1023,2,0)))</f>
        <v xml:space="preserve"> </v>
      </c>
      <c r="U954" s="64" t="str">
        <f t="shared" ca="1" si="70"/>
        <v xml:space="preserve"> </v>
      </c>
      <c r="V954" s="150" t="str">
        <f t="shared" ca="1" si="73"/>
        <v xml:space="preserve"> </v>
      </c>
      <c r="W954" s="62" t="str">
        <f t="shared" ca="1" si="74"/>
        <v xml:space="preserve"> </v>
      </c>
      <c r="X954" s="141" t="str">
        <f ca="1">IF(S954=" "," ",IFERROR(VLOOKUP(U954,$F$23:$N$1023,7)+VLOOKUP(U954,$F$23:$N$1023,9)+IF(AND('депозитный калькулятор'!$G$13="нет",U954&lt;&gt;'депозитный калькулятор'!$D$8),VLOOKUP(U954,$F$23:$N$1023,4),0),0)+IF(U954='депозитный калькулятор'!$D$8,VLOOKUP(U954,$F$23:$N$1023,2)+VLOOKUP(U954,$F$23:$N$1023,4),0))</f>
        <v xml:space="preserve"> </v>
      </c>
      <c r="Y954" s="142" t="str">
        <f ca="1">IF(S954=" "," ",W954/(1+'депозитный калькулятор'!$K$8)^(T954/IF('депозитный калькулятор'!$G$7="30/360",360,365)))</f>
        <v xml:space="preserve"> </v>
      </c>
      <c r="Z954" s="142" t="str">
        <f ca="1">IF(S954=" "," ",X954/(1+'депозитный калькулятор'!$K$8)^(T954/IF('депозитный калькулятор'!$G$7="30/360",360,365)))</f>
        <v xml:space="preserve"> </v>
      </c>
      <c r="AA954" s="151"/>
      <c r="AB954" s="151"/>
      <c r="AC954" s="155"/>
      <c r="AD954" s="155"/>
    </row>
    <row r="955" spans="1:30" s="2" customFormat="1" ht="15.5" x14ac:dyDescent="0.35">
      <c r="A955" s="41" t="str">
        <f>IF(F955=" "," ",IF(OR('депозитный калькулятор'!$G$7="30/365",'депозитный калькулятор'!$G$7="30/360"),IF(AND(MONTH(F955)=2,DAY(F955)=DAY(EOMONTH(F955,0))),30-DAY(EOMONTH(F955,0)),IF(DAY(F955)=31,1," "))," "))</f>
        <v xml:space="preserve"> </v>
      </c>
      <c r="B955" s="130" t="str">
        <f t="shared" si="71"/>
        <v xml:space="preserve"> </v>
      </c>
      <c r="C955" s="130" t="str">
        <f>IF(OR(B955=0,B955=" ")," ",SUM($B$23:B955))</f>
        <v xml:space="preserve"> </v>
      </c>
      <c r="D955" s="62" t="str">
        <f>IF(D954=" "," ",IF(OR(F954='депозитный калькулятор'!$D$8,F954=" ")," ",D954+1))</f>
        <v xml:space="preserve"> </v>
      </c>
      <c r="E955" s="130" t="str">
        <f>IF(OR(F954='депозитный калькулятор'!$D$8,F954=" ")," ",IF(EOMONTH(F954,0)=F954,1,E954+1))</f>
        <v xml:space="preserve"> </v>
      </c>
      <c r="F955" s="64" t="str">
        <f>IF(F954=" "," ",IF(F954='депозитный калькулятор'!$D$8," ",F954+1))</f>
        <v xml:space="preserve"> </v>
      </c>
      <c r="G955" s="145" t="str">
        <f xml:space="preserve"> IF(F955&gt;'депозитный калькулятор'!$D$8," ",IF('депозитный калькулятор'!$G$13="есть",IF('депозитный калькулятор'!$G$14="есть",G954+IF(I954=" ",0,I954)-J955-K955+L955+M955-N955,G954+IF(I954=" ",0,I954)-J955-K955+M955-N955),IF('депозитный калькулятор'!$G$14="есть",G954-J955-K955+L955+M955-N955,G954-J955-K955+M955-N955)))</f>
        <v xml:space="preserve"> </v>
      </c>
      <c r="H955" s="133" t="str">
        <f>IF(F955&gt;'депозитный калькулятор'!$D$8," ",IF(AND(OR('депозитный калькулятор'!$G$7="30/365",'депозитный калькулятор'!$G$7="30/360"),AND(MONTH(F955)=2,EOMONTH(F955,0)=F955)),IF(DAY(F955)=28,3*G955*'депозитный калькулятор'!$G$8,2*G955*'депозитный калькулятор'!$G$8),IF(AND(OR('депозитный калькулятор'!$G$7="30/365",'депозитный калькулятор'!$G$7="30/360"),DAY(F955)=31)," ",IF(AND('депозитный калькулятор'!$G$7="факт/факт",MOD(YEAR(F955),4)=0),G955*'депозитный калькулятор'!$D$11/366,G955*'депозитный калькулятор'!$G$8))))</f>
        <v xml:space="preserve"> </v>
      </c>
      <c r="I955" s="134" t="str">
        <f ca="1">IF(F955=" "," ",IF('депозитный калькулятор'!$G$10="ежедневное",H955,IF(AND('депозитный калькулятор'!$G$10="еженедельное",WEEKDAY(F955,2)=7),SUM(OFFSET(H955,-6,0):H955),IF(AND('депозитный калькулятор'!$G$10="еженедельное",F955='депозитный калькулятор'!$D$8),SUM($H$23:H955)-SUM($I$23:I954),IF(AND('депозитный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недели",WEEKDAY(F955,2)=7),MIN(OFFSET(H955,-6,0):H955)*(COUNTIF(OFFSET(H955,-6,0):H955,"&gt;0")+SUMIF(OFFSET(A955,-WEEKDAY(F955,2),0):A955,"=2",OFFSET(A955,-WEEKDAY(F955,2),0):A955)),IF(AND('депозитный калькулятор'!$G$10="еженедельное, на минимальную сумму зафиксированную в течение недели",F955='депозитный калькулятор'!$D$8,WEEKDAY(F955,2)&lt;&gt;7),MIN(OFFSET(H955,-WEEKDAY(F955,2),0):H955)*(COUNTIF(OFFSET(H955,-WEEKDAY(F955,2)+1,0):H955,"&gt;0")+SUM(OFFSET(A955,-WEEKDAY(F955,2),0):A955)),IF(AND('депозитный калькулятор'!$G$10="ежемесячное (в конце месяца)",F955='депозитный калькулятор'!$D$8,EOMONTH(F955,0)&lt;&gt;F955),IF('депозитный калькулятор'!$F$1=1,$H$24,SUM($H$23:H955)-SUM($I$23:I954)),IF(AND('депозитный калькулятор'!$G$10="ежемесячное (в конце месяца)",EOMONTH(F955,0)=F955),SUM($H$23:H955)-SUM($I$23:I954),IF(AND('депозитный калькулятор'!$G$10="ежемесячное (по дням открытия вклада)",F955='депозитный калькулятор'!$D$8,DAY('депозитный калькулятор'!$D$7)&lt;&gt;DAY(F955)),IF('депозитный калькулятор'!$F$1=1,$H$24,SUM($H$23:H955)-SUM($I$23:I954)),IF(AND('депозитный калькулятор'!$G$10="ежемесячное (по дням открытия вклада)",DAY('депозитный калькулятор'!$D$7)=DAY(F955)),SUM($H$23:H955)-SUM($I$23:I954),IF(AND('депозитный калькулятор'!$G$10="ежемесячное, на минимальную сумму зафиксированную в течение месяца",F955='депозитный калькулятор'!$D$8,EOMONTH(F955,0)&lt;&gt;F955),IF('депозитный калькулятор'!$F$1=1,$H$24,IF(AND(OR('депозитный калькулятор'!$G$7="30/365",'депозитный калькулятор'!$G$7="30/360"),DAY(F955)=31),0,MIN(OFFSET(H955,-E955+1,0):H955)*(E955+SUMIF(OFFSET(A955,-E955+1,0):A955,"=2",OFFSET(A955,-E955+1,0):A955)))),IF(AND('депозитный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калькулятор'!$G$7="30/360"),DAY(EOMONTH(F955,0))=31),EOMONTH(F955,0)-1=F955,EOMONTH(F955,0)=F955)),IF(IF(AND(OR('депозитный калькулятор'!$G$7="30/365",'депозитный калькулятор'!$G$7="30/360"),DAY(EOMONTH($F$23,0))=31),F955=EOMONTH($F$23,0)-1,F955=EOMONTH($F$23,0)),MIN(OFFSET(H955,-(DAY(F955)-DAY($F$23)),0):H955)*E955,MIN(OFFSET(H955,-(DAY(F955)-1),0):H955)*IF(AND(OR('депозитный калькулятор'!$G$7="30/365",'депозитный калькулятор'!$G$7="30/360"),DAY(F955)&lt;30),30,DAY(F955))),IF(AND('депозитный калькулятор'!$G$10="ежемесячное, на средний остаток в течение месяца, при условии что остаток больше чем ограничение",F955='депозитный калькулятор'!$D$8,EOMONTH(F955,0)&lt;&gt;F955),IF('депозитный калькулятор'!$F$1=1,$H$24,SUM(OFFSET(Q955,-E955+1,0):Q955)),IF(AND('депозитный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калькулятор'!$G$7="30/360"),DAY(EOMONTH(F955,0))=31),EOMONTH(F955,0)-1=F955,EOMONTH(F955,0)=F955)),IF(IF(AND(OR('депозитный калькулятор'!$G$7="30/365",'депозитный калькулятор'!$G$7="30/360"),DAY(EOMONTH($F$24,0))=31),F955=EOMONTH($F$24,0)-1,F955=EOMONTH($F$24,0)),SUM(OFFSET(Q955,-E955+1,0):Q955),SUM(OFFSET(Q955,-E955+1,0):Q955)),IF('депозитный калькулятор'!$G$10="ежеквартальное",IF(F955&gt;'депозитный калькулятор'!$D$8," ",IF(AND(EOMONTH(F955,0)=F955,OR(MONTH(F955)=3,MONTH(F955)=6,MONTH(F955)=9,MONTH(F955)=12)),IF(EDATE(F955,-3)&lt;'депозитный калькулятор'!$D$7,SUM($H$23:H955),IF(MOD(YEAR(F955),4)=0,IF(AND(EOMONTH(F955,0)=F955,OR(MONTH(F955)=3,MONTH(F955)=6)),SUM(OFFSET(H955,-90,0):H955),IF(AND(EOMONTH(F955,0)=F955,OR(MONTH(F955)=9,MONTH(F955)=12)),SUM(OFFSET(H955,-91,0):H955))),IF(AND(EOMONTH(F955,0)=F955,MONTH(F955)=3),SUM(OFFSET(H955,-89,0):H955),IF(AND(EOMONTH(F955,0)=F955,MONTH(F955)=6),SUM(OFFSET(H955,-90,0):H955),IF(AND(EOMONTH(F955,0)=F955,OR(MONTH(F955)=9,MONTH(F955)=12)),SUM(OFFSET(H955,-91,0):H955)))))),IF(F955='депозитный калькулятор'!$D$8,SUM($H$23:H955)-SUM($I$23:I954),0))),IF('депозитный калькулятор'!$G$10="ежегодное",IF(F955&gt;'депозитный калькулятор'!$D$8," ",IF(F955='депозитный калькулятор'!$D$8,SUM($H$23:H955)-SUM($I$23:I954),IF(AND(EOMONTH(F955,0)=F955,MONTH(F955)=12),IF(MOD(YEAR(F954),4)=0,IF(F955-'депозитный калькулятор'!$D$7&lt;366,SUM($H$23:H955),SUM(OFFSET(H955,-365,0):H955)),IF(F955-'депозитный калькулятор'!$D$7&lt;365,SUM($H$23:H955),SUM(OFFSET(H955,-364,0):H955))),0))),IF(AND('депозитный калькулятор'!$G$10="в конце срока",'депозитный калькулятор'!$D$8=F955),SUM($H$23:H955),0))))))))))))))))))</f>
        <v xml:space="preserve"> </v>
      </c>
      <c r="J955" s="59" t="str">
        <f>IF(F955&gt;'депозитный калькулятор'!$D$8," ",IF('депозитный калькулятор'!$G$16="нет",0,IF(AND('депозитный калькулятор'!$G$17="разовая (в конце срока)",F955='депозитный калькулятор'!$D$8),'депозитный калькулятор'!$G$18,IF(AND('депозитный калькулятор'!$G$17="ежемесячная",EOMONTH(F954,0)=F954),'депозитный калькулятор'!$G$18,IF(AND('депозитный калькулятор'!$G$17="ежегодная",DAY(F954)=31,MONTH(F954)=12),'депозитный калькулятор'!$G$18,IF(AND('депозитный калькулятор'!$G$17="ежемесячная в зависимости от остатка",EOMONTH(F954,0)=F954,P954&gt;0),'депозитный калькулятор'!$G$18,IF(AND('депозитный калькулятор'!$G$17="ежегодная в зависимости от остатка",DAY(F954)=31,MONTH(F954)=12,P954&gt;0),'депозитный калькулятор'!$G$18,0)))))))</f>
        <v xml:space="preserve"> </v>
      </c>
      <c r="K955" s="135" t="str">
        <f>IF($F955=" "," ",IFERROR(VLOOKUP($F955,'депозитный калькулятор'!$B$26:$F$70,2,0),0))</f>
        <v xml:space="preserve"> </v>
      </c>
      <c r="L955" s="135" t="str">
        <f>IF($F955=" "," ",IFERROR(VLOOKUP($F955,'депозитный калькулятор'!$B$26:$F$70,3,0),0))</f>
        <v xml:space="preserve"> </v>
      </c>
      <c r="M955" s="135" t="str">
        <f>IF($F955=" "," ",IFERROR(VLOOKUP($F955,'депозитный калькулятор'!$B$26:$F$70,4,0),0))</f>
        <v xml:space="preserve"> </v>
      </c>
      <c r="N955" s="135" t="str">
        <f>IF($F955=" "," ",IFERROR(VLOOKUP($F955,'депозитный калькулятор'!$B$26:$F$70,5,0),0))</f>
        <v xml:space="preserve"> </v>
      </c>
      <c r="O955" s="146" t="str">
        <f>IF(F955&gt;'депозитный калькулятор'!$D$8," ",IF(F955='депозитный калькулятор'!$D$8,IF(AND($F$24='депозитный калькулятор'!$D$8,'депозитный калькулятор'!$G$13="нет"),-G955-IF(I955=" ",0,I955)-IF(AND(OR('депозитный калькулятор'!$G$7="30/365",'депозитный калькулятор'!$G$7="30/360"),'депозитный калькулятор'!$G$10="в начале срока"),I954,0)-L955+M955-N955,-G955-IF(I955=" ",0,I955)-L955+M955-N955),IF('депозитный калькулятор'!$G$13="есть",M955-N955+IF('депозитный калькулятор'!$G$14="есть",0,-L955),-IF(I955=" ",0,I955)-IF(AND(OR('депозитный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срока"),I954,0)+M955-N955+IF('депозитный калькулятор'!$G$14="есть",0,-L955))))</f>
        <v xml:space="preserve"> </v>
      </c>
      <c r="P955" s="147" t="str">
        <f>IF(F955&gt;'депозитный калькулятор'!$D$8," ",IF(EOMONTH(F954,0)=F954,0,IF(G955&gt;='депозитный калькулятор'!$G$19,P954,P954+1)))</f>
        <v xml:space="preserve"> </v>
      </c>
      <c r="Q955" s="138" t="str">
        <f>IF(F955=" "," ",IF(AND(OR('депозитный калькулятор'!$G$7="30/365",'депозитный калькулятор'!$G$7="30/360"),AND(MONTH(F955)=2,EOMONTH(F955,0)=F955)),IF(DAY(F955)=28,3,2),1)*IF(G955&gt;='депозитный калькулятор'!$G$11,IF(AND('депозитный калькулятор'!$G$7="факт/факт",MOD(YEAR(F955),4)=0),G955*'депозитный калькулятор'!$D$11/366,G955*'депозитный калькулятор'!$G$8),0))</f>
        <v xml:space="preserve"> </v>
      </c>
      <c r="S955" s="62" t="str">
        <f t="shared" ca="1" si="72"/>
        <v xml:space="preserve"> </v>
      </c>
      <c r="T955" s="149" t="str">
        <f ca="1">IF(S955=" "," ",IF('депозитный калькулятор'!$G$7="30/360",DAYS360(U954,IF(DAY(U955)=31,U955-1,U955))+IF(AND(MONTH(U955)=2,U955=EOMONTH(U955,0)),30-DAY(EOMONTH(U955,0)))+T954,VLOOKUP(S955,$C$22:$F$1023,2,0)))</f>
        <v xml:space="preserve"> </v>
      </c>
      <c r="U955" s="64" t="str">
        <f t="shared" ca="1" si="70"/>
        <v xml:space="preserve"> </v>
      </c>
      <c r="V955" s="150" t="str">
        <f t="shared" ca="1" si="73"/>
        <v xml:space="preserve"> </v>
      </c>
      <c r="W955" s="62" t="str">
        <f t="shared" ca="1" si="74"/>
        <v xml:space="preserve"> </v>
      </c>
      <c r="X955" s="141" t="str">
        <f ca="1">IF(S955=" "," ",IFERROR(VLOOKUP(U955,$F$23:$N$1023,7)+VLOOKUP(U955,$F$23:$N$1023,9)+IF(AND('депозитный калькулятор'!$G$13="нет",U955&lt;&gt;'депозитный калькулятор'!$D$8),VLOOKUP(U955,$F$23:$N$1023,4),0),0)+IF(U955='депозитный калькулятор'!$D$8,VLOOKUP(U955,$F$23:$N$1023,2)+VLOOKUP(U955,$F$23:$N$1023,4),0))</f>
        <v xml:space="preserve"> </v>
      </c>
      <c r="Y955" s="142" t="str">
        <f ca="1">IF(S955=" "," ",W955/(1+'депозитный калькулятор'!$K$8)^(T955/IF('депозитный калькулятор'!$G$7="30/360",360,365)))</f>
        <v xml:space="preserve"> </v>
      </c>
      <c r="Z955" s="142" t="str">
        <f ca="1">IF(S955=" "," ",X955/(1+'депозитный калькулятор'!$K$8)^(T955/IF('депозитный калькулятор'!$G$7="30/360",360,365)))</f>
        <v xml:space="preserve"> </v>
      </c>
      <c r="AA955" s="151"/>
      <c r="AB955" s="151"/>
      <c r="AC955" s="155"/>
      <c r="AD955" s="155"/>
    </row>
    <row r="956" spans="1:30" s="2" customFormat="1" ht="15.5" x14ac:dyDescent="0.35">
      <c r="A956" s="41" t="str">
        <f>IF(F956=" "," ",IF(OR('депозитный калькулятор'!$G$7="30/365",'депозитный калькулятор'!$G$7="30/360"),IF(AND(MONTH(F956)=2,DAY(F956)=DAY(EOMONTH(F956,0))),30-DAY(EOMONTH(F956,0)),IF(DAY(F956)=31,1," "))," "))</f>
        <v xml:space="preserve"> </v>
      </c>
      <c r="B956" s="130" t="str">
        <f t="shared" si="71"/>
        <v xml:space="preserve"> </v>
      </c>
      <c r="C956" s="130" t="str">
        <f>IF(OR(B956=0,B956=" ")," ",SUM($B$23:B956))</f>
        <v xml:space="preserve"> </v>
      </c>
      <c r="D956" s="62" t="str">
        <f>IF(D955=" "," ",IF(OR(F955='депозитный калькулятор'!$D$8,F955=" ")," ",D955+1))</f>
        <v xml:space="preserve"> </v>
      </c>
      <c r="E956" s="130" t="str">
        <f>IF(OR(F955='депозитный калькулятор'!$D$8,F955=" ")," ",IF(EOMONTH(F955,0)=F955,1,E955+1))</f>
        <v xml:space="preserve"> </v>
      </c>
      <c r="F956" s="64" t="str">
        <f>IF(F955=" "," ",IF(F955='депозитный калькулятор'!$D$8," ",F955+1))</f>
        <v xml:space="preserve"> </v>
      </c>
      <c r="G956" s="145" t="str">
        <f xml:space="preserve"> IF(F956&gt;'депозитный калькулятор'!$D$8," ",IF('депозитный калькулятор'!$G$13="есть",IF('депозитный калькулятор'!$G$14="есть",G955+IF(I955=" ",0,I955)-J956-K956+L956+M956-N956,G955+IF(I955=" ",0,I955)-J956-K956+M956-N956),IF('депозитный калькулятор'!$G$14="есть",G955-J956-K956+L956+M956-N956,G955-J956-K956+M956-N956)))</f>
        <v xml:space="preserve"> </v>
      </c>
      <c r="H956" s="133" t="str">
        <f>IF(F956&gt;'депозитный калькулятор'!$D$8," ",IF(AND(OR('депозитный калькулятор'!$G$7="30/365",'депозитный калькулятор'!$G$7="30/360"),AND(MONTH(F956)=2,EOMONTH(F956,0)=F956)),IF(DAY(F956)=28,3*G956*'депозитный калькулятор'!$G$8,2*G956*'депозитный калькулятор'!$G$8),IF(AND(OR('депозитный калькулятор'!$G$7="30/365",'депозитный калькулятор'!$G$7="30/360"),DAY(F956)=31)," ",IF(AND('депозитный калькулятор'!$G$7="факт/факт",MOD(YEAR(F956),4)=0),G956*'депозитный калькулятор'!$D$11/366,G956*'депозитный калькулятор'!$G$8))))</f>
        <v xml:space="preserve"> </v>
      </c>
      <c r="I956" s="134" t="str">
        <f ca="1">IF(F956=" "," ",IF('депозитный калькулятор'!$G$10="ежедневное",H956,IF(AND('депозитный калькулятор'!$G$10="еженедельное",WEEKDAY(F956,2)=7),SUM(OFFSET(H956,-6,0):H956),IF(AND('депозитный калькулятор'!$G$10="еженедельное",F956='депозитный калькулятор'!$D$8),SUM($H$23:H956)-SUM($I$23:I955),IF(AND('депозитный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недели",WEEKDAY(F956,2)=7),MIN(OFFSET(H956,-6,0):H956)*(COUNTIF(OFFSET(H956,-6,0):H956,"&gt;0")+SUMIF(OFFSET(A956,-WEEKDAY(F956,2),0):A956,"=2",OFFSET(A956,-WEEKDAY(F956,2),0):A956)),IF(AND('депозитный калькулятор'!$G$10="еженедельное, на минимальную сумму зафиксированную в течение недели",F956='депозитный калькулятор'!$D$8,WEEKDAY(F956,2)&lt;&gt;7),MIN(OFFSET(H956,-WEEKDAY(F956,2),0):H956)*(COUNTIF(OFFSET(H956,-WEEKDAY(F956,2)+1,0):H956,"&gt;0")+SUM(OFFSET(A956,-WEEKDAY(F956,2),0):A956)),IF(AND('депозитный калькулятор'!$G$10="ежемесячное (в конце месяца)",F956='депозитный калькулятор'!$D$8,EOMONTH(F956,0)&lt;&gt;F956),IF('депозитный калькулятор'!$F$1=1,$H$24,SUM($H$23:H956)-SUM($I$23:I955)),IF(AND('депозитный калькулятор'!$G$10="ежемесячное (в конце месяца)",EOMONTH(F956,0)=F956),SUM($H$23:H956)-SUM($I$23:I955),IF(AND('депозитный калькулятор'!$G$10="ежемесячное (по дням открытия вклада)",F956='депозитный калькулятор'!$D$8,DAY('депозитный калькулятор'!$D$7)&lt;&gt;DAY(F956)),IF('депозитный калькулятор'!$F$1=1,$H$24,SUM($H$23:H956)-SUM($I$23:I955)),IF(AND('депозитный калькулятор'!$G$10="ежемесячное (по дням открытия вклада)",DAY('депозитный калькулятор'!$D$7)=DAY(F956)),SUM($H$23:H956)-SUM($I$23:I955),IF(AND('депозитный калькулятор'!$G$10="ежемесячное, на минимальную сумму зафиксированную в течение месяца",F956='депозитный калькулятор'!$D$8,EOMONTH(F956,0)&lt;&gt;F956),IF('депозитный калькулятор'!$F$1=1,$H$24,IF(AND(OR('депозитный калькулятор'!$G$7="30/365",'депозитный калькулятор'!$G$7="30/360"),DAY(F956)=31),0,MIN(OFFSET(H956,-E956+1,0):H956)*(E956+SUMIF(OFFSET(A956,-E956+1,0):A956,"=2",OFFSET(A956,-E956+1,0):A956)))),IF(AND('депозитный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калькулятор'!$G$7="30/360"),DAY(EOMONTH(F956,0))=31),EOMONTH(F956,0)-1=F956,EOMONTH(F956,0)=F956)),IF(IF(AND(OR('депозитный калькулятор'!$G$7="30/365",'депозитный калькулятор'!$G$7="30/360"),DAY(EOMONTH($F$23,0))=31),F956=EOMONTH($F$23,0)-1,F956=EOMONTH($F$23,0)),MIN(OFFSET(H956,-(DAY(F956)-DAY($F$23)),0):H956)*E956,MIN(OFFSET(H956,-(DAY(F956)-1),0):H956)*IF(AND(OR('депозитный калькулятор'!$G$7="30/365",'депозитный калькулятор'!$G$7="30/360"),DAY(F956)&lt;30),30,DAY(F956))),IF(AND('депозитный калькулятор'!$G$10="ежемесячное, на средний остаток в течение месяца, при условии что остаток больше чем ограничение",F956='депозитный калькулятор'!$D$8,EOMONTH(F956,0)&lt;&gt;F956),IF('депозитный калькулятор'!$F$1=1,$H$24,SUM(OFFSET(Q956,-E956+1,0):Q956)),IF(AND('депозитный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калькулятор'!$G$7="30/360"),DAY(EOMONTH(F956,0))=31),EOMONTH(F956,0)-1=F956,EOMONTH(F956,0)=F956)),IF(IF(AND(OR('депозитный калькулятор'!$G$7="30/365",'депозитный калькулятор'!$G$7="30/360"),DAY(EOMONTH($F$24,0))=31),F956=EOMONTH($F$24,0)-1,F956=EOMONTH($F$24,0)),SUM(OFFSET(Q956,-E956+1,0):Q956),SUM(OFFSET(Q956,-E956+1,0):Q956)),IF('депозитный калькулятор'!$G$10="ежеквартальное",IF(F956&gt;'депозитный калькулятор'!$D$8," ",IF(AND(EOMONTH(F956,0)=F956,OR(MONTH(F956)=3,MONTH(F956)=6,MONTH(F956)=9,MONTH(F956)=12)),IF(EDATE(F956,-3)&lt;'депозитный калькулятор'!$D$7,SUM($H$23:H956),IF(MOD(YEAR(F956),4)=0,IF(AND(EOMONTH(F956,0)=F956,OR(MONTH(F956)=3,MONTH(F956)=6)),SUM(OFFSET(H956,-90,0):H956),IF(AND(EOMONTH(F956,0)=F956,OR(MONTH(F956)=9,MONTH(F956)=12)),SUM(OFFSET(H956,-91,0):H956))),IF(AND(EOMONTH(F956,0)=F956,MONTH(F956)=3),SUM(OFFSET(H956,-89,0):H956),IF(AND(EOMONTH(F956,0)=F956,MONTH(F956)=6),SUM(OFFSET(H956,-90,0):H956),IF(AND(EOMONTH(F956,0)=F956,OR(MONTH(F956)=9,MONTH(F956)=12)),SUM(OFFSET(H956,-91,0):H956)))))),IF(F956='депозитный калькулятор'!$D$8,SUM($H$23:H956)-SUM($I$23:I955),0))),IF('депозитный калькулятор'!$G$10="ежегодное",IF(F956&gt;'депозитный калькулятор'!$D$8," ",IF(F956='депозитный калькулятор'!$D$8,SUM($H$23:H956)-SUM($I$23:I955),IF(AND(EOMONTH(F956,0)=F956,MONTH(F956)=12),IF(MOD(YEAR(F955),4)=0,IF(F956-'депозитный калькулятор'!$D$7&lt;366,SUM($H$23:H956),SUM(OFFSET(H956,-365,0):H956)),IF(F956-'депозитный калькулятор'!$D$7&lt;365,SUM($H$23:H956),SUM(OFFSET(H956,-364,0):H956))),0))),IF(AND('депозитный калькулятор'!$G$10="в конце срока",'депозитный калькулятор'!$D$8=F956),SUM($H$23:H956),0))))))))))))))))))</f>
        <v xml:space="preserve"> </v>
      </c>
      <c r="J956" s="59" t="str">
        <f>IF(F956&gt;'депозитный калькулятор'!$D$8," ",IF('депозитный калькулятор'!$G$16="нет",0,IF(AND('депозитный калькулятор'!$G$17="разовая (в конце срока)",F956='депозитный калькулятор'!$D$8),'депозитный калькулятор'!$G$18,IF(AND('депозитный калькулятор'!$G$17="ежемесячная",EOMONTH(F955,0)=F955),'депозитный калькулятор'!$G$18,IF(AND('депозитный калькулятор'!$G$17="ежегодная",DAY(F955)=31,MONTH(F955)=12),'депозитный калькулятор'!$G$18,IF(AND('депозитный калькулятор'!$G$17="ежемесячная в зависимости от остатка",EOMONTH(F955,0)=F955,P955&gt;0),'депозитный калькулятор'!$G$18,IF(AND('депозитный калькулятор'!$G$17="ежегодная в зависимости от остатка",DAY(F955)=31,MONTH(F955)=12,P955&gt;0),'депозитный калькулятор'!$G$18,0)))))))</f>
        <v xml:space="preserve"> </v>
      </c>
      <c r="K956" s="135" t="str">
        <f>IF($F956=" "," ",IFERROR(VLOOKUP($F956,'депозитный калькулятор'!$B$26:$F$70,2,0),0))</f>
        <v xml:space="preserve"> </v>
      </c>
      <c r="L956" s="135" t="str">
        <f>IF($F956=" "," ",IFERROR(VLOOKUP($F956,'депозитный калькулятор'!$B$26:$F$70,3,0),0))</f>
        <v xml:space="preserve"> </v>
      </c>
      <c r="M956" s="135" t="str">
        <f>IF($F956=" "," ",IFERROR(VLOOKUP($F956,'депозитный калькулятор'!$B$26:$F$70,4,0),0))</f>
        <v xml:space="preserve"> </v>
      </c>
      <c r="N956" s="135" t="str">
        <f>IF($F956=" "," ",IFERROR(VLOOKUP($F956,'депозитный калькулятор'!$B$26:$F$70,5,0),0))</f>
        <v xml:space="preserve"> </v>
      </c>
      <c r="O956" s="146" t="str">
        <f>IF(F956&gt;'депозитный калькулятор'!$D$8," ",IF(F956='депозитный калькулятор'!$D$8,IF(AND($F$24='депозитный калькулятор'!$D$8,'депозитный калькулятор'!$G$13="нет"),-G956-IF(I956=" ",0,I956)-IF(AND(OR('депозитный калькулятор'!$G$7="30/365",'депозитный калькулятор'!$G$7="30/360"),'депозитный калькулятор'!$G$10="в начале срока"),I955,0)-L956+M956-N956,-G956-IF(I956=" ",0,I956)-L956+M956-N956),IF('депозитный калькулятор'!$G$13="есть",M956-N956+IF('депозитный калькулятор'!$G$14="есть",0,-L956),-IF(I956=" ",0,I956)-IF(AND(OR('депозитный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срока"),I955,0)+M956-N956+IF('депозитный калькулятор'!$G$14="есть",0,-L956))))</f>
        <v xml:space="preserve"> </v>
      </c>
      <c r="P956" s="147" t="str">
        <f>IF(F956&gt;'депозитный калькулятор'!$D$8," ",IF(EOMONTH(F955,0)=F955,0,IF(G956&gt;='депозитный калькулятор'!$G$19,P955,P955+1)))</f>
        <v xml:space="preserve"> </v>
      </c>
      <c r="Q956" s="138" t="str">
        <f>IF(F956=" "," ",IF(AND(OR('депозитный калькулятор'!$G$7="30/365",'депозитный калькулятор'!$G$7="30/360"),AND(MONTH(F956)=2,EOMONTH(F956,0)=F956)),IF(DAY(F956)=28,3,2),1)*IF(G956&gt;='депозитный калькулятор'!$G$11,IF(AND('депозитный калькулятор'!$G$7="факт/факт",MOD(YEAR(F956),4)=0),G956*'депозитный калькулятор'!$D$11/366,G956*'депозитный калькулятор'!$G$8),0))</f>
        <v xml:space="preserve"> </v>
      </c>
      <c r="S956" s="62" t="str">
        <f t="shared" ca="1" si="72"/>
        <v xml:space="preserve"> </v>
      </c>
      <c r="T956" s="149" t="str">
        <f ca="1">IF(S956=" "," ",IF('депозитный калькулятор'!$G$7="30/360",DAYS360(U955,IF(DAY(U956)=31,U956-1,U956))+IF(AND(MONTH(U956)=2,U956=EOMONTH(U956,0)),30-DAY(EOMONTH(U956,0)))+T955,VLOOKUP(S956,$C$22:$F$1023,2,0)))</f>
        <v xml:space="preserve"> </v>
      </c>
      <c r="U956" s="64" t="str">
        <f t="shared" ca="1" si="70"/>
        <v xml:space="preserve"> </v>
      </c>
      <c r="V956" s="150" t="str">
        <f t="shared" ca="1" si="73"/>
        <v xml:space="preserve"> </v>
      </c>
      <c r="W956" s="62" t="str">
        <f t="shared" ca="1" si="74"/>
        <v xml:space="preserve"> </v>
      </c>
      <c r="X956" s="141" t="str">
        <f ca="1">IF(S956=" "," ",IFERROR(VLOOKUP(U956,$F$23:$N$1023,7)+VLOOKUP(U956,$F$23:$N$1023,9)+IF(AND('депозитный калькулятор'!$G$13="нет",U956&lt;&gt;'депозитный калькулятор'!$D$8),VLOOKUP(U956,$F$23:$N$1023,4),0),0)+IF(U956='депозитный калькулятор'!$D$8,VLOOKUP(U956,$F$23:$N$1023,2)+VLOOKUP(U956,$F$23:$N$1023,4),0))</f>
        <v xml:space="preserve"> </v>
      </c>
      <c r="Y956" s="142" t="str">
        <f ca="1">IF(S956=" "," ",W956/(1+'депозитный калькулятор'!$K$8)^(T956/IF('депозитный калькулятор'!$G$7="30/360",360,365)))</f>
        <v xml:space="preserve"> </v>
      </c>
      <c r="Z956" s="142" t="str">
        <f ca="1">IF(S956=" "," ",X956/(1+'депозитный калькулятор'!$K$8)^(T956/IF('депозитный калькулятор'!$G$7="30/360",360,365)))</f>
        <v xml:space="preserve"> </v>
      </c>
      <c r="AA956" s="151"/>
      <c r="AB956" s="151"/>
      <c r="AC956" s="155"/>
      <c r="AD956" s="155"/>
    </row>
    <row r="957" spans="1:30" s="2" customFormat="1" ht="15.5" x14ac:dyDescent="0.35">
      <c r="A957" s="41" t="str">
        <f>IF(F957=" "," ",IF(OR('депозитный калькулятор'!$G$7="30/365",'депозитный калькулятор'!$G$7="30/360"),IF(AND(MONTH(F957)=2,DAY(F957)=DAY(EOMONTH(F957,0))),30-DAY(EOMONTH(F957,0)),IF(DAY(F957)=31,1," "))," "))</f>
        <v xml:space="preserve"> </v>
      </c>
      <c r="B957" s="130" t="str">
        <f t="shared" si="71"/>
        <v xml:space="preserve"> </v>
      </c>
      <c r="C957" s="130" t="str">
        <f>IF(OR(B957=0,B957=" ")," ",SUM($B$23:B957))</f>
        <v xml:space="preserve"> </v>
      </c>
      <c r="D957" s="62" t="str">
        <f>IF(D956=" "," ",IF(OR(F956='депозитный калькулятор'!$D$8,F956=" ")," ",D956+1))</f>
        <v xml:space="preserve"> </v>
      </c>
      <c r="E957" s="130" t="str">
        <f>IF(OR(F956='депозитный калькулятор'!$D$8,F956=" ")," ",IF(EOMONTH(F956,0)=F956,1,E956+1))</f>
        <v xml:space="preserve"> </v>
      </c>
      <c r="F957" s="64" t="str">
        <f>IF(F956=" "," ",IF(F956='депозитный калькулятор'!$D$8," ",F956+1))</f>
        <v xml:space="preserve"> </v>
      </c>
      <c r="G957" s="145" t="str">
        <f xml:space="preserve"> IF(F957&gt;'депозитный калькулятор'!$D$8," ",IF('депозитный калькулятор'!$G$13="есть",IF('депозитный калькулятор'!$G$14="есть",G956+IF(I956=" ",0,I956)-J957-K957+L957+M957-N957,G956+IF(I956=" ",0,I956)-J957-K957+M957-N957),IF('депозитный калькулятор'!$G$14="есть",G956-J957-K957+L957+M957-N957,G956-J957-K957+M957-N957)))</f>
        <v xml:space="preserve"> </v>
      </c>
      <c r="H957" s="133" t="str">
        <f>IF(F957&gt;'депозитный калькулятор'!$D$8," ",IF(AND(OR('депозитный калькулятор'!$G$7="30/365",'депозитный калькулятор'!$G$7="30/360"),AND(MONTH(F957)=2,EOMONTH(F957,0)=F957)),IF(DAY(F957)=28,3*G957*'депозитный калькулятор'!$G$8,2*G957*'депозитный калькулятор'!$G$8),IF(AND(OR('депозитный калькулятор'!$G$7="30/365",'депозитный калькулятор'!$G$7="30/360"),DAY(F957)=31)," ",IF(AND('депозитный калькулятор'!$G$7="факт/факт",MOD(YEAR(F957),4)=0),G957*'депозитный калькулятор'!$D$11/366,G957*'депозитный калькулятор'!$G$8))))</f>
        <v xml:space="preserve"> </v>
      </c>
      <c r="I957" s="134" t="str">
        <f ca="1">IF(F957=" "," ",IF('депозитный калькулятор'!$G$10="ежедневное",H957,IF(AND('депозитный калькулятор'!$G$10="еженедельное",WEEKDAY(F957,2)=7),SUM(OFFSET(H957,-6,0):H957),IF(AND('депозитный калькулятор'!$G$10="еженедельное",F957='депозитный калькулятор'!$D$8),SUM($H$23:H957)-SUM($I$23:I956),IF(AND('депозитный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недели",WEEKDAY(F957,2)=7),MIN(OFFSET(H957,-6,0):H957)*(COUNTIF(OFFSET(H957,-6,0):H957,"&gt;0")+SUMIF(OFFSET(A957,-WEEKDAY(F957,2),0):A957,"=2",OFFSET(A957,-WEEKDAY(F957,2),0):A957)),IF(AND('депозитный калькулятор'!$G$10="еженедельное, на минимальную сумму зафиксированную в течение недели",F957='депозитный калькулятор'!$D$8,WEEKDAY(F957,2)&lt;&gt;7),MIN(OFFSET(H957,-WEEKDAY(F957,2),0):H957)*(COUNTIF(OFFSET(H957,-WEEKDAY(F957,2)+1,0):H957,"&gt;0")+SUM(OFFSET(A957,-WEEKDAY(F957,2),0):A957)),IF(AND('депозитный калькулятор'!$G$10="ежемесячное (в конце месяца)",F957='депозитный калькулятор'!$D$8,EOMONTH(F957,0)&lt;&gt;F957),IF('депозитный калькулятор'!$F$1=1,$H$24,SUM($H$23:H957)-SUM($I$23:I956)),IF(AND('депозитный калькулятор'!$G$10="ежемесячное (в конце месяца)",EOMONTH(F957,0)=F957),SUM($H$23:H957)-SUM($I$23:I956),IF(AND('депозитный калькулятор'!$G$10="ежемесячное (по дням открытия вклада)",F957='депозитный калькулятор'!$D$8,DAY('депозитный калькулятор'!$D$7)&lt;&gt;DAY(F957)),IF('депозитный калькулятор'!$F$1=1,$H$24,SUM($H$23:H957)-SUM($I$23:I956)),IF(AND('депозитный калькулятор'!$G$10="ежемесячное (по дням открытия вклада)",DAY('депозитный калькулятор'!$D$7)=DAY(F957)),SUM($H$23:H957)-SUM($I$23:I956),IF(AND('депозитный калькулятор'!$G$10="ежемесячное, на минимальную сумму зафиксированную в течение месяца",F957='депозитный калькулятор'!$D$8,EOMONTH(F957,0)&lt;&gt;F957),IF('депозитный калькулятор'!$F$1=1,$H$24,IF(AND(OR('депозитный калькулятор'!$G$7="30/365",'депозитный калькулятор'!$G$7="30/360"),DAY(F957)=31),0,MIN(OFFSET(H957,-E957+1,0):H957)*(E957+SUMIF(OFFSET(A957,-E957+1,0):A957,"=2",OFFSET(A957,-E957+1,0):A957)))),IF(AND('депозитный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калькулятор'!$G$7="30/360"),DAY(EOMONTH(F957,0))=31),EOMONTH(F957,0)-1=F957,EOMONTH(F957,0)=F957)),IF(IF(AND(OR('депозитный калькулятор'!$G$7="30/365",'депозитный калькулятор'!$G$7="30/360"),DAY(EOMONTH($F$23,0))=31),F957=EOMONTH($F$23,0)-1,F957=EOMONTH($F$23,0)),MIN(OFFSET(H957,-(DAY(F957)-DAY($F$23)),0):H957)*E957,MIN(OFFSET(H957,-(DAY(F957)-1),0):H957)*IF(AND(OR('депозитный калькулятор'!$G$7="30/365",'депозитный калькулятор'!$G$7="30/360"),DAY(F957)&lt;30),30,DAY(F957))),IF(AND('депозитный калькулятор'!$G$10="ежемесячное, на средний остаток в течение месяца, при условии что остаток больше чем ограничение",F957='депозитный калькулятор'!$D$8,EOMONTH(F957,0)&lt;&gt;F957),IF('депозитный калькулятор'!$F$1=1,$H$24,SUM(OFFSET(Q957,-E957+1,0):Q957)),IF(AND('депозитный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калькулятор'!$G$7="30/360"),DAY(EOMONTH(F957,0))=31),EOMONTH(F957,0)-1=F957,EOMONTH(F957,0)=F957)),IF(IF(AND(OR('депозитный калькулятор'!$G$7="30/365",'депозитный калькулятор'!$G$7="30/360"),DAY(EOMONTH($F$24,0))=31),F957=EOMONTH($F$24,0)-1,F957=EOMONTH($F$24,0)),SUM(OFFSET(Q957,-E957+1,0):Q957),SUM(OFFSET(Q957,-E957+1,0):Q957)),IF('депозитный калькулятор'!$G$10="ежеквартальное",IF(F957&gt;'депозитный калькулятор'!$D$8," ",IF(AND(EOMONTH(F957,0)=F957,OR(MONTH(F957)=3,MONTH(F957)=6,MONTH(F957)=9,MONTH(F957)=12)),IF(EDATE(F957,-3)&lt;'депозитный калькулятор'!$D$7,SUM($H$23:H957),IF(MOD(YEAR(F957),4)=0,IF(AND(EOMONTH(F957,0)=F957,OR(MONTH(F957)=3,MONTH(F957)=6)),SUM(OFFSET(H957,-90,0):H957),IF(AND(EOMONTH(F957,0)=F957,OR(MONTH(F957)=9,MONTH(F957)=12)),SUM(OFFSET(H957,-91,0):H957))),IF(AND(EOMONTH(F957,0)=F957,MONTH(F957)=3),SUM(OFFSET(H957,-89,0):H957),IF(AND(EOMONTH(F957,0)=F957,MONTH(F957)=6),SUM(OFFSET(H957,-90,0):H957),IF(AND(EOMONTH(F957,0)=F957,OR(MONTH(F957)=9,MONTH(F957)=12)),SUM(OFFSET(H957,-91,0):H957)))))),IF(F957='депозитный калькулятор'!$D$8,SUM($H$23:H957)-SUM($I$23:I956),0))),IF('депозитный калькулятор'!$G$10="ежегодное",IF(F957&gt;'депозитный калькулятор'!$D$8," ",IF(F957='депозитный калькулятор'!$D$8,SUM($H$23:H957)-SUM($I$23:I956),IF(AND(EOMONTH(F957,0)=F957,MONTH(F957)=12),IF(MOD(YEAR(F956),4)=0,IF(F957-'депозитный калькулятор'!$D$7&lt;366,SUM($H$23:H957),SUM(OFFSET(H957,-365,0):H957)),IF(F957-'депозитный калькулятор'!$D$7&lt;365,SUM($H$23:H957),SUM(OFFSET(H957,-364,0):H957))),0))),IF(AND('депозитный калькулятор'!$G$10="в конце срока",'депозитный калькулятор'!$D$8=F957),SUM($H$23:H957),0))))))))))))))))))</f>
        <v xml:space="preserve"> </v>
      </c>
      <c r="J957" s="59" t="str">
        <f>IF(F957&gt;'депозитный калькулятор'!$D$8," ",IF('депозитный калькулятор'!$G$16="нет",0,IF(AND('депозитный калькулятор'!$G$17="разовая (в конце срока)",F957='депозитный калькулятор'!$D$8),'депозитный калькулятор'!$G$18,IF(AND('депозитный калькулятор'!$G$17="ежемесячная",EOMONTH(F956,0)=F956),'депозитный калькулятор'!$G$18,IF(AND('депозитный калькулятор'!$G$17="ежегодная",DAY(F956)=31,MONTH(F956)=12),'депозитный калькулятор'!$G$18,IF(AND('депозитный калькулятор'!$G$17="ежемесячная в зависимости от остатка",EOMONTH(F956,0)=F956,P956&gt;0),'депозитный калькулятор'!$G$18,IF(AND('депозитный калькулятор'!$G$17="ежегодная в зависимости от остатка",DAY(F956)=31,MONTH(F956)=12,P956&gt;0),'депозитный калькулятор'!$G$18,0)))))))</f>
        <v xml:space="preserve"> </v>
      </c>
      <c r="K957" s="135" t="str">
        <f>IF($F957=" "," ",IFERROR(VLOOKUP($F957,'депозитный калькулятор'!$B$26:$F$70,2,0),0))</f>
        <v xml:space="preserve"> </v>
      </c>
      <c r="L957" s="135" t="str">
        <f>IF($F957=" "," ",IFERROR(VLOOKUP($F957,'депозитный калькулятор'!$B$26:$F$70,3,0),0))</f>
        <v xml:space="preserve"> </v>
      </c>
      <c r="M957" s="135" t="str">
        <f>IF($F957=" "," ",IFERROR(VLOOKUP($F957,'депозитный калькулятор'!$B$26:$F$70,4,0),0))</f>
        <v xml:space="preserve"> </v>
      </c>
      <c r="N957" s="135" t="str">
        <f>IF($F957=" "," ",IFERROR(VLOOKUP($F957,'депозитный калькулятор'!$B$26:$F$70,5,0),0))</f>
        <v xml:space="preserve"> </v>
      </c>
      <c r="O957" s="146" t="str">
        <f>IF(F957&gt;'депозитный калькулятор'!$D$8," ",IF(F957='депозитный калькулятор'!$D$8,IF(AND($F$24='депозитный калькулятор'!$D$8,'депозитный калькулятор'!$G$13="нет"),-G957-IF(I957=" ",0,I957)-IF(AND(OR('депозитный калькулятор'!$G$7="30/365",'депозитный калькулятор'!$G$7="30/360"),'депозитный калькулятор'!$G$10="в начале срока"),I956,0)-L957+M957-N957,-G957-IF(I957=" ",0,I957)-L957+M957-N957),IF('депозитный калькулятор'!$G$13="есть",M957-N957+IF('депозитный калькулятор'!$G$14="есть",0,-L957),-IF(I957=" ",0,I957)-IF(AND(OR('депозитный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срока"),I956,0)+M957-N957+IF('депозитный калькулятор'!$G$14="есть",0,-L957))))</f>
        <v xml:space="preserve"> </v>
      </c>
      <c r="P957" s="147" t="str">
        <f>IF(F957&gt;'депозитный калькулятор'!$D$8," ",IF(EOMONTH(F956,0)=F956,0,IF(G957&gt;='депозитный калькулятор'!$G$19,P956,P956+1)))</f>
        <v xml:space="preserve"> </v>
      </c>
      <c r="Q957" s="138" t="str">
        <f>IF(F957=" "," ",IF(AND(OR('депозитный калькулятор'!$G$7="30/365",'депозитный калькулятор'!$G$7="30/360"),AND(MONTH(F957)=2,EOMONTH(F957,0)=F957)),IF(DAY(F957)=28,3,2),1)*IF(G957&gt;='депозитный калькулятор'!$G$11,IF(AND('депозитный калькулятор'!$G$7="факт/факт",MOD(YEAR(F957),4)=0),G957*'депозитный калькулятор'!$D$11/366,G957*'депозитный калькулятор'!$G$8),0))</f>
        <v xml:space="preserve"> </v>
      </c>
      <c r="S957" s="62" t="str">
        <f t="shared" ca="1" si="72"/>
        <v xml:space="preserve"> </v>
      </c>
      <c r="T957" s="149" t="str">
        <f ca="1">IF(S957=" "," ",IF('депозитный калькулятор'!$G$7="30/360",DAYS360(U956,IF(DAY(U957)=31,U957-1,U957))+IF(AND(MONTH(U957)=2,U957=EOMONTH(U957,0)),30-DAY(EOMONTH(U957,0)))+T956,VLOOKUP(S957,$C$22:$F$1023,2,0)))</f>
        <v xml:space="preserve"> </v>
      </c>
      <c r="U957" s="64" t="str">
        <f t="shared" ca="1" si="70"/>
        <v xml:space="preserve"> </v>
      </c>
      <c r="V957" s="150" t="str">
        <f t="shared" ca="1" si="73"/>
        <v xml:space="preserve"> </v>
      </c>
      <c r="W957" s="62" t="str">
        <f t="shared" ca="1" si="74"/>
        <v xml:space="preserve"> </v>
      </c>
      <c r="X957" s="141" t="str">
        <f ca="1">IF(S957=" "," ",IFERROR(VLOOKUP(U957,$F$23:$N$1023,7)+VLOOKUP(U957,$F$23:$N$1023,9)+IF(AND('депозитный калькулятор'!$G$13="нет",U957&lt;&gt;'депозитный калькулятор'!$D$8),VLOOKUP(U957,$F$23:$N$1023,4),0),0)+IF(U957='депозитный калькулятор'!$D$8,VLOOKUP(U957,$F$23:$N$1023,2)+VLOOKUP(U957,$F$23:$N$1023,4),0))</f>
        <v xml:space="preserve"> </v>
      </c>
      <c r="Y957" s="142" t="str">
        <f ca="1">IF(S957=" "," ",W957/(1+'депозитный калькулятор'!$K$8)^(T957/IF('депозитный калькулятор'!$G$7="30/360",360,365)))</f>
        <v xml:space="preserve"> </v>
      </c>
      <c r="Z957" s="142" t="str">
        <f ca="1">IF(S957=" "," ",X957/(1+'депозитный калькулятор'!$K$8)^(T957/IF('депозитный калькулятор'!$G$7="30/360",360,365)))</f>
        <v xml:space="preserve"> </v>
      </c>
      <c r="AA957" s="151"/>
      <c r="AB957" s="151"/>
      <c r="AC957" s="155"/>
      <c r="AD957" s="155"/>
    </row>
    <row r="958" spans="1:30" s="2" customFormat="1" ht="15.5" x14ac:dyDescent="0.35">
      <c r="A958" s="41" t="str">
        <f>IF(F958=" "," ",IF(OR('депозитный калькулятор'!$G$7="30/365",'депозитный калькулятор'!$G$7="30/360"),IF(AND(MONTH(F958)=2,DAY(F958)=DAY(EOMONTH(F958,0))),30-DAY(EOMONTH(F958,0)),IF(DAY(F958)=31,1," "))," "))</f>
        <v xml:space="preserve"> </v>
      </c>
      <c r="B958" s="130" t="str">
        <f t="shared" si="71"/>
        <v xml:space="preserve"> </v>
      </c>
      <c r="C958" s="130" t="str">
        <f>IF(OR(B958=0,B958=" ")," ",SUM($B$23:B958))</f>
        <v xml:space="preserve"> </v>
      </c>
      <c r="D958" s="62" t="str">
        <f>IF(D957=" "," ",IF(OR(F957='депозитный калькулятор'!$D$8,F957=" ")," ",D957+1))</f>
        <v xml:space="preserve"> </v>
      </c>
      <c r="E958" s="130" t="str">
        <f>IF(OR(F957='депозитный калькулятор'!$D$8,F957=" ")," ",IF(EOMONTH(F957,0)=F957,1,E957+1))</f>
        <v xml:space="preserve"> </v>
      </c>
      <c r="F958" s="64" t="str">
        <f>IF(F957=" "," ",IF(F957='депозитный калькулятор'!$D$8," ",F957+1))</f>
        <v xml:space="preserve"> </v>
      </c>
      <c r="G958" s="145" t="str">
        <f xml:space="preserve"> IF(F958&gt;'депозитный калькулятор'!$D$8," ",IF('депозитный калькулятор'!$G$13="есть",IF('депозитный калькулятор'!$G$14="есть",G957+IF(I957=" ",0,I957)-J958-K958+L958+M958-N958,G957+IF(I957=" ",0,I957)-J958-K958+M958-N958),IF('депозитный калькулятор'!$G$14="есть",G957-J958-K958+L958+M958-N958,G957-J958-K958+M958-N958)))</f>
        <v xml:space="preserve"> </v>
      </c>
      <c r="H958" s="133" t="str">
        <f>IF(F958&gt;'депозитный калькулятор'!$D$8," ",IF(AND(OR('депозитный калькулятор'!$G$7="30/365",'депозитный калькулятор'!$G$7="30/360"),AND(MONTH(F958)=2,EOMONTH(F958,0)=F958)),IF(DAY(F958)=28,3*G958*'депозитный калькулятор'!$G$8,2*G958*'депозитный калькулятор'!$G$8),IF(AND(OR('депозитный калькулятор'!$G$7="30/365",'депозитный калькулятор'!$G$7="30/360"),DAY(F958)=31)," ",IF(AND('депозитный калькулятор'!$G$7="факт/факт",MOD(YEAR(F958),4)=0),G958*'депозитный калькулятор'!$D$11/366,G958*'депозитный калькулятор'!$G$8))))</f>
        <v xml:space="preserve"> </v>
      </c>
      <c r="I958" s="134" t="str">
        <f ca="1">IF(F958=" "," ",IF('депозитный калькулятор'!$G$10="ежедневное",H958,IF(AND('депозитный калькулятор'!$G$10="еженедельное",WEEKDAY(F958,2)=7),SUM(OFFSET(H958,-6,0):H958),IF(AND('депозитный калькулятор'!$G$10="еженедельное",F958='депозитный калькулятор'!$D$8),SUM($H$23:H958)-SUM($I$23:I957),IF(AND('депозитный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недели",WEEKDAY(F958,2)=7),MIN(OFFSET(H958,-6,0):H958)*(COUNTIF(OFFSET(H958,-6,0):H958,"&gt;0")+SUMIF(OFFSET(A958,-WEEKDAY(F958,2),0):A958,"=2",OFFSET(A958,-WEEKDAY(F958,2),0):A958)),IF(AND('депозитный калькулятор'!$G$10="еженедельное, на минимальную сумму зафиксированную в течение недели",F958='депозитный калькулятор'!$D$8,WEEKDAY(F958,2)&lt;&gt;7),MIN(OFFSET(H958,-WEEKDAY(F958,2),0):H958)*(COUNTIF(OFFSET(H958,-WEEKDAY(F958,2)+1,0):H958,"&gt;0")+SUM(OFFSET(A958,-WEEKDAY(F958,2),0):A958)),IF(AND('депозитный калькулятор'!$G$10="ежемесячное (в конце месяца)",F958='депозитный калькулятор'!$D$8,EOMONTH(F958,0)&lt;&gt;F958),IF('депозитный калькулятор'!$F$1=1,$H$24,SUM($H$23:H958)-SUM($I$23:I957)),IF(AND('депозитный калькулятор'!$G$10="ежемесячное (в конце месяца)",EOMONTH(F958,0)=F958),SUM($H$23:H958)-SUM($I$23:I957),IF(AND('депозитный калькулятор'!$G$10="ежемесячное (по дням открытия вклада)",F958='депозитный калькулятор'!$D$8,DAY('депозитный калькулятор'!$D$7)&lt;&gt;DAY(F958)),IF('депозитный калькулятор'!$F$1=1,$H$24,SUM($H$23:H958)-SUM($I$23:I957)),IF(AND('депозитный калькулятор'!$G$10="ежемесячное (по дням открытия вклада)",DAY('депозитный калькулятор'!$D$7)=DAY(F958)),SUM($H$23:H958)-SUM($I$23:I957),IF(AND('депозитный калькулятор'!$G$10="ежемесячное, на минимальную сумму зафиксированную в течение месяца",F958='депозитный калькулятор'!$D$8,EOMONTH(F958,0)&lt;&gt;F958),IF('депозитный калькулятор'!$F$1=1,$H$24,IF(AND(OR('депозитный калькулятор'!$G$7="30/365",'депозитный калькулятор'!$G$7="30/360"),DAY(F958)=31),0,MIN(OFFSET(H958,-E958+1,0):H958)*(E958+SUMIF(OFFSET(A958,-E958+1,0):A958,"=2",OFFSET(A958,-E958+1,0):A958)))),IF(AND('депозитный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калькулятор'!$G$7="30/360"),DAY(EOMONTH(F958,0))=31),EOMONTH(F958,0)-1=F958,EOMONTH(F958,0)=F958)),IF(IF(AND(OR('депозитный калькулятор'!$G$7="30/365",'депозитный калькулятор'!$G$7="30/360"),DAY(EOMONTH($F$23,0))=31),F958=EOMONTH($F$23,0)-1,F958=EOMONTH($F$23,0)),MIN(OFFSET(H958,-(DAY(F958)-DAY($F$23)),0):H958)*E958,MIN(OFFSET(H958,-(DAY(F958)-1),0):H958)*IF(AND(OR('депозитный калькулятор'!$G$7="30/365",'депозитный калькулятор'!$G$7="30/360"),DAY(F958)&lt;30),30,DAY(F958))),IF(AND('депозитный калькулятор'!$G$10="ежемесячное, на средний остаток в течение месяца, при условии что остаток больше чем ограничение",F958='депозитный калькулятор'!$D$8,EOMONTH(F958,0)&lt;&gt;F958),IF('депозитный калькулятор'!$F$1=1,$H$24,SUM(OFFSET(Q958,-E958+1,0):Q958)),IF(AND('депозитный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калькулятор'!$G$7="30/360"),DAY(EOMONTH(F958,0))=31),EOMONTH(F958,0)-1=F958,EOMONTH(F958,0)=F958)),IF(IF(AND(OR('депозитный калькулятор'!$G$7="30/365",'депозитный калькулятор'!$G$7="30/360"),DAY(EOMONTH($F$24,0))=31),F958=EOMONTH($F$24,0)-1,F958=EOMONTH($F$24,0)),SUM(OFFSET(Q958,-E958+1,0):Q958),SUM(OFFSET(Q958,-E958+1,0):Q958)),IF('депозитный калькулятор'!$G$10="ежеквартальное",IF(F958&gt;'депозитный калькулятор'!$D$8," ",IF(AND(EOMONTH(F958,0)=F958,OR(MONTH(F958)=3,MONTH(F958)=6,MONTH(F958)=9,MONTH(F958)=12)),IF(EDATE(F958,-3)&lt;'депозитный калькулятор'!$D$7,SUM($H$23:H958),IF(MOD(YEAR(F958),4)=0,IF(AND(EOMONTH(F958,0)=F958,OR(MONTH(F958)=3,MONTH(F958)=6)),SUM(OFFSET(H958,-90,0):H958),IF(AND(EOMONTH(F958,0)=F958,OR(MONTH(F958)=9,MONTH(F958)=12)),SUM(OFFSET(H958,-91,0):H958))),IF(AND(EOMONTH(F958,0)=F958,MONTH(F958)=3),SUM(OFFSET(H958,-89,0):H958),IF(AND(EOMONTH(F958,0)=F958,MONTH(F958)=6),SUM(OFFSET(H958,-90,0):H958),IF(AND(EOMONTH(F958,0)=F958,OR(MONTH(F958)=9,MONTH(F958)=12)),SUM(OFFSET(H958,-91,0):H958)))))),IF(F958='депозитный калькулятор'!$D$8,SUM($H$23:H958)-SUM($I$23:I957),0))),IF('депозитный калькулятор'!$G$10="ежегодное",IF(F958&gt;'депозитный калькулятор'!$D$8," ",IF(F958='депозитный калькулятор'!$D$8,SUM($H$23:H958)-SUM($I$23:I957),IF(AND(EOMONTH(F958,0)=F958,MONTH(F958)=12),IF(MOD(YEAR(F957),4)=0,IF(F958-'депозитный калькулятор'!$D$7&lt;366,SUM($H$23:H958),SUM(OFFSET(H958,-365,0):H958)),IF(F958-'депозитный калькулятор'!$D$7&lt;365,SUM($H$23:H958),SUM(OFFSET(H958,-364,0):H958))),0))),IF(AND('депозитный калькулятор'!$G$10="в конце срока",'депозитный калькулятор'!$D$8=F958),SUM($H$23:H958),0))))))))))))))))))</f>
        <v xml:space="preserve"> </v>
      </c>
      <c r="J958" s="59" t="str">
        <f>IF(F958&gt;'депозитный калькулятор'!$D$8," ",IF('депозитный калькулятор'!$G$16="нет",0,IF(AND('депозитный калькулятор'!$G$17="разовая (в конце срока)",F958='депозитный калькулятор'!$D$8),'депозитный калькулятор'!$G$18,IF(AND('депозитный калькулятор'!$G$17="ежемесячная",EOMONTH(F957,0)=F957),'депозитный калькулятор'!$G$18,IF(AND('депозитный калькулятор'!$G$17="ежегодная",DAY(F957)=31,MONTH(F957)=12),'депозитный калькулятор'!$G$18,IF(AND('депозитный калькулятор'!$G$17="ежемесячная в зависимости от остатка",EOMONTH(F957,0)=F957,P957&gt;0),'депозитный калькулятор'!$G$18,IF(AND('депозитный калькулятор'!$G$17="ежегодная в зависимости от остатка",DAY(F957)=31,MONTH(F957)=12,P957&gt;0),'депозитный калькулятор'!$G$18,0)))))))</f>
        <v xml:space="preserve"> </v>
      </c>
      <c r="K958" s="135" t="str">
        <f>IF($F958=" "," ",IFERROR(VLOOKUP($F958,'депозитный калькулятор'!$B$26:$F$70,2,0),0))</f>
        <v xml:space="preserve"> </v>
      </c>
      <c r="L958" s="135" t="str">
        <f>IF($F958=" "," ",IFERROR(VLOOKUP($F958,'депозитный калькулятор'!$B$26:$F$70,3,0),0))</f>
        <v xml:space="preserve"> </v>
      </c>
      <c r="M958" s="135" t="str">
        <f>IF($F958=" "," ",IFERROR(VLOOKUP($F958,'депозитный калькулятор'!$B$26:$F$70,4,0),0))</f>
        <v xml:space="preserve"> </v>
      </c>
      <c r="N958" s="135" t="str">
        <f>IF($F958=" "," ",IFERROR(VLOOKUP($F958,'депозитный калькулятор'!$B$26:$F$70,5,0),0))</f>
        <v xml:space="preserve"> </v>
      </c>
      <c r="O958" s="146" t="str">
        <f>IF(F958&gt;'депозитный калькулятор'!$D$8," ",IF(F958='депозитный калькулятор'!$D$8,IF(AND($F$24='депозитный калькулятор'!$D$8,'депозитный калькулятор'!$G$13="нет"),-G958-IF(I958=" ",0,I958)-IF(AND(OR('депозитный калькулятор'!$G$7="30/365",'депозитный калькулятор'!$G$7="30/360"),'депозитный калькулятор'!$G$10="в начале срока"),I957,0)-L958+M958-N958,-G958-IF(I958=" ",0,I958)-L958+M958-N958),IF('депозитный калькулятор'!$G$13="есть",M958-N958+IF('депозитный калькулятор'!$G$14="есть",0,-L958),-IF(I958=" ",0,I958)-IF(AND(OR('депозитный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срока"),I957,0)+M958-N958+IF('депозитный калькулятор'!$G$14="есть",0,-L958))))</f>
        <v xml:space="preserve"> </v>
      </c>
      <c r="P958" s="147" t="str">
        <f>IF(F958&gt;'депозитный калькулятор'!$D$8," ",IF(EOMONTH(F957,0)=F957,0,IF(G958&gt;='депозитный калькулятор'!$G$19,P957,P957+1)))</f>
        <v xml:space="preserve"> </v>
      </c>
      <c r="Q958" s="138" t="str">
        <f>IF(F958=" "," ",IF(AND(OR('депозитный калькулятор'!$G$7="30/365",'депозитный калькулятор'!$G$7="30/360"),AND(MONTH(F958)=2,EOMONTH(F958,0)=F958)),IF(DAY(F958)=28,3,2),1)*IF(G958&gt;='депозитный калькулятор'!$G$11,IF(AND('депозитный калькулятор'!$G$7="факт/факт",MOD(YEAR(F958),4)=0),G958*'депозитный калькулятор'!$D$11/366,G958*'депозитный калькулятор'!$G$8),0))</f>
        <v xml:space="preserve"> </v>
      </c>
      <c r="S958" s="62" t="str">
        <f t="shared" ca="1" si="72"/>
        <v xml:space="preserve"> </v>
      </c>
      <c r="T958" s="149" t="str">
        <f ca="1">IF(S958=" "," ",IF('депозитный калькулятор'!$G$7="30/360",DAYS360(U957,IF(DAY(U958)=31,U958-1,U958))+IF(AND(MONTH(U958)=2,U958=EOMONTH(U958,0)),30-DAY(EOMONTH(U958,0)))+T957,VLOOKUP(S958,$C$22:$F$1023,2,0)))</f>
        <v xml:space="preserve"> </v>
      </c>
      <c r="U958" s="64" t="str">
        <f t="shared" ca="1" si="70"/>
        <v xml:space="preserve"> </v>
      </c>
      <c r="V958" s="150" t="str">
        <f t="shared" ca="1" si="73"/>
        <v xml:space="preserve"> </v>
      </c>
      <c r="W958" s="62" t="str">
        <f t="shared" ca="1" si="74"/>
        <v xml:space="preserve"> </v>
      </c>
      <c r="X958" s="141" t="str">
        <f ca="1">IF(S958=" "," ",IFERROR(VLOOKUP(U958,$F$23:$N$1023,7)+VLOOKUP(U958,$F$23:$N$1023,9)+IF(AND('депозитный калькулятор'!$G$13="нет",U958&lt;&gt;'депозитный калькулятор'!$D$8),VLOOKUP(U958,$F$23:$N$1023,4),0),0)+IF(U958='депозитный калькулятор'!$D$8,VLOOKUP(U958,$F$23:$N$1023,2)+VLOOKUP(U958,$F$23:$N$1023,4),0))</f>
        <v xml:space="preserve"> </v>
      </c>
      <c r="Y958" s="142" t="str">
        <f ca="1">IF(S958=" "," ",W958/(1+'депозитный калькулятор'!$K$8)^(T958/IF('депозитный калькулятор'!$G$7="30/360",360,365)))</f>
        <v xml:space="preserve"> </v>
      </c>
      <c r="Z958" s="142" t="str">
        <f ca="1">IF(S958=" "," ",X958/(1+'депозитный калькулятор'!$K$8)^(T958/IF('депозитный калькулятор'!$G$7="30/360",360,365)))</f>
        <v xml:space="preserve"> </v>
      </c>
      <c r="AA958" s="151"/>
      <c r="AB958" s="151"/>
      <c r="AC958" s="155"/>
      <c r="AD958" s="155"/>
    </row>
    <row r="959" spans="1:30" s="2" customFormat="1" ht="15.5" x14ac:dyDescent="0.35">
      <c r="A959" s="41" t="str">
        <f>IF(F959=" "," ",IF(OR('депозитный калькулятор'!$G$7="30/365",'депозитный калькулятор'!$G$7="30/360"),IF(AND(MONTH(F959)=2,DAY(F959)=DAY(EOMONTH(F959,0))),30-DAY(EOMONTH(F959,0)),IF(DAY(F959)=31,1," "))," "))</f>
        <v xml:space="preserve"> </v>
      </c>
      <c r="B959" s="130" t="str">
        <f t="shared" si="71"/>
        <v xml:space="preserve"> </v>
      </c>
      <c r="C959" s="130" t="str">
        <f>IF(OR(B959=0,B959=" ")," ",SUM($B$23:B959))</f>
        <v xml:space="preserve"> </v>
      </c>
      <c r="D959" s="62" t="str">
        <f>IF(D958=" "," ",IF(OR(F958='депозитный калькулятор'!$D$8,F958=" ")," ",D958+1))</f>
        <v xml:space="preserve"> </v>
      </c>
      <c r="E959" s="130" t="str">
        <f>IF(OR(F958='депозитный калькулятор'!$D$8,F958=" ")," ",IF(EOMONTH(F958,0)=F958,1,E958+1))</f>
        <v xml:space="preserve"> </v>
      </c>
      <c r="F959" s="64" t="str">
        <f>IF(F958=" "," ",IF(F958='депозитный калькулятор'!$D$8," ",F958+1))</f>
        <v xml:space="preserve"> </v>
      </c>
      <c r="G959" s="145" t="str">
        <f xml:space="preserve"> IF(F959&gt;'депозитный калькулятор'!$D$8," ",IF('депозитный калькулятор'!$G$13="есть",IF('депозитный калькулятор'!$G$14="есть",G958+IF(I958=" ",0,I958)-J959-K959+L959+M959-N959,G958+IF(I958=" ",0,I958)-J959-K959+M959-N959),IF('депозитный калькулятор'!$G$14="есть",G958-J959-K959+L959+M959-N959,G958-J959-K959+M959-N959)))</f>
        <v xml:space="preserve"> </v>
      </c>
      <c r="H959" s="133" t="str">
        <f>IF(F959&gt;'депозитный калькулятор'!$D$8," ",IF(AND(OR('депозитный калькулятор'!$G$7="30/365",'депозитный калькулятор'!$G$7="30/360"),AND(MONTH(F959)=2,EOMONTH(F959,0)=F959)),IF(DAY(F959)=28,3*G959*'депозитный калькулятор'!$G$8,2*G959*'депозитный калькулятор'!$G$8),IF(AND(OR('депозитный калькулятор'!$G$7="30/365",'депозитный калькулятор'!$G$7="30/360"),DAY(F959)=31)," ",IF(AND('депозитный калькулятор'!$G$7="факт/факт",MOD(YEAR(F959),4)=0),G959*'депозитный калькулятор'!$D$11/366,G959*'депозитный калькулятор'!$G$8))))</f>
        <v xml:space="preserve"> </v>
      </c>
      <c r="I959" s="134" t="str">
        <f ca="1">IF(F959=" "," ",IF('депозитный калькулятор'!$G$10="ежедневное",H959,IF(AND('депозитный калькулятор'!$G$10="еженедельное",WEEKDAY(F959,2)=7),SUM(OFFSET(H959,-6,0):H959),IF(AND('депозитный калькулятор'!$G$10="еженедельное",F959='депозитный калькулятор'!$D$8),SUM($H$23:H959)-SUM($I$23:I958),IF(AND('депозитный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недели",WEEKDAY(F959,2)=7),MIN(OFFSET(H959,-6,0):H959)*(COUNTIF(OFFSET(H959,-6,0):H959,"&gt;0")+SUMIF(OFFSET(A959,-WEEKDAY(F959,2),0):A959,"=2",OFFSET(A959,-WEEKDAY(F959,2),0):A959)),IF(AND('депозитный калькулятор'!$G$10="еженедельное, на минимальную сумму зафиксированную в течение недели",F959='депозитный калькулятор'!$D$8,WEEKDAY(F959,2)&lt;&gt;7),MIN(OFFSET(H959,-WEEKDAY(F959,2),0):H959)*(COUNTIF(OFFSET(H959,-WEEKDAY(F959,2)+1,0):H959,"&gt;0")+SUM(OFFSET(A959,-WEEKDAY(F959,2),0):A959)),IF(AND('депозитный калькулятор'!$G$10="ежемесячное (в конце месяца)",F959='депозитный калькулятор'!$D$8,EOMONTH(F959,0)&lt;&gt;F959),IF('депозитный калькулятор'!$F$1=1,$H$24,SUM($H$23:H959)-SUM($I$23:I958)),IF(AND('депозитный калькулятор'!$G$10="ежемесячное (в конце месяца)",EOMONTH(F959,0)=F959),SUM($H$23:H959)-SUM($I$23:I958),IF(AND('депозитный калькулятор'!$G$10="ежемесячное (по дням открытия вклада)",F959='депозитный калькулятор'!$D$8,DAY('депозитный калькулятор'!$D$7)&lt;&gt;DAY(F959)),IF('депозитный калькулятор'!$F$1=1,$H$24,SUM($H$23:H959)-SUM($I$23:I958)),IF(AND('депозитный калькулятор'!$G$10="ежемесячное (по дням открытия вклада)",DAY('депозитный калькулятор'!$D$7)=DAY(F959)),SUM($H$23:H959)-SUM($I$23:I958),IF(AND('депозитный калькулятор'!$G$10="ежемесячное, на минимальную сумму зафиксированную в течение месяца",F959='депозитный калькулятор'!$D$8,EOMONTH(F959,0)&lt;&gt;F959),IF('депозитный калькулятор'!$F$1=1,$H$24,IF(AND(OR('депозитный калькулятор'!$G$7="30/365",'депозитный калькулятор'!$G$7="30/360"),DAY(F959)=31),0,MIN(OFFSET(H959,-E959+1,0):H959)*(E959+SUMIF(OFFSET(A959,-E959+1,0):A959,"=2",OFFSET(A959,-E959+1,0):A959)))),IF(AND('депозитный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калькулятор'!$G$7="30/360"),DAY(EOMONTH(F959,0))=31),EOMONTH(F959,0)-1=F959,EOMONTH(F959,0)=F959)),IF(IF(AND(OR('депозитный калькулятор'!$G$7="30/365",'депозитный калькулятор'!$G$7="30/360"),DAY(EOMONTH($F$23,0))=31),F959=EOMONTH($F$23,0)-1,F959=EOMONTH($F$23,0)),MIN(OFFSET(H959,-(DAY(F959)-DAY($F$23)),0):H959)*E959,MIN(OFFSET(H959,-(DAY(F959)-1),0):H959)*IF(AND(OR('депозитный калькулятор'!$G$7="30/365",'депозитный калькулятор'!$G$7="30/360"),DAY(F959)&lt;30),30,DAY(F959))),IF(AND('депозитный калькулятор'!$G$10="ежемесячное, на средний остаток в течение месяца, при условии что остаток больше чем ограничение",F959='депозитный калькулятор'!$D$8,EOMONTH(F959,0)&lt;&gt;F959),IF('депозитный калькулятор'!$F$1=1,$H$24,SUM(OFFSET(Q959,-E959+1,0):Q959)),IF(AND('депозитный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калькулятор'!$G$7="30/360"),DAY(EOMONTH(F959,0))=31),EOMONTH(F959,0)-1=F959,EOMONTH(F959,0)=F959)),IF(IF(AND(OR('депозитный калькулятор'!$G$7="30/365",'депозитный калькулятор'!$G$7="30/360"),DAY(EOMONTH($F$24,0))=31),F959=EOMONTH($F$24,0)-1,F959=EOMONTH($F$24,0)),SUM(OFFSET(Q959,-E959+1,0):Q959),SUM(OFFSET(Q959,-E959+1,0):Q959)),IF('депозитный калькулятор'!$G$10="ежеквартальное",IF(F959&gt;'депозитный калькулятор'!$D$8," ",IF(AND(EOMONTH(F959,0)=F959,OR(MONTH(F959)=3,MONTH(F959)=6,MONTH(F959)=9,MONTH(F959)=12)),IF(EDATE(F959,-3)&lt;'депозитный калькулятор'!$D$7,SUM($H$23:H959),IF(MOD(YEAR(F959),4)=0,IF(AND(EOMONTH(F959,0)=F959,OR(MONTH(F959)=3,MONTH(F959)=6)),SUM(OFFSET(H959,-90,0):H959),IF(AND(EOMONTH(F959,0)=F959,OR(MONTH(F959)=9,MONTH(F959)=12)),SUM(OFFSET(H959,-91,0):H959))),IF(AND(EOMONTH(F959,0)=F959,MONTH(F959)=3),SUM(OFFSET(H959,-89,0):H959),IF(AND(EOMONTH(F959,0)=F959,MONTH(F959)=6),SUM(OFFSET(H959,-90,0):H959),IF(AND(EOMONTH(F959,0)=F959,OR(MONTH(F959)=9,MONTH(F959)=12)),SUM(OFFSET(H959,-91,0):H959)))))),IF(F959='депозитный калькулятор'!$D$8,SUM($H$23:H959)-SUM($I$23:I958),0))),IF('депозитный калькулятор'!$G$10="ежегодное",IF(F959&gt;'депозитный калькулятор'!$D$8," ",IF(F959='депозитный калькулятор'!$D$8,SUM($H$23:H959)-SUM($I$23:I958),IF(AND(EOMONTH(F959,0)=F959,MONTH(F959)=12),IF(MOD(YEAR(F958),4)=0,IF(F959-'депозитный калькулятор'!$D$7&lt;366,SUM($H$23:H959),SUM(OFFSET(H959,-365,0):H959)),IF(F959-'депозитный калькулятор'!$D$7&lt;365,SUM($H$23:H959),SUM(OFFSET(H959,-364,0):H959))),0))),IF(AND('депозитный калькулятор'!$G$10="в конце срока",'депозитный калькулятор'!$D$8=F959),SUM($H$23:H959),0))))))))))))))))))</f>
        <v xml:space="preserve"> </v>
      </c>
      <c r="J959" s="59" t="str">
        <f>IF(F959&gt;'депозитный калькулятор'!$D$8," ",IF('депозитный калькулятор'!$G$16="нет",0,IF(AND('депозитный калькулятор'!$G$17="разовая (в конце срока)",F959='депозитный калькулятор'!$D$8),'депозитный калькулятор'!$G$18,IF(AND('депозитный калькулятор'!$G$17="ежемесячная",EOMONTH(F958,0)=F958),'депозитный калькулятор'!$G$18,IF(AND('депозитный калькулятор'!$G$17="ежегодная",DAY(F958)=31,MONTH(F958)=12),'депозитный калькулятор'!$G$18,IF(AND('депозитный калькулятор'!$G$17="ежемесячная в зависимости от остатка",EOMONTH(F958,0)=F958,P958&gt;0),'депозитный калькулятор'!$G$18,IF(AND('депозитный калькулятор'!$G$17="ежегодная в зависимости от остатка",DAY(F958)=31,MONTH(F958)=12,P958&gt;0),'депозитный калькулятор'!$G$18,0)))))))</f>
        <v xml:space="preserve"> </v>
      </c>
      <c r="K959" s="135" t="str">
        <f>IF($F959=" "," ",IFERROR(VLOOKUP($F959,'депозитный калькулятор'!$B$26:$F$70,2,0),0))</f>
        <v xml:space="preserve"> </v>
      </c>
      <c r="L959" s="135" t="str">
        <f>IF($F959=" "," ",IFERROR(VLOOKUP($F959,'депозитный калькулятор'!$B$26:$F$70,3,0),0))</f>
        <v xml:space="preserve"> </v>
      </c>
      <c r="M959" s="135" t="str">
        <f>IF($F959=" "," ",IFERROR(VLOOKUP($F959,'депозитный калькулятор'!$B$26:$F$70,4,0),0))</f>
        <v xml:space="preserve"> </v>
      </c>
      <c r="N959" s="135" t="str">
        <f>IF($F959=" "," ",IFERROR(VLOOKUP($F959,'депозитный калькулятор'!$B$26:$F$70,5,0),0))</f>
        <v xml:space="preserve"> </v>
      </c>
      <c r="O959" s="146" t="str">
        <f>IF(F959&gt;'депозитный калькулятор'!$D$8," ",IF(F959='депозитный калькулятор'!$D$8,IF(AND($F$24='депозитный калькулятор'!$D$8,'депозитный калькулятор'!$G$13="нет"),-G959-IF(I959=" ",0,I959)-IF(AND(OR('депозитный калькулятор'!$G$7="30/365",'депозитный калькулятор'!$G$7="30/360"),'депозитный калькулятор'!$G$10="в начале срока"),I958,0)-L959+M959-N959,-G959-IF(I959=" ",0,I959)-L959+M959-N959),IF('депозитный калькулятор'!$G$13="есть",M959-N959+IF('депозитный калькулятор'!$G$14="есть",0,-L959),-IF(I959=" ",0,I959)-IF(AND(OR('депозитный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срока"),I958,0)+M959-N959+IF('депозитный калькулятор'!$G$14="есть",0,-L959))))</f>
        <v xml:space="preserve"> </v>
      </c>
      <c r="P959" s="147" t="str">
        <f>IF(F959&gt;'депозитный калькулятор'!$D$8," ",IF(EOMONTH(F958,0)=F958,0,IF(G959&gt;='депозитный калькулятор'!$G$19,P958,P958+1)))</f>
        <v xml:space="preserve"> </v>
      </c>
      <c r="Q959" s="138" t="str">
        <f>IF(F959=" "," ",IF(AND(OR('депозитный калькулятор'!$G$7="30/365",'депозитный калькулятор'!$G$7="30/360"),AND(MONTH(F959)=2,EOMONTH(F959,0)=F959)),IF(DAY(F959)=28,3,2),1)*IF(G959&gt;='депозитный калькулятор'!$G$11,IF(AND('депозитный калькулятор'!$G$7="факт/факт",MOD(YEAR(F959),4)=0),G959*'депозитный калькулятор'!$D$11/366,G959*'депозитный калькулятор'!$G$8),0))</f>
        <v xml:space="preserve"> </v>
      </c>
      <c r="S959" s="62" t="str">
        <f t="shared" ca="1" si="72"/>
        <v xml:space="preserve"> </v>
      </c>
      <c r="T959" s="149" t="str">
        <f ca="1">IF(S959=" "," ",IF('депозитный калькулятор'!$G$7="30/360",DAYS360(U958,IF(DAY(U959)=31,U959-1,U959))+IF(AND(MONTH(U959)=2,U959=EOMONTH(U959,0)),30-DAY(EOMONTH(U959,0)))+T958,VLOOKUP(S959,$C$22:$F$1023,2,0)))</f>
        <v xml:space="preserve"> </v>
      </c>
      <c r="U959" s="64" t="str">
        <f t="shared" ca="1" si="70"/>
        <v xml:space="preserve"> </v>
      </c>
      <c r="V959" s="150" t="str">
        <f t="shared" ca="1" si="73"/>
        <v xml:space="preserve"> </v>
      </c>
      <c r="W959" s="62" t="str">
        <f t="shared" ca="1" si="74"/>
        <v xml:space="preserve"> </v>
      </c>
      <c r="X959" s="141" t="str">
        <f ca="1">IF(S959=" "," ",IFERROR(VLOOKUP(U959,$F$23:$N$1023,7)+VLOOKUP(U959,$F$23:$N$1023,9)+IF(AND('депозитный калькулятор'!$G$13="нет",U959&lt;&gt;'депозитный калькулятор'!$D$8),VLOOKUP(U959,$F$23:$N$1023,4),0),0)+IF(U959='депозитный калькулятор'!$D$8,VLOOKUP(U959,$F$23:$N$1023,2)+VLOOKUP(U959,$F$23:$N$1023,4),0))</f>
        <v xml:space="preserve"> </v>
      </c>
      <c r="Y959" s="142" t="str">
        <f ca="1">IF(S959=" "," ",W959/(1+'депозитный калькулятор'!$K$8)^(T959/IF('депозитный калькулятор'!$G$7="30/360",360,365)))</f>
        <v xml:space="preserve"> </v>
      </c>
      <c r="Z959" s="142" t="str">
        <f ca="1">IF(S959=" "," ",X959/(1+'депозитный калькулятор'!$K$8)^(T959/IF('депозитный калькулятор'!$G$7="30/360",360,365)))</f>
        <v xml:space="preserve"> </v>
      </c>
      <c r="AA959" s="151"/>
      <c r="AB959" s="151"/>
      <c r="AC959" s="155"/>
      <c r="AD959" s="155"/>
    </row>
    <row r="960" spans="1:30" s="2" customFormat="1" ht="15.5" x14ac:dyDescent="0.35">
      <c r="A960" s="41" t="str">
        <f>IF(F960=" "," ",IF(OR('депозитный калькулятор'!$G$7="30/365",'депозитный калькулятор'!$G$7="30/360"),IF(AND(MONTH(F960)=2,DAY(F960)=DAY(EOMONTH(F960,0))),30-DAY(EOMONTH(F960,0)),IF(DAY(F960)=31,1," "))," "))</f>
        <v xml:space="preserve"> </v>
      </c>
      <c r="B960" s="130" t="str">
        <f t="shared" si="71"/>
        <v xml:space="preserve"> </v>
      </c>
      <c r="C960" s="130" t="str">
        <f>IF(OR(B960=0,B960=" ")," ",SUM($B$23:B960))</f>
        <v xml:space="preserve"> </v>
      </c>
      <c r="D960" s="62" t="str">
        <f>IF(D959=" "," ",IF(OR(F959='депозитный калькулятор'!$D$8,F959=" ")," ",D959+1))</f>
        <v xml:space="preserve"> </v>
      </c>
      <c r="E960" s="130" t="str">
        <f>IF(OR(F959='депозитный калькулятор'!$D$8,F959=" ")," ",IF(EOMONTH(F959,0)=F959,1,E959+1))</f>
        <v xml:space="preserve"> </v>
      </c>
      <c r="F960" s="64" t="str">
        <f>IF(F959=" "," ",IF(F959='депозитный калькулятор'!$D$8," ",F959+1))</f>
        <v xml:space="preserve"> </v>
      </c>
      <c r="G960" s="145" t="str">
        <f xml:space="preserve"> IF(F960&gt;'депозитный калькулятор'!$D$8," ",IF('депозитный калькулятор'!$G$13="есть",IF('депозитный калькулятор'!$G$14="есть",G959+IF(I959=" ",0,I959)-J960-K960+L960+M960-N960,G959+IF(I959=" ",0,I959)-J960-K960+M960-N960),IF('депозитный калькулятор'!$G$14="есть",G959-J960-K960+L960+M960-N960,G959-J960-K960+M960-N960)))</f>
        <v xml:space="preserve"> </v>
      </c>
      <c r="H960" s="133" t="str">
        <f>IF(F960&gt;'депозитный калькулятор'!$D$8," ",IF(AND(OR('депозитный калькулятор'!$G$7="30/365",'депозитный калькулятор'!$G$7="30/360"),AND(MONTH(F960)=2,EOMONTH(F960,0)=F960)),IF(DAY(F960)=28,3*G960*'депозитный калькулятор'!$G$8,2*G960*'депозитный калькулятор'!$G$8),IF(AND(OR('депозитный калькулятор'!$G$7="30/365",'депозитный калькулятор'!$G$7="30/360"),DAY(F960)=31)," ",IF(AND('депозитный калькулятор'!$G$7="факт/факт",MOD(YEAR(F960),4)=0),G960*'депозитный калькулятор'!$D$11/366,G960*'депозитный калькулятор'!$G$8))))</f>
        <v xml:space="preserve"> </v>
      </c>
      <c r="I960" s="134" t="str">
        <f ca="1">IF(F960=" "," ",IF('депозитный калькулятор'!$G$10="ежедневное",H960,IF(AND('депозитный калькулятор'!$G$10="еженедельное",WEEKDAY(F960,2)=7),SUM(OFFSET(H960,-6,0):H960),IF(AND('депозитный калькулятор'!$G$10="еженедельное",F960='депозитный калькулятор'!$D$8),SUM($H$23:H960)-SUM($I$23:I959),IF(AND('депозитный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недели",WEEKDAY(F960,2)=7),MIN(OFFSET(H960,-6,0):H960)*(COUNTIF(OFFSET(H960,-6,0):H960,"&gt;0")+SUMIF(OFFSET(A960,-WEEKDAY(F960,2),0):A960,"=2",OFFSET(A960,-WEEKDAY(F960,2),0):A960)),IF(AND('депозитный калькулятор'!$G$10="еженедельное, на минимальную сумму зафиксированную в течение недели",F960='депозитный калькулятор'!$D$8,WEEKDAY(F960,2)&lt;&gt;7),MIN(OFFSET(H960,-WEEKDAY(F960,2),0):H960)*(COUNTIF(OFFSET(H960,-WEEKDAY(F960,2)+1,0):H960,"&gt;0")+SUM(OFFSET(A960,-WEEKDAY(F960,2),0):A960)),IF(AND('депозитный калькулятор'!$G$10="ежемесячное (в конце месяца)",F960='депозитный калькулятор'!$D$8,EOMONTH(F960,0)&lt;&gt;F960),IF('депозитный калькулятор'!$F$1=1,$H$24,SUM($H$23:H960)-SUM($I$23:I959)),IF(AND('депозитный калькулятор'!$G$10="ежемесячное (в конце месяца)",EOMONTH(F960,0)=F960),SUM($H$23:H960)-SUM($I$23:I959),IF(AND('депозитный калькулятор'!$G$10="ежемесячное (по дням открытия вклада)",F960='депозитный калькулятор'!$D$8,DAY('депозитный калькулятор'!$D$7)&lt;&gt;DAY(F960)),IF('депозитный калькулятор'!$F$1=1,$H$24,SUM($H$23:H960)-SUM($I$23:I959)),IF(AND('депозитный калькулятор'!$G$10="ежемесячное (по дням открытия вклада)",DAY('депозитный калькулятор'!$D$7)=DAY(F960)),SUM($H$23:H960)-SUM($I$23:I959),IF(AND('депозитный калькулятор'!$G$10="ежемесячное, на минимальную сумму зафиксированную в течение месяца",F960='депозитный калькулятор'!$D$8,EOMONTH(F960,0)&lt;&gt;F960),IF('депозитный калькулятор'!$F$1=1,$H$24,IF(AND(OR('депозитный калькулятор'!$G$7="30/365",'депозитный калькулятор'!$G$7="30/360"),DAY(F960)=31),0,MIN(OFFSET(H960,-E960+1,0):H960)*(E960+SUMIF(OFFSET(A960,-E960+1,0):A960,"=2",OFFSET(A960,-E960+1,0):A960)))),IF(AND('депозитный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калькулятор'!$G$7="30/360"),DAY(EOMONTH(F960,0))=31),EOMONTH(F960,0)-1=F960,EOMONTH(F960,0)=F960)),IF(IF(AND(OR('депозитный калькулятор'!$G$7="30/365",'депозитный калькулятор'!$G$7="30/360"),DAY(EOMONTH($F$23,0))=31),F960=EOMONTH($F$23,0)-1,F960=EOMONTH($F$23,0)),MIN(OFFSET(H960,-(DAY(F960)-DAY($F$23)),0):H960)*E960,MIN(OFFSET(H960,-(DAY(F960)-1),0):H960)*IF(AND(OR('депозитный калькулятор'!$G$7="30/365",'депозитный калькулятор'!$G$7="30/360"),DAY(F960)&lt;30),30,DAY(F960))),IF(AND('депозитный калькулятор'!$G$10="ежемесячное, на средний остаток в течение месяца, при условии что остаток больше чем ограничение",F960='депозитный калькулятор'!$D$8,EOMONTH(F960,0)&lt;&gt;F960),IF('депозитный калькулятор'!$F$1=1,$H$24,SUM(OFFSET(Q960,-E960+1,0):Q960)),IF(AND('депозитный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калькулятор'!$G$7="30/360"),DAY(EOMONTH(F960,0))=31),EOMONTH(F960,0)-1=F960,EOMONTH(F960,0)=F960)),IF(IF(AND(OR('депозитный калькулятор'!$G$7="30/365",'депозитный калькулятор'!$G$7="30/360"),DAY(EOMONTH($F$24,0))=31),F960=EOMONTH($F$24,0)-1,F960=EOMONTH($F$24,0)),SUM(OFFSET(Q960,-E960+1,0):Q960),SUM(OFFSET(Q960,-E960+1,0):Q960)),IF('депозитный калькулятор'!$G$10="ежеквартальное",IF(F960&gt;'депозитный калькулятор'!$D$8," ",IF(AND(EOMONTH(F960,0)=F960,OR(MONTH(F960)=3,MONTH(F960)=6,MONTH(F960)=9,MONTH(F960)=12)),IF(EDATE(F960,-3)&lt;'депозитный калькулятор'!$D$7,SUM($H$23:H960),IF(MOD(YEAR(F960),4)=0,IF(AND(EOMONTH(F960,0)=F960,OR(MONTH(F960)=3,MONTH(F960)=6)),SUM(OFFSET(H960,-90,0):H960),IF(AND(EOMONTH(F960,0)=F960,OR(MONTH(F960)=9,MONTH(F960)=12)),SUM(OFFSET(H960,-91,0):H960))),IF(AND(EOMONTH(F960,0)=F960,MONTH(F960)=3),SUM(OFFSET(H960,-89,0):H960),IF(AND(EOMONTH(F960,0)=F960,MONTH(F960)=6),SUM(OFFSET(H960,-90,0):H960),IF(AND(EOMONTH(F960,0)=F960,OR(MONTH(F960)=9,MONTH(F960)=12)),SUM(OFFSET(H960,-91,0):H960)))))),IF(F960='депозитный калькулятор'!$D$8,SUM($H$23:H960)-SUM($I$23:I959),0))),IF('депозитный калькулятор'!$G$10="ежегодное",IF(F960&gt;'депозитный калькулятор'!$D$8," ",IF(F960='депозитный калькулятор'!$D$8,SUM($H$23:H960)-SUM($I$23:I959),IF(AND(EOMONTH(F960,0)=F960,MONTH(F960)=12),IF(MOD(YEAR(F959),4)=0,IF(F960-'депозитный калькулятор'!$D$7&lt;366,SUM($H$23:H960),SUM(OFFSET(H960,-365,0):H960)),IF(F960-'депозитный калькулятор'!$D$7&lt;365,SUM($H$23:H960),SUM(OFFSET(H960,-364,0):H960))),0))),IF(AND('депозитный калькулятор'!$G$10="в конце срока",'депозитный калькулятор'!$D$8=F960),SUM($H$23:H960),0))))))))))))))))))</f>
        <v xml:space="preserve"> </v>
      </c>
      <c r="J960" s="59" t="str">
        <f>IF(F960&gt;'депозитный калькулятор'!$D$8," ",IF('депозитный калькулятор'!$G$16="нет",0,IF(AND('депозитный калькулятор'!$G$17="разовая (в конце срока)",F960='депозитный калькулятор'!$D$8),'депозитный калькулятор'!$G$18,IF(AND('депозитный калькулятор'!$G$17="ежемесячная",EOMONTH(F959,0)=F959),'депозитный калькулятор'!$G$18,IF(AND('депозитный калькулятор'!$G$17="ежегодная",DAY(F959)=31,MONTH(F959)=12),'депозитный калькулятор'!$G$18,IF(AND('депозитный калькулятор'!$G$17="ежемесячная в зависимости от остатка",EOMONTH(F959,0)=F959,P959&gt;0),'депозитный калькулятор'!$G$18,IF(AND('депозитный калькулятор'!$G$17="ежегодная в зависимости от остатка",DAY(F959)=31,MONTH(F959)=12,P959&gt;0),'депозитный калькулятор'!$G$18,0)))))))</f>
        <v xml:space="preserve"> </v>
      </c>
      <c r="K960" s="135" t="str">
        <f>IF($F960=" "," ",IFERROR(VLOOKUP($F960,'депозитный калькулятор'!$B$26:$F$70,2,0),0))</f>
        <v xml:space="preserve"> </v>
      </c>
      <c r="L960" s="135" t="str">
        <f>IF($F960=" "," ",IFERROR(VLOOKUP($F960,'депозитный калькулятор'!$B$26:$F$70,3,0),0))</f>
        <v xml:space="preserve"> </v>
      </c>
      <c r="M960" s="135" t="str">
        <f>IF($F960=" "," ",IFERROR(VLOOKUP($F960,'депозитный калькулятор'!$B$26:$F$70,4,0),0))</f>
        <v xml:space="preserve"> </v>
      </c>
      <c r="N960" s="135" t="str">
        <f>IF($F960=" "," ",IFERROR(VLOOKUP($F960,'депозитный калькулятор'!$B$26:$F$70,5,0),0))</f>
        <v xml:space="preserve"> </v>
      </c>
      <c r="O960" s="146" t="str">
        <f>IF(F960&gt;'депозитный калькулятор'!$D$8," ",IF(F960='депозитный калькулятор'!$D$8,IF(AND($F$24='депозитный калькулятор'!$D$8,'депозитный калькулятор'!$G$13="нет"),-G960-IF(I960=" ",0,I960)-IF(AND(OR('депозитный калькулятор'!$G$7="30/365",'депозитный калькулятор'!$G$7="30/360"),'депозитный калькулятор'!$G$10="в начале срока"),I959,0)-L960+M960-N960,-G960-IF(I960=" ",0,I960)-L960+M960-N960),IF('депозитный калькулятор'!$G$13="есть",M960-N960+IF('депозитный калькулятор'!$G$14="есть",0,-L960),-IF(I960=" ",0,I960)-IF(AND(OR('депозитный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срока"),I959,0)+M960-N960+IF('депозитный калькулятор'!$G$14="есть",0,-L960))))</f>
        <v xml:space="preserve"> </v>
      </c>
      <c r="P960" s="147" t="str">
        <f>IF(F960&gt;'депозитный калькулятор'!$D$8," ",IF(EOMONTH(F959,0)=F959,0,IF(G960&gt;='депозитный калькулятор'!$G$19,P959,P959+1)))</f>
        <v xml:space="preserve"> </v>
      </c>
      <c r="Q960" s="138" t="str">
        <f>IF(F960=" "," ",IF(AND(OR('депозитный калькулятор'!$G$7="30/365",'депозитный калькулятор'!$G$7="30/360"),AND(MONTH(F960)=2,EOMONTH(F960,0)=F960)),IF(DAY(F960)=28,3,2),1)*IF(G960&gt;='депозитный калькулятор'!$G$11,IF(AND('депозитный калькулятор'!$G$7="факт/факт",MOD(YEAR(F960),4)=0),G960*'депозитный калькулятор'!$D$11/366,G960*'депозитный калькулятор'!$G$8),0))</f>
        <v xml:space="preserve"> </v>
      </c>
      <c r="S960" s="62" t="str">
        <f t="shared" ca="1" si="72"/>
        <v xml:space="preserve"> </v>
      </c>
      <c r="T960" s="149" t="str">
        <f ca="1">IF(S960=" "," ",IF('депозитный калькулятор'!$G$7="30/360",DAYS360(U959,IF(DAY(U960)=31,U960-1,U960))+IF(AND(MONTH(U960)=2,U960=EOMONTH(U960,0)),30-DAY(EOMONTH(U960,0)))+T959,VLOOKUP(S960,$C$22:$F$1023,2,0)))</f>
        <v xml:space="preserve"> </v>
      </c>
      <c r="U960" s="64" t="str">
        <f t="shared" ca="1" si="70"/>
        <v xml:space="preserve"> </v>
      </c>
      <c r="V960" s="150" t="str">
        <f t="shared" ca="1" si="73"/>
        <v xml:space="preserve"> </v>
      </c>
      <c r="W960" s="62" t="str">
        <f t="shared" ca="1" si="74"/>
        <v xml:space="preserve"> </v>
      </c>
      <c r="X960" s="141" t="str">
        <f ca="1">IF(S960=" "," ",IFERROR(VLOOKUP(U960,$F$23:$N$1023,7)+VLOOKUP(U960,$F$23:$N$1023,9)+IF(AND('депозитный калькулятор'!$G$13="нет",U960&lt;&gt;'депозитный калькулятор'!$D$8),VLOOKUP(U960,$F$23:$N$1023,4),0),0)+IF(U960='депозитный калькулятор'!$D$8,VLOOKUP(U960,$F$23:$N$1023,2)+VLOOKUP(U960,$F$23:$N$1023,4),0))</f>
        <v xml:space="preserve"> </v>
      </c>
      <c r="Y960" s="142" t="str">
        <f ca="1">IF(S960=" "," ",W960/(1+'депозитный калькулятор'!$K$8)^(T960/IF('депозитный калькулятор'!$G$7="30/360",360,365)))</f>
        <v xml:space="preserve"> </v>
      </c>
      <c r="Z960" s="142" t="str">
        <f ca="1">IF(S960=" "," ",X960/(1+'депозитный калькулятор'!$K$8)^(T960/IF('депозитный калькулятор'!$G$7="30/360",360,365)))</f>
        <v xml:space="preserve"> </v>
      </c>
      <c r="AA960" s="151"/>
      <c r="AB960" s="151"/>
      <c r="AC960" s="155"/>
      <c r="AD960" s="155"/>
    </row>
    <row r="961" spans="1:30" s="2" customFormat="1" ht="15.5" x14ac:dyDescent="0.35">
      <c r="A961" s="41" t="str">
        <f>IF(F961=" "," ",IF(OR('депозитный калькулятор'!$G$7="30/365",'депозитный калькулятор'!$G$7="30/360"),IF(AND(MONTH(F961)=2,DAY(F961)=DAY(EOMONTH(F961,0))),30-DAY(EOMONTH(F961,0)),IF(DAY(F961)=31,1," "))," "))</f>
        <v xml:space="preserve"> </v>
      </c>
      <c r="B961" s="130" t="str">
        <f t="shared" si="71"/>
        <v xml:space="preserve"> </v>
      </c>
      <c r="C961" s="130" t="str">
        <f>IF(OR(B961=0,B961=" ")," ",SUM($B$23:B961))</f>
        <v xml:space="preserve"> </v>
      </c>
      <c r="D961" s="62" t="str">
        <f>IF(D960=" "," ",IF(OR(F960='депозитный калькулятор'!$D$8,F960=" ")," ",D960+1))</f>
        <v xml:space="preserve"> </v>
      </c>
      <c r="E961" s="130" t="str">
        <f>IF(OR(F960='депозитный калькулятор'!$D$8,F960=" ")," ",IF(EOMONTH(F960,0)=F960,1,E960+1))</f>
        <v xml:space="preserve"> </v>
      </c>
      <c r="F961" s="64" t="str">
        <f>IF(F960=" "," ",IF(F960='депозитный калькулятор'!$D$8," ",F960+1))</f>
        <v xml:space="preserve"> </v>
      </c>
      <c r="G961" s="145" t="str">
        <f xml:space="preserve"> IF(F961&gt;'депозитный калькулятор'!$D$8," ",IF('депозитный калькулятор'!$G$13="есть",IF('депозитный калькулятор'!$G$14="есть",G960+IF(I960=" ",0,I960)-J961-K961+L961+M961-N961,G960+IF(I960=" ",0,I960)-J961-K961+M961-N961),IF('депозитный калькулятор'!$G$14="есть",G960-J961-K961+L961+M961-N961,G960-J961-K961+M961-N961)))</f>
        <v xml:space="preserve"> </v>
      </c>
      <c r="H961" s="133" t="str">
        <f>IF(F961&gt;'депозитный калькулятор'!$D$8," ",IF(AND(OR('депозитный калькулятор'!$G$7="30/365",'депозитный калькулятор'!$G$7="30/360"),AND(MONTH(F961)=2,EOMONTH(F961,0)=F961)),IF(DAY(F961)=28,3*G961*'депозитный калькулятор'!$G$8,2*G961*'депозитный калькулятор'!$G$8),IF(AND(OR('депозитный калькулятор'!$G$7="30/365",'депозитный калькулятор'!$G$7="30/360"),DAY(F961)=31)," ",IF(AND('депозитный калькулятор'!$G$7="факт/факт",MOD(YEAR(F961),4)=0),G961*'депозитный калькулятор'!$D$11/366,G961*'депозитный калькулятор'!$G$8))))</f>
        <v xml:space="preserve"> </v>
      </c>
      <c r="I961" s="134" t="str">
        <f ca="1">IF(F961=" "," ",IF('депозитный калькулятор'!$G$10="ежедневное",H961,IF(AND('депозитный калькулятор'!$G$10="еженедельное",WEEKDAY(F961,2)=7),SUM(OFFSET(H961,-6,0):H961),IF(AND('депозитный калькулятор'!$G$10="еженедельное",F961='депозитный калькулятор'!$D$8),SUM($H$23:H961)-SUM($I$23:I960),IF(AND('депозитный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недели",WEEKDAY(F961,2)=7),MIN(OFFSET(H961,-6,0):H961)*(COUNTIF(OFFSET(H961,-6,0):H961,"&gt;0")+SUMIF(OFFSET(A961,-WEEKDAY(F961,2),0):A961,"=2",OFFSET(A961,-WEEKDAY(F961,2),0):A961)),IF(AND('депозитный калькулятор'!$G$10="еженедельное, на минимальную сумму зафиксированную в течение недели",F961='депозитный калькулятор'!$D$8,WEEKDAY(F961,2)&lt;&gt;7),MIN(OFFSET(H961,-WEEKDAY(F961,2),0):H961)*(COUNTIF(OFFSET(H961,-WEEKDAY(F961,2)+1,0):H961,"&gt;0")+SUM(OFFSET(A961,-WEEKDAY(F961,2),0):A961)),IF(AND('депозитный калькулятор'!$G$10="ежемесячное (в конце месяца)",F961='депозитный калькулятор'!$D$8,EOMONTH(F961,0)&lt;&gt;F961),IF('депозитный калькулятор'!$F$1=1,$H$24,SUM($H$23:H961)-SUM($I$23:I960)),IF(AND('депозитный калькулятор'!$G$10="ежемесячное (в конце месяца)",EOMONTH(F961,0)=F961),SUM($H$23:H961)-SUM($I$23:I960),IF(AND('депозитный калькулятор'!$G$10="ежемесячное (по дням открытия вклада)",F961='депозитный калькулятор'!$D$8,DAY('депозитный калькулятор'!$D$7)&lt;&gt;DAY(F961)),IF('депозитный калькулятор'!$F$1=1,$H$24,SUM($H$23:H961)-SUM($I$23:I960)),IF(AND('депозитный калькулятор'!$G$10="ежемесячное (по дням открытия вклада)",DAY('депозитный калькулятор'!$D$7)=DAY(F961)),SUM($H$23:H961)-SUM($I$23:I960),IF(AND('депозитный калькулятор'!$G$10="ежемесячное, на минимальную сумму зафиксированную в течение месяца",F961='депозитный калькулятор'!$D$8,EOMONTH(F961,0)&lt;&gt;F961),IF('депозитный калькулятор'!$F$1=1,$H$24,IF(AND(OR('депозитный калькулятор'!$G$7="30/365",'депозитный калькулятор'!$G$7="30/360"),DAY(F961)=31),0,MIN(OFFSET(H961,-E961+1,0):H961)*(E961+SUMIF(OFFSET(A961,-E961+1,0):A961,"=2",OFFSET(A961,-E961+1,0):A961)))),IF(AND('депозитный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калькулятор'!$G$7="30/360"),DAY(EOMONTH(F961,0))=31),EOMONTH(F961,0)-1=F961,EOMONTH(F961,0)=F961)),IF(IF(AND(OR('депозитный калькулятор'!$G$7="30/365",'депозитный калькулятор'!$G$7="30/360"),DAY(EOMONTH($F$23,0))=31),F961=EOMONTH($F$23,0)-1,F961=EOMONTH($F$23,0)),MIN(OFFSET(H961,-(DAY(F961)-DAY($F$23)),0):H961)*E961,MIN(OFFSET(H961,-(DAY(F961)-1),0):H961)*IF(AND(OR('депозитный калькулятор'!$G$7="30/365",'депозитный калькулятор'!$G$7="30/360"),DAY(F961)&lt;30),30,DAY(F961))),IF(AND('депозитный калькулятор'!$G$10="ежемесячное, на средний остаток в течение месяца, при условии что остаток больше чем ограничение",F961='депозитный калькулятор'!$D$8,EOMONTH(F961,0)&lt;&gt;F961),IF('депозитный калькулятор'!$F$1=1,$H$24,SUM(OFFSET(Q961,-E961+1,0):Q961)),IF(AND('депозитный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калькулятор'!$G$7="30/360"),DAY(EOMONTH(F961,0))=31),EOMONTH(F961,0)-1=F961,EOMONTH(F961,0)=F961)),IF(IF(AND(OR('депозитный калькулятор'!$G$7="30/365",'депозитный калькулятор'!$G$7="30/360"),DAY(EOMONTH($F$24,0))=31),F961=EOMONTH($F$24,0)-1,F961=EOMONTH($F$24,0)),SUM(OFFSET(Q961,-E961+1,0):Q961),SUM(OFFSET(Q961,-E961+1,0):Q961)),IF('депозитный калькулятор'!$G$10="ежеквартальное",IF(F961&gt;'депозитный калькулятор'!$D$8," ",IF(AND(EOMONTH(F961,0)=F961,OR(MONTH(F961)=3,MONTH(F961)=6,MONTH(F961)=9,MONTH(F961)=12)),IF(EDATE(F961,-3)&lt;'депозитный калькулятор'!$D$7,SUM($H$23:H961),IF(MOD(YEAR(F961),4)=0,IF(AND(EOMONTH(F961,0)=F961,OR(MONTH(F961)=3,MONTH(F961)=6)),SUM(OFFSET(H961,-90,0):H961),IF(AND(EOMONTH(F961,0)=F961,OR(MONTH(F961)=9,MONTH(F961)=12)),SUM(OFFSET(H961,-91,0):H961))),IF(AND(EOMONTH(F961,0)=F961,MONTH(F961)=3),SUM(OFFSET(H961,-89,0):H961),IF(AND(EOMONTH(F961,0)=F961,MONTH(F961)=6),SUM(OFFSET(H961,-90,0):H961),IF(AND(EOMONTH(F961,0)=F961,OR(MONTH(F961)=9,MONTH(F961)=12)),SUM(OFFSET(H961,-91,0):H961)))))),IF(F961='депозитный калькулятор'!$D$8,SUM($H$23:H961)-SUM($I$23:I960),0))),IF('депозитный калькулятор'!$G$10="ежегодное",IF(F961&gt;'депозитный калькулятор'!$D$8," ",IF(F961='депозитный калькулятор'!$D$8,SUM($H$23:H961)-SUM($I$23:I960),IF(AND(EOMONTH(F961,0)=F961,MONTH(F961)=12),IF(MOD(YEAR(F960),4)=0,IF(F961-'депозитный калькулятор'!$D$7&lt;366,SUM($H$23:H961),SUM(OFFSET(H961,-365,0):H961)),IF(F961-'депозитный калькулятор'!$D$7&lt;365,SUM($H$23:H961),SUM(OFFSET(H961,-364,0):H961))),0))),IF(AND('депозитный калькулятор'!$G$10="в конце срока",'депозитный калькулятор'!$D$8=F961),SUM($H$23:H961),0))))))))))))))))))</f>
        <v xml:space="preserve"> </v>
      </c>
      <c r="J961" s="59" t="str">
        <f>IF(F961&gt;'депозитный калькулятор'!$D$8," ",IF('депозитный калькулятор'!$G$16="нет",0,IF(AND('депозитный калькулятор'!$G$17="разовая (в конце срока)",F961='депозитный калькулятор'!$D$8),'депозитный калькулятор'!$G$18,IF(AND('депозитный калькулятор'!$G$17="ежемесячная",EOMONTH(F960,0)=F960),'депозитный калькулятор'!$G$18,IF(AND('депозитный калькулятор'!$G$17="ежегодная",DAY(F960)=31,MONTH(F960)=12),'депозитный калькулятор'!$G$18,IF(AND('депозитный калькулятор'!$G$17="ежемесячная в зависимости от остатка",EOMONTH(F960,0)=F960,P960&gt;0),'депозитный калькулятор'!$G$18,IF(AND('депозитный калькулятор'!$G$17="ежегодная в зависимости от остатка",DAY(F960)=31,MONTH(F960)=12,P960&gt;0),'депозитный калькулятор'!$G$18,0)))))))</f>
        <v xml:space="preserve"> </v>
      </c>
      <c r="K961" s="135" t="str">
        <f>IF($F961=" "," ",IFERROR(VLOOKUP($F961,'депозитный калькулятор'!$B$26:$F$70,2,0),0))</f>
        <v xml:space="preserve"> </v>
      </c>
      <c r="L961" s="135" t="str">
        <f>IF($F961=" "," ",IFERROR(VLOOKUP($F961,'депозитный калькулятор'!$B$26:$F$70,3,0),0))</f>
        <v xml:space="preserve"> </v>
      </c>
      <c r="M961" s="135" t="str">
        <f>IF($F961=" "," ",IFERROR(VLOOKUP($F961,'депозитный калькулятор'!$B$26:$F$70,4,0),0))</f>
        <v xml:space="preserve"> </v>
      </c>
      <c r="N961" s="135" t="str">
        <f>IF($F961=" "," ",IFERROR(VLOOKUP($F961,'депозитный калькулятор'!$B$26:$F$70,5,0),0))</f>
        <v xml:space="preserve"> </v>
      </c>
      <c r="O961" s="146" t="str">
        <f>IF(F961&gt;'депозитный калькулятор'!$D$8," ",IF(F961='депозитный калькулятор'!$D$8,IF(AND($F$24='депозитный калькулятор'!$D$8,'депозитный калькулятор'!$G$13="нет"),-G961-IF(I961=" ",0,I961)-IF(AND(OR('депозитный калькулятор'!$G$7="30/365",'депозитный калькулятор'!$G$7="30/360"),'депозитный калькулятор'!$G$10="в начале срока"),I960,0)-L961+M961-N961,-G961-IF(I961=" ",0,I961)-L961+M961-N961),IF('депозитный калькулятор'!$G$13="есть",M961-N961+IF('депозитный калькулятор'!$G$14="есть",0,-L961),-IF(I961=" ",0,I961)-IF(AND(OR('депозитный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срока"),I960,0)+M961-N961+IF('депозитный калькулятор'!$G$14="есть",0,-L961))))</f>
        <v xml:space="preserve"> </v>
      </c>
      <c r="P961" s="147" t="str">
        <f>IF(F961&gt;'депозитный калькулятор'!$D$8," ",IF(EOMONTH(F960,0)=F960,0,IF(G961&gt;='депозитный калькулятор'!$G$19,P960,P960+1)))</f>
        <v xml:space="preserve"> </v>
      </c>
      <c r="Q961" s="138" t="str">
        <f>IF(F961=" "," ",IF(AND(OR('депозитный калькулятор'!$G$7="30/365",'депозитный калькулятор'!$G$7="30/360"),AND(MONTH(F961)=2,EOMONTH(F961,0)=F961)),IF(DAY(F961)=28,3,2),1)*IF(G961&gt;='депозитный калькулятор'!$G$11,IF(AND('депозитный калькулятор'!$G$7="факт/факт",MOD(YEAR(F961),4)=0),G961*'депозитный калькулятор'!$D$11/366,G961*'депозитный калькулятор'!$G$8),0))</f>
        <v xml:space="preserve"> </v>
      </c>
      <c r="S961" s="62" t="str">
        <f t="shared" ca="1" si="72"/>
        <v xml:space="preserve"> </v>
      </c>
      <c r="T961" s="149" t="str">
        <f ca="1">IF(S961=" "," ",IF('депозитный калькулятор'!$G$7="30/360",DAYS360(U960,IF(DAY(U961)=31,U961-1,U961))+IF(AND(MONTH(U961)=2,U961=EOMONTH(U961,0)),30-DAY(EOMONTH(U961,0)))+T960,VLOOKUP(S961,$C$22:$F$1023,2,0)))</f>
        <v xml:space="preserve"> </v>
      </c>
      <c r="U961" s="64" t="str">
        <f t="shared" ca="1" si="70"/>
        <v xml:space="preserve"> </v>
      </c>
      <c r="V961" s="150" t="str">
        <f t="shared" ca="1" si="73"/>
        <v xml:space="preserve"> </v>
      </c>
      <c r="W961" s="62" t="str">
        <f t="shared" ca="1" si="74"/>
        <v xml:space="preserve"> </v>
      </c>
      <c r="X961" s="141" t="str">
        <f ca="1">IF(S961=" "," ",IFERROR(VLOOKUP(U961,$F$23:$N$1023,7)+VLOOKUP(U961,$F$23:$N$1023,9)+IF(AND('депозитный калькулятор'!$G$13="нет",U961&lt;&gt;'депозитный калькулятор'!$D$8),VLOOKUP(U961,$F$23:$N$1023,4),0),0)+IF(U961='депозитный калькулятор'!$D$8,VLOOKUP(U961,$F$23:$N$1023,2)+VLOOKUP(U961,$F$23:$N$1023,4),0))</f>
        <v xml:space="preserve"> </v>
      </c>
      <c r="Y961" s="142" t="str">
        <f ca="1">IF(S961=" "," ",W961/(1+'депозитный калькулятор'!$K$8)^(T961/IF('депозитный калькулятор'!$G$7="30/360",360,365)))</f>
        <v xml:space="preserve"> </v>
      </c>
      <c r="Z961" s="142" t="str">
        <f ca="1">IF(S961=" "," ",X961/(1+'депозитный калькулятор'!$K$8)^(T961/IF('депозитный калькулятор'!$G$7="30/360",360,365)))</f>
        <v xml:space="preserve"> </v>
      </c>
      <c r="AA961" s="151"/>
      <c r="AB961" s="151"/>
      <c r="AC961" s="155"/>
      <c r="AD961" s="155"/>
    </row>
    <row r="962" spans="1:30" s="2" customFormat="1" ht="15.5" x14ac:dyDescent="0.35">
      <c r="A962" s="41" t="str">
        <f>IF(F962=" "," ",IF(OR('депозитный калькулятор'!$G$7="30/365",'депозитный калькулятор'!$G$7="30/360"),IF(AND(MONTH(F962)=2,DAY(F962)=DAY(EOMONTH(F962,0))),30-DAY(EOMONTH(F962,0)),IF(DAY(F962)=31,1," "))," "))</f>
        <v xml:space="preserve"> </v>
      </c>
      <c r="B962" s="130" t="str">
        <f t="shared" si="71"/>
        <v xml:space="preserve"> </v>
      </c>
      <c r="C962" s="130" t="str">
        <f>IF(OR(B962=0,B962=" ")," ",SUM($B$23:B962))</f>
        <v xml:space="preserve"> </v>
      </c>
      <c r="D962" s="62" t="str">
        <f>IF(D961=" "," ",IF(OR(F961='депозитный калькулятор'!$D$8,F961=" ")," ",D961+1))</f>
        <v xml:space="preserve"> </v>
      </c>
      <c r="E962" s="130" t="str">
        <f>IF(OR(F961='депозитный калькулятор'!$D$8,F961=" ")," ",IF(EOMONTH(F961,0)=F961,1,E961+1))</f>
        <v xml:space="preserve"> </v>
      </c>
      <c r="F962" s="64" t="str">
        <f>IF(F961=" "," ",IF(F961='депозитный калькулятор'!$D$8," ",F961+1))</f>
        <v xml:space="preserve"> </v>
      </c>
      <c r="G962" s="145" t="str">
        <f xml:space="preserve"> IF(F962&gt;'депозитный калькулятор'!$D$8," ",IF('депозитный калькулятор'!$G$13="есть",IF('депозитный калькулятор'!$G$14="есть",G961+IF(I961=" ",0,I961)-J962-K962+L962+M962-N962,G961+IF(I961=" ",0,I961)-J962-K962+M962-N962),IF('депозитный калькулятор'!$G$14="есть",G961-J962-K962+L962+M962-N962,G961-J962-K962+M962-N962)))</f>
        <v xml:space="preserve"> </v>
      </c>
      <c r="H962" s="133" t="str">
        <f>IF(F962&gt;'депозитный калькулятор'!$D$8," ",IF(AND(OR('депозитный калькулятор'!$G$7="30/365",'депозитный калькулятор'!$G$7="30/360"),AND(MONTH(F962)=2,EOMONTH(F962,0)=F962)),IF(DAY(F962)=28,3*G962*'депозитный калькулятор'!$G$8,2*G962*'депозитный калькулятор'!$G$8),IF(AND(OR('депозитный калькулятор'!$G$7="30/365",'депозитный калькулятор'!$G$7="30/360"),DAY(F962)=31)," ",IF(AND('депозитный калькулятор'!$G$7="факт/факт",MOD(YEAR(F962),4)=0),G962*'депозитный калькулятор'!$D$11/366,G962*'депозитный калькулятор'!$G$8))))</f>
        <v xml:space="preserve"> </v>
      </c>
      <c r="I962" s="134" t="str">
        <f ca="1">IF(F962=" "," ",IF('депозитный калькулятор'!$G$10="ежедневное",H962,IF(AND('депозитный калькулятор'!$G$10="еженедельное",WEEKDAY(F962,2)=7),SUM(OFFSET(H962,-6,0):H962),IF(AND('депозитный калькулятор'!$G$10="еженедельное",F962='депозитный калькулятор'!$D$8),SUM($H$23:H962)-SUM($I$23:I961),IF(AND('депозитный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недели",WEEKDAY(F962,2)=7),MIN(OFFSET(H962,-6,0):H962)*(COUNTIF(OFFSET(H962,-6,0):H962,"&gt;0")+SUMIF(OFFSET(A962,-WEEKDAY(F962,2),0):A962,"=2",OFFSET(A962,-WEEKDAY(F962,2),0):A962)),IF(AND('депозитный калькулятор'!$G$10="еженедельное, на минимальную сумму зафиксированную в течение недели",F962='депозитный калькулятор'!$D$8,WEEKDAY(F962,2)&lt;&gt;7),MIN(OFFSET(H962,-WEEKDAY(F962,2),0):H962)*(COUNTIF(OFFSET(H962,-WEEKDAY(F962,2)+1,0):H962,"&gt;0")+SUM(OFFSET(A962,-WEEKDAY(F962,2),0):A962)),IF(AND('депозитный калькулятор'!$G$10="ежемесячное (в конце месяца)",F962='депозитный калькулятор'!$D$8,EOMONTH(F962,0)&lt;&gt;F962),IF('депозитный калькулятор'!$F$1=1,$H$24,SUM($H$23:H962)-SUM($I$23:I961)),IF(AND('депозитный калькулятор'!$G$10="ежемесячное (в конце месяца)",EOMONTH(F962,0)=F962),SUM($H$23:H962)-SUM($I$23:I961),IF(AND('депозитный калькулятор'!$G$10="ежемесячное (по дням открытия вклада)",F962='депозитный калькулятор'!$D$8,DAY('депозитный калькулятор'!$D$7)&lt;&gt;DAY(F962)),IF('депозитный калькулятор'!$F$1=1,$H$24,SUM($H$23:H962)-SUM($I$23:I961)),IF(AND('депозитный калькулятор'!$G$10="ежемесячное (по дням открытия вклада)",DAY('депозитный калькулятор'!$D$7)=DAY(F962)),SUM($H$23:H962)-SUM($I$23:I961),IF(AND('депозитный калькулятор'!$G$10="ежемесячное, на минимальную сумму зафиксированную в течение месяца",F962='депозитный калькулятор'!$D$8,EOMONTH(F962,0)&lt;&gt;F962),IF('депозитный калькулятор'!$F$1=1,$H$24,IF(AND(OR('депозитный калькулятор'!$G$7="30/365",'депозитный калькулятор'!$G$7="30/360"),DAY(F962)=31),0,MIN(OFFSET(H962,-E962+1,0):H962)*(E962+SUMIF(OFFSET(A962,-E962+1,0):A962,"=2",OFFSET(A962,-E962+1,0):A962)))),IF(AND('депозитный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калькулятор'!$G$7="30/360"),DAY(EOMONTH(F962,0))=31),EOMONTH(F962,0)-1=F962,EOMONTH(F962,0)=F962)),IF(IF(AND(OR('депозитный калькулятор'!$G$7="30/365",'депозитный калькулятор'!$G$7="30/360"),DAY(EOMONTH($F$23,0))=31),F962=EOMONTH($F$23,0)-1,F962=EOMONTH($F$23,0)),MIN(OFFSET(H962,-(DAY(F962)-DAY($F$23)),0):H962)*E962,MIN(OFFSET(H962,-(DAY(F962)-1),0):H962)*IF(AND(OR('депозитный калькулятор'!$G$7="30/365",'депозитный калькулятор'!$G$7="30/360"),DAY(F962)&lt;30),30,DAY(F962))),IF(AND('депозитный калькулятор'!$G$10="ежемесячное, на средний остаток в течение месяца, при условии что остаток больше чем ограничение",F962='депозитный калькулятор'!$D$8,EOMONTH(F962,0)&lt;&gt;F962),IF('депозитный калькулятор'!$F$1=1,$H$24,SUM(OFFSET(Q962,-E962+1,0):Q962)),IF(AND('депозитный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калькулятор'!$G$7="30/360"),DAY(EOMONTH(F962,0))=31),EOMONTH(F962,0)-1=F962,EOMONTH(F962,0)=F962)),IF(IF(AND(OR('депозитный калькулятор'!$G$7="30/365",'депозитный калькулятор'!$G$7="30/360"),DAY(EOMONTH($F$24,0))=31),F962=EOMONTH($F$24,0)-1,F962=EOMONTH($F$24,0)),SUM(OFFSET(Q962,-E962+1,0):Q962),SUM(OFFSET(Q962,-E962+1,0):Q962)),IF('депозитный калькулятор'!$G$10="ежеквартальное",IF(F962&gt;'депозитный калькулятор'!$D$8," ",IF(AND(EOMONTH(F962,0)=F962,OR(MONTH(F962)=3,MONTH(F962)=6,MONTH(F962)=9,MONTH(F962)=12)),IF(EDATE(F962,-3)&lt;'депозитный калькулятор'!$D$7,SUM($H$23:H962),IF(MOD(YEAR(F962),4)=0,IF(AND(EOMONTH(F962,0)=F962,OR(MONTH(F962)=3,MONTH(F962)=6)),SUM(OFFSET(H962,-90,0):H962),IF(AND(EOMONTH(F962,0)=F962,OR(MONTH(F962)=9,MONTH(F962)=12)),SUM(OFFSET(H962,-91,0):H962))),IF(AND(EOMONTH(F962,0)=F962,MONTH(F962)=3),SUM(OFFSET(H962,-89,0):H962),IF(AND(EOMONTH(F962,0)=F962,MONTH(F962)=6),SUM(OFFSET(H962,-90,0):H962),IF(AND(EOMONTH(F962,0)=F962,OR(MONTH(F962)=9,MONTH(F962)=12)),SUM(OFFSET(H962,-91,0):H962)))))),IF(F962='депозитный калькулятор'!$D$8,SUM($H$23:H962)-SUM($I$23:I961),0))),IF('депозитный калькулятор'!$G$10="ежегодное",IF(F962&gt;'депозитный калькулятор'!$D$8," ",IF(F962='депозитный калькулятор'!$D$8,SUM($H$23:H962)-SUM($I$23:I961),IF(AND(EOMONTH(F962,0)=F962,MONTH(F962)=12),IF(MOD(YEAR(F961),4)=0,IF(F962-'депозитный калькулятор'!$D$7&lt;366,SUM($H$23:H962),SUM(OFFSET(H962,-365,0):H962)),IF(F962-'депозитный калькулятор'!$D$7&lt;365,SUM($H$23:H962),SUM(OFFSET(H962,-364,0):H962))),0))),IF(AND('депозитный калькулятор'!$G$10="в конце срока",'депозитный калькулятор'!$D$8=F962),SUM($H$23:H962),0))))))))))))))))))</f>
        <v xml:space="preserve"> </v>
      </c>
      <c r="J962" s="59" t="str">
        <f>IF(F962&gt;'депозитный калькулятор'!$D$8," ",IF('депозитный калькулятор'!$G$16="нет",0,IF(AND('депозитный калькулятор'!$G$17="разовая (в конце срока)",F962='депозитный калькулятор'!$D$8),'депозитный калькулятор'!$G$18,IF(AND('депозитный калькулятор'!$G$17="ежемесячная",EOMONTH(F961,0)=F961),'депозитный калькулятор'!$G$18,IF(AND('депозитный калькулятор'!$G$17="ежегодная",DAY(F961)=31,MONTH(F961)=12),'депозитный калькулятор'!$G$18,IF(AND('депозитный калькулятор'!$G$17="ежемесячная в зависимости от остатка",EOMONTH(F961,0)=F961,P961&gt;0),'депозитный калькулятор'!$G$18,IF(AND('депозитный калькулятор'!$G$17="ежегодная в зависимости от остатка",DAY(F961)=31,MONTH(F961)=12,P961&gt;0),'депозитный калькулятор'!$G$18,0)))))))</f>
        <v xml:space="preserve"> </v>
      </c>
      <c r="K962" s="135" t="str">
        <f>IF($F962=" "," ",IFERROR(VLOOKUP($F962,'депозитный калькулятор'!$B$26:$F$70,2,0),0))</f>
        <v xml:space="preserve"> </v>
      </c>
      <c r="L962" s="135" t="str">
        <f>IF($F962=" "," ",IFERROR(VLOOKUP($F962,'депозитный калькулятор'!$B$26:$F$70,3,0),0))</f>
        <v xml:space="preserve"> </v>
      </c>
      <c r="M962" s="135" t="str">
        <f>IF($F962=" "," ",IFERROR(VLOOKUP($F962,'депозитный калькулятор'!$B$26:$F$70,4,0),0))</f>
        <v xml:space="preserve"> </v>
      </c>
      <c r="N962" s="135" t="str">
        <f>IF($F962=" "," ",IFERROR(VLOOKUP($F962,'депозитный калькулятор'!$B$26:$F$70,5,0),0))</f>
        <v xml:space="preserve"> </v>
      </c>
      <c r="O962" s="146" t="str">
        <f>IF(F962&gt;'депозитный калькулятор'!$D$8," ",IF(F962='депозитный калькулятор'!$D$8,IF(AND($F$24='депозитный калькулятор'!$D$8,'депозитный калькулятор'!$G$13="нет"),-G962-IF(I962=" ",0,I962)-IF(AND(OR('депозитный калькулятор'!$G$7="30/365",'депозитный калькулятор'!$G$7="30/360"),'депозитный калькулятор'!$G$10="в начале срока"),I961,0)-L962+M962-N962,-G962-IF(I962=" ",0,I962)-L962+M962-N962),IF('депозитный калькулятор'!$G$13="есть",M962-N962+IF('депозитный калькулятор'!$G$14="есть",0,-L962),-IF(I962=" ",0,I962)-IF(AND(OR('депозитный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срока"),I961,0)+M962-N962+IF('депозитный калькулятор'!$G$14="есть",0,-L962))))</f>
        <v xml:space="preserve"> </v>
      </c>
      <c r="P962" s="147" t="str">
        <f>IF(F962&gt;'депозитный калькулятор'!$D$8," ",IF(EOMONTH(F961,0)=F961,0,IF(G962&gt;='депозитный калькулятор'!$G$19,P961,P961+1)))</f>
        <v xml:space="preserve"> </v>
      </c>
      <c r="Q962" s="138" t="str">
        <f>IF(F962=" "," ",IF(AND(OR('депозитный калькулятор'!$G$7="30/365",'депозитный калькулятор'!$G$7="30/360"),AND(MONTH(F962)=2,EOMONTH(F962,0)=F962)),IF(DAY(F962)=28,3,2),1)*IF(G962&gt;='депозитный калькулятор'!$G$11,IF(AND('депозитный калькулятор'!$G$7="факт/факт",MOD(YEAR(F962),4)=0),G962*'депозитный калькулятор'!$D$11/366,G962*'депозитный калькулятор'!$G$8),0))</f>
        <v xml:space="preserve"> </v>
      </c>
      <c r="S962" s="62" t="str">
        <f t="shared" ca="1" si="72"/>
        <v xml:space="preserve"> </v>
      </c>
      <c r="T962" s="149" t="str">
        <f ca="1">IF(S962=" "," ",IF('депозитный калькулятор'!$G$7="30/360",DAYS360(U961,IF(DAY(U962)=31,U962-1,U962))+IF(AND(MONTH(U962)=2,U962=EOMONTH(U962,0)),30-DAY(EOMONTH(U962,0)))+T961,VLOOKUP(S962,$C$22:$F$1023,2,0)))</f>
        <v xml:space="preserve"> </v>
      </c>
      <c r="U962" s="64" t="str">
        <f t="shared" ca="1" si="70"/>
        <v xml:space="preserve"> </v>
      </c>
      <c r="V962" s="150" t="str">
        <f t="shared" ca="1" si="73"/>
        <v xml:space="preserve"> </v>
      </c>
      <c r="W962" s="62" t="str">
        <f t="shared" ca="1" si="74"/>
        <v xml:space="preserve"> </v>
      </c>
      <c r="X962" s="141" t="str">
        <f ca="1">IF(S962=" "," ",IFERROR(VLOOKUP(U962,$F$23:$N$1023,7)+VLOOKUP(U962,$F$23:$N$1023,9)+IF(AND('депозитный калькулятор'!$G$13="нет",U962&lt;&gt;'депозитный калькулятор'!$D$8),VLOOKUP(U962,$F$23:$N$1023,4),0),0)+IF(U962='депозитный калькулятор'!$D$8,VLOOKUP(U962,$F$23:$N$1023,2)+VLOOKUP(U962,$F$23:$N$1023,4),0))</f>
        <v xml:space="preserve"> </v>
      </c>
      <c r="Y962" s="142" t="str">
        <f ca="1">IF(S962=" "," ",W962/(1+'депозитный калькулятор'!$K$8)^(T962/IF('депозитный калькулятор'!$G$7="30/360",360,365)))</f>
        <v xml:space="preserve"> </v>
      </c>
      <c r="Z962" s="142" t="str">
        <f ca="1">IF(S962=" "," ",X962/(1+'депозитный калькулятор'!$K$8)^(T962/IF('депозитный калькулятор'!$G$7="30/360",360,365)))</f>
        <v xml:space="preserve"> </v>
      </c>
      <c r="AA962" s="151"/>
      <c r="AB962" s="151"/>
      <c r="AC962" s="155"/>
      <c r="AD962" s="155"/>
    </row>
    <row r="963" spans="1:30" s="2" customFormat="1" ht="15.5" x14ac:dyDescent="0.35">
      <c r="A963" s="41" t="str">
        <f>IF(F963=" "," ",IF(OR('депозитный калькулятор'!$G$7="30/365",'депозитный калькулятор'!$G$7="30/360"),IF(AND(MONTH(F963)=2,DAY(F963)=DAY(EOMONTH(F963,0))),30-DAY(EOMONTH(F963,0)),IF(DAY(F963)=31,1," "))," "))</f>
        <v xml:space="preserve"> </v>
      </c>
      <c r="B963" s="130" t="str">
        <f t="shared" si="71"/>
        <v xml:space="preserve"> </v>
      </c>
      <c r="C963" s="130" t="str">
        <f>IF(OR(B963=0,B963=" ")," ",SUM($B$23:B963))</f>
        <v xml:space="preserve"> </v>
      </c>
      <c r="D963" s="62" t="str">
        <f>IF(D962=" "," ",IF(OR(F962='депозитный калькулятор'!$D$8,F962=" ")," ",D962+1))</f>
        <v xml:space="preserve"> </v>
      </c>
      <c r="E963" s="130" t="str">
        <f>IF(OR(F962='депозитный калькулятор'!$D$8,F962=" ")," ",IF(EOMONTH(F962,0)=F962,1,E962+1))</f>
        <v xml:space="preserve"> </v>
      </c>
      <c r="F963" s="64" t="str">
        <f>IF(F962=" "," ",IF(F962='депозитный калькулятор'!$D$8," ",F962+1))</f>
        <v xml:space="preserve"> </v>
      </c>
      <c r="G963" s="145" t="str">
        <f xml:space="preserve"> IF(F963&gt;'депозитный калькулятор'!$D$8," ",IF('депозитный калькулятор'!$G$13="есть",IF('депозитный калькулятор'!$G$14="есть",G962+IF(I962=" ",0,I962)-J963-K963+L963+M963-N963,G962+IF(I962=" ",0,I962)-J963-K963+M963-N963),IF('депозитный калькулятор'!$G$14="есть",G962-J963-K963+L963+M963-N963,G962-J963-K963+M963-N963)))</f>
        <v xml:space="preserve"> </v>
      </c>
      <c r="H963" s="133" t="str">
        <f>IF(F963&gt;'депозитный калькулятор'!$D$8," ",IF(AND(OR('депозитный калькулятор'!$G$7="30/365",'депозитный калькулятор'!$G$7="30/360"),AND(MONTH(F963)=2,EOMONTH(F963,0)=F963)),IF(DAY(F963)=28,3*G963*'депозитный калькулятор'!$G$8,2*G963*'депозитный калькулятор'!$G$8),IF(AND(OR('депозитный калькулятор'!$G$7="30/365",'депозитный калькулятор'!$G$7="30/360"),DAY(F963)=31)," ",IF(AND('депозитный калькулятор'!$G$7="факт/факт",MOD(YEAR(F963),4)=0),G963*'депозитный калькулятор'!$D$11/366,G963*'депозитный калькулятор'!$G$8))))</f>
        <v xml:space="preserve"> </v>
      </c>
      <c r="I963" s="134" t="str">
        <f ca="1">IF(F963=" "," ",IF('депозитный калькулятор'!$G$10="ежедневное",H963,IF(AND('депозитный калькулятор'!$G$10="еженедельное",WEEKDAY(F963,2)=7),SUM(OFFSET(H963,-6,0):H963),IF(AND('депозитный калькулятор'!$G$10="еженедельное",F963='депозитный калькулятор'!$D$8),SUM($H$23:H963)-SUM($I$23:I962),IF(AND('депозитный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недели",WEEKDAY(F963,2)=7),MIN(OFFSET(H963,-6,0):H963)*(COUNTIF(OFFSET(H963,-6,0):H963,"&gt;0")+SUMIF(OFFSET(A963,-WEEKDAY(F963,2),0):A963,"=2",OFFSET(A963,-WEEKDAY(F963,2),0):A963)),IF(AND('депозитный калькулятор'!$G$10="еженедельное, на минимальную сумму зафиксированную в течение недели",F963='депозитный калькулятор'!$D$8,WEEKDAY(F963,2)&lt;&gt;7),MIN(OFFSET(H963,-WEEKDAY(F963,2),0):H963)*(COUNTIF(OFFSET(H963,-WEEKDAY(F963,2)+1,0):H963,"&gt;0")+SUM(OFFSET(A963,-WEEKDAY(F963,2),0):A963)),IF(AND('депозитный калькулятор'!$G$10="ежемесячное (в конце месяца)",F963='депозитный калькулятор'!$D$8,EOMONTH(F963,0)&lt;&gt;F963),IF('депозитный калькулятор'!$F$1=1,$H$24,SUM($H$23:H963)-SUM($I$23:I962)),IF(AND('депозитный калькулятор'!$G$10="ежемесячное (в конце месяца)",EOMONTH(F963,0)=F963),SUM($H$23:H963)-SUM($I$23:I962),IF(AND('депозитный калькулятор'!$G$10="ежемесячное (по дням открытия вклада)",F963='депозитный калькулятор'!$D$8,DAY('депозитный калькулятор'!$D$7)&lt;&gt;DAY(F963)),IF('депозитный калькулятор'!$F$1=1,$H$24,SUM($H$23:H963)-SUM($I$23:I962)),IF(AND('депозитный калькулятор'!$G$10="ежемесячное (по дням открытия вклада)",DAY('депозитный калькулятор'!$D$7)=DAY(F963)),SUM($H$23:H963)-SUM($I$23:I962),IF(AND('депозитный калькулятор'!$G$10="ежемесячное, на минимальную сумму зафиксированную в течение месяца",F963='депозитный калькулятор'!$D$8,EOMONTH(F963,0)&lt;&gt;F963),IF('депозитный калькулятор'!$F$1=1,$H$24,IF(AND(OR('депозитный калькулятор'!$G$7="30/365",'депозитный калькулятор'!$G$7="30/360"),DAY(F963)=31),0,MIN(OFFSET(H963,-E963+1,0):H963)*(E963+SUMIF(OFFSET(A963,-E963+1,0):A963,"=2",OFFSET(A963,-E963+1,0):A963)))),IF(AND('депозитный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калькулятор'!$G$7="30/360"),DAY(EOMONTH(F963,0))=31),EOMONTH(F963,0)-1=F963,EOMONTH(F963,0)=F963)),IF(IF(AND(OR('депозитный калькулятор'!$G$7="30/365",'депозитный калькулятор'!$G$7="30/360"),DAY(EOMONTH($F$23,0))=31),F963=EOMONTH($F$23,0)-1,F963=EOMONTH($F$23,0)),MIN(OFFSET(H963,-(DAY(F963)-DAY($F$23)),0):H963)*E963,MIN(OFFSET(H963,-(DAY(F963)-1),0):H963)*IF(AND(OR('депозитный калькулятор'!$G$7="30/365",'депозитный калькулятор'!$G$7="30/360"),DAY(F963)&lt;30),30,DAY(F963))),IF(AND('депозитный калькулятор'!$G$10="ежемесячное, на средний остаток в течение месяца, при условии что остаток больше чем ограничение",F963='депозитный калькулятор'!$D$8,EOMONTH(F963,0)&lt;&gt;F963),IF('депозитный калькулятор'!$F$1=1,$H$24,SUM(OFFSET(Q963,-E963+1,0):Q963)),IF(AND('депозитный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калькулятор'!$G$7="30/360"),DAY(EOMONTH(F963,0))=31),EOMONTH(F963,0)-1=F963,EOMONTH(F963,0)=F963)),IF(IF(AND(OR('депозитный калькулятор'!$G$7="30/365",'депозитный калькулятор'!$G$7="30/360"),DAY(EOMONTH($F$24,0))=31),F963=EOMONTH($F$24,0)-1,F963=EOMONTH($F$24,0)),SUM(OFFSET(Q963,-E963+1,0):Q963),SUM(OFFSET(Q963,-E963+1,0):Q963)),IF('депозитный калькулятор'!$G$10="ежеквартальное",IF(F963&gt;'депозитный калькулятор'!$D$8," ",IF(AND(EOMONTH(F963,0)=F963,OR(MONTH(F963)=3,MONTH(F963)=6,MONTH(F963)=9,MONTH(F963)=12)),IF(EDATE(F963,-3)&lt;'депозитный калькулятор'!$D$7,SUM($H$23:H963),IF(MOD(YEAR(F963),4)=0,IF(AND(EOMONTH(F963,0)=F963,OR(MONTH(F963)=3,MONTH(F963)=6)),SUM(OFFSET(H963,-90,0):H963),IF(AND(EOMONTH(F963,0)=F963,OR(MONTH(F963)=9,MONTH(F963)=12)),SUM(OFFSET(H963,-91,0):H963))),IF(AND(EOMONTH(F963,0)=F963,MONTH(F963)=3),SUM(OFFSET(H963,-89,0):H963),IF(AND(EOMONTH(F963,0)=F963,MONTH(F963)=6),SUM(OFFSET(H963,-90,0):H963),IF(AND(EOMONTH(F963,0)=F963,OR(MONTH(F963)=9,MONTH(F963)=12)),SUM(OFFSET(H963,-91,0):H963)))))),IF(F963='депозитный калькулятор'!$D$8,SUM($H$23:H963)-SUM($I$23:I962),0))),IF('депозитный калькулятор'!$G$10="ежегодное",IF(F963&gt;'депозитный калькулятор'!$D$8," ",IF(F963='депозитный калькулятор'!$D$8,SUM($H$23:H963)-SUM($I$23:I962),IF(AND(EOMONTH(F963,0)=F963,MONTH(F963)=12),IF(MOD(YEAR(F962),4)=0,IF(F963-'депозитный калькулятор'!$D$7&lt;366,SUM($H$23:H963),SUM(OFFSET(H963,-365,0):H963)),IF(F963-'депозитный калькулятор'!$D$7&lt;365,SUM($H$23:H963),SUM(OFFSET(H963,-364,0):H963))),0))),IF(AND('депозитный калькулятор'!$G$10="в конце срока",'депозитный калькулятор'!$D$8=F963),SUM($H$23:H963),0))))))))))))))))))</f>
        <v xml:space="preserve"> </v>
      </c>
      <c r="J963" s="59" t="str">
        <f>IF(F963&gt;'депозитный калькулятор'!$D$8," ",IF('депозитный калькулятор'!$G$16="нет",0,IF(AND('депозитный калькулятор'!$G$17="разовая (в конце срока)",F963='депозитный калькулятор'!$D$8),'депозитный калькулятор'!$G$18,IF(AND('депозитный калькулятор'!$G$17="ежемесячная",EOMONTH(F962,0)=F962),'депозитный калькулятор'!$G$18,IF(AND('депозитный калькулятор'!$G$17="ежегодная",DAY(F962)=31,MONTH(F962)=12),'депозитный калькулятор'!$G$18,IF(AND('депозитный калькулятор'!$G$17="ежемесячная в зависимости от остатка",EOMONTH(F962,0)=F962,P962&gt;0),'депозитный калькулятор'!$G$18,IF(AND('депозитный калькулятор'!$G$17="ежегодная в зависимости от остатка",DAY(F962)=31,MONTH(F962)=12,P962&gt;0),'депозитный калькулятор'!$G$18,0)))))))</f>
        <v xml:space="preserve"> </v>
      </c>
      <c r="K963" s="135" t="str">
        <f>IF($F963=" "," ",IFERROR(VLOOKUP($F963,'депозитный калькулятор'!$B$26:$F$70,2,0),0))</f>
        <v xml:space="preserve"> </v>
      </c>
      <c r="L963" s="135" t="str">
        <f>IF($F963=" "," ",IFERROR(VLOOKUP($F963,'депозитный калькулятор'!$B$26:$F$70,3,0),0))</f>
        <v xml:space="preserve"> </v>
      </c>
      <c r="M963" s="135" t="str">
        <f>IF($F963=" "," ",IFERROR(VLOOKUP($F963,'депозитный калькулятор'!$B$26:$F$70,4,0),0))</f>
        <v xml:space="preserve"> </v>
      </c>
      <c r="N963" s="135" t="str">
        <f>IF($F963=" "," ",IFERROR(VLOOKUP($F963,'депозитный калькулятор'!$B$26:$F$70,5,0),0))</f>
        <v xml:space="preserve"> </v>
      </c>
      <c r="O963" s="146" t="str">
        <f>IF(F963&gt;'депозитный калькулятор'!$D$8," ",IF(F963='депозитный калькулятор'!$D$8,IF(AND($F$24='депозитный калькулятор'!$D$8,'депозитный калькулятор'!$G$13="нет"),-G963-IF(I963=" ",0,I963)-IF(AND(OR('депозитный калькулятор'!$G$7="30/365",'депозитный калькулятор'!$G$7="30/360"),'депозитный калькулятор'!$G$10="в начале срока"),I962,0)-L963+M963-N963,-G963-IF(I963=" ",0,I963)-L963+M963-N963),IF('депозитный калькулятор'!$G$13="есть",M963-N963+IF('депозитный калькулятор'!$G$14="есть",0,-L963),-IF(I963=" ",0,I963)-IF(AND(OR('депозитный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срока"),I962,0)+M963-N963+IF('депозитный калькулятор'!$G$14="есть",0,-L963))))</f>
        <v xml:space="preserve"> </v>
      </c>
      <c r="P963" s="147" t="str">
        <f>IF(F963&gt;'депозитный калькулятор'!$D$8," ",IF(EOMONTH(F962,0)=F962,0,IF(G963&gt;='депозитный калькулятор'!$G$19,P962,P962+1)))</f>
        <v xml:space="preserve"> </v>
      </c>
      <c r="Q963" s="138" t="str">
        <f>IF(F963=" "," ",IF(AND(OR('депозитный калькулятор'!$G$7="30/365",'депозитный калькулятор'!$G$7="30/360"),AND(MONTH(F963)=2,EOMONTH(F963,0)=F963)),IF(DAY(F963)=28,3,2),1)*IF(G963&gt;='депозитный калькулятор'!$G$11,IF(AND('депозитный калькулятор'!$G$7="факт/факт",MOD(YEAR(F963),4)=0),G963*'депозитный калькулятор'!$D$11/366,G963*'депозитный калькулятор'!$G$8),0))</f>
        <v xml:space="preserve"> </v>
      </c>
      <c r="S963" s="62" t="str">
        <f t="shared" ca="1" si="72"/>
        <v xml:space="preserve"> </v>
      </c>
      <c r="T963" s="149" t="str">
        <f ca="1">IF(S963=" "," ",IF('депозитный калькулятор'!$G$7="30/360",DAYS360(U962,IF(DAY(U963)=31,U963-1,U963))+IF(AND(MONTH(U963)=2,U963=EOMONTH(U963,0)),30-DAY(EOMONTH(U963,0)))+T962,VLOOKUP(S963,$C$22:$F$1023,2,0)))</f>
        <v xml:space="preserve"> </v>
      </c>
      <c r="U963" s="64" t="str">
        <f t="shared" ca="1" si="70"/>
        <v xml:space="preserve"> </v>
      </c>
      <c r="V963" s="150" t="str">
        <f t="shared" ca="1" si="73"/>
        <v xml:space="preserve"> </v>
      </c>
      <c r="W963" s="62" t="str">
        <f t="shared" ca="1" si="74"/>
        <v xml:space="preserve"> </v>
      </c>
      <c r="X963" s="141" t="str">
        <f ca="1">IF(S963=" "," ",IFERROR(VLOOKUP(U963,$F$23:$N$1023,7)+VLOOKUP(U963,$F$23:$N$1023,9)+IF(AND('депозитный калькулятор'!$G$13="нет",U963&lt;&gt;'депозитный калькулятор'!$D$8),VLOOKUP(U963,$F$23:$N$1023,4),0),0)+IF(U963='депозитный калькулятор'!$D$8,VLOOKUP(U963,$F$23:$N$1023,2)+VLOOKUP(U963,$F$23:$N$1023,4),0))</f>
        <v xml:space="preserve"> </v>
      </c>
      <c r="Y963" s="142" t="str">
        <f ca="1">IF(S963=" "," ",W963/(1+'депозитный калькулятор'!$K$8)^(T963/IF('депозитный калькулятор'!$G$7="30/360",360,365)))</f>
        <v xml:space="preserve"> </v>
      </c>
      <c r="Z963" s="142" t="str">
        <f ca="1">IF(S963=" "," ",X963/(1+'депозитный калькулятор'!$K$8)^(T963/IF('депозитный калькулятор'!$G$7="30/360",360,365)))</f>
        <v xml:space="preserve"> </v>
      </c>
      <c r="AA963" s="151"/>
      <c r="AB963" s="151"/>
      <c r="AC963" s="155"/>
      <c r="AD963" s="155"/>
    </row>
    <row r="964" spans="1:30" s="2" customFormat="1" ht="15.5" x14ac:dyDescent="0.35">
      <c r="A964" s="41" t="str">
        <f>IF(F964=" "," ",IF(OR('депозитный калькулятор'!$G$7="30/365",'депозитный калькулятор'!$G$7="30/360"),IF(AND(MONTH(F964)=2,DAY(F964)=DAY(EOMONTH(F964,0))),30-DAY(EOMONTH(F964,0)),IF(DAY(F964)=31,1," "))," "))</f>
        <v xml:space="preserve"> </v>
      </c>
      <c r="B964" s="130" t="str">
        <f t="shared" si="71"/>
        <v xml:space="preserve"> </v>
      </c>
      <c r="C964" s="130" t="str">
        <f>IF(OR(B964=0,B964=" ")," ",SUM($B$23:B964))</f>
        <v xml:space="preserve"> </v>
      </c>
      <c r="D964" s="62" t="str">
        <f>IF(D963=" "," ",IF(OR(F963='депозитный калькулятор'!$D$8,F963=" ")," ",D963+1))</f>
        <v xml:space="preserve"> </v>
      </c>
      <c r="E964" s="130" t="str">
        <f>IF(OR(F963='депозитный калькулятор'!$D$8,F963=" ")," ",IF(EOMONTH(F963,0)=F963,1,E963+1))</f>
        <v xml:space="preserve"> </v>
      </c>
      <c r="F964" s="64" t="str">
        <f>IF(F963=" "," ",IF(F963='депозитный калькулятор'!$D$8," ",F963+1))</f>
        <v xml:space="preserve"> </v>
      </c>
      <c r="G964" s="145" t="str">
        <f xml:space="preserve"> IF(F964&gt;'депозитный калькулятор'!$D$8," ",IF('депозитный калькулятор'!$G$13="есть",IF('депозитный калькулятор'!$G$14="есть",G963+IF(I963=" ",0,I963)-J964-K964+L964+M964-N964,G963+IF(I963=" ",0,I963)-J964-K964+M964-N964),IF('депозитный калькулятор'!$G$14="есть",G963-J964-K964+L964+M964-N964,G963-J964-K964+M964-N964)))</f>
        <v xml:space="preserve"> </v>
      </c>
      <c r="H964" s="133" t="str">
        <f>IF(F964&gt;'депозитный калькулятор'!$D$8," ",IF(AND(OR('депозитный калькулятор'!$G$7="30/365",'депозитный калькулятор'!$G$7="30/360"),AND(MONTH(F964)=2,EOMONTH(F964,0)=F964)),IF(DAY(F964)=28,3*G964*'депозитный калькулятор'!$G$8,2*G964*'депозитный калькулятор'!$G$8),IF(AND(OR('депозитный калькулятор'!$G$7="30/365",'депозитный калькулятор'!$G$7="30/360"),DAY(F964)=31)," ",IF(AND('депозитный калькулятор'!$G$7="факт/факт",MOD(YEAR(F964),4)=0),G964*'депозитный калькулятор'!$D$11/366,G964*'депозитный калькулятор'!$G$8))))</f>
        <v xml:space="preserve"> </v>
      </c>
      <c r="I964" s="134" t="str">
        <f ca="1">IF(F964=" "," ",IF('депозитный калькулятор'!$G$10="ежедневное",H964,IF(AND('депозитный калькулятор'!$G$10="еженедельное",WEEKDAY(F964,2)=7),SUM(OFFSET(H964,-6,0):H964),IF(AND('депозитный калькулятор'!$G$10="еженедельное",F964='депозитный калькулятор'!$D$8),SUM($H$23:H964)-SUM($I$23:I963),IF(AND('депозитный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недели",WEEKDAY(F964,2)=7),MIN(OFFSET(H964,-6,0):H964)*(COUNTIF(OFFSET(H964,-6,0):H964,"&gt;0")+SUMIF(OFFSET(A964,-WEEKDAY(F964,2),0):A964,"=2",OFFSET(A964,-WEEKDAY(F964,2),0):A964)),IF(AND('депозитный калькулятор'!$G$10="еженедельное, на минимальную сумму зафиксированную в течение недели",F964='депозитный калькулятор'!$D$8,WEEKDAY(F964,2)&lt;&gt;7),MIN(OFFSET(H964,-WEEKDAY(F964,2),0):H964)*(COUNTIF(OFFSET(H964,-WEEKDAY(F964,2)+1,0):H964,"&gt;0")+SUM(OFFSET(A964,-WEEKDAY(F964,2),0):A964)),IF(AND('депозитный калькулятор'!$G$10="ежемесячное (в конце месяца)",F964='депозитный калькулятор'!$D$8,EOMONTH(F964,0)&lt;&gt;F964),IF('депозитный калькулятор'!$F$1=1,$H$24,SUM($H$23:H964)-SUM($I$23:I963)),IF(AND('депозитный калькулятор'!$G$10="ежемесячное (в конце месяца)",EOMONTH(F964,0)=F964),SUM($H$23:H964)-SUM($I$23:I963),IF(AND('депозитный калькулятор'!$G$10="ежемесячное (по дням открытия вклада)",F964='депозитный калькулятор'!$D$8,DAY('депозитный калькулятор'!$D$7)&lt;&gt;DAY(F964)),IF('депозитный калькулятор'!$F$1=1,$H$24,SUM($H$23:H964)-SUM($I$23:I963)),IF(AND('депозитный калькулятор'!$G$10="ежемесячное (по дням открытия вклада)",DAY('депозитный калькулятор'!$D$7)=DAY(F964)),SUM($H$23:H964)-SUM($I$23:I963),IF(AND('депозитный калькулятор'!$G$10="ежемесячное, на минимальную сумму зафиксированную в течение месяца",F964='депозитный калькулятор'!$D$8,EOMONTH(F964,0)&lt;&gt;F964),IF('депозитный калькулятор'!$F$1=1,$H$24,IF(AND(OR('депозитный калькулятор'!$G$7="30/365",'депозитный калькулятор'!$G$7="30/360"),DAY(F964)=31),0,MIN(OFFSET(H964,-E964+1,0):H964)*(E964+SUMIF(OFFSET(A964,-E964+1,0):A964,"=2",OFFSET(A964,-E964+1,0):A964)))),IF(AND('депозитный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калькулятор'!$G$7="30/360"),DAY(EOMONTH(F964,0))=31),EOMONTH(F964,0)-1=F964,EOMONTH(F964,0)=F964)),IF(IF(AND(OR('депозитный калькулятор'!$G$7="30/365",'депозитный калькулятор'!$G$7="30/360"),DAY(EOMONTH($F$23,0))=31),F964=EOMONTH($F$23,0)-1,F964=EOMONTH($F$23,0)),MIN(OFFSET(H964,-(DAY(F964)-DAY($F$23)),0):H964)*E964,MIN(OFFSET(H964,-(DAY(F964)-1),0):H964)*IF(AND(OR('депозитный калькулятор'!$G$7="30/365",'депозитный калькулятор'!$G$7="30/360"),DAY(F964)&lt;30),30,DAY(F964))),IF(AND('депозитный калькулятор'!$G$10="ежемесячное, на средний остаток в течение месяца, при условии что остаток больше чем ограничение",F964='депозитный калькулятор'!$D$8,EOMONTH(F964,0)&lt;&gt;F964),IF('депозитный калькулятор'!$F$1=1,$H$24,SUM(OFFSET(Q964,-E964+1,0):Q964)),IF(AND('депозитный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калькулятор'!$G$7="30/360"),DAY(EOMONTH(F964,0))=31),EOMONTH(F964,0)-1=F964,EOMONTH(F964,0)=F964)),IF(IF(AND(OR('депозитный калькулятор'!$G$7="30/365",'депозитный калькулятор'!$G$7="30/360"),DAY(EOMONTH($F$24,0))=31),F964=EOMONTH($F$24,0)-1,F964=EOMONTH($F$24,0)),SUM(OFFSET(Q964,-E964+1,0):Q964),SUM(OFFSET(Q964,-E964+1,0):Q964)),IF('депозитный калькулятор'!$G$10="ежеквартальное",IF(F964&gt;'депозитный калькулятор'!$D$8," ",IF(AND(EOMONTH(F964,0)=F964,OR(MONTH(F964)=3,MONTH(F964)=6,MONTH(F964)=9,MONTH(F964)=12)),IF(EDATE(F964,-3)&lt;'депозитный калькулятор'!$D$7,SUM($H$23:H964),IF(MOD(YEAR(F964),4)=0,IF(AND(EOMONTH(F964,0)=F964,OR(MONTH(F964)=3,MONTH(F964)=6)),SUM(OFFSET(H964,-90,0):H964),IF(AND(EOMONTH(F964,0)=F964,OR(MONTH(F964)=9,MONTH(F964)=12)),SUM(OFFSET(H964,-91,0):H964))),IF(AND(EOMONTH(F964,0)=F964,MONTH(F964)=3),SUM(OFFSET(H964,-89,0):H964),IF(AND(EOMONTH(F964,0)=F964,MONTH(F964)=6),SUM(OFFSET(H964,-90,0):H964),IF(AND(EOMONTH(F964,0)=F964,OR(MONTH(F964)=9,MONTH(F964)=12)),SUM(OFFSET(H964,-91,0):H964)))))),IF(F964='депозитный калькулятор'!$D$8,SUM($H$23:H964)-SUM($I$23:I963),0))),IF('депозитный калькулятор'!$G$10="ежегодное",IF(F964&gt;'депозитный калькулятор'!$D$8," ",IF(F964='депозитный калькулятор'!$D$8,SUM($H$23:H964)-SUM($I$23:I963),IF(AND(EOMONTH(F964,0)=F964,MONTH(F964)=12),IF(MOD(YEAR(F963),4)=0,IF(F964-'депозитный калькулятор'!$D$7&lt;366,SUM($H$23:H964),SUM(OFFSET(H964,-365,0):H964)),IF(F964-'депозитный калькулятор'!$D$7&lt;365,SUM($H$23:H964),SUM(OFFSET(H964,-364,0):H964))),0))),IF(AND('депозитный калькулятор'!$G$10="в конце срока",'депозитный калькулятор'!$D$8=F964),SUM($H$23:H964),0))))))))))))))))))</f>
        <v xml:space="preserve"> </v>
      </c>
      <c r="J964" s="59" t="str">
        <f>IF(F964&gt;'депозитный калькулятор'!$D$8," ",IF('депозитный калькулятор'!$G$16="нет",0,IF(AND('депозитный калькулятор'!$G$17="разовая (в конце срока)",F964='депозитный калькулятор'!$D$8),'депозитный калькулятор'!$G$18,IF(AND('депозитный калькулятор'!$G$17="ежемесячная",EOMONTH(F963,0)=F963),'депозитный калькулятор'!$G$18,IF(AND('депозитный калькулятор'!$G$17="ежегодная",DAY(F963)=31,MONTH(F963)=12),'депозитный калькулятор'!$G$18,IF(AND('депозитный калькулятор'!$G$17="ежемесячная в зависимости от остатка",EOMONTH(F963,0)=F963,P963&gt;0),'депозитный калькулятор'!$G$18,IF(AND('депозитный калькулятор'!$G$17="ежегодная в зависимости от остатка",DAY(F963)=31,MONTH(F963)=12,P963&gt;0),'депозитный калькулятор'!$G$18,0)))))))</f>
        <v xml:space="preserve"> </v>
      </c>
      <c r="K964" s="135" t="str">
        <f>IF($F964=" "," ",IFERROR(VLOOKUP($F964,'депозитный калькулятор'!$B$26:$F$70,2,0),0))</f>
        <v xml:space="preserve"> </v>
      </c>
      <c r="L964" s="135" t="str">
        <f>IF($F964=" "," ",IFERROR(VLOOKUP($F964,'депозитный калькулятор'!$B$26:$F$70,3,0),0))</f>
        <v xml:space="preserve"> </v>
      </c>
      <c r="M964" s="135" t="str">
        <f>IF($F964=" "," ",IFERROR(VLOOKUP($F964,'депозитный калькулятор'!$B$26:$F$70,4,0),0))</f>
        <v xml:space="preserve"> </v>
      </c>
      <c r="N964" s="135" t="str">
        <f>IF($F964=" "," ",IFERROR(VLOOKUP($F964,'депозитный калькулятор'!$B$26:$F$70,5,0),0))</f>
        <v xml:space="preserve"> </v>
      </c>
      <c r="O964" s="146" t="str">
        <f>IF(F964&gt;'депозитный калькулятор'!$D$8," ",IF(F964='депозитный калькулятор'!$D$8,IF(AND($F$24='депозитный калькулятор'!$D$8,'депозитный калькулятор'!$G$13="нет"),-G964-IF(I964=" ",0,I964)-IF(AND(OR('депозитный калькулятор'!$G$7="30/365",'депозитный калькулятор'!$G$7="30/360"),'депозитный калькулятор'!$G$10="в начале срока"),I963,0)-L964+M964-N964,-G964-IF(I964=" ",0,I964)-L964+M964-N964),IF('депозитный калькулятор'!$G$13="есть",M964-N964+IF('депозитный калькулятор'!$G$14="есть",0,-L964),-IF(I964=" ",0,I964)-IF(AND(OR('депозитный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срока"),I963,0)+M964-N964+IF('депозитный калькулятор'!$G$14="есть",0,-L964))))</f>
        <v xml:space="preserve"> </v>
      </c>
      <c r="P964" s="147" t="str">
        <f>IF(F964&gt;'депозитный калькулятор'!$D$8," ",IF(EOMONTH(F963,0)=F963,0,IF(G964&gt;='депозитный калькулятор'!$G$19,P963,P963+1)))</f>
        <v xml:space="preserve"> </v>
      </c>
      <c r="Q964" s="138" t="str">
        <f>IF(F964=" "," ",IF(AND(OR('депозитный калькулятор'!$G$7="30/365",'депозитный калькулятор'!$G$7="30/360"),AND(MONTH(F964)=2,EOMONTH(F964,0)=F964)),IF(DAY(F964)=28,3,2),1)*IF(G964&gt;='депозитный калькулятор'!$G$11,IF(AND('депозитный калькулятор'!$G$7="факт/факт",MOD(YEAR(F964),4)=0),G964*'депозитный калькулятор'!$D$11/366,G964*'депозитный калькулятор'!$G$8),0))</f>
        <v xml:space="preserve"> </v>
      </c>
      <c r="S964" s="62" t="str">
        <f t="shared" ca="1" si="72"/>
        <v xml:space="preserve"> </v>
      </c>
      <c r="T964" s="149" t="str">
        <f ca="1">IF(S964=" "," ",IF('депозитный калькулятор'!$G$7="30/360",DAYS360(U963,IF(DAY(U964)=31,U964-1,U964))+IF(AND(MONTH(U964)=2,U964=EOMONTH(U964,0)),30-DAY(EOMONTH(U964,0)))+T963,VLOOKUP(S964,$C$22:$F$1023,2,0)))</f>
        <v xml:space="preserve"> </v>
      </c>
      <c r="U964" s="64" t="str">
        <f t="shared" ca="1" si="70"/>
        <v xml:space="preserve"> </v>
      </c>
      <c r="V964" s="150" t="str">
        <f t="shared" ca="1" si="73"/>
        <v xml:space="preserve"> </v>
      </c>
      <c r="W964" s="62" t="str">
        <f t="shared" ca="1" si="74"/>
        <v xml:space="preserve"> </v>
      </c>
      <c r="X964" s="141" t="str">
        <f ca="1">IF(S964=" "," ",IFERROR(VLOOKUP(U964,$F$23:$N$1023,7)+VLOOKUP(U964,$F$23:$N$1023,9)+IF(AND('депозитный калькулятор'!$G$13="нет",U964&lt;&gt;'депозитный калькулятор'!$D$8),VLOOKUP(U964,$F$23:$N$1023,4),0),0)+IF(U964='депозитный калькулятор'!$D$8,VLOOKUP(U964,$F$23:$N$1023,2)+VLOOKUP(U964,$F$23:$N$1023,4),0))</f>
        <v xml:space="preserve"> </v>
      </c>
      <c r="Y964" s="142" t="str">
        <f ca="1">IF(S964=" "," ",W964/(1+'депозитный калькулятор'!$K$8)^(T964/IF('депозитный калькулятор'!$G$7="30/360",360,365)))</f>
        <v xml:space="preserve"> </v>
      </c>
      <c r="Z964" s="142" t="str">
        <f ca="1">IF(S964=" "," ",X964/(1+'депозитный калькулятор'!$K$8)^(T964/IF('депозитный калькулятор'!$G$7="30/360",360,365)))</f>
        <v xml:space="preserve"> </v>
      </c>
      <c r="AA964" s="151"/>
      <c r="AB964" s="151"/>
      <c r="AC964" s="155"/>
      <c r="AD964" s="155"/>
    </row>
    <row r="965" spans="1:30" s="2" customFormat="1" ht="15.5" x14ac:dyDescent="0.35">
      <c r="A965" s="41" t="str">
        <f>IF(F965=" "," ",IF(OR('депозитный калькулятор'!$G$7="30/365",'депозитный калькулятор'!$G$7="30/360"),IF(AND(MONTH(F965)=2,DAY(F965)=DAY(EOMONTH(F965,0))),30-DAY(EOMONTH(F965,0)),IF(DAY(F965)=31,1," "))," "))</f>
        <v xml:space="preserve"> </v>
      </c>
      <c r="B965" s="130" t="str">
        <f t="shared" si="71"/>
        <v xml:space="preserve"> </v>
      </c>
      <c r="C965" s="130" t="str">
        <f>IF(OR(B965=0,B965=" ")," ",SUM($B$23:B965))</f>
        <v xml:space="preserve"> </v>
      </c>
      <c r="D965" s="62" t="str">
        <f>IF(D964=" "," ",IF(OR(F964='депозитный калькулятор'!$D$8,F964=" ")," ",D964+1))</f>
        <v xml:space="preserve"> </v>
      </c>
      <c r="E965" s="130" t="str">
        <f>IF(OR(F964='депозитный калькулятор'!$D$8,F964=" ")," ",IF(EOMONTH(F964,0)=F964,1,E964+1))</f>
        <v xml:space="preserve"> </v>
      </c>
      <c r="F965" s="64" t="str">
        <f>IF(F964=" "," ",IF(F964='депозитный калькулятор'!$D$8," ",F964+1))</f>
        <v xml:space="preserve"> </v>
      </c>
      <c r="G965" s="145" t="str">
        <f xml:space="preserve"> IF(F965&gt;'депозитный калькулятор'!$D$8," ",IF('депозитный калькулятор'!$G$13="есть",IF('депозитный калькулятор'!$G$14="есть",G964+IF(I964=" ",0,I964)-J965-K965+L965+M965-N965,G964+IF(I964=" ",0,I964)-J965-K965+M965-N965),IF('депозитный калькулятор'!$G$14="есть",G964-J965-K965+L965+M965-N965,G964-J965-K965+M965-N965)))</f>
        <v xml:space="preserve"> </v>
      </c>
      <c r="H965" s="133" t="str">
        <f>IF(F965&gt;'депозитный калькулятор'!$D$8," ",IF(AND(OR('депозитный калькулятор'!$G$7="30/365",'депозитный калькулятор'!$G$7="30/360"),AND(MONTH(F965)=2,EOMONTH(F965,0)=F965)),IF(DAY(F965)=28,3*G965*'депозитный калькулятор'!$G$8,2*G965*'депозитный калькулятор'!$G$8),IF(AND(OR('депозитный калькулятор'!$G$7="30/365",'депозитный калькулятор'!$G$7="30/360"),DAY(F965)=31)," ",IF(AND('депозитный калькулятор'!$G$7="факт/факт",MOD(YEAR(F965),4)=0),G965*'депозитный калькулятор'!$D$11/366,G965*'депозитный калькулятор'!$G$8))))</f>
        <v xml:space="preserve"> </v>
      </c>
      <c r="I965" s="134" t="str">
        <f ca="1">IF(F965=" "," ",IF('депозитный калькулятор'!$G$10="ежедневное",H965,IF(AND('депозитный калькулятор'!$G$10="еженедельное",WEEKDAY(F965,2)=7),SUM(OFFSET(H965,-6,0):H965),IF(AND('депозитный калькулятор'!$G$10="еженедельное",F965='депозитный калькулятор'!$D$8),SUM($H$23:H965)-SUM($I$23:I964),IF(AND('депозитный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недели",WEEKDAY(F965,2)=7),MIN(OFFSET(H965,-6,0):H965)*(COUNTIF(OFFSET(H965,-6,0):H965,"&gt;0")+SUMIF(OFFSET(A965,-WEEKDAY(F965,2),0):A965,"=2",OFFSET(A965,-WEEKDAY(F965,2),0):A965)),IF(AND('депозитный калькулятор'!$G$10="еженедельное, на минимальную сумму зафиксированную в течение недели",F965='депозитный калькулятор'!$D$8,WEEKDAY(F965,2)&lt;&gt;7),MIN(OFFSET(H965,-WEEKDAY(F965,2),0):H965)*(COUNTIF(OFFSET(H965,-WEEKDAY(F965,2)+1,0):H965,"&gt;0")+SUM(OFFSET(A965,-WEEKDAY(F965,2),0):A965)),IF(AND('депозитный калькулятор'!$G$10="ежемесячное (в конце месяца)",F965='депозитный калькулятор'!$D$8,EOMONTH(F965,0)&lt;&gt;F965),IF('депозитный калькулятор'!$F$1=1,$H$24,SUM($H$23:H965)-SUM($I$23:I964)),IF(AND('депозитный калькулятор'!$G$10="ежемесячное (в конце месяца)",EOMONTH(F965,0)=F965),SUM($H$23:H965)-SUM($I$23:I964),IF(AND('депозитный калькулятор'!$G$10="ежемесячное (по дням открытия вклада)",F965='депозитный калькулятор'!$D$8,DAY('депозитный калькулятор'!$D$7)&lt;&gt;DAY(F965)),IF('депозитный калькулятор'!$F$1=1,$H$24,SUM($H$23:H965)-SUM($I$23:I964)),IF(AND('депозитный калькулятор'!$G$10="ежемесячное (по дням открытия вклада)",DAY('депозитный калькулятор'!$D$7)=DAY(F965)),SUM($H$23:H965)-SUM($I$23:I964),IF(AND('депозитный калькулятор'!$G$10="ежемесячное, на минимальную сумму зафиксированную в течение месяца",F965='депозитный калькулятор'!$D$8,EOMONTH(F965,0)&lt;&gt;F965),IF('депозитный калькулятор'!$F$1=1,$H$24,IF(AND(OR('депозитный калькулятор'!$G$7="30/365",'депозитный калькулятор'!$G$7="30/360"),DAY(F965)=31),0,MIN(OFFSET(H965,-E965+1,0):H965)*(E965+SUMIF(OFFSET(A965,-E965+1,0):A965,"=2",OFFSET(A965,-E965+1,0):A965)))),IF(AND('депозитный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калькулятор'!$G$7="30/360"),DAY(EOMONTH(F965,0))=31),EOMONTH(F965,0)-1=F965,EOMONTH(F965,0)=F965)),IF(IF(AND(OR('депозитный калькулятор'!$G$7="30/365",'депозитный калькулятор'!$G$7="30/360"),DAY(EOMONTH($F$23,0))=31),F965=EOMONTH($F$23,0)-1,F965=EOMONTH($F$23,0)),MIN(OFFSET(H965,-(DAY(F965)-DAY($F$23)),0):H965)*E965,MIN(OFFSET(H965,-(DAY(F965)-1),0):H965)*IF(AND(OR('депозитный калькулятор'!$G$7="30/365",'депозитный калькулятор'!$G$7="30/360"),DAY(F965)&lt;30),30,DAY(F965))),IF(AND('депозитный калькулятор'!$G$10="ежемесячное, на средний остаток в течение месяца, при условии что остаток больше чем ограничение",F965='депозитный калькулятор'!$D$8,EOMONTH(F965,0)&lt;&gt;F965),IF('депозитный калькулятор'!$F$1=1,$H$24,SUM(OFFSET(Q965,-E965+1,0):Q965)),IF(AND('депозитный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калькулятор'!$G$7="30/360"),DAY(EOMONTH(F965,0))=31),EOMONTH(F965,0)-1=F965,EOMONTH(F965,0)=F965)),IF(IF(AND(OR('депозитный калькулятор'!$G$7="30/365",'депозитный калькулятор'!$G$7="30/360"),DAY(EOMONTH($F$24,0))=31),F965=EOMONTH($F$24,0)-1,F965=EOMONTH($F$24,0)),SUM(OFFSET(Q965,-E965+1,0):Q965),SUM(OFFSET(Q965,-E965+1,0):Q965)),IF('депозитный калькулятор'!$G$10="ежеквартальное",IF(F965&gt;'депозитный калькулятор'!$D$8," ",IF(AND(EOMONTH(F965,0)=F965,OR(MONTH(F965)=3,MONTH(F965)=6,MONTH(F965)=9,MONTH(F965)=12)),IF(EDATE(F965,-3)&lt;'депозитный калькулятор'!$D$7,SUM($H$23:H965),IF(MOD(YEAR(F965),4)=0,IF(AND(EOMONTH(F965,0)=F965,OR(MONTH(F965)=3,MONTH(F965)=6)),SUM(OFFSET(H965,-90,0):H965),IF(AND(EOMONTH(F965,0)=F965,OR(MONTH(F965)=9,MONTH(F965)=12)),SUM(OFFSET(H965,-91,0):H965))),IF(AND(EOMONTH(F965,0)=F965,MONTH(F965)=3),SUM(OFFSET(H965,-89,0):H965),IF(AND(EOMONTH(F965,0)=F965,MONTH(F965)=6),SUM(OFFSET(H965,-90,0):H965),IF(AND(EOMONTH(F965,0)=F965,OR(MONTH(F965)=9,MONTH(F965)=12)),SUM(OFFSET(H965,-91,0):H965)))))),IF(F965='депозитный калькулятор'!$D$8,SUM($H$23:H965)-SUM($I$23:I964),0))),IF('депозитный калькулятор'!$G$10="ежегодное",IF(F965&gt;'депозитный калькулятор'!$D$8," ",IF(F965='депозитный калькулятор'!$D$8,SUM($H$23:H965)-SUM($I$23:I964),IF(AND(EOMONTH(F965,0)=F965,MONTH(F965)=12),IF(MOD(YEAR(F964),4)=0,IF(F965-'депозитный калькулятор'!$D$7&lt;366,SUM($H$23:H965),SUM(OFFSET(H965,-365,0):H965)),IF(F965-'депозитный калькулятор'!$D$7&lt;365,SUM($H$23:H965),SUM(OFFSET(H965,-364,0):H965))),0))),IF(AND('депозитный калькулятор'!$G$10="в конце срока",'депозитный калькулятор'!$D$8=F965),SUM($H$23:H965),0))))))))))))))))))</f>
        <v xml:space="preserve"> </v>
      </c>
      <c r="J965" s="59" t="str">
        <f>IF(F965&gt;'депозитный калькулятор'!$D$8," ",IF('депозитный калькулятор'!$G$16="нет",0,IF(AND('депозитный калькулятор'!$G$17="разовая (в конце срока)",F965='депозитный калькулятор'!$D$8),'депозитный калькулятор'!$G$18,IF(AND('депозитный калькулятор'!$G$17="ежемесячная",EOMONTH(F964,0)=F964),'депозитный калькулятор'!$G$18,IF(AND('депозитный калькулятор'!$G$17="ежегодная",DAY(F964)=31,MONTH(F964)=12),'депозитный калькулятор'!$G$18,IF(AND('депозитный калькулятор'!$G$17="ежемесячная в зависимости от остатка",EOMONTH(F964,0)=F964,P964&gt;0),'депозитный калькулятор'!$G$18,IF(AND('депозитный калькулятор'!$G$17="ежегодная в зависимости от остатка",DAY(F964)=31,MONTH(F964)=12,P964&gt;0),'депозитный калькулятор'!$G$18,0)))))))</f>
        <v xml:space="preserve"> </v>
      </c>
      <c r="K965" s="135" t="str">
        <f>IF($F965=" "," ",IFERROR(VLOOKUP($F965,'депозитный калькулятор'!$B$26:$F$70,2,0),0))</f>
        <v xml:space="preserve"> </v>
      </c>
      <c r="L965" s="135" t="str">
        <f>IF($F965=" "," ",IFERROR(VLOOKUP($F965,'депозитный калькулятор'!$B$26:$F$70,3,0),0))</f>
        <v xml:space="preserve"> </v>
      </c>
      <c r="M965" s="135" t="str">
        <f>IF($F965=" "," ",IFERROR(VLOOKUP($F965,'депозитный калькулятор'!$B$26:$F$70,4,0),0))</f>
        <v xml:space="preserve"> </v>
      </c>
      <c r="N965" s="135" t="str">
        <f>IF($F965=" "," ",IFERROR(VLOOKUP($F965,'депозитный калькулятор'!$B$26:$F$70,5,0),0))</f>
        <v xml:space="preserve"> </v>
      </c>
      <c r="O965" s="146" t="str">
        <f>IF(F965&gt;'депозитный калькулятор'!$D$8," ",IF(F965='депозитный калькулятор'!$D$8,IF(AND($F$24='депозитный калькулятор'!$D$8,'депозитный калькулятор'!$G$13="нет"),-G965-IF(I965=" ",0,I965)-IF(AND(OR('депозитный калькулятор'!$G$7="30/365",'депозитный калькулятор'!$G$7="30/360"),'депозитный калькулятор'!$G$10="в начале срока"),I964,0)-L965+M965-N965,-G965-IF(I965=" ",0,I965)-L965+M965-N965),IF('депозитный калькулятор'!$G$13="есть",M965-N965+IF('депозитный калькулятор'!$G$14="есть",0,-L965),-IF(I965=" ",0,I965)-IF(AND(OR('депозитный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срока"),I964,0)+M965-N965+IF('депозитный калькулятор'!$G$14="есть",0,-L965))))</f>
        <v xml:space="preserve"> </v>
      </c>
      <c r="P965" s="147" t="str">
        <f>IF(F965&gt;'депозитный калькулятор'!$D$8," ",IF(EOMONTH(F964,0)=F964,0,IF(G965&gt;='депозитный калькулятор'!$G$19,P964,P964+1)))</f>
        <v xml:space="preserve"> </v>
      </c>
      <c r="Q965" s="138" t="str">
        <f>IF(F965=" "," ",IF(AND(OR('депозитный калькулятор'!$G$7="30/365",'депозитный калькулятор'!$G$7="30/360"),AND(MONTH(F965)=2,EOMONTH(F965,0)=F965)),IF(DAY(F965)=28,3,2),1)*IF(G965&gt;='депозитный калькулятор'!$G$11,IF(AND('депозитный калькулятор'!$G$7="факт/факт",MOD(YEAR(F965),4)=0),G965*'депозитный калькулятор'!$D$11/366,G965*'депозитный калькулятор'!$G$8),0))</f>
        <v xml:space="preserve"> </v>
      </c>
      <c r="S965" s="62" t="str">
        <f t="shared" ca="1" si="72"/>
        <v xml:space="preserve"> </v>
      </c>
      <c r="T965" s="149" t="str">
        <f ca="1">IF(S965=" "," ",IF('депозитный калькулятор'!$G$7="30/360",DAYS360(U964,IF(DAY(U965)=31,U965-1,U965))+IF(AND(MONTH(U965)=2,U965=EOMONTH(U965,0)),30-DAY(EOMONTH(U965,0)))+T964,VLOOKUP(S965,$C$22:$F$1023,2,0)))</f>
        <v xml:space="preserve"> </v>
      </c>
      <c r="U965" s="64" t="str">
        <f t="shared" ca="1" si="70"/>
        <v xml:space="preserve"> </v>
      </c>
      <c r="V965" s="150" t="str">
        <f t="shared" ca="1" si="73"/>
        <v xml:space="preserve"> </v>
      </c>
      <c r="W965" s="62" t="str">
        <f t="shared" ca="1" si="74"/>
        <v xml:space="preserve"> </v>
      </c>
      <c r="X965" s="141" t="str">
        <f ca="1">IF(S965=" "," ",IFERROR(VLOOKUP(U965,$F$23:$N$1023,7)+VLOOKUP(U965,$F$23:$N$1023,9)+IF(AND('депозитный калькулятор'!$G$13="нет",U965&lt;&gt;'депозитный калькулятор'!$D$8),VLOOKUP(U965,$F$23:$N$1023,4),0),0)+IF(U965='депозитный калькулятор'!$D$8,VLOOKUP(U965,$F$23:$N$1023,2)+VLOOKUP(U965,$F$23:$N$1023,4),0))</f>
        <v xml:space="preserve"> </v>
      </c>
      <c r="Y965" s="142" t="str">
        <f ca="1">IF(S965=" "," ",W965/(1+'депозитный калькулятор'!$K$8)^(T965/IF('депозитный калькулятор'!$G$7="30/360",360,365)))</f>
        <v xml:space="preserve"> </v>
      </c>
      <c r="Z965" s="142" t="str">
        <f ca="1">IF(S965=" "," ",X965/(1+'депозитный калькулятор'!$K$8)^(T965/IF('депозитный калькулятор'!$G$7="30/360",360,365)))</f>
        <v xml:space="preserve"> </v>
      </c>
      <c r="AA965" s="151"/>
      <c r="AB965" s="151"/>
      <c r="AC965" s="155"/>
      <c r="AD965" s="155"/>
    </row>
    <row r="966" spans="1:30" s="2" customFormat="1" ht="15.5" x14ac:dyDescent="0.35">
      <c r="A966" s="41" t="str">
        <f>IF(F966=" "," ",IF(OR('депозитный калькулятор'!$G$7="30/365",'депозитный калькулятор'!$G$7="30/360"),IF(AND(MONTH(F966)=2,DAY(F966)=DAY(EOMONTH(F966,0))),30-DAY(EOMONTH(F966,0)),IF(DAY(F966)=31,1," "))," "))</f>
        <v xml:space="preserve"> </v>
      </c>
      <c r="B966" s="130" t="str">
        <f t="shared" si="71"/>
        <v xml:space="preserve"> </v>
      </c>
      <c r="C966" s="130" t="str">
        <f>IF(OR(B966=0,B966=" ")," ",SUM($B$23:B966))</f>
        <v xml:space="preserve"> </v>
      </c>
      <c r="D966" s="62" t="str">
        <f>IF(D965=" "," ",IF(OR(F965='депозитный калькулятор'!$D$8,F965=" ")," ",D965+1))</f>
        <v xml:space="preserve"> </v>
      </c>
      <c r="E966" s="130" t="str">
        <f>IF(OR(F965='депозитный калькулятор'!$D$8,F965=" ")," ",IF(EOMONTH(F965,0)=F965,1,E965+1))</f>
        <v xml:space="preserve"> </v>
      </c>
      <c r="F966" s="64" t="str">
        <f>IF(F965=" "," ",IF(F965='депозитный калькулятор'!$D$8," ",F965+1))</f>
        <v xml:space="preserve"> </v>
      </c>
      <c r="G966" s="145" t="str">
        <f xml:space="preserve"> IF(F966&gt;'депозитный калькулятор'!$D$8," ",IF('депозитный калькулятор'!$G$13="есть",IF('депозитный калькулятор'!$G$14="есть",G965+IF(I965=" ",0,I965)-J966-K966+L966+M966-N966,G965+IF(I965=" ",0,I965)-J966-K966+M966-N966),IF('депозитный калькулятор'!$G$14="есть",G965-J966-K966+L966+M966-N966,G965-J966-K966+M966-N966)))</f>
        <v xml:space="preserve"> </v>
      </c>
      <c r="H966" s="133" t="str">
        <f>IF(F966&gt;'депозитный калькулятор'!$D$8," ",IF(AND(OR('депозитный калькулятор'!$G$7="30/365",'депозитный калькулятор'!$G$7="30/360"),AND(MONTH(F966)=2,EOMONTH(F966,0)=F966)),IF(DAY(F966)=28,3*G966*'депозитный калькулятор'!$G$8,2*G966*'депозитный калькулятор'!$G$8),IF(AND(OR('депозитный калькулятор'!$G$7="30/365",'депозитный калькулятор'!$G$7="30/360"),DAY(F966)=31)," ",IF(AND('депозитный калькулятор'!$G$7="факт/факт",MOD(YEAR(F966),4)=0),G966*'депозитный калькулятор'!$D$11/366,G966*'депозитный калькулятор'!$G$8))))</f>
        <v xml:space="preserve"> </v>
      </c>
      <c r="I966" s="134" t="str">
        <f ca="1">IF(F966=" "," ",IF('депозитный калькулятор'!$G$10="ежедневное",H966,IF(AND('депозитный калькулятор'!$G$10="еженедельное",WEEKDAY(F966,2)=7),SUM(OFFSET(H966,-6,0):H966),IF(AND('депозитный калькулятор'!$G$10="еженедельное",F966='депозитный калькулятор'!$D$8),SUM($H$23:H966)-SUM($I$23:I965),IF(AND('депозитный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недели",WEEKDAY(F966,2)=7),MIN(OFFSET(H966,-6,0):H966)*(COUNTIF(OFFSET(H966,-6,0):H966,"&gt;0")+SUMIF(OFFSET(A966,-WEEKDAY(F966,2),0):A966,"=2",OFFSET(A966,-WEEKDAY(F966,2),0):A966)),IF(AND('депозитный калькулятор'!$G$10="еженедельное, на минимальную сумму зафиксированную в течение недели",F966='депозитный калькулятор'!$D$8,WEEKDAY(F966,2)&lt;&gt;7),MIN(OFFSET(H966,-WEEKDAY(F966,2),0):H966)*(COUNTIF(OFFSET(H966,-WEEKDAY(F966,2)+1,0):H966,"&gt;0")+SUM(OFFSET(A966,-WEEKDAY(F966,2),0):A966)),IF(AND('депозитный калькулятор'!$G$10="ежемесячное (в конце месяца)",F966='депозитный калькулятор'!$D$8,EOMONTH(F966,0)&lt;&gt;F966),IF('депозитный калькулятор'!$F$1=1,$H$24,SUM($H$23:H966)-SUM($I$23:I965)),IF(AND('депозитный калькулятор'!$G$10="ежемесячное (в конце месяца)",EOMONTH(F966,0)=F966),SUM($H$23:H966)-SUM($I$23:I965),IF(AND('депозитный калькулятор'!$G$10="ежемесячное (по дням открытия вклада)",F966='депозитный калькулятор'!$D$8,DAY('депозитный калькулятор'!$D$7)&lt;&gt;DAY(F966)),IF('депозитный калькулятор'!$F$1=1,$H$24,SUM($H$23:H966)-SUM($I$23:I965)),IF(AND('депозитный калькулятор'!$G$10="ежемесячное (по дням открытия вклада)",DAY('депозитный калькулятор'!$D$7)=DAY(F966)),SUM($H$23:H966)-SUM($I$23:I965),IF(AND('депозитный калькулятор'!$G$10="ежемесячное, на минимальную сумму зафиксированную в течение месяца",F966='депозитный калькулятор'!$D$8,EOMONTH(F966,0)&lt;&gt;F966),IF('депозитный калькулятор'!$F$1=1,$H$24,IF(AND(OR('депозитный калькулятор'!$G$7="30/365",'депозитный калькулятор'!$G$7="30/360"),DAY(F966)=31),0,MIN(OFFSET(H966,-E966+1,0):H966)*(E966+SUMIF(OFFSET(A966,-E966+1,0):A966,"=2",OFFSET(A966,-E966+1,0):A966)))),IF(AND('депозитный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калькулятор'!$G$7="30/360"),DAY(EOMONTH(F966,0))=31),EOMONTH(F966,0)-1=F966,EOMONTH(F966,0)=F966)),IF(IF(AND(OR('депозитный калькулятор'!$G$7="30/365",'депозитный калькулятор'!$G$7="30/360"),DAY(EOMONTH($F$23,0))=31),F966=EOMONTH($F$23,0)-1,F966=EOMONTH($F$23,0)),MIN(OFFSET(H966,-(DAY(F966)-DAY($F$23)),0):H966)*E966,MIN(OFFSET(H966,-(DAY(F966)-1),0):H966)*IF(AND(OR('депозитный калькулятор'!$G$7="30/365",'депозитный калькулятор'!$G$7="30/360"),DAY(F966)&lt;30),30,DAY(F966))),IF(AND('депозитный калькулятор'!$G$10="ежемесячное, на средний остаток в течение месяца, при условии что остаток больше чем ограничение",F966='депозитный калькулятор'!$D$8,EOMONTH(F966,0)&lt;&gt;F966),IF('депозитный калькулятор'!$F$1=1,$H$24,SUM(OFFSET(Q966,-E966+1,0):Q966)),IF(AND('депозитный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калькулятор'!$G$7="30/360"),DAY(EOMONTH(F966,0))=31),EOMONTH(F966,0)-1=F966,EOMONTH(F966,0)=F966)),IF(IF(AND(OR('депозитный калькулятор'!$G$7="30/365",'депозитный калькулятор'!$G$7="30/360"),DAY(EOMONTH($F$24,0))=31),F966=EOMONTH($F$24,0)-1,F966=EOMONTH($F$24,0)),SUM(OFFSET(Q966,-E966+1,0):Q966),SUM(OFFSET(Q966,-E966+1,0):Q966)),IF('депозитный калькулятор'!$G$10="ежеквартальное",IF(F966&gt;'депозитный калькулятор'!$D$8," ",IF(AND(EOMONTH(F966,0)=F966,OR(MONTH(F966)=3,MONTH(F966)=6,MONTH(F966)=9,MONTH(F966)=12)),IF(EDATE(F966,-3)&lt;'депозитный калькулятор'!$D$7,SUM($H$23:H966),IF(MOD(YEAR(F966),4)=0,IF(AND(EOMONTH(F966,0)=F966,OR(MONTH(F966)=3,MONTH(F966)=6)),SUM(OFFSET(H966,-90,0):H966),IF(AND(EOMONTH(F966,0)=F966,OR(MONTH(F966)=9,MONTH(F966)=12)),SUM(OFFSET(H966,-91,0):H966))),IF(AND(EOMONTH(F966,0)=F966,MONTH(F966)=3),SUM(OFFSET(H966,-89,0):H966),IF(AND(EOMONTH(F966,0)=F966,MONTH(F966)=6),SUM(OFFSET(H966,-90,0):H966),IF(AND(EOMONTH(F966,0)=F966,OR(MONTH(F966)=9,MONTH(F966)=12)),SUM(OFFSET(H966,-91,0):H966)))))),IF(F966='депозитный калькулятор'!$D$8,SUM($H$23:H966)-SUM($I$23:I965),0))),IF('депозитный калькулятор'!$G$10="ежегодное",IF(F966&gt;'депозитный калькулятор'!$D$8," ",IF(F966='депозитный калькулятор'!$D$8,SUM($H$23:H966)-SUM($I$23:I965),IF(AND(EOMONTH(F966,0)=F966,MONTH(F966)=12),IF(MOD(YEAR(F965),4)=0,IF(F966-'депозитный калькулятор'!$D$7&lt;366,SUM($H$23:H966),SUM(OFFSET(H966,-365,0):H966)),IF(F966-'депозитный калькулятор'!$D$7&lt;365,SUM($H$23:H966),SUM(OFFSET(H966,-364,0):H966))),0))),IF(AND('депозитный калькулятор'!$G$10="в конце срока",'депозитный калькулятор'!$D$8=F966),SUM($H$23:H966),0))))))))))))))))))</f>
        <v xml:space="preserve"> </v>
      </c>
      <c r="J966" s="59" t="str">
        <f>IF(F966&gt;'депозитный калькулятор'!$D$8," ",IF('депозитный калькулятор'!$G$16="нет",0,IF(AND('депозитный калькулятор'!$G$17="разовая (в конце срока)",F966='депозитный калькулятор'!$D$8),'депозитный калькулятор'!$G$18,IF(AND('депозитный калькулятор'!$G$17="ежемесячная",EOMONTH(F965,0)=F965),'депозитный калькулятор'!$G$18,IF(AND('депозитный калькулятор'!$G$17="ежегодная",DAY(F965)=31,MONTH(F965)=12),'депозитный калькулятор'!$G$18,IF(AND('депозитный калькулятор'!$G$17="ежемесячная в зависимости от остатка",EOMONTH(F965,0)=F965,P965&gt;0),'депозитный калькулятор'!$G$18,IF(AND('депозитный калькулятор'!$G$17="ежегодная в зависимости от остатка",DAY(F965)=31,MONTH(F965)=12,P965&gt;0),'депозитный калькулятор'!$G$18,0)))))))</f>
        <v xml:space="preserve"> </v>
      </c>
      <c r="K966" s="135" t="str">
        <f>IF($F966=" "," ",IFERROR(VLOOKUP($F966,'депозитный калькулятор'!$B$26:$F$70,2,0),0))</f>
        <v xml:space="preserve"> </v>
      </c>
      <c r="L966" s="135" t="str">
        <f>IF($F966=" "," ",IFERROR(VLOOKUP($F966,'депозитный калькулятор'!$B$26:$F$70,3,0),0))</f>
        <v xml:space="preserve"> </v>
      </c>
      <c r="M966" s="135" t="str">
        <f>IF($F966=" "," ",IFERROR(VLOOKUP($F966,'депозитный калькулятор'!$B$26:$F$70,4,0),0))</f>
        <v xml:space="preserve"> </v>
      </c>
      <c r="N966" s="135" t="str">
        <f>IF($F966=" "," ",IFERROR(VLOOKUP($F966,'депозитный калькулятор'!$B$26:$F$70,5,0),0))</f>
        <v xml:space="preserve"> </v>
      </c>
      <c r="O966" s="146" t="str">
        <f>IF(F966&gt;'депозитный калькулятор'!$D$8," ",IF(F966='депозитный калькулятор'!$D$8,IF(AND($F$24='депозитный калькулятор'!$D$8,'депозитный калькулятор'!$G$13="нет"),-G966-IF(I966=" ",0,I966)-IF(AND(OR('депозитный калькулятор'!$G$7="30/365",'депозитный калькулятор'!$G$7="30/360"),'депозитный калькулятор'!$G$10="в начале срока"),I965,0)-L966+M966-N966,-G966-IF(I966=" ",0,I966)-L966+M966-N966),IF('депозитный калькулятор'!$G$13="есть",M966-N966+IF('депозитный калькулятор'!$G$14="есть",0,-L966),-IF(I966=" ",0,I966)-IF(AND(OR('депозитный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срока"),I965,0)+M966-N966+IF('депозитный калькулятор'!$G$14="есть",0,-L966))))</f>
        <v xml:space="preserve"> </v>
      </c>
      <c r="P966" s="147" t="str">
        <f>IF(F966&gt;'депозитный калькулятор'!$D$8," ",IF(EOMONTH(F965,0)=F965,0,IF(G966&gt;='депозитный калькулятор'!$G$19,P965,P965+1)))</f>
        <v xml:space="preserve"> </v>
      </c>
      <c r="Q966" s="138" t="str">
        <f>IF(F966=" "," ",IF(AND(OR('депозитный калькулятор'!$G$7="30/365",'депозитный калькулятор'!$G$7="30/360"),AND(MONTH(F966)=2,EOMONTH(F966,0)=F966)),IF(DAY(F966)=28,3,2),1)*IF(G966&gt;='депозитный калькулятор'!$G$11,IF(AND('депозитный калькулятор'!$G$7="факт/факт",MOD(YEAR(F966),4)=0),G966*'депозитный калькулятор'!$D$11/366,G966*'депозитный калькулятор'!$G$8),0))</f>
        <v xml:space="preserve"> </v>
      </c>
      <c r="S966" s="62" t="str">
        <f t="shared" ca="1" si="72"/>
        <v xml:space="preserve"> </v>
      </c>
      <c r="T966" s="149" t="str">
        <f ca="1">IF(S966=" "," ",IF('депозитный калькулятор'!$G$7="30/360",DAYS360(U965,IF(DAY(U966)=31,U966-1,U966))+IF(AND(MONTH(U966)=2,U966=EOMONTH(U966,0)),30-DAY(EOMONTH(U966,0)))+T965,VLOOKUP(S966,$C$22:$F$1023,2,0)))</f>
        <v xml:space="preserve"> </v>
      </c>
      <c r="U966" s="64" t="str">
        <f t="shared" ca="1" si="70"/>
        <v xml:space="preserve"> </v>
      </c>
      <c r="V966" s="150" t="str">
        <f t="shared" ca="1" si="73"/>
        <v xml:space="preserve"> </v>
      </c>
      <c r="W966" s="62" t="str">
        <f t="shared" ca="1" si="74"/>
        <v xml:space="preserve"> </v>
      </c>
      <c r="X966" s="141" t="str">
        <f ca="1">IF(S966=" "," ",IFERROR(VLOOKUP(U966,$F$23:$N$1023,7)+VLOOKUP(U966,$F$23:$N$1023,9)+IF(AND('депозитный калькулятор'!$G$13="нет",U966&lt;&gt;'депозитный калькулятор'!$D$8),VLOOKUP(U966,$F$23:$N$1023,4),0),0)+IF(U966='депозитный калькулятор'!$D$8,VLOOKUP(U966,$F$23:$N$1023,2)+VLOOKUP(U966,$F$23:$N$1023,4),0))</f>
        <v xml:space="preserve"> </v>
      </c>
      <c r="Y966" s="142" t="str">
        <f ca="1">IF(S966=" "," ",W966/(1+'депозитный калькулятор'!$K$8)^(T966/IF('депозитный калькулятор'!$G$7="30/360",360,365)))</f>
        <v xml:space="preserve"> </v>
      </c>
      <c r="Z966" s="142" t="str">
        <f ca="1">IF(S966=" "," ",X966/(1+'депозитный калькулятор'!$K$8)^(T966/IF('депозитный калькулятор'!$G$7="30/360",360,365)))</f>
        <v xml:space="preserve"> </v>
      </c>
      <c r="AA966" s="151"/>
      <c r="AB966" s="151"/>
      <c r="AC966" s="155"/>
      <c r="AD966" s="155"/>
    </row>
    <row r="967" spans="1:30" s="2" customFormat="1" ht="15.5" x14ac:dyDescent="0.35">
      <c r="A967" s="41" t="str">
        <f>IF(F967=" "," ",IF(OR('депозитный калькулятор'!$G$7="30/365",'депозитный калькулятор'!$G$7="30/360"),IF(AND(MONTH(F967)=2,DAY(F967)=DAY(EOMONTH(F967,0))),30-DAY(EOMONTH(F967,0)),IF(DAY(F967)=31,1," "))," "))</f>
        <v xml:space="preserve"> </v>
      </c>
      <c r="B967" s="130" t="str">
        <f t="shared" si="71"/>
        <v xml:space="preserve"> </v>
      </c>
      <c r="C967" s="130" t="str">
        <f>IF(OR(B967=0,B967=" ")," ",SUM($B$23:B967))</f>
        <v xml:space="preserve"> </v>
      </c>
      <c r="D967" s="62" t="str">
        <f>IF(D966=" "," ",IF(OR(F966='депозитный калькулятор'!$D$8,F966=" ")," ",D966+1))</f>
        <v xml:space="preserve"> </v>
      </c>
      <c r="E967" s="130" t="str">
        <f>IF(OR(F966='депозитный калькулятор'!$D$8,F966=" ")," ",IF(EOMONTH(F966,0)=F966,1,E966+1))</f>
        <v xml:space="preserve"> </v>
      </c>
      <c r="F967" s="64" t="str">
        <f>IF(F966=" "," ",IF(F966='депозитный калькулятор'!$D$8," ",F966+1))</f>
        <v xml:space="preserve"> </v>
      </c>
      <c r="G967" s="145" t="str">
        <f xml:space="preserve"> IF(F967&gt;'депозитный калькулятор'!$D$8," ",IF('депозитный калькулятор'!$G$13="есть",IF('депозитный калькулятор'!$G$14="есть",G966+IF(I966=" ",0,I966)-J967-K967+L967+M967-N967,G966+IF(I966=" ",0,I966)-J967-K967+M967-N967),IF('депозитный калькулятор'!$G$14="есть",G966-J967-K967+L967+M967-N967,G966-J967-K967+M967-N967)))</f>
        <v xml:space="preserve"> </v>
      </c>
      <c r="H967" s="133" t="str">
        <f>IF(F967&gt;'депозитный калькулятор'!$D$8," ",IF(AND(OR('депозитный калькулятор'!$G$7="30/365",'депозитный калькулятор'!$G$7="30/360"),AND(MONTH(F967)=2,EOMONTH(F967,0)=F967)),IF(DAY(F967)=28,3*G967*'депозитный калькулятор'!$G$8,2*G967*'депозитный калькулятор'!$G$8),IF(AND(OR('депозитный калькулятор'!$G$7="30/365",'депозитный калькулятор'!$G$7="30/360"),DAY(F967)=31)," ",IF(AND('депозитный калькулятор'!$G$7="факт/факт",MOD(YEAR(F967),4)=0),G967*'депозитный калькулятор'!$D$11/366,G967*'депозитный калькулятор'!$G$8))))</f>
        <v xml:space="preserve"> </v>
      </c>
      <c r="I967" s="134" t="str">
        <f ca="1">IF(F967=" "," ",IF('депозитный калькулятор'!$G$10="ежедневное",H967,IF(AND('депозитный калькулятор'!$G$10="еженедельное",WEEKDAY(F967,2)=7),SUM(OFFSET(H967,-6,0):H967),IF(AND('депозитный калькулятор'!$G$10="еженедельное",F967='депозитный калькулятор'!$D$8),SUM($H$23:H967)-SUM($I$23:I966),IF(AND('депозитный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недели",WEEKDAY(F967,2)=7),MIN(OFFSET(H967,-6,0):H967)*(COUNTIF(OFFSET(H967,-6,0):H967,"&gt;0")+SUMIF(OFFSET(A967,-WEEKDAY(F967,2),0):A967,"=2",OFFSET(A967,-WEEKDAY(F967,2),0):A967)),IF(AND('депозитный калькулятор'!$G$10="еженедельное, на минимальную сумму зафиксированную в течение недели",F967='депозитный калькулятор'!$D$8,WEEKDAY(F967,2)&lt;&gt;7),MIN(OFFSET(H967,-WEEKDAY(F967,2),0):H967)*(COUNTIF(OFFSET(H967,-WEEKDAY(F967,2)+1,0):H967,"&gt;0")+SUM(OFFSET(A967,-WEEKDAY(F967,2),0):A967)),IF(AND('депозитный калькулятор'!$G$10="ежемесячное (в конце месяца)",F967='депозитный калькулятор'!$D$8,EOMONTH(F967,0)&lt;&gt;F967),IF('депозитный калькулятор'!$F$1=1,$H$24,SUM($H$23:H967)-SUM($I$23:I966)),IF(AND('депозитный калькулятор'!$G$10="ежемесячное (в конце месяца)",EOMONTH(F967,0)=F967),SUM($H$23:H967)-SUM($I$23:I966),IF(AND('депозитный калькулятор'!$G$10="ежемесячное (по дням открытия вклада)",F967='депозитный калькулятор'!$D$8,DAY('депозитный калькулятор'!$D$7)&lt;&gt;DAY(F967)),IF('депозитный калькулятор'!$F$1=1,$H$24,SUM($H$23:H967)-SUM($I$23:I966)),IF(AND('депозитный калькулятор'!$G$10="ежемесячное (по дням открытия вклада)",DAY('депозитный калькулятор'!$D$7)=DAY(F967)),SUM($H$23:H967)-SUM($I$23:I966),IF(AND('депозитный калькулятор'!$G$10="ежемесячное, на минимальную сумму зафиксированную в течение месяца",F967='депозитный калькулятор'!$D$8,EOMONTH(F967,0)&lt;&gt;F967),IF('депозитный калькулятор'!$F$1=1,$H$24,IF(AND(OR('депозитный калькулятор'!$G$7="30/365",'депозитный калькулятор'!$G$7="30/360"),DAY(F967)=31),0,MIN(OFFSET(H967,-E967+1,0):H967)*(E967+SUMIF(OFFSET(A967,-E967+1,0):A967,"=2",OFFSET(A967,-E967+1,0):A967)))),IF(AND('депозитный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калькулятор'!$G$7="30/360"),DAY(EOMONTH(F967,0))=31),EOMONTH(F967,0)-1=F967,EOMONTH(F967,0)=F967)),IF(IF(AND(OR('депозитный калькулятор'!$G$7="30/365",'депозитный калькулятор'!$G$7="30/360"),DAY(EOMONTH($F$23,0))=31),F967=EOMONTH($F$23,0)-1,F967=EOMONTH($F$23,0)),MIN(OFFSET(H967,-(DAY(F967)-DAY($F$23)),0):H967)*E967,MIN(OFFSET(H967,-(DAY(F967)-1),0):H967)*IF(AND(OR('депозитный калькулятор'!$G$7="30/365",'депозитный калькулятор'!$G$7="30/360"),DAY(F967)&lt;30),30,DAY(F967))),IF(AND('депозитный калькулятор'!$G$10="ежемесячное, на средний остаток в течение месяца, при условии что остаток больше чем ограничение",F967='депозитный калькулятор'!$D$8,EOMONTH(F967,0)&lt;&gt;F967),IF('депозитный калькулятор'!$F$1=1,$H$24,SUM(OFFSET(Q967,-E967+1,0):Q967)),IF(AND('депозитный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калькулятор'!$G$7="30/360"),DAY(EOMONTH(F967,0))=31),EOMONTH(F967,0)-1=F967,EOMONTH(F967,0)=F967)),IF(IF(AND(OR('депозитный калькулятор'!$G$7="30/365",'депозитный калькулятор'!$G$7="30/360"),DAY(EOMONTH($F$24,0))=31),F967=EOMONTH($F$24,0)-1,F967=EOMONTH($F$24,0)),SUM(OFFSET(Q967,-E967+1,0):Q967),SUM(OFFSET(Q967,-E967+1,0):Q967)),IF('депозитный калькулятор'!$G$10="ежеквартальное",IF(F967&gt;'депозитный калькулятор'!$D$8," ",IF(AND(EOMONTH(F967,0)=F967,OR(MONTH(F967)=3,MONTH(F967)=6,MONTH(F967)=9,MONTH(F967)=12)),IF(EDATE(F967,-3)&lt;'депозитный калькулятор'!$D$7,SUM($H$23:H967),IF(MOD(YEAR(F967),4)=0,IF(AND(EOMONTH(F967,0)=F967,OR(MONTH(F967)=3,MONTH(F967)=6)),SUM(OFFSET(H967,-90,0):H967),IF(AND(EOMONTH(F967,0)=F967,OR(MONTH(F967)=9,MONTH(F967)=12)),SUM(OFFSET(H967,-91,0):H967))),IF(AND(EOMONTH(F967,0)=F967,MONTH(F967)=3),SUM(OFFSET(H967,-89,0):H967),IF(AND(EOMONTH(F967,0)=F967,MONTH(F967)=6),SUM(OFFSET(H967,-90,0):H967),IF(AND(EOMONTH(F967,0)=F967,OR(MONTH(F967)=9,MONTH(F967)=12)),SUM(OFFSET(H967,-91,0):H967)))))),IF(F967='депозитный калькулятор'!$D$8,SUM($H$23:H967)-SUM($I$23:I966),0))),IF('депозитный калькулятор'!$G$10="ежегодное",IF(F967&gt;'депозитный калькулятор'!$D$8," ",IF(F967='депозитный калькулятор'!$D$8,SUM($H$23:H967)-SUM($I$23:I966),IF(AND(EOMONTH(F967,0)=F967,MONTH(F967)=12),IF(MOD(YEAR(F966),4)=0,IF(F967-'депозитный калькулятор'!$D$7&lt;366,SUM($H$23:H967),SUM(OFFSET(H967,-365,0):H967)),IF(F967-'депозитный калькулятор'!$D$7&lt;365,SUM($H$23:H967),SUM(OFFSET(H967,-364,0):H967))),0))),IF(AND('депозитный калькулятор'!$G$10="в конце срока",'депозитный калькулятор'!$D$8=F967),SUM($H$23:H967),0))))))))))))))))))</f>
        <v xml:space="preserve"> </v>
      </c>
      <c r="J967" s="59" t="str">
        <f>IF(F967&gt;'депозитный калькулятор'!$D$8," ",IF('депозитный калькулятор'!$G$16="нет",0,IF(AND('депозитный калькулятор'!$G$17="разовая (в конце срока)",F967='депозитный калькулятор'!$D$8),'депозитный калькулятор'!$G$18,IF(AND('депозитный калькулятор'!$G$17="ежемесячная",EOMONTH(F966,0)=F966),'депозитный калькулятор'!$G$18,IF(AND('депозитный калькулятор'!$G$17="ежегодная",DAY(F966)=31,MONTH(F966)=12),'депозитный калькулятор'!$G$18,IF(AND('депозитный калькулятор'!$G$17="ежемесячная в зависимости от остатка",EOMONTH(F966,0)=F966,P966&gt;0),'депозитный калькулятор'!$G$18,IF(AND('депозитный калькулятор'!$G$17="ежегодная в зависимости от остатка",DAY(F966)=31,MONTH(F966)=12,P966&gt;0),'депозитный калькулятор'!$G$18,0)))))))</f>
        <v xml:space="preserve"> </v>
      </c>
      <c r="K967" s="135" t="str">
        <f>IF($F967=" "," ",IFERROR(VLOOKUP($F967,'депозитный калькулятор'!$B$26:$F$70,2,0),0))</f>
        <v xml:space="preserve"> </v>
      </c>
      <c r="L967" s="135" t="str">
        <f>IF($F967=" "," ",IFERROR(VLOOKUP($F967,'депозитный калькулятор'!$B$26:$F$70,3,0),0))</f>
        <v xml:space="preserve"> </v>
      </c>
      <c r="M967" s="135" t="str">
        <f>IF($F967=" "," ",IFERROR(VLOOKUP($F967,'депозитный калькулятор'!$B$26:$F$70,4,0),0))</f>
        <v xml:space="preserve"> </v>
      </c>
      <c r="N967" s="135" t="str">
        <f>IF($F967=" "," ",IFERROR(VLOOKUP($F967,'депозитный калькулятор'!$B$26:$F$70,5,0),0))</f>
        <v xml:space="preserve"> </v>
      </c>
      <c r="O967" s="146" t="str">
        <f>IF(F967&gt;'депозитный калькулятор'!$D$8," ",IF(F967='депозитный калькулятор'!$D$8,IF(AND($F$24='депозитный калькулятор'!$D$8,'депозитный калькулятор'!$G$13="нет"),-G967-IF(I967=" ",0,I967)-IF(AND(OR('депозитный калькулятор'!$G$7="30/365",'депозитный калькулятор'!$G$7="30/360"),'депозитный калькулятор'!$G$10="в начале срока"),I966,0)-L967+M967-N967,-G967-IF(I967=" ",0,I967)-L967+M967-N967),IF('депозитный калькулятор'!$G$13="есть",M967-N967+IF('депозитный калькулятор'!$G$14="есть",0,-L967),-IF(I967=" ",0,I967)-IF(AND(OR('депозитный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срока"),I966,0)+M967-N967+IF('депозитный калькулятор'!$G$14="есть",0,-L967))))</f>
        <v xml:space="preserve"> </v>
      </c>
      <c r="P967" s="147" t="str">
        <f>IF(F967&gt;'депозитный калькулятор'!$D$8," ",IF(EOMONTH(F966,0)=F966,0,IF(G967&gt;='депозитный калькулятор'!$G$19,P966,P966+1)))</f>
        <v xml:space="preserve"> </v>
      </c>
      <c r="Q967" s="138" t="str">
        <f>IF(F967=" "," ",IF(AND(OR('депозитный калькулятор'!$G$7="30/365",'депозитный калькулятор'!$G$7="30/360"),AND(MONTH(F967)=2,EOMONTH(F967,0)=F967)),IF(DAY(F967)=28,3,2),1)*IF(G967&gt;='депозитный калькулятор'!$G$11,IF(AND('депозитный калькулятор'!$G$7="факт/факт",MOD(YEAR(F967),4)=0),G967*'депозитный калькулятор'!$D$11/366,G967*'депозитный калькулятор'!$G$8),0))</f>
        <v xml:space="preserve"> </v>
      </c>
      <c r="S967" s="62" t="str">
        <f t="shared" ca="1" si="72"/>
        <v xml:space="preserve"> </v>
      </c>
      <c r="T967" s="149" t="str">
        <f ca="1">IF(S967=" "," ",IF('депозитный калькулятор'!$G$7="30/360",DAYS360(U966,IF(DAY(U967)=31,U967-1,U967))+IF(AND(MONTH(U967)=2,U967=EOMONTH(U967,0)),30-DAY(EOMONTH(U967,0)))+T966,VLOOKUP(S967,$C$22:$F$1023,2,0)))</f>
        <v xml:space="preserve"> </v>
      </c>
      <c r="U967" s="64" t="str">
        <f t="shared" ca="1" si="70"/>
        <v xml:space="preserve"> </v>
      </c>
      <c r="V967" s="150" t="str">
        <f t="shared" ca="1" si="73"/>
        <v xml:space="preserve"> </v>
      </c>
      <c r="W967" s="62" t="str">
        <f t="shared" ca="1" si="74"/>
        <v xml:space="preserve"> </v>
      </c>
      <c r="X967" s="141" t="str">
        <f ca="1">IF(S967=" "," ",IFERROR(VLOOKUP(U967,$F$23:$N$1023,7)+VLOOKUP(U967,$F$23:$N$1023,9)+IF(AND('депозитный калькулятор'!$G$13="нет",U967&lt;&gt;'депозитный калькулятор'!$D$8),VLOOKUP(U967,$F$23:$N$1023,4),0),0)+IF(U967='депозитный калькулятор'!$D$8,VLOOKUP(U967,$F$23:$N$1023,2)+VLOOKUP(U967,$F$23:$N$1023,4),0))</f>
        <v xml:space="preserve"> </v>
      </c>
      <c r="Y967" s="142" t="str">
        <f ca="1">IF(S967=" "," ",W967/(1+'депозитный калькулятор'!$K$8)^(T967/IF('депозитный калькулятор'!$G$7="30/360",360,365)))</f>
        <v xml:space="preserve"> </v>
      </c>
      <c r="Z967" s="142" t="str">
        <f ca="1">IF(S967=" "," ",X967/(1+'депозитный калькулятор'!$K$8)^(T967/IF('депозитный калькулятор'!$G$7="30/360",360,365)))</f>
        <v xml:space="preserve"> </v>
      </c>
      <c r="AA967" s="151"/>
      <c r="AB967" s="151"/>
      <c r="AC967" s="155"/>
      <c r="AD967" s="155"/>
    </row>
    <row r="968" spans="1:30" s="2" customFormat="1" ht="15.5" x14ac:dyDescent="0.35">
      <c r="A968" s="41" t="str">
        <f>IF(F968=" "," ",IF(OR('депозитный калькулятор'!$G$7="30/365",'депозитный калькулятор'!$G$7="30/360"),IF(AND(MONTH(F968)=2,DAY(F968)=DAY(EOMONTH(F968,0))),30-DAY(EOMONTH(F968,0)),IF(DAY(F968)=31,1," "))," "))</f>
        <v xml:space="preserve"> </v>
      </c>
      <c r="B968" s="130" t="str">
        <f t="shared" si="71"/>
        <v xml:space="preserve"> </v>
      </c>
      <c r="C968" s="130" t="str">
        <f>IF(OR(B968=0,B968=" ")," ",SUM($B$23:B968))</f>
        <v xml:space="preserve"> </v>
      </c>
      <c r="D968" s="62" t="str">
        <f>IF(D967=" "," ",IF(OR(F967='депозитный калькулятор'!$D$8,F967=" ")," ",D967+1))</f>
        <v xml:space="preserve"> </v>
      </c>
      <c r="E968" s="130" t="str">
        <f>IF(OR(F967='депозитный калькулятор'!$D$8,F967=" ")," ",IF(EOMONTH(F967,0)=F967,1,E967+1))</f>
        <v xml:space="preserve"> </v>
      </c>
      <c r="F968" s="64" t="str">
        <f>IF(F967=" "," ",IF(F967='депозитный калькулятор'!$D$8," ",F967+1))</f>
        <v xml:space="preserve"> </v>
      </c>
      <c r="G968" s="145" t="str">
        <f xml:space="preserve"> IF(F968&gt;'депозитный калькулятор'!$D$8," ",IF('депозитный калькулятор'!$G$13="есть",IF('депозитный калькулятор'!$G$14="есть",G967+IF(I967=" ",0,I967)-J968-K968+L968+M968-N968,G967+IF(I967=" ",0,I967)-J968-K968+M968-N968),IF('депозитный калькулятор'!$G$14="есть",G967-J968-K968+L968+M968-N968,G967-J968-K968+M968-N968)))</f>
        <v xml:space="preserve"> </v>
      </c>
      <c r="H968" s="133" t="str">
        <f>IF(F968&gt;'депозитный калькулятор'!$D$8," ",IF(AND(OR('депозитный калькулятор'!$G$7="30/365",'депозитный калькулятор'!$G$7="30/360"),AND(MONTH(F968)=2,EOMONTH(F968,0)=F968)),IF(DAY(F968)=28,3*G968*'депозитный калькулятор'!$G$8,2*G968*'депозитный калькулятор'!$G$8),IF(AND(OR('депозитный калькулятор'!$G$7="30/365",'депозитный калькулятор'!$G$7="30/360"),DAY(F968)=31)," ",IF(AND('депозитный калькулятор'!$G$7="факт/факт",MOD(YEAR(F968),4)=0),G968*'депозитный калькулятор'!$D$11/366,G968*'депозитный калькулятор'!$G$8))))</f>
        <v xml:space="preserve"> </v>
      </c>
      <c r="I968" s="134" t="str">
        <f ca="1">IF(F968=" "," ",IF('депозитный калькулятор'!$G$10="ежедневное",H968,IF(AND('депозитный калькулятор'!$G$10="еженедельное",WEEKDAY(F968,2)=7),SUM(OFFSET(H968,-6,0):H968),IF(AND('депозитный калькулятор'!$G$10="еженедельное",F968='депозитный калькулятор'!$D$8),SUM($H$23:H968)-SUM($I$23:I967),IF(AND('депозитный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недели",WEEKDAY(F968,2)=7),MIN(OFFSET(H968,-6,0):H968)*(COUNTIF(OFFSET(H968,-6,0):H968,"&gt;0")+SUMIF(OFFSET(A968,-WEEKDAY(F968,2),0):A968,"=2",OFFSET(A968,-WEEKDAY(F968,2),0):A968)),IF(AND('депозитный калькулятор'!$G$10="еженедельное, на минимальную сумму зафиксированную в течение недели",F968='депозитный калькулятор'!$D$8,WEEKDAY(F968,2)&lt;&gt;7),MIN(OFFSET(H968,-WEEKDAY(F968,2),0):H968)*(COUNTIF(OFFSET(H968,-WEEKDAY(F968,2)+1,0):H968,"&gt;0")+SUM(OFFSET(A968,-WEEKDAY(F968,2),0):A968)),IF(AND('депозитный калькулятор'!$G$10="ежемесячное (в конце месяца)",F968='депозитный калькулятор'!$D$8,EOMONTH(F968,0)&lt;&gt;F968),IF('депозитный калькулятор'!$F$1=1,$H$24,SUM($H$23:H968)-SUM($I$23:I967)),IF(AND('депозитный калькулятор'!$G$10="ежемесячное (в конце месяца)",EOMONTH(F968,0)=F968),SUM($H$23:H968)-SUM($I$23:I967),IF(AND('депозитный калькулятор'!$G$10="ежемесячное (по дням открытия вклада)",F968='депозитный калькулятор'!$D$8,DAY('депозитный калькулятор'!$D$7)&lt;&gt;DAY(F968)),IF('депозитный калькулятор'!$F$1=1,$H$24,SUM($H$23:H968)-SUM($I$23:I967)),IF(AND('депозитный калькулятор'!$G$10="ежемесячное (по дням открытия вклада)",DAY('депозитный калькулятор'!$D$7)=DAY(F968)),SUM($H$23:H968)-SUM($I$23:I967),IF(AND('депозитный калькулятор'!$G$10="ежемесячное, на минимальную сумму зафиксированную в течение месяца",F968='депозитный калькулятор'!$D$8,EOMONTH(F968,0)&lt;&gt;F968),IF('депозитный калькулятор'!$F$1=1,$H$24,IF(AND(OR('депозитный калькулятор'!$G$7="30/365",'депозитный калькулятор'!$G$7="30/360"),DAY(F968)=31),0,MIN(OFFSET(H968,-E968+1,0):H968)*(E968+SUMIF(OFFSET(A968,-E968+1,0):A968,"=2",OFFSET(A968,-E968+1,0):A968)))),IF(AND('депозитный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калькулятор'!$G$7="30/360"),DAY(EOMONTH(F968,0))=31),EOMONTH(F968,0)-1=F968,EOMONTH(F968,0)=F968)),IF(IF(AND(OR('депозитный калькулятор'!$G$7="30/365",'депозитный калькулятор'!$G$7="30/360"),DAY(EOMONTH($F$23,0))=31),F968=EOMONTH($F$23,0)-1,F968=EOMONTH($F$23,0)),MIN(OFFSET(H968,-(DAY(F968)-DAY($F$23)),0):H968)*E968,MIN(OFFSET(H968,-(DAY(F968)-1),0):H968)*IF(AND(OR('депозитный калькулятор'!$G$7="30/365",'депозитный калькулятор'!$G$7="30/360"),DAY(F968)&lt;30),30,DAY(F968))),IF(AND('депозитный калькулятор'!$G$10="ежемесячное, на средний остаток в течение месяца, при условии что остаток больше чем ограничение",F968='депозитный калькулятор'!$D$8,EOMONTH(F968,0)&lt;&gt;F968),IF('депозитный калькулятор'!$F$1=1,$H$24,SUM(OFFSET(Q968,-E968+1,0):Q968)),IF(AND('депозитный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калькулятор'!$G$7="30/360"),DAY(EOMONTH(F968,0))=31),EOMONTH(F968,0)-1=F968,EOMONTH(F968,0)=F968)),IF(IF(AND(OR('депозитный калькулятор'!$G$7="30/365",'депозитный калькулятор'!$G$7="30/360"),DAY(EOMONTH($F$24,0))=31),F968=EOMONTH($F$24,0)-1,F968=EOMONTH($F$24,0)),SUM(OFFSET(Q968,-E968+1,0):Q968),SUM(OFFSET(Q968,-E968+1,0):Q968)),IF('депозитный калькулятор'!$G$10="ежеквартальное",IF(F968&gt;'депозитный калькулятор'!$D$8," ",IF(AND(EOMONTH(F968,0)=F968,OR(MONTH(F968)=3,MONTH(F968)=6,MONTH(F968)=9,MONTH(F968)=12)),IF(EDATE(F968,-3)&lt;'депозитный калькулятор'!$D$7,SUM($H$23:H968),IF(MOD(YEAR(F968),4)=0,IF(AND(EOMONTH(F968,0)=F968,OR(MONTH(F968)=3,MONTH(F968)=6)),SUM(OFFSET(H968,-90,0):H968),IF(AND(EOMONTH(F968,0)=F968,OR(MONTH(F968)=9,MONTH(F968)=12)),SUM(OFFSET(H968,-91,0):H968))),IF(AND(EOMONTH(F968,0)=F968,MONTH(F968)=3),SUM(OFFSET(H968,-89,0):H968),IF(AND(EOMONTH(F968,0)=F968,MONTH(F968)=6),SUM(OFFSET(H968,-90,0):H968),IF(AND(EOMONTH(F968,0)=F968,OR(MONTH(F968)=9,MONTH(F968)=12)),SUM(OFFSET(H968,-91,0):H968)))))),IF(F968='депозитный калькулятор'!$D$8,SUM($H$23:H968)-SUM($I$23:I967),0))),IF('депозитный калькулятор'!$G$10="ежегодное",IF(F968&gt;'депозитный калькулятор'!$D$8," ",IF(F968='депозитный калькулятор'!$D$8,SUM($H$23:H968)-SUM($I$23:I967),IF(AND(EOMONTH(F968,0)=F968,MONTH(F968)=12),IF(MOD(YEAR(F967),4)=0,IF(F968-'депозитный калькулятор'!$D$7&lt;366,SUM($H$23:H968),SUM(OFFSET(H968,-365,0):H968)),IF(F968-'депозитный калькулятор'!$D$7&lt;365,SUM($H$23:H968),SUM(OFFSET(H968,-364,0):H968))),0))),IF(AND('депозитный калькулятор'!$G$10="в конце срока",'депозитный калькулятор'!$D$8=F968),SUM($H$23:H968),0))))))))))))))))))</f>
        <v xml:space="preserve"> </v>
      </c>
      <c r="J968" s="59" t="str">
        <f>IF(F968&gt;'депозитный калькулятор'!$D$8," ",IF('депозитный калькулятор'!$G$16="нет",0,IF(AND('депозитный калькулятор'!$G$17="разовая (в конце срока)",F968='депозитный калькулятор'!$D$8),'депозитный калькулятор'!$G$18,IF(AND('депозитный калькулятор'!$G$17="ежемесячная",EOMONTH(F967,0)=F967),'депозитный калькулятор'!$G$18,IF(AND('депозитный калькулятор'!$G$17="ежегодная",DAY(F967)=31,MONTH(F967)=12),'депозитный калькулятор'!$G$18,IF(AND('депозитный калькулятор'!$G$17="ежемесячная в зависимости от остатка",EOMONTH(F967,0)=F967,P967&gt;0),'депозитный калькулятор'!$G$18,IF(AND('депозитный калькулятор'!$G$17="ежегодная в зависимости от остатка",DAY(F967)=31,MONTH(F967)=12,P967&gt;0),'депозитный калькулятор'!$G$18,0)))))))</f>
        <v xml:space="preserve"> </v>
      </c>
      <c r="K968" s="135" t="str">
        <f>IF($F968=" "," ",IFERROR(VLOOKUP($F968,'депозитный калькулятор'!$B$26:$F$70,2,0),0))</f>
        <v xml:space="preserve"> </v>
      </c>
      <c r="L968" s="135" t="str">
        <f>IF($F968=" "," ",IFERROR(VLOOKUP($F968,'депозитный калькулятор'!$B$26:$F$70,3,0),0))</f>
        <v xml:space="preserve"> </v>
      </c>
      <c r="M968" s="135" t="str">
        <f>IF($F968=" "," ",IFERROR(VLOOKUP($F968,'депозитный калькулятор'!$B$26:$F$70,4,0),0))</f>
        <v xml:space="preserve"> </v>
      </c>
      <c r="N968" s="135" t="str">
        <f>IF($F968=" "," ",IFERROR(VLOOKUP($F968,'депозитный калькулятор'!$B$26:$F$70,5,0),0))</f>
        <v xml:space="preserve"> </v>
      </c>
      <c r="O968" s="146" t="str">
        <f>IF(F968&gt;'депозитный калькулятор'!$D$8," ",IF(F968='депозитный калькулятор'!$D$8,IF(AND($F$24='депозитный калькулятор'!$D$8,'депозитный калькулятор'!$G$13="нет"),-G968-IF(I968=" ",0,I968)-IF(AND(OR('депозитный калькулятор'!$G$7="30/365",'депозитный калькулятор'!$G$7="30/360"),'депозитный калькулятор'!$G$10="в начале срока"),I967,0)-L968+M968-N968,-G968-IF(I968=" ",0,I968)-L968+M968-N968),IF('депозитный калькулятор'!$G$13="есть",M968-N968+IF('депозитный калькулятор'!$G$14="есть",0,-L968),-IF(I968=" ",0,I968)-IF(AND(OR('депозитный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срока"),I967,0)+M968-N968+IF('депозитный калькулятор'!$G$14="есть",0,-L968))))</f>
        <v xml:space="preserve"> </v>
      </c>
      <c r="P968" s="147" t="str">
        <f>IF(F968&gt;'депозитный калькулятор'!$D$8," ",IF(EOMONTH(F967,0)=F967,0,IF(G968&gt;='депозитный калькулятор'!$G$19,P967,P967+1)))</f>
        <v xml:space="preserve"> </v>
      </c>
      <c r="Q968" s="138" t="str">
        <f>IF(F968=" "," ",IF(AND(OR('депозитный калькулятор'!$G$7="30/365",'депозитный калькулятор'!$G$7="30/360"),AND(MONTH(F968)=2,EOMONTH(F968,0)=F968)),IF(DAY(F968)=28,3,2),1)*IF(G968&gt;='депозитный калькулятор'!$G$11,IF(AND('депозитный калькулятор'!$G$7="факт/факт",MOD(YEAR(F968),4)=0),G968*'депозитный калькулятор'!$D$11/366,G968*'депозитный калькулятор'!$G$8),0))</f>
        <v xml:space="preserve"> </v>
      </c>
      <c r="S968" s="62" t="str">
        <f t="shared" ca="1" si="72"/>
        <v xml:space="preserve"> </v>
      </c>
      <c r="T968" s="149" t="str">
        <f ca="1">IF(S968=" "," ",IF('депозитный калькулятор'!$G$7="30/360",DAYS360(U967,IF(DAY(U968)=31,U968-1,U968))+IF(AND(MONTH(U968)=2,U968=EOMONTH(U968,0)),30-DAY(EOMONTH(U968,0)))+T967,VLOOKUP(S968,$C$22:$F$1023,2,0)))</f>
        <v xml:space="preserve"> </v>
      </c>
      <c r="U968" s="64" t="str">
        <f t="shared" ca="1" si="70"/>
        <v xml:space="preserve"> </v>
      </c>
      <c r="V968" s="150" t="str">
        <f t="shared" ca="1" si="73"/>
        <v xml:space="preserve"> </v>
      </c>
      <c r="W968" s="62" t="str">
        <f t="shared" ca="1" si="74"/>
        <v xml:space="preserve"> </v>
      </c>
      <c r="X968" s="141" t="str">
        <f ca="1">IF(S968=" "," ",IFERROR(VLOOKUP(U968,$F$23:$N$1023,7)+VLOOKUP(U968,$F$23:$N$1023,9)+IF(AND('депозитный калькулятор'!$G$13="нет",U968&lt;&gt;'депозитный калькулятор'!$D$8),VLOOKUP(U968,$F$23:$N$1023,4),0),0)+IF(U968='депозитный калькулятор'!$D$8,VLOOKUP(U968,$F$23:$N$1023,2)+VLOOKUP(U968,$F$23:$N$1023,4),0))</f>
        <v xml:space="preserve"> </v>
      </c>
      <c r="Y968" s="142" t="str">
        <f ca="1">IF(S968=" "," ",W968/(1+'депозитный калькулятор'!$K$8)^(T968/IF('депозитный калькулятор'!$G$7="30/360",360,365)))</f>
        <v xml:space="preserve"> </v>
      </c>
      <c r="Z968" s="142" t="str">
        <f ca="1">IF(S968=" "," ",X968/(1+'депозитный калькулятор'!$K$8)^(T968/IF('депозитный калькулятор'!$G$7="30/360",360,365)))</f>
        <v xml:space="preserve"> </v>
      </c>
      <c r="AA968" s="151"/>
      <c r="AB968" s="151"/>
      <c r="AC968" s="155"/>
      <c r="AD968" s="155"/>
    </row>
    <row r="969" spans="1:30" s="2" customFormat="1" ht="15.5" x14ac:dyDescent="0.35">
      <c r="A969" s="41" t="str">
        <f>IF(F969=" "," ",IF(OR('депозитный калькулятор'!$G$7="30/365",'депозитный калькулятор'!$G$7="30/360"),IF(AND(MONTH(F969)=2,DAY(F969)=DAY(EOMONTH(F969,0))),30-DAY(EOMONTH(F969,0)),IF(DAY(F969)=31,1," "))," "))</f>
        <v xml:space="preserve"> </v>
      </c>
      <c r="B969" s="130" t="str">
        <f t="shared" si="71"/>
        <v xml:space="preserve"> </v>
      </c>
      <c r="C969" s="130" t="str">
        <f>IF(OR(B969=0,B969=" ")," ",SUM($B$23:B969))</f>
        <v xml:space="preserve"> </v>
      </c>
      <c r="D969" s="62" t="str">
        <f>IF(D968=" "," ",IF(OR(F968='депозитный калькулятор'!$D$8,F968=" ")," ",D968+1))</f>
        <v xml:space="preserve"> </v>
      </c>
      <c r="E969" s="130" t="str">
        <f>IF(OR(F968='депозитный калькулятор'!$D$8,F968=" ")," ",IF(EOMONTH(F968,0)=F968,1,E968+1))</f>
        <v xml:space="preserve"> </v>
      </c>
      <c r="F969" s="64" t="str">
        <f>IF(F968=" "," ",IF(F968='депозитный калькулятор'!$D$8," ",F968+1))</f>
        <v xml:space="preserve"> </v>
      </c>
      <c r="G969" s="145" t="str">
        <f xml:space="preserve"> IF(F969&gt;'депозитный калькулятор'!$D$8," ",IF('депозитный калькулятор'!$G$13="есть",IF('депозитный калькулятор'!$G$14="есть",G968+IF(I968=" ",0,I968)-J969-K969+L969+M969-N969,G968+IF(I968=" ",0,I968)-J969-K969+M969-N969),IF('депозитный калькулятор'!$G$14="есть",G968-J969-K969+L969+M969-N969,G968-J969-K969+M969-N969)))</f>
        <v xml:space="preserve"> </v>
      </c>
      <c r="H969" s="133" t="str">
        <f>IF(F969&gt;'депозитный калькулятор'!$D$8," ",IF(AND(OR('депозитный калькулятор'!$G$7="30/365",'депозитный калькулятор'!$G$7="30/360"),AND(MONTH(F969)=2,EOMONTH(F969,0)=F969)),IF(DAY(F969)=28,3*G969*'депозитный калькулятор'!$G$8,2*G969*'депозитный калькулятор'!$G$8),IF(AND(OR('депозитный калькулятор'!$G$7="30/365",'депозитный калькулятор'!$G$7="30/360"),DAY(F969)=31)," ",IF(AND('депозитный калькулятор'!$G$7="факт/факт",MOD(YEAR(F969),4)=0),G969*'депозитный калькулятор'!$D$11/366,G969*'депозитный калькулятор'!$G$8))))</f>
        <v xml:space="preserve"> </v>
      </c>
      <c r="I969" s="134" t="str">
        <f ca="1">IF(F969=" "," ",IF('депозитный калькулятор'!$G$10="ежедневное",H969,IF(AND('депозитный калькулятор'!$G$10="еженедельное",WEEKDAY(F969,2)=7),SUM(OFFSET(H969,-6,0):H969),IF(AND('депозитный калькулятор'!$G$10="еженедельное",F969='депозитный калькулятор'!$D$8),SUM($H$23:H969)-SUM($I$23:I968),IF(AND('депозитный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недели",WEEKDAY(F969,2)=7),MIN(OFFSET(H969,-6,0):H969)*(COUNTIF(OFFSET(H969,-6,0):H969,"&gt;0")+SUMIF(OFFSET(A969,-WEEKDAY(F969,2),0):A969,"=2",OFFSET(A969,-WEEKDAY(F969,2),0):A969)),IF(AND('депозитный калькулятор'!$G$10="еженедельное, на минимальную сумму зафиксированную в течение недели",F969='депозитный калькулятор'!$D$8,WEEKDAY(F969,2)&lt;&gt;7),MIN(OFFSET(H969,-WEEKDAY(F969,2),0):H969)*(COUNTIF(OFFSET(H969,-WEEKDAY(F969,2)+1,0):H969,"&gt;0")+SUM(OFFSET(A969,-WEEKDAY(F969,2),0):A969)),IF(AND('депозитный калькулятор'!$G$10="ежемесячное (в конце месяца)",F969='депозитный калькулятор'!$D$8,EOMONTH(F969,0)&lt;&gt;F969),IF('депозитный калькулятор'!$F$1=1,$H$24,SUM($H$23:H969)-SUM($I$23:I968)),IF(AND('депозитный калькулятор'!$G$10="ежемесячное (в конце месяца)",EOMONTH(F969,0)=F969),SUM($H$23:H969)-SUM($I$23:I968),IF(AND('депозитный калькулятор'!$G$10="ежемесячное (по дням открытия вклада)",F969='депозитный калькулятор'!$D$8,DAY('депозитный калькулятор'!$D$7)&lt;&gt;DAY(F969)),IF('депозитный калькулятор'!$F$1=1,$H$24,SUM($H$23:H969)-SUM($I$23:I968)),IF(AND('депозитный калькулятор'!$G$10="ежемесячное (по дням открытия вклада)",DAY('депозитный калькулятор'!$D$7)=DAY(F969)),SUM($H$23:H969)-SUM($I$23:I968),IF(AND('депозитный калькулятор'!$G$10="ежемесячное, на минимальную сумму зафиксированную в течение месяца",F969='депозитный калькулятор'!$D$8,EOMONTH(F969,0)&lt;&gt;F969),IF('депозитный калькулятор'!$F$1=1,$H$24,IF(AND(OR('депозитный калькулятор'!$G$7="30/365",'депозитный калькулятор'!$G$7="30/360"),DAY(F969)=31),0,MIN(OFFSET(H969,-E969+1,0):H969)*(E969+SUMIF(OFFSET(A969,-E969+1,0):A969,"=2",OFFSET(A969,-E969+1,0):A969)))),IF(AND('депозитный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калькулятор'!$G$7="30/360"),DAY(EOMONTH(F969,0))=31),EOMONTH(F969,0)-1=F969,EOMONTH(F969,0)=F969)),IF(IF(AND(OR('депозитный калькулятор'!$G$7="30/365",'депозитный калькулятор'!$G$7="30/360"),DAY(EOMONTH($F$23,0))=31),F969=EOMONTH($F$23,0)-1,F969=EOMONTH($F$23,0)),MIN(OFFSET(H969,-(DAY(F969)-DAY($F$23)),0):H969)*E969,MIN(OFFSET(H969,-(DAY(F969)-1),0):H969)*IF(AND(OR('депозитный калькулятор'!$G$7="30/365",'депозитный калькулятор'!$G$7="30/360"),DAY(F969)&lt;30),30,DAY(F969))),IF(AND('депозитный калькулятор'!$G$10="ежемесячное, на средний остаток в течение месяца, при условии что остаток больше чем ограничение",F969='депозитный калькулятор'!$D$8,EOMONTH(F969,0)&lt;&gt;F969),IF('депозитный калькулятор'!$F$1=1,$H$24,SUM(OFFSET(Q969,-E969+1,0):Q969)),IF(AND('депозитный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калькулятор'!$G$7="30/360"),DAY(EOMONTH(F969,0))=31),EOMONTH(F969,0)-1=F969,EOMONTH(F969,0)=F969)),IF(IF(AND(OR('депозитный калькулятор'!$G$7="30/365",'депозитный калькулятор'!$G$7="30/360"),DAY(EOMONTH($F$24,0))=31),F969=EOMONTH($F$24,0)-1,F969=EOMONTH($F$24,0)),SUM(OFFSET(Q969,-E969+1,0):Q969),SUM(OFFSET(Q969,-E969+1,0):Q969)),IF('депозитный калькулятор'!$G$10="ежеквартальное",IF(F969&gt;'депозитный калькулятор'!$D$8," ",IF(AND(EOMONTH(F969,0)=F969,OR(MONTH(F969)=3,MONTH(F969)=6,MONTH(F969)=9,MONTH(F969)=12)),IF(EDATE(F969,-3)&lt;'депозитный калькулятор'!$D$7,SUM($H$23:H969),IF(MOD(YEAR(F969),4)=0,IF(AND(EOMONTH(F969,0)=F969,OR(MONTH(F969)=3,MONTH(F969)=6)),SUM(OFFSET(H969,-90,0):H969),IF(AND(EOMONTH(F969,0)=F969,OR(MONTH(F969)=9,MONTH(F969)=12)),SUM(OFFSET(H969,-91,0):H969))),IF(AND(EOMONTH(F969,0)=F969,MONTH(F969)=3),SUM(OFFSET(H969,-89,0):H969),IF(AND(EOMONTH(F969,0)=F969,MONTH(F969)=6),SUM(OFFSET(H969,-90,0):H969),IF(AND(EOMONTH(F969,0)=F969,OR(MONTH(F969)=9,MONTH(F969)=12)),SUM(OFFSET(H969,-91,0):H969)))))),IF(F969='депозитный калькулятор'!$D$8,SUM($H$23:H969)-SUM($I$23:I968),0))),IF('депозитный калькулятор'!$G$10="ежегодное",IF(F969&gt;'депозитный калькулятор'!$D$8," ",IF(F969='депозитный калькулятор'!$D$8,SUM($H$23:H969)-SUM($I$23:I968),IF(AND(EOMONTH(F969,0)=F969,MONTH(F969)=12),IF(MOD(YEAR(F968),4)=0,IF(F969-'депозитный калькулятор'!$D$7&lt;366,SUM($H$23:H969),SUM(OFFSET(H969,-365,0):H969)),IF(F969-'депозитный калькулятор'!$D$7&lt;365,SUM($H$23:H969),SUM(OFFSET(H969,-364,0):H969))),0))),IF(AND('депозитный калькулятор'!$G$10="в конце срока",'депозитный калькулятор'!$D$8=F969),SUM($H$23:H969),0))))))))))))))))))</f>
        <v xml:space="preserve"> </v>
      </c>
      <c r="J969" s="59" t="str">
        <f>IF(F969&gt;'депозитный калькулятор'!$D$8," ",IF('депозитный калькулятор'!$G$16="нет",0,IF(AND('депозитный калькулятор'!$G$17="разовая (в конце срока)",F969='депозитный калькулятор'!$D$8),'депозитный калькулятор'!$G$18,IF(AND('депозитный калькулятор'!$G$17="ежемесячная",EOMONTH(F968,0)=F968),'депозитный калькулятор'!$G$18,IF(AND('депозитный калькулятор'!$G$17="ежегодная",DAY(F968)=31,MONTH(F968)=12),'депозитный калькулятор'!$G$18,IF(AND('депозитный калькулятор'!$G$17="ежемесячная в зависимости от остатка",EOMONTH(F968,0)=F968,P968&gt;0),'депозитный калькулятор'!$G$18,IF(AND('депозитный калькулятор'!$G$17="ежегодная в зависимости от остатка",DAY(F968)=31,MONTH(F968)=12,P968&gt;0),'депозитный калькулятор'!$G$18,0)))))))</f>
        <v xml:space="preserve"> </v>
      </c>
      <c r="K969" s="135" t="str">
        <f>IF($F969=" "," ",IFERROR(VLOOKUP($F969,'депозитный калькулятор'!$B$26:$F$70,2,0),0))</f>
        <v xml:space="preserve"> </v>
      </c>
      <c r="L969" s="135" t="str">
        <f>IF($F969=" "," ",IFERROR(VLOOKUP($F969,'депозитный калькулятор'!$B$26:$F$70,3,0),0))</f>
        <v xml:space="preserve"> </v>
      </c>
      <c r="M969" s="135" t="str">
        <f>IF($F969=" "," ",IFERROR(VLOOKUP($F969,'депозитный калькулятор'!$B$26:$F$70,4,0),0))</f>
        <v xml:space="preserve"> </v>
      </c>
      <c r="N969" s="135" t="str">
        <f>IF($F969=" "," ",IFERROR(VLOOKUP($F969,'депозитный калькулятор'!$B$26:$F$70,5,0),0))</f>
        <v xml:space="preserve"> </v>
      </c>
      <c r="O969" s="146" t="str">
        <f>IF(F969&gt;'депозитный калькулятор'!$D$8," ",IF(F969='депозитный калькулятор'!$D$8,IF(AND($F$24='депозитный калькулятор'!$D$8,'депозитный калькулятор'!$G$13="нет"),-G969-IF(I969=" ",0,I969)-IF(AND(OR('депозитный калькулятор'!$G$7="30/365",'депозитный калькулятор'!$G$7="30/360"),'депозитный калькулятор'!$G$10="в начале срока"),I968,0)-L969+M969-N969,-G969-IF(I969=" ",0,I969)-L969+M969-N969),IF('депозитный калькулятор'!$G$13="есть",M969-N969+IF('депозитный калькулятор'!$G$14="есть",0,-L969),-IF(I969=" ",0,I969)-IF(AND(OR('депозитный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срока"),I968,0)+M969-N969+IF('депозитный калькулятор'!$G$14="есть",0,-L969))))</f>
        <v xml:space="preserve"> </v>
      </c>
      <c r="P969" s="147" t="str">
        <f>IF(F969&gt;'депозитный калькулятор'!$D$8," ",IF(EOMONTH(F968,0)=F968,0,IF(G969&gt;='депозитный калькулятор'!$G$19,P968,P968+1)))</f>
        <v xml:space="preserve"> </v>
      </c>
      <c r="Q969" s="138" t="str">
        <f>IF(F969=" "," ",IF(AND(OR('депозитный калькулятор'!$G$7="30/365",'депозитный калькулятор'!$G$7="30/360"),AND(MONTH(F969)=2,EOMONTH(F969,0)=F969)),IF(DAY(F969)=28,3,2),1)*IF(G969&gt;='депозитный калькулятор'!$G$11,IF(AND('депозитный калькулятор'!$G$7="факт/факт",MOD(YEAR(F969),4)=0),G969*'депозитный калькулятор'!$D$11/366,G969*'депозитный калькулятор'!$G$8),0))</f>
        <v xml:space="preserve"> </v>
      </c>
      <c r="S969" s="62" t="str">
        <f t="shared" ca="1" si="72"/>
        <v xml:space="preserve"> </v>
      </c>
      <c r="T969" s="149" t="str">
        <f ca="1">IF(S969=" "," ",IF('депозитный калькулятор'!$G$7="30/360",DAYS360(U968,IF(DAY(U969)=31,U969-1,U969))+IF(AND(MONTH(U969)=2,U969=EOMONTH(U969,0)),30-DAY(EOMONTH(U969,0)))+T968,VLOOKUP(S969,$C$22:$F$1023,2,0)))</f>
        <v xml:space="preserve"> </v>
      </c>
      <c r="U969" s="64" t="str">
        <f t="shared" ca="1" si="70"/>
        <v xml:space="preserve"> </v>
      </c>
      <c r="V969" s="150" t="str">
        <f t="shared" ca="1" si="73"/>
        <v xml:space="preserve"> </v>
      </c>
      <c r="W969" s="62" t="str">
        <f t="shared" ca="1" si="74"/>
        <v xml:space="preserve"> </v>
      </c>
      <c r="X969" s="141" t="str">
        <f ca="1">IF(S969=" "," ",IFERROR(VLOOKUP(U969,$F$23:$N$1023,7)+VLOOKUP(U969,$F$23:$N$1023,9)+IF(AND('депозитный калькулятор'!$G$13="нет",U969&lt;&gt;'депозитный калькулятор'!$D$8),VLOOKUP(U969,$F$23:$N$1023,4),0),0)+IF(U969='депозитный калькулятор'!$D$8,VLOOKUP(U969,$F$23:$N$1023,2)+VLOOKUP(U969,$F$23:$N$1023,4),0))</f>
        <v xml:space="preserve"> </v>
      </c>
      <c r="Y969" s="142" t="str">
        <f ca="1">IF(S969=" "," ",W969/(1+'депозитный калькулятор'!$K$8)^(T969/IF('депозитный калькулятор'!$G$7="30/360",360,365)))</f>
        <v xml:space="preserve"> </v>
      </c>
      <c r="Z969" s="142" t="str">
        <f ca="1">IF(S969=" "," ",X969/(1+'депозитный калькулятор'!$K$8)^(T969/IF('депозитный калькулятор'!$G$7="30/360",360,365)))</f>
        <v xml:space="preserve"> </v>
      </c>
      <c r="AA969" s="151"/>
      <c r="AB969" s="151"/>
      <c r="AC969" s="155"/>
      <c r="AD969" s="155"/>
    </row>
    <row r="970" spans="1:30" s="2" customFormat="1" ht="15.5" x14ac:dyDescent="0.35">
      <c r="A970" s="41" t="str">
        <f>IF(F970=" "," ",IF(OR('депозитный калькулятор'!$G$7="30/365",'депозитный калькулятор'!$G$7="30/360"),IF(AND(MONTH(F970)=2,DAY(F970)=DAY(EOMONTH(F970,0))),30-DAY(EOMONTH(F970,0)),IF(DAY(F970)=31,1," "))," "))</f>
        <v xml:space="preserve"> </v>
      </c>
      <c r="B970" s="130" t="str">
        <f t="shared" si="71"/>
        <v xml:space="preserve"> </v>
      </c>
      <c r="C970" s="130" t="str">
        <f>IF(OR(B970=0,B970=" ")," ",SUM($B$23:B970))</f>
        <v xml:space="preserve"> </v>
      </c>
      <c r="D970" s="62" t="str">
        <f>IF(D969=" "," ",IF(OR(F969='депозитный калькулятор'!$D$8,F969=" ")," ",D969+1))</f>
        <v xml:space="preserve"> </v>
      </c>
      <c r="E970" s="130" t="str">
        <f>IF(OR(F969='депозитный калькулятор'!$D$8,F969=" ")," ",IF(EOMONTH(F969,0)=F969,1,E969+1))</f>
        <v xml:space="preserve"> </v>
      </c>
      <c r="F970" s="64" t="str">
        <f>IF(F969=" "," ",IF(F969='депозитный калькулятор'!$D$8," ",F969+1))</f>
        <v xml:space="preserve"> </v>
      </c>
      <c r="G970" s="145" t="str">
        <f xml:space="preserve"> IF(F970&gt;'депозитный калькулятор'!$D$8," ",IF('депозитный калькулятор'!$G$13="есть",IF('депозитный калькулятор'!$G$14="есть",G969+IF(I969=" ",0,I969)-J970-K970+L970+M970-N970,G969+IF(I969=" ",0,I969)-J970-K970+M970-N970),IF('депозитный калькулятор'!$G$14="есть",G969-J970-K970+L970+M970-N970,G969-J970-K970+M970-N970)))</f>
        <v xml:space="preserve"> </v>
      </c>
      <c r="H970" s="133" t="str">
        <f>IF(F970&gt;'депозитный калькулятор'!$D$8," ",IF(AND(OR('депозитный калькулятор'!$G$7="30/365",'депозитный калькулятор'!$G$7="30/360"),AND(MONTH(F970)=2,EOMONTH(F970,0)=F970)),IF(DAY(F970)=28,3*G970*'депозитный калькулятор'!$G$8,2*G970*'депозитный калькулятор'!$G$8),IF(AND(OR('депозитный калькулятор'!$G$7="30/365",'депозитный калькулятор'!$G$7="30/360"),DAY(F970)=31)," ",IF(AND('депозитный калькулятор'!$G$7="факт/факт",MOD(YEAR(F970),4)=0),G970*'депозитный калькулятор'!$D$11/366,G970*'депозитный калькулятор'!$G$8))))</f>
        <v xml:space="preserve"> </v>
      </c>
      <c r="I970" s="134" t="str">
        <f ca="1">IF(F970=" "," ",IF('депозитный калькулятор'!$G$10="ежедневное",H970,IF(AND('депозитный калькулятор'!$G$10="еженедельное",WEEKDAY(F970,2)=7),SUM(OFFSET(H970,-6,0):H970),IF(AND('депозитный калькулятор'!$G$10="еженедельное",F970='депозитный калькулятор'!$D$8),SUM($H$23:H970)-SUM($I$23:I969),IF(AND('депозитный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недели",WEEKDAY(F970,2)=7),MIN(OFFSET(H970,-6,0):H970)*(COUNTIF(OFFSET(H970,-6,0):H970,"&gt;0")+SUMIF(OFFSET(A970,-WEEKDAY(F970,2),0):A970,"=2",OFFSET(A970,-WEEKDAY(F970,2),0):A970)),IF(AND('депозитный калькулятор'!$G$10="еженедельное, на минимальную сумму зафиксированную в течение недели",F970='депозитный калькулятор'!$D$8,WEEKDAY(F970,2)&lt;&gt;7),MIN(OFFSET(H970,-WEEKDAY(F970,2),0):H970)*(COUNTIF(OFFSET(H970,-WEEKDAY(F970,2)+1,0):H970,"&gt;0")+SUM(OFFSET(A970,-WEEKDAY(F970,2),0):A970)),IF(AND('депозитный калькулятор'!$G$10="ежемесячное (в конце месяца)",F970='депозитный калькулятор'!$D$8,EOMONTH(F970,0)&lt;&gt;F970),IF('депозитный калькулятор'!$F$1=1,$H$24,SUM($H$23:H970)-SUM($I$23:I969)),IF(AND('депозитный калькулятор'!$G$10="ежемесячное (в конце месяца)",EOMONTH(F970,0)=F970),SUM($H$23:H970)-SUM($I$23:I969),IF(AND('депозитный калькулятор'!$G$10="ежемесячное (по дням открытия вклада)",F970='депозитный калькулятор'!$D$8,DAY('депозитный калькулятор'!$D$7)&lt;&gt;DAY(F970)),IF('депозитный калькулятор'!$F$1=1,$H$24,SUM($H$23:H970)-SUM($I$23:I969)),IF(AND('депозитный калькулятор'!$G$10="ежемесячное (по дням открытия вклада)",DAY('депозитный калькулятор'!$D$7)=DAY(F970)),SUM($H$23:H970)-SUM($I$23:I969),IF(AND('депозитный калькулятор'!$G$10="ежемесячное, на минимальную сумму зафиксированную в течение месяца",F970='депозитный калькулятор'!$D$8,EOMONTH(F970,0)&lt;&gt;F970),IF('депозитный калькулятор'!$F$1=1,$H$24,IF(AND(OR('депозитный калькулятор'!$G$7="30/365",'депозитный калькулятор'!$G$7="30/360"),DAY(F970)=31),0,MIN(OFFSET(H970,-E970+1,0):H970)*(E970+SUMIF(OFFSET(A970,-E970+1,0):A970,"=2",OFFSET(A970,-E970+1,0):A970)))),IF(AND('депозитный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калькулятор'!$G$7="30/360"),DAY(EOMONTH(F970,0))=31),EOMONTH(F970,0)-1=F970,EOMONTH(F970,0)=F970)),IF(IF(AND(OR('депозитный калькулятор'!$G$7="30/365",'депозитный калькулятор'!$G$7="30/360"),DAY(EOMONTH($F$23,0))=31),F970=EOMONTH($F$23,0)-1,F970=EOMONTH($F$23,0)),MIN(OFFSET(H970,-(DAY(F970)-DAY($F$23)),0):H970)*E970,MIN(OFFSET(H970,-(DAY(F970)-1),0):H970)*IF(AND(OR('депозитный калькулятор'!$G$7="30/365",'депозитный калькулятор'!$G$7="30/360"),DAY(F970)&lt;30),30,DAY(F970))),IF(AND('депозитный калькулятор'!$G$10="ежемесячное, на средний остаток в течение месяца, при условии что остаток больше чем ограничение",F970='депозитный калькулятор'!$D$8,EOMONTH(F970,0)&lt;&gt;F970),IF('депозитный калькулятор'!$F$1=1,$H$24,SUM(OFFSET(Q970,-E970+1,0):Q970)),IF(AND('депозитный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калькулятор'!$G$7="30/360"),DAY(EOMONTH(F970,0))=31),EOMONTH(F970,0)-1=F970,EOMONTH(F970,0)=F970)),IF(IF(AND(OR('депозитный калькулятор'!$G$7="30/365",'депозитный калькулятор'!$G$7="30/360"),DAY(EOMONTH($F$24,0))=31),F970=EOMONTH($F$24,0)-1,F970=EOMONTH($F$24,0)),SUM(OFFSET(Q970,-E970+1,0):Q970),SUM(OFFSET(Q970,-E970+1,0):Q970)),IF('депозитный калькулятор'!$G$10="ежеквартальное",IF(F970&gt;'депозитный калькулятор'!$D$8," ",IF(AND(EOMONTH(F970,0)=F970,OR(MONTH(F970)=3,MONTH(F970)=6,MONTH(F970)=9,MONTH(F970)=12)),IF(EDATE(F970,-3)&lt;'депозитный калькулятор'!$D$7,SUM($H$23:H970),IF(MOD(YEAR(F970),4)=0,IF(AND(EOMONTH(F970,0)=F970,OR(MONTH(F970)=3,MONTH(F970)=6)),SUM(OFFSET(H970,-90,0):H970),IF(AND(EOMONTH(F970,0)=F970,OR(MONTH(F970)=9,MONTH(F970)=12)),SUM(OFFSET(H970,-91,0):H970))),IF(AND(EOMONTH(F970,0)=F970,MONTH(F970)=3),SUM(OFFSET(H970,-89,0):H970),IF(AND(EOMONTH(F970,0)=F970,MONTH(F970)=6),SUM(OFFSET(H970,-90,0):H970),IF(AND(EOMONTH(F970,0)=F970,OR(MONTH(F970)=9,MONTH(F970)=12)),SUM(OFFSET(H970,-91,0):H970)))))),IF(F970='депозитный калькулятор'!$D$8,SUM($H$23:H970)-SUM($I$23:I969),0))),IF('депозитный калькулятор'!$G$10="ежегодное",IF(F970&gt;'депозитный калькулятор'!$D$8," ",IF(F970='депозитный калькулятор'!$D$8,SUM($H$23:H970)-SUM($I$23:I969),IF(AND(EOMONTH(F970,0)=F970,MONTH(F970)=12),IF(MOD(YEAR(F969),4)=0,IF(F970-'депозитный калькулятор'!$D$7&lt;366,SUM($H$23:H970),SUM(OFFSET(H970,-365,0):H970)),IF(F970-'депозитный калькулятор'!$D$7&lt;365,SUM($H$23:H970),SUM(OFFSET(H970,-364,0):H970))),0))),IF(AND('депозитный калькулятор'!$G$10="в конце срока",'депозитный калькулятор'!$D$8=F970),SUM($H$23:H970),0))))))))))))))))))</f>
        <v xml:space="preserve"> </v>
      </c>
      <c r="J970" s="59" t="str">
        <f>IF(F970&gt;'депозитный калькулятор'!$D$8," ",IF('депозитный калькулятор'!$G$16="нет",0,IF(AND('депозитный калькулятор'!$G$17="разовая (в конце срока)",F970='депозитный калькулятор'!$D$8),'депозитный калькулятор'!$G$18,IF(AND('депозитный калькулятор'!$G$17="ежемесячная",EOMONTH(F969,0)=F969),'депозитный калькулятор'!$G$18,IF(AND('депозитный калькулятор'!$G$17="ежегодная",DAY(F969)=31,MONTH(F969)=12),'депозитный калькулятор'!$G$18,IF(AND('депозитный калькулятор'!$G$17="ежемесячная в зависимости от остатка",EOMONTH(F969,0)=F969,P969&gt;0),'депозитный калькулятор'!$G$18,IF(AND('депозитный калькулятор'!$G$17="ежегодная в зависимости от остатка",DAY(F969)=31,MONTH(F969)=12,P969&gt;0),'депозитный калькулятор'!$G$18,0)))))))</f>
        <v xml:space="preserve"> </v>
      </c>
      <c r="K970" s="135" t="str">
        <f>IF($F970=" "," ",IFERROR(VLOOKUP($F970,'депозитный калькулятор'!$B$26:$F$70,2,0),0))</f>
        <v xml:space="preserve"> </v>
      </c>
      <c r="L970" s="135" t="str">
        <f>IF($F970=" "," ",IFERROR(VLOOKUP($F970,'депозитный калькулятор'!$B$26:$F$70,3,0),0))</f>
        <v xml:space="preserve"> </v>
      </c>
      <c r="M970" s="135" t="str">
        <f>IF($F970=" "," ",IFERROR(VLOOKUP($F970,'депозитный калькулятор'!$B$26:$F$70,4,0),0))</f>
        <v xml:space="preserve"> </v>
      </c>
      <c r="N970" s="135" t="str">
        <f>IF($F970=" "," ",IFERROR(VLOOKUP($F970,'депозитный калькулятор'!$B$26:$F$70,5,0),0))</f>
        <v xml:space="preserve"> </v>
      </c>
      <c r="O970" s="146" t="str">
        <f>IF(F970&gt;'депозитный калькулятор'!$D$8," ",IF(F970='депозитный калькулятор'!$D$8,IF(AND($F$24='депозитный калькулятор'!$D$8,'депозитный калькулятор'!$G$13="нет"),-G970-IF(I970=" ",0,I970)-IF(AND(OR('депозитный калькулятор'!$G$7="30/365",'депозитный калькулятор'!$G$7="30/360"),'депозитный калькулятор'!$G$10="в начале срока"),I969,0)-L970+M970-N970,-G970-IF(I970=" ",0,I970)-L970+M970-N970),IF('депозитный калькулятор'!$G$13="есть",M970-N970+IF('депозитный калькулятор'!$G$14="есть",0,-L970),-IF(I970=" ",0,I970)-IF(AND(OR('депозитный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срока"),I969,0)+M970-N970+IF('депозитный калькулятор'!$G$14="есть",0,-L970))))</f>
        <v xml:space="preserve"> </v>
      </c>
      <c r="P970" s="147" t="str">
        <f>IF(F970&gt;'депозитный калькулятор'!$D$8," ",IF(EOMONTH(F969,0)=F969,0,IF(G970&gt;='депозитный калькулятор'!$G$19,P969,P969+1)))</f>
        <v xml:space="preserve"> </v>
      </c>
      <c r="Q970" s="138" t="str">
        <f>IF(F970=" "," ",IF(AND(OR('депозитный калькулятор'!$G$7="30/365",'депозитный калькулятор'!$G$7="30/360"),AND(MONTH(F970)=2,EOMONTH(F970,0)=F970)),IF(DAY(F970)=28,3,2),1)*IF(G970&gt;='депозитный калькулятор'!$G$11,IF(AND('депозитный калькулятор'!$G$7="факт/факт",MOD(YEAR(F970),4)=0),G970*'депозитный калькулятор'!$D$11/366,G970*'депозитный калькулятор'!$G$8),0))</f>
        <v xml:space="preserve"> </v>
      </c>
      <c r="S970" s="62" t="str">
        <f t="shared" ca="1" si="72"/>
        <v xml:space="preserve"> </v>
      </c>
      <c r="T970" s="149" t="str">
        <f ca="1">IF(S970=" "," ",IF('депозитный калькулятор'!$G$7="30/360",DAYS360(U969,IF(DAY(U970)=31,U970-1,U970))+IF(AND(MONTH(U970)=2,U970=EOMONTH(U970,0)),30-DAY(EOMONTH(U970,0)))+T969,VLOOKUP(S970,$C$22:$F$1023,2,0)))</f>
        <v xml:space="preserve"> </v>
      </c>
      <c r="U970" s="64" t="str">
        <f t="shared" ca="1" si="70"/>
        <v xml:space="preserve"> </v>
      </c>
      <c r="V970" s="150" t="str">
        <f t="shared" ca="1" si="73"/>
        <v xml:space="preserve"> </v>
      </c>
      <c r="W970" s="62" t="str">
        <f t="shared" ca="1" si="74"/>
        <v xml:space="preserve"> </v>
      </c>
      <c r="X970" s="141" t="str">
        <f ca="1">IF(S970=" "," ",IFERROR(VLOOKUP(U970,$F$23:$N$1023,7)+VLOOKUP(U970,$F$23:$N$1023,9)+IF(AND('депозитный калькулятор'!$G$13="нет",U970&lt;&gt;'депозитный калькулятор'!$D$8),VLOOKUP(U970,$F$23:$N$1023,4),0),0)+IF(U970='депозитный калькулятор'!$D$8,VLOOKUP(U970,$F$23:$N$1023,2)+VLOOKUP(U970,$F$23:$N$1023,4),0))</f>
        <v xml:space="preserve"> </v>
      </c>
      <c r="Y970" s="142" t="str">
        <f ca="1">IF(S970=" "," ",W970/(1+'депозитный калькулятор'!$K$8)^(T970/IF('депозитный калькулятор'!$G$7="30/360",360,365)))</f>
        <v xml:space="preserve"> </v>
      </c>
      <c r="Z970" s="142" t="str">
        <f ca="1">IF(S970=" "," ",X970/(1+'депозитный калькулятор'!$K$8)^(T970/IF('депозитный калькулятор'!$G$7="30/360",360,365)))</f>
        <v xml:space="preserve"> </v>
      </c>
      <c r="AA970" s="151"/>
      <c r="AB970" s="151"/>
      <c r="AC970" s="155"/>
      <c r="AD970" s="155"/>
    </row>
    <row r="971" spans="1:30" s="2" customFormat="1" ht="15.5" x14ac:dyDescent="0.35">
      <c r="A971" s="41" t="str">
        <f>IF(F971=" "," ",IF(OR('депозитный калькулятор'!$G$7="30/365",'депозитный калькулятор'!$G$7="30/360"),IF(AND(MONTH(F971)=2,DAY(F971)=DAY(EOMONTH(F971,0))),30-DAY(EOMONTH(F971,0)),IF(DAY(F971)=31,1," "))," "))</f>
        <v xml:space="preserve"> </v>
      </c>
      <c r="B971" s="130" t="str">
        <f t="shared" si="71"/>
        <v xml:space="preserve"> </v>
      </c>
      <c r="C971" s="130" t="str">
        <f>IF(OR(B971=0,B971=" ")," ",SUM($B$23:B971))</f>
        <v xml:space="preserve"> </v>
      </c>
      <c r="D971" s="62" t="str">
        <f>IF(D970=" "," ",IF(OR(F970='депозитный калькулятор'!$D$8,F970=" ")," ",D970+1))</f>
        <v xml:space="preserve"> </v>
      </c>
      <c r="E971" s="130" t="str">
        <f>IF(OR(F970='депозитный калькулятор'!$D$8,F970=" ")," ",IF(EOMONTH(F970,0)=F970,1,E970+1))</f>
        <v xml:space="preserve"> </v>
      </c>
      <c r="F971" s="64" t="str">
        <f>IF(F970=" "," ",IF(F970='депозитный калькулятор'!$D$8," ",F970+1))</f>
        <v xml:space="preserve"> </v>
      </c>
      <c r="G971" s="145" t="str">
        <f xml:space="preserve"> IF(F971&gt;'депозитный калькулятор'!$D$8," ",IF('депозитный калькулятор'!$G$13="есть",IF('депозитный калькулятор'!$G$14="есть",G970+IF(I970=" ",0,I970)-J971-K971+L971+M971-N971,G970+IF(I970=" ",0,I970)-J971-K971+M971-N971),IF('депозитный калькулятор'!$G$14="есть",G970-J971-K971+L971+M971-N971,G970-J971-K971+M971-N971)))</f>
        <v xml:space="preserve"> </v>
      </c>
      <c r="H971" s="133" t="str">
        <f>IF(F971&gt;'депозитный калькулятор'!$D$8," ",IF(AND(OR('депозитный калькулятор'!$G$7="30/365",'депозитный калькулятор'!$G$7="30/360"),AND(MONTH(F971)=2,EOMONTH(F971,0)=F971)),IF(DAY(F971)=28,3*G971*'депозитный калькулятор'!$G$8,2*G971*'депозитный калькулятор'!$G$8),IF(AND(OR('депозитный калькулятор'!$G$7="30/365",'депозитный калькулятор'!$G$7="30/360"),DAY(F971)=31)," ",IF(AND('депозитный калькулятор'!$G$7="факт/факт",MOD(YEAR(F971),4)=0),G971*'депозитный калькулятор'!$D$11/366,G971*'депозитный калькулятор'!$G$8))))</f>
        <v xml:space="preserve"> </v>
      </c>
      <c r="I971" s="134" t="str">
        <f ca="1">IF(F971=" "," ",IF('депозитный калькулятор'!$G$10="ежедневное",H971,IF(AND('депозитный калькулятор'!$G$10="еженедельное",WEEKDAY(F971,2)=7),SUM(OFFSET(H971,-6,0):H971),IF(AND('депозитный калькулятор'!$G$10="еженедельное",F971='депозитный калькулятор'!$D$8),SUM($H$23:H971)-SUM($I$23:I970),IF(AND('депозитный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недели",WEEKDAY(F971,2)=7),MIN(OFFSET(H971,-6,0):H971)*(COUNTIF(OFFSET(H971,-6,0):H971,"&gt;0")+SUMIF(OFFSET(A971,-WEEKDAY(F971,2),0):A971,"=2",OFFSET(A971,-WEEKDAY(F971,2),0):A971)),IF(AND('депозитный калькулятор'!$G$10="еженедельное, на минимальную сумму зафиксированную в течение недели",F971='депозитный калькулятор'!$D$8,WEEKDAY(F971,2)&lt;&gt;7),MIN(OFFSET(H971,-WEEKDAY(F971,2),0):H971)*(COUNTIF(OFFSET(H971,-WEEKDAY(F971,2)+1,0):H971,"&gt;0")+SUM(OFFSET(A971,-WEEKDAY(F971,2),0):A971)),IF(AND('депозитный калькулятор'!$G$10="ежемесячное (в конце месяца)",F971='депозитный калькулятор'!$D$8,EOMONTH(F971,0)&lt;&gt;F971),IF('депозитный калькулятор'!$F$1=1,$H$24,SUM($H$23:H971)-SUM($I$23:I970)),IF(AND('депозитный калькулятор'!$G$10="ежемесячное (в конце месяца)",EOMONTH(F971,0)=F971),SUM($H$23:H971)-SUM($I$23:I970),IF(AND('депозитный калькулятор'!$G$10="ежемесячное (по дням открытия вклада)",F971='депозитный калькулятор'!$D$8,DAY('депозитный калькулятор'!$D$7)&lt;&gt;DAY(F971)),IF('депозитный калькулятор'!$F$1=1,$H$24,SUM($H$23:H971)-SUM($I$23:I970)),IF(AND('депозитный калькулятор'!$G$10="ежемесячное (по дням открытия вклада)",DAY('депозитный калькулятор'!$D$7)=DAY(F971)),SUM($H$23:H971)-SUM($I$23:I970),IF(AND('депозитный калькулятор'!$G$10="ежемесячное, на минимальную сумму зафиксированную в течение месяца",F971='депозитный калькулятор'!$D$8,EOMONTH(F971,0)&lt;&gt;F971),IF('депозитный калькулятор'!$F$1=1,$H$24,IF(AND(OR('депозитный калькулятор'!$G$7="30/365",'депозитный калькулятор'!$G$7="30/360"),DAY(F971)=31),0,MIN(OFFSET(H971,-E971+1,0):H971)*(E971+SUMIF(OFFSET(A971,-E971+1,0):A971,"=2",OFFSET(A971,-E971+1,0):A971)))),IF(AND('депозитный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калькулятор'!$G$7="30/360"),DAY(EOMONTH(F971,0))=31),EOMONTH(F971,0)-1=F971,EOMONTH(F971,0)=F971)),IF(IF(AND(OR('депозитный калькулятор'!$G$7="30/365",'депозитный калькулятор'!$G$7="30/360"),DAY(EOMONTH($F$23,0))=31),F971=EOMONTH($F$23,0)-1,F971=EOMONTH($F$23,0)),MIN(OFFSET(H971,-(DAY(F971)-DAY($F$23)),0):H971)*E971,MIN(OFFSET(H971,-(DAY(F971)-1),0):H971)*IF(AND(OR('депозитный калькулятор'!$G$7="30/365",'депозитный калькулятор'!$G$7="30/360"),DAY(F971)&lt;30),30,DAY(F971))),IF(AND('депозитный калькулятор'!$G$10="ежемесячное, на средний остаток в течение месяца, при условии что остаток больше чем ограничение",F971='депозитный калькулятор'!$D$8,EOMONTH(F971,0)&lt;&gt;F971),IF('депозитный калькулятор'!$F$1=1,$H$24,SUM(OFFSET(Q971,-E971+1,0):Q971)),IF(AND('депозитный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калькулятор'!$G$7="30/360"),DAY(EOMONTH(F971,0))=31),EOMONTH(F971,0)-1=F971,EOMONTH(F971,0)=F971)),IF(IF(AND(OR('депозитный калькулятор'!$G$7="30/365",'депозитный калькулятор'!$G$7="30/360"),DAY(EOMONTH($F$24,0))=31),F971=EOMONTH($F$24,0)-1,F971=EOMONTH($F$24,0)),SUM(OFFSET(Q971,-E971+1,0):Q971),SUM(OFFSET(Q971,-E971+1,0):Q971)),IF('депозитный калькулятор'!$G$10="ежеквартальное",IF(F971&gt;'депозитный калькулятор'!$D$8," ",IF(AND(EOMONTH(F971,0)=F971,OR(MONTH(F971)=3,MONTH(F971)=6,MONTH(F971)=9,MONTH(F971)=12)),IF(EDATE(F971,-3)&lt;'депозитный калькулятор'!$D$7,SUM($H$23:H971),IF(MOD(YEAR(F971),4)=0,IF(AND(EOMONTH(F971,0)=F971,OR(MONTH(F971)=3,MONTH(F971)=6)),SUM(OFFSET(H971,-90,0):H971),IF(AND(EOMONTH(F971,0)=F971,OR(MONTH(F971)=9,MONTH(F971)=12)),SUM(OFFSET(H971,-91,0):H971))),IF(AND(EOMONTH(F971,0)=F971,MONTH(F971)=3),SUM(OFFSET(H971,-89,0):H971),IF(AND(EOMONTH(F971,0)=F971,MONTH(F971)=6),SUM(OFFSET(H971,-90,0):H971),IF(AND(EOMONTH(F971,0)=F971,OR(MONTH(F971)=9,MONTH(F971)=12)),SUM(OFFSET(H971,-91,0):H971)))))),IF(F971='депозитный калькулятор'!$D$8,SUM($H$23:H971)-SUM($I$23:I970),0))),IF('депозитный калькулятор'!$G$10="ежегодное",IF(F971&gt;'депозитный калькулятор'!$D$8," ",IF(F971='депозитный калькулятор'!$D$8,SUM($H$23:H971)-SUM($I$23:I970),IF(AND(EOMONTH(F971,0)=F971,MONTH(F971)=12),IF(MOD(YEAR(F970),4)=0,IF(F971-'депозитный калькулятор'!$D$7&lt;366,SUM($H$23:H971),SUM(OFFSET(H971,-365,0):H971)),IF(F971-'депозитный калькулятор'!$D$7&lt;365,SUM($H$23:H971),SUM(OFFSET(H971,-364,0):H971))),0))),IF(AND('депозитный калькулятор'!$G$10="в конце срока",'депозитный калькулятор'!$D$8=F971),SUM($H$23:H971),0))))))))))))))))))</f>
        <v xml:space="preserve"> </v>
      </c>
      <c r="J971" s="59" t="str">
        <f>IF(F971&gt;'депозитный калькулятор'!$D$8," ",IF('депозитный калькулятор'!$G$16="нет",0,IF(AND('депозитный калькулятор'!$G$17="разовая (в конце срока)",F971='депозитный калькулятор'!$D$8),'депозитный калькулятор'!$G$18,IF(AND('депозитный калькулятор'!$G$17="ежемесячная",EOMONTH(F970,0)=F970),'депозитный калькулятор'!$G$18,IF(AND('депозитный калькулятор'!$G$17="ежегодная",DAY(F970)=31,MONTH(F970)=12),'депозитный калькулятор'!$G$18,IF(AND('депозитный калькулятор'!$G$17="ежемесячная в зависимости от остатка",EOMONTH(F970,0)=F970,P970&gt;0),'депозитный калькулятор'!$G$18,IF(AND('депозитный калькулятор'!$G$17="ежегодная в зависимости от остатка",DAY(F970)=31,MONTH(F970)=12,P970&gt;0),'депозитный калькулятор'!$G$18,0)))))))</f>
        <v xml:space="preserve"> </v>
      </c>
      <c r="K971" s="135" t="str">
        <f>IF($F971=" "," ",IFERROR(VLOOKUP($F971,'депозитный калькулятор'!$B$26:$F$70,2,0),0))</f>
        <v xml:space="preserve"> </v>
      </c>
      <c r="L971" s="135" t="str">
        <f>IF($F971=" "," ",IFERROR(VLOOKUP($F971,'депозитный калькулятор'!$B$26:$F$70,3,0),0))</f>
        <v xml:space="preserve"> </v>
      </c>
      <c r="M971" s="135" t="str">
        <f>IF($F971=" "," ",IFERROR(VLOOKUP($F971,'депозитный калькулятор'!$B$26:$F$70,4,0),0))</f>
        <v xml:space="preserve"> </v>
      </c>
      <c r="N971" s="135" t="str">
        <f>IF($F971=" "," ",IFERROR(VLOOKUP($F971,'депозитный калькулятор'!$B$26:$F$70,5,0),0))</f>
        <v xml:space="preserve"> </v>
      </c>
      <c r="O971" s="146" t="str">
        <f>IF(F971&gt;'депозитный калькулятор'!$D$8," ",IF(F971='депозитный калькулятор'!$D$8,IF(AND($F$24='депозитный калькулятор'!$D$8,'депозитный калькулятор'!$G$13="нет"),-G971-IF(I971=" ",0,I971)-IF(AND(OR('депозитный калькулятор'!$G$7="30/365",'депозитный калькулятор'!$G$7="30/360"),'депозитный калькулятор'!$G$10="в начале срока"),I970,0)-L971+M971-N971,-G971-IF(I971=" ",0,I971)-L971+M971-N971),IF('депозитный калькулятор'!$G$13="есть",M971-N971+IF('депозитный калькулятор'!$G$14="есть",0,-L971),-IF(I971=" ",0,I971)-IF(AND(OR('депозитный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срока"),I970,0)+M971-N971+IF('депозитный калькулятор'!$G$14="есть",0,-L971))))</f>
        <v xml:space="preserve"> </v>
      </c>
      <c r="P971" s="147" t="str">
        <f>IF(F971&gt;'депозитный калькулятор'!$D$8," ",IF(EOMONTH(F970,0)=F970,0,IF(G971&gt;='депозитный калькулятор'!$G$19,P970,P970+1)))</f>
        <v xml:space="preserve"> </v>
      </c>
      <c r="Q971" s="138" t="str">
        <f>IF(F971=" "," ",IF(AND(OR('депозитный калькулятор'!$G$7="30/365",'депозитный калькулятор'!$G$7="30/360"),AND(MONTH(F971)=2,EOMONTH(F971,0)=F971)),IF(DAY(F971)=28,3,2),1)*IF(G971&gt;='депозитный калькулятор'!$G$11,IF(AND('депозитный калькулятор'!$G$7="факт/факт",MOD(YEAR(F971),4)=0),G971*'депозитный калькулятор'!$D$11/366,G971*'депозитный калькулятор'!$G$8),0))</f>
        <v xml:space="preserve"> </v>
      </c>
      <c r="S971" s="62" t="str">
        <f t="shared" ca="1" si="72"/>
        <v xml:space="preserve"> </v>
      </c>
      <c r="T971" s="149" t="str">
        <f ca="1">IF(S971=" "," ",IF('депозитный калькулятор'!$G$7="30/360",DAYS360(U970,IF(DAY(U971)=31,U971-1,U971))+IF(AND(MONTH(U971)=2,U971=EOMONTH(U971,0)),30-DAY(EOMONTH(U971,0)))+T970,VLOOKUP(S971,$C$22:$F$1023,2,0)))</f>
        <v xml:space="preserve"> </v>
      </c>
      <c r="U971" s="64" t="str">
        <f t="shared" ca="1" si="70"/>
        <v xml:space="preserve"> </v>
      </c>
      <c r="V971" s="150" t="str">
        <f t="shared" ca="1" si="73"/>
        <v xml:space="preserve"> </v>
      </c>
      <c r="W971" s="62" t="str">
        <f t="shared" ca="1" si="74"/>
        <v xml:space="preserve"> </v>
      </c>
      <c r="X971" s="141" t="str">
        <f ca="1">IF(S971=" "," ",IFERROR(VLOOKUP(U971,$F$23:$N$1023,7)+VLOOKUP(U971,$F$23:$N$1023,9)+IF(AND('депозитный калькулятор'!$G$13="нет",U971&lt;&gt;'депозитный калькулятор'!$D$8),VLOOKUP(U971,$F$23:$N$1023,4),0),0)+IF(U971='депозитный калькулятор'!$D$8,VLOOKUP(U971,$F$23:$N$1023,2)+VLOOKUP(U971,$F$23:$N$1023,4),0))</f>
        <v xml:space="preserve"> </v>
      </c>
      <c r="Y971" s="142" t="str">
        <f ca="1">IF(S971=" "," ",W971/(1+'депозитный калькулятор'!$K$8)^(T971/IF('депозитный калькулятор'!$G$7="30/360",360,365)))</f>
        <v xml:space="preserve"> </v>
      </c>
      <c r="Z971" s="142" t="str">
        <f ca="1">IF(S971=" "," ",X971/(1+'депозитный калькулятор'!$K$8)^(T971/IF('депозитный калькулятор'!$G$7="30/360",360,365)))</f>
        <v xml:space="preserve"> </v>
      </c>
      <c r="AA971" s="151"/>
      <c r="AB971" s="151"/>
      <c r="AC971" s="155"/>
      <c r="AD971" s="155"/>
    </row>
    <row r="972" spans="1:30" s="2" customFormat="1" ht="15.5" x14ac:dyDescent="0.35">
      <c r="A972" s="41" t="str">
        <f>IF(F972=" "," ",IF(OR('депозитный калькулятор'!$G$7="30/365",'депозитный калькулятор'!$G$7="30/360"),IF(AND(MONTH(F972)=2,DAY(F972)=DAY(EOMONTH(F972,0))),30-DAY(EOMONTH(F972,0)),IF(DAY(F972)=31,1," "))," "))</f>
        <v xml:space="preserve"> </v>
      </c>
      <c r="B972" s="130" t="str">
        <f t="shared" si="71"/>
        <v xml:space="preserve"> </v>
      </c>
      <c r="C972" s="130" t="str">
        <f>IF(OR(B972=0,B972=" ")," ",SUM($B$23:B972))</f>
        <v xml:space="preserve"> </v>
      </c>
      <c r="D972" s="62" t="str">
        <f>IF(D971=" "," ",IF(OR(F971='депозитный калькулятор'!$D$8,F971=" ")," ",D971+1))</f>
        <v xml:space="preserve"> </v>
      </c>
      <c r="E972" s="130" t="str">
        <f>IF(OR(F971='депозитный калькулятор'!$D$8,F971=" ")," ",IF(EOMONTH(F971,0)=F971,1,E971+1))</f>
        <v xml:space="preserve"> </v>
      </c>
      <c r="F972" s="64" t="str">
        <f>IF(F971=" "," ",IF(F971='депозитный калькулятор'!$D$8," ",F971+1))</f>
        <v xml:space="preserve"> </v>
      </c>
      <c r="G972" s="145" t="str">
        <f xml:space="preserve"> IF(F972&gt;'депозитный калькулятор'!$D$8," ",IF('депозитный калькулятор'!$G$13="есть",IF('депозитный калькулятор'!$G$14="есть",G971+IF(I971=" ",0,I971)-J972-K972+L972+M972-N972,G971+IF(I971=" ",0,I971)-J972-K972+M972-N972),IF('депозитный калькулятор'!$G$14="есть",G971-J972-K972+L972+M972-N972,G971-J972-K972+M972-N972)))</f>
        <v xml:space="preserve"> </v>
      </c>
      <c r="H972" s="133" t="str">
        <f>IF(F972&gt;'депозитный калькулятор'!$D$8," ",IF(AND(OR('депозитный калькулятор'!$G$7="30/365",'депозитный калькулятор'!$G$7="30/360"),AND(MONTH(F972)=2,EOMONTH(F972,0)=F972)),IF(DAY(F972)=28,3*G972*'депозитный калькулятор'!$G$8,2*G972*'депозитный калькулятор'!$G$8),IF(AND(OR('депозитный калькулятор'!$G$7="30/365",'депозитный калькулятор'!$G$7="30/360"),DAY(F972)=31)," ",IF(AND('депозитный калькулятор'!$G$7="факт/факт",MOD(YEAR(F972),4)=0),G972*'депозитный калькулятор'!$D$11/366,G972*'депозитный калькулятор'!$G$8))))</f>
        <v xml:space="preserve"> </v>
      </c>
      <c r="I972" s="134" t="str">
        <f ca="1">IF(F972=" "," ",IF('депозитный калькулятор'!$G$10="ежедневное",H972,IF(AND('депозитный калькулятор'!$G$10="еженедельное",WEEKDAY(F972,2)=7),SUM(OFFSET(H972,-6,0):H972),IF(AND('депозитный калькулятор'!$G$10="еженедельное",F972='депозитный калькулятор'!$D$8),SUM($H$23:H972)-SUM($I$23:I971),IF(AND('депозитный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недели",WEEKDAY(F972,2)=7),MIN(OFFSET(H972,-6,0):H972)*(COUNTIF(OFFSET(H972,-6,0):H972,"&gt;0")+SUMIF(OFFSET(A972,-WEEKDAY(F972,2),0):A972,"=2",OFFSET(A972,-WEEKDAY(F972,2),0):A972)),IF(AND('депозитный калькулятор'!$G$10="еженедельное, на минимальную сумму зафиксированную в течение недели",F972='депозитный калькулятор'!$D$8,WEEKDAY(F972,2)&lt;&gt;7),MIN(OFFSET(H972,-WEEKDAY(F972,2),0):H972)*(COUNTIF(OFFSET(H972,-WEEKDAY(F972,2)+1,0):H972,"&gt;0")+SUM(OFFSET(A972,-WEEKDAY(F972,2),0):A972)),IF(AND('депозитный калькулятор'!$G$10="ежемесячное (в конце месяца)",F972='депозитный калькулятор'!$D$8,EOMONTH(F972,0)&lt;&gt;F972),IF('депозитный калькулятор'!$F$1=1,$H$24,SUM($H$23:H972)-SUM($I$23:I971)),IF(AND('депозитный калькулятор'!$G$10="ежемесячное (в конце месяца)",EOMONTH(F972,0)=F972),SUM($H$23:H972)-SUM($I$23:I971),IF(AND('депозитный калькулятор'!$G$10="ежемесячное (по дням открытия вклада)",F972='депозитный калькулятор'!$D$8,DAY('депозитный калькулятор'!$D$7)&lt;&gt;DAY(F972)),IF('депозитный калькулятор'!$F$1=1,$H$24,SUM($H$23:H972)-SUM($I$23:I971)),IF(AND('депозитный калькулятор'!$G$10="ежемесячное (по дням открытия вклада)",DAY('депозитный калькулятор'!$D$7)=DAY(F972)),SUM($H$23:H972)-SUM($I$23:I971),IF(AND('депозитный калькулятор'!$G$10="ежемесячное, на минимальную сумму зафиксированную в течение месяца",F972='депозитный калькулятор'!$D$8,EOMONTH(F972,0)&lt;&gt;F972),IF('депозитный калькулятор'!$F$1=1,$H$24,IF(AND(OR('депозитный калькулятор'!$G$7="30/365",'депозитный калькулятор'!$G$7="30/360"),DAY(F972)=31),0,MIN(OFFSET(H972,-E972+1,0):H972)*(E972+SUMIF(OFFSET(A972,-E972+1,0):A972,"=2",OFFSET(A972,-E972+1,0):A972)))),IF(AND('депозитный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калькулятор'!$G$7="30/360"),DAY(EOMONTH(F972,0))=31),EOMONTH(F972,0)-1=F972,EOMONTH(F972,0)=F972)),IF(IF(AND(OR('депозитный калькулятор'!$G$7="30/365",'депозитный калькулятор'!$G$7="30/360"),DAY(EOMONTH($F$23,0))=31),F972=EOMONTH($F$23,0)-1,F972=EOMONTH($F$23,0)),MIN(OFFSET(H972,-(DAY(F972)-DAY($F$23)),0):H972)*E972,MIN(OFFSET(H972,-(DAY(F972)-1),0):H972)*IF(AND(OR('депозитный калькулятор'!$G$7="30/365",'депозитный калькулятор'!$G$7="30/360"),DAY(F972)&lt;30),30,DAY(F972))),IF(AND('депозитный калькулятор'!$G$10="ежемесячное, на средний остаток в течение месяца, при условии что остаток больше чем ограничение",F972='депозитный калькулятор'!$D$8,EOMONTH(F972,0)&lt;&gt;F972),IF('депозитный калькулятор'!$F$1=1,$H$24,SUM(OFFSET(Q972,-E972+1,0):Q972)),IF(AND('депозитный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калькулятор'!$G$7="30/360"),DAY(EOMONTH(F972,0))=31),EOMONTH(F972,0)-1=F972,EOMONTH(F972,0)=F972)),IF(IF(AND(OR('депозитный калькулятор'!$G$7="30/365",'депозитный калькулятор'!$G$7="30/360"),DAY(EOMONTH($F$24,0))=31),F972=EOMONTH($F$24,0)-1,F972=EOMONTH($F$24,0)),SUM(OFFSET(Q972,-E972+1,0):Q972),SUM(OFFSET(Q972,-E972+1,0):Q972)),IF('депозитный калькулятор'!$G$10="ежеквартальное",IF(F972&gt;'депозитный калькулятор'!$D$8," ",IF(AND(EOMONTH(F972,0)=F972,OR(MONTH(F972)=3,MONTH(F972)=6,MONTH(F972)=9,MONTH(F972)=12)),IF(EDATE(F972,-3)&lt;'депозитный калькулятор'!$D$7,SUM($H$23:H972),IF(MOD(YEAR(F972),4)=0,IF(AND(EOMONTH(F972,0)=F972,OR(MONTH(F972)=3,MONTH(F972)=6)),SUM(OFFSET(H972,-90,0):H972),IF(AND(EOMONTH(F972,0)=F972,OR(MONTH(F972)=9,MONTH(F972)=12)),SUM(OFFSET(H972,-91,0):H972))),IF(AND(EOMONTH(F972,0)=F972,MONTH(F972)=3),SUM(OFFSET(H972,-89,0):H972),IF(AND(EOMONTH(F972,0)=F972,MONTH(F972)=6),SUM(OFFSET(H972,-90,0):H972),IF(AND(EOMONTH(F972,0)=F972,OR(MONTH(F972)=9,MONTH(F972)=12)),SUM(OFFSET(H972,-91,0):H972)))))),IF(F972='депозитный калькулятор'!$D$8,SUM($H$23:H972)-SUM($I$23:I971),0))),IF('депозитный калькулятор'!$G$10="ежегодное",IF(F972&gt;'депозитный калькулятор'!$D$8," ",IF(F972='депозитный калькулятор'!$D$8,SUM($H$23:H972)-SUM($I$23:I971),IF(AND(EOMONTH(F972,0)=F972,MONTH(F972)=12),IF(MOD(YEAR(F971),4)=0,IF(F972-'депозитный калькулятор'!$D$7&lt;366,SUM($H$23:H972),SUM(OFFSET(H972,-365,0):H972)),IF(F972-'депозитный калькулятор'!$D$7&lt;365,SUM($H$23:H972),SUM(OFFSET(H972,-364,0):H972))),0))),IF(AND('депозитный калькулятор'!$G$10="в конце срока",'депозитный калькулятор'!$D$8=F972),SUM($H$23:H972),0))))))))))))))))))</f>
        <v xml:space="preserve"> </v>
      </c>
      <c r="J972" s="59" t="str">
        <f>IF(F972&gt;'депозитный калькулятор'!$D$8," ",IF('депозитный калькулятор'!$G$16="нет",0,IF(AND('депозитный калькулятор'!$G$17="разовая (в конце срока)",F972='депозитный калькулятор'!$D$8),'депозитный калькулятор'!$G$18,IF(AND('депозитный калькулятор'!$G$17="ежемесячная",EOMONTH(F971,0)=F971),'депозитный калькулятор'!$G$18,IF(AND('депозитный калькулятор'!$G$17="ежегодная",DAY(F971)=31,MONTH(F971)=12),'депозитный калькулятор'!$G$18,IF(AND('депозитный калькулятор'!$G$17="ежемесячная в зависимости от остатка",EOMONTH(F971,0)=F971,P971&gt;0),'депозитный калькулятор'!$G$18,IF(AND('депозитный калькулятор'!$G$17="ежегодная в зависимости от остатка",DAY(F971)=31,MONTH(F971)=12,P971&gt;0),'депозитный калькулятор'!$G$18,0)))))))</f>
        <v xml:space="preserve"> </v>
      </c>
      <c r="K972" s="135" t="str">
        <f>IF($F972=" "," ",IFERROR(VLOOKUP($F972,'депозитный калькулятор'!$B$26:$F$70,2,0),0))</f>
        <v xml:space="preserve"> </v>
      </c>
      <c r="L972" s="135" t="str">
        <f>IF($F972=" "," ",IFERROR(VLOOKUP($F972,'депозитный калькулятор'!$B$26:$F$70,3,0),0))</f>
        <v xml:space="preserve"> </v>
      </c>
      <c r="M972" s="135" t="str">
        <f>IF($F972=" "," ",IFERROR(VLOOKUP($F972,'депозитный калькулятор'!$B$26:$F$70,4,0),0))</f>
        <v xml:space="preserve"> </v>
      </c>
      <c r="N972" s="135" t="str">
        <f>IF($F972=" "," ",IFERROR(VLOOKUP($F972,'депозитный калькулятор'!$B$26:$F$70,5,0),0))</f>
        <v xml:space="preserve"> </v>
      </c>
      <c r="O972" s="146" t="str">
        <f>IF(F972&gt;'депозитный калькулятор'!$D$8," ",IF(F972='депозитный калькулятор'!$D$8,IF(AND($F$24='депозитный калькулятор'!$D$8,'депозитный калькулятор'!$G$13="нет"),-G972-IF(I972=" ",0,I972)-IF(AND(OR('депозитный калькулятор'!$G$7="30/365",'депозитный калькулятор'!$G$7="30/360"),'депозитный калькулятор'!$G$10="в начале срока"),I971,0)-L972+M972-N972,-G972-IF(I972=" ",0,I972)-L972+M972-N972),IF('депозитный калькулятор'!$G$13="есть",M972-N972+IF('депозитный калькулятор'!$G$14="есть",0,-L972),-IF(I972=" ",0,I972)-IF(AND(OR('депозитный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срока"),I971,0)+M972-N972+IF('депозитный калькулятор'!$G$14="есть",0,-L972))))</f>
        <v xml:space="preserve"> </v>
      </c>
      <c r="P972" s="147" t="str">
        <f>IF(F972&gt;'депозитный калькулятор'!$D$8," ",IF(EOMONTH(F971,0)=F971,0,IF(G972&gt;='депозитный калькулятор'!$G$19,P971,P971+1)))</f>
        <v xml:space="preserve"> </v>
      </c>
      <c r="Q972" s="138" t="str">
        <f>IF(F972=" "," ",IF(AND(OR('депозитный калькулятор'!$G$7="30/365",'депозитный калькулятор'!$G$7="30/360"),AND(MONTH(F972)=2,EOMONTH(F972,0)=F972)),IF(DAY(F972)=28,3,2),1)*IF(G972&gt;='депозитный калькулятор'!$G$11,IF(AND('депозитный калькулятор'!$G$7="факт/факт",MOD(YEAR(F972),4)=0),G972*'депозитный калькулятор'!$D$11/366,G972*'депозитный калькулятор'!$G$8),0))</f>
        <v xml:space="preserve"> </v>
      </c>
      <c r="S972" s="62" t="str">
        <f t="shared" ca="1" si="72"/>
        <v xml:space="preserve"> </v>
      </c>
      <c r="T972" s="149" t="str">
        <f ca="1">IF(S972=" "," ",IF('депозитный калькулятор'!$G$7="30/360",DAYS360(U971,IF(DAY(U972)=31,U972-1,U972))+IF(AND(MONTH(U972)=2,U972=EOMONTH(U972,0)),30-DAY(EOMONTH(U972,0)))+T971,VLOOKUP(S972,$C$22:$F$1023,2,0)))</f>
        <v xml:space="preserve"> </v>
      </c>
      <c r="U972" s="64" t="str">
        <f t="shared" ca="1" si="70"/>
        <v xml:space="preserve"> </v>
      </c>
      <c r="V972" s="150" t="str">
        <f t="shared" ca="1" si="73"/>
        <v xml:space="preserve"> </v>
      </c>
      <c r="W972" s="62" t="str">
        <f t="shared" ca="1" si="74"/>
        <v xml:space="preserve"> </v>
      </c>
      <c r="X972" s="141" t="str">
        <f ca="1">IF(S972=" "," ",IFERROR(VLOOKUP(U972,$F$23:$N$1023,7)+VLOOKUP(U972,$F$23:$N$1023,9)+IF(AND('депозитный калькулятор'!$G$13="нет",U972&lt;&gt;'депозитный калькулятор'!$D$8),VLOOKUP(U972,$F$23:$N$1023,4),0),0)+IF(U972='депозитный калькулятор'!$D$8,VLOOKUP(U972,$F$23:$N$1023,2)+VLOOKUP(U972,$F$23:$N$1023,4),0))</f>
        <v xml:space="preserve"> </v>
      </c>
      <c r="Y972" s="142" t="str">
        <f ca="1">IF(S972=" "," ",W972/(1+'депозитный калькулятор'!$K$8)^(T972/IF('депозитный калькулятор'!$G$7="30/360",360,365)))</f>
        <v xml:space="preserve"> </v>
      </c>
      <c r="Z972" s="142" t="str">
        <f ca="1">IF(S972=" "," ",X972/(1+'депозитный калькулятор'!$K$8)^(T972/IF('депозитный калькулятор'!$G$7="30/360",360,365)))</f>
        <v xml:space="preserve"> </v>
      </c>
      <c r="AA972" s="151"/>
      <c r="AB972" s="151"/>
      <c r="AC972" s="155"/>
      <c r="AD972" s="155"/>
    </row>
    <row r="973" spans="1:30" s="2" customFormat="1" ht="15.5" x14ac:dyDescent="0.35">
      <c r="A973" s="41" t="str">
        <f>IF(F973=" "," ",IF(OR('депозитный калькулятор'!$G$7="30/365",'депозитный калькулятор'!$G$7="30/360"),IF(AND(MONTH(F973)=2,DAY(F973)=DAY(EOMONTH(F973,0))),30-DAY(EOMONTH(F973,0)),IF(DAY(F973)=31,1," "))," "))</f>
        <v xml:space="preserve"> </v>
      </c>
      <c r="B973" s="130" t="str">
        <f t="shared" si="71"/>
        <v xml:space="preserve"> </v>
      </c>
      <c r="C973" s="130" t="str">
        <f>IF(OR(B973=0,B973=" ")," ",SUM($B$23:B973))</f>
        <v xml:space="preserve"> </v>
      </c>
      <c r="D973" s="62" t="str">
        <f>IF(D972=" "," ",IF(OR(F972='депозитный калькулятор'!$D$8,F972=" ")," ",D972+1))</f>
        <v xml:space="preserve"> </v>
      </c>
      <c r="E973" s="130" t="str">
        <f>IF(OR(F972='депозитный калькулятор'!$D$8,F972=" ")," ",IF(EOMONTH(F972,0)=F972,1,E972+1))</f>
        <v xml:space="preserve"> </v>
      </c>
      <c r="F973" s="64" t="str">
        <f>IF(F972=" "," ",IF(F972='депозитный калькулятор'!$D$8," ",F972+1))</f>
        <v xml:space="preserve"> </v>
      </c>
      <c r="G973" s="145" t="str">
        <f xml:space="preserve"> IF(F973&gt;'депозитный калькулятор'!$D$8," ",IF('депозитный калькулятор'!$G$13="есть",IF('депозитный калькулятор'!$G$14="есть",G972+IF(I972=" ",0,I972)-J973-K973+L973+M973-N973,G972+IF(I972=" ",0,I972)-J973-K973+M973-N973),IF('депозитный калькулятор'!$G$14="есть",G972-J973-K973+L973+M973-N973,G972-J973-K973+M973-N973)))</f>
        <v xml:space="preserve"> </v>
      </c>
      <c r="H973" s="133" t="str">
        <f>IF(F973&gt;'депозитный калькулятор'!$D$8," ",IF(AND(OR('депозитный калькулятор'!$G$7="30/365",'депозитный калькулятор'!$G$7="30/360"),AND(MONTH(F973)=2,EOMONTH(F973,0)=F973)),IF(DAY(F973)=28,3*G973*'депозитный калькулятор'!$G$8,2*G973*'депозитный калькулятор'!$G$8),IF(AND(OR('депозитный калькулятор'!$G$7="30/365",'депозитный калькулятор'!$G$7="30/360"),DAY(F973)=31)," ",IF(AND('депозитный калькулятор'!$G$7="факт/факт",MOD(YEAR(F973),4)=0),G973*'депозитный калькулятор'!$D$11/366,G973*'депозитный калькулятор'!$G$8))))</f>
        <v xml:space="preserve"> </v>
      </c>
      <c r="I973" s="134" t="str">
        <f ca="1">IF(F973=" "," ",IF('депозитный калькулятор'!$G$10="ежедневное",H973,IF(AND('депозитный калькулятор'!$G$10="еженедельное",WEEKDAY(F973,2)=7),SUM(OFFSET(H973,-6,0):H973),IF(AND('депозитный калькулятор'!$G$10="еженедельное",F973='депозитный калькулятор'!$D$8),SUM($H$23:H973)-SUM($I$23:I972),IF(AND('депозитный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недели",WEEKDAY(F973,2)=7),MIN(OFFSET(H973,-6,0):H973)*(COUNTIF(OFFSET(H973,-6,0):H973,"&gt;0")+SUMIF(OFFSET(A973,-WEEKDAY(F973,2),0):A973,"=2",OFFSET(A973,-WEEKDAY(F973,2),0):A973)),IF(AND('депозитный калькулятор'!$G$10="еженедельное, на минимальную сумму зафиксированную в течение недели",F973='депозитный калькулятор'!$D$8,WEEKDAY(F973,2)&lt;&gt;7),MIN(OFFSET(H973,-WEEKDAY(F973,2),0):H973)*(COUNTIF(OFFSET(H973,-WEEKDAY(F973,2)+1,0):H973,"&gt;0")+SUM(OFFSET(A973,-WEEKDAY(F973,2),0):A973)),IF(AND('депозитный калькулятор'!$G$10="ежемесячное (в конце месяца)",F973='депозитный калькулятор'!$D$8,EOMONTH(F973,0)&lt;&gt;F973),IF('депозитный калькулятор'!$F$1=1,$H$24,SUM($H$23:H973)-SUM($I$23:I972)),IF(AND('депозитный калькулятор'!$G$10="ежемесячное (в конце месяца)",EOMONTH(F973,0)=F973),SUM($H$23:H973)-SUM($I$23:I972),IF(AND('депозитный калькулятор'!$G$10="ежемесячное (по дням открытия вклада)",F973='депозитный калькулятор'!$D$8,DAY('депозитный калькулятор'!$D$7)&lt;&gt;DAY(F973)),IF('депозитный калькулятор'!$F$1=1,$H$24,SUM($H$23:H973)-SUM($I$23:I972)),IF(AND('депозитный калькулятор'!$G$10="ежемесячное (по дням открытия вклада)",DAY('депозитный калькулятор'!$D$7)=DAY(F973)),SUM($H$23:H973)-SUM($I$23:I972),IF(AND('депозитный калькулятор'!$G$10="ежемесячное, на минимальную сумму зафиксированную в течение месяца",F973='депозитный калькулятор'!$D$8,EOMONTH(F973,0)&lt;&gt;F973),IF('депозитный калькулятор'!$F$1=1,$H$24,IF(AND(OR('депозитный калькулятор'!$G$7="30/365",'депозитный калькулятор'!$G$7="30/360"),DAY(F973)=31),0,MIN(OFFSET(H973,-E973+1,0):H973)*(E973+SUMIF(OFFSET(A973,-E973+1,0):A973,"=2",OFFSET(A973,-E973+1,0):A973)))),IF(AND('депозитный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калькулятор'!$G$7="30/360"),DAY(EOMONTH(F973,0))=31),EOMONTH(F973,0)-1=F973,EOMONTH(F973,0)=F973)),IF(IF(AND(OR('депозитный калькулятор'!$G$7="30/365",'депозитный калькулятор'!$G$7="30/360"),DAY(EOMONTH($F$23,0))=31),F973=EOMONTH($F$23,0)-1,F973=EOMONTH($F$23,0)),MIN(OFFSET(H973,-(DAY(F973)-DAY($F$23)),0):H973)*E973,MIN(OFFSET(H973,-(DAY(F973)-1),0):H973)*IF(AND(OR('депозитный калькулятор'!$G$7="30/365",'депозитный калькулятор'!$G$7="30/360"),DAY(F973)&lt;30),30,DAY(F973))),IF(AND('депозитный калькулятор'!$G$10="ежемесячное, на средний остаток в течение месяца, при условии что остаток больше чем ограничение",F973='депозитный калькулятор'!$D$8,EOMONTH(F973,0)&lt;&gt;F973),IF('депозитный калькулятор'!$F$1=1,$H$24,SUM(OFFSET(Q973,-E973+1,0):Q973)),IF(AND('депозитный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калькулятор'!$G$7="30/360"),DAY(EOMONTH(F973,0))=31),EOMONTH(F973,0)-1=F973,EOMONTH(F973,0)=F973)),IF(IF(AND(OR('депозитный калькулятор'!$G$7="30/365",'депозитный калькулятор'!$G$7="30/360"),DAY(EOMONTH($F$24,0))=31),F973=EOMONTH($F$24,0)-1,F973=EOMONTH($F$24,0)),SUM(OFFSET(Q973,-E973+1,0):Q973),SUM(OFFSET(Q973,-E973+1,0):Q973)),IF('депозитный калькулятор'!$G$10="ежеквартальное",IF(F973&gt;'депозитный калькулятор'!$D$8," ",IF(AND(EOMONTH(F973,0)=F973,OR(MONTH(F973)=3,MONTH(F973)=6,MONTH(F973)=9,MONTH(F973)=12)),IF(EDATE(F973,-3)&lt;'депозитный калькулятор'!$D$7,SUM($H$23:H973),IF(MOD(YEAR(F973),4)=0,IF(AND(EOMONTH(F973,0)=F973,OR(MONTH(F973)=3,MONTH(F973)=6)),SUM(OFFSET(H973,-90,0):H973),IF(AND(EOMONTH(F973,0)=F973,OR(MONTH(F973)=9,MONTH(F973)=12)),SUM(OFFSET(H973,-91,0):H973))),IF(AND(EOMONTH(F973,0)=F973,MONTH(F973)=3),SUM(OFFSET(H973,-89,0):H973),IF(AND(EOMONTH(F973,0)=F973,MONTH(F973)=6),SUM(OFFSET(H973,-90,0):H973),IF(AND(EOMONTH(F973,0)=F973,OR(MONTH(F973)=9,MONTH(F973)=12)),SUM(OFFSET(H973,-91,0):H973)))))),IF(F973='депозитный калькулятор'!$D$8,SUM($H$23:H973)-SUM($I$23:I972),0))),IF('депозитный калькулятор'!$G$10="ежегодное",IF(F973&gt;'депозитный калькулятор'!$D$8," ",IF(F973='депозитный калькулятор'!$D$8,SUM($H$23:H973)-SUM($I$23:I972),IF(AND(EOMONTH(F973,0)=F973,MONTH(F973)=12),IF(MOD(YEAR(F972),4)=0,IF(F973-'депозитный калькулятор'!$D$7&lt;366,SUM($H$23:H973),SUM(OFFSET(H973,-365,0):H973)),IF(F973-'депозитный калькулятор'!$D$7&lt;365,SUM($H$23:H973),SUM(OFFSET(H973,-364,0):H973))),0))),IF(AND('депозитный калькулятор'!$G$10="в конце срока",'депозитный калькулятор'!$D$8=F973),SUM($H$23:H973),0))))))))))))))))))</f>
        <v xml:space="preserve"> </v>
      </c>
      <c r="J973" s="59" t="str">
        <f>IF(F973&gt;'депозитный калькулятор'!$D$8," ",IF('депозитный калькулятор'!$G$16="нет",0,IF(AND('депозитный калькулятор'!$G$17="разовая (в конце срока)",F973='депозитный калькулятор'!$D$8),'депозитный калькулятор'!$G$18,IF(AND('депозитный калькулятор'!$G$17="ежемесячная",EOMONTH(F972,0)=F972),'депозитный калькулятор'!$G$18,IF(AND('депозитный калькулятор'!$G$17="ежегодная",DAY(F972)=31,MONTH(F972)=12),'депозитный калькулятор'!$G$18,IF(AND('депозитный калькулятор'!$G$17="ежемесячная в зависимости от остатка",EOMONTH(F972,0)=F972,P972&gt;0),'депозитный калькулятор'!$G$18,IF(AND('депозитный калькулятор'!$G$17="ежегодная в зависимости от остатка",DAY(F972)=31,MONTH(F972)=12,P972&gt;0),'депозитный калькулятор'!$G$18,0)))))))</f>
        <v xml:space="preserve"> </v>
      </c>
      <c r="K973" s="135" t="str">
        <f>IF($F973=" "," ",IFERROR(VLOOKUP($F973,'депозитный калькулятор'!$B$26:$F$70,2,0),0))</f>
        <v xml:space="preserve"> </v>
      </c>
      <c r="L973" s="135" t="str">
        <f>IF($F973=" "," ",IFERROR(VLOOKUP($F973,'депозитный калькулятор'!$B$26:$F$70,3,0),0))</f>
        <v xml:space="preserve"> </v>
      </c>
      <c r="M973" s="135" t="str">
        <f>IF($F973=" "," ",IFERROR(VLOOKUP($F973,'депозитный калькулятор'!$B$26:$F$70,4,0),0))</f>
        <v xml:space="preserve"> </v>
      </c>
      <c r="N973" s="135" t="str">
        <f>IF($F973=" "," ",IFERROR(VLOOKUP($F973,'депозитный калькулятор'!$B$26:$F$70,5,0),0))</f>
        <v xml:space="preserve"> </v>
      </c>
      <c r="O973" s="146" t="str">
        <f>IF(F973&gt;'депозитный калькулятор'!$D$8," ",IF(F973='депозитный калькулятор'!$D$8,IF(AND($F$24='депозитный калькулятор'!$D$8,'депозитный калькулятор'!$G$13="нет"),-G973-IF(I973=" ",0,I973)-IF(AND(OR('депозитный калькулятор'!$G$7="30/365",'депозитный калькулятор'!$G$7="30/360"),'депозитный калькулятор'!$G$10="в начале срока"),I972,0)-L973+M973-N973,-G973-IF(I973=" ",0,I973)-L973+M973-N973),IF('депозитный калькулятор'!$G$13="есть",M973-N973+IF('депозитный калькулятор'!$G$14="есть",0,-L973),-IF(I973=" ",0,I973)-IF(AND(OR('депозитный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срока"),I972,0)+M973-N973+IF('депозитный калькулятор'!$G$14="есть",0,-L973))))</f>
        <v xml:space="preserve"> </v>
      </c>
      <c r="P973" s="147" t="str">
        <f>IF(F973&gt;'депозитный калькулятор'!$D$8," ",IF(EOMONTH(F972,0)=F972,0,IF(G973&gt;='депозитный калькулятор'!$G$19,P972,P972+1)))</f>
        <v xml:space="preserve"> </v>
      </c>
      <c r="Q973" s="138" t="str">
        <f>IF(F973=" "," ",IF(AND(OR('депозитный калькулятор'!$G$7="30/365",'депозитный калькулятор'!$G$7="30/360"),AND(MONTH(F973)=2,EOMONTH(F973,0)=F973)),IF(DAY(F973)=28,3,2),1)*IF(G973&gt;='депозитный калькулятор'!$G$11,IF(AND('депозитный калькулятор'!$G$7="факт/факт",MOD(YEAR(F973),4)=0),G973*'депозитный калькулятор'!$D$11/366,G973*'депозитный калькулятор'!$G$8),0))</f>
        <v xml:space="preserve"> </v>
      </c>
      <c r="S973" s="62" t="str">
        <f t="shared" ca="1" si="72"/>
        <v xml:space="preserve"> </v>
      </c>
      <c r="T973" s="149" t="str">
        <f ca="1">IF(S973=" "," ",IF('депозитный калькулятор'!$G$7="30/360",DAYS360(U972,IF(DAY(U973)=31,U973-1,U973))+IF(AND(MONTH(U973)=2,U973=EOMONTH(U973,0)),30-DAY(EOMONTH(U973,0)))+T972,VLOOKUP(S973,$C$22:$F$1023,2,0)))</f>
        <v xml:space="preserve"> </v>
      </c>
      <c r="U973" s="64" t="str">
        <f t="shared" ca="1" si="70"/>
        <v xml:space="preserve"> </v>
      </c>
      <c r="V973" s="150" t="str">
        <f t="shared" ca="1" si="73"/>
        <v xml:space="preserve"> </v>
      </c>
      <c r="W973" s="62" t="str">
        <f t="shared" ca="1" si="74"/>
        <v xml:space="preserve"> </v>
      </c>
      <c r="X973" s="141" t="str">
        <f ca="1">IF(S973=" "," ",IFERROR(VLOOKUP(U973,$F$23:$N$1023,7)+VLOOKUP(U973,$F$23:$N$1023,9)+IF(AND('депозитный калькулятор'!$G$13="нет",U973&lt;&gt;'депозитный калькулятор'!$D$8),VLOOKUP(U973,$F$23:$N$1023,4),0),0)+IF(U973='депозитный калькулятор'!$D$8,VLOOKUP(U973,$F$23:$N$1023,2)+VLOOKUP(U973,$F$23:$N$1023,4),0))</f>
        <v xml:space="preserve"> </v>
      </c>
      <c r="Y973" s="142" t="str">
        <f ca="1">IF(S973=" "," ",W973/(1+'депозитный калькулятор'!$K$8)^(T973/IF('депозитный калькулятор'!$G$7="30/360",360,365)))</f>
        <v xml:space="preserve"> </v>
      </c>
      <c r="Z973" s="142" t="str">
        <f ca="1">IF(S973=" "," ",X973/(1+'депозитный калькулятор'!$K$8)^(T973/IF('депозитный калькулятор'!$G$7="30/360",360,365)))</f>
        <v xml:space="preserve"> </v>
      </c>
      <c r="AA973" s="151"/>
      <c r="AB973" s="151"/>
      <c r="AC973" s="155"/>
      <c r="AD973" s="155"/>
    </row>
    <row r="974" spans="1:30" s="2" customFormat="1" ht="15.5" x14ac:dyDescent="0.35">
      <c r="A974" s="41" t="str">
        <f>IF(F974=" "," ",IF(OR('депозитный калькулятор'!$G$7="30/365",'депозитный калькулятор'!$G$7="30/360"),IF(AND(MONTH(F974)=2,DAY(F974)=DAY(EOMONTH(F974,0))),30-DAY(EOMONTH(F974,0)),IF(DAY(F974)=31,1," "))," "))</f>
        <v xml:space="preserve"> </v>
      </c>
      <c r="B974" s="130" t="str">
        <f t="shared" si="71"/>
        <v xml:space="preserve"> </v>
      </c>
      <c r="C974" s="130" t="str">
        <f>IF(OR(B974=0,B974=" ")," ",SUM($B$23:B974))</f>
        <v xml:space="preserve"> </v>
      </c>
      <c r="D974" s="62" t="str">
        <f>IF(D973=" "," ",IF(OR(F973='депозитный калькулятор'!$D$8,F973=" ")," ",D973+1))</f>
        <v xml:space="preserve"> </v>
      </c>
      <c r="E974" s="130" t="str">
        <f>IF(OR(F973='депозитный калькулятор'!$D$8,F973=" ")," ",IF(EOMONTH(F973,0)=F973,1,E973+1))</f>
        <v xml:space="preserve"> </v>
      </c>
      <c r="F974" s="64" t="str">
        <f>IF(F973=" "," ",IF(F973='депозитный калькулятор'!$D$8," ",F973+1))</f>
        <v xml:space="preserve"> </v>
      </c>
      <c r="G974" s="145" t="str">
        <f xml:space="preserve"> IF(F974&gt;'депозитный калькулятор'!$D$8," ",IF('депозитный калькулятор'!$G$13="есть",IF('депозитный калькулятор'!$G$14="есть",G973+IF(I973=" ",0,I973)-J974-K974+L974+M974-N974,G973+IF(I973=" ",0,I973)-J974-K974+M974-N974),IF('депозитный калькулятор'!$G$14="есть",G973-J974-K974+L974+M974-N974,G973-J974-K974+M974-N974)))</f>
        <v xml:space="preserve"> </v>
      </c>
      <c r="H974" s="133" t="str">
        <f>IF(F974&gt;'депозитный калькулятор'!$D$8," ",IF(AND(OR('депозитный калькулятор'!$G$7="30/365",'депозитный калькулятор'!$G$7="30/360"),AND(MONTH(F974)=2,EOMONTH(F974,0)=F974)),IF(DAY(F974)=28,3*G974*'депозитный калькулятор'!$G$8,2*G974*'депозитный калькулятор'!$G$8),IF(AND(OR('депозитный калькулятор'!$G$7="30/365",'депозитный калькулятор'!$G$7="30/360"),DAY(F974)=31)," ",IF(AND('депозитный калькулятор'!$G$7="факт/факт",MOD(YEAR(F974),4)=0),G974*'депозитный калькулятор'!$D$11/366,G974*'депозитный калькулятор'!$G$8))))</f>
        <v xml:space="preserve"> </v>
      </c>
      <c r="I974" s="134" t="str">
        <f ca="1">IF(F974=" "," ",IF('депозитный калькулятор'!$G$10="ежедневное",H974,IF(AND('депозитный калькулятор'!$G$10="еженедельное",WEEKDAY(F974,2)=7),SUM(OFFSET(H974,-6,0):H974),IF(AND('депозитный калькулятор'!$G$10="еженедельное",F974='депозитный калькулятор'!$D$8),SUM($H$23:H974)-SUM($I$23:I973),IF(AND('депозитный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недели",WEEKDAY(F974,2)=7),MIN(OFFSET(H974,-6,0):H974)*(COUNTIF(OFFSET(H974,-6,0):H974,"&gt;0")+SUMIF(OFFSET(A974,-WEEKDAY(F974,2),0):A974,"=2",OFFSET(A974,-WEEKDAY(F974,2),0):A974)),IF(AND('депозитный калькулятор'!$G$10="еженедельное, на минимальную сумму зафиксированную в течение недели",F974='депозитный калькулятор'!$D$8,WEEKDAY(F974,2)&lt;&gt;7),MIN(OFFSET(H974,-WEEKDAY(F974,2),0):H974)*(COUNTIF(OFFSET(H974,-WEEKDAY(F974,2)+1,0):H974,"&gt;0")+SUM(OFFSET(A974,-WEEKDAY(F974,2),0):A974)),IF(AND('депозитный калькулятор'!$G$10="ежемесячное (в конце месяца)",F974='депозитный калькулятор'!$D$8,EOMONTH(F974,0)&lt;&gt;F974),IF('депозитный калькулятор'!$F$1=1,$H$24,SUM($H$23:H974)-SUM($I$23:I973)),IF(AND('депозитный калькулятор'!$G$10="ежемесячное (в конце месяца)",EOMONTH(F974,0)=F974),SUM($H$23:H974)-SUM($I$23:I973),IF(AND('депозитный калькулятор'!$G$10="ежемесячное (по дням открытия вклада)",F974='депозитный калькулятор'!$D$8,DAY('депозитный калькулятор'!$D$7)&lt;&gt;DAY(F974)),IF('депозитный калькулятор'!$F$1=1,$H$24,SUM($H$23:H974)-SUM($I$23:I973)),IF(AND('депозитный калькулятор'!$G$10="ежемесячное (по дням открытия вклада)",DAY('депозитный калькулятор'!$D$7)=DAY(F974)),SUM($H$23:H974)-SUM($I$23:I973),IF(AND('депозитный калькулятор'!$G$10="ежемесячное, на минимальную сумму зафиксированную в течение месяца",F974='депозитный калькулятор'!$D$8,EOMONTH(F974,0)&lt;&gt;F974),IF('депозитный калькулятор'!$F$1=1,$H$24,IF(AND(OR('депозитный калькулятор'!$G$7="30/365",'депозитный калькулятор'!$G$7="30/360"),DAY(F974)=31),0,MIN(OFFSET(H974,-E974+1,0):H974)*(E974+SUMIF(OFFSET(A974,-E974+1,0):A974,"=2",OFFSET(A974,-E974+1,0):A974)))),IF(AND('депозитный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калькулятор'!$G$7="30/360"),DAY(EOMONTH(F974,0))=31),EOMONTH(F974,0)-1=F974,EOMONTH(F974,0)=F974)),IF(IF(AND(OR('депозитный калькулятор'!$G$7="30/365",'депозитный калькулятор'!$G$7="30/360"),DAY(EOMONTH($F$23,0))=31),F974=EOMONTH($F$23,0)-1,F974=EOMONTH($F$23,0)),MIN(OFFSET(H974,-(DAY(F974)-DAY($F$23)),0):H974)*E974,MIN(OFFSET(H974,-(DAY(F974)-1),0):H974)*IF(AND(OR('депозитный калькулятор'!$G$7="30/365",'депозитный калькулятор'!$G$7="30/360"),DAY(F974)&lt;30),30,DAY(F974))),IF(AND('депозитный калькулятор'!$G$10="ежемесячное, на средний остаток в течение месяца, при условии что остаток больше чем ограничение",F974='депозитный калькулятор'!$D$8,EOMONTH(F974,0)&lt;&gt;F974),IF('депозитный калькулятор'!$F$1=1,$H$24,SUM(OFFSET(Q974,-E974+1,0):Q974)),IF(AND('депозитный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калькулятор'!$G$7="30/360"),DAY(EOMONTH(F974,0))=31),EOMONTH(F974,0)-1=F974,EOMONTH(F974,0)=F974)),IF(IF(AND(OR('депозитный калькулятор'!$G$7="30/365",'депозитный калькулятор'!$G$7="30/360"),DAY(EOMONTH($F$24,0))=31),F974=EOMONTH($F$24,0)-1,F974=EOMONTH($F$24,0)),SUM(OFFSET(Q974,-E974+1,0):Q974),SUM(OFFSET(Q974,-E974+1,0):Q974)),IF('депозитный калькулятор'!$G$10="ежеквартальное",IF(F974&gt;'депозитный калькулятор'!$D$8," ",IF(AND(EOMONTH(F974,0)=F974,OR(MONTH(F974)=3,MONTH(F974)=6,MONTH(F974)=9,MONTH(F974)=12)),IF(EDATE(F974,-3)&lt;'депозитный калькулятор'!$D$7,SUM($H$23:H974),IF(MOD(YEAR(F974),4)=0,IF(AND(EOMONTH(F974,0)=F974,OR(MONTH(F974)=3,MONTH(F974)=6)),SUM(OFFSET(H974,-90,0):H974),IF(AND(EOMONTH(F974,0)=F974,OR(MONTH(F974)=9,MONTH(F974)=12)),SUM(OFFSET(H974,-91,0):H974))),IF(AND(EOMONTH(F974,0)=F974,MONTH(F974)=3),SUM(OFFSET(H974,-89,0):H974),IF(AND(EOMONTH(F974,0)=F974,MONTH(F974)=6),SUM(OFFSET(H974,-90,0):H974),IF(AND(EOMONTH(F974,0)=F974,OR(MONTH(F974)=9,MONTH(F974)=12)),SUM(OFFSET(H974,-91,0):H974)))))),IF(F974='депозитный калькулятор'!$D$8,SUM($H$23:H974)-SUM($I$23:I973),0))),IF('депозитный калькулятор'!$G$10="ежегодное",IF(F974&gt;'депозитный калькулятор'!$D$8," ",IF(F974='депозитный калькулятор'!$D$8,SUM($H$23:H974)-SUM($I$23:I973),IF(AND(EOMONTH(F974,0)=F974,MONTH(F974)=12),IF(MOD(YEAR(F973),4)=0,IF(F974-'депозитный калькулятор'!$D$7&lt;366,SUM($H$23:H974),SUM(OFFSET(H974,-365,0):H974)),IF(F974-'депозитный калькулятор'!$D$7&lt;365,SUM($H$23:H974),SUM(OFFSET(H974,-364,0):H974))),0))),IF(AND('депозитный калькулятор'!$G$10="в конце срока",'депозитный калькулятор'!$D$8=F974),SUM($H$23:H974),0))))))))))))))))))</f>
        <v xml:space="preserve"> </v>
      </c>
      <c r="J974" s="59" t="str">
        <f>IF(F974&gt;'депозитный калькулятор'!$D$8," ",IF('депозитный калькулятор'!$G$16="нет",0,IF(AND('депозитный калькулятор'!$G$17="разовая (в конце срока)",F974='депозитный калькулятор'!$D$8),'депозитный калькулятор'!$G$18,IF(AND('депозитный калькулятор'!$G$17="ежемесячная",EOMONTH(F973,0)=F973),'депозитный калькулятор'!$G$18,IF(AND('депозитный калькулятор'!$G$17="ежегодная",DAY(F973)=31,MONTH(F973)=12),'депозитный калькулятор'!$G$18,IF(AND('депозитный калькулятор'!$G$17="ежемесячная в зависимости от остатка",EOMONTH(F973,0)=F973,P973&gt;0),'депозитный калькулятор'!$G$18,IF(AND('депозитный калькулятор'!$G$17="ежегодная в зависимости от остатка",DAY(F973)=31,MONTH(F973)=12,P973&gt;0),'депозитный калькулятор'!$G$18,0)))))))</f>
        <v xml:space="preserve"> </v>
      </c>
      <c r="K974" s="135" t="str">
        <f>IF($F974=" "," ",IFERROR(VLOOKUP($F974,'депозитный калькулятор'!$B$26:$F$70,2,0),0))</f>
        <v xml:space="preserve"> </v>
      </c>
      <c r="L974" s="135" t="str">
        <f>IF($F974=" "," ",IFERROR(VLOOKUP($F974,'депозитный калькулятор'!$B$26:$F$70,3,0),0))</f>
        <v xml:space="preserve"> </v>
      </c>
      <c r="M974" s="135" t="str">
        <f>IF($F974=" "," ",IFERROR(VLOOKUP($F974,'депозитный калькулятор'!$B$26:$F$70,4,0),0))</f>
        <v xml:space="preserve"> </v>
      </c>
      <c r="N974" s="135" t="str">
        <f>IF($F974=" "," ",IFERROR(VLOOKUP($F974,'депозитный калькулятор'!$B$26:$F$70,5,0),0))</f>
        <v xml:space="preserve"> </v>
      </c>
      <c r="O974" s="146" t="str">
        <f>IF(F974&gt;'депозитный калькулятор'!$D$8," ",IF(F974='депозитный калькулятор'!$D$8,IF(AND($F$24='депозитный калькулятор'!$D$8,'депозитный калькулятор'!$G$13="нет"),-G974-IF(I974=" ",0,I974)-IF(AND(OR('депозитный калькулятор'!$G$7="30/365",'депозитный калькулятор'!$G$7="30/360"),'депозитный калькулятор'!$G$10="в начале срока"),I973,0)-L974+M974-N974,-G974-IF(I974=" ",0,I974)-L974+M974-N974),IF('депозитный калькулятор'!$G$13="есть",M974-N974+IF('депозитный калькулятор'!$G$14="есть",0,-L974),-IF(I974=" ",0,I974)-IF(AND(OR('депозитный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срока"),I973,0)+M974-N974+IF('депозитный калькулятор'!$G$14="есть",0,-L974))))</f>
        <v xml:space="preserve"> </v>
      </c>
      <c r="P974" s="147" t="str">
        <f>IF(F974&gt;'депозитный калькулятор'!$D$8," ",IF(EOMONTH(F973,0)=F973,0,IF(G974&gt;='депозитный калькулятор'!$G$19,P973,P973+1)))</f>
        <v xml:space="preserve"> </v>
      </c>
      <c r="Q974" s="138" t="str">
        <f>IF(F974=" "," ",IF(AND(OR('депозитный калькулятор'!$G$7="30/365",'депозитный калькулятор'!$G$7="30/360"),AND(MONTH(F974)=2,EOMONTH(F974,0)=F974)),IF(DAY(F974)=28,3,2),1)*IF(G974&gt;='депозитный калькулятор'!$G$11,IF(AND('депозитный калькулятор'!$G$7="факт/факт",MOD(YEAR(F974),4)=0),G974*'депозитный калькулятор'!$D$11/366,G974*'депозитный калькулятор'!$G$8),0))</f>
        <v xml:space="preserve"> </v>
      </c>
      <c r="S974" s="62" t="str">
        <f t="shared" ca="1" si="72"/>
        <v xml:space="preserve"> </v>
      </c>
      <c r="T974" s="149" t="str">
        <f ca="1">IF(S974=" "," ",IF('депозитный калькулятор'!$G$7="30/360",DAYS360(U973,IF(DAY(U974)=31,U974-1,U974))+IF(AND(MONTH(U974)=2,U974=EOMONTH(U974,0)),30-DAY(EOMONTH(U974,0)))+T973,VLOOKUP(S974,$C$22:$F$1023,2,0)))</f>
        <v xml:space="preserve"> </v>
      </c>
      <c r="U974" s="64" t="str">
        <f t="shared" ca="1" si="70"/>
        <v xml:space="preserve"> </v>
      </c>
      <c r="V974" s="150" t="str">
        <f t="shared" ca="1" si="73"/>
        <v xml:space="preserve"> </v>
      </c>
      <c r="W974" s="62" t="str">
        <f t="shared" ca="1" si="74"/>
        <v xml:space="preserve"> </v>
      </c>
      <c r="X974" s="141" t="str">
        <f ca="1">IF(S974=" "," ",IFERROR(VLOOKUP(U974,$F$23:$N$1023,7)+VLOOKUP(U974,$F$23:$N$1023,9)+IF(AND('депозитный калькулятор'!$G$13="нет",U974&lt;&gt;'депозитный калькулятор'!$D$8),VLOOKUP(U974,$F$23:$N$1023,4),0),0)+IF(U974='депозитный калькулятор'!$D$8,VLOOKUP(U974,$F$23:$N$1023,2)+VLOOKUP(U974,$F$23:$N$1023,4),0))</f>
        <v xml:space="preserve"> </v>
      </c>
      <c r="Y974" s="142" t="str">
        <f ca="1">IF(S974=" "," ",W974/(1+'депозитный калькулятор'!$K$8)^(T974/IF('депозитный калькулятор'!$G$7="30/360",360,365)))</f>
        <v xml:space="preserve"> </v>
      </c>
      <c r="Z974" s="142" t="str">
        <f ca="1">IF(S974=" "," ",X974/(1+'депозитный калькулятор'!$K$8)^(T974/IF('депозитный калькулятор'!$G$7="30/360",360,365)))</f>
        <v xml:space="preserve"> </v>
      </c>
      <c r="AA974" s="151"/>
      <c r="AB974" s="151"/>
      <c r="AC974" s="155"/>
      <c r="AD974" s="155"/>
    </row>
    <row r="975" spans="1:30" s="2" customFormat="1" ht="15.5" x14ac:dyDescent="0.35">
      <c r="A975" s="41" t="str">
        <f>IF(F975=" "," ",IF(OR('депозитный калькулятор'!$G$7="30/365",'депозитный калькулятор'!$G$7="30/360"),IF(AND(MONTH(F975)=2,DAY(F975)=DAY(EOMONTH(F975,0))),30-DAY(EOMONTH(F975,0)),IF(DAY(F975)=31,1," "))," "))</f>
        <v xml:space="preserve"> </v>
      </c>
      <c r="B975" s="130" t="str">
        <f t="shared" si="71"/>
        <v xml:space="preserve"> </v>
      </c>
      <c r="C975" s="130" t="str">
        <f>IF(OR(B975=0,B975=" ")," ",SUM($B$23:B975))</f>
        <v xml:space="preserve"> </v>
      </c>
      <c r="D975" s="62" t="str">
        <f>IF(D974=" "," ",IF(OR(F974='депозитный калькулятор'!$D$8,F974=" ")," ",D974+1))</f>
        <v xml:space="preserve"> </v>
      </c>
      <c r="E975" s="130" t="str">
        <f>IF(OR(F974='депозитный калькулятор'!$D$8,F974=" ")," ",IF(EOMONTH(F974,0)=F974,1,E974+1))</f>
        <v xml:space="preserve"> </v>
      </c>
      <c r="F975" s="64" t="str">
        <f>IF(F974=" "," ",IF(F974='депозитный калькулятор'!$D$8," ",F974+1))</f>
        <v xml:space="preserve"> </v>
      </c>
      <c r="G975" s="145" t="str">
        <f xml:space="preserve"> IF(F975&gt;'депозитный калькулятор'!$D$8," ",IF('депозитный калькулятор'!$G$13="есть",IF('депозитный калькулятор'!$G$14="есть",G974+IF(I974=" ",0,I974)-J975-K975+L975+M975-N975,G974+IF(I974=" ",0,I974)-J975-K975+M975-N975),IF('депозитный калькулятор'!$G$14="есть",G974-J975-K975+L975+M975-N975,G974-J975-K975+M975-N975)))</f>
        <v xml:space="preserve"> </v>
      </c>
      <c r="H975" s="133" t="str">
        <f>IF(F975&gt;'депозитный калькулятор'!$D$8," ",IF(AND(OR('депозитный калькулятор'!$G$7="30/365",'депозитный калькулятор'!$G$7="30/360"),AND(MONTH(F975)=2,EOMONTH(F975,0)=F975)),IF(DAY(F975)=28,3*G975*'депозитный калькулятор'!$G$8,2*G975*'депозитный калькулятор'!$G$8),IF(AND(OR('депозитный калькулятор'!$G$7="30/365",'депозитный калькулятор'!$G$7="30/360"),DAY(F975)=31)," ",IF(AND('депозитный калькулятор'!$G$7="факт/факт",MOD(YEAR(F975),4)=0),G975*'депозитный калькулятор'!$D$11/366,G975*'депозитный калькулятор'!$G$8))))</f>
        <v xml:space="preserve"> </v>
      </c>
      <c r="I975" s="134" t="str">
        <f ca="1">IF(F975=" "," ",IF('депозитный калькулятор'!$G$10="ежедневное",H975,IF(AND('депозитный калькулятор'!$G$10="еженедельное",WEEKDAY(F975,2)=7),SUM(OFFSET(H975,-6,0):H975),IF(AND('депозитный калькулятор'!$G$10="еженедельное",F975='депозитный калькулятор'!$D$8),SUM($H$23:H975)-SUM($I$23:I974),IF(AND('депозитный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недели",WEEKDAY(F975,2)=7),MIN(OFFSET(H975,-6,0):H975)*(COUNTIF(OFFSET(H975,-6,0):H975,"&gt;0")+SUMIF(OFFSET(A975,-WEEKDAY(F975,2),0):A975,"=2",OFFSET(A975,-WEEKDAY(F975,2),0):A975)),IF(AND('депозитный калькулятор'!$G$10="еженедельное, на минимальную сумму зафиксированную в течение недели",F975='депозитный калькулятор'!$D$8,WEEKDAY(F975,2)&lt;&gt;7),MIN(OFFSET(H975,-WEEKDAY(F975,2),0):H975)*(COUNTIF(OFFSET(H975,-WEEKDAY(F975,2)+1,0):H975,"&gt;0")+SUM(OFFSET(A975,-WEEKDAY(F975,2),0):A975)),IF(AND('депозитный калькулятор'!$G$10="ежемесячное (в конце месяца)",F975='депозитный калькулятор'!$D$8,EOMONTH(F975,0)&lt;&gt;F975),IF('депозитный калькулятор'!$F$1=1,$H$24,SUM($H$23:H975)-SUM($I$23:I974)),IF(AND('депозитный калькулятор'!$G$10="ежемесячное (в конце месяца)",EOMONTH(F975,0)=F975),SUM($H$23:H975)-SUM($I$23:I974),IF(AND('депозитный калькулятор'!$G$10="ежемесячное (по дням открытия вклада)",F975='депозитный калькулятор'!$D$8,DAY('депозитный калькулятор'!$D$7)&lt;&gt;DAY(F975)),IF('депозитный калькулятор'!$F$1=1,$H$24,SUM($H$23:H975)-SUM($I$23:I974)),IF(AND('депозитный калькулятор'!$G$10="ежемесячное (по дням открытия вклада)",DAY('депозитный калькулятор'!$D$7)=DAY(F975)),SUM($H$23:H975)-SUM($I$23:I974),IF(AND('депозитный калькулятор'!$G$10="ежемесячное, на минимальную сумму зафиксированную в течение месяца",F975='депозитный калькулятор'!$D$8,EOMONTH(F975,0)&lt;&gt;F975),IF('депозитный калькулятор'!$F$1=1,$H$24,IF(AND(OR('депозитный калькулятор'!$G$7="30/365",'депозитный калькулятор'!$G$7="30/360"),DAY(F975)=31),0,MIN(OFFSET(H975,-E975+1,0):H975)*(E975+SUMIF(OFFSET(A975,-E975+1,0):A975,"=2",OFFSET(A975,-E975+1,0):A975)))),IF(AND('депозитный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калькулятор'!$G$7="30/360"),DAY(EOMONTH(F975,0))=31),EOMONTH(F975,0)-1=F975,EOMONTH(F975,0)=F975)),IF(IF(AND(OR('депозитный калькулятор'!$G$7="30/365",'депозитный калькулятор'!$G$7="30/360"),DAY(EOMONTH($F$23,0))=31),F975=EOMONTH($F$23,0)-1,F975=EOMONTH($F$23,0)),MIN(OFFSET(H975,-(DAY(F975)-DAY($F$23)),0):H975)*E975,MIN(OFFSET(H975,-(DAY(F975)-1),0):H975)*IF(AND(OR('депозитный калькулятор'!$G$7="30/365",'депозитный калькулятор'!$G$7="30/360"),DAY(F975)&lt;30),30,DAY(F975))),IF(AND('депозитный калькулятор'!$G$10="ежемесячное, на средний остаток в течение месяца, при условии что остаток больше чем ограничение",F975='депозитный калькулятор'!$D$8,EOMONTH(F975,0)&lt;&gt;F975),IF('депозитный калькулятор'!$F$1=1,$H$24,SUM(OFFSET(Q975,-E975+1,0):Q975)),IF(AND('депозитный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калькулятор'!$G$7="30/360"),DAY(EOMONTH(F975,0))=31),EOMONTH(F975,0)-1=F975,EOMONTH(F975,0)=F975)),IF(IF(AND(OR('депозитный калькулятор'!$G$7="30/365",'депозитный калькулятор'!$G$7="30/360"),DAY(EOMONTH($F$24,0))=31),F975=EOMONTH($F$24,0)-1,F975=EOMONTH($F$24,0)),SUM(OFFSET(Q975,-E975+1,0):Q975),SUM(OFFSET(Q975,-E975+1,0):Q975)),IF('депозитный калькулятор'!$G$10="ежеквартальное",IF(F975&gt;'депозитный калькулятор'!$D$8," ",IF(AND(EOMONTH(F975,0)=F975,OR(MONTH(F975)=3,MONTH(F975)=6,MONTH(F975)=9,MONTH(F975)=12)),IF(EDATE(F975,-3)&lt;'депозитный калькулятор'!$D$7,SUM($H$23:H975),IF(MOD(YEAR(F975),4)=0,IF(AND(EOMONTH(F975,0)=F975,OR(MONTH(F975)=3,MONTH(F975)=6)),SUM(OFFSET(H975,-90,0):H975),IF(AND(EOMONTH(F975,0)=F975,OR(MONTH(F975)=9,MONTH(F975)=12)),SUM(OFFSET(H975,-91,0):H975))),IF(AND(EOMONTH(F975,0)=F975,MONTH(F975)=3),SUM(OFFSET(H975,-89,0):H975),IF(AND(EOMONTH(F975,0)=F975,MONTH(F975)=6),SUM(OFFSET(H975,-90,0):H975),IF(AND(EOMONTH(F975,0)=F975,OR(MONTH(F975)=9,MONTH(F975)=12)),SUM(OFFSET(H975,-91,0):H975)))))),IF(F975='депозитный калькулятор'!$D$8,SUM($H$23:H975)-SUM($I$23:I974),0))),IF('депозитный калькулятор'!$G$10="ежегодное",IF(F975&gt;'депозитный калькулятор'!$D$8," ",IF(F975='депозитный калькулятор'!$D$8,SUM($H$23:H975)-SUM($I$23:I974),IF(AND(EOMONTH(F975,0)=F975,MONTH(F975)=12),IF(MOD(YEAR(F974),4)=0,IF(F975-'депозитный калькулятор'!$D$7&lt;366,SUM($H$23:H975),SUM(OFFSET(H975,-365,0):H975)),IF(F975-'депозитный калькулятор'!$D$7&lt;365,SUM($H$23:H975),SUM(OFFSET(H975,-364,0):H975))),0))),IF(AND('депозитный калькулятор'!$G$10="в конце срока",'депозитный калькулятор'!$D$8=F975),SUM($H$23:H975),0))))))))))))))))))</f>
        <v xml:space="preserve"> </v>
      </c>
      <c r="J975" s="59" t="str">
        <f>IF(F975&gt;'депозитный калькулятор'!$D$8," ",IF('депозитный калькулятор'!$G$16="нет",0,IF(AND('депозитный калькулятор'!$G$17="разовая (в конце срока)",F975='депозитный калькулятор'!$D$8),'депозитный калькулятор'!$G$18,IF(AND('депозитный калькулятор'!$G$17="ежемесячная",EOMONTH(F974,0)=F974),'депозитный калькулятор'!$G$18,IF(AND('депозитный калькулятор'!$G$17="ежегодная",DAY(F974)=31,MONTH(F974)=12),'депозитный калькулятор'!$G$18,IF(AND('депозитный калькулятор'!$G$17="ежемесячная в зависимости от остатка",EOMONTH(F974,0)=F974,P974&gt;0),'депозитный калькулятор'!$G$18,IF(AND('депозитный калькулятор'!$G$17="ежегодная в зависимости от остатка",DAY(F974)=31,MONTH(F974)=12,P974&gt;0),'депозитный калькулятор'!$G$18,0)))))))</f>
        <v xml:space="preserve"> </v>
      </c>
      <c r="K975" s="135" t="str">
        <f>IF($F975=" "," ",IFERROR(VLOOKUP($F975,'депозитный калькулятор'!$B$26:$F$70,2,0),0))</f>
        <v xml:space="preserve"> </v>
      </c>
      <c r="L975" s="135" t="str">
        <f>IF($F975=" "," ",IFERROR(VLOOKUP($F975,'депозитный калькулятор'!$B$26:$F$70,3,0),0))</f>
        <v xml:space="preserve"> </v>
      </c>
      <c r="M975" s="135" t="str">
        <f>IF($F975=" "," ",IFERROR(VLOOKUP($F975,'депозитный калькулятор'!$B$26:$F$70,4,0),0))</f>
        <v xml:space="preserve"> </v>
      </c>
      <c r="N975" s="135" t="str">
        <f>IF($F975=" "," ",IFERROR(VLOOKUP($F975,'депозитный калькулятор'!$B$26:$F$70,5,0),0))</f>
        <v xml:space="preserve"> </v>
      </c>
      <c r="O975" s="146" t="str">
        <f>IF(F975&gt;'депозитный калькулятор'!$D$8," ",IF(F975='депозитный калькулятор'!$D$8,IF(AND($F$24='депозитный калькулятор'!$D$8,'депозитный калькулятор'!$G$13="нет"),-G975-IF(I975=" ",0,I975)-IF(AND(OR('депозитный калькулятор'!$G$7="30/365",'депозитный калькулятор'!$G$7="30/360"),'депозитный калькулятор'!$G$10="в начале срока"),I974,0)-L975+M975-N975,-G975-IF(I975=" ",0,I975)-L975+M975-N975),IF('депозитный калькулятор'!$G$13="есть",M975-N975+IF('депозитный калькулятор'!$G$14="есть",0,-L975),-IF(I975=" ",0,I975)-IF(AND(OR('депозитный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срока"),I974,0)+M975-N975+IF('депозитный калькулятор'!$G$14="есть",0,-L975))))</f>
        <v xml:space="preserve"> </v>
      </c>
      <c r="P975" s="147" t="str">
        <f>IF(F975&gt;'депозитный калькулятор'!$D$8," ",IF(EOMONTH(F974,0)=F974,0,IF(G975&gt;='депозитный калькулятор'!$G$19,P974,P974+1)))</f>
        <v xml:space="preserve"> </v>
      </c>
      <c r="Q975" s="138" t="str">
        <f>IF(F975=" "," ",IF(AND(OR('депозитный калькулятор'!$G$7="30/365",'депозитный калькулятор'!$G$7="30/360"),AND(MONTH(F975)=2,EOMONTH(F975,0)=F975)),IF(DAY(F975)=28,3,2),1)*IF(G975&gt;='депозитный калькулятор'!$G$11,IF(AND('депозитный калькулятор'!$G$7="факт/факт",MOD(YEAR(F975),4)=0),G975*'депозитный калькулятор'!$D$11/366,G975*'депозитный калькулятор'!$G$8),0))</f>
        <v xml:space="preserve"> </v>
      </c>
      <c r="S975" s="62" t="str">
        <f t="shared" ca="1" si="72"/>
        <v xml:space="preserve"> </v>
      </c>
      <c r="T975" s="149" t="str">
        <f ca="1">IF(S975=" "," ",IF('депозитный калькулятор'!$G$7="30/360",DAYS360(U974,IF(DAY(U975)=31,U975-1,U975))+IF(AND(MONTH(U975)=2,U975=EOMONTH(U975,0)),30-DAY(EOMONTH(U975,0)))+T974,VLOOKUP(S975,$C$22:$F$1023,2,0)))</f>
        <v xml:space="preserve"> </v>
      </c>
      <c r="U975" s="64" t="str">
        <f t="shared" ca="1" si="70"/>
        <v xml:space="preserve"> </v>
      </c>
      <c r="V975" s="150" t="str">
        <f t="shared" ca="1" si="73"/>
        <v xml:space="preserve"> </v>
      </c>
      <c r="W975" s="62" t="str">
        <f t="shared" ca="1" si="74"/>
        <v xml:space="preserve"> </v>
      </c>
      <c r="X975" s="141" t="str">
        <f ca="1">IF(S975=" "," ",IFERROR(VLOOKUP(U975,$F$23:$N$1023,7)+VLOOKUP(U975,$F$23:$N$1023,9)+IF(AND('депозитный калькулятор'!$G$13="нет",U975&lt;&gt;'депозитный калькулятор'!$D$8),VLOOKUP(U975,$F$23:$N$1023,4),0),0)+IF(U975='депозитный калькулятор'!$D$8,VLOOKUP(U975,$F$23:$N$1023,2)+VLOOKUP(U975,$F$23:$N$1023,4),0))</f>
        <v xml:space="preserve"> </v>
      </c>
      <c r="Y975" s="142" t="str">
        <f ca="1">IF(S975=" "," ",W975/(1+'депозитный калькулятор'!$K$8)^(T975/IF('депозитный калькулятор'!$G$7="30/360",360,365)))</f>
        <v xml:space="preserve"> </v>
      </c>
      <c r="Z975" s="142" t="str">
        <f ca="1">IF(S975=" "," ",X975/(1+'депозитный калькулятор'!$K$8)^(T975/IF('депозитный калькулятор'!$G$7="30/360",360,365)))</f>
        <v xml:space="preserve"> </v>
      </c>
      <c r="AA975" s="151"/>
      <c r="AB975" s="151"/>
      <c r="AC975" s="155"/>
      <c r="AD975" s="155"/>
    </row>
    <row r="976" spans="1:30" s="2" customFormat="1" ht="15.5" x14ac:dyDescent="0.35">
      <c r="A976" s="41" t="str">
        <f>IF(F976=" "," ",IF(OR('депозитный калькулятор'!$G$7="30/365",'депозитный калькулятор'!$G$7="30/360"),IF(AND(MONTH(F976)=2,DAY(F976)=DAY(EOMONTH(F976,0))),30-DAY(EOMONTH(F976,0)),IF(DAY(F976)=31,1," "))," "))</f>
        <v xml:space="preserve"> </v>
      </c>
      <c r="B976" s="130" t="str">
        <f t="shared" si="71"/>
        <v xml:space="preserve"> </v>
      </c>
      <c r="C976" s="130" t="str">
        <f>IF(OR(B976=0,B976=" ")," ",SUM($B$23:B976))</f>
        <v xml:space="preserve"> </v>
      </c>
      <c r="D976" s="62" t="str">
        <f>IF(D975=" "," ",IF(OR(F975='депозитный калькулятор'!$D$8,F975=" ")," ",D975+1))</f>
        <v xml:space="preserve"> </v>
      </c>
      <c r="E976" s="130" t="str">
        <f>IF(OR(F975='депозитный калькулятор'!$D$8,F975=" ")," ",IF(EOMONTH(F975,0)=F975,1,E975+1))</f>
        <v xml:space="preserve"> </v>
      </c>
      <c r="F976" s="64" t="str">
        <f>IF(F975=" "," ",IF(F975='депозитный калькулятор'!$D$8," ",F975+1))</f>
        <v xml:space="preserve"> </v>
      </c>
      <c r="G976" s="145" t="str">
        <f xml:space="preserve"> IF(F976&gt;'депозитный калькулятор'!$D$8," ",IF('депозитный калькулятор'!$G$13="есть",IF('депозитный калькулятор'!$G$14="есть",G975+IF(I975=" ",0,I975)-J976-K976+L976+M976-N976,G975+IF(I975=" ",0,I975)-J976-K976+M976-N976),IF('депозитный калькулятор'!$G$14="есть",G975-J976-K976+L976+M976-N976,G975-J976-K976+M976-N976)))</f>
        <v xml:space="preserve"> </v>
      </c>
      <c r="H976" s="133" t="str">
        <f>IF(F976&gt;'депозитный калькулятор'!$D$8," ",IF(AND(OR('депозитный калькулятор'!$G$7="30/365",'депозитный калькулятор'!$G$7="30/360"),AND(MONTH(F976)=2,EOMONTH(F976,0)=F976)),IF(DAY(F976)=28,3*G976*'депозитный калькулятор'!$G$8,2*G976*'депозитный калькулятор'!$G$8),IF(AND(OR('депозитный калькулятор'!$G$7="30/365",'депозитный калькулятор'!$G$7="30/360"),DAY(F976)=31)," ",IF(AND('депозитный калькулятор'!$G$7="факт/факт",MOD(YEAR(F976),4)=0),G976*'депозитный калькулятор'!$D$11/366,G976*'депозитный калькулятор'!$G$8))))</f>
        <v xml:space="preserve"> </v>
      </c>
      <c r="I976" s="134" t="str">
        <f ca="1">IF(F976=" "," ",IF('депозитный калькулятор'!$G$10="ежедневное",H976,IF(AND('депозитный калькулятор'!$G$10="еженедельное",WEEKDAY(F976,2)=7),SUM(OFFSET(H976,-6,0):H976),IF(AND('депозитный калькулятор'!$G$10="еженедельное",F976='депозитный калькулятор'!$D$8),SUM($H$23:H976)-SUM($I$23:I975),IF(AND('депозитный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недели",WEEKDAY(F976,2)=7),MIN(OFFSET(H976,-6,0):H976)*(COUNTIF(OFFSET(H976,-6,0):H976,"&gt;0")+SUMIF(OFFSET(A976,-WEEKDAY(F976,2),0):A976,"=2",OFFSET(A976,-WEEKDAY(F976,2),0):A976)),IF(AND('депозитный калькулятор'!$G$10="еженедельное, на минимальную сумму зафиксированную в течение недели",F976='депозитный калькулятор'!$D$8,WEEKDAY(F976,2)&lt;&gt;7),MIN(OFFSET(H976,-WEEKDAY(F976,2),0):H976)*(COUNTIF(OFFSET(H976,-WEEKDAY(F976,2)+1,0):H976,"&gt;0")+SUM(OFFSET(A976,-WEEKDAY(F976,2),0):A976)),IF(AND('депозитный калькулятор'!$G$10="ежемесячное (в конце месяца)",F976='депозитный калькулятор'!$D$8,EOMONTH(F976,0)&lt;&gt;F976),IF('депозитный калькулятор'!$F$1=1,$H$24,SUM($H$23:H976)-SUM($I$23:I975)),IF(AND('депозитный калькулятор'!$G$10="ежемесячное (в конце месяца)",EOMONTH(F976,0)=F976),SUM($H$23:H976)-SUM($I$23:I975),IF(AND('депозитный калькулятор'!$G$10="ежемесячное (по дням открытия вклада)",F976='депозитный калькулятор'!$D$8,DAY('депозитный калькулятор'!$D$7)&lt;&gt;DAY(F976)),IF('депозитный калькулятор'!$F$1=1,$H$24,SUM($H$23:H976)-SUM($I$23:I975)),IF(AND('депозитный калькулятор'!$G$10="ежемесячное (по дням открытия вклада)",DAY('депозитный калькулятор'!$D$7)=DAY(F976)),SUM($H$23:H976)-SUM($I$23:I975),IF(AND('депозитный калькулятор'!$G$10="ежемесячное, на минимальную сумму зафиксированную в течение месяца",F976='депозитный калькулятор'!$D$8,EOMONTH(F976,0)&lt;&gt;F976),IF('депозитный калькулятор'!$F$1=1,$H$24,IF(AND(OR('депозитный калькулятор'!$G$7="30/365",'депозитный калькулятор'!$G$7="30/360"),DAY(F976)=31),0,MIN(OFFSET(H976,-E976+1,0):H976)*(E976+SUMIF(OFFSET(A976,-E976+1,0):A976,"=2",OFFSET(A976,-E976+1,0):A976)))),IF(AND('депозитный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калькулятор'!$G$7="30/360"),DAY(EOMONTH(F976,0))=31),EOMONTH(F976,0)-1=F976,EOMONTH(F976,0)=F976)),IF(IF(AND(OR('депозитный калькулятор'!$G$7="30/365",'депозитный калькулятор'!$G$7="30/360"),DAY(EOMONTH($F$23,0))=31),F976=EOMONTH($F$23,0)-1,F976=EOMONTH($F$23,0)),MIN(OFFSET(H976,-(DAY(F976)-DAY($F$23)),0):H976)*E976,MIN(OFFSET(H976,-(DAY(F976)-1),0):H976)*IF(AND(OR('депозитный калькулятор'!$G$7="30/365",'депозитный калькулятор'!$G$7="30/360"),DAY(F976)&lt;30),30,DAY(F976))),IF(AND('депозитный калькулятор'!$G$10="ежемесячное, на средний остаток в течение месяца, при условии что остаток больше чем ограничение",F976='депозитный калькулятор'!$D$8,EOMONTH(F976,0)&lt;&gt;F976),IF('депозитный калькулятор'!$F$1=1,$H$24,SUM(OFFSET(Q976,-E976+1,0):Q976)),IF(AND('депозитный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калькулятор'!$G$7="30/360"),DAY(EOMONTH(F976,0))=31),EOMONTH(F976,0)-1=F976,EOMONTH(F976,0)=F976)),IF(IF(AND(OR('депозитный калькулятор'!$G$7="30/365",'депозитный калькулятор'!$G$7="30/360"),DAY(EOMONTH($F$24,0))=31),F976=EOMONTH($F$24,0)-1,F976=EOMONTH($F$24,0)),SUM(OFFSET(Q976,-E976+1,0):Q976),SUM(OFFSET(Q976,-E976+1,0):Q976)),IF('депозитный калькулятор'!$G$10="ежеквартальное",IF(F976&gt;'депозитный калькулятор'!$D$8," ",IF(AND(EOMONTH(F976,0)=F976,OR(MONTH(F976)=3,MONTH(F976)=6,MONTH(F976)=9,MONTH(F976)=12)),IF(EDATE(F976,-3)&lt;'депозитный калькулятор'!$D$7,SUM($H$23:H976),IF(MOD(YEAR(F976),4)=0,IF(AND(EOMONTH(F976,0)=F976,OR(MONTH(F976)=3,MONTH(F976)=6)),SUM(OFFSET(H976,-90,0):H976),IF(AND(EOMONTH(F976,0)=F976,OR(MONTH(F976)=9,MONTH(F976)=12)),SUM(OFFSET(H976,-91,0):H976))),IF(AND(EOMONTH(F976,0)=F976,MONTH(F976)=3),SUM(OFFSET(H976,-89,0):H976),IF(AND(EOMONTH(F976,0)=F976,MONTH(F976)=6),SUM(OFFSET(H976,-90,0):H976),IF(AND(EOMONTH(F976,0)=F976,OR(MONTH(F976)=9,MONTH(F976)=12)),SUM(OFFSET(H976,-91,0):H976)))))),IF(F976='депозитный калькулятор'!$D$8,SUM($H$23:H976)-SUM($I$23:I975),0))),IF('депозитный калькулятор'!$G$10="ежегодное",IF(F976&gt;'депозитный калькулятор'!$D$8," ",IF(F976='депозитный калькулятор'!$D$8,SUM($H$23:H976)-SUM($I$23:I975),IF(AND(EOMONTH(F976,0)=F976,MONTH(F976)=12),IF(MOD(YEAR(F975),4)=0,IF(F976-'депозитный калькулятор'!$D$7&lt;366,SUM($H$23:H976),SUM(OFFSET(H976,-365,0):H976)),IF(F976-'депозитный калькулятор'!$D$7&lt;365,SUM($H$23:H976),SUM(OFFSET(H976,-364,0):H976))),0))),IF(AND('депозитный калькулятор'!$G$10="в конце срока",'депозитный калькулятор'!$D$8=F976),SUM($H$23:H976),0))))))))))))))))))</f>
        <v xml:space="preserve"> </v>
      </c>
      <c r="J976" s="59" t="str">
        <f>IF(F976&gt;'депозитный калькулятор'!$D$8," ",IF('депозитный калькулятор'!$G$16="нет",0,IF(AND('депозитный калькулятор'!$G$17="разовая (в конце срока)",F976='депозитный калькулятор'!$D$8),'депозитный калькулятор'!$G$18,IF(AND('депозитный калькулятор'!$G$17="ежемесячная",EOMONTH(F975,0)=F975),'депозитный калькулятор'!$G$18,IF(AND('депозитный калькулятор'!$G$17="ежегодная",DAY(F975)=31,MONTH(F975)=12),'депозитный калькулятор'!$G$18,IF(AND('депозитный калькулятор'!$G$17="ежемесячная в зависимости от остатка",EOMONTH(F975,0)=F975,P975&gt;0),'депозитный калькулятор'!$G$18,IF(AND('депозитный калькулятор'!$G$17="ежегодная в зависимости от остатка",DAY(F975)=31,MONTH(F975)=12,P975&gt;0),'депозитный калькулятор'!$G$18,0)))))))</f>
        <v xml:space="preserve"> </v>
      </c>
      <c r="K976" s="135" t="str">
        <f>IF($F976=" "," ",IFERROR(VLOOKUP($F976,'депозитный калькулятор'!$B$26:$F$70,2,0),0))</f>
        <v xml:space="preserve"> </v>
      </c>
      <c r="L976" s="135" t="str">
        <f>IF($F976=" "," ",IFERROR(VLOOKUP($F976,'депозитный калькулятор'!$B$26:$F$70,3,0),0))</f>
        <v xml:space="preserve"> </v>
      </c>
      <c r="M976" s="135" t="str">
        <f>IF($F976=" "," ",IFERROR(VLOOKUP($F976,'депозитный калькулятор'!$B$26:$F$70,4,0),0))</f>
        <v xml:space="preserve"> </v>
      </c>
      <c r="N976" s="135" t="str">
        <f>IF($F976=" "," ",IFERROR(VLOOKUP($F976,'депозитный калькулятор'!$B$26:$F$70,5,0),0))</f>
        <v xml:space="preserve"> </v>
      </c>
      <c r="O976" s="146" t="str">
        <f>IF(F976&gt;'депозитный калькулятор'!$D$8," ",IF(F976='депозитный калькулятор'!$D$8,IF(AND($F$24='депозитный калькулятор'!$D$8,'депозитный калькулятор'!$G$13="нет"),-G976-IF(I976=" ",0,I976)-IF(AND(OR('депозитный калькулятор'!$G$7="30/365",'депозитный калькулятор'!$G$7="30/360"),'депозитный калькулятор'!$G$10="в начале срока"),I975,0)-L976+M976-N976,-G976-IF(I976=" ",0,I976)-L976+M976-N976),IF('депозитный калькулятор'!$G$13="есть",M976-N976+IF('депозитный калькулятор'!$G$14="есть",0,-L976),-IF(I976=" ",0,I976)-IF(AND(OR('депозитный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срока"),I975,0)+M976-N976+IF('депозитный калькулятор'!$G$14="есть",0,-L976))))</f>
        <v xml:space="preserve"> </v>
      </c>
      <c r="P976" s="147" t="str">
        <f>IF(F976&gt;'депозитный калькулятор'!$D$8," ",IF(EOMONTH(F975,0)=F975,0,IF(G976&gt;='депозитный калькулятор'!$G$19,P975,P975+1)))</f>
        <v xml:space="preserve"> </v>
      </c>
      <c r="Q976" s="138" t="str">
        <f>IF(F976=" "," ",IF(AND(OR('депозитный калькулятор'!$G$7="30/365",'депозитный калькулятор'!$G$7="30/360"),AND(MONTH(F976)=2,EOMONTH(F976,0)=F976)),IF(DAY(F976)=28,3,2),1)*IF(G976&gt;='депозитный калькулятор'!$G$11,IF(AND('депозитный калькулятор'!$G$7="факт/факт",MOD(YEAR(F976),4)=0),G976*'депозитный калькулятор'!$D$11/366,G976*'депозитный калькулятор'!$G$8),0))</f>
        <v xml:space="preserve"> </v>
      </c>
      <c r="S976" s="62" t="str">
        <f t="shared" ca="1" si="72"/>
        <v xml:space="preserve"> </v>
      </c>
      <c r="T976" s="149" t="str">
        <f ca="1">IF(S976=" "," ",IF('депозитный калькулятор'!$G$7="30/360",DAYS360(U975,IF(DAY(U976)=31,U976-1,U976))+IF(AND(MONTH(U976)=2,U976=EOMONTH(U976,0)),30-DAY(EOMONTH(U976,0)))+T975,VLOOKUP(S976,$C$22:$F$1023,2,0)))</f>
        <v xml:space="preserve"> </v>
      </c>
      <c r="U976" s="64" t="str">
        <f t="shared" ca="1" si="70"/>
        <v xml:space="preserve"> </v>
      </c>
      <c r="V976" s="150" t="str">
        <f t="shared" ca="1" si="73"/>
        <v xml:space="preserve"> </v>
      </c>
      <c r="W976" s="62" t="str">
        <f t="shared" ca="1" si="74"/>
        <v xml:space="preserve"> </v>
      </c>
      <c r="X976" s="141" t="str">
        <f ca="1">IF(S976=" "," ",IFERROR(VLOOKUP(U976,$F$23:$N$1023,7)+VLOOKUP(U976,$F$23:$N$1023,9)+IF(AND('депозитный калькулятор'!$G$13="нет",U976&lt;&gt;'депозитный калькулятор'!$D$8),VLOOKUP(U976,$F$23:$N$1023,4),0),0)+IF(U976='депозитный калькулятор'!$D$8,VLOOKUP(U976,$F$23:$N$1023,2)+VLOOKUP(U976,$F$23:$N$1023,4),0))</f>
        <v xml:space="preserve"> </v>
      </c>
      <c r="Y976" s="142" t="str">
        <f ca="1">IF(S976=" "," ",W976/(1+'депозитный калькулятор'!$K$8)^(T976/IF('депозитный калькулятор'!$G$7="30/360",360,365)))</f>
        <v xml:space="preserve"> </v>
      </c>
      <c r="Z976" s="142" t="str">
        <f ca="1">IF(S976=" "," ",X976/(1+'депозитный калькулятор'!$K$8)^(T976/IF('депозитный калькулятор'!$G$7="30/360",360,365)))</f>
        <v xml:space="preserve"> </v>
      </c>
      <c r="AA976" s="151"/>
      <c r="AB976" s="151"/>
      <c r="AC976" s="155"/>
      <c r="AD976" s="155"/>
    </row>
    <row r="977" spans="1:30" s="2" customFormat="1" ht="15.5" x14ac:dyDescent="0.35">
      <c r="A977" s="41" t="str">
        <f>IF(F977=" "," ",IF(OR('депозитный калькулятор'!$G$7="30/365",'депозитный калькулятор'!$G$7="30/360"),IF(AND(MONTH(F977)=2,DAY(F977)=DAY(EOMONTH(F977,0))),30-DAY(EOMONTH(F977,0)),IF(DAY(F977)=31,1," "))," "))</f>
        <v xml:space="preserve"> </v>
      </c>
      <c r="B977" s="130" t="str">
        <f t="shared" si="71"/>
        <v xml:space="preserve"> </v>
      </c>
      <c r="C977" s="130" t="str">
        <f>IF(OR(B977=0,B977=" ")," ",SUM($B$23:B977))</f>
        <v xml:space="preserve"> </v>
      </c>
      <c r="D977" s="62" t="str">
        <f>IF(D976=" "," ",IF(OR(F976='депозитный калькулятор'!$D$8,F976=" ")," ",D976+1))</f>
        <v xml:space="preserve"> </v>
      </c>
      <c r="E977" s="130" t="str">
        <f>IF(OR(F976='депозитный калькулятор'!$D$8,F976=" ")," ",IF(EOMONTH(F976,0)=F976,1,E976+1))</f>
        <v xml:space="preserve"> </v>
      </c>
      <c r="F977" s="64" t="str">
        <f>IF(F976=" "," ",IF(F976='депозитный калькулятор'!$D$8," ",F976+1))</f>
        <v xml:space="preserve"> </v>
      </c>
      <c r="G977" s="145" t="str">
        <f xml:space="preserve"> IF(F977&gt;'депозитный калькулятор'!$D$8," ",IF('депозитный калькулятор'!$G$13="есть",IF('депозитный калькулятор'!$G$14="есть",G976+IF(I976=" ",0,I976)-J977-K977+L977+M977-N977,G976+IF(I976=" ",0,I976)-J977-K977+M977-N977),IF('депозитный калькулятор'!$G$14="есть",G976-J977-K977+L977+M977-N977,G976-J977-K977+M977-N977)))</f>
        <v xml:space="preserve"> </v>
      </c>
      <c r="H977" s="133" t="str">
        <f>IF(F977&gt;'депозитный калькулятор'!$D$8," ",IF(AND(OR('депозитный калькулятор'!$G$7="30/365",'депозитный калькулятор'!$G$7="30/360"),AND(MONTH(F977)=2,EOMONTH(F977,0)=F977)),IF(DAY(F977)=28,3*G977*'депозитный калькулятор'!$G$8,2*G977*'депозитный калькулятор'!$G$8),IF(AND(OR('депозитный калькулятор'!$G$7="30/365",'депозитный калькулятор'!$G$7="30/360"),DAY(F977)=31)," ",IF(AND('депозитный калькулятор'!$G$7="факт/факт",MOD(YEAR(F977),4)=0),G977*'депозитный калькулятор'!$D$11/366,G977*'депозитный калькулятор'!$G$8))))</f>
        <v xml:space="preserve"> </v>
      </c>
      <c r="I977" s="134" t="str">
        <f ca="1">IF(F977=" "," ",IF('депозитный калькулятор'!$G$10="ежедневное",H977,IF(AND('депозитный калькулятор'!$G$10="еженедельное",WEEKDAY(F977,2)=7),SUM(OFFSET(H977,-6,0):H977),IF(AND('депозитный калькулятор'!$G$10="еженедельное",F977='депозитный калькулятор'!$D$8),SUM($H$23:H977)-SUM($I$23:I976),IF(AND('депозитный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недели",WEEKDAY(F977,2)=7),MIN(OFFSET(H977,-6,0):H977)*(COUNTIF(OFFSET(H977,-6,0):H977,"&gt;0")+SUMIF(OFFSET(A977,-WEEKDAY(F977,2),0):A977,"=2",OFFSET(A977,-WEEKDAY(F977,2),0):A977)),IF(AND('депозитный калькулятор'!$G$10="еженедельное, на минимальную сумму зафиксированную в течение недели",F977='депозитный калькулятор'!$D$8,WEEKDAY(F977,2)&lt;&gt;7),MIN(OFFSET(H977,-WEEKDAY(F977,2),0):H977)*(COUNTIF(OFFSET(H977,-WEEKDAY(F977,2)+1,0):H977,"&gt;0")+SUM(OFFSET(A977,-WEEKDAY(F977,2),0):A977)),IF(AND('депозитный калькулятор'!$G$10="ежемесячное (в конце месяца)",F977='депозитный калькулятор'!$D$8,EOMONTH(F977,0)&lt;&gt;F977),IF('депозитный калькулятор'!$F$1=1,$H$24,SUM($H$23:H977)-SUM($I$23:I976)),IF(AND('депозитный калькулятор'!$G$10="ежемесячное (в конце месяца)",EOMONTH(F977,0)=F977),SUM($H$23:H977)-SUM($I$23:I976),IF(AND('депозитный калькулятор'!$G$10="ежемесячное (по дням открытия вклада)",F977='депозитный калькулятор'!$D$8,DAY('депозитный калькулятор'!$D$7)&lt;&gt;DAY(F977)),IF('депозитный калькулятор'!$F$1=1,$H$24,SUM($H$23:H977)-SUM($I$23:I976)),IF(AND('депозитный калькулятор'!$G$10="ежемесячное (по дням открытия вклада)",DAY('депозитный калькулятор'!$D$7)=DAY(F977)),SUM($H$23:H977)-SUM($I$23:I976),IF(AND('депозитный калькулятор'!$G$10="ежемесячное, на минимальную сумму зафиксированную в течение месяца",F977='депозитный калькулятор'!$D$8,EOMONTH(F977,0)&lt;&gt;F977),IF('депозитный калькулятор'!$F$1=1,$H$24,IF(AND(OR('депозитный калькулятор'!$G$7="30/365",'депозитный калькулятор'!$G$7="30/360"),DAY(F977)=31),0,MIN(OFFSET(H977,-E977+1,0):H977)*(E977+SUMIF(OFFSET(A977,-E977+1,0):A977,"=2",OFFSET(A977,-E977+1,0):A977)))),IF(AND('депозитный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калькулятор'!$G$7="30/360"),DAY(EOMONTH(F977,0))=31),EOMONTH(F977,0)-1=F977,EOMONTH(F977,0)=F977)),IF(IF(AND(OR('депозитный калькулятор'!$G$7="30/365",'депозитный калькулятор'!$G$7="30/360"),DAY(EOMONTH($F$23,0))=31),F977=EOMONTH($F$23,0)-1,F977=EOMONTH($F$23,0)),MIN(OFFSET(H977,-(DAY(F977)-DAY($F$23)),0):H977)*E977,MIN(OFFSET(H977,-(DAY(F977)-1),0):H977)*IF(AND(OR('депозитный калькулятор'!$G$7="30/365",'депозитный калькулятор'!$G$7="30/360"),DAY(F977)&lt;30),30,DAY(F977))),IF(AND('депозитный калькулятор'!$G$10="ежемесячное, на средний остаток в течение месяца, при условии что остаток больше чем ограничение",F977='депозитный калькулятор'!$D$8,EOMONTH(F977,0)&lt;&gt;F977),IF('депозитный калькулятор'!$F$1=1,$H$24,SUM(OFFSET(Q977,-E977+1,0):Q977)),IF(AND('депозитный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калькулятор'!$G$7="30/360"),DAY(EOMONTH(F977,0))=31),EOMONTH(F977,0)-1=F977,EOMONTH(F977,0)=F977)),IF(IF(AND(OR('депозитный калькулятор'!$G$7="30/365",'депозитный калькулятор'!$G$7="30/360"),DAY(EOMONTH($F$24,0))=31),F977=EOMONTH($F$24,0)-1,F977=EOMONTH($F$24,0)),SUM(OFFSET(Q977,-E977+1,0):Q977),SUM(OFFSET(Q977,-E977+1,0):Q977)),IF('депозитный калькулятор'!$G$10="ежеквартальное",IF(F977&gt;'депозитный калькулятор'!$D$8," ",IF(AND(EOMONTH(F977,0)=F977,OR(MONTH(F977)=3,MONTH(F977)=6,MONTH(F977)=9,MONTH(F977)=12)),IF(EDATE(F977,-3)&lt;'депозитный калькулятор'!$D$7,SUM($H$23:H977),IF(MOD(YEAR(F977),4)=0,IF(AND(EOMONTH(F977,0)=F977,OR(MONTH(F977)=3,MONTH(F977)=6)),SUM(OFFSET(H977,-90,0):H977),IF(AND(EOMONTH(F977,0)=F977,OR(MONTH(F977)=9,MONTH(F977)=12)),SUM(OFFSET(H977,-91,0):H977))),IF(AND(EOMONTH(F977,0)=F977,MONTH(F977)=3),SUM(OFFSET(H977,-89,0):H977),IF(AND(EOMONTH(F977,0)=F977,MONTH(F977)=6),SUM(OFFSET(H977,-90,0):H977),IF(AND(EOMONTH(F977,0)=F977,OR(MONTH(F977)=9,MONTH(F977)=12)),SUM(OFFSET(H977,-91,0):H977)))))),IF(F977='депозитный калькулятор'!$D$8,SUM($H$23:H977)-SUM($I$23:I976),0))),IF('депозитный калькулятор'!$G$10="ежегодное",IF(F977&gt;'депозитный калькулятор'!$D$8," ",IF(F977='депозитный калькулятор'!$D$8,SUM($H$23:H977)-SUM($I$23:I976),IF(AND(EOMONTH(F977,0)=F977,MONTH(F977)=12),IF(MOD(YEAR(F976),4)=0,IF(F977-'депозитный калькулятор'!$D$7&lt;366,SUM($H$23:H977),SUM(OFFSET(H977,-365,0):H977)),IF(F977-'депозитный калькулятор'!$D$7&lt;365,SUM($H$23:H977),SUM(OFFSET(H977,-364,0):H977))),0))),IF(AND('депозитный калькулятор'!$G$10="в конце срока",'депозитный калькулятор'!$D$8=F977),SUM($H$23:H977),0))))))))))))))))))</f>
        <v xml:space="preserve"> </v>
      </c>
      <c r="J977" s="59" t="str">
        <f>IF(F977&gt;'депозитный калькулятор'!$D$8," ",IF('депозитный калькулятор'!$G$16="нет",0,IF(AND('депозитный калькулятор'!$G$17="разовая (в конце срока)",F977='депозитный калькулятор'!$D$8),'депозитный калькулятор'!$G$18,IF(AND('депозитный калькулятор'!$G$17="ежемесячная",EOMONTH(F976,0)=F976),'депозитный калькулятор'!$G$18,IF(AND('депозитный калькулятор'!$G$17="ежегодная",DAY(F976)=31,MONTH(F976)=12),'депозитный калькулятор'!$G$18,IF(AND('депозитный калькулятор'!$G$17="ежемесячная в зависимости от остатка",EOMONTH(F976,0)=F976,P976&gt;0),'депозитный калькулятор'!$G$18,IF(AND('депозитный калькулятор'!$G$17="ежегодная в зависимости от остатка",DAY(F976)=31,MONTH(F976)=12,P976&gt;0),'депозитный калькулятор'!$G$18,0)))))))</f>
        <v xml:space="preserve"> </v>
      </c>
      <c r="K977" s="135" t="str">
        <f>IF($F977=" "," ",IFERROR(VLOOKUP($F977,'депозитный калькулятор'!$B$26:$F$70,2,0),0))</f>
        <v xml:space="preserve"> </v>
      </c>
      <c r="L977" s="135" t="str">
        <f>IF($F977=" "," ",IFERROR(VLOOKUP($F977,'депозитный калькулятор'!$B$26:$F$70,3,0),0))</f>
        <v xml:space="preserve"> </v>
      </c>
      <c r="M977" s="135" t="str">
        <f>IF($F977=" "," ",IFERROR(VLOOKUP($F977,'депозитный калькулятор'!$B$26:$F$70,4,0),0))</f>
        <v xml:space="preserve"> </v>
      </c>
      <c r="N977" s="135" t="str">
        <f>IF($F977=" "," ",IFERROR(VLOOKUP($F977,'депозитный калькулятор'!$B$26:$F$70,5,0),0))</f>
        <v xml:space="preserve"> </v>
      </c>
      <c r="O977" s="146" t="str">
        <f>IF(F977&gt;'депозитный калькулятор'!$D$8," ",IF(F977='депозитный калькулятор'!$D$8,IF(AND($F$24='депозитный калькулятор'!$D$8,'депозитный калькулятор'!$G$13="нет"),-G977-IF(I977=" ",0,I977)-IF(AND(OR('депозитный калькулятор'!$G$7="30/365",'депозитный калькулятор'!$G$7="30/360"),'депозитный калькулятор'!$G$10="в начале срока"),I976,0)-L977+M977-N977,-G977-IF(I977=" ",0,I977)-L977+M977-N977),IF('депозитный калькулятор'!$G$13="есть",M977-N977+IF('депозитный калькулятор'!$G$14="есть",0,-L977),-IF(I977=" ",0,I977)-IF(AND(OR('депозитный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срока"),I976,0)+M977-N977+IF('депозитный калькулятор'!$G$14="есть",0,-L977))))</f>
        <v xml:space="preserve"> </v>
      </c>
      <c r="P977" s="147" t="str">
        <f>IF(F977&gt;'депозитный калькулятор'!$D$8," ",IF(EOMONTH(F976,0)=F976,0,IF(G977&gt;='депозитный калькулятор'!$G$19,P976,P976+1)))</f>
        <v xml:space="preserve"> </v>
      </c>
      <c r="Q977" s="138" t="str">
        <f>IF(F977=" "," ",IF(AND(OR('депозитный калькулятор'!$G$7="30/365",'депозитный калькулятор'!$G$7="30/360"),AND(MONTH(F977)=2,EOMONTH(F977,0)=F977)),IF(DAY(F977)=28,3,2),1)*IF(G977&gt;='депозитный калькулятор'!$G$11,IF(AND('депозитный калькулятор'!$G$7="факт/факт",MOD(YEAR(F977),4)=0),G977*'депозитный калькулятор'!$D$11/366,G977*'депозитный калькулятор'!$G$8),0))</f>
        <v xml:space="preserve"> </v>
      </c>
      <c r="S977" s="62" t="str">
        <f t="shared" ca="1" si="72"/>
        <v xml:space="preserve"> </v>
      </c>
      <c r="T977" s="149" t="str">
        <f ca="1">IF(S977=" "," ",IF('депозитный калькулятор'!$G$7="30/360",DAYS360(U976,IF(DAY(U977)=31,U977-1,U977))+IF(AND(MONTH(U977)=2,U977=EOMONTH(U977,0)),30-DAY(EOMONTH(U977,0)))+T976,VLOOKUP(S977,$C$22:$F$1023,2,0)))</f>
        <v xml:space="preserve"> </v>
      </c>
      <c r="U977" s="64" t="str">
        <f t="shared" ca="1" si="70"/>
        <v xml:space="preserve"> </v>
      </c>
      <c r="V977" s="150" t="str">
        <f t="shared" ca="1" si="73"/>
        <v xml:space="preserve"> </v>
      </c>
      <c r="W977" s="62" t="str">
        <f t="shared" ca="1" si="74"/>
        <v xml:space="preserve"> </v>
      </c>
      <c r="X977" s="141" t="str">
        <f ca="1">IF(S977=" "," ",IFERROR(VLOOKUP(U977,$F$23:$N$1023,7)+VLOOKUP(U977,$F$23:$N$1023,9)+IF(AND('депозитный калькулятор'!$G$13="нет",U977&lt;&gt;'депозитный калькулятор'!$D$8),VLOOKUP(U977,$F$23:$N$1023,4),0),0)+IF(U977='депозитный калькулятор'!$D$8,VLOOKUP(U977,$F$23:$N$1023,2)+VLOOKUP(U977,$F$23:$N$1023,4),0))</f>
        <v xml:space="preserve"> </v>
      </c>
      <c r="Y977" s="142" t="str">
        <f ca="1">IF(S977=" "," ",W977/(1+'депозитный калькулятор'!$K$8)^(T977/IF('депозитный калькулятор'!$G$7="30/360",360,365)))</f>
        <v xml:space="preserve"> </v>
      </c>
      <c r="Z977" s="142" t="str">
        <f ca="1">IF(S977=" "," ",X977/(1+'депозитный калькулятор'!$K$8)^(T977/IF('депозитный калькулятор'!$G$7="30/360",360,365)))</f>
        <v xml:space="preserve"> </v>
      </c>
      <c r="AA977" s="151"/>
      <c r="AB977" s="151"/>
      <c r="AC977" s="155"/>
      <c r="AD977" s="155"/>
    </row>
    <row r="978" spans="1:30" s="2" customFormat="1" ht="15.5" x14ac:dyDescent="0.35">
      <c r="A978" s="41" t="str">
        <f>IF(F978=" "," ",IF(OR('депозитный калькулятор'!$G$7="30/365",'депозитный калькулятор'!$G$7="30/360"),IF(AND(MONTH(F978)=2,DAY(F978)=DAY(EOMONTH(F978,0))),30-DAY(EOMONTH(F978,0)),IF(DAY(F978)=31,1," "))," "))</f>
        <v xml:space="preserve"> </v>
      </c>
      <c r="B978" s="130" t="str">
        <f t="shared" si="71"/>
        <v xml:space="preserve"> </v>
      </c>
      <c r="C978" s="130" t="str">
        <f>IF(OR(B978=0,B978=" ")," ",SUM($B$23:B978))</f>
        <v xml:space="preserve"> </v>
      </c>
      <c r="D978" s="62" t="str">
        <f>IF(D977=" "," ",IF(OR(F977='депозитный калькулятор'!$D$8,F977=" ")," ",D977+1))</f>
        <v xml:space="preserve"> </v>
      </c>
      <c r="E978" s="130" t="str">
        <f>IF(OR(F977='депозитный калькулятор'!$D$8,F977=" ")," ",IF(EOMONTH(F977,0)=F977,1,E977+1))</f>
        <v xml:space="preserve"> </v>
      </c>
      <c r="F978" s="64" t="str">
        <f>IF(F977=" "," ",IF(F977='депозитный калькулятор'!$D$8," ",F977+1))</f>
        <v xml:space="preserve"> </v>
      </c>
      <c r="G978" s="145" t="str">
        <f xml:space="preserve"> IF(F978&gt;'депозитный калькулятор'!$D$8," ",IF('депозитный калькулятор'!$G$13="есть",IF('депозитный калькулятор'!$G$14="есть",G977+IF(I977=" ",0,I977)-J978-K978+L978+M978-N978,G977+IF(I977=" ",0,I977)-J978-K978+M978-N978),IF('депозитный калькулятор'!$G$14="есть",G977-J978-K978+L978+M978-N978,G977-J978-K978+M978-N978)))</f>
        <v xml:space="preserve"> </v>
      </c>
      <c r="H978" s="133" t="str">
        <f>IF(F978&gt;'депозитный калькулятор'!$D$8," ",IF(AND(OR('депозитный калькулятор'!$G$7="30/365",'депозитный калькулятор'!$G$7="30/360"),AND(MONTH(F978)=2,EOMONTH(F978,0)=F978)),IF(DAY(F978)=28,3*G978*'депозитный калькулятор'!$G$8,2*G978*'депозитный калькулятор'!$G$8),IF(AND(OR('депозитный калькулятор'!$G$7="30/365",'депозитный калькулятор'!$G$7="30/360"),DAY(F978)=31)," ",IF(AND('депозитный калькулятор'!$G$7="факт/факт",MOD(YEAR(F978),4)=0),G978*'депозитный калькулятор'!$D$11/366,G978*'депозитный калькулятор'!$G$8))))</f>
        <v xml:space="preserve"> </v>
      </c>
      <c r="I978" s="134" t="str">
        <f ca="1">IF(F978=" "," ",IF('депозитный калькулятор'!$G$10="ежедневное",H978,IF(AND('депозитный калькулятор'!$G$10="еженедельное",WEEKDAY(F978,2)=7),SUM(OFFSET(H978,-6,0):H978),IF(AND('депозитный калькулятор'!$G$10="еженедельное",F978='депозитный калькулятор'!$D$8),SUM($H$23:H978)-SUM($I$23:I977),IF(AND('депозитный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недели",WEEKDAY(F978,2)=7),MIN(OFFSET(H978,-6,0):H978)*(COUNTIF(OFFSET(H978,-6,0):H978,"&gt;0")+SUMIF(OFFSET(A978,-WEEKDAY(F978,2),0):A978,"=2",OFFSET(A978,-WEEKDAY(F978,2),0):A978)),IF(AND('депозитный калькулятор'!$G$10="еженедельное, на минимальную сумму зафиксированную в течение недели",F978='депозитный калькулятор'!$D$8,WEEKDAY(F978,2)&lt;&gt;7),MIN(OFFSET(H978,-WEEKDAY(F978,2),0):H978)*(COUNTIF(OFFSET(H978,-WEEKDAY(F978,2)+1,0):H978,"&gt;0")+SUM(OFFSET(A978,-WEEKDAY(F978,2),0):A978)),IF(AND('депозитный калькулятор'!$G$10="ежемесячное (в конце месяца)",F978='депозитный калькулятор'!$D$8,EOMONTH(F978,0)&lt;&gt;F978),IF('депозитный калькулятор'!$F$1=1,$H$24,SUM($H$23:H978)-SUM($I$23:I977)),IF(AND('депозитный калькулятор'!$G$10="ежемесячное (в конце месяца)",EOMONTH(F978,0)=F978),SUM($H$23:H978)-SUM($I$23:I977),IF(AND('депозитный калькулятор'!$G$10="ежемесячное (по дням открытия вклада)",F978='депозитный калькулятор'!$D$8,DAY('депозитный калькулятор'!$D$7)&lt;&gt;DAY(F978)),IF('депозитный калькулятор'!$F$1=1,$H$24,SUM($H$23:H978)-SUM($I$23:I977)),IF(AND('депозитный калькулятор'!$G$10="ежемесячное (по дням открытия вклада)",DAY('депозитный калькулятор'!$D$7)=DAY(F978)),SUM($H$23:H978)-SUM($I$23:I977),IF(AND('депозитный калькулятор'!$G$10="ежемесячное, на минимальную сумму зафиксированную в течение месяца",F978='депозитный калькулятор'!$D$8,EOMONTH(F978,0)&lt;&gt;F978),IF('депозитный калькулятор'!$F$1=1,$H$24,IF(AND(OR('депозитный калькулятор'!$G$7="30/365",'депозитный калькулятор'!$G$7="30/360"),DAY(F978)=31),0,MIN(OFFSET(H978,-E978+1,0):H978)*(E978+SUMIF(OFFSET(A978,-E978+1,0):A978,"=2",OFFSET(A978,-E978+1,0):A978)))),IF(AND('депозитный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калькулятор'!$G$7="30/360"),DAY(EOMONTH(F978,0))=31),EOMONTH(F978,0)-1=F978,EOMONTH(F978,0)=F978)),IF(IF(AND(OR('депозитный калькулятор'!$G$7="30/365",'депозитный калькулятор'!$G$7="30/360"),DAY(EOMONTH($F$23,0))=31),F978=EOMONTH($F$23,0)-1,F978=EOMONTH($F$23,0)),MIN(OFFSET(H978,-(DAY(F978)-DAY($F$23)),0):H978)*E978,MIN(OFFSET(H978,-(DAY(F978)-1),0):H978)*IF(AND(OR('депозитный калькулятор'!$G$7="30/365",'депозитный калькулятор'!$G$7="30/360"),DAY(F978)&lt;30),30,DAY(F978))),IF(AND('депозитный калькулятор'!$G$10="ежемесячное, на средний остаток в течение месяца, при условии что остаток больше чем ограничение",F978='депозитный калькулятор'!$D$8,EOMONTH(F978,0)&lt;&gt;F978),IF('депозитный калькулятор'!$F$1=1,$H$24,SUM(OFFSET(Q978,-E978+1,0):Q978)),IF(AND('депозитный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калькулятор'!$G$7="30/360"),DAY(EOMONTH(F978,0))=31),EOMONTH(F978,0)-1=F978,EOMONTH(F978,0)=F978)),IF(IF(AND(OR('депозитный калькулятор'!$G$7="30/365",'депозитный калькулятор'!$G$7="30/360"),DAY(EOMONTH($F$24,0))=31),F978=EOMONTH($F$24,0)-1,F978=EOMONTH($F$24,0)),SUM(OFFSET(Q978,-E978+1,0):Q978),SUM(OFFSET(Q978,-E978+1,0):Q978)),IF('депозитный калькулятор'!$G$10="ежеквартальное",IF(F978&gt;'депозитный калькулятор'!$D$8," ",IF(AND(EOMONTH(F978,0)=F978,OR(MONTH(F978)=3,MONTH(F978)=6,MONTH(F978)=9,MONTH(F978)=12)),IF(EDATE(F978,-3)&lt;'депозитный калькулятор'!$D$7,SUM($H$23:H978),IF(MOD(YEAR(F978),4)=0,IF(AND(EOMONTH(F978,0)=F978,OR(MONTH(F978)=3,MONTH(F978)=6)),SUM(OFFSET(H978,-90,0):H978),IF(AND(EOMONTH(F978,0)=F978,OR(MONTH(F978)=9,MONTH(F978)=12)),SUM(OFFSET(H978,-91,0):H978))),IF(AND(EOMONTH(F978,0)=F978,MONTH(F978)=3),SUM(OFFSET(H978,-89,0):H978),IF(AND(EOMONTH(F978,0)=F978,MONTH(F978)=6),SUM(OFFSET(H978,-90,0):H978),IF(AND(EOMONTH(F978,0)=F978,OR(MONTH(F978)=9,MONTH(F978)=12)),SUM(OFFSET(H978,-91,0):H978)))))),IF(F978='депозитный калькулятор'!$D$8,SUM($H$23:H978)-SUM($I$23:I977),0))),IF('депозитный калькулятор'!$G$10="ежегодное",IF(F978&gt;'депозитный калькулятор'!$D$8," ",IF(F978='депозитный калькулятор'!$D$8,SUM($H$23:H978)-SUM($I$23:I977),IF(AND(EOMONTH(F978,0)=F978,MONTH(F978)=12),IF(MOD(YEAR(F977),4)=0,IF(F978-'депозитный калькулятор'!$D$7&lt;366,SUM($H$23:H978),SUM(OFFSET(H978,-365,0):H978)),IF(F978-'депозитный калькулятор'!$D$7&lt;365,SUM($H$23:H978),SUM(OFFSET(H978,-364,0):H978))),0))),IF(AND('депозитный калькулятор'!$G$10="в конце срока",'депозитный калькулятор'!$D$8=F978),SUM($H$23:H978),0))))))))))))))))))</f>
        <v xml:space="preserve"> </v>
      </c>
      <c r="J978" s="59" t="str">
        <f>IF(F978&gt;'депозитный калькулятор'!$D$8," ",IF('депозитный калькулятор'!$G$16="нет",0,IF(AND('депозитный калькулятор'!$G$17="разовая (в конце срока)",F978='депозитный калькулятор'!$D$8),'депозитный калькулятор'!$G$18,IF(AND('депозитный калькулятор'!$G$17="ежемесячная",EOMONTH(F977,0)=F977),'депозитный калькулятор'!$G$18,IF(AND('депозитный калькулятор'!$G$17="ежегодная",DAY(F977)=31,MONTH(F977)=12),'депозитный калькулятор'!$G$18,IF(AND('депозитный калькулятор'!$G$17="ежемесячная в зависимости от остатка",EOMONTH(F977,0)=F977,P977&gt;0),'депозитный калькулятор'!$G$18,IF(AND('депозитный калькулятор'!$G$17="ежегодная в зависимости от остатка",DAY(F977)=31,MONTH(F977)=12,P977&gt;0),'депозитный калькулятор'!$G$18,0)))))))</f>
        <v xml:space="preserve"> </v>
      </c>
      <c r="K978" s="135" t="str">
        <f>IF($F978=" "," ",IFERROR(VLOOKUP($F978,'депозитный калькулятор'!$B$26:$F$70,2,0),0))</f>
        <v xml:space="preserve"> </v>
      </c>
      <c r="L978" s="135" t="str">
        <f>IF($F978=" "," ",IFERROR(VLOOKUP($F978,'депозитный калькулятор'!$B$26:$F$70,3,0),0))</f>
        <v xml:space="preserve"> </v>
      </c>
      <c r="M978" s="135" t="str">
        <f>IF($F978=" "," ",IFERROR(VLOOKUP($F978,'депозитный калькулятор'!$B$26:$F$70,4,0),0))</f>
        <v xml:space="preserve"> </v>
      </c>
      <c r="N978" s="135" t="str">
        <f>IF($F978=" "," ",IFERROR(VLOOKUP($F978,'депозитный калькулятор'!$B$26:$F$70,5,0),0))</f>
        <v xml:space="preserve"> </v>
      </c>
      <c r="O978" s="146" t="str">
        <f>IF(F978&gt;'депозитный калькулятор'!$D$8," ",IF(F978='депозитный калькулятор'!$D$8,IF(AND($F$24='депозитный калькулятор'!$D$8,'депозитный калькулятор'!$G$13="нет"),-G978-IF(I978=" ",0,I978)-IF(AND(OR('депозитный калькулятор'!$G$7="30/365",'депозитный калькулятор'!$G$7="30/360"),'депозитный калькулятор'!$G$10="в начале срока"),I977,0)-L978+M978-N978,-G978-IF(I978=" ",0,I978)-L978+M978-N978),IF('депозитный калькулятор'!$G$13="есть",M978-N978+IF('депозитный калькулятор'!$G$14="есть",0,-L978),-IF(I978=" ",0,I978)-IF(AND(OR('депозитный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срока"),I977,0)+M978-N978+IF('депозитный калькулятор'!$G$14="есть",0,-L978))))</f>
        <v xml:space="preserve"> </v>
      </c>
      <c r="P978" s="147" t="str">
        <f>IF(F978&gt;'депозитный калькулятор'!$D$8," ",IF(EOMONTH(F977,0)=F977,0,IF(G978&gt;='депозитный калькулятор'!$G$19,P977,P977+1)))</f>
        <v xml:space="preserve"> </v>
      </c>
      <c r="Q978" s="138" t="str">
        <f>IF(F978=" "," ",IF(AND(OR('депозитный калькулятор'!$G$7="30/365",'депозитный калькулятор'!$G$7="30/360"),AND(MONTH(F978)=2,EOMONTH(F978,0)=F978)),IF(DAY(F978)=28,3,2),1)*IF(G978&gt;='депозитный калькулятор'!$G$11,IF(AND('депозитный калькулятор'!$G$7="факт/факт",MOD(YEAR(F978),4)=0),G978*'депозитный калькулятор'!$D$11/366,G978*'депозитный калькулятор'!$G$8),0))</f>
        <v xml:space="preserve"> </v>
      </c>
      <c r="S978" s="62" t="str">
        <f t="shared" ca="1" si="72"/>
        <v xml:space="preserve"> </v>
      </c>
      <c r="T978" s="149" t="str">
        <f ca="1">IF(S978=" "," ",IF('депозитный калькулятор'!$G$7="30/360",DAYS360(U977,IF(DAY(U978)=31,U978-1,U978))+IF(AND(MONTH(U978)=2,U978=EOMONTH(U978,0)),30-DAY(EOMONTH(U978,0)))+T977,VLOOKUP(S978,$C$22:$F$1023,2,0)))</f>
        <v xml:space="preserve"> </v>
      </c>
      <c r="U978" s="64" t="str">
        <f t="shared" ca="1" si="70"/>
        <v xml:space="preserve"> </v>
      </c>
      <c r="V978" s="150" t="str">
        <f t="shared" ca="1" si="73"/>
        <v xml:space="preserve"> </v>
      </c>
      <c r="W978" s="62" t="str">
        <f t="shared" ca="1" si="74"/>
        <v xml:space="preserve"> </v>
      </c>
      <c r="X978" s="141" t="str">
        <f ca="1">IF(S978=" "," ",IFERROR(VLOOKUP(U978,$F$23:$N$1023,7)+VLOOKUP(U978,$F$23:$N$1023,9)+IF(AND('депозитный калькулятор'!$G$13="нет",U978&lt;&gt;'депозитный калькулятор'!$D$8),VLOOKUP(U978,$F$23:$N$1023,4),0),0)+IF(U978='депозитный калькулятор'!$D$8,VLOOKUP(U978,$F$23:$N$1023,2)+VLOOKUP(U978,$F$23:$N$1023,4),0))</f>
        <v xml:space="preserve"> </v>
      </c>
      <c r="Y978" s="142" t="str">
        <f ca="1">IF(S978=" "," ",W978/(1+'депозитный калькулятор'!$K$8)^(T978/IF('депозитный калькулятор'!$G$7="30/360",360,365)))</f>
        <v xml:space="preserve"> </v>
      </c>
      <c r="Z978" s="142" t="str">
        <f ca="1">IF(S978=" "," ",X978/(1+'депозитный калькулятор'!$K$8)^(T978/IF('депозитный калькулятор'!$G$7="30/360",360,365)))</f>
        <v xml:space="preserve"> </v>
      </c>
      <c r="AA978" s="151"/>
      <c r="AB978" s="151"/>
      <c r="AC978" s="155"/>
      <c r="AD978" s="155"/>
    </row>
    <row r="979" spans="1:30" s="2" customFormat="1" ht="15.5" x14ac:dyDescent="0.35">
      <c r="A979" s="41" t="str">
        <f>IF(F979=" "," ",IF(OR('депозитный калькулятор'!$G$7="30/365",'депозитный калькулятор'!$G$7="30/360"),IF(AND(MONTH(F979)=2,DAY(F979)=DAY(EOMONTH(F979,0))),30-DAY(EOMONTH(F979,0)),IF(DAY(F979)=31,1," "))," "))</f>
        <v xml:space="preserve"> </v>
      </c>
      <c r="B979" s="130" t="str">
        <f t="shared" si="71"/>
        <v xml:space="preserve"> </v>
      </c>
      <c r="C979" s="130" t="str">
        <f>IF(OR(B979=0,B979=" ")," ",SUM($B$23:B979))</f>
        <v xml:space="preserve"> </v>
      </c>
      <c r="D979" s="62" t="str">
        <f>IF(D978=" "," ",IF(OR(F978='депозитный калькулятор'!$D$8,F978=" ")," ",D978+1))</f>
        <v xml:space="preserve"> </v>
      </c>
      <c r="E979" s="130" t="str">
        <f>IF(OR(F978='депозитный калькулятор'!$D$8,F978=" ")," ",IF(EOMONTH(F978,0)=F978,1,E978+1))</f>
        <v xml:space="preserve"> </v>
      </c>
      <c r="F979" s="64" t="str">
        <f>IF(F978=" "," ",IF(F978='депозитный калькулятор'!$D$8," ",F978+1))</f>
        <v xml:space="preserve"> </v>
      </c>
      <c r="G979" s="145" t="str">
        <f xml:space="preserve"> IF(F979&gt;'депозитный калькулятор'!$D$8," ",IF('депозитный калькулятор'!$G$13="есть",IF('депозитный калькулятор'!$G$14="есть",G978+IF(I978=" ",0,I978)-J979-K979+L979+M979-N979,G978+IF(I978=" ",0,I978)-J979-K979+M979-N979),IF('депозитный калькулятор'!$G$14="есть",G978-J979-K979+L979+M979-N979,G978-J979-K979+M979-N979)))</f>
        <v xml:space="preserve"> </v>
      </c>
      <c r="H979" s="133" t="str">
        <f>IF(F979&gt;'депозитный калькулятор'!$D$8," ",IF(AND(OR('депозитный калькулятор'!$G$7="30/365",'депозитный калькулятор'!$G$7="30/360"),AND(MONTH(F979)=2,EOMONTH(F979,0)=F979)),IF(DAY(F979)=28,3*G979*'депозитный калькулятор'!$G$8,2*G979*'депозитный калькулятор'!$G$8),IF(AND(OR('депозитный калькулятор'!$G$7="30/365",'депозитный калькулятор'!$G$7="30/360"),DAY(F979)=31)," ",IF(AND('депозитный калькулятор'!$G$7="факт/факт",MOD(YEAR(F979),4)=0),G979*'депозитный калькулятор'!$D$11/366,G979*'депозитный калькулятор'!$G$8))))</f>
        <v xml:space="preserve"> </v>
      </c>
      <c r="I979" s="134" t="str">
        <f ca="1">IF(F979=" "," ",IF('депозитный калькулятор'!$G$10="ежедневное",H979,IF(AND('депозитный калькулятор'!$G$10="еженедельное",WEEKDAY(F979,2)=7),SUM(OFFSET(H979,-6,0):H979),IF(AND('депозитный калькулятор'!$G$10="еженедельное",F979='депозитный калькулятор'!$D$8),SUM($H$23:H979)-SUM($I$23:I978),IF(AND('депозитный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недели",WEEKDAY(F979,2)=7),MIN(OFFSET(H979,-6,0):H979)*(COUNTIF(OFFSET(H979,-6,0):H979,"&gt;0")+SUMIF(OFFSET(A979,-WEEKDAY(F979,2),0):A979,"=2",OFFSET(A979,-WEEKDAY(F979,2),0):A979)),IF(AND('депозитный калькулятор'!$G$10="еженедельное, на минимальную сумму зафиксированную в течение недели",F979='депозитный калькулятор'!$D$8,WEEKDAY(F979,2)&lt;&gt;7),MIN(OFFSET(H979,-WEEKDAY(F979,2),0):H979)*(COUNTIF(OFFSET(H979,-WEEKDAY(F979,2)+1,0):H979,"&gt;0")+SUM(OFFSET(A979,-WEEKDAY(F979,2),0):A979)),IF(AND('депозитный калькулятор'!$G$10="ежемесячное (в конце месяца)",F979='депозитный калькулятор'!$D$8,EOMONTH(F979,0)&lt;&gt;F979),IF('депозитный калькулятор'!$F$1=1,$H$24,SUM($H$23:H979)-SUM($I$23:I978)),IF(AND('депозитный калькулятор'!$G$10="ежемесячное (в конце месяца)",EOMONTH(F979,0)=F979),SUM($H$23:H979)-SUM($I$23:I978),IF(AND('депозитный калькулятор'!$G$10="ежемесячное (по дням открытия вклада)",F979='депозитный калькулятор'!$D$8,DAY('депозитный калькулятор'!$D$7)&lt;&gt;DAY(F979)),IF('депозитный калькулятор'!$F$1=1,$H$24,SUM($H$23:H979)-SUM($I$23:I978)),IF(AND('депозитный калькулятор'!$G$10="ежемесячное (по дням открытия вклада)",DAY('депозитный калькулятор'!$D$7)=DAY(F979)),SUM($H$23:H979)-SUM($I$23:I978),IF(AND('депозитный калькулятор'!$G$10="ежемесячное, на минимальную сумму зафиксированную в течение месяца",F979='депозитный калькулятор'!$D$8,EOMONTH(F979,0)&lt;&gt;F979),IF('депозитный калькулятор'!$F$1=1,$H$24,IF(AND(OR('депозитный калькулятор'!$G$7="30/365",'депозитный калькулятор'!$G$7="30/360"),DAY(F979)=31),0,MIN(OFFSET(H979,-E979+1,0):H979)*(E979+SUMIF(OFFSET(A979,-E979+1,0):A979,"=2",OFFSET(A979,-E979+1,0):A979)))),IF(AND('депозитный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калькулятор'!$G$7="30/360"),DAY(EOMONTH(F979,0))=31),EOMONTH(F979,0)-1=F979,EOMONTH(F979,0)=F979)),IF(IF(AND(OR('депозитный калькулятор'!$G$7="30/365",'депозитный калькулятор'!$G$7="30/360"),DAY(EOMONTH($F$23,0))=31),F979=EOMONTH($F$23,0)-1,F979=EOMONTH($F$23,0)),MIN(OFFSET(H979,-(DAY(F979)-DAY($F$23)),0):H979)*E979,MIN(OFFSET(H979,-(DAY(F979)-1),0):H979)*IF(AND(OR('депозитный калькулятор'!$G$7="30/365",'депозитный калькулятор'!$G$7="30/360"),DAY(F979)&lt;30),30,DAY(F979))),IF(AND('депозитный калькулятор'!$G$10="ежемесячное, на средний остаток в течение месяца, при условии что остаток больше чем ограничение",F979='депозитный калькулятор'!$D$8,EOMONTH(F979,0)&lt;&gt;F979),IF('депозитный калькулятор'!$F$1=1,$H$24,SUM(OFFSET(Q979,-E979+1,0):Q979)),IF(AND('депозитный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калькулятор'!$G$7="30/360"),DAY(EOMONTH(F979,0))=31),EOMONTH(F979,0)-1=F979,EOMONTH(F979,0)=F979)),IF(IF(AND(OR('депозитный калькулятор'!$G$7="30/365",'депозитный калькулятор'!$G$7="30/360"),DAY(EOMONTH($F$24,0))=31),F979=EOMONTH($F$24,0)-1,F979=EOMONTH($F$24,0)),SUM(OFFSET(Q979,-E979+1,0):Q979),SUM(OFFSET(Q979,-E979+1,0):Q979)),IF('депозитный калькулятор'!$G$10="ежеквартальное",IF(F979&gt;'депозитный калькулятор'!$D$8," ",IF(AND(EOMONTH(F979,0)=F979,OR(MONTH(F979)=3,MONTH(F979)=6,MONTH(F979)=9,MONTH(F979)=12)),IF(EDATE(F979,-3)&lt;'депозитный калькулятор'!$D$7,SUM($H$23:H979),IF(MOD(YEAR(F979),4)=0,IF(AND(EOMONTH(F979,0)=F979,OR(MONTH(F979)=3,MONTH(F979)=6)),SUM(OFFSET(H979,-90,0):H979),IF(AND(EOMONTH(F979,0)=F979,OR(MONTH(F979)=9,MONTH(F979)=12)),SUM(OFFSET(H979,-91,0):H979))),IF(AND(EOMONTH(F979,0)=F979,MONTH(F979)=3),SUM(OFFSET(H979,-89,0):H979),IF(AND(EOMONTH(F979,0)=F979,MONTH(F979)=6),SUM(OFFSET(H979,-90,0):H979),IF(AND(EOMONTH(F979,0)=F979,OR(MONTH(F979)=9,MONTH(F979)=12)),SUM(OFFSET(H979,-91,0):H979)))))),IF(F979='депозитный калькулятор'!$D$8,SUM($H$23:H979)-SUM($I$23:I978),0))),IF('депозитный калькулятор'!$G$10="ежегодное",IF(F979&gt;'депозитный калькулятор'!$D$8," ",IF(F979='депозитный калькулятор'!$D$8,SUM($H$23:H979)-SUM($I$23:I978),IF(AND(EOMONTH(F979,0)=F979,MONTH(F979)=12),IF(MOD(YEAR(F978),4)=0,IF(F979-'депозитный калькулятор'!$D$7&lt;366,SUM($H$23:H979),SUM(OFFSET(H979,-365,0):H979)),IF(F979-'депозитный калькулятор'!$D$7&lt;365,SUM($H$23:H979),SUM(OFFSET(H979,-364,0):H979))),0))),IF(AND('депозитный калькулятор'!$G$10="в конце срока",'депозитный калькулятор'!$D$8=F979),SUM($H$23:H979),0))))))))))))))))))</f>
        <v xml:space="preserve"> </v>
      </c>
      <c r="J979" s="59" t="str">
        <f>IF(F979&gt;'депозитный калькулятор'!$D$8," ",IF('депозитный калькулятор'!$G$16="нет",0,IF(AND('депозитный калькулятор'!$G$17="разовая (в конце срока)",F979='депозитный калькулятор'!$D$8),'депозитный калькулятор'!$G$18,IF(AND('депозитный калькулятор'!$G$17="ежемесячная",EOMONTH(F978,0)=F978),'депозитный калькулятор'!$G$18,IF(AND('депозитный калькулятор'!$G$17="ежегодная",DAY(F978)=31,MONTH(F978)=12),'депозитный калькулятор'!$G$18,IF(AND('депозитный калькулятор'!$G$17="ежемесячная в зависимости от остатка",EOMONTH(F978,0)=F978,P978&gt;0),'депозитный калькулятор'!$G$18,IF(AND('депозитный калькулятор'!$G$17="ежегодная в зависимости от остатка",DAY(F978)=31,MONTH(F978)=12,P978&gt;0),'депозитный калькулятор'!$G$18,0)))))))</f>
        <v xml:space="preserve"> </v>
      </c>
      <c r="K979" s="135" t="str">
        <f>IF($F979=" "," ",IFERROR(VLOOKUP($F979,'депозитный калькулятор'!$B$26:$F$70,2,0),0))</f>
        <v xml:space="preserve"> </v>
      </c>
      <c r="L979" s="135" t="str">
        <f>IF($F979=" "," ",IFERROR(VLOOKUP($F979,'депозитный калькулятор'!$B$26:$F$70,3,0),0))</f>
        <v xml:space="preserve"> </v>
      </c>
      <c r="M979" s="135" t="str">
        <f>IF($F979=" "," ",IFERROR(VLOOKUP($F979,'депозитный калькулятор'!$B$26:$F$70,4,0),0))</f>
        <v xml:space="preserve"> </v>
      </c>
      <c r="N979" s="135" t="str">
        <f>IF($F979=" "," ",IFERROR(VLOOKUP($F979,'депозитный калькулятор'!$B$26:$F$70,5,0),0))</f>
        <v xml:space="preserve"> </v>
      </c>
      <c r="O979" s="146" t="str">
        <f>IF(F979&gt;'депозитный калькулятор'!$D$8," ",IF(F979='депозитный калькулятор'!$D$8,IF(AND($F$24='депозитный калькулятор'!$D$8,'депозитный калькулятор'!$G$13="нет"),-G979-IF(I979=" ",0,I979)-IF(AND(OR('депозитный калькулятор'!$G$7="30/365",'депозитный калькулятор'!$G$7="30/360"),'депозитный калькулятор'!$G$10="в начале срока"),I978,0)-L979+M979-N979,-G979-IF(I979=" ",0,I979)-L979+M979-N979),IF('депозитный калькулятор'!$G$13="есть",M979-N979+IF('депозитный калькулятор'!$G$14="есть",0,-L979),-IF(I979=" ",0,I979)-IF(AND(OR('депозитный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срока"),I978,0)+M979-N979+IF('депозитный калькулятор'!$G$14="есть",0,-L979))))</f>
        <v xml:space="preserve"> </v>
      </c>
      <c r="P979" s="147" t="str">
        <f>IF(F979&gt;'депозитный калькулятор'!$D$8," ",IF(EOMONTH(F978,0)=F978,0,IF(G979&gt;='депозитный калькулятор'!$G$19,P978,P978+1)))</f>
        <v xml:space="preserve"> </v>
      </c>
      <c r="Q979" s="138" t="str">
        <f>IF(F979=" "," ",IF(AND(OR('депозитный калькулятор'!$G$7="30/365",'депозитный калькулятор'!$G$7="30/360"),AND(MONTH(F979)=2,EOMONTH(F979,0)=F979)),IF(DAY(F979)=28,3,2),1)*IF(G979&gt;='депозитный калькулятор'!$G$11,IF(AND('депозитный калькулятор'!$G$7="факт/факт",MOD(YEAR(F979),4)=0),G979*'депозитный калькулятор'!$D$11/366,G979*'депозитный калькулятор'!$G$8),0))</f>
        <v xml:space="preserve"> </v>
      </c>
      <c r="S979" s="62" t="str">
        <f t="shared" ca="1" si="72"/>
        <v xml:space="preserve"> </v>
      </c>
      <c r="T979" s="149" t="str">
        <f ca="1">IF(S979=" "," ",IF('депозитный калькулятор'!$G$7="30/360",DAYS360(U978,IF(DAY(U979)=31,U979-1,U979))+IF(AND(MONTH(U979)=2,U979=EOMONTH(U979,0)),30-DAY(EOMONTH(U979,0)))+T978,VLOOKUP(S979,$C$22:$F$1023,2,0)))</f>
        <v xml:space="preserve"> </v>
      </c>
      <c r="U979" s="64" t="str">
        <f t="shared" ca="1" si="70"/>
        <v xml:space="preserve"> </v>
      </c>
      <c r="V979" s="150" t="str">
        <f t="shared" ca="1" si="73"/>
        <v xml:space="preserve"> </v>
      </c>
      <c r="W979" s="62" t="str">
        <f t="shared" ca="1" si="74"/>
        <v xml:space="preserve"> </v>
      </c>
      <c r="X979" s="141" t="str">
        <f ca="1">IF(S979=" "," ",IFERROR(VLOOKUP(U979,$F$23:$N$1023,7)+VLOOKUP(U979,$F$23:$N$1023,9)+IF(AND('депозитный калькулятор'!$G$13="нет",U979&lt;&gt;'депозитный калькулятор'!$D$8),VLOOKUP(U979,$F$23:$N$1023,4),0),0)+IF(U979='депозитный калькулятор'!$D$8,VLOOKUP(U979,$F$23:$N$1023,2)+VLOOKUP(U979,$F$23:$N$1023,4),0))</f>
        <v xml:space="preserve"> </v>
      </c>
      <c r="Y979" s="142" t="str">
        <f ca="1">IF(S979=" "," ",W979/(1+'депозитный калькулятор'!$K$8)^(T979/IF('депозитный калькулятор'!$G$7="30/360",360,365)))</f>
        <v xml:space="preserve"> </v>
      </c>
      <c r="Z979" s="142" t="str">
        <f ca="1">IF(S979=" "," ",X979/(1+'депозитный калькулятор'!$K$8)^(T979/IF('депозитный калькулятор'!$G$7="30/360",360,365)))</f>
        <v xml:space="preserve"> </v>
      </c>
      <c r="AA979" s="151"/>
      <c r="AB979" s="151"/>
      <c r="AC979" s="155"/>
      <c r="AD979" s="155"/>
    </row>
    <row r="980" spans="1:30" s="2" customFormat="1" ht="15.5" x14ac:dyDescent="0.35">
      <c r="A980" s="41" t="str">
        <f>IF(F980=" "," ",IF(OR('депозитный калькулятор'!$G$7="30/365",'депозитный калькулятор'!$G$7="30/360"),IF(AND(MONTH(F980)=2,DAY(F980)=DAY(EOMONTH(F980,0))),30-DAY(EOMONTH(F980,0)),IF(DAY(F980)=31,1," "))," "))</f>
        <v xml:space="preserve"> </v>
      </c>
      <c r="B980" s="130" t="str">
        <f t="shared" si="71"/>
        <v xml:space="preserve"> </v>
      </c>
      <c r="C980" s="130" t="str">
        <f>IF(OR(B980=0,B980=" ")," ",SUM($B$23:B980))</f>
        <v xml:space="preserve"> </v>
      </c>
      <c r="D980" s="62" t="str">
        <f>IF(D979=" "," ",IF(OR(F979='депозитный калькулятор'!$D$8,F979=" ")," ",D979+1))</f>
        <v xml:space="preserve"> </v>
      </c>
      <c r="E980" s="130" t="str">
        <f>IF(OR(F979='депозитный калькулятор'!$D$8,F979=" ")," ",IF(EOMONTH(F979,0)=F979,1,E979+1))</f>
        <v xml:space="preserve"> </v>
      </c>
      <c r="F980" s="64" t="str">
        <f>IF(F979=" "," ",IF(F979='депозитный калькулятор'!$D$8," ",F979+1))</f>
        <v xml:space="preserve"> </v>
      </c>
      <c r="G980" s="145" t="str">
        <f xml:space="preserve"> IF(F980&gt;'депозитный калькулятор'!$D$8," ",IF('депозитный калькулятор'!$G$13="есть",IF('депозитный калькулятор'!$G$14="есть",G979+IF(I979=" ",0,I979)-J980-K980+L980+M980-N980,G979+IF(I979=" ",0,I979)-J980-K980+M980-N980),IF('депозитный калькулятор'!$G$14="есть",G979-J980-K980+L980+M980-N980,G979-J980-K980+M980-N980)))</f>
        <v xml:space="preserve"> </v>
      </c>
      <c r="H980" s="133" t="str">
        <f>IF(F980&gt;'депозитный калькулятор'!$D$8," ",IF(AND(OR('депозитный калькулятор'!$G$7="30/365",'депозитный калькулятор'!$G$7="30/360"),AND(MONTH(F980)=2,EOMONTH(F980,0)=F980)),IF(DAY(F980)=28,3*G980*'депозитный калькулятор'!$G$8,2*G980*'депозитный калькулятор'!$G$8),IF(AND(OR('депозитный калькулятор'!$G$7="30/365",'депозитный калькулятор'!$G$7="30/360"),DAY(F980)=31)," ",IF(AND('депозитный калькулятор'!$G$7="факт/факт",MOD(YEAR(F980),4)=0),G980*'депозитный калькулятор'!$D$11/366,G980*'депозитный калькулятор'!$G$8))))</f>
        <v xml:space="preserve"> </v>
      </c>
      <c r="I980" s="134" t="str">
        <f ca="1">IF(F980=" "," ",IF('депозитный калькулятор'!$G$10="ежедневное",H980,IF(AND('депозитный калькулятор'!$G$10="еженедельное",WEEKDAY(F980,2)=7),SUM(OFFSET(H980,-6,0):H980),IF(AND('депозитный калькулятор'!$G$10="еженедельное",F980='депозитный калькулятор'!$D$8),SUM($H$23:H980)-SUM($I$23:I979),IF(AND('депозитный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недели",WEEKDAY(F980,2)=7),MIN(OFFSET(H980,-6,0):H980)*(COUNTIF(OFFSET(H980,-6,0):H980,"&gt;0")+SUMIF(OFFSET(A980,-WEEKDAY(F980,2),0):A980,"=2",OFFSET(A980,-WEEKDAY(F980,2),0):A980)),IF(AND('депозитный калькулятор'!$G$10="еженедельное, на минимальную сумму зафиксированную в течение недели",F980='депозитный калькулятор'!$D$8,WEEKDAY(F980,2)&lt;&gt;7),MIN(OFFSET(H980,-WEEKDAY(F980,2),0):H980)*(COUNTIF(OFFSET(H980,-WEEKDAY(F980,2)+1,0):H980,"&gt;0")+SUM(OFFSET(A980,-WEEKDAY(F980,2),0):A980)),IF(AND('депозитный калькулятор'!$G$10="ежемесячное (в конце месяца)",F980='депозитный калькулятор'!$D$8,EOMONTH(F980,0)&lt;&gt;F980),IF('депозитный калькулятор'!$F$1=1,$H$24,SUM($H$23:H980)-SUM($I$23:I979)),IF(AND('депозитный калькулятор'!$G$10="ежемесячное (в конце месяца)",EOMONTH(F980,0)=F980),SUM($H$23:H980)-SUM($I$23:I979),IF(AND('депозитный калькулятор'!$G$10="ежемесячное (по дням открытия вклада)",F980='депозитный калькулятор'!$D$8,DAY('депозитный калькулятор'!$D$7)&lt;&gt;DAY(F980)),IF('депозитный калькулятор'!$F$1=1,$H$24,SUM($H$23:H980)-SUM($I$23:I979)),IF(AND('депозитный калькулятор'!$G$10="ежемесячное (по дням открытия вклада)",DAY('депозитный калькулятор'!$D$7)=DAY(F980)),SUM($H$23:H980)-SUM($I$23:I979),IF(AND('депозитный калькулятор'!$G$10="ежемесячное, на минимальную сумму зафиксированную в течение месяца",F980='депозитный калькулятор'!$D$8,EOMONTH(F980,0)&lt;&gt;F980),IF('депозитный калькулятор'!$F$1=1,$H$24,IF(AND(OR('депозитный калькулятор'!$G$7="30/365",'депозитный калькулятор'!$G$7="30/360"),DAY(F980)=31),0,MIN(OFFSET(H980,-E980+1,0):H980)*(E980+SUMIF(OFFSET(A980,-E980+1,0):A980,"=2",OFFSET(A980,-E980+1,0):A980)))),IF(AND('депозитный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калькулятор'!$G$7="30/360"),DAY(EOMONTH(F980,0))=31),EOMONTH(F980,0)-1=F980,EOMONTH(F980,0)=F980)),IF(IF(AND(OR('депозитный калькулятор'!$G$7="30/365",'депозитный калькулятор'!$G$7="30/360"),DAY(EOMONTH($F$23,0))=31),F980=EOMONTH($F$23,0)-1,F980=EOMONTH($F$23,0)),MIN(OFFSET(H980,-(DAY(F980)-DAY($F$23)),0):H980)*E980,MIN(OFFSET(H980,-(DAY(F980)-1),0):H980)*IF(AND(OR('депозитный калькулятор'!$G$7="30/365",'депозитный калькулятор'!$G$7="30/360"),DAY(F980)&lt;30),30,DAY(F980))),IF(AND('депозитный калькулятор'!$G$10="ежемесячное, на средний остаток в течение месяца, при условии что остаток больше чем ограничение",F980='депозитный калькулятор'!$D$8,EOMONTH(F980,0)&lt;&gt;F980),IF('депозитный калькулятор'!$F$1=1,$H$24,SUM(OFFSET(Q980,-E980+1,0):Q980)),IF(AND('депозитный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калькулятор'!$G$7="30/360"),DAY(EOMONTH(F980,0))=31),EOMONTH(F980,0)-1=F980,EOMONTH(F980,0)=F980)),IF(IF(AND(OR('депозитный калькулятор'!$G$7="30/365",'депозитный калькулятор'!$G$7="30/360"),DAY(EOMONTH($F$24,0))=31),F980=EOMONTH($F$24,0)-1,F980=EOMONTH($F$24,0)),SUM(OFFSET(Q980,-E980+1,0):Q980),SUM(OFFSET(Q980,-E980+1,0):Q980)),IF('депозитный калькулятор'!$G$10="ежеквартальное",IF(F980&gt;'депозитный калькулятор'!$D$8," ",IF(AND(EOMONTH(F980,0)=F980,OR(MONTH(F980)=3,MONTH(F980)=6,MONTH(F980)=9,MONTH(F980)=12)),IF(EDATE(F980,-3)&lt;'депозитный калькулятор'!$D$7,SUM($H$23:H980),IF(MOD(YEAR(F980),4)=0,IF(AND(EOMONTH(F980,0)=F980,OR(MONTH(F980)=3,MONTH(F980)=6)),SUM(OFFSET(H980,-90,0):H980),IF(AND(EOMONTH(F980,0)=F980,OR(MONTH(F980)=9,MONTH(F980)=12)),SUM(OFFSET(H980,-91,0):H980))),IF(AND(EOMONTH(F980,0)=F980,MONTH(F980)=3),SUM(OFFSET(H980,-89,0):H980),IF(AND(EOMONTH(F980,0)=F980,MONTH(F980)=6),SUM(OFFSET(H980,-90,0):H980),IF(AND(EOMONTH(F980,0)=F980,OR(MONTH(F980)=9,MONTH(F980)=12)),SUM(OFFSET(H980,-91,0):H980)))))),IF(F980='депозитный калькулятор'!$D$8,SUM($H$23:H980)-SUM($I$23:I979),0))),IF('депозитный калькулятор'!$G$10="ежегодное",IF(F980&gt;'депозитный калькулятор'!$D$8," ",IF(F980='депозитный калькулятор'!$D$8,SUM($H$23:H980)-SUM($I$23:I979),IF(AND(EOMONTH(F980,0)=F980,MONTH(F980)=12),IF(MOD(YEAR(F979),4)=0,IF(F980-'депозитный калькулятор'!$D$7&lt;366,SUM($H$23:H980),SUM(OFFSET(H980,-365,0):H980)),IF(F980-'депозитный калькулятор'!$D$7&lt;365,SUM($H$23:H980),SUM(OFFSET(H980,-364,0):H980))),0))),IF(AND('депозитный калькулятор'!$G$10="в конце срока",'депозитный калькулятор'!$D$8=F980),SUM($H$23:H980),0))))))))))))))))))</f>
        <v xml:space="preserve"> </v>
      </c>
      <c r="J980" s="59" t="str">
        <f>IF(F980&gt;'депозитный калькулятор'!$D$8," ",IF('депозитный калькулятор'!$G$16="нет",0,IF(AND('депозитный калькулятор'!$G$17="разовая (в конце срока)",F980='депозитный калькулятор'!$D$8),'депозитный калькулятор'!$G$18,IF(AND('депозитный калькулятор'!$G$17="ежемесячная",EOMONTH(F979,0)=F979),'депозитный калькулятор'!$G$18,IF(AND('депозитный калькулятор'!$G$17="ежегодная",DAY(F979)=31,MONTH(F979)=12),'депозитный калькулятор'!$G$18,IF(AND('депозитный калькулятор'!$G$17="ежемесячная в зависимости от остатка",EOMONTH(F979,0)=F979,P979&gt;0),'депозитный калькулятор'!$G$18,IF(AND('депозитный калькулятор'!$G$17="ежегодная в зависимости от остатка",DAY(F979)=31,MONTH(F979)=12,P979&gt;0),'депозитный калькулятор'!$G$18,0)))))))</f>
        <v xml:space="preserve"> </v>
      </c>
      <c r="K980" s="135" t="str">
        <f>IF($F980=" "," ",IFERROR(VLOOKUP($F980,'депозитный калькулятор'!$B$26:$F$70,2,0),0))</f>
        <v xml:space="preserve"> </v>
      </c>
      <c r="L980" s="135" t="str">
        <f>IF($F980=" "," ",IFERROR(VLOOKUP($F980,'депозитный калькулятор'!$B$26:$F$70,3,0),0))</f>
        <v xml:space="preserve"> </v>
      </c>
      <c r="M980" s="135" t="str">
        <f>IF($F980=" "," ",IFERROR(VLOOKUP($F980,'депозитный калькулятор'!$B$26:$F$70,4,0),0))</f>
        <v xml:space="preserve"> </v>
      </c>
      <c r="N980" s="135" t="str">
        <f>IF($F980=" "," ",IFERROR(VLOOKUP($F980,'депозитный калькулятор'!$B$26:$F$70,5,0),0))</f>
        <v xml:space="preserve"> </v>
      </c>
      <c r="O980" s="146" t="str">
        <f>IF(F980&gt;'депозитный калькулятор'!$D$8," ",IF(F980='депозитный калькулятор'!$D$8,IF(AND($F$24='депозитный калькулятор'!$D$8,'депозитный калькулятор'!$G$13="нет"),-G980-IF(I980=" ",0,I980)-IF(AND(OR('депозитный калькулятор'!$G$7="30/365",'депозитный калькулятор'!$G$7="30/360"),'депозитный калькулятор'!$G$10="в начале срока"),I979,0)-L980+M980-N980,-G980-IF(I980=" ",0,I980)-L980+M980-N980),IF('депозитный калькулятор'!$G$13="есть",M980-N980+IF('депозитный калькулятор'!$G$14="есть",0,-L980),-IF(I980=" ",0,I980)-IF(AND(OR('депозитный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срока"),I979,0)+M980-N980+IF('депозитный калькулятор'!$G$14="есть",0,-L980))))</f>
        <v xml:space="preserve"> </v>
      </c>
      <c r="P980" s="147" t="str">
        <f>IF(F980&gt;'депозитный калькулятор'!$D$8," ",IF(EOMONTH(F979,0)=F979,0,IF(G980&gt;='депозитный калькулятор'!$G$19,P979,P979+1)))</f>
        <v xml:space="preserve"> </v>
      </c>
      <c r="Q980" s="138" t="str">
        <f>IF(F980=" "," ",IF(AND(OR('депозитный калькулятор'!$G$7="30/365",'депозитный калькулятор'!$G$7="30/360"),AND(MONTH(F980)=2,EOMONTH(F980,0)=F980)),IF(DAY(F980)=28,3,2),1)*IF(G980&gt;='депозитный калькулятор'!$G$11,IF(AND('депозитный калькулятор'!$G$7="факт/факт",MOD(YEAR(F980),4)=0),G980*'депозитный калькулятор'!$D$11/366,G980*'депозитный калькулятор'!$G$8),0))</f>
        <v xml:space="preserve"> </v>
      </c>
      <c r="S980" s="62" t="str">
        <f t="shared" ca="1" si="72"/>
        <v xml:space="preserve"> </v>
      </c>
      <c r="T980" s="149" t="str">
        <f ca="1">IF(S980=" "," ",IF('депозитный калькулятор'!$G$7="30/360",DAYS360(U979,IF(DAY(U980)=31,U980-1,U980))+IF(AND(MONTH(U980)=2,U980=EOMONTH(U980,0)),30-DAY(EOMONTH(U980,0)))+T979,VLOOKUP(S980,$C$22:$F$1023,2,0)))</f>
        <v xml:space="preserve"> </v>
      </c>
      <c r="U980" s="64" t="str">
        <f t="shared" ca="1" si="70"/>
        <v xml:space="preserve"> </v>
      </c>
      <c r="V980" s="150" t="str">
        <f t="shared" ca="1" si="73"/>
        <v xml:space="preserve"> </v>
      </c>
      <c r="W980" s="62" t="str">
        <f t="shared" ca="1" si="74"/>
        <v xml:space="preserve"> </v>
      </c>
      <c r="X980" s="141" t="str">
        <f ca="1">IF(S980=" "," ",IFERROR(VLOOKUP(U980,$F$23:$N$1023,7)+VLOOKUP(U980,$F$23:$N$1023,9)+IF(AND('депозитный калькулятор'!$G$13="нет",U980&lt;&gt;'депозитный калькулятор'!$D$8),VLOOKUP(U980,$F$23:$N$1023,4),0),0)+IF(U980='депозитный калькулятор'!$D$8,VLOOKUP(U980,$F$23:$N$1023,2)+VLOOKUP(U980,$F$23:$N$1023,4),0))</f>
        <v xml:space="preserve"> </v>
      </c>
      <c r="Y980" s="142" t="str">
        <f ca="1">IF(S980=" "," ",W980/(1+'депозитный калькулятор'!$K$8)^(T980/IF('депозитный калькулятор'!$G$7="30/360",360,365)))</f>
        <v xml:space="preserve"> </v>
      </c>
      <c r="Z980" s="142" t="str">
        <f ca="1">IF(S980=" "," ",X980/(1+'депозитный калькулятор'!$K$8)^(T980/IF('депозитный калькулятор'!$G$7="30/360",360,365)))</f>
        <v xml:space="preserve"> </v>
      </c>
      <c r="AA980" s="151"/>
      <c r="AB980" s="151"/>
      <c r="AC980" s="155"/>
      <c r="AD980" s="155"/>
    </row>
    <row r="981" spans="1:30" s="2" customFormat="1" ht="15.5" x14ac:dyDescent="0.35">
      <c r="A981" s="41" t="str">
        <f>IF(F981=" "," ",IF(OR('депозитный калькулятор'!$G$7="30/365",'депозитный калькулятор'!$G$7="30/360"),IF(AND(MONTH(F981)=2,DAY(F981)=DAY(EOMONTH(F981,0))),30-DAY(EOMONTH(F981,0)),IF(DAY(F981)=31,1," "))," "))</f>
        <v xml:space="preserve"> </v>
      </c>
      <c r="B981" s="130" t="str">
        <f t="shared" si="71"/>
        <v xml:space="preserve"> </v>
      </c>
      <c r="C981" s="130" t="str">
        <f>IF(OR(B981=0,B981=" ")," ",SUM($B$23:B981))</f>
        <v xml:space="preserve"> </v>
      </c>
      <c r="D981" s="62" t="str">
        <f>IF(D980=" "," ",IF(OR(F980='депозитный калькулятор'!$D$8,F980=" ")," ",D980+1))</f>
        <v xml:space="preserve"> </v>
      </c>
      <c r="E981" s="130" t="str">
        <f>IF(OR(F980='депозитный калькулятор'!$D$8,F980=" ")," ",IF(EOMONTH(F980,0)=F980,1,E980+1))</f>
        <v xml:space="preserve"> </v>
      </c>
      <c r="F981" s="64" t="str">
        <f>IF(F980=" "," ",IF(F980='депозитный калькулятор'!$D$8," ",F980+1))</f>
        <v xml:space="preserve"> </v>
      </c>
      <c r="G981" s="145" t="str">
        <f xml:space="preserve"> IF(F981&gt;'депозитный калькулятор'!$D$8," ",IF('депозитный калькулятор'!$G$13="есть",IF('депозитный калькулятор'!$G$14="есть",G980+IF(I980=" ",0,I980)-J981-K981+L981+M981-N981,G980+IF(I980=" ",0,I980)-J981-K981+M981-N981),IF('депозитный калькулятор'!$G$14="есть",G980-J981-K981+L981+M981-N981,G980-J981-K981+M981-N981)))</f>
        <v xml:space="preserve"> </v>
      </c>
      <c r="H981" s="133" t="str">
        <f>IF(F981&gt;'депозитный калькулятор'!$D$8," ",IF(AND(OR('депозитный калькулятор'!$G$7="30/365",'депозитный калькулятор'!$G$7="30/360"),AND(MONTH(F981)=2,EOMONTH(F981,0)=F981)),IF(DAY(F981)=28,3*G981*'депозитный калькулятор'!$G$8,2*G981*'депозитный калькулятор'!$G$8),IF(AND(OR('депозитный калькулятор'!$G$7="30/365",'депозитный калькулятор'!$G$7="30/360"),DAY(F981)=31)," ",IF(AND('депозитный калькулятор'!$G$7="факт/факт",MOD(YEAR(F981),4)=0),G981*'депозитный калькулятор'!$D$11/366,G981*'депозитный калькулятор'!$G$8))))</f>
        <v xml:space="preserve"> </v>
      </c>
      <c r="I981" s="134" t="str">
        <f ca="1">IF(F981=" "," ",IF('депозитный калькулятор'!$G$10="ежедневное",H981,IF(AND('депозитный калькулятор'!$G$10="еженедельное",WEEKDAY(F981,2)=7),SUM(OFFSET(H981,-6,0):H981),IF(AND('депозитный калькулятор'!$G$10="еженедельное",F981='депозитный калькулятор'!$D$8),SUM($H$23:H981)-SUM($I$23:I980),IF(AND('депозитный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недели",WEEKDAY(F981,2)=7),MIN(OFFSET(H981,-6,0):H981)*(COUNTIF(OFFSET(H981,-6,0):H981,"&gt;0")+SUMIF(OFFSET(A981,-WEEKDAY(F981,2),0):A981,"=2",OFFSET(A981,-WEEKDAY(F981,2),0):A981)),IF(AND('депозитный калькулятор'!$G$10="еженедельное, на минимальную сумму зафиксированную в течение недели",F981='депозитный калькулятор'!$D$8,WEEKDAY(F981,2)&lt;&gt;7),MIN(OFFSET(H981,-WEEKDAY(F981,2),0):H981)*(COUNTIF(OFFSET(H981,-WEEKDAY(F981,2)+1,0):H981,"&gt;0")+SUM(OFFSET(A981,-WEEKDAY(F981,2),0):A981)),IF(AND('депозитный калькулятор'!$G$10="ежемесячное (в конце месяца)",F981='депозитный калькулятор'!$D$8,EOMONTH(F981,0)&lt;&gt;F981),IF('депозитный калькулятор'!$F$1=1,$H$24,SUM($H$23:H981)-SUM($I$23:I980)),IF(AND('депозитный калькулятор'!$G$10="ежемесячное (в конце месяца)",EOMONTH(F981,0)=F981),SUM($H$23:H981)-SUM($I$23:I980),IF(AND('депозитный калькулятор'!$G$10="ежемесячное (по дням открытия вклада)",F981='депозитный калькулятор'!$D$8,DAY('депозитный калькулятор'!$D$7)&lt;&gt;DAY(F981)),IF('депозитный калькулятор'!$F$1=1,$H$24,SUM($H$23:H981)-SUM($I$23:I980)),IF(AND('депозитный калькулятор'!$G$10="ежемесячное (по дням открытия вклада)",DAY('депозитный калькулятор'!$D$7)=DAY(F981)),SUM($H$23:H981)-SUM($I$23:I980),IF(AND('депозитный калькулятор'!$G$10="ежемесячное, на минимальную сумму зафиксированную в течение месяца",F981='депозитный калькулятор'!$D$8,EOMONTH(F981,0)&lt;&gt;F981),IF('депозитный калькулятор'!$F$1=1,$H$24,IF(AND(OR('депозитный калькулятор'!$G$7="30/365",'депозитный калькулятор'!$G$7="30/360"),DAY(F981)=31),0,MIN(OFFSET(H981,-E981+1,0):H981)*(E981+SUMIF(OFFSET(A981,-E981+1,0):A981,"=2",OFFSET(A981,-E981+1,0):A981)))),IF(AND('депозитный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калькулятор'!$G$7="30/360"),DAY(EOMONTH(F981,0))=31),EOMONTH(F981,0)-1=F981,EOMONTH(F981,0)=F981)),IF(IF(AND(OR('депозитный калькулятор'!$G$7="30/365",'депозитный калькулятор'!$G$7="30/360"),DAY(EOMONTH($F$23,0))=31),F981=EOMONTH($F$23,0)-1,F981=EOMONTH($F$23,0)),MIN(OFFSET(H981,-(DAY(F981)-DAY($F$23)),0):H981)*E981,MIN(OFFSET(H981,-(DAY(F981)-1),0):H981)*IF(AND(OR('депозитный калькулятор'!$G$7="30/365",'депозитный калькулятор'!$G$7="30/360"),DAY(F981)&lt;30),30,DAY(F981))),IF(AND('депозитный калькулятор'!$G$10="ежемесячное, на средний остаток в течение месяца, при условии что остаток больше чем ограничение",F981='депозитный калькулятор'!$D$8,EOMONTH(F981,0)&lt;&gt;F981),IF('депозитный калькулятор'!$F$1=1,$H$24,SUM(OFFSET(Q981,-E981+1,0):Q981)),IF(AND('депозитный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калькулятор'!$G$7="30/360"),DAY(EOMONTH(F981,0))=31),EOMONTH(F981,0)-1=F981,EOMONTH(F981,0)=F981)),IF(IF(AND(OR('депозитный калькулятор'!$G$7="30/365",'депозитный калькулятор'!$G$7="30/360"),DAY(EOMONTH($F$24,0))=31),F981=EOMONTH($F$24,0)-1,F981=EOMONTH($F$24,0)),SUM(OFFSET(Q981,-E981+1,0):Q981),SUM(OFFSET(Q981,-E981+1,0):Q981)),IF('депозитный калькулятор'!$G$10="ежеквартальное",IF(F981&gt;'депозитный калькулятор'!$D$8," ",IF(AND(EOMONTH(F981,0)=F981,OR(MONTH(F981)=3,MONTH(F981)=6,MONTH(F981)=9,MONTH(F981)=12)),IF(EDATE(F981,-3)&lt;'депозитный калькулятор'!$D$7,SUM($H$23:H981),IF(MOD(YEAR(F981),4)=0,IF(AND(EOMONTH(F981,0)=F981,OR(MONTH(F981)=3,MONTH(F981)=6)),SUM(OFFSET(H981,-90,0):H981),IF(AND(EOMONTH(F981,0)=F981,OR(MONTH(F981)=9,MONTH(F981)=12)),SUM(OFFSET(H981,-91,0):H981))),IF(AND(EOMONTH(F981,0)=F981,MONTH(F981)=3),SUM(OFFSET(H981,-89,0):H981),IF(AND(EOMONTH(F981,0)=F981,MONTH(F981)=6),SUM(OFFSET(H981,-90,0):H981),IF(AND(EOMONTH(F981,0)=F981,OR(MONTH(F981)=9,MONTH(F981)=12)),SUM(OFFSET(H981,-91,0):H981)))))),IF(F981='депозитный калькулятор'!$D$8,SUM($H$23:H981)-SUM($I$23:I980),0))),IF('депозитный калькулятор'!$G$10="ежегодное",IF(F981&gt;'депозитный калькулятор'!$D$8," ",IF(F981='депозитный калькулятор'!$D$8,SUM($H$23:H981)-SUM($I$23:I980),IF(AND(EOMONTH(F981,0)=F981,MONTH(F981)=12),IF(MOD(YEAR(F980),4)=0,IF(F981-'депозитный калькулятор'!$D$7&lt;366,SUM($H$23:H981),SUM(OFFSET(H981,-365,0):H981)),IF(F981-'депозитный калькулятор'!$D$7&lt;365,SUM($H$23:H981),SUM(OFFSET(H981,-364,0):H981))),0))),IF(AND('депозитный калькулятор'!$G$10="в конце срока",'депозитный калькулятор'!$D$8=F981),SUM($H$23:H981),0))))))))))))))))))</f>
        <v xml:space="preserve"> </v>
      </c>
      <c r="J981" s="59" t="str">
        <f>IF(F981&gt;'депозитный калькулятор'!$D$8," ",IF('депозитный калькулятор'!$G$16="нет",0,IF(AND('депозитный калькулятор'!$G$17="разовая (в конце срока)",F981='депозитный калькулятор'!$D$8),'депозитный калькулятор'!$G$18,IF(AND('депозитный калькулятор'!$G$17="ежемесячная",EOMONTH(F980,0)=F980),'депозитный калькулятор'!$G$18,IF(AND('депозитный калькулятор'!$G$17="ежегодная",DAY(F980)=31,MONTH(F980)=12),'депозитный калькулятор'!$G$18,IF(AND('депозитный калькулятор'!$G$17="ежемесячная в зависимости от остатка",EOMONTH(F980,0)=F980,P980&gt;0),'депозитный калькулятор'!$G$18,IF(AND('депозитный калькулятор'!$G$17="ежегодная в зависимости от остатка",DAY(F980)=31,MONTH(F980)=12,P980&gt;0),'депозитный калькулятор'!$G$18,0)))))))</f>
        <v xml:space="preserve"> </v>
      </c>
      <c r="K981" s="135" t="str">
        <f>IF($F981=" "," ",IFERROR(VLOOKUP($F981,'депозитный калькулятор'!$B$26:$F$70,2,0),0))</f>
        <v xml:space="preserve"> </v>
      </c>
      <c r="L981" s="135" t="str">
        <f>IF($F981=" "," ",IFERROR(VLOOKUP($F981,'депозитный калькулятор'!$B$26:$F$70,3,0),0))</f>
        <v xml:space="preserve"> </v>
      </c>
      <c r="M981" s="135" t="str">
        <f>IF($F981=" "," ",IFERROR(VLOOKUP($F981,'депозитный калькулятор'!$B$26:$F$70,4,0),0))</f>
        <v xml:space="preserve"> </v>
      </c>
      <c r="N981" s="135" t="str">
        <f>IF($F981=" "," ",IFERROR(VLOOKUP($F981,'депозитный калькулятор'!$B$26:$F$70,5,0),0))</f>
        <v xml:space="preserve"> </v>
      </c>
      <c r="O981" s="146" t="str">
        <f>IF(F981&gt;'депозитный калькулятор'!$D$8," ",IF(F981='депозитный калькулятор'!$D$8,IF(AND($F$24='депозитный калькулятор'!$D$8,'депозитный калькулятор'!$G$13="нет"),-G981-IF(I981=" ",0,I981)-IF(AND(OR('депозитный калькулятор'!$G$7="30/365",'депозитный калькулятор'!$G$7="30/360"),'депозитный калькулятор'!$G$10="в начале срока"),I980,0)-L981+M981-N981,-G981-IF(I981=" ",0,I981)-L981+M981-N981),IF('депозитный калькулятор'!$G$13="есть",M981-N981+IF('депозитный калькулятор'!$G$14="есть",0,-L981),-IF(I981=" ",0,I981)-IF(AND(OR('депозитный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срока"),I980,0)+M981-N981+IF('депозитный калькулятор'!$G$14="есть",0,-L981))))</f>
        <v xml:space="preserve"> </v>
      </c>
      <c r="P981" s="147" t="str">
        <f>IF(F981&gt;'депозитный калькулятор'!$D$8," ",IF(EOMONTH(F980,0)=F980,0,IF(G981&gt;='депозитный калькулятор'!$G$19,P980,P980+1)))</f>
        <v xml:space="preserve"> </v>
      </c>
      <c r="Q981" s="138" t="str">
        <f>IF(F981=" "," ",IF(AND(OR('депозитный калькулятор'!$G$7="30/365",'депозитный калькулятор'!$G$7="30/360"),AND(MONTH(F981)=2,EOMONTH(F981,0)=F981)),IF(DAY(F981)=28,3,2),1)*IF(G981&gt;='депозитный калькулятор'!$G$11,IF(AND('депозитный калькулятор'!$G$7="факт/факт",MOD(YEAR(F981),4)=0),G981*'депозитный калькулятор'!$D$11/366,G981*'депозитный калькулятор'!$G$8),0))</f>
        <v xml:space="preserve"> </v>
      </c>
      <c r="S981" s="62" t="str">
        <f t="shared" ca="1" si="72"/>
        <v xml:space="preserve"> </v>
      </c>
      <c r="T981" s="149" t="str">
        <f ca="1">IF(S981=" "," ",IF('депозитный калькулятор'!$G$7="30/360",DAYS360(U980,IF(DAY(U981)=31,U981-1,U981))+IF(AND(MONTH(U981)=2,U981=EOMONTH(U981,0)),30-DAY(EOMONTH(U981,0)))+T980,VLOOKUP(S981,$C$22:$F$1023,2,0)))</f>
        <v xml:space="preserve"> </v>
      </c>
      <c r="U981" s="64" t="str">
        <f t="shared" ca="1" si="70"/>
        <v xml:space="preserve"> </v>
      </c>
      <c r="V981" s="150" t="str">
        <f t="shared" ca="1" si="73"/>
        <v xml:space="preserve"> </v>
      </c>
      <c r="W981" s="62" t="str">
        <f t="shared" ca="1" si="74"/>
        <v xml:space="preserve"> </v>
      </c>
      <c r="X981" s="141" t="str">
        <f ca="1">IF(S981=" "," ",IFERROR(VLOOKUP(U981,$F$23:$N$1023,7)+VLOOKUP(U981,$F$23:$N$1023,9)+IF(AND('депозитный калькулятор'!$G$13="нет",U981&lt;&gt;'депозитный калькулятор'!$D$8),VLOOKUP(U981,$F$23:$N$1023,4),0),0)+IF(U981='депозитный калькулятор'!$D$8,VLOOKUP(U981,$F$23:$N$1023,2)+VLOOKUP(U981,$F$23:$N$1023,4),0))</f>
        <v xml:space="preserve"> </v>
      </c>
      <c r="Y981" s="142" t="str">
        <f ca="1">IF(S981=" "," ",W981/(1+'депозитный калькулятор'!$K$8)^(T981/IF('депозитный калькулятор'!$G$7="30/360",360,365)))</f>
        <v xml:space="preserve"> </v>
      </c>
      <c r="Z981" s="142" t="str">
        <f ca="1">IF(S981=" "," ",X981/(1+'депозитный калькулятор'!$K$8)^(T981/IF('депозитный калькулятор'!$G$7="30/360",360,365)))</f>
        <v xml:space="preserve"> </v>
      </c>
      <c r="AA981" s="151"/>
      <c r="AB981" s="151"/>
      <c r="AC981" s="155"/>
      <c r="AD981" s="155"/>
    </row>
    <row r="982" spans="1:30" s="2" customFormat="1" ht="15.5" x14ac:dyDescent="0.35">
      <c r="A982" s="41" t="str">
        <f>IF(F982=" "," ",IF(OR('депозитный калькулятор'!$G$7="30/365",'депозитный калькулятор'!$G$7="30/360"),IF(AND(MONTH(F982)=2,DAY(F982)=DAY(EOMONTH(F982,0))),30-DAY(EOMONTH(F982,0)),IF(DAY(F982)=31,1," "))," "))</f>
        <v xml:space="preserve"> </v>
      </c>
      <c r="B982" s="130" t="str">
        <f t="shared" si="71"/>
        <v xml:space="preserve"> </v>
      </c>
      <c r="C982" s="130" t="str">
        <f>IF(OR(B982=0,B982=" ")," ",SUM($B$23:B982))</f>
        <v xml:space="preserve"> </v>
      </c>
      <c r="D982" s="62" t="str">
        <f>IF(D981=" "," ",IF(OR(F981='депозитный калькулятор'!$D$8,F981=" ")," ",D981+1))</f>
        <v xml:space="preserve"> </v>
      </c>
      <c r="E982" s="130" t="str">
        <f>IF(OR(F981='депозитный калькулятор'!$D$8,F981=" ")," ",IF(EOMONTH(F981,0)=F981,1,E981+1))</f>
        <v xml:space="preserve"> </v>
      </c>
      <c r="F982" s="64" t="str">
        <f>IF(F981=" "," ",IF(F981='депозитный калькулятор'!$D$8," ",F981+1))</f>
        <v xml:space="preserve"> </v>
      </c>
      <c r="G982" s="145" t="str">
        <f xml:space="preserve"> IF(F982&gt;'депозитный калькулятор'!$D$8," ",IF('депозитный калькулятор'!$G$13="есть",IF('депозитный калькулятор'!$G$14="есть",G981+IF(I981=" ",0,I981)-J982-K982+L982+M982-N982,G981+IF(I981=" ",0,I981)-J982-K982+M982-N982),IF('депозитный калькулятор'!$G$14="есть",G981-J982-K982+L982+M982-N982,G981-J982-K982+M982-N982)))</f>
        <v xml:space="preserve"> </v>
      </c>
      <c r="H982" s="133" t="str">
        <f>IF(F982&gt;'депозитный калькулятор'!$D$8," ",IF(AND(OR('депозитный калькулятор'!$G$7="30/365",'депозитный калькулятор'!$G$7="30/360"),AND(MONTH(F982)=2,EOMONTH(F982,0)=F982)),IF(DAY(F982)=28,3*G982*'депозитный калькулятор'!$G$8,2*G982*'депозитный калькулятор'!$G$8),IF(AND(OR('депозитный калькулятор'!$G$7="30/365",'депозитный калькулятор'!$G$7="30/360"),DAY(F982)=31)," ",IF(AND('депозитный калькулятор'!$G$7="факт/факт",MOD(YEAR(F982),4)=0),G982*'депозитный калькулятор'!$D$11/366,G982*'депозитный калькулятор'!$G$8))))</f>
        <v xml:space="preserve"> </v>
      </c>
      <c r="I982" s="134" t="str">
        <f ca="1">IF(F982=" "," ",IF('депозитный калькулятор'!$G$10="ежедневное",H982,IF(AND('депозитный калькулятор'!$G$10="еженедельное",WEEKDAY(F982,2)=7),SUM(OFFSET(H982,-6,0):H982),IF(AND('депозитный калькулятор'!$G$10="еженедельное",F982='депозитный калькулятор'!$D$8),SUM($H$23:H982)-SUM($I$23:I981),IF(AND('депозитный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недели",WEEKDAY(F982,2)=7),MIN(OFFSET(H982,-6,0):H982)*(COUNTIF(OFFSET(H982,-6,0):H982,"&gt;0")+SUMIF(OFFSET(A982,-WEEKDAY(F982,2),0):A982,"=2",OFFSET(A982,-WEEKDAY(F982,2),0):A982)),IF(AND('депозитный калькулятор'!$G$10="еженедельное, на минимальную сумму зафиксированную в течение недели",F982='депозитный калькулятор'!$D$8,WEEKDAY(F982,2)&lt;&gt;7),MIN(OFFSET(H982,-WEEKDAY(F982,2),0):H982)*(COUNTIF(OFFSET(H982,-WEEKDAY(F982,2)+1,0):H982,"&gt;0")+SUM(OFFSET(A982,-WEEKDAY(F982,2),0):A982)),IF(AND('депозитный калькулятор'!$G$10="ежемесячное (в конце месяца)",F982='депозитный калькулятор'!$D$8,EOMONTH(F982,0)&lt;&gt;F982),IF('депозитный калькулятор'!$F$1=1,$H$24,SUM($H$23:H982)-SUM($I$23:I981)),IF(AND('депозитный калькулятор'!$G$10="ежемесячное (в конце месяца)",EOMONTH(F982,0)=F982),SUM($H$23:H982)-SUM($I$23:I981),IF(AND('депозитный калькулятор'!$G$10="ежемесячное (по дням открытия вклада)",F982='депозитный калькулятор'!$D$8,DAY('депозитный калькулятор'!$D$7)&lt;&gt;DAY(F982)),IF('депозитный калькулятор'!$F$1=1,$H$24,SUM($H$23:H982)-SUM($I$23:I981)),IF(AND('депозитный калькулятор'!$G$10="ежемесячное (по дням открытия вклада)",DAY('депозитный калькулятор'!$D$7)=DAY(F982)),SUM($H$23:H982)-SUM($I$23:I981),IF(AND('депозитный калькулятор'!$G$10="ежемесячное, на минимальную сумму зафиксированную в течение месяца",F982='депозитный калькулятор'!$D$8,EOMONTH(F982,0)&lt;&gt;F982),IF('депозитный калькулятор'!$F$1=1,$H$24,IF(AND(OR('депозитный калькулятор'!$G$7="30/365",'депозитный калькулятор'!$G$7="30/360"),DAY(F982)=31),0,MIN(OFFSET(H982,-E982+1,0):H982)*(E982+SUMIF(OFFSET(A982,-E982+1,0):A982,"=2",OFFSET(A982,-E982+1,0):A982)))),IF(AND('депозитный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калькулятор'!$G$7="30/360"),DAY(EOMONTH(F982,0))=31),EOMONTH(F982,0)-1=F982,EOMONTH(F982,0)=F982)),IF(IF(AND(OR('депозитный калькулятор'!$G$7="30/365",'депозитный калькулятор'!$G$7="30/360"),DAY(EOMONTH($F$23,0))=31),F982=EOMONTH($F$23,0)-1,F982=EOMONTH($F$23,0)),MIN(OFFSET(H982,-(DAY(F982)-DAY($F$23)),0):H982)*E982,MIN(OFFSET(H982,-(DAY(F982)-1),0):H982)*IF(AND(OR('депозитный калькулятор'!$G$7="30/365",'депозитный калькулятор'!$G$7="30/360"),DAY(F982)&lt;30),30,DAY(F982))),IF(AND('депозитный калькулятор'!$G$10="ежемесячное, на средний остаток в течение месяца, при условии что остаток больше чем ограничение",F982='депозитный калькулятор'!$D$8,EOMONTH(F982,0)&lt;&gt;F982),IF('депозитный калькулятор'!$F$1=1,$H$24,SUM(OFFSET(Q982,-E982+1,0):Q982)),IF(AND('депозитный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калькулятор'!$G$7="30/360"),DAY(EOMONTH(F982,0))=31),EOMONTH(F982,0)-1=F982,EOMONTH(F982,0)=F982)),IF(IF(AND(OR('депозитный калькулятор'!$G$7="30/365",'депозитный калькулятор'!$G$7="30/360"),DAY(EOMONTH($F$24,0))=31),F982=EOMONTH($F$24,0)-1,F982=EOMONTH($F$24,0)),SUM(OFFSET(Q982,-E982+1,0):Q982),SUM(OFFSET(Q982,-E982+1,0):Q982)),IF('депозитный калькулятор'!$G$10="ежеквартальное",IF(F982&gt;'депозитный калькулятор'!$D$8," ",IF(AND(EOMONTH(F982,0)=F982,OR(MONTH(F982)=3,MONTH(F982)=6,MONTH(F982)=9,MONTH(F982)=12)),IF(EDATE(F982,-3)&lt;'депозитный калькулятор'!$D$7,SUM($H$23:H982),IF(MOD(YEAR(F982),4)=0,IF(AND(EOMONTH(F982,0)=F982,OR(MONTH(F982)=3,MONTH(F982)=6)),SUM(OFFSET(H982,-90,0):H982),IF(AND(EOMONTH(F982,0)=F982,OR(MONTH(F982)=9,MONTH(F982)=12)),SUM(OFFSET(H982,-91,0):H982))),IF(AND(EOMONTH(F982,0)=F982,MONTH(F982)=3),SUM(OFFSET(H982,-89,0):H982),IF(AND(EOMONTH(F982,0)=F982,MONTH(F982)=6),SUM(OFFSET(H982,-90,0):H982),IF(AND(EOMONTH(F982,0)=F982,OR(MONTH(F982)=9,MONTH(F982)=12)),SUM(OFFSET(H982,-91,0):H982)))))),IF(F982='депозитный калькулятор'!$D$8,SUM($H$23:H982)-SUM($I$23:I981),0))),IF('депозитный калькулятор'!$G$10="ежегодное",IF(F982&gt;'депозитный калькулятор'!$D$8," ",IF(F982='депозитный калькулятор'!$D$8,SUM($H$23:H982)-SUM($I$23:I981),IF(AND(EOMONTH(F982,0)=F982,MONTH(F982)=12),IF(MOD(YEAR(F981),4)=0,IF(F982-'депозитный калькулятор'!$D$7&lt;366,SUM($H$23:H982),SUM(OFFSET(H982,-365,0):H982)),IF(F982-'депозитный калькулятор'!$D$7&lt;365,SUM($H$23:H982),SUM(OFFSET(H982,-364,0):H982))),0))),IF(AND('депозитный калькулятор'!$G$10="в конце срока",'депозитный калькулятор'!$D$8=F982),SUM($H$23:H982),0))))))))))))))))))</f>
        <v xml:space="preserve"> </v>
      </c>
      <c r="J982" s="59" t="str">
        <f>IF(F982&gt;'депозитный калькулятор'!$D$8," ",IF('депозитный калькулятор'!$G$16="нет",0,IF(AND('депозитный калькулятор'!$G$17="разовая (в конце срока)",F982='депозитный калькулятор'!$D$8),'депозитный калькулятор'!$G$18,IF(AND('депозитный калькулятор'!$G$17="ежемесячная",EOMONTH(F981,0)=F981),'депозитный калькулятор'!$G$18,IF(AND('депозитный калькулятор'!$G$17="ежегодная",DAY(F981)=31,MONTH(F981)=12),'депозитный калькулятор'!$G$18,IF(AND('депозитный калькулятор'!$G$17="ежемесячная в зависимости от остатка",EOMONTH(F981,0)=F981,P981&gt;0),'депозитный калькулятор'!$G$18,IF(AND('депозитный калькулятор'!$G$17="ежегодная в зависимости от остатка",DAY(F981)=31,MONTH(F981)=12,P981&gt;0),'депозитный калькулятор'!$G$18,0)))))))</f>
        <v xml:space="preserve"> </v>
      </c>
      <c r="K982" s="135" t="str">
        <f>IF($F982=" "," ",IFERROR(VLOOKUP($F982,'депозитный калькулятор'!$B$26:$F$70,2,0),0))</f>
        <v xml:space="preserve"> </v>
      </c>
      <c r="L982" s="135" t="str">
        <f>IF($F982=" "," ",IFERROR(VLOOKUP($F982,'депозитный калькулятор'!$B$26:$F$70,3,0),0))</f>
        <v xml:space="preserve"> </v>
      </c>
      <c r="M982" s="135" t="str">
        <f>IF($F982=" "," ",IFERROR(VLOOKUP($F982,'депозитный калькулятор'!$B$26:$F$70,4,0),0))</f>
        <v xml:space="preserve"> </v>
      </c>
      <c r="N982" s="135" t="str">
        <f>IF($F982=" "," ",IFERROR(VLOOKUP($F982,'депозитный калькулятор'!$B$26:$F$70,5,0),0))</f>
        <v xml:space="preserve"> </v>
      </c>
      <c r="O982" s="146" t="str">
        <f>IF(F982&gt;'депозитный калькулятор'!$D$8," ",IF(F982='депозитный калькулятор'!$D$8,IF(AND($F$24='депозитный калькулятор'!$D$8,'депозитный калькулятор'!$G$13="нет"),-G982-IF(I982=" ",0,I982)-IF(AND(OR('депозитный калькулятор'!$G$7="30/365",'депозитный калькулятор'!$G$7="30/360"),'депозитный калькулятор'!$G$10="в начале срока"),I981,0)-L982+M982-N982,-G982-IF(I982=" ",0,I982)-L982+M982-N982),IF('депозитный калькулятор'!$G$13="есть",M982-N982+IF('депозитный калькулятор'!$G$14="есть",0,-L982),-IF(I982=" ",0,I982)-IF(AND(OR('депозитный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срока"),I981,0)+M982-N982+IF('депозитный калькулятор'!$G$14="есть",0,-L982))))</f>
        <v xml:space="preserve"> </v>
      </c>
      <c r="P982" s="147" t="str">
        <f>IF(F982&gt;'депозитный калькулятор'!$D$8," ",IF(EOMONTH(F981,0)=F981,0,IF(G982&gt;='депозитный калькулятор'!$G$19,P981,P981+1)))</f>
        <v xml:space="preserve"> </v>
      </c>
      <c r="Q982" s="138" t="str">
        <f>IF(F982=" "," ",IF(AND(OR('депозитный калькулятор'!$G$7="30/365",'депозитный калькулятор'!$G$7="30/360"),AND(MONTH(F982)=2,EOMONTH(F982,0)=F982)),IF(DAY(F982)=28,3,2),1)*IF(G982&gt;='депозитный калькулятор'!$G$11,IF(AND('депозитный калькулятор'!$G$7="факт/факт",MOD(YEAR(F982),4)=0),G982*'депозитный калькулятор'!$D$11/366,G982*'депозитный калькулятор'!$G$8),0))</f>
        <v xml:space="preserve"> </v>
      </c>
      <c r="S982" s="62" t="str">
        <f t="shared" ca="1" si="72"/>
        <v xml:space="preserve"> </v>
      </c>
      <c r="T982" s="149" t="str">
        <f ca="1">IF(S982=" "," ",IF('депозитный калькулятор'!$G$7="30/360",DAYS360(U981,IF(DAY(U982)=31,U982-1,U982))+IF(AND(MONTH(U982)=2,U982=EOMONTH(U982,0)),30-DAY(EOMONTH(U982,0)))+T981,VLOOKUP(S982,$C$22:$F$1023,2,0)))</f>
        <v xml:space="preserve"> </v>
      </c>
      <c r="U982" s="64" t="str">
        <f t="shared" ca="1" si="70"/>
        <v xml:space="preserve"> </v>
      </c>
      <c r="V982" s="150" t="str">
        <f t="shared" ca="1" si="73"/>
        <v xml:space="preserve"> </v>
      </c>
      <c r="W982" s="62" t="str">
        <f t="shared" ca="1" si="74"/>
        <v xml:space="preserve"> </v>
      </c>
      <c r="X982" s="141" t="str">
        <f ca="1">IF(S982=" "," ",IFERROR(VLOOKUP(U982,$F$23:$N$1023,7)+VLOOKUP(U982,$F$23:$N$1023,9)+IF(AND('депозитный калькулятор'!$G$13="нет",U982&lt;&gt;'депозитный калькулятор'!$D$8),VLOOKUP(U982,$F$23:$N$1023,4),0),0)+IF(U982='депозитный калькулятор'!$D$8,VLOOKUP(U982,$F$23:$N$1023,2)+VLOOKUP(U982,$F$23:$N$1023,4),0))</f>
        <v xml:space="preserve"> </v>
      </c>
      <c r="Y982" s="142" t="str">
        <f ca="1">IF(S982=" "," ",W982/(1+'депозитный калькулятор'!$K$8)^(T982/IF('депозитный калькулятор'!$G$7="30/360",360,365)))</f>
        <v xml:space="preserve"> </v>
      </c>
      <c r="Z982" s="142" t="str">
        <f ca="1">IF(S982=" "," ",X982/(1+'депозитный калькулятор'!$K$8)^(T982/IF('депозитный калькулятор'!$G$7="30/360",360,365)))</f>
        <v xml:space="preserve"> </v>
      </c>
      <c r="AA982" s="151"/>
      <c r="AB982" s="151"/>
      <c r="AC982" s="155"/>
      <c r="AD982" s="155"/>
    </row>
    <row r="983" spans="1:30" s="2" customFormat="1" ht="15.5" x14ac:dyDescent="0.35">
      <c r="A983" s="41" t="str">
        <f>IF(F983=" "," ",IF(OR('депозитный калькулятор'!$G$7="30/365",'депозитный калькулятор'!$G$7="30/360"),IF(AND(MONTH(F983)=2,DAY(F983)=DAY(EOMONTH(F983,0))),30-DAY(EOMONTH(F983,0)),IF(DAY(F983)=31,1," "))," "))</f>
        <v xml:space="preserve"> </v>
      </c>
      <c r="B983" s="130" t="str">
        <f t="shared" si="71"/>
        <v xml:space="preserve"> </v>
      </c>
      <c r="C983" s="130" t="str">
        <f>IF(OR(B983=0,B983=" ")," ",SUM($B$23:B983))</f>
        <v xml:space="preserve"> </v>
      </c>
      <c r="D983" s="62" t="str">
        <f>IF(D982=" "," ",IF(OR(F982='депозитный калькулятор'!$D$8,F982=" ")," ",D982+1))</f>
        <v xml:space="preserve"> </v>
      </c>
      <c r="E983" s="130" t="str">
        <f>IF(OR(F982='депозитный калькулятор'!$D$8,F982=" ")," ",IF(EOMONTH(F982,0)=F982,1,E982+1))</f>
        <v xml:space="preserve"> </v>
      </c>
      <c r="F983" s="64" t="str">
        <f>IF(F982=" "," ",IF(F982='депозитный калькулятор'!$D$8," ",F982+1))</f>
        <v xml:space="preserve"> </v>
      </c>
      <c r="G983" s="145" t="str">
        <f xml:space="preserve"> IF(F983&gt;'депозитный калькулятор'!$D$8," ",IF('депозитный калькулятор'!$G$13="есть",IF('депозитный калькулятор'!$G$14="есть",G982+IF(I982=" ",0,I982)-J983-K983+L983+M983-N983,G982+IF(I982=" ",0,I982)-J983-K983+M983-N983),IF('депозитный калькулятор'!$G$14="есть",G982-J983-K983+L983+M983-N983,G982-J983-K983+M983-N983)))</f>
        <v xml:space="preserve"> </v>
      </c>
      <c r="H983" s="133" t="str">
        <f>IF(F983&gt;'депозитный калькулятор'!$D$8," ",IF(AND(OR('депозитный калькулятор'!$G$7="30/365",'депозитный калькулятор'!$G$7="30/360"),AND(MONTH(F983)=2,EOMONTH(F983,0)=F983)),IF(DAY(F983)=28,3*G983*'депозитный калькулятор'!$G$8,2*G983*'депозитный калькулятор'!$G$8),IF(AND(OR('депозитный калькулятор'!$G$7="30/365",'депозитный калькулятор'!$G$7="30/360"),DAY(F983)=31)," ",IF(AND('депозитный калькулятор'!$G$7="факт/факт",MOD(YEAR(F983),4)=0),G983*'депозитный калькулятор'!$D$11/366,G983*'депозитный калькулятор'!$G$8))))</f>
        <v xml:space="preserve"> </v>
      </c>
      <c r="I983" s="134" t="str">
        <f ca="1">IF(F983=" "," ",IF('депозитный калькулятор'!$G$10="ежедневное",H983,IF(AND('депозитный калькулятор'!$G$10="еженедельное",WEEKDAY(F983,2)=7),SUM(OFFSET(H983,-6,0):H983),IF(AND('депозитный калькулятор'!$G$10="еженедельное",F983='депозитный калькулятор'!$D$8),SUM($H$23:H983)-SUM($I$23:I982),IF(AND('депозитный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недели",WEEKDAY(F983,2)=7),MIN(OFFSET(H983,-6,0):H983)*(COUNTIF(OFFSET(H983,-6,0):H983,"&gt;0")+SUMIF(OFFSET(A983,-WEEKDAY(F983,2),0):A983,"=2",OFFSET(A983,-WEEKDAY(F983,2),0):A983)),IF(AND('депозитный калькулятор'!$G$10="еженедельное, на минимальную сумму зафиксированную в течение недели",F983='депозитный калькулятор'!$D$8,WEEKDAY(F983,2)&lt;&gt;7),MIN(OFFSET(H983,-WEEKDAY(F983,2),0):H983)*(COUNTIF(OFFSET(H983,-WEEKDAY(F983,2)+1,0):H983,"&gt;0")+SUM(OFFSET(A983,-WEEKDAY(F983,2),0):A983)),IF(AND('депозитный калькулятор'!$G$10="ежемесячное (в конце месяца)",F983='депозитный калькулятор'!$D$8,EOMONTH(F983,0)&lt;&gt;F983),IF('депозитный калькулятор'!$F$1=1,$H$24,SUM($H$23:H983)-SUM($I$23:I982)),IF(AND('депозитный калькулятор'!$G$10="ежемесячное (в конце месяца)",EOMONTH(F983,0)=F983),SUM($H$23:H983)-SUM($I$23:I982),IF(AND('депозитный калькулятор'!$G$10="ежемесячное (по дням открытия вклада)",F983='депозитный калькулятор'!$D$8,DAY('депозитный калькулятор'!$D$7)&lt;&gt;DAY(F983)),IF('депозитный калькулятор'!$F$1=1,$H$24,SUM($H$23:H983)-SUM($I$23:I982)),IF(AND('депозитный калькулятор'!$G$10="ежемесячное (по дням открытия вклада)",DAY('депозитный калькулятор'!$D$7)=DAY(F983)),SUM($H$23:H983)-SUM($I$23:I982),IF(AND('депозитный калькулятор'!$G$10="ежемесячное, на минимальную сумму зафиксированную в течение месяца",F983='депозитный калькулятор'!$D$8,EOMONTH(F983,0)&lt;&gt;F983),IF('депозитный калькулятор'!$F$1=1,$H$24,IF(AND(OR('депозитный калькулятор'!$G$7="30/365",'депозитный калькулятор'!$G$7="30/360"),DAY(F983)=31),0,MIN(OFFSET(H983,-E983+1,0):H983)*(E983+SUMIF(OFFSET(A983,-E983+1,0):A983,"=2",OFFSET(A983,-E983+1,0):A983)))),IF(AND('депозитный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калькулятор'!$G$7="30/360"),DAY(EOMONTH(F983,0))=31),EOMONTH(F983,0)-1=F983,EOMONTH(F983,0)=F983)),IF(IF(AND(OR('депозитный калькулятор'!$G$7="30/365",'депозитный калькулятор'!$G$7="30/360"),DAY(EOMONTH($F$23,0))=31),F983=EOMONTH($F$23,0)-1,F983=EOMONTH($F$23,0)),MIN(OFFSET(H983,-(DAY(F983)-DAY($F$23)),0):H983)*E983,MIN(OFFSET(H983,-(DAY(F983)-1),0):H983)*IF(AND(OR('депозитный калькулятор'!$G$7="30/365",'депозитный калькулятор'!$G$7="30/360"),DAY(F983)&lt;30),30,DAY(F983))),IF(AND('депозитный калькулятор'!$G$10="ежемесячное, на средний остаток в течение месяца, при условии что остаток больше чем ограничение",F983='депозитный калькулятор'!$D$8,EOMONTH(F983,0)&lt;&gt;F983),IF('депозитный калькулятор'!$F$1=1,$H$24,SUM(OFFSET(Q983,-E983+1,0):Q983)),IF(AND('депозитный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калькулятор'!$G$7="30/360"),DAY(EOMONTH(F983,0))=31),EOMONTH(F983,0)-1=F983,EOMONTH(F983,0)=F983)),IF(IF(AND(OR('депозитный калькулятор'!$G$7="30/365",'депозитный калькулятор'!$G$7="30/360"),DAY(EOMONTH($F$24,0))=31),F983=EOMONTH($F$24,0)-1,F983=EOMONTH($F$24,0)),SUM(OFFSET(Q983,-E983+1,0):Q983),SUM(OFFSET(Q983,-E983+1,0):Q983)),IF('депозитный калькулятор'!$G$10="ежеквартальное",IF(F983&gt;'депозитный калькулятор'!$D$8," ",IF(AND(EOMONTH(F983,0)=F983,OR(MONTH(F983)=3,MONTH(F983)=6,MONTH(F983)=9,MONTH(F983)=12)),IF(EDATE(F983,-3)&lt;'депозитный калькулятор'!$D$7,SUM($H$23:H983),IF(MOD(YEAR(F983),4)=0,IF(AND(EOMONTH(F983,0)=F983,OR(MONTH(F983)=3,MONTH(F983)=6)),SUM(OFFSET(H983,-90,0):H983),IF(AND(EOMONTH(F983,0)=F983,OR(MONTH(F983)=9,MONTH(F983)=12)),SUM(OFFSET(H983,-91,0):H983))),IF(AND(EOMONTH(F983,0)=F983,MONTH(F983)=3),SUM(OFFSET(H983,-89,0):H983),IF(AND(EOMONTH(F983,0)=F983,MONTH(F983)=6),SUM(OFFSET(H983,-90,0):H983),IF(AND(EOMONTH(F983,0)=F983,OR(MONTH(F983)=9,MONTH(F983)=12)),SUM(OFFSET(H983,-91,0):H983)))))),IF(F983='депозитный калькулятор'!$D$8,SUM($H$23:H983)-SUM($I$23:I982),0))),IF('депозитный калькулятор'!$G$10="ежегодное",IF(F983&gt;'депозитный калькулятор'!$D$8," ",IF(F983='депозитный калькулятор'!$D$8,SUM($H$23:H983)-SUM($I$23:I982),IF(AND(EOMONTH(F983,0)=F983,MONTH(F983)=12),IF(MOD(YEAR(F982),4)=0,IF(F983-'депозитный калькулятор'!$D$7&lt;366,SUM($H$23:H983),SUM(OFFSET(H983,-365,0):H983)),IF(F983-'депозитный калькулятор'!$D$7&lt;365,SUM($H$23:H983),SUM(OFFSET(H983,-364,0):H983))),0))),IF(AND('депозитный калькулятор'!$G$10="в конце срока",'депозитный калькулятор'!$D$8=F983),SUM($H$23:H983),0))))))))))))))))))</f>
        <v xml:space="preserve"> </v>
      </c>
      <c r="J983" s="59" t="str">
        <f>IF(F983&gt;'депозитный калькулятор'!$D$8," ",IF('депозитный калькулятор'!$G$16="нет",0,IF(AND('депозитный калькулятор'!$G$17="разовая (в конце срока)",F983='депозитный калькулятор'!$D$8),'депозитный калькулятор'!$G$18,IF(AND('депозитный калькулятор'!$G$17="ежемесячная",EOMONTH(F982,0)=F982),'депозитный калькулятор'!$G$18,IF(AND('депозитный калькулятор'!$G$17="ежегодная",DAY(F982)=31,MONTH(F982)=12),'депозитный калькулятор'!$G$18,IF(AND('депозитный калькулятор'!$G$17="ежемесячная в зависимости от остатка",EOMONTH(F982,0)=F982,P982&gt;0),'депозитный калькулятор'!$G$18,IF(AND('депозитный калькулятор'!$G$17="ежегодная в зависимости от остатка",DAY(F982)=31,MONTH(F982)=12,P982&gt;0),'депозитный калькулятор'!$G$18,0)))))))</f>
        <v xml:space="preserve"> </v>
      </c>
      <c r="K983" s="135" t="str">
        <f>IF($F983=" "," ",IFERROR(VLOOKUP($F983,'депозитный калькулятор'!$B$26:$F$70,2,0),0))</f>
        <v xml:space="preserve"> </v>
      </c>
      <c r="L983" s="135" t="str">
        <f>IF($F983=" "," ",IFERROR(VLOOKUP($F983,'депозитный калькулятор'!$B$26:$F$70,3,0),0))</f>
        <v xml:space="preserve"> </v>
      </c>
      <c r="M983" s="135" t="str">
        <f>IF($F983=" "," ",IFERROR(VLOOKUP($F983,'депозитный калькулятор'!$B$26:$F$70,4,0),0))</f>
        <v xml:space="preserve"> </v>
      </c>
      <c r="N983" s="135" t="str">
        <f>IF($F983=" "," ",IFERROR(VLOOKUP($F983,'депозитный калькулятор'!$B$26:$F$70,5,0),0))</f>
        <v xml:space="preserve"> </v>
      </c>
      <c r="O983" s="146" t="str">
        <f>IF(F983&gt;'депозитный калькулятор'!$D$8," ",IF(F983='депозитный калькулятор'!$D$8,IF(AND($F$24='депозитный калькулятор'!$D$8,'депозитный калькулятор'!$G$13="нет"),-G983-IF(I983=" ",0,I983)-IF(AND(OR('депозитный калькулятор'!$G$7="30/365",'депозитный калькулятор'!$G$7="30/360"),'депозитный калькулятор'!$G$10="в начале срока"),I982,0)-L983+M983-N983,-G983-IF(I983=" ",0,I983)-L983+M983-N983),IF('депозитный калькулятор'!$G$13="есть",M983-N983+IF('депозитный калькулятор'!$G$14="есть",0,-L983),-IF(I983=" ",0,I983)-IF(AND(OR('депозитный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срока"),I982,0)+M983-N983+IF('депозитный калькулятор'!$G$14="есть",0,-L983))))</f>
        <v xml:space="preserve"> </v>
      </c>
      <c r="P983" s="147" t="str">
        <f>IF(F983&gt;'депозитный калькулятор'!$D$8," ",IF(EOMONTH(F982,0)=F982,0,IF(G983&gt;='депозитный калькулятор'!$G$19,P982,P982+1)))</f>
        <v xml:space="preserve"> </v>
      </c>
      <c r="Q983" s="138" t="str">
        <f>IF(F983=" "," ",IF(AND(OR('депозитный калькулятор'!$G$7="30/365",'депозитный калькулятор'!$G$7="30/360"),AND(MONTH(F983)=2,EOMONTH(F983,0)=F983)),IF(DAY(F983)=28,3,2),1)*IF(G983&gt;='депозитный калькулятор'!$G$11,IF(AND('депозитный калькулятор'!$G$7="факт/факт",MOD(YEAR(F983),4)=0),G983*'депозитный калькулятор'!$D$11/366,G983*'депозитный калькулятор'!$G$8),0))</f>
        <v xml:space="preserve"> </v>
      </c>
      <c r="S983" s="62" t="str">
        <f t="shared" ca="1" si="72"/>
        <v xml:space="preserve"> </v>
      </c>
      <c r="T983" s="149" t="str">
        <f ca="1">IF(S983=" "," ",IF('депозитный калькулятор'!$G$7="30/360",DAYS360(U982,IF(DAY(U983)=31,U983-1,U983))+IF(AND(MONTH(U983)=2,U983=EOMONTH(U983,0)),30-DAY(EOMONTH(U983,0)))+T982,VLOOKUP(S983,$C$22:$F$1023,2,0)))</f>
        <v xml:space="preserve"> </v>
      </c>
      <c r="U983" s="64" t="str">
        <f t="shared" ref="U983:U1023" ca="1" si="75">IF(S983=" "," ",VLOOKUP(S983,$C$22:$F$1023,4,0))</f>
        <v xml:space="preserve"> </v>
      </c>
      <c r="V983" s="150" t="str">
        <f t="shared" ca="1" si="73"/>
        <v xml:space="preserve"> </v>
      </c>
      <c r="W983" s="62" t="str">
        <f t="shared" ca="1" si="74"/>
        <v xml:space="preserve"> </v>
      </c>
      <c r="X983" s="141" t="str">
        <f ca="1">IF(S983=" "," ",IFERROR(VLOOKUP(U983,$F$23:$N$1023,7)+VLOOKUP(U983,$F$23:$N$1023,9)+IF(AND('депозитный калькулятор'!$G$13="нет",U983&lt;&gt;'депозитный калькулятор'!$D$8),VLOOKUP(U983,$F$23:$N$1023,4),0),0)+IF(U983='депозитный калькулятор'!$D$8,VLOOKUP(U983,$F$23:$N$1023,2)+VLOOKUP(U983,$F$23:$N$1023,4),0))</f>
        <v xml:space="preserve"> </v>
      </c>
      <c r="Y983" s="142" t="str">
        <f ca="1">IF(S983=" "," ",W983/(1+'депозитный калькулятор'!$K$8)^(T983/IF('депозитный калькулятор'!$G$7="30/360",360,365)))</f>
        <v xml:space="preserve"> </v>
      </c>
      <c r="Z983" s="142" t="str">
        <f ca="1">IF(S983=" "," ",X983/(1+'депозитный калькулятор'!$K$8)^(T983/IF('депозитный калькулятор'!$G$7="30/360",360,365)))</f>
        <v xml:space="preserve"> </v>
      </c>
      <c r="AA983" s="151"/>
      <c r="AB983" s="151"/>
      <c r="AC983" s="155"/>
      <c r="AD983" s="155"/>
    </row>
    <row r="984" spans="1:30" s="2" customFormat="1" ht="15.5" x14ac:dyDescent="0.35">
      <c r="A984" s="41" t="str">
        <f>IF(F984=" "," ",IF(OR('депозитный калькулятор'!$G$7="30/365",'депозитный калькулятор'!$G$7="30/360"),IF(AND(MONTH(F984)=2,DAY(F984)=DAY(EOMONTH(F984,0))),30-DAY(EOMONTH(F984,0)),IF(DAY(F984)=31,1," "))," "))</f>
        <v xml:space="preserve"> </v>
      </c>
      <c r="B984" s="130" t="str">
        <f t="shared" ref="B984:B1023" si="76">IF(F984=" "," ",IF(O984&lt;&gt;0,1,0))</f>
        <v xml:space="preserve"> </v>
      </c>
      <c r="C984" s="130" t="str">
        <f>IF(OR(B984=0,B984=" ")," ",SUM($B$23:B984))</f>
        <v xml:space="preserve"> </v>
      </c>
      <c r="D984" s="62" t="str">
        <f>IF(D983=" "," ",IF(OR(F983='депозитный калькулятор'!$D$8,F983=" ")," ",D983+1))</f>
        <v xml:space="preserve"> </v>
      </c>
      <c r="E984" s="130" t="str">
        <f>IF(OR(F983='депозитный калькулятор'!$D$8,F983=" ")," ",IF(EOMONTH(F983,0)=F983,1,E983+1))</f>
        <v xml:space="preserve"> </v>
      </c>
      <c r="F984" s="64" t="str">
        <f>IF(F983=" "," ",IF(F983='депозитный калькулятор'!$D$8," ",F983+1))</f>
        <v xml:space="preserve"> </v>
      </c>
      <c r="G984" s="145" t="str">
        <f xml:space="preserve"> IF(F984&gt;'депозитный калькулятор'!$D$8," ",IF('депозитный калькулятор'!$G$13="есть",IF('депозитный калькулятор'!$G$14="есть",G983+IF(I983=" ",0,I983)-J984-K984+L984+M984-N984,G983+IF(I983=" ",0,I983)-J984-K984+M984-N984),IF('депозитный калькулятор'!$G$14="есть",G983-J984-K984+L984+M984-N984,G983-J984-K984+M984-N984)))</f>
        <v xml:space="preserve"> </v>
      </c>
      <c r="H984" s="133" t="str">
        <f>IF(F984&gt;'депозитный калькулятор'!$D$8," ",IF(AND(OR('депозитный калькулятор'!$G$7="30/365",'депозитный калькулятор'!$G$7="30/360"),AND(MONTH(F984)=2,EOMONTH(F984,0)=F984)),IF(DAY(F984)=28,3*G984*'депозитный калькулятор'!$G$8,2*G984*'депозитный калькулятор'!$G$8),IF(AND(OR('депозитный калькулятор'!$G$7="30/365",'депозитный калькулятор'!$G$7="30/360"),DAY(F984)=31)," ",IF(AND('депозитный калькулятор'!$G$7="факт/факт",MOD(YEAR(F984),4)=0),G984*'депозитный калькулятор'!$D$11/366,G984*'депозитный калькулятор'!$G$8))))</f>
        <v xml:space="preserve"> </v>
      </c>
      <c r="I984" s="134" t="str">
        <f ca="1">IF(F984=" "," ",IF('депозитный калькулятор'!$G$10="ежедневное",H984,IF(AND('депозитный калькулятор'!$G$10="еженедельное",WEEKDAY(F984,2)=7),SUM(OFFSET(H984,-6,0):H984),IF(AND('депозитный калькулятор'!$G$10="еженедельное",F984='депозитный калькулятор'!$D$8),SUM($H$23:H984)-SUM($I$23:I983),IF(AND('депозитный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недели",WEEKDAY(F984,2)=7),MIN(OFFSET(H984,-6,0):H984)*(COUNTIF(OFFSET(H984,-6,0):H984,"&gt;0")+SUMIF(OFFSET(A984,-WEEKDAY(F984,2),0):A984,"=2",OFFSET(A984,-WEEKDAY(F984,2),0):A984)),IF(AND('депозитный калькулятор'!$G$10="еженедельное, на минимальную сумму зафиксированную в течение недели",F984='депозитный калькулятор'!$D$8,WEEKDAY(F984,2)&lt;&gt;7),MIN(OFFSET(H984,-WEEKDAY(F984,2),0):H984)*(COUNTIF(OFFSET(H984,-WEEKDAY(F984,2)+1,0):H984,"&gt;0")+SUM(OFFSET(A984,-WEEKDAY(F984,2),0):A984)),IF(AND('депозитный калькулятор'!$G$10="ежемесячное (в конце месяца)",F984='депозитный калькулятор'!$D$8,EOMONTH(F984,0)&lt;&gt;F984),IF('депозитный калькулятор'!$F$1=1,$H$24,SUM($H$23:H984)-SUM($I$23:I983)),IF(AND('депозитный калькулятор'!$G$10="ежемесячное (в конце месяца)",EOMONTH(F984,0)=F984),SUM($H$23:H984)-SUM($I$23:I983),IF(AND('депозитный калькулятор'!$G$10="ежемесячное (по дням открытия вклада)",F984='депозитный калькулятор'!$D$8,DAY('депозитный калькулятор'!$D$7)&lt;&gt;DAY(F984)),IF('депозитный калькулятор'!$F$1=1,$H$24,SUM($H$23:H984)-SUM($I$23:I983)),IF(AND('депозитный калькулятор'!$G$10="ежемесячное (по дням открытия вклада)",DAY('депозитный калькулятор'!$D$7)=DAY(F984)),SUM($H$23:H984)-SUM($I$23:I983),IF(AND('депозитный калькулятор'!$G$10="ежемесячное, на минимальную сумму зафиксированную в течение месяца",F984='депозитный калькулятор'!$D$8,EOMONTH(F984,0)&lt;&gt;F984),IF('депозитный калькулятор'!$F$1=1,$H$24,IF(AND(OR('депозитный калькулятор'!$G$7="30/365",'депозитный калькулятор'!$G$7="30/360"),DAY(F984)=31),0,MIN(OFFSET(H984,-E984+1,0):H984)*(E984+SUMIF(OFFSET(A984,-E984+1,0):A984,"=2",OFFSET(A984,-E984+1,0):A984)))),IF(AND('депозитный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калькулятор'!$G$7="30/360"),DAY(EOMONTH(F984,0))=31),EOMONTH(F984,0)-1=F984,EOMONTH(F984,0)=F984)),IF(IF(AND(OR('депозитный калькулятор'!$G$7="30/365",'депозитный калькулятор'!$G$7="30/360"),DAY(EOMONTH($F$23,0))=31),F984=EOMONTH($F$23,0)-1,F984=EOMONTH($F$23,0)),MIN(OFFSET(H984,-(DAY(F984)-DAY($F$23)),0):H984)*E984,MIN(OFFSET(H984,-(DAY(F984)-1),0):H984)*IF(AND(OR('депозитный калькулятор'!$G$7="30/365",'депозитный калькулятор'!$G$7="30/360"),DAY(F984)&lt;30),30,DAY(F984))),IF(AND('депозитный калькулятор'!$G$10="ежемесячное, на средний остаток в течение месяца, при условии что остаток больше чем ограничение",F984='депозитный калькулятор'!$D$8,EOMONTH(F984,0)&lt;&gt;F984),IF('депозитный калькулятор'!$F$1=1,$H$24,SUM(OFFSET(Q984,-E984+1,0):Q984)),IF(AND('депозитный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калькулятор'!$G$7="30/360"),DAY(EOMONTH(F984,0))=31),EOMONTH(F984,0)-1=F984,EOMONTH(F984,0)=F984)),IF(IF(AND(OR('депозитный калькулятор'!$G$7="30/365",'депозитный калькулятор'!$G$7="30/360"),DAY(EOMONTH($F$24,0))=31),F984=EOMONTH($F$24,0)-1,F984=EOMONTH($F$24,0)),SUM(OFFSET(Q984,-E984+1,0):Q984),SUM(OFFSET(Q984,-E984+1,0):Q984)),IF('депозитный калькулятор'!$G$10="ежеквартальное",IF(F984&gt;'депозитный калькулятор'!$D$8," ",IF(AND(EOMONTH(F984,0)=F984,OR(MONTH(F984)=3,MONTH(F984)=6,MONTH(F984)=9,MONTH(F984)=12)),IF(EDATE(F984,-3)&lt;'депозитный калькулятор'!$D$7,SUM($H$23:H984),IF(MOD(YEAR(F984),4)=0,IF(AND(EOMONTH(F984,0)=F984,OR(MONTH(F984)=3,MONTH(F984)=6)),SUM(OFFSET(H984,-90,0):H984),IF(AND(EOMONTH(F984,0)=F984,OR(MONTH(F984)=9,MONTH(F984)=12)),SUM(OFFSET(H984,-91,0):H984))),IF(AND(EOMONTH(F984,0)=F984,MONTH(F984)=3),SUM(OFFSET(H984,-89,0):H984),IF(AND(EOMONTH(F984,0)=F984,MONTH(F984)=6),SUM(OFFSET(H984,-90,0):H984),IF(AND(EOMONTH(F984,0)=F984,OR(MONTH(F984)=9,MONTH(F984)=12)),SUM(OFFSET(H984,-91,0):H984)))))),IF(F984='депозитный калькулятор'!$D$8,SUM($H$23:H984)-SUM($I$23:I983),0))),IF('депозитный калькулятор'!$G$10="ежегодное",IF(F984&gt;'депозитный калькулятор'!$D$8," ",IF(F984='депозитный калькулятор'!$D$8,SUM($H$23:H984)-SUM($I$23:I983),IF(AND(EOMONTH(F984,0)=F984,MONTH(F984)=12),IF(MOD(YEAR(F983),4)=0,IF(F984-'депозитный калькулятор'!$D$7&lt;366,SUM($H$23:H984),SUM(OFFSET(H984,-365,0):H984)),IF(F984-'депозитный калькулятор'!$D$7&lt;365,SUM($H$23:H984),SUM(OFFSET(H984,-364,0):H984))),0))),IF(AND('депозитный калькулятор'!$G$10="в конце срока",'депозитный калькулятор'!$D$8=F984),SUM($H$23:H984),0))))))))))))))))))</f>
        <v xml:space="preserve"> </v>
      </c>
      <c r="J984" s="59" t="str">
        <f>IF(F984&gt;'депозитный калькулятор'!$D$8," ",IF('депозитный калькулятор'!$G$16="нет",0,IF(AND('депозитный калькулятор'!$G$17="разовая (в конце срока)",F984='депозитный калькулятор'!$D$8),'депозитный калькулятор'!$G$18,IF(AND('депозитный калькулятор'!$G$17="ежемесячная",EOMONTH(F983,0)=F983),'депозитный калькулятор'!$G$18,IF(AND('депозитный калькулятор'!$G$17="ежегодная",DAY(F983)=31,MONTH(F983)=12),'депозитный калькулятор'!$G$18,IF(AND('депозитный калькулятор'!$G$17="ежемесячная в зависимости от остатка",EOMONTH(F983,0)=F983,P983&gt;0),'депозитный калькулятор'!$G$18,IF(AND('депозитный калькулятор'!$G$17="ежегодная в зависимости от остатка",DAY(F983)=31,MONTH(F983)=12,P983&gt;0),'депозитный калькулятор'!$G$18,0)))))))</f>
        <v xml:space="preserve"> </v>
      </c>
      <c r="K984" s="135" t="str">
        <f>IF($F984=" "," ",IFERROR(VLOOKUP($F984,'депозитный калькулятор'!$B$26:$F$70,2,0),0))</f>
        <v xml:space="preserve"> </v>
      </c>
      <c r="L984" s="135" t="str">
        <f>IF($F984=" "," ",IFERROR(VLOOKUP($F984,'депозитный калькулятор'!$B$26:$F$70,3,0),0))</f>
        <v xml:space="preserve"> </v>
      </c>
      <c r="M984" s="135" t="str">
        <f>IF($F984=" "," ",IFERROR(VLOOKUP($F984,'депозитный калькулятор'!$B$26:$F$70,4,0),0))</f>
        <v xml:space="preserve"> </v>
      </c>
      <c r="N984" s="135" t="str">
        <f>IF($F984=" "," ",IFERROR(VLOOKUP($F984,'депозитный калькулятор'!$B$26:$F$70,5,0),0))</f>
        <v xml:space="preserve"> </v>
      </c>
      <c r="O984" s="146" t="str">
        <f>IF(F984&gt;'депозитный калькулятор'!$D$8," ",IF(F984='депозитный калькулятор'!$D$8,IF(AND($F$24='депозитный калькулятор'!$D$8,'депозитный калькулятор'!$G$13="нет"),-G984-IF(I984=" ",0,I984)-IF(AND(OR('депозитный калькулятор'!$G$7="30/365",'депозитный калькулятор'!$G$7="30/360"),'депозитный калькулятор'!$G$10="в начале срока"),I983,0)-L984+M984-N984,-G984-IF(I984=" ",0,I984)-L984+M984-N984),IF('депозитный калькулятор'!$G$13="есть",M984-N984+IF('депозитный калькулятор'!$G$14="есть",0,-L984),-IF(I984=" ",0,I984)-IF(AND(OR('депозитный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срока"),I983,0)+M984-N984+IF('депозитный калькулятор'!$G$14="есть",0,-L984))))</f>
        <v xml:space="preserve"> </v>
      </c>
      <c r="P984" s="147" t="str">
        <f>IF(F984&gt;'депозитный калькулятор'!$D$8," ",IF(EOMONTH(F983,0)=F983,0,IF(G984&gt;='депозитный калькулятор'!$G$19,P983,P983+1)))</f>
        <v xml:space="preserve"> </v>
      </c>
      <c r="Q984" s="138" t="str">
        <f>IF(F984=" "," ",IF(AND(OR('депозитный калькулятор'!$G$7="30/365",'депозитный калькулятор'!$G$7="30/360"),AND(MONTH(F984)=2,EOMONTH(F984,0)=F984)),IF(DAY(F984)=28,3,2),1)*IF(G984&gt;='депозитный калькулятор'!$G$11,IF(AND('депозитный калькулятор'!$G$7="факт/факт",MOD(YEAR(F984),4)=0),G984*'депозитный калькулятор'!$D$11/366,G984*'депозитный калькулятор'!$G$8),0))</f>
        <v xml:space="preserve"> </v>
      </c>
      <c r="S984" s="62" t="str">
        <f t="shared" ref="S984:S1023" ca="1" si="77">IF(S983&lt;COUNTIFS($B$23:$B$1023,"&gt;0"),S983+1," ")</f>
        <v xml:space="preserve"> </v>
      </c>
      <c r="T984" s="149" t="str">
        <f ca="1">IF(S984=" "," ",IF('депозитный калькулятор'!$G$7="30/360",DAYS360(U983,IF(DAY(U984)=31,U984-1,U984))+IF(AND(MONTH(U984)=2,U984=EOMONTH(U984,0)),30-DAY(EOMONTH(U984,0)))+T983,VLOOKUP(S984,$C$22:$F$1023,2,0)))</f>
        <v xml:space="preserve"> </v>
      </c>
      <c r="U984" s="64" t="str">
        <f t="shared" ca="1" si="75"/>
        <v xml:space="preserve"> </v>
      </c>
      <c r="V984" s="150" t="str">
        <f t="shared" ref="V984:V1023" ca="1" si="78">VLOOKUP(U984,$F$24:$O$1023,10)</f>
        <v xml:space="preserve"> </v>
      </c>
      <c r="W984" s="62" t="str">
        <f t="shared" ref="W984:W1023" ca="1" si="79">IF(S984=" "," ",VLOOKUP(U984,$F$24:$N$1023,8))</f>
        <v xml:space="preserve"> </v>
      </c>
      <c r="X984" s="141" t="str">
        <f ca="1">IF(S984=" "," ",IFERROR(VLOOKUP(U984,$F$23:$N$1023,7)+VLOOKUP(U984,$F$23:$N$1023,9)+IF(AND('депозитный калькулятор'!$G$13="нет",U984&lt;&gt;'депозитный калькулятор'!$D$8),VLOOKUP(U984,$F$23:$N$1023,4),0),0)+IF(U984='депозитный калькулятор'!$D$8,VLOOKUP(U984,$F$23:$N$1023,2)+VLOOKUP(U984,$F$23:$N$1023,4),0))</f>
        <v xml:space="preserve"> </v>
      </c>
      <c r="Y984" s="142" t="str">
        <f ca="1">IF(S984=" "," ",W984/(1+'депозитный калькулятор'!$K$8)^(T984/IF('депозитный калькулятор'!$G$7="30/360",360,365)))</f>
        <v xml:space="preserve"> </v>
      </c>
      <c r="Z984" s="142" t="str">
        <f ca="1">IF(S984=" "," ",X984/(1+'депозитный калькулятор'!$K$8)^(T984/IF('депозитный калькулятор'!$G$7="30/360",360,365)))</f>
        <v xml:space="preserve"> </v>
      </c>
      <c r="AA984" s="151"/>
      <c r="AB984" s="151"/>
      <c r="AC984" s="155"/>
      <c r="AD984" s="155"/>
    </row>
    <row r="985" spans="1:30" s="2" customFormat="1" ht="15.5" x14ac:dyDescent="0.35">
      <c r="A985" s="41" t="str">
        <f>IF(F985=" "," ",IF(OR('депозитный калькулятор'!$G$7="30/365",'депозитный калькулятор'!$G$7="30/360"),IF(AND(MONTH(F985)=2,DAY(F985)=DAY(EOMONTH(F985,0))),30-DAY(EOMONTH(F985,0)),IF(DAY(F985)=31,1," "))," "))</f>
        <v xml:space="preserve"> </v>
      </c>
      <c r="B985" s="130" t="str">
        <f t="shared" si="76"/>
        <v xml:space="preserve"> </v>
      </c>
      <c r="C985" s="130" t="str">
        <f>IF(OR(B985=0,B985=" ")," ",SUM($B$23:B985))</f>
        <v xml:space="preserve"> </v>
      </c>
      <c r="D985" s="62" t="str">
        <f>IF(D984=" "," ",IF(OR(F984='депозитный калькулятор'!$D$8,F984=" ")," ",D984+1))</f>
        <v xml:space="preserve"> </v>
      </c>
      <c r="E985" s="130" t="str">
        <f>IF(OR(F984='депозитный калькулятор'!$D$8,F984=" ")," ",IF(EOMONTH(F984,0)=F984,1,E984+1))</f>
        <v xml:space="preserve"> </v>
      </c>
      <c r="F985" s="64" t="str">
        <f>IF(F984=" "," ",IF(F984='депозитный калькулятор'!$D$8," ",F984+1))</f>
        <v xml:space="preserve"> </v>
      </c>
      <c r="G985" s="145" t="str">
        <f xml:space="preserve"> IF(F985&gt;'депозитный калькулятор'!$D$8," ",IF('депозитный калькулятор'!$G$13="есть",IF('депозитный калькулятор'!$G$14="есть",G984+IF(I984=" ",0,I984)-J985-K985+L985+M985-N985,G984+IF(I984=" ",0,I984)-J985-K985+M985-N985),IF('депозитный калькулятор'!$G$14="есть",G984-J985-K985+L985+M985-N985,G984-J985-K985+M985-N985)))</f>
        <v xml:space="preserve"> </v>
      </c>
      <c r="H985" s="133" t="str">
        <f>IF(F985&gt;'депозитный калькулятор'!$D$8," ",IF(AND(OR('депозитный калькулятор'!$G$7="30/365",'депозитный калькулятор'!$G$7="30/360"),AND(MONTH(F985)=2,EOMONTH(F985,0)=F985)),IF(DAY(F985)=28,3*G985*'депозитный калькулятор'!$G$8,2*G985*'депозитный калькулятор'!$G$8),IF(AND(OR('депозитный калькулятор'!$G$7="30/365",'депозитный калькулятор'!$G$7="30/360"),DAY(F985)=31)," ",IF(AND('депозитный калькулятор'!$G$7="факт/факт",MOD(YEAR(F985),4)=0),G985*'депозитный калькулятор'!$D$11/366,G985*'депозитный калькулятор'!$G$8))))</f>
        <v xml:space="preserve"> </v>
      </c>
      <c r="I985" s="134" t="str">
        <f ca="1">IF(F985=" "," ",IF('депозитный калькулятор'!$G$10="ежедневное",H985,IF(AND('депозитный калькулятор'!$G$10="еженедельное",WEEKDAY(F985,2)=7),SUM(OFFSET(H985,-6,0):H985),IF(AND('депозитный калькулятор'!$G$10="еженедельное",F985='депозитный калькулятор'!$D$8),SUM($H$23:H985)-SUM($I$23:I984),IF(AND('депозитный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недели",WEEKDAY(F985,2)=7),MIN(OFFSET(H985,-6,0):H985)*(COUNTIF(OFFSET(H985,-6,0):H985,"&gt;0")+SUMIF(OFFSET(A985,-WEEKDAY(F985,2),0):A985,"=2",OFFSET(A985,-WEEKDAY(F985,2),0):A985)),IF(AND('депозитный калькулятор'!$G$10="еженедельное, на минимальную сумму зафиксированную в течение недели",F985='депозитный калькулятор'!$D$8,WEEKDAY(F985,2)&lt;&gt;7),MIN(OFFSET(H985,-WEEKDAY(F985,2),0):H985)*(COUNTIF(OFFSET(H985,-WEEKDAY(F985,2)+1,0):H985,"&gt;0")+SUM(OFFSET(A985,-WEEKDAY(F985,2),0):A985)),IF(AND('депозитный калькулятор'!$G$10="ежемесячное (в конце месяца)",F985='депозитный калькулятор'!$D$8,EOMONTH(F985,0)&lt;&gt;F985),IF('депозитный калькулятор'!$F$1=1,$H$24,SUM($H$23:H985)-SUM($I$23:I984)),IF(AND('депозитный калькулятор'!$G$10="ежемесячное (в конце месяца)",EOMONTH(F985,0)=F985),SUM($H$23:H985)-SUM($I$23:I984),IF(AND('депозитный калькулятор'!$G$10="ежемесячное (по дням открытия вклада)",F985='депозитный калькулятор'!$D$8,DAY('депозитный калькулятор'!$D$7)&lt;&gt;DAY(F985)),IF('депозитный калькулятор'!$F$1=1,$H$24,SUM($H$23:H985)-SUM($I$23:I984)),IF(AND('депозитный калькулятор'!$G$10="ежемесячное (по дням открытия вклада)",DAY('депозитный калькулятор'!$D$7)=DAY(F985)),SUM($H$23:H985)-SUM($I$23:I984),IF(AND('депозитный калькулятор'!$G$10="ежемесячное, на минимальную сумму зафиксированную в течение месяца",F985='депозитный калькулятор'!$D$8,EOMONTH(F985,0)&lt;&gt;F985),IF('депозитный калькулятор'!$F$1=1,$H$24,IF(AND(OR('депозитный калькулятор'!$G$7="30/365",'депозитный калькулятор'!$G$7="30/360"),DAY(F985)=31),0,MIN(OFFSET(H985,-E985+1,0):H985)*(E985+SUMIF(OFFSET(A985,-E985+1,0):A985,"=2",OFFSET(A985,-E985+1,0):A985)))),IF(AND('депозитный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калькулятор'!$G$7="30/360"),DAY(EOMONTH(F985,0))=31),EOMONTH(F985,0)-1=F985,EOMONTH(F985,0)=F985)),IF(IF(AND(OR('депозитный калькулятор'!$G$7="30/365",'депозитный калькулятор'!$G$7="30/360"),DAY(EOMONTH($F$23,0))=31),F985=EOMONTH($F$23,0)-1,F985=EOMONTH($F$23,0)),MIN(OFFSET(H985,-(DAY(F985)-DAY($F$23)),0):H985)*E985,MIN(OFFSET(H985,-(DAY(F985)-1),0):H985)*IF(AND(OR('депозитный калькулятор'!$G$7="30/365",'депозитный калькулятор'!$G$7="30/360"),DAY(F985)&lt;30),30,DAY(F985))),IF(AND('депозитный калькулятор'!$G$10="ежемесячное, на средний остаток в течение месяца, при условии что остаток больше чем ограничение",F985='депозитный калькулятор'!$D$8,EOMONTH(F985,0)&lt;&gt;F985),IF('депозитный калькулятор'!$F$1=1,$H$24,SUM(OFFSET(Q985,-E985+1,0):Q985)),IF(AND('депозитный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калькулятор'!$G$7="30/360"),DAY(EOMONTH(F985,0))=31),EOMONTH(F985,0)-1=F985,EOMONTH(F985,0)=F985)),IF(IF(AND(OR('депозитный калькулятор'!$G$7="30/365",'депозитный калькулятор'!$G$7="30/360"),DAY(EOMONTH($F$24,0))=31),F985=EOMONTH($F$24,0)-1,F985=EOMONTH($F$24,0)),SUM(OFFSET(Q985,-E985+1,0):Q985),SUM(OFFSET(Q985,-E985+1,0):Q985)),IF('депозитный калькулятор'!$G$10="ежеквартальное",IF(F985&gt;'депозитный калькулятор'!$D$8," ",IF(AND(EOMONTH(F985,0)=F985,OR(MONTH(F985)=3,MONTH(F985)=6,MONTH(F985)=9,MONTH(F985)=12)),IF(EDATE(F985,-3)&lt;'депозитный калькулятор'!$D$7,SUM($H$23:H985),IF(MOD(YEAR(F985),4)=0,IF(AND(EOMONTH(F985,0)=F985,OR(MONTH(F985)=3,MONTH(F985)=6)),SUM(OFFSET(H985,-90,0):H985),IF(AND(EOMONTH(F985,0)=F985,OR(MONTH(F985)=9,MONTH(F985)=12)),SUM(OFFSET(H985,-91,0):H985))),IF(AND(EOMONTH(F985,0)=F985,MONTH(F985)=3),SUM(OFFSET(H985,-89,0):H985),IF(AND(EOMONTH(F985,0)=F985,MONTH(F985)=6),SUM(OFFSET(H985,-90,0):H985),IF(AND(EOMONTH(F985,0)=F985,OR(MONTH(F985)=9,MONTH(F985)=12)),SUM(OFFSET(H985,-91,0):H985)))))),IF(F985='депозитный калькулятор'!$D$8,SUM($H$23:H985)-SUM($I$23:I984),0))),IF('депозитный калькулятор'!$G$10="ежегодное",IF(F985&gt;'депозитный калькулятор'!$D$8," ",IF(F985='депозитный калькулятор'!$D$8,SUM($H$23:H985)-SUM($I$23:I984),IF(AND(EOMONTH(F985,0)=F985,MONTH(F985)=12),IF(MOD(YEAR(F984),4)=0,IF(F985-'депозитный калькулятор'!$D$7&lt;366,SUM($H$23:H985),SUM(OFFSET(H985,-365,0):H985)),IF(F985-'депозитный калькулятор'!$D$7&lt;365,SUM($H$23:H985),SUM(OFFSET(H985,-364,0):H985))),0))),IF(AND('депозитный калькулятор'!$G$10="в конце срока",'депозитный калькулятор'!$D$8=F985),SUM($H$23:H985),0))))))))))))))))))</f>
        <v xml:space="preserve"> </v>
      </c>
      <c r="J985" s="59" t="str">
        <f>IF(F985&gt;'депозитный калькулятор'!$D$8," ",IF('депозитный калькулятор'!$G$16="нет",0,IF(AND('депозитный калькулятор'!$G$17="разовая (в конце срока)",F985='депозитный калькулятор'!$D$8),'депозитный калькулятор'!$G$18,IF(AND('депозитный калькулятор'!$G$17="ежемесячная",EOMONTH(F984,0)=F984),'депозитный калькулятор'!$G$18,IF(AND('депозитный калькулятор'!$G$17="ежегодная",DAY(F984)=31,MONTH(F984)=12),'депозитный калькулятор'!$G$18,IF(AND('депозитный калькулятор'!$G$17="ежемесячная в зависимости от остатка",EOMONTH(F984,0)=F984,P984&gt;0),'депозитный калькулятор'!$G$18,IF(AND('депозитный калькулятор'!$G$17="ежегодная в зависимости от остатка",DAY(F984)=31,MONTH(F984)=12,P984&gt;0),'депозитный калькулятор'!$G$18,0)))))))</f>
        <v xml:space="preserve"> </v>
      </c>
      <c r="K985" s="135" t="str">
        <f>IF($F985=" "," ",IFERROR(VLOOKUP($F985,'депозитный калькулятор'!$B$26:$F$70,2,0),0))</f>
        <v xml:space="preserve"> </v>
      </c>
      <c r="L985" s="135" t="str">
        <f>IF($F985=" "," ",IFERROR(VLOOKUP($F985,'депозитный калькулятор'!$B$26:$F$70,3,0),0))</f>
        <v xml:space="preserve"> </v>
      </c>
      <c r="M985" s="135" t="str">
        <f>IF($F985=" "," ",IFERROR(VLOOKUP($F985,'депозитный калькулятор'!$B$26:$F$70,4,0),0))</f>
        <v xml:space="preserve"> </v>
      </c>
      <c r="N985" s="135" t="str">
        <f>IF($F985=" "," ",IFERROR(VLOOKUP($F985,'депозитный калькулятор'!$B$26:$F$70,5,0),0))</f>
        <v xml:space="preserve"> </v>
      </c>
      <c r="O985" s="146" t="str">
        <f>IF(F985&gt;'депозитный калькулятор'!$D$8," ",IF(F985='депозитный калькулятор'!$D$8,IF(AND($F$24='депозитный калькулятор'!$D$8,'депозитный калькулятор'!$G$13="нет"),-G985-IF(I985=" ",0,I985)-IF(AND(OR('депозитный калькулятор'!$G$7="30/365",'депозитный калькулятор'!$G$7="30/360"),'депозитный калькулятор'!$G$10="в начале срока"),I984,0)-L985+M985-N985,-G985-IF(I985=" ",0,I985)-L985+M985-N985),IF('депозитный калькулятор'!$G$13="есть",M985-N985+IF('депозитный калькулятор'!$G$14="есть",0,-L985),-IF(I985=" ",0,I985)-IF(AND(OR('депозитный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срока"),I984,0)+M985-N985+IF('депозитный калькулятор'!$G$14="есть",0,-L985))))</f>
        <v xml:space="preserve"> </v>
      </c>
      <c r="P985" s="147" t="str">
        <f>IF(F985&gt;'депозитный калькулятор'!$D$8," ",IF(EOMONTH(F984,0)=F984,0,IF(G985&gt;='депозитный калькулятор'!$G$19,P984,P984+1)))</f>
        <v xml:space="preserve"> </v>
      </c>
      <c r="Q985" s="138" t="str">
        <f>IF(F985=" "," ",IF(AND(OR('депозитный калькулятор'!$G$7="30/365",'депозитный калькулятор'!$G$7="30/360"),AND(MONTH(F985)=2,EOMONTH(F985,0)=F985)),IF(DAY(F985)=28,3,2),1)*IF(G985&gt;='депозитный калькулятор'!$G$11,IF(AND('депозитный калькулятор'!$G$7="факт/факт",MOD(YEAR(F985),4)=0),G985*'депозитный калькулятор'!$D$11/366,G985*'депозитный калькулятор'!$G$8),0))</f>
        <v xml:space="preserve"> </v>
      </c>
      <c r="S985" s="62" t="str">
        <f t="shared" ca="1" si="77"/>
        <v xml:space="preserve"> </v>
      </c>
      <c r="T985" s="149" t="str">
        <f ca="1">IF(S985=" "," ",IF('депозитный калькулятор'!$G$7="30/360",DAYS360(U984,IF(DAY(U985)=31,U985-1,U985))+IF(AND(MONTH(U985)=2,U985=EOMONTH(U985,0)),30-DAY(EOMONTH(U985,0)))+T984,VLOOKUP(S985,$C$22:$F$1023,2,0)))</f>
        <v xml:space="preserve"> </v>
      </c>
      <c r="U985" s="64" t="str">
        <f t="shared" ca="1" si="75"/>
        <v xml:space="preserve"> </v>
      </c>
      <c r="V985" s="150" t="str">
        <f t="shared" ca="1" si="78"/>
        <v xml:space="preserve"> </v>
      </c>
      <c r="W985" s="62" t="str">
        <f t="shared" ca="1" si="79"/>
        <v xml:space="preserve"> </v>
      </c>
      <c r="X985" s="141" t="str">
        <f ca="1">IF(S985=" "," ",IFERROR(VLOOKUP(U985,$F$23:$N$1023,7)+VLOOKUP(U985,$F$23:$N$1023,9)+IF(AND('депозитный калькулятор'!$G$13="нет",U985&lt;&gt;'депозитный калькулятор'!$D$8),VLOOKUP(U985,$F$23:$N$1023,4),0),0)+IF(U985='депозитный калькулятор'!$D$8,VLOOKUP(U985,$F$23:$N$1023,2)+VLOOKUP(U985,$F$23:$N$1023,4),0))</f>
        <v xml:space="preserve"> </v>
      </c>
      <c r="Y985" s="142" t="str">
        <f ca="1">IF(S985=" "," ",W985/(1+'депозитный калькулятор'!$K$8)^(T985/IF('депозитный калькулятор'!$G$7="30/360",360,365)))</f>
        <v xml:space="preserve"> </v>
      </c>
      <c r="Z985" s="142" t="str">
        <f ca="1">IF(S985=" "," ",X985/(1+'депозитный калькулятор'!$K$8)^(T985/IF('депозитный калькулятор'!$G$7="30/360",360,365)))</f>
        <v xml:space="preserve"> </v>
      </c>
      <c r="AA985" s="151"/>
      <c r="AB985" s="151"/>
      <c r="AC985" s="155"/>
      <c r="AD985" s="155"/>
    </row>
    <row r="986" spans="1:30" s="2" customFormat="1" ht="15.5" x14ac:dyDescent="0.35">
      <c r="A986" s="41" t="str">
        <f>IF(F986=" "," ",IF(OR('депозитный калькулятор'!$G$7="30/365",'депозитный калькулятор'!$G$7="30/360"),IF(AND(MONTH(F986)=2,DAY(F986)=DAY(EOMONTH(F986,0))),30-DAY(EOMONTH(F986,0)),IF(DAY(F986)=31,1," "))," "))</f>
        <v xml:space="preserve"> </v>
      </c>
      <c r="B986" s="130" t="str">
        <f t="shared" si="76"/>
        <v xml:space="preserve"> </v>
      </c>
      <c r="C986" s="130" t="str">
        <f>IF(OR(B986=0,B986=" ")," ",SUM($B$23:B986))</f>
        <v xml:space="preserve"> </v>
      </c>
      <c r="D986" s="62" t="str">
        <f>IF(D985=" "," ",IF(OR(F985='депозитный калькулятор'!$D$8,F985=" ")," ",D985+1))</f>
        <v xml:space="preserve"> </v>
      </c>
      <c r="E986" s="130" t="str">
        <f>IF(OR(F985='депозитный калькулятор'!$D$8,F985=" ")," ",IF(EOMONTH(F985,0)=F985,1,E985+1))</f>
        <v xml:space="preserve"> </v>
      </c>
      <c r="F986" s="64" t="str">
        <f>IF(F985=" "," ",IF(F985='депозитный калькулятор'!$D$8," ",F985+1))</f>
        <v xml:space="preserve"> </v>
      </c>
      <c r="G986" s="145" t="str">
        <f xml:space="preserve"> IF(F986&gt;'депозитный калькулятор'!$D$8," ",IF('депозитный калькулятор'!$G$13="есть",IF('депозитный калькулятор'!$G$14="есть",G985+IF(I985=" ",0,I985)-J986-K986+L986+M986-N986,G985+IF(I985=" ",0,I985)-J986-K986+M986-N986),IF('депозитный калькулятор'!$G$14="есть",G985-J986-K986+L986+M986-N986,G985-J986-K986+M986-N986)))</f>
        <v xml:space="preserve"> </v>
      </c>
      <c r="H986" s="133" t="str">
        <f>IF(F986&gt;'депозитный калькулятор'!$D$8," ",IF(AND(OR('депозитный калькулятор'!$G$7="30/365",'депозитный калькулятор'!$G$7="30/360"),AND(MONTH(F986)=2,EOMONTH(F986,0)=F986)),IF(DAY(F986)=28,3*G986*'депозитный калькулятор'!$G$8,2*G986*'депозитный калькулятор'!$G$8),IF(AND(OR('депозитный калькулятор'!$G$7="30/365",'депозитный калькулятор'!$G$7="30/360"),DAY(F986)=31)," ",IF(AND('депозитный калькулятор'!$G$7="факт/факт",MOD(YEAR(F986),4)=0),G986*'депозитный калькулятор'!$D$11/366,G986*'депозитный калькулятор'!$G$8))))</f>
        <v xml:space="preserve"> </v>
      </c>
      <c r="I986" s="134" t="str">
        <f ca="1">IF(F986=" "," ",IF('депозитный калькулятор'!$G$10="ежедневное",H986,IF(AND('депозитный калькулятор'!$G$10="еженедельное",WEEKDAY(F986,2)=7),SUM(OFFSET(H986,-6,0):H986),IF(AND('депозитный калькулятор'!$G$10="еженедельное",F986='депозитный калькулятор'!$D$8),SUM($H$23:H986)-SUM($I$23:I985),IF(AND('депозитный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недели",WEEKDAY(F986,2)=7),MIN(OFFSET(H986,-6,0):H986)*(COUNTIF(OFFSET(H986,-6,0):H986,"&gt;0")+SUMIF(OFFSET(A986,-WEEKDAY(F986,2),0):A986,"=2",OFFSET(A986,-WEEKDAY(F986,2),0):A986)),IF(AND('депозитный калькулятор'!$G$10="еженедельное, на минимальную сумму зафиксированную в течение недели",F986='депозитный калькулятор'!$D$8,WEEKDAY(F986,2)&lt;&gt;7),MIN(OFFSET(H986,-WEEKDAY(F986,2),0):H986)*(COUNTIF(OFFSET(H986,-WEEKDAY(F986,2)+1,0):H986,"&gt;0")+SUM(OFFSET(A986,-WEEKDAY(F986,2),0):A986)),IF(AND('депозитный калькулятор'!$G$10="ежемесячное (в конце месяца)",F986='депозитный калькулятор'!$D$8,EOMONTH(F986,0)&lt;&gt;F986),IF('депозитный калькулятор'!$F$1=1,$H$24,SUM($H$23:H986)-SUM($I$23:I985)),IF(AND('депозитный калькулятор'!$G$10="ежемесячное (в конце месяца)",EOMONTH(F986,0)=F986),SUM($H$23:H986)-SUM($I$23:I985),IF(AND('депозитный калькулятор'!$G$10="ежемесячное (по дням открытия вклада)",F986='депозитный калькулятор'!$D$8,DAY('депозитный калькулятор'!$D$7)&lt;&gt;DAY(F986)),IF('депозитный калькулятор'!$F$1=1,$H$24,SUM($H$23:H986)-SUM($I$23:I985)),IF(AND('депозитный калькулятор'!$G$10="ежемесячное (по дням открытия вклада)",DAY('депозитный калькулятор'!$D$7)=DAY(F986)),SUM($H$23:H986)-SUM($I$23:I985),IF(AND('депозитный калькулятор'!$G$10="ежемесячное, на минимальную сумму зафиксированную в течение месяца",F986='депозитный калькулятор'!$D$8,EOMONTH(F986,0)&lt;&gt;F986),IF('депозитный калькулятор'!$F$1=1,$H$24,IF(AND(OR('депозитный калькулятор'!$G$7="30/365",'депозитный калькулятор'!$G$7="30/360"),DAY(F986)=31),0,MIN(OFFSET(H986,-E986+1,0):H986)*(E986+SUMIF(OFFSET(A986,-E986+1,0):A986,"=2",OFFSET(A986,-E986+1,0):A986)))),IF(AND('депозитный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калькулятор'!$G$7="30/360"),DAY(EOMONTH(F986,0))=31),EOMONTH(F986,0)-1=F986,EOMONTH(F986,0)=F986)),IF(IF(AND(OR('депозитный калькулятор'!$G$7="30/365",'депозитный калькулятор'!$G$7="30/360"),DAY(EOMONTH($F$23,0))=31),F986=EOMONTH($F$23,0)-1,F986=EOMONTH($F$23,0)),MIN(OFFSET(H986,-(DAY(F986)-DAY($F$23)),0):H986)*E986,MIN(OFFSET(H986,-(DAY(F986)-1),0):H986)*IF(AND(OR('депозитный калькулятор'!$G$7="30/365",'депозитный калькулятор'!$G$7="30/360"),DAY(F986)&lt;30),30,DAY(F986))),IF(AND('депозитный калькулятор'!$G$10="ежемесячное, на средний остаток в течение месяца, при условии что остаток больше чем ограничение",F986='депозитный калькулятор'!$D$8,EOMONTH(F986,0)&lt;&gt;F986),IF('депозитный калькулятор'!$F$1=1,$H$24,SUM(OFFSET(Q986,-E986+1,0):Q986)),IF(AND('депозитный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калькулятор'!$G$7="30/360"),DAY(EOMONTH(F986,0))=31),EOMONTH(F986,0)-1=F986,EOMONTH(F986,0)=F986)),IF(IF(AND(OR('депозитный калькулятор'!$G$7="30/365",'депозитный калькулятор'!$G$7="30/360"),DAY(EOMONTH($F$24,0))=31),F986=EOMONTH($F$24,0)-1,F986=EOMONTH($F$24,0)),SUM(OFFSET(Q986,-E986+1,0):Q986),SUM(OFFSET(Q986,-E986+1,0):Q986)),IF('депозитный калькулятор'!$G$10="ежеквартальное",IF(F986&gt;'депозитный калькулятор'!$D$8," ",IF(AND(EOMONTH(F986,0)=F986,OR(MONTH(F986)=3,MONTH(F986)=6,MONTH(F986)=9,MONTH(F986)=12)),IF(EDATE(F986,-3)&lt;'депозитный калькулятор'!$D$7,SUM($H$23:H986),IF(MOD(YEAR(F986),4)=0,IF(AND(EOMONTH(F986,0)=F986,OR(MONTH(F986)=3,MONTH(F986)=6)),SUM(OFFSET(H986,-90,0):H986),IF(AND(EOMONTH(F986,0)=F986,OR(MONTH(F986)=9,MONTH(F986)=12)),SUM(OFFSET(H986,-91,0):H986))),IF(AND(EOMONTH(F986,0)=F986,MONTH(F986)=3),SUM(OFFSET(H986,-89,0):H986),IF(AND(EOMONTH(F986,0)=F986,MONTH(F986)=6),SUM(OFFSET(H986,-90,0):H986),IF(AND(EOMONTH(F986,0)=F986,OR(MONTH(F986)=9,MONTH(F986)=12)),SUM(OFFSET(H986,-91,0):H986)))))),IF(F986='депозитный калькулятор'!$D$8,SUM($H$23:H986)-SUM($I$23:I985),0))),IF('депозитный калькулятор'!$G$10="ежегодное",IF(F986&gt;'депозитный калькулятор'!$D$8," ",IF(F986='депозитный калькулятор'!$D$8,SUM($H$23:H986)-SUM($I$23:I985),IF(AND(EOMONTH(F986,0)=F986,MONTH(F986)=12),IF(MOD(YEAR(F985),4)=0,IF(F986-'депозитный калькулятор'!$D$7&lt;366,SUM($H$23:H986),SUM(OFFSET(H986,-365,0):H986)),IF(F986-'депозитный калькулятор'!$D$7&lt;365,SUM($H$23:H986),SUM(OFFSET(H986,-364,0):H986))),0))),IF(AND('депозитный калькулятор'!$G$10="в конце срока",'депозитный калькулятор'!$D$8=F986),SUM($H$23:H986),0))))))))))))))))))</f>
        <v xml:space="preserve"> </v>
      </c>
      <c r="J986" s="59" t="str">
        <f>IF(F986&gt;'депозитный калькулятор'!$D$8," ",IF('депозитный калькулятор'!$G$16="нет",0,IF(AND('депозитный калькулятор'!$G$17="разовая (в конце срока)",F986='депозитный калькулятор'!$D$8),'депозитный калькулятор'!$G$18,IF(AND('депозитный калькулятор'!$G$17="ежемесячная",EOMONTH(F985,0)=F985),'депозитный калькулятор'!$G$18,IF(AND('депозитный калькулятор'!$G$17="ежегодная",DAY(F985)=31,MONTH(F985)=12),'депозитный калькулятор'!$G$18,IF(AND('депозитный калькулятор'!$G$17="ежемесячная в зависимости от остатка",EOMONTH(F985,0)=F985,P985&gt;0),'депозитный калькулятор'!$G$18,IF(AND('депозитный калькулятор'!$G$17="ежегодная в зависимости от остатка",DAY(F985)=31,MONTH(F985)=12,P985&gt;0),'депозитный калькулятор'!$G$18,0)))))))</f>
        <v xml:space="preserve"> </v>
      </c>
      <c r="K986" s="135" t="str">
        <f>IF($F986=" "," ",IFERROR(VLOOKUP($F986,'депозитный калькулятор'!$B$26:$F$70,2,0),0))</f>
        <v xml:space="preserve"> </v>
      </c>
      <c r="L986" s="135" t="str">
        <f>IF($F986=" "," ",IFERROR(VLOOKUP($F986,'депозитный калькулятор'!$B$26:$F$70,3,0),0))</f>
        <v xml:space="preserve"> </v>
      </c>
      <c r="M986" s="135" t="str">
        <f>IF($F986=" "," ",IFERROR(VLOOKUP($F986,'депозитный калькулятор'!$B$26:$F$70,4,0),0))</f>
        <v xml:space="preserve"> </v>
      </c>
      <c r="N986" s="135" t="str">
        <f>IF($F986=" "," ",IFERROR(VLOOKUP($F986,'депозитный калькулятор'!$B$26:$F$70,5,0),0))</f>
        <v xml:space="preserve"> </v>
      </c>
      <c r="O986" s="146" t="str">
        <f>IF(F986&gt;'депозитный калькулятор'!$D$8," ",IF(F986='депозитный калькулятор'!$D$8,IF(AND($F$24='депозитный калькулятор'!$D$8,'депозитный калькулятор'!$G$13="нет"),-G986-IF(I986=" ",0,I986)-IF(AND(OR('депозитный калькулятор'!$G$7="30/365",'депозитный калькулятор'!$G$7="30/360"),'депозитный калькулятор'!$G$10="в начале срока"),I985,0)-L986+M986-N986,-G986-IF(I986=" ",0,I986)-L986+M986-N986),IF('депозитный калькулятор'!$G$13="есть",M986-N986+IF('депозитный калькулятор'!$G$14="есть",0,-L986),-IF(I986=" ",0,I986)-IF(AND(OR('депозитный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срока"),I985,0)+M986-N986+IF('депозитный калькулятор'!$G$14="есть",0,-L986))))</f>
        <v xml:space="preserve"> </v>
      </c>
      <c r="P986" s="147" t="str">
        <f>IF(F986&gt;'депозитный калькулятор'!$D$8," ",IF(EOMONTH(F985,0)=F985,0,IF(G986&gt;='депозитный калькулятор'!$G$19,P985,P985+1)))</f>
        <v xml:space="preserve"> </v>
      </c>
      <c r="Q986" s="138" t="str">
        <f>IF(F986=" "," ",IF(AND(OR('депозитный калькулятор'!$G$7="30/365",'депозитный калькулятор'!$G$7="30/360"),AND(MONTH(F986)=2,EOMONTH(F986,0)=F986)),IF(DAY(F986)=28,3,2),1)*IF(G986&gt;='депозитный калькулятор'!$G$11,IF(AND('депозитный калькулятор'!$G$7="факт/факт",MOD(YEAR(F986),4)=0),G986*'депозитный калькулятор'!$D$11/366,G986*'депозитный калькулятор'!$G$8),0))</f>
        <v xml:space="preserve"> </v>
      </c>
      <c r="S986" s="62" t="str">
        <f t="shared" ca="1" si="77"/>
        <v xml:space="preserve"> </v>
      </c>
      <c r="T986" s="149" t="str">
        <f ca="1">IF(S986=" "," ",IF('депозитный калькулятор'!$G$7="30/360",DAYS360(U985,IF(DAY(U986)=31,U986-1,U986))+IF(AND(MONTH(U986)=2,U986=EOMONTH(U986,0)),30-DAY(EOMONTH(U986,0)))+T985,VLOOKUP(S986,$C$22:$F$1023,2,0)))</f>
        <v xml:space="preserve"> </v>
      </c>
      <c r="U986" s="64" t="str">
        <f t="shared" ca="1" si="75"/>
        <v xml:space="preserve"> </v>
      </c>
      <c r="V986" s="150" t="str">
        <f t="shared" ca="1" si="78"/>
        <v xml:space="preserve"> </v>
      </c>
      <c r="W986" s="62" t="str">
        <f t="shared" ca="1" si="79"/>
        <v xml:space="preserve"> </v>
      </c>
      <c r="X986" s="141" t="str">
        <f ca="1">IF(S986=" "," ",IFERROR(VLOOKUP(U986,$F$23:$N$1023,7)+VLOOKUP(U986,$F$23:$N$1023,9)+IF(AND('депозитный калькулятор'!$G$13="нет",U986&lt;&gt;'депозитный калькулятор'!$D$8),VLOOKUP(U986,$F$23:$N$1023,4),0),0)+IF(U986='депозитный калькулятор'!$D$8,VLOOKUP(U986,$F$23:$N$1023,2)+VLOOKUP(U986,$F$23:$N$1023,4),0))</f>
        <v xml:space="preserve"> </v>
      </c>
      <c r="Y986" s="142" t="str">
        <f ca="1">IF(S986=" "," ",W986/(1+'депозитный калькулятор'!$K$8)^(T986/IF('депозитный калькулятор'!$G$7="30/360",360,365)))</f>
        <v xml:space="preserve"> </v>
      </c>
      <c r="Z986" s="142" t="str">
        <f ca="1">IF(S986=" "," ",X986/(1+'депозитный калькулятор'!$K$8)^(T986/IF('депозитный калькулятор'!$G$7="30/360",360,365)))</f>
        <v xml:space="preserve"> </v>
      </c>
      <c r="AA986" s="151"/>
      <c r="AB986" s="151"/>
      <c r="AC986" s="155"/>
      <c r="AD986" s="155"/>
    </row>
    <row r="987" spans="1:30" s="2" customFormat="1" ht="15.5" x14ac:dyDescent="0.35">
      <c r="A987" s="41" t="str">
        <f>IF(F987=" "," ",IF(OR('депозитный калькулятор'!$G$7="30/365",'депозитный калькулятор'!$G$7="30/360"),IF(AND(MONTH(F987)=2,DAY(F987)=DAY(EOMONTH(F987,0))),30-DAY(EOMONTH(F987,0)),IF(DAY(F987)=31,1," "))," "))</f>
        <v xml:space="preserve"> </v>
      </c>
      <c r="B987" s="130" t="str">
        <f t="shared" si="76"/>
        <v xml:space="preserve"> </v>
      </c>
      <c r="C987" s="130" t="str">
        <f>IF(OR(B987=0,B987=" ")," ",SUM($B$23:B987))</f>
        <v xml:space="preserve"> </v>
      </c>
      <c r="D987" s="62" t="str">
        <f>IF(D986=" "," ",IF(OR(F986='депозитный калькулятор'!$D$8,F986=" ")," ",D986+1))</f>
        <v xml:space="preserve"> </v>
      </c>
      <c r="E987" s="130" t="str">
        <f>IF(OR(F986='депозитный калькулятор'!$D$8,F986=" ")," ",IF(EOMONTH(F986,0)=F986,1,E986+1))</f>
        <v xml:space="preserve"> </v>
      </c>
      <c r="F987" s="64" t="str">
        <f>IF(F986=" "," ",IF(F986='депозитный калькулятор'!$D$8," ",F986+1))</f>
        <v xml:space="preserve"> </v>
      </c>
      <c r="G987" s="145" t="str">
        <f xml:space="preserve"> IF(F987&gt;'депозитный калькулятор'!$D$8," ",IF('депозитный калькулятор'!$G$13="есть",IF('депозитный калькулятор'!$G$14="есть",G986+IF(I986=" ",0,I986)-J987-K987+L987+M987-N987,G986+IF(I986=" ",0,I986)-J987-K987+M987-N987),IF('депозитный калькулятор'!$G$14="есть",G986-J987-K987+L987+M987-N987,G986-J987-K987+M987-N987)))</f>
        <v xml:space="preserve"> </v>
      </c>
      <c r="H987" s="133" t="str">
        <f>IF(F987&gt;'депозитный калькулятор'!$D$8," ",IF(AND(OR('депозитный калькулятор'!$G$7="30/365",'депозитный калькулятор'!$G$7="30/360"),AND(MONTH(F987)=2,EOMONTH(F987,0)=F987)),IF(DAY(F987)=28,3*G987*'депозитный калькулятор'!$G$8,2*G987*'депозитный калькулятор'!$G$8),IF(AND(OR('депозитный калькулятор'!$G$7="30/365",'депозитный калькулятор'!$G$7="30/360"),DAY(F987)=31)," ",IF(AND('депозитный калькулятор'!$G$7="факт/факт",MOD(YEAR(F987),4)=0),G987*'депозитный калькулятор'!$D$11/366,G987*'депозитный калькулятор'!$G$8))))</f>
        <v xml:space="preserve"> </v>
      </c>
      <c r="I987" s="134" t="str">
        <f ca="1">IF(F987=" "," ",IF('депозитный калькулятор'!$G$10="ежедневное",H987,IF(AND('депозитный калькулятор'!$G$10="еженедельное",WEEKDAY(F987,2)=7),SUM(OFFSET(H987,-6,0):H987),IF(AND('депозитный калькулятор'!$G$10="еженедельное",F987='депозитный калькулятор'!$D$8),SUM($H$23:H987)-SUM($I$23:I986),IF(AND('депозитный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недели",WEEKDAY(F987,2)=7),MIN(OFFSET(H987,-6,0):H987)*(COUNTIF(OFFSET(H987,-6,0):H987,"&gt;0")+SUMIF(OFFSET(A987,-WEEKDAY(F987,2),0):A987,"=2",OFFSET(A987,-WEEKDAY(F987,2),0):A987)),IF(AND('депозитный калькулятор'!$G$10="еженедельное, на минимальную сумму зафиксированную в течение недели",F987='депозитный калькулятор'!$D$8,WEEKDAY(F987,2)&lt;&gt;7),MIN(OFFSET(H987,-WEEKDAY(F987,2),0):H987)*(COUNTIF(OFFSET(H987,-WEEKDAY(F987,2)+1,0):H987,"&gt;0")+SUM(OFFSET(A987,-WEEKDAY(F987,2),0):A987)),IF(AND('депозитный калькулятор'!$G$10="ежемесячное (в конце месяца)",F987='депозитный калькулятор'!$D$8,EOMONTH(F987,0)&lt;&gt;F987),IF('депозитный калькулятор'!$F$1=1,$H$24,SUM($H$23:H987)-SUM($I$23:I986)),IF(AND('депозитный калькулятор'!$G$10="ежемесячное (в конце месяца)",EOMONTH(F987,0)=F987),SUM($H$23:H987)-SUM($I$23:I986),IF(AND('депозитный калькулятор'!$G$10="ежемесячное (по дням открытия вклада)",F987='депозитный калькулятор'!$D$8,DAY('депозитный калькулятор'!$D$7)&lt;&gt;DAY(F987)),IF('депозитный калькулятор'!$F$1=1,$H$24,SUM($H$23:H987)-SUM($I$23:I986)),IF(AND('депозитный калькулятор'!$G$10="ежемесячное (по дням открытия вклада)",DAY('депозитный калькулятор'!$D$7)=DAY(F987)),SUM($H$23:H987)-SUM($I$23:I986),IF(AND('депозитный калькулятор'!$G$10="ежемесячное, на минимальную сумму зафиксированную в течение месяца",F987='депозитный калькулятор'!$D$8,EOMONTH(F987,0)&lt;&gt;F987),IF('депозитный калькулятор'!$F$1=1,$H$24,IF(AND(OR('депозитный калькулятор'!$G$7="30/365",'депозитный калькулятор'!$G$7="30/360"),DAY(F987)=31),0,MIN(OFFSET(H987,-E987+1,0):H987)*(E987+SUMIF(OFFSET(A987,-E987+1,0):A987,"=2",OFFSET(A987,-E987+1,0):A987)))),IF(AND('депозитный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калькулятор'!$G$7="30/360"),DAY(EOMONTH(F987,0))=31),EOMONTH(F987,0)-1=F987,EOMONTH(F987,0)=F987)),IF(IF(AND(OR('депозитный калькулятор'!$G$7="30/365",'депозитный калькулятор'!$G$7="30/360"),DAY(EOMONTH($F$23,0))=31),F987=EOMONTH($F$23,0)-1,F987=EOMONTH($F$23,0)),MIN(OFFSET(H987,-(DAY(F987)-DAY($F$23)),0):H987)*E987,MIN(OFFSET(H987,-(DAY(F987)-1),0):H987)*IF(AND(OR('депозитный калькулятор'!$G$7="30/365",'депозитный калькулятор'!$G$7="30/360"),DAY(F987)&lt;30),30,DAY(F987))),IF(AND('депозитный калькулятор'!$G$10="ежемесячное, на средний остаток в течение месяца, при условии что остаток больше чем ограничение",F987='депозитный калькулятор'!$D$8,EOMONTH(F987,0)&lt;&gt;F987),IF('депозитный калькулятор'!$F$1=1,$H$24,SUM(OFFSET(Q987,-E987+1,0):Q987)),IF(AND('депозитный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калькулятор'!$G$7="30/360"),DAY(EOMONTH(F987,0))=31),EOMONTH(F987,0)-1=F987,EOMONTH(F987,0)=F987)),IF(IF(AND(OR('депозитный калькулятор'!$G$7="30/365",'депозитный калькулятор'!$G$7="30/360"),DAY(EOMONTH($F$24,0))=31),F987=EOMONTH($F$24,0)-1,F987=EOMONTH($F$24,0)),SUM(OFFSET(Q987,-E987+1,0):Q987),SUM(OFFSET(Q987,-E987+1,0):Q987)),IF('депозитный калькулятор'!$G$10="ежеквартальное",IF(F987&gt;'депозитный калькулятор'!$D$8," ",IF(AND(EOMONTH(F987,0)=F987,OR(MONTH(F987)=3,MONTH(F987)=6,MONTH(F987)=9,MONTH(F987)=12)),IF(EDATE(F987,-3)&lt;'депозитный калькулятор'!$D$7,SUM($H$23:H987),IF(MOD(YEAR(F987),4)=0,IF(AND(EOMONTH(F987,0)=F987,OR(MONTH(F987)=3,MONTH(F987)=6)),SUM(OFFSET(H987,-90,0):H987),IF(AND(EOMONTH(F987,0)=F987,OR(MONTH(F987)=9,MONTH(F987)=12)),SUM(OFFSET(H987,-91,0):H987))),IF(AND(EOMONTH(F987,0)=F987,MONTH(F987)=3),SUM(OFFSET(H987,-89,0):H987),IF(AND(EOMONTH(F987,0)=F987,MONTH(F987)=6),SUM(OFFSET(H987,-90,0):H987),IF(AND(EOMONTH(F987,0)=F987,OR(MONTH(F987)=9,MONTH(F987)=12)),SUM(OFFSET(H987,-91,0):H987)))))),IF(F987='депозитный калькулятор'!$D$8,SUM($H$23:H987)-SUM($I$23:I986),0))),IF('депозитный калькулятор'!$G$10="ежегодное",IF(F987&gt;'депозитный калькулятор'!$D$8," ",IF(F987='депозитный калькулятор'!$D$8,SUM($H$23:H987)-SUM($I$23:I986),IF(AND(EOMONTH(F987,0)=F987,MONTH(F987)=12),IF(MOD(YEAR(F986),4)=0,IF(F987-'депозитный калькулятор'!$D$7&lt;366,SUM($H$23:H987),SUM(OFFSET(H987,-365,0):H987)),IF(F987-'депозитный калькулятор'!$D$7&lt;365,SUM($H$23:H987),SUM(OFFSET(H987,-364,0):H987))),0))),IF(AND('депозитный калькулятор'!$G$10="в конце срока",'депозитный калькулятор'!$D$8=F987),SUM($H$23:H987),0))))))))))))))))))</f>
        <v xml:space="preserve"> </v>
      </c>
      <c r="J987" s="59" t="str">
        <f>IF(F987&gt;'депозитный калькулятор'!$D$8," ",IF('депозитный калькулятор'!$G$16="нет",0,IF(AND('депозитный калькулятор'!$G$17="разовая (в конце срока)",F987='депозитный калькулятор'!$D$8),'депозитный калькулятор'!$G$18,IF(AND('депозитный калькулятор'!$G$17="ежемесячная",EOMONTH(F986,0)=F986),'депозитный калькулятор'!$G$18,IF(AND('депозитный калькулятор'!$G$17="ежегодная",DAY(F986)=31,MONTH(F986)=12),'депозитный калькулятор'!$G$18,IF(AND('депозитный калькулятор'!$G$17="ежемесячная в зависимости от остатка",EOMONTH(F986,0)=F986,P986&gt;0),'депозитный калькулятор'!$G$18,IF(AND('депозитный калькулятор'!$G$17="ежегодная в зависимости от остатка",DAY(F986)=31,MONTH(F986)=12,P986&gt;0),'депозитный калькулятор'!$G$18,0)))))))</f>
        <v xml:space="preserve"> </v>
      </c>
      <c r="K987" s="135" t="str">
        <f>IF($F987=" "," ",IFERROR(VLOOKUP($F987,'депозитный калькулятор'!$B$26:$F$70,2,0),0))</f>
        <v xml:space="preserve"> </v>
      </c>
      <c r="L987" s="135" t="str">
        <f>IF($F987=" "," ",IFERROR(VLOOKUP($F987,'депозитный калькулятор'!$B$26:$F$70,3,0),0))</f>
        <v xml:space="preserve"> </v>
      </c>
      <c r="M987" s="135" t="str">
        <f>IF($F987=" "," ",IFERROR(VLOOKUP($F987,'депозитный калькулятор'!$B$26:$F$70,4,0),0))</f>
        <v xml:space="preserve"> </v>
      </c>
      <c r="N987" s="135" t="str">
        <f>IF($F987=" "," ",IFERROR(VLOOKUP($F987,'депозитный калькулятор'!$B$26:$F$70,5,0),0))</f>
        <v xml:space="preserve"> </v>
      </c>
      <c r="O987" s="146" t="str">
        <f>IF(F987&gt;'депозитный калькулятор'!$D$8," ",IF(F987='депозитный калькулятор'!$D$8,IF(AND($F$24='депозитный калькулятор'!$D$8,'депозитный калькулятор'!$G$13="нет"),-G987-IF(I987=" ",0,I987)-IF(AND(OR('депозитный калькулятор'!$G$7="30/365",'депозитный калькулятор'!$G$7="30/360"),'депозитный калькулятор'!$G$10="в начале срока"),I986,0)-L987+M987-N987,-G987-IF(I987=" ",0,I987)-L987+M987-N987),IF('депозитный калькулятор'!$G$13="есть",M987-N987+IF('депозитный калькулятор'!$G$14="есть",0,-L987),-IF(I987=" ",0,I987)-IF(AND(OR('депозитный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срока"),I986,0)+M987-N987+IF('депозитный калькулятор'!$G$14="есть",0,-L987))))</f>
        <v xml:space="preserve"> </v>
      </c>
      <c r="P987" s="147" t="str">
        <f>IF(F987&gt;'депозитный калькулятор'!$D$8," ",IF(EOMONTH(F986,0)=F986,0,IF(G987&gt;='депозитный калькулятор'!$G$19,P986,P986+1)))</f>
        <v xml:space="preserve"> </v>
      </c>
      <c r="Q987" s="138" t="str">
        <f>IF(F987=" "," ",IF(AND(OR('депозитный калькулятор'!$G$7="30/365",'депозитный калькулятор'!$G$7="30/360"),AND(MONTH(F987)=2,EOMONTH(F987,0)=F987)),IF(DAY(F987)=28,3,2),1)*IF(G987&gt;='депозитный калькулятор'!$G$11,IF(AND('депозитный калькулятор'!$G$7="факт/факт",MOD(YEAR(F987),4)=0),G987*'депозитный калькулятор'!$D$11/366,G987*'депозитный калькулятор'!$G$8),0))</f>
        <v xml:space="preserve"> </v>
      </c>
      <c r="S987" s="62" t="str">
        <f t="shared" ca="1" si="77"/>
        <v xml:space="preserve"> </v>
      </c>
      <c r="T987" s="149" t="str">
        <f ca="1">IF(S987=" "," ",IF('депозитный калькулятор'!$G$7="30/360",DAYS360(U986,IF(DAY(U987)=31,U987-1,U987))+IF(AND(MONTH(U987)=2,U987=EOMONTH(U987,0)),30-DAY(EOMONTH(U987,0)))+T986,VLOOKUP(S987,$C$22:$F$1023,2,0)))</f>
        <v xml:space="preserve"> </v>
      </c>
      <c r="U987" s="64" t="str">
        <f t="shared" ca="1" si="75"/>
        <v xml:space="preserve"> </v>
      </c>
      <c r="V987" s="150" t="str">
        <f t="shared" ca="1" si="78"/>
        <v xml:space="preserve"> </v>
      </c>
      <c r="W987" s="62" t="str">
        <f t="shared" ca="1" si="79"/>
        <v xml:space="preserve"> </v>
      </c>
      <c r="X987" s="141" t="str">
        <f ca="1">IF(S987=" "," ",IFERROR(VLOOKUP(U987,$F$23:$N$1023,7)+VLOOKUP(U987,$F$23:$N$1023,9)+IF(AND('депозитный калькулятор'!$G$13="нет",U987&lt;&gt;'депозитный калькулятор'!$D$8),VLOOKUP(U987,$F$23:$N$1023,4),0),0)+IF(U987='депозитный калькулятор'!$D$8,VLOOKUP(U987,$F$23:$N$1023,2)+VLOOKUP(U987,$F$23:$N$1023,4),0))</f>
        <v xml:space="preserve"> </v>
      </c>
      <c r="Y987" s="142" t="str">
        <f ca="1">IF(S987=" "," ",W987/(1+'депозитный калькулятор'!$K$8)^(T987/IF('депозитный калькулятор'!$G$7="30/360",360,365)))</f>
        <v xml:space="preserve"> </v>
      </c>
      <c r="Z987" s="142" t="str">
        <f ca="1">IF(S987=" "," ",X987/(1+'депозитный калькулятор'!$K$8)^(T987/IF('депозитный калькулятор'!$G$7="30/360",360,365)))</f>
        <v xml:space="preserve"> </v>
      </c>
      <c r="AA987" s="151"/>
      <c r="AB987" s="151"/>
      <c r="AC987" s="155"/>
      <c r="AD987" s="155"/>
    </row>
    <row r="988" spans="1:30" s="2" customFormat="1" ht="15.5" x14ac:dyDescent="0.35">
      <c r="A988" s="41" t="str">
        <f>IF(F988=" "," ",IF(OR('депозитный калькулятор'!$G$7="30/365",'депозитный калькулятор'!$G$7="30/360"),IF(AND(MONTH(F988)=2,DAY(F988)=DAY(EOMONTH(F988,0))),30-DAY(EOMONTH(F988,0)),IF(DAY(F988)=31,1," "))," "))</f>
        <v xml:space="preserve"> </v>
      </c>
      <c r="B988" s="130" t="str">
        <f t="shared" si="76"/>
        <v xml:space="preserve"> </v>
      </c>
      <c r="C988" s="130" t="str">
        <f>IF(OR(B988=0,B988=" ")," ",SUM($B$23:B988))</f>
        <v xml:space="preserve"> </v>
      </c>
      <c r="D988" s="62" t="str">
        <f>IF(D987=" "," ",IF(OR(F987='депозитный калькулятор'!$D$8,F987=" ")," ",D987+1))</f>
        <v xml:space="preserve"> </v>
      </c>
      <c r="E988" s="130" t="str">
        <f>IF(OR(F987='депозитный калькулятор'!$D$8,F987=" ")," ",IF(EOMONTH(F987,0)=F987,1,E987+1))</f>
        <v xml:space="preserve"> </v>
      </c>
      <c r="F988" s="64" t="str">
        <f>IF(F987=" "," ",IF(F987='депозитный калькулятор'!$D$8," ",F987+1))</f>
        <v xml:space="preserve"> </v>
      </c>
      <c r="G988" s="145" t="str">
        <f xml:space="preserve"> IF(F988&gt;'депозитный калькулятор'!$D$8," ",IF('депозитный калькулятор'!$G$13="есть",IF('депозитный калькулятор'!$G$14="есть",G987+IF(I987=" ",0,I987)-J988-K988+L988+M988-N988,G987+IF(I987=" ",0,I987)-J988-K988+M988-N988),IF('депозитный калькулятор'!$G$14="есть",G987-J988-K988+L988+M988-N988,G987-J988-K988+M988-N988)))</f>
        <v xml:space="preserve"> </v>
      </c>
      <c r="H988" s="133" t="str">
        <f>IF(F988&gt;'депозитный калькулятор'!$D$8," ",IF(AND(OR('депозитный калькулятор'!$G$7="30/365",'депозитный калькулятор'!$G$7="30/360"),AND(MONTH(F988)=2,EOMONTH(F988,0)=F988)),IF(DAY(F988)=28,3*G988*'депозитный калькулятор'!$G$8,2*G988*'депозитный калькулятор'!$G$8),IF(AND(OR('депозитный калькулятор'!$G$7="30/365",'депозитный калькулятор'!$G$7="30/360"),DAY(F988)=31)," ",IF(AND('депозитный калькулятор'!$G$7="факт/факт",MOD(YEAR(F988),4)=0),G988*'депозитный калькулятор'!$D$11/366,G988*'депозитный калькулятор'!$G$8))))</f>
        <v xml:space="preserve"> </v>
      </c>
      <c r="I988" s="134" t="str">
        <f ca="1">IF(F988=" "," ",IF('депозитный калькулятор'!$G$10="ежедневное",H988,IF(AND('депозитный калькулятор'!$G$10="еженедельное",WEEKDAY(F988,2)=7),SUM(OFFSET(H988,-6,0):H988),IF(AND('депозитный калькулятор'!$G$10="еженедельное",F988='депозитный калькулятор'!$D$8),SUM($H$23:H988)-SUM($I$23:I987),IF(AND('депозитный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недели",WEEKDAY(F988,2)=7),MIN(OFFSET(H988,-6,0):H988)*(COUNTIF(OFFSET(H988,-6,0):H988,"&gt;0")+SUMIF(OFFSET(A988,-WEEKDAY(F988,2),0):A988,"=2",OFFSET(A988,-WEEKDAY(F988,2),0):A988)),IF(AND('депозитный калькулятор'!$G$10="еженедельное, на минимальную сумму зафиксированную в течение недели",F988='депозитный калькулятор'!$D$8,WEEKDAY(F988,2)&lt;&gt;7),MIN(OFFSET(H988,-WEEKDAY(F988,2),0):H988)*(COUNTIF(OFFSET(H988,-WEEKDAY(F988,2)+1,0):H988,"&gt;0")+SUM(OFFSET(A988,-WEEKDAY(F988,2),0):A988)),IF(AND('депозитный калькулятор'!$G$10="ежемесячное (в конце месяца)",F988='депозитный калькулятор'!$D$8,EOMONTH(F988,0)&lt;&gt;F988),IF('депозитный калькулятор'!$F$1=1,$H$24,SUM($H$23:H988)-SUM($I$23:I987)),IF(AND('депозитный калькулятор'!$G$10="ежемесячное (в конце месяца)",EOMONTH(F988,0)=F988),SUM($H$23:H988)-SUM($I$23:I987),IF(AND('депозитный калькулятор'!$G$10="ежемесячное (по дням открытия вклада)",F988='депозитный калькулятор'!$D$8,DAY('депозитный калькулятор'!$D$7)&lt;&gt;DAY(F988)),IF('депозитный калькулятор'!$F$1=1,$H$24,SUM($H$23:H988)-SUM($I$23:I987)),IF(AND('депозитный калькулятор'!$G$10="ежемесячное (по дням открытия вклада)",DAY('депозитный калькулятор'!$D$7)=DAY(F988)),SUM($H$23:H988)-SUM($I$23:I987),IF(AND('депозитный калькулятор'!$G$10="ежемесячное, на минимальную сумму зафиксированную в течение месяца",F988='депозитный калькулятор'!$D$8,EOMONTH(F988,0)&lt;&gt;F988),IF('депозитный калькулятор'!$F$1=1,$H$24,IF(AND(OR('депозитный калькулятор'!$G$7="30/365",'депозитный калькулятор'!$G$7="30/360"),DAY(F988)=31),0,MIN(OFFSET(H988,-E988+1,0):H988)*(E988+SUMIF(OFFSET(A988,-E988+1,0):A988,"=2",OFFSET(A988,-E988+1,0):A988)))),IF(AND('депозитный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калькулятор'!$G$7="30/360"),DAY(EOMONTH(F988,0))=31),EOMONTH(F988,0)-1=F988,EOMONTH(F988,0)=F988)),IF(IF(AND(OR('депозитный калькулятор'!$G$7="30/365",'депозитный калькулятор'!$G$7="30/360"),DAY(EOMONTH($F$23,0))=31),F988=EOMONTH($F$23,0)-1,F988=EOMONTH($F$23,0)),MIN(OFFSET(H988,-(DAY(F988)-DAY($F$23)),0):H988)*E988,MIN(OFFSET(H988,-(DAY(F988)-1),0):H988)*IF(AND(OR('депозитный калькулятор'!$G$7="30/365",'депозитный калькулятор'!$G$7="30/360"),DAY(F988)&lt;30),30,DAY(F988))),IF(AND('депозитный калькулятор'!$G$10="ежемесячное, на средний остаток в течение месяца, при условии что остаток больше чем ограничение",F988='депозитный калькулятор'!$D$8,EOMONTH(F988,0)&lt;&gt;F988),IF('депозитный калькулятор'!$F$1=1,$H$24,SUM(OFFSET(Q988,-E988+1,0):Q988)),IF(AND('депозитный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калькулятор'!$G$7="30/360"),DAY(EOMONTH(F988,0))=31),EOMONTH(F988,0)-1=F988,EOMONTH(F988,0)=F988)),IF(IF(AND(OR('депозитный калькулятор'!$G$7="30/365",'депозитный калькулятор'!$G$7="30/360"),DAY(EOMONTH($F$24,0))=31),F988=EOMONTH($F$24,0)-1,F988=EOMONTH($F$24,0)),SUM(OFFSET(Q988,-E988+1,0):Q988),SUM(OFFSET(Q988,-E988+1,0):Q988)),IF('депозитный калькулятор'!$G$10="ежеквартальное",IF(F988&gt;'депозитный калькулятор'!$D$8," ",IF(AND(EOMONTH(F988,0)=F988,OR(MONTH(F988)=3,MONTH(F988)=6,MONTH(F988)=9,MONTH(F988)=12)),IF(EDATE(F988,-3)&lt;'депозитный калькулятор'!$D$7,SUM($H$23:H988),IF(MOD(YEAR(F988),4)=0,IF(AND(EOMONTH(F988,0)=F988,OR(MONTH(F988)=3,MONTH(F988)=6)),SUM(OFFSET(H988,-90,0):H988),IF(AND(EOMONTH(F988,0)=F988,OR(MONTH(F988)=9,MONTH(F988)=12)),SUM(OFFSET(H988,-91,0):H988))),IF(AND(EOMONTH(F988,0)=F988,MONTH(F988)=3),SUM(OFFSET(H988,-89,0):H988),IF(AND(EOMONTH(F988,0)=F988,MONTH(F988)=6),SUM(OFFSET(H988,-90,0):H988),IF(AND(EOMONTH(F988,0)=F988,OR(MONTH(F988)=9,MONTH(F988)=12)),SUM(OFFSET(H988,-91,0):H988)))))),IF(F988='депозитный калькулятор'!$D$8,SUM($H$23:H988)-SUM($I$23:I987),0))),IF('депозитный калькулятор'!$G$10="ежегодное",IF(F988&gt;'депозитный калькулятор'!$D$8," ",IF(F988='депозитный калькулятор'!$D$8,SUM($H$23:H988)-SUM($I$23:I987),IF(AND(EOMONTH(F988,0)=F988,MONTH(F988)=12),IF(MOD(YEAR(F987),4)=0,IF(F988-'депозитный калькулятор'!$D$7&lt;366,SUM($H$23:H988),SUM(OFFSET(H988,-365,0):H988)),IF(F988-'депозитный калькулятор'!$D$7&lt;365,SUM($H$23:H988),SUM(OFFSET(H988,-364,0):H988))),0))),IF(AND('депозитный калькулятор'!$G$10="в конце срока",'депозитный калькулятор'!$D$8=F988),SUM($H$23:H988),0))))))))))))))))))</f>
        <v xml:space="preserve"> </v>
      </c>
      <c r="J988" s="59" t="str">
        <f>IF(F988&gt;'депозитный калькулятор'!$D$8," ",IF('депозитный калькулятор'!$G$16="нет",0,IF(AND('депозитный калькулятор'!$G$17="разовая (в конце срока)",F988='депозитный калькулятор'!$D$8),'депозитный калькулятор'!$G$18,IF(AND('депозитный калькулятор'!$G$17="ежемесячная",EOMONTH(F987,0)=F987),'депозитный калькулятор'!$G$18,IF(AND('депозитный калькулятор'!$G$17="ежегодная",DAY(F987)=31,MONTH(F987)=12),'депозитный калькулятор'!$G$18,IF(AND('депозитный калькулятор'!$G$17="ежемесячная в зависимости от остатка",EOMONTH(F987,0)=F987,P987&gt;0),'депозитный калькулятор'!$G$18,IF(AND('депозитный калькулятор'!$G$17="ежегодная в зависимости от остатка",DAY(F987)=31,MONTH(F987)=12,P987&gt;0),'депозитный калькулятор'!$G$18,0)))))))</f>
        <v xml:space="preserve"> </v>
      </c>
      <c r="K988" s="135" t="str">
        <f>IF($F988=" "," ",IFERROR(VLOOKUP($F988,'депозитный калькулятор'!$B$26:$F$70,2,0),0))</f>
        <v xml:space="preserve"> </v>
      </c>
      <c r="L988" s="135" t="str">
        <f>IF($F988=" "," ",IFERROR(VLOOKUP($F988,'депозитный калькулятор'!$B$26:$F$70,3,0),0))</f>
        <v xml:space="preserve"> </v>
      </c>
      <c r="M988" s="135" t="str">
        <f>IF($F988=" "," ",IFERROR(VLOOKUP($F988,'депозитный калькулятор'!$B$26:$F$70,4,0),0))</f>
        <v xml:space="preserve"> </v>
      </c>
      <c r="N988" s="135" t="str">
        <f>IF($F988=" "," ",IFERROR(VLOOKUP($F988,'депозитный калькулятор'!$B$26:$F$70,5,0),0))</f>
        <v xml:space="preserve"> </v>
      </c>
      <c r="O988" s="146" t="str">
        <f>IF(F988&gt;'депозитный калькулятор'!$D$8," ",IF(F988='депозитный калькулятор'!$D$8,IF(AND($F$24='депозитный калькулятор'!$D$8,'депозитный калькулятор'!$G$13="нет"),-G988-IF(I988=" ",0,I988)-IF(AND(OR('депозитный калькулятор'!$G$7="30/365",'депозитный калькулятор'!$G$7="30/360"),'депозитный калькулятор'!$G$10="в начале срока"),I987,0)-L988+M988-N988,-G988-IF(I988=" ",0,I988)-L988+M988-N988),IF('депозитный калькулятор'!$G$13="есть",M988-N988+IF('депозитный калькулятор'!$G$14="есть",0,-L988),-IF(I988=" ",0,I988)-IF(AND(OR('депозитный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срока"),I987,0)+M988-N988+IF('депозитный калькулятор'!$G$14="есть",0,-L988))))</f>
        <v xml:space="preserve"> </v>
      </c>
      <c r="P988" s="147" t="str">
        <f>IF(F988&gt;'депозитный калькулятор'!$D$8," ",IF(EOMONTH(F987,0)=F987,0,IF(G988&gt;='депозитный калькулятор'!$G$19,P987,P987+1)))</f>
        <v xml:space="preserve"> </v>
      </c>
      <c r="Q988" s="138" t="str">
        <f>IF(F988=" "," ",IF(AND(OR('депозитный калькулятор'!$G$7="30/365",'депозитный калькулятор'!$G$7="30/360"),AND(MONTH(F988)=2,EOMONTH(F988,0)=F988)),IF(DAY(F988)=28,3,2),1)*IF(G988&gt;='депозитный калькулятор'!$G$11,IF(AND('депозитный калькулятор'!$G$7="факт/факт",MOD(YEAR(F988),4)=0),G988*'депозитный калькулятор'!$D$11/366,G988*'депозитный калькулятор'!$G$8),0))</f>
        <v xml:space="preserve"> </v>
      </c>
      <c r="S988" s="62" t="str">
        <f t="shared" ca="1" si="77"/>
        <v xml:space="preserve"> </v>
      </c>
      <c r="T988" s="149" t="str">
        <f ca="1">IF(S988=" "," ",IF('депозитный калькулятор'!$G$7="30/360",DAYS360(U987,IF(DAY(U988)=31,U988-1,U988))+IF(AND(MONTH(U988)=2,U988=EOMONTH(U988,0)),30-DAY(EOMONTH(U988,0)))+T987,VLOOKUP(S988,$C$22:$F$1023,2,0)))</f>
        <v xml:space="preserve"> </v>
      </c>
      <c r="U988" s="64" t="str">
        <f t="shared" ca="1" si="75"/>
        <v xml:space="preserve"> </v>
      </c>
      <c r="V988" s="150" t="str">
        <f t="shared" ca="1" si="78"/>
        <v xml:space="preserve"> </v>
      </c>
      <c r="W988" s="62" t="str">
        <f t="shared" ca="1" si="79"/>
        <v xml:space="preserve"> </v>
      </c>
      <c r="X988" s="141" t="str">
        <f ca="1">IF(S988=" "," ",IFERROR(VLOOKUP(U988,$F$23:$N$1023,7)+VLOOKUP(U988,$F$23:$N$1023,9)+IF(AND('депозитный калькулятор'!$G$13="нет",U988&lt;&gt;'депозитный калькулятор'!$D$8),VLOOKUP(U988,$F$23:$N$1023,4),0),0)+IF(U988='депозитный калькулятор'!$D$8,VLOOKUP(U988,$F$23:$N$1023,2)+VLOOKUP(U988,$F$23:$N$1023,4),0))</f>
        <v xml:space="preserve"> </v>
      </c>
      <c r="Y988" s="142" t="str">
        <f ca="1">IF(S988=" "," ",W988/(1+'депозитный калькулятор'!$K$8)^(T988/IF('депозитный калькулятор'!$G$7="30/360",360,365)))</f>
        <v xml:space="preserve"> </v>
      </c>
      <c r="Z988" s="142" t="str">
        <f ca="1">IF(S988=" "," ",X988/(1+'депозитный калькулятор'!$K$8)^(T988/IF('депозитный калькулятор'!$G$7="30/360",360,365)))</f>
        <v xml:space="preserve"> </v>
      </c>
      <c r="AA988" s="151"/>
      <c r="AB988" s="151"/>
      <c r="AC988" s="155"/>
      <c r="AD988" s="155"/>
    </row>
    <row r="989" spans="1:30" s="2" customFormat="1" ht="15.5" x14ac:dyDescent="0.35">
      <c r="A989" s="41" t="str">
        <f>IF(F989=" "," ",IF(OR('депозитный калькулятор'!$G$7="30/365",'депозитный калькулятор'!$G$7="30/360"),IF(AND(MONTH(F989)=2,DAY(F989)=DAY(EOMONTH(F989,0))),30-DAY(EOMONTH(F989,0)),IF(DAY(F989)=31,1," "))," "))</f>
        <v xml:space="preserve"> </v>
      </c>
      <c r="B989" s="130" t="str">
        <f t="shared" si="76"/>
        <v xml:space="preserve"> </v>
      </c>
      <c r="C989" s="130" t="str">
        <f>IF(OR(B989=0,B989=" ")," ",SUM($B$23:B989))</f>
        <v xml:space="preserve"> </v>
      </c>
      <c r="D989" s="62" t="str">
        <f>IF(D988=" "," ",IF(OR(F988='депозитный калькулятор'!$D$8,F988=" ")," ",D988+1))</f>
        <v xml:space="preserve"> </v>
      </c>
      <c r="E989" s="130" t="str">
        <f>IF(OR(F988='депозитный калькулятор'!$D$8,F988=" ")," ",IF(EOMONTH(F988,0)=F988,1,E988+1))</f>
        <v xml:space="preserve"> </v>
      </c>
      <c r="F989" s="64" t="str">
        <f>IF(F988=" "," ",IF(F988='депозитный калькулятор'!$D$8," ",F988+1))</f>
        <v xml:space="preserve"> </v>
      </c>
      <c r="G989" s="145" t="str">
        <f xml:space="preserve"> IF(F989&gt;'депозитный калькулятор'!$D$8," ",IF('депозитный калькулятор'!$G$13="есть",IF('депозитный калькулятор'!$G$14="есть",G988+IF(I988=" ",0,I988)-J989-K989+L989+M989-N989,G988+IF(I988=" ",0,I988)-J989-K989+M989-N989),IF('депозитный калькулятор'!$G$14="есть",G988-J989-K989+L989+M989-N989,G988-J989-K989+M989-N989)))</f>
        <v xml:space="preserve"> </v>
      </c>
      <c r="H989" s="133" t="str">
        <f>IF(F989&gt;'депозитный калькулятор'!$D$8," ",IF(AND(OR('депозитный калькулятор'!$G$7="30/365",'депозитный калькулятор'!$G$7="30/360"),AND(MONTH(F989)=2,EOMONTH(F989,0)=F989)),IF(DAY(F989)=28,3*G989*'депозитный калькулятор'!$G$8,2*G989*'депозитный калькулятор'!$G$8),IF(AND(OR('депозитный калькулятор'!$G$7="30/365",'депозитный калькулятор'!$G$7="30/360"),DAY(F989)=31)," ",IF(AND('депозитный калькулятор'!$G$7="факт/факт",MOD(YEAR(F989),4)=0),G989*'депозитный калькулятор'!$D$11/366,G989*'депозитный калькулятор'!$G$8))))</f>
        <v xml:space="preserve"> </v>
      </c>
      <c r="I989" s="134" t="str">
        <f ca="1">IF(F989=" "," ",IF('депозитный калькулятор'!$G$10="ежедневное",H989,IF(AND('депозитный калькулятор'!$G$10="еженедельное",WEEKDAY(F989,2)=7),SUM(OFFSET(H989,-6,0):H989),IF(AND('депозитный калькулятор'!$G$10="еженедельное",F989='депозитный калькулятор'!$D$8),SUM($H$23:H989)-SUM($I$23:I988),IF(AND('депозитный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недели",WEEKDAY(F989,2)=7),MIN(OFFSET(H989,-6,0):H989)*(COUNTIF(OFFSET(H989,-6,0):H989,"&gt;0")+SUMIF(OFFSET(A989,-WEEKDAY(F989,2),0):A989,"=2",OFFSET(A989,-WEEKDAY(F989,2),0):A989)),IF(AND('депозитный калькулятор'!$G$10="еженедельное, на минимальную сумму зафиксированную в течение недели",F989='депозитный калькулятор'!$D$8,WEEKDAY(F989,2)&lt;&gt;7),MIN(OFFSET(H989,-WEEKDAY(F989,2),0):H989)*(COUNTIF(OFFSET(H989,-WEEKDAY(F989,2)+1,0):H989,"&gt;0")+SUM(OFFSET(A989,-WEEKDAY(F989,2),0):A989)),IF(AND('депозитный калькулятор'!$G$10="ежемесячное (в конце месяца)",F989='депозитный калькулятор'!$D$8,EOMONTH(F989,0)&lt;&gt;F989),IF('депозитный калькулятор'!$F$1=1,$H$24,SUM($H$23:H989)-SUM($I$23:I988)),IF(AND('депозитный калькулятор'!$G$10="ежемесячное (в конце месяца)",EOMONTH(F989,0)=F989),SUM($H$23:H989)-SUM($I$23:I988),IF(AND('депозитный калькулятор'!$G$10="ежемесячное (по дням открытия вклада)",F989='депозитный калькулятор'!$D$8,DAY('депозитный калькулятор'!$D$7)&lt;&gt;DAY(F989)),IF('депозитный калькулятор'!$F$1=1,$H$24,SUM($H$23:H989)-SUM($I$23:I988)),IF(AND('депозитный калькулятор'!$G$10="ежемесячное (по дням открытия вклада)",DAY('депозитный калькулятор'!$D$7)=DAY(F989)),SUM($H$23:H989)-SUM($I$23:I988),IF(AND('депозитный калькулятор'!$G$10="ежемесячное, на минимальную сумму зафиксированную в течение месяца",F989='депозитный калькулятор'!$D$8,EOMONTH(F989,0)&lt;&gt;F989),IF('депозитный калькулятор'!$F$1=1,$H$24,IF(AND(OR('депозитный калькулятор'!$G$7="30/365",'депозитный калькулятор'!$G$7="30/360"),DAY(F989)=31),0,MIN(OFFSET(H989,-E989+1,0):H989)*(E989+SUMIF(OFFSET(A989,-E989+1,0):A989,"=2",OFFSET(A989,-E989+1,0):A989)))),IF(AND('депозитный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калькулятор'!$G$7="30/360"),DAY(EOMONTH(F989,0))=31),EOMONTH(F989,0)-1=F989,EOMONTH(F989,0)=F989)),IF(IF(AND(OR('депозитный калькулятор'!$G$7="30/365",'депозитный калькулятор'!$G$7="30/360"),DAY(EOMONTH($F$23,0))=31),F989=EOMONTH($F$23,0)-1,F989=EOMONTH($F$23,0)),MIN(OFFSET(H989,-(DAY(F989)-DAY($F$23)),0):H989)*E989,MIN(OFFSET(H989,-(DAY(F989)-1),0):H989)*IF(AND(OR('депозитный калькулятор'!$G$7="30/365",'депозитный калькулятор'!$G$7="30/360"),DAY(F989)&lt;30),30,DAY(F989))),IF(AND('депозитный калькулятор'!$G$10="ежемесячное, на средний остаток в течение месяца, при условии что остаток больше чем ограничение",F989='депозитный калькулятор'!$D$8,EOMONTH(F989,0)&lt;&gt;F989),IF('депозитный калькулятор'!$F$1=1,$H$24,SUM(OFFSET(Q989,-E989+1,0):Q989)),IF(AND('депозитный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калькулятор'!$G$7="30/360"),DAY(EOMONTH(F989,0))=31),EOMONTH(F989,0)-1=F989,EOMONTH(F989,0)=F989)),IF(IF(AND(OR('депозитный калькулятор'!$G$7="30/365",'депозитный калькулятор'!$G$7="30/360"),DAY(EOMONTH($F$24,0))=31),F989=EOMONTH($F$24,0)-1,F989=EOMONTH($F$24,0)),SUM(OFFSET(Q989,-E989+1,0):Q989),SUM(OFFSET(Q989,-E989+1,0):Q989)),IF('депозитный калькулятор'!$G$10="ежеквартальное",IF(F989&gt;'депозитный калькулятор'!$D$8," ",IF(AND(EOMONTH(F989,0)=F989,OR(MONTH(F989)=3,MONTH(F989)=6,MONTH(F989)=9,MONTH(F989)=12)),IF(EDATE(F989,-3)&lt;'депозитный калькулятор'!$D$7,SUM($H$23:H989),IF(MOD(YEAR(F989),4)=0,IF(AND(EOMONTH(F989,0)=F989,OR(MONTH(F989)=3,MONTH(F989)=6)),SUM(OFFSET(H989,-90,0):H989),IF(AND(EOMONTH(F989,0)=F989,OR(MONTH(F989)=9,MONTH(F989)=12)),SUM(OFFSET(H989,-91,0):H989))),IF(AND(EOMONTH(F989,0)=F989,MONTH(F989)=3),SUM(OFFSET(H989,-89,0):H989),IF(AND(EOMONTH(F989,0)=F989,MONTH(F989)=6),SUM(OFFSET(H989,-90,0):H989),IF(AND(EOMONTH(F989,0)=F989,OR(MONTH(F989)=9,MONTH(F989)=12)),SUM(OFFSET(H989,-91,0):H989)))))),IF(F989='депозитный калькулятор'!$D$8,SUM($H$23:H989)-SUM($I$23:I988),0))),IF('депозитный калькулятор'!$G$10="ежегодное",IF(F989&gt;'депозитный калькулятор'!$D$8," ",IF(F989='депозитный калькулятор'!$D$8,SUM($H$23:H989)-SUM($I$23:I988),IF(AND(EOMONTH(F989,0)=F989,MONTH(F989)=12),IF(MOD(YEAR(F988),4)=0,IF(F989-'депозитный калькулятор'!$D$7&lt;366,SUM($H$23:H989),SUM(OFFSET(H989,-365,0):H989)),IF(F989-'депозитный калькулятор'!$D$7&lt;365,SUM($H$23:H989),SUM(OFFSET(H989,-364,0):H989))),0))),IF(AND('депозитный калькулятор'!$G$10="в конце срока",'депозитный калькулятор'!$D$8=F989),SUM($H$23:H989),0))))))))))))))))))</f>
        <v xml:space="preserve"> </v>
      </c>
      <c r="J989" s="59" t="str">
        <f>IF(F989&gt;'депозитный калькулятор'!$D$8," ",IF('депозитный калькулятор'!$G$16="нет",0,IF(AND('депозитный калькулятор'!$G$17="разовая (в конце срока)",F989='депозитный калькулятор'!$D$8),'депозитный калькулятор'!$G$18,IF(AND('депозитный калькулятор'!$G$17="ежемесячная",EOMONTH(F988,0)=F988),'депозитный калькулятор'!$G$18,IF(AND('депозитный калькулятор'!$G$17="ежегодная",DAY(F988)=31,MONTH(F988)=12),'депозитный калькулятор'!$G$18,IF(AND('депозитный калькулятор'!$G$17="ежемесячная в зависимости от остатка",EOMONTH(F988,0)=F988,P988&gt;0),'депозитный калькулятор'!$G$18,IF(AND('депозитный калькулятор'!$G$17="ежегодная в зависимости от остатка",DAY(F988)=31,MONTH(F988)=12,P988&gt;0),'депозитный калькулятор'!$G$18,0)))))))</f>
        <v xml:space="preserve"> </v>
      </c>
      <c r="K989" s="135" t="str">
        <f>IF($F989=" "," ",IFERROR(VLOOKUP($F989,'депозитный калькулятор'!$B$26:$F$70,2,0),0))</f>
        <v xml:space="preserve"> </v>
      </c>
      <c r="L989" s="135" t="str">
        <f>IF($F989=" "," ",IFERROR(VLOOKUP($F989,'депозитный калькулятор'!$B$26:$F$70,3,0),0))</f>
        <v xml:space="preserve"> </v>
      </c>
      <c r="M989" s="135" t="str">
        <f>IF($F989=" "," ",IFERROR(VLOOKUP($F989,'депозитный калькулятор'!$B$26:$F$70,4,0),0))</f>
        <v xml:space="preserve"> </v>
      </c>
      <c r="N989" s="135" t="str">
        <f>IF($F989=" "," ",IFERROR(VLOOKUP($F989,'депозитный калькулятор'!$B$26:$F$70,5,0),0))</f>
        <v xml:space="preserve"> </v>
      </c>
      <c r="O989" s="146" t="str">
        <f>IF(F989&gt;'депозитный калькулятор'!$D$8," ",IF(F989='депозитный калькулятор'!$D$8,IF(AND($F$24='депозитный калькулятор'!$D$8,'депозитный калькулятор'!$G$13="нет"),-G989-IF(I989=" ",0,I989)-IF(AND(OR('депозитный калькулятор'!$G$7="30/365",'депозитный калькулятор'!$G$7="30/360"),'депозитный калькулятор'!$G$10="в начале срока"),I988,0)-L989+M989-N989,-G989-IF(I989=" ",0,I989)-L989+M989-N989),IF('депозитный калькулятор'!$G$13="есть",M989-N989+IF('депозитный калькулятор'!$G$14="есть",0,-L989),-IF(I989=" ",0,I989)-IF(AND(OR('депозитный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срока"),I988,0)+M989-N989+IF('депозитный калькулятор'!$G$14="есть",0,-L989))))</f>
        <v xml:space="preserve"> </v>
      </c>
      <c r="P989" s="147" t="str">
        <f>IF(F989&gt;'депозитный калькулятор'!$D$8," ",IF(EOMONTH(F988,0)=F988,0,IF(G989&gt;='депозитный калькулятор'!$G$19,P988,P988+1)))</f>
        <v xml:space="preserve"> </v>
      </c>
      <c r="Q989" s="138" t="str">
        <f>IF(F989=" "," ",IF(AND(OR('депозитный калькулятор'!$G$7="30/365",'депозитный калькулятор'!$G$7="30/360"),AND(MONTH(F989)=2,EOMONTH(F989,0)=F989)),IF(DAY(F989)=28,3,2),1)*IF(G989&gt;='депозитный калькулятор'!$G$11,IF(AND('депозитный калькулятор'!$G$7="факт/факт",MOD(YEAR(F989),4)=0),G989*'депозитный калькулятор'!$D$11/366,G989*'депозитный калькулятор'!$G$8),0))</f>
        <v xml:space="preserve"> </v>
      </c>
      <c r="S989" s="62" t="str">
        <f t="shared" ca="1" si="77"/>
        <v xml:space="preserve"> </v>
      </c>
      <c r="T989" s="149" t="str">
        <f ca="1">IF(S989=" "," ",IF('депозитный калькулятор'!$G$7="30/360",DAYS360(U988,IF(DAY(U989)=31,U989-1,U989))+IF(AND(MONTH(U989)=2,U989=EOMONTH(U989,0)),30-DAY(EOMONTH(U989,0)))+T988,VLOOKUP(S989,$C$22:$F$1023,2,0)))</f>
        <v xml:space="preserve"> </v>
      </c>
      <c r="U989" s="64" t="str">
        <f t="shared" ca="1" si="75"/>
        <v xml:space="preserve"> </v>
      </c>
      <c r="V989" s="150" t="str">
        <f t="shared" ca="1" si="78"/>
        <v xml:space="preserve"> </v>
      </c>
      <c r="W989" s="62" t="str">
        <f t="shared" ca="1" si="79"/>
        <v xml:space="preserve"> </v>
      </c>
      <c r="X989" s="141" t="str">
        <f ca="1">IF(S989=" "," ",IFERROR(VLOOKUP(U989,$F$23:$N$1023,7)+VLOOKUP(U989,$F$23:$N$1023,9)+IF(AND('депозитный калькулятор'!$G$13="нет",U989&lt;&gt;'депозитный калькулятор'!$D$8),VLOOKUP(U989,$F$23:$N$1023,4),0),0)+IF(U989='депозитный калькулятор'!$D$8,VLOOKUP(U989,$F$23:$N$1023,2)+VLOOKUP(U989,$F$23:$N$1023,4),0))</f>
        <v xml:space="preserve"> </v>
      </c>
      <c r="Y989" s="142" t="str">
        <f ca="1">IF(S989=" "," ",W989/(1+'депозитный калькулятор'!$K$8)^(T989/IF('депозитный калькулятор'!$G$7="30/360",360,365)))</f>
        <v xml:space="preserve"> </v>
      </c>
      <c r="Z989" s="142" t="str">
        <f ca="1">IF(S989=" "," ",X989/(1+'депозитный калькулятор'!$K$8)^(T989/IF('депозитный калькулятор'!$G$7="30/360",360,365)))</f>
        <v xml:space="preserve"> </v>
      </c>
      <c r="AA989" s="151"/>
      <c r="AB989" s="151"/>
      <c r="AC989" s="155"/>
      <c r="AD989" s="155"/>
    </row>
    <row r="990" spans="1:30" s="2" customFormat="1" ht="15.5" x14ac:dyDescent="0.35">
      <c r="A990" s="41" t="str">
        <f>IF(F990=" "," ",IF(OR('депозитный калькулятор'!$G$7="30/365",'депозитный калькулятор'!$G$7="30/360"),IF(AND(MONTH(F990)=2,DAY(F990)=DAY(EOMONTH(F990,0))),30-DAY(EOMONTH(F990,0)),IF(DAY(F990)=31,1," "))," "))</f>
        <v xml:space="preserve"> </v>
      </c>
      <c r="B990" s="130" t="str">
        <f t="shared" si="76"/>
        <v xml:space="preserve"> </v>
      </c>
      <c r="C990" s="130" t="str">
        <f>IF(OR(B990=0,B990=" ")," ",SUM($B$23:B990))</f>
        <v xml:space="preserve"> </v>
      </c>
      <c r="D990" s="62" t="str">
        <f>IF(D989=" "," ",IF(OR(F989='депозитный калькулятор'!$D$8,F989=" ")," ",D989+1))</f>
        <v xml:space="preserve"> </v>
      </c>
      <c r="E990" s="130" t="str">
        <f>IF(OR(F989='депозитный калькулятор'!$D$8,F989=" ")," ",IF(EOMONTH(F989,0)=F989,1,E989+1))</f>
        <v xml:space="preserve"> </v>
      </c>
      <c r="F990" s="64" t="str">
        <f>IF(F989=" "," ",IF(F989='депозитный калькулятор'!$D$8," ",F989+1))</f>
        <v xml:space="preserve"> </v>
      </c>
      <c r="G990" s="145" t="str">
        <f xml:space="preserve"> IF(F990&gt;'депозитный калькулятор'!$D$8," ",IF('депозитный калькулятор'!$G$13="есть",IF('депозитный калькулятор'!$G$14="есть",G989+IF(I989=" ",0,I989)-J990-K990+L990+M990-N990,G989+IF(I989=" ",0,I989)-J990-K990+M990-N990),IF('депозитный калькулятор'!$G$14="есть",G989-J990-K990+L990+M990-N990,G989-J990-K990+M990-N990)))</f>
        <v xml:space="preserve"> </v>
      </c>
      <c r="H990" s="133" t="str">
        <f>IF(F990&gt;'депозитный калькулятор'!$D$8," ",IF(AND(OR('депозитный калькулятор'!$G$7="30/365",'депозитный калькулятор'!$G$7="30/360"),AND(MONTH(F990)=2,EOMONTH(F990,0)=F990)),IF(DAY(F990)=28,3*G990*'депозитный калькулятор'!$G$8,2*G990*'депозитный калькулятор'!$G$8),IF(AND(OR('депозитный калькулятор'!$G$7="30/365",'депозитный калькулятор'!$G$7="30/360"),DAY(F990)=31)," ",IF(AND('депозитный калькулятор'!$G$7="факт/факт",MOD(YEAR(F990),4)=0),G990*'депозитный калькулятор'!$D$11/366,G990*'депозитный калькулятор'!$G$8))))</f>
        <v xml:space="preserve"> </v>
      </c>
      <c r="I990" s="134" t="str">
        <f ca="1">IF(F990=" "," ",IF('депозитный калькулятор'!$G$10="ежедневное",H990,IF(AND('депозитный калькулятор'!$G$10="еженедельное",WEEKDAY(F990,2)=7),SUM(OFFSET(H990,-6,0):H990),IF(AND('депозитный калькулятор'!$G$10="еженедельное",F990='депозитный калькулятор'!$D$8),SUM($H$23:H990)-SUM($I$23:I989),IF(AND('депозитный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недели",WEEKDAY(F990,2)=7),MIN(OFFSET(H990,-6,0):H990)*(COUNTIF(OFFSET(H990,-6,0):H990,"&gt;0")+SUMIF(OFFSET(A990,-WEEKDAY(F990,2),0):A990,"=2",OFFSET(A990,-WEEKDAY(F990,2),0):A990)),IF(AND('депозитный калькулятор'!$G$10="еженедельное, на минимальную сумму зафиксированную в течение недели",F990='депозитный калькулятор'!$D$8,WEEKDAY(F990,2)&lt;&gt;7),MIN(OFFSET(H990,-WEEKDAY(F990,2),0):H990)*(COUNTIF(OFFSET(H990,-WEEKDAY(F990,2)+1,0):H990,"&gt;0")+SUM(OFFSET(A990,-WEEKDAY(F990,2),0):A990)),IF(AND('депозитный калькулятор'!$G$10="ежемесячное (в конце месяца)",F990='депозитный калькулятор'!$D$8,EOMONTH(F990,0)&lt;&gt;F990),IF('депозитный калькулятор'!$F$1=1,$H$24,SUM($H$23:H990)-SUM($I$23:I989)),IF(AND('депозитный калькулятор'!$G$10="ежемесячное (в конце месяца)",EOMONTH(F990,0)=F990),SUM($H$23:H990)-SUM($I$23:I989),IF(AND('депозитный калькулятор'!$G$10="ежемесячное (по дням открытия вклада)",F990='депозитный калькулятор'!$D$8,DAY('депозитный калькулятор'!$D$7)&lt;&gt;DAY(F990)),IF('депозитный калькулятор'!$F$1=1,$H$24,SUM($H$23:H990)-SUM($I$23:I989)),IF(AND('депозитный калькулятор'!$G$10="ежемесячное (по дням открытия вклада)",DAY('депозитный калькулятор'!$D$7)=DAY(F990)),SUM($H$23:H990)-SUM($I$23:I989),IF(AND('депозитный калькулятор'!$G$10="ежемесячное, на минимальную сумму зафиксированную в течение месяца",F990='депозитный калькулятор'!$D$8,EOMONTH(F990,0)&lt;&gt;F990),IF('депозитный калькулятор'!$F$1=1,$H$24,IF(AND(OR('депозитный калькулятор'!$G$7="30/365",'депозитный калькулятор'!$G$7="30/360"),DAY(F990)=31),0,MIN(OFFSET(H990,-E990+1,0):H990)*(E990+SUMIF(OFFSET(A990,-E990+1,0):A990,"=2",OFFSET(A990,-E990+1,0):A990)))),IF(AND('депозитный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калькулятор'!$G$7="30/360"),DAY(EOMONTH(F990,0))=31),EOMONTH(F990,0)-1=F990,EOMONTH(F990,0)=F990)),IF(IF(AND(OR('депозитный калькулятор'!$G$7="30/365",'депозитный калькулятор'!$G$7="30/360"),DAY(EOMONTH($F$23,0))=31),F990=EOMONTH($F$23,0)-1,F990=EOMONTH($F$23,0)),MIN(OFFSET(H990,-(DAY(F990)-DAY($F$23)),0):H990)*E990,MIN(OFFSET(H990,-(DAY(F990)-1),0):H990)*IF(AND(OR('депозитный калькулятор'!$G$7="30/365",'депозитный калькулятор'!$G$7="30/360"),DAY(F990)&lt;30),30,DAY(F990))),IF(AND('депозитный калькулятор'!$G$10="ежемесячное, на средний остаток в течение месяца, при условии что остаток больше чем ограничение",F990='депозитный калькулятор'!$D$8,EOMONTH(F990,0)&lt;&gt;F990),IF('депозитный калькулятор'!$F$1=1,$H$24,SUM(OFFSET(Q990,-E990+1,0):Q990)),IF(AND('депозитный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калькулятор'!$G$7="30/360"),DAY(EOMONTH(F990,0))=31),EOMONTH(F990,0)-1=F990,EOMONTH(F990,0)=F990)),IF(IF(AND(OR('депозитный калькулятор'!$G$7="30/365",'депозитный калькулятор'!$G$7="30/360"),DAY(EOMONTH($F$24,0))=31),F990=EOMONTH($F$24,0)-1,F990=EOMONTH($F$24,0)),SUM(OFFSET(Q990,-E990+1,0):Q990),SUM(OFFSET(Q990,-E990+1,0):Q990)),IF('депозитный калькулятор'!$G$10="ежеквартальное",IF(F990&gt;'депозитный калькулятор'!$D$8," ",IF(AND(EOMONTH(F990,0)=F990,OR(MONTH(F990)=3,MONTH(F990)=6,MONTH(F990)=9,MONTH(F990)=12)),IF(EDATE(F990,-3)&lt;'депозитный калькулятор'!$D$7,SUM($H$23:H990),IF(MOD(YEAR(F990),4)=0,IF(AND(EOMONTH(F990,0)=F990,OR(MONTH(F990)=3,MONTH(F990)=6)),SUM(OFFSET(H990,-90,0):H990),IF(AND(EOMONTH(F990,0)=F990,OR(MONTH(F990)=9,MONTH(F990)=12)),SUM(OFFSET(H990,-91,0):H990))),IF(AND(EOMONTH(F990,0)=F990,MONTH(F990)=3),SUM(OFFSET(H990,-89,0):H990),IF(AND(EOMONTH(F990,0)=F990,MONTH(F990)=6),SUM(OFFSET(H990,-90,0):H990),IF(AND(EOMONTH(F990,0)=F990,OR(MONTH(F990)=9,MONTH(F990)=12)),SUM(OFFSET(H990,-91,0):H990)))))),IF(F990='депозитный калькулятор'!$D$8,SUM($H$23:H990)-SUM($I$23:I989),0))),IF('депозитный калькулятор'!$G$10="ежегодное",IF(F990&gt;'депозитный калькулятор'!$D$8," ",IF(F990='депозитный калькулятор'!$D$8,SUM($H$23:H990)-SUM($I$23:I989),IF(AND(EOMONTH(F990,0)=F990,MONTH(F990)=12),IF(MOD(YEAR(F989),4)=0,IF(F990-'депозитный калькулятор'!$D$7&lt;366,SUM($H$23:H990),SUM(OFFSET(H990,-365,0):H990)),IF(F990-'депозитный калькулятор'!$D$7&lt;365,SUM($H$23:H990),SUM(OFFSET(H990,-364,0):H990))),0))),IF(AND('депозитный калькулятор'!$G$10="в конце срока",'депозитный калькулятор'!$D$8=F990),SUM($H$23:H990),0))))))))))))))))))</f>
        <v xml:space="preserve"> </v>
      </c>
      <c r="J990" s="59" t="str">
        <f>IF(F990&gt;'депозитный калькулятор'!$D$8," ",IF('депозитный калькулятор'!$G$16="нет",0,IF(AND('депозитный калькулятор'!$G$17="разовая (в конце срока)",F990='депозитный калькулятор'!$D$8),'депозитный калькулятор'!$G$18,IF(AND('депозитный калькулятор'!$G$17="ежемесячная",EOMONTH(F989,0)=F989),'депозитный калькулятор'!$G$18,IF(AND('депозитный калькулятор'!$G$17="ежегодная",DAY(F989)=31,MONTH(F989)=12),'депозитный калькулятор'!$G$18,IF(AND('депозитный калькулятор'!$G$17="ежемесячная в зависимости от остатка",EOMONTH(F989,0)=F989,P989&gt;0),'депозитный калькулятор'!$G$18,IF(AND('депозитный калькулятор'!$G$17="ежегодная в зависимости от остатка",DAY(F989)=31,MONTH(F989)=12,P989&gt;0),'депозитный калькулятор'!$G$18,0)))))))</f>
        <v xml:space="preserve"> </v>
      </c>
      <c r="K990" s="135" t="str">
        <f>IF($F990=" "," ",IFERROR(VLOOKUP($F990,'депозитный калькулятор'!$B$26:$F$70,2,0),0))</f>
        <v xml:space="preserve"> </v>
      </c>
      <c r="L990" s="135" t="str">
        <f>IF($F990=" "," ",IFERROR(VLOOKUP($F990,'депозитный калькулятор'!$B$26:$F$70,3,0),0))</f>
        <v xml:space="preserve"> </v>
      </c>
      <c r="M990" s="135" t="str">
        <f>IF($F990=" "," ",IFERROR(VLOOKUP($F990,'депозитный калькулятор'!$B$26:$F$70,4,0),0))</f>
        <v xml:space="preserve"> </v>
      </c>
      <c r="N990" s="135" t="str">
        <f>IF($F990=" "," ",IFERROR(VLOOKUP($F990,'депозитный калькулятор'!$B$26:$F$70,5,0),0))</f>
        <v xml:space="preserve"> </v>
      </c>
      <c r="O990" s="146" t="str">
        <f>IF(F990&gt;'депозитный калькулятор'!$D$8," ",IF(F990='депозитный калькулятор'!$D$8,IF(AND($F$24='депозитный калькулятор'!$D$8,'депозитный калькулятор'!$G$13="нет"),-G990-IF(I990=" ",0,I990)-IF(AND(OR('депозитный калькулятор'!$G$7="30/365",'депозитный калькулятор'!$G$7="30/360"),'депозитный калькулятор'!$G$10="в начале срока"),I989,0)-L990+M990-N990,-G990-IF(I990=" ",0,I990)-L990+M990-N990),IF('депозитный калькулятор'!$G$13="есть",M990-N990+IF('депозитный калькулятор'!$G$14="есть",0,-L990),-IF(I990=" ",0,I990)-IF(AND(OR('депозитный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срока"),I989,0)+M990-N990+IF('депозитный калькулятор'!$G$14="есть",0,-L990))))</f>
        <v xml:space="preserve"> </v>
      </c>
      <c r="P990" s="147" t="str">
        <f>IF(F990&gt;'депозитный калькулятор'!$D$8," ",IF(EOMONTH(F989,0)=F989,0,IF(G990&gt;='депозитный калькулятор'!$G$19,P989,P989+1)))</f>
        <v xml:space="preserve"> </v>
      </c>
      <c r="Q990" s="138" t="str">
        <f>IF(F990=" "," ",IF(AND(OR('депозитный калькулятор'!$G$7="30/365",'депозитный калькулятор'!$G$7="30/360"),AND(MONTH(F990)=2,EOMONTH(F990,0)=F990)),IF(DAY(F990)=28,3,2),1)*IF(G990&gt;='депозитный калькулятор'!$G$11,IF(AND('депозитный калькулятор'!$G$7="факт/факт",MOD(YEAR(F990),4)=0),G990*'депозитный калькулятор'!$D$11/366,G990*'депозитный калькулятор'!$G$8),0))</f>
        <v xml:space="preserve"> </v>
      </c>
      <c r="S990" s="62" t="str">
        <f t="shared" ca="1" si="77"/>
        <v xml:space="preserve"> </v>
      </c>
      <c r="T990" s="149" t="str">
        <f ca="1">IF(S990=" "," ",IF('депозитный калькулятор'!$G$7="30/360",DAYS360(U989,IF(DAY(U990)=31,U990-1,U990))+IF(AND(MONTH(U990)=2,U990=EOMONTH(U990,0)),30-DAY(EOMONTH(U990,0)))+T989,VLOOKUP(S990,$C$22:$F$1023,2,0)))</f>
        <v xml:space="preserve"> </v>
      </c>
      <c r="U990" s="64" t="str">
        <f t="shared" ca="1" si="75"/>
        <v xml:space="preserve"> </v>
      </c>
      <c r="V990" s="150" t="str">
        <f t="shared" ca="1" si="78"/>
        <v xml:space="preserve"> </v>
      </c>
      <c r="W990" s="62" t="str">
        <f t="shared" ca="1" si="79"/>
        <v xml:space="preserve"> </v>
      </c>
      <c r="X990" s="141" t="str">
        <f ca="1">IF(S990=" "," ",IFERROR(VLOOKUP(U990,$F$23:$N$1023,7)+VLOOKUP(U990,$F$23:$N$1023,9)+IF(AND('депозитный калькулятор'!$G$13="нет",U990&lt;&gt;'депозитный калькулятор'!$D$8),VLOOKUP(U990,$F$23:$N$1023,4),0),0)+IF(U990='депозитный калькулятор'!$D$8,VLOOKUP(U990,$F$23:$N$1023,2)+VLOOKUP(U990,$F$23:$N$1023,4),0))</f>
        <v xml:space="preserve"> </v>
      </c>
      <c r="Y990" s="142" t="str">
        <f ca="1">IF(S990=" "," ",W990/(1+'депозитный калькулятор'!$K$8)^(T990/IF('депозитный калькулятор'!$G$7="30/360",360,365)))</f>
        <v xml:space="preserve"> </v>
      </c>
      <c r="Z990" s="142" t="str">
        <f ca="1">IF(S990=" "," ",X990/(1+'депозитный калькулятор'!$K$8)^(T990/IF('депозитный калькулятор'!$G$7="30/360",360,365)))</f>
        <v xml:space="preserve"> </v>
      </c>
      <c r="AA990" s="151"/>
      <c r="AB990" s="151"/>
      <c r="AC990" s="155"/>
      <c r="AD990" s="155"/>
    </row>
    <row r="991" spans="1:30" s="2" customFormat="1" ht="15.5" x14ac:dyDescent="0.35">
      <c r="A991" s="41" t="str">
        <f>IF(F991=" "," ",IF(OR('депозитный калькулятор'!$G$7="30/365",'депозитный калькулятор'!$G$7="30/360"),IF(AND(MONTH(F991)=2,DAY(F991)=DAY(EOMONTH(F991,0))),30-DAY(EOMONTH(F991,0)),IF(DAY(F991)=31,1," "))," "))</f>
        <v xml:space="preserve"> </v>
      </c>
      <c r="B991" s="130" t="str">
        <f t="shared" si="76"/>
        <v xml:space="preserve"> </v>
      </c>
      <c r="C991" s="130" t="str">
        <f>IF(OR(B991=0,B991=" ")," ",SUM($B$23:B991))</f>
        <v xml:space="preserve"> </v>
      </c>
      <c r="D991" s="62" t="str">
        <f>IF(D990=" "," ",IF(OR(F990='депозитный калькулятор'!$D$8,F990=" ")," ",D990+1))</f>
        <v xml:space="preserve"> </v>
      </c>
      <c r="E991" s="130" t="str">
        <f>IF(OR(F990='депозитный калькулятор'!$D$8,F990=" ")," ",IF(EOMONTH(F990,0)=F990,1,E990+1))</f>
        <v xml:space="preserve"> </v>
      </c>
      <c r="F991" s="64" t="str">
        <f>IF(F990=" "," ",IF(F990='депозитный калькулятор'!$D$8," ",F990+1))</f>
        <v xml:space="preserve"> </v>
      </c>
      <c r="G991" s="145" t="str">
        <f xml:space="preserve"> IF(F991&gt;'депозитный калькулятор'!$D$8," ",IF('депозитный калькулятор'!$G$13="есть",IF('депозитный калькулятор'!$G$14="есть",G990+IF(I990=" ",0,I990)-J991-K991+L991+M991-N991,G990+IF(I990=" ",0,I990)-J991-K991+M991-N991),IF('депозитный калькулятор'!$G$14="есть",G990-J991-K991+L991+M991-N991,G990-J991-K991+M991-N991)))</f>
        <v xml:space="preserve"> </v>
      </c>
      <c r="H991" s="133" t="str">
        <f>IF(F991&gt;'депозитный калькулятор'!$D$8," ",IF(AND(OR('депозитный калькулятор'!$G$7="30/365",'депозитный калькулятор'!$G$7="30/360"),AND(MONTH(F991)=2,EOMONTH(F991,0)=F991)),IF(DAY(F991)=28,3*G991*'депозитный калькулятор'!$G$8,2*G991*'депозитный калькулятор'!$G$8),IF(AND(OR('депозитный калькулятор'!$G$7="30/365",'депозитный калькулятор'!$G$7="30/360"),DAY(F991)=31)," ",IF(AND('депозитный калькулятор'!$G$7="факт/факт",MOD(YEAR(F991),4)=0),G991*'депозитный калькулятор'!$D$11/366,G991*'депозитный калькулятор'!$G$8))))</f>
        <v xml:space="preserve"> </v>
      </c>
      <c r="I991" s="134" t="str">
        <f ca="1">IF(F991=" "," ",IF('депозитный калькулятор'!$G$10="ежедневное",H991,IF(AND('депозитный калькулятор'!$G$10="еженедельное",WEEKDAY(F991,2)=7),SUM(OFFSET(H991,-6,0):H991),IF(AND('депозитный калькулятор'!$G$10="еженедельное",F991='депозитный калькулятор'!$D$8),SUM($H$23:H991)-SUM($I$23:I990),IF(AND('депозитный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недели",WEEKDAY(F991,2)=7),MIN(OFFSET(H991,-6,0):H991)*(COUNTIF(OFFSET(H991,-6,0):H991,"&gt;0")+SUMIF(OFFSET(A991,-WEEKDAY(F991,2),0):A991,"=2",OFFSET(A991,-WEEKDAY(F991,2),0):A991)),IF(AND('депозитный калькулятор'!$G$10="еженедельное, на минимальную сумму зафиксированную в течение недели",F991='депозитный калькулятор'!$D$8,WEEKDAY(F991,2)&lt;&gt;7),MIN(OFFSET(H991,-WEEKDAY(F991,2),0):H991)*(COUNTIF(OFFSET(H991,-WEEKDAY(F991,2)+1,0):H991,"&gt;0")+SUM(OFFSET(A991,-WEEKDAY(F991,2),0):A991)),IF(AND('депозитный калькулятор'!$G$10="ежемесячное (в конце месяца)",F991='депозитный калькулятор'!$D$8,EOMONTH(F991,0)&lt;&gt;F991),IF('депозитный калькулятор'!$F$1=1,$H$24,SUM($H$23:H991)-SUM($I$23:I990)),IF(AND('депозитный калькулятор'!$G$10="ежемесячное (в конце месяца)",EOMONTH(F991,0)=F991),SUM($H$23:H991)-SUM($I$23:I990),IF(AND('депозитный калькулятор'!$G$10="ежемесячное (по дням открытия вклада)",F991='депозитный калькулятор'!$D$8,DAY('депозитный калькулятор'!$D$7)&lt;&gt;DAY(F991)),IF('депозитный калькулятор'!$F$1=1,$H$24,SUM($H$23:H991)-SUM($I$23:I990)),IF(AND('депозитный калькулятор'!$G$10="ежемесячное (по дням открытия вклада)",DAY('депозитный калькулятор'!$D$7)=DAY(F991)),SUM($H$23:H991)-SUM($I$23:I990),IF(AND('депозитный калькулятор'!$G$10="ежемесячное, на минимальную сумму зафиксированную в течение месяца",F991='депозитный калькулятор'!$D$8,EOMONTH(F991,0)&lt;&gt;F991),IF('депозитный калькулятор'!$F$1=1,$H$24,IF(AND(OR('депозитный калькулятор'!$G$7="30/365",'депозитный калькулятор'!$G$7="30/360"),DAY(F991)=31),0,MIN(OFFSET(H991,-E991+1,0):H991)*(E991+SUMIF(OFFSET(A991,-E991+1,0):A991,"=2",OFFSET(A991,-E991+1,0):A991)))),IF(AND('депозитный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калькулятор'!$G$7="30/360"),DAY(EOMONTH(F991,0))=31),EOMONTH(F991,0)-1=F991,EOMONTH(F991,0)=F991)),IF(IF(AND(OR('депозитный калькулятор'!$G$7="30/365",'депозитный калькулятор'!$G$7="30/360"),DAY(EOMONTH($F$23,0))=31),F991=EOMONTH($F$23,0)-1,F991=EOMONTH($F$23,0)),MIN(OFFSET(H991,-(DAY(F991)-DAY($F$23)),0):H991)*E991,MIN(OFFSET(H991,-(DAY(F991)-1),0):H991)*IF(AND(OR('депозитный калькулятор'!$G$7="30/365",'депозитный калькулятор'!$G$7="30/360"),DAY(F991)&lt;30),30,DAY(F991))),IF(AND('депозитный калькулятор'!$G$10="ежемесячное, на средний остаток в течение месяца, при условии что остаток больше чем ограничение",F991='депозитный калькулятор'!$D$8,EOMONTH(F991,0)&lt;&gt;F991),IF('депозитный калькулятор'!$F$1=1,$H$24,SUM(OFFSET(Q991,-E991+1,0):Q991)),IF(AND('депозитный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калькулятор'!$G$7="30/360"),DAY(EOMONTH(F991,0))=31),EOMONTH(F991,0)-1=F991,EOMONTH(F991,0)=F991)),IF(IF(AND(OR('депозитный калькулятор'!$G$7="30/365",'депозитный калькулятор'!$G$7="30/360"),DAY(EOMONTH($F$24,0))=31),F991=EOMONTH($F$24,0)-1,F991=EOMONTH($F$24,0)),SUM(OFFSET(Q991,-E991+1,0):Q991),SUM(OFFSET(Q991,-E991+1,0):Q991)),IF('депозитный калькулятор'!$G$10="ежеквартальное",IF(F991&gt;'депозитный калькулятор'!$D$8," ",IF(AND(EOMONTH(F991,0)=F991,OR(MONTH(F991)=3,MONTH(F991)=6,MONTH(F991)=9,MONTH(F991)=12)),IF(EDATE(F991,-3)&lt;'депозитный калькулятор'!$D$7,SUM($H$23:H991),IF(MOD(YEAR(F991),4)=0,IF(AND(EOMONTH(F991,0)=F991,OR(MONTH(F991)=3,MONTH(F991)=6)),SUM(OFFSET(H991,-90,0):H991),IF(AND(EOMONTH(F991,0)=F991,OR(MONTH(F991)=9,MONTH(F991)=12)),SUM(OFFSET(H991,-91,0):H991))),IF(AND(EOMONTH(F991,0)=F991,MONTH(F991)=3),SUM(OFFSET(H991,-89,0):H991),IF(AND(EOMONTH(F991,0)=F991,MONTH(F991)=6),SUM(OFFSET(H991,-90,0):H991),IF(AND(EOMONTH(F991,0)=F991,OR(MONTH(F991)=9,MONTH(F991)=12)),SUM(OFFSET(H991,-91,0):H991)))))),IF(F991='депозитный калькулятор'!$D$8,SUM($H$23:H991)-SUM($I$23:I990),0))),IF('депозитный калькулятор'!$G$10="ежегодное",IF(F991&gt;'депозитный калькулятор'!$D$8," ",IF(F991='депозитный калькулятор'!$D$8,SUM($H$23:H991)-SUM($I$23:I990),IF(AND(EOMONTH(F991,0)=F991,MONTH(F991)=12),IF(MOD(YEAR(F990),4)=0,IF(F991-'депозитный калькулятор'!$D$7&lt;366,SUM($H$23:H991),SUM(OFFSET(H991,-365,0):H991)),IF(F991-'депозитный калькулятор'!$D$7&lt;365,SUM($H$23:H991),SUM(OFFSET(H991,-364,0):H991))),0))),IF(AND('депозитный калькулятор'!$G$10="в конце срока",'депозитный калькулятор'!$D$8=F991),SUM($H$23:H991),0))))))))))))))))))</f>
        <v xml:space="preserve"> </v>
      </c>
      <c r="J991" s="59" t="str">
        <f>IF(F991&gt;'депозитный калькулятор'!$D$8," ",IF('депозитный калькулятор'!$G$16="нет",0,IF(AND('депозитный калькулятор'!$G$17="разовая (в конце срока)",F991='депозитный калькулятор'!$D$8),'депозитный калькулятор'!$G$18,IF(AND('депозитный калькулятор'!$G$17="ежемесячная",EOMONTH(F990,0)=F990),'депозитный калькулятор'!$G$18,IF(AND('депозитный калькулятор'!$G$17="ежегодная",DAY(F990)=31,MONTH(F990)=12),'депозитный калькулятор'!$G$18,IF(AND('депозитный калькулятор'!$G$17="ежемесячная в зависимости от остатка",EOMONTH(F990,0)=F990,P990&gt;0),'депозитный калькулятор'!$G$18,IF(AND('депозитный калькулятор'!$G$17="ежегодная в зависимости от остатка",DAY(F990)=31,MONTH(F990)=12,P990&gt;0),'депозитный калькулятор'!$G$18,0)))))))</f>
        <v xml:space="preserve"> </v>
      </c>
      <c r="K991" s="135" t="str">
        <f>IF($F991=" "," ",IFERROR(VLOOKUP($F991,'депозитный калькулятор'!$B$26:$F$70,2,0),0))</f>
        <v xml:space="preserve"> </v>
      </c>
      <c r="L991" s="135" t="str">
        <f>IF($F991=" "," ",IFERROR(VLOOKUP($F991,'депозитный калькулятор'!$B$26:$F$70,3,0),0))</f>
        <v xml:space="preserve"> </v>
      </c>
      <c r="M991" s="135" t="str">
        <f>IF($F991=" "," ",IFERROR(VLOOKUP($F991,'депозитный калькулятор'!$B$26:$F$70,4,0),0))</f>
        <v xml:space="preserve"> </v>
      </c>
      <c r="N991" s="135" t="str">
        <f>IF($F991=" "," ",IFERROR(VLOOKUP($F991,'депозитный калькулятор'!$B$26:$F$70,5,0),0))</f>
        <v xml:space="preserve"> </v>
      </c>
      <c r="O991" s="146" t="str">
        <f>IF(F991&gt;'депозитный калькулятор'!$D$8," ",IF(F991='депозитный калькулятор'!$D$8,IF(AND($F$24='депозитный калькулятор'!$D$8,'депозитный калькулятор'!$G$13="нет"),-G991-IF(I991=" ",0,I991)-IF(AND(OR('депозитный калькулятор'!$G$7="30/365",'депозитный калькулятор'!$G$7="30/360"),'депозитный калькулятор'!$G$10="в начале срока"),I990,0)-L991+M991-N991,-G991-IF(I991=" ",0,I991)-L991+M991-N991),IF('депозитный калькулятор'!$G$13="есть",M991-N991+IF('депозитный калькулятор'!$G$14="есть",0,-L991),-IF(I991=" ",0,I991)-IF(AND(OR('депозитный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срока"),I990,0)+M991-N991+IF('депозитный калькулятор'!$G$14="есть",0,-L991))))</f>
        <v xml:space="preserve"> </v>
      </c>
      <c r="P991" s="147" t="str">
        <f>IF(F991&gt;'депозитный калькулятор'!$D$8," ",IF(EOMONTH(F990,0)=F990,0,IF(G991&gt;='депозитный калькулятор'!$G$19,P990,P990+1)))</f>
        <v xml:space="preserve"> </v>
      </c>
      <c r="Q991" s="138" t="str">
        <f>IF(F991=" "," ",IF(AND(OR('депозитный калькулятор'!$G$7="30/365",'депозитный калькулятор'!$G$7="30/360"),AND(MONTH(F991)=2,EOMONTH(F991,0)=F991)),IF(DAY(F991)=28,3,2),1)*IF(G991&gt;='депозитный калькулятор'!$G$11,IF(AND('депозитный калькулятор'!$G$7="факт/факт",MOD(YEAR(F991),4)=0),G991*'депозитный калькулятор'!$D$11/366,G991*'депозитный калькулятор'!$G$8),0))</f>
        <v xml:space="preserve"> </v>
      </c>
      <c r="S991" s="62" t="str">
        <f t="shared" ca="1" si="77"/>
        <v xml:space="preserve"> </v>
      </c>
      <c r="T991" s="149" t="str">
        <f ca="1">IF(S991=" "," ",IF('депозитный калькулятор'!$G$7="30/360",DAYS360(U990,IF(DAY(U991)=31,U991-1,U991))+IF(AND(MONTH(U991)=2,U991=EOMONTH(U991,0)),30-DAY(EOMONTH(U991,0)))+T990,VLOOKUP(S991,$C$22:$F$1023,2,0)))</f>
        <v xml:space="preserve"> </v>
      </c>
      <c r="U991" s="64" t="str">
        <f t="shared" ca="1" si="75"/>
        <v xml:space="preserve"> </v>
      </c>
      <c r="V991" s="150" t="str">
        <f t="shared" ca="1" si="78"/>
        <v xml:space="preserve"> </v>
      </c>
      <c r="W991" s="62" t="str">
        <f t="shared" ca="1" si="79"/>
        <v xml:space="preserve"> </v>
      </c>
      <c r="X991" s="141" t="str">
        <f ca="1">IF(S991=" "," ",IFERROR(VLOOKUP(U991,$F$23:$N$1023,7)+VLOOKUP(U991,$F$23:$N$1023,9)+IF(AND('депозитный калькулятор'!$G$13="нет",U991&lt;&gt;'депозитный калькулятор'!$D$8),VLOOKUP(U991,$F$23:$N$1023,4),0),0)+IF(U991='депозитный калькулятор'!$D$8,VLOOKUP(U991,$F$23:$N$1023,2)+VLOOKUP(U991,$F$23:$N$1023,4),0))</f>
        <v xml:space="preserve"> </v>
      </c>
      <c r="Y991" s="142" t="str">
        <f ca="1">IF(S991=" "," ",W991/(1+'депозитный калькулятор'!$K$8)^(T991/IF('депозитный калькулятор'!$G$7="30/360",360,365)))</f>
        <v xml:space="preserve"> </v>
      </c>
      <c r="Z991" s="142" t="str">
        <f ca="1">IF(S991=" "," ",X991/(1+'депозитный калькулятор'!$K$8)^(T991/IF('депозитный калькулятор'!$G$7="30/360",360,365)))</f>
        <v xml:space="preserve"> </v>
      </c>
      <c r="AA991" s="151"/>
      <c r="AB991" s="151"/>
      <c r="AC991" s="155"/>
      <c r="AD991" s="155"/>
    </row>
    <row r="992" spans="1:30" s="2" customFormat="1" ht="15.5" x14ac:dyDescent="0.35">
      <c r="A992" s="41" t="str">
        <f>IF(F992=" "," ",IF(OR('депозитный калькулятор'!$G$7="30/365",'депозитный калькулятор'!$G$7="30/360"),IF(AND(MONTH(F992)=2,DAY(F992)=DAY(EOMONTH(F992,0))),30-DAY(EOMONTH(F992,0)),IF(DAY(F992)=31,1," "))," "))</f>
        <v xml:space="preserve"> </v>
      </c>
      <c r="B992" s="130" t="str">
        <f t="shared" si="76"/>
        <v xml:space="preserve"> </v>
      </c>
      <c r="C992" s="130" t="str">
        <f>IF(OR(B992=0,B992=" ")," ",SUM($B$23:B992))</f>
        <v xml:space="preserve"> </v>
      </c>
      <c r="D992" s="62" t="str">
        <f>IF(D991=" "," ",IF(OR(F991='депозитный калькулятор'!$D$8,F991=" ")," ",D991+1))</f>
        <v xml:space="preserve"> </v>
      </c>
      <c r="E992" s="130" t="str">
        <f>IF(OR(F991='депозитный калькулятор'!$D$8,F991=" ")," ",IF(EOMONTH(F991,0)=F991,1,E991+1))</f>
        <v xml:space="preserve"> </v>
      </c>
      <c r="F992" s="64" t="str">
        <f>IF(F991=" "," ",IF(F991='депозитный калькулятор'!$D$8," ",F991+1))</f>
        <v xml:space="preserve"> </v>
      </c>
      <c r="G992" s="145" t="str">
        <f xml:space="preserve"> IF(F992&gt;'депозитный калькулятор'!$D$8," ",IF('депозитный калькулятор'!$G$13="есть",IF('депозитный калькулятор'!$G$14="есть",G991+IF(I991=" ",0,I991)-J992-K992+L992+M992-N992,G991+IF(I991=" ",0,I991)-J992-K992+M992-N992),IF('депозитный калькулятор'!$G$14="есть",G991-J992-K992+L992+M992-N992,G991-J992-K992+M992-N992)))</f>
        <v xml:space="preserve"> </v>
      </c>
      <c r="H992" s="133" t="str">
        <f>IF(F992&gt;'депозитный калькулятор'!$D$8," ",IF(AND(OR('депозитный калькулятор'!$G$7="30/365",'депозитный калькулятор'!$G$7="30/360"),AND(MONTH(F992)=2,EOMONTH(F992,0)=F992)),IF(DAY(F992)=28,3*G992*'депозитный калькулятор'!$G$8,2*G992*'депозитный калькулятор'!$G$8),IF(AND(OR('депозитный калькулятор'!$G$7="30/365",'депозитный калькулятор'!$G$7="30/360"),DAY(F992)=31)," ",IF(AND('депозитный калькулятор'!$G$7="факт/факт",MOD(YEAR(F992),4)=0),G992*'депозитный калькулятор'!$D$11/366,G992*'депозитный калькулятор'!$G$8))))</f>
        <v xml:space="preserve"> </v>
      </c>
      <c r="I992" s="134" t="str">
        <f ca="1">IF(F992=" "," ",IF('депозитный калькулятор'!$G$10="ежедневное",H992,IF(AND('депозитный калькулятор'!$G$10="еженедельное",WEEKDAY(F992,2)=7),SUM(OFFSET(H992,-6,0):H992),IF(AND('депозитный калькулятор'!$G$10="еженедельное",F992='депозитный калькулятор'!$D$8),SUM($H$23:H992)-SUM($I$23:I991),IF(AND('депозитный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недели",WEEKDAY(F992,2)=7),MIN(OFFSET(H992,-6,0):H992)*(COUNTIF(OFFSET(H992,-6,0):H992,"&gt;0")+SUMIF(OFFSET(A992,-WEEKDAY(F992,2),0):A992,"=2",OFFSET(A992,-WEEKDAY(F992,2),0):A992)),IF(AND('депозитный калькулятор'!$G$10="еженедельное, на минимальную сумму зафиксированную в течение недели",F992='депозитный калькулятор'!$D$8,WEEKDAY(F992,2)&lt;&gt;7),MIN(OFFSET(H992,-WEEKDAY(F992,2),0):H992)*(COUNTIF(OFFSET(H992,-WEEKDAY(F992,2)+1,0):H992,"&gt;0")+SUM(OFFSET(A992,-WEEKDAY(F992,2),0):A992)),IF(AND('депозитный калькулятор'!$G$10="ежемесячное (в конце месяца)",F992='депозитный калькулятор'!$D$8,EOMONTH(F992,0)&lt;&gt;F992),IF('депозитный калькулятор'!$F$1=1,$H$24,SUM($H$23:H992)-SUM($I$23:I991)),IF(AND('депозитный калькулятор'!$G$10="ежемесячное (в конце месяца)",EOMONTH(F992,0)=F992),SUM($H$23:H992)-SUM($I$23:I991),IF(AND('депозитный калькулятор'!$G$10="ежемесячное (по дням открытия вклада)",F992='депозитный калькулятор'!$D$8,DAY('депозитный калькулятор'!$D$7)&lt;&gt;DAY(F992)),IF('депозитный калькулятор'!$F$1=1,$H$24,SUM($H$23:H992)-SUM($I$23:I991)),IF(AND('депозитный калькулятор'!$G$10="ежемесячное (по дням открытия вклада)",DAY('депозитный калькулятор'!$D$7)=DAY(F992)),SUM($H$23:H992)-SUM($I$23:I991),IF(AND('депозитный калькулятор'!$G$10="ежемесячное, на минимальную сумму зафиксированную в течение месяца",F992='депозитный калькулятор'!$D$8,EOMONTH(F992,0)&lt;&gt;F992),IF('депозитный калькулятор'!$F$1=1,$H$24,IF(AND(OR('депозитный калькулятор'!$G$7="30/365",'депозитный калькулятор'!$G$7="30/360"),DAY(F992)=31),0,MIN(OFFSET(H992,-E992+1,0):H992)*(E992+SUMIF(OFFSET(A992,-E992+1,0):A992,"=2",OFFSET(A992,-E992+1,0):A992)))),IF(AND('депозитный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калькулятор'!$G$7="30/360"),DAY(EOMONTH(F992,0))=31),EOMONTH(F992,0)-1=F992,EOMONTH(F992,0)=F992)),IF(IF(AND(OR('депозитный калькулятор'!$G$7="30/365",'депозитный калькулятор'!$G$7="30/360"),DAY(EOMONTH($F$23,0))=31),F992=EOMONTH($F$23,0)-1,F992=EOMONTH($F$23,0)),MIN(OFFSET(H992,-(DAY(F992)-DAY($F$23)),0):H992)*E992,MIN(OFFSET(H992,-(DAY(F992)-1),0):H992)*IF(AND(OR('депозитный калькулятор'!$G$7="30/365",'депозитный калькулятор'!$G$7="30/360"),DAY(F992)&lt;30),30,DAY(F992))),IF(AND('депозитный калькулятор'!$G$10="ежемесячное, на средний остаток в течение месяца, при условии что остаток больше чем ограничение",F992='депозитный калькулятор'!$D$8,EOMONTH(F992,0)&lt;&gt;F992),IF('депозитный калькулятор'!$F$1=1,$H$24,SUM(OFFSET(Q992,-E992+1,0):Q992)),IF(AND('депозитный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калькулятор'!$G$7="30/360"),DAY(EOMONTH(F992,0))=31),EOMONTH(F992,0)-1=F992,EOMONTH(F992,0)=F992)),IF(IF(AND(OR('депозитный калькулятор'!$G$7="30/365",'депозитный калькулятор'!$G$7="30/360"),DAY(EOMONTH($F$24,0))=31),F992=EOMONTH($F$24,0)-1,F992=EOMONTH($F$24,0)),SUM(OFFSET(Q992,-E992+1,0):Q992),SUM(OFFSET(Q992,-E992+1,0):Q992)),IF('депозитный калькулятор'!$G$10="ежеквартальное",IF(F992&gt;'депозитный калькулятор'!$D$8," ",IF(AND(EOMONTH(F992,0)=F992,OR(MONTH(F992)=3,MONTH(F992)=6,MONTH(F992)=9,MONTH(F992)=12)),IF(EDATE(F992,-3)&lt;'депозитный калькулятор'!$D$7,SUM($H$23:H992),IF(MOD(YEAR(F992),4)=0,IF(AND(EOMONTH(F992,0)=F992,OR(MONTH(F992)=3,MONTH(F992)=6)),SUM(OFFSET(H992,-90,0):H992),IF(AND(EOMONTH(F992,0)=F992,OR(MONTH(F992)=9,MONTH(F992)=12)),SUM(OFFSET(H992,-91,0):H992))),IF(AND(EOMONTH(F992,0)=F992,MONTH(F992)=3),SUM(OFFSET(H992,-89,0):H992),IF(AND(EOMONTH(F992,0)=F992,MONTH(F992)=6),SUM(OFFSET(H992,-90,0):H992),IF(AND(EOMONTH(F992,0)=F992,OR(MONTH(F992)=9,MONTH(F992)=12)),SUM(OFFSET(H992,-91,0):H992)))))),IF(F992='депозитный калькулятор'!$D$8,SUM($H$23:H992)-SUM($I$23:I991),0))),IF('депозитный калькулятор'!$G$10="ежегодное",IF(F992&gt;'депозитный калькулятор'!$D$8," ",IF(F992='депозитный калькулятор'!$D$8,SUM($H$23:H992)-SUM($I$23:I991),IF(AND(EOMONTH(F992,0)=F992,MONTH(F992)=12),IF(MOD(YEAR(F991),4)=0,IF(F992-'депозитный калькулятор'!$D$7&lt;366,SUM($H$23:H992),SUM(OFFSET(H992,-365,0):H992)),IF(F992-'депозитный калькулятор'!$D$7&lt;365,SUM($H$23:H992),SUM(OFFSET(H992,-364,0):H992))),0))),IF(AND('депозитный калькулятор'!$G$10="в конце срока",'депозитный калькулятор'!$D$8=F992),SUM($H$23:H992),0))))))))))))))))))</f>
        <v xml:space="preserve"> </v>
      </c>
      <c r="J992" s="59" t="str">
        <f>IF(F992&gt;'депозитный калькулятор'!$D$8," ",IF('депозитный калькулятор'!$G$16="нет",0,IF(AND('депозитный калькулятор'!$G$17="разовая (в конце срока)",F992='депозитный калькулятор'!$D$8),'депозитный калькулятор'!$G$18,IF(AND('депозитный калькулятор'!$G$17="ежемесячная",EOMONTH(F991,0)=F991),'депозитный калькулятор'!$G$18,IF(AND('депозитный калькулятор'!$G$17="ежегодная",DAY(F991)=31,MONTH(F991)=12),'депозитный калькулятор'!$G$18,IF(AND('депозитный калькулятор'!$G$17="ежемесячная в зависимости от остатка",EOMONTH(F991,0)=F991,P991&gt;0),'депозитный калькулятор'!$G$18,IF(AND('депозитный калькулятор'!$G$17="ежегодная в зависимости от остатка",DAY(F991)=31,MONTH(F991)=12,P991&gt;0),'депозитный калькулятор'!$G$18,0)))))))</f>
        <v xml:space="preserve"> </v>
      </c>
      <c r="K992" s="135" t="str">
        <f>IF($F992=" "," ",IFERROR(VLOOKUP($F992,'депозитный калькулятор'!$B$26:$F$70,2,0),0))</f>
        <v xml:space="preserve"> </v>
      </c>
      <c r="L992" s="135" t="str">
        <f>IF($F992=" "," ",IFERROR(VLOOKUP($F992,'депозитный калькулятор'!$B$26:$F$70,3,0),0))</f>
        <v xml:space="preserve"> </v>
      </c>
      <c r="M992" s="135" t="str">
        <f>IF($F992=" "," ",IFERROR(VLOOKUP($F992,'депозитный калькулятор'!$B$26:$F$70,4,0),0))</f>
        <v xml:space="preserve"> </v>
      </c>
      <c r="N992" s="135" t="str">
        <f>IF($F992=" "," ",IFERROR(VLOOKUP($F992,'депозитный калькулятор'!$B$26:$F$70,5,0),0))</f>
        <v xml:space="preserve"> </v>
      </c>
      <c r="O992" s="146" t="str">
        <f>IF(F992&gt;'депозитный калькулятор'!$D$8," ",IF(F992='депозитный калькулятор'!$D$8,IF(AND($F$24='депозитный калькулятор'!$D$8,'депозитный калькулятор'!$G$13="нет"),-G992-IF(I992=" ",0,I992)-IF(AND(OR('депозитный калькулятор'!$G$7="30/365",'депозитный калькулятор'!$G$7="30/360"),'депозитный калькулятор'!$G$10="в начале срока"),I991,0)-L992+M992-N992,-G992-IF(I992=" ",0,I992)-L992+M992-N992),IF('депозитный калькулятор'!$G$13="есть",M992-N992+IF('депозитный калькулятор'!$G$14="есть",0,-L992),-IF(I992=" ",0,I992)-IF(AND(OR('депозитный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срока"),I991,0)+M992-N992+IF('депозитный калькулятор'!$G$14="есть",0,-L992))))</f>
        <v xml:space="preserve"> </v>
      </c>
      <c r="P992" s="147" t="str">
        <f>IF(F992&gt;'депозитный калькулятор'!$D$8," ",IF(EOMONTH(F991,0)=F991,0,IF(G992&gt;='депозитный калькулятор'!$G$19,P991,P991+1)))</f>
        <v xml:space="preserve"> </v>
      </c>
      <c r="Q992" s="138" t="str">
        <f>IF(F992=" "," ",IF(AND(OR('депозитный калькулятор'!$G$7="30/365",'депозитный калькулятор'!$G$7="30/360"),AND(MONTH(F992)=2,EOMONTH(F992,0)=F992)),IF(DAY(F992)=28,3,2),1)*IF(G992&gt;='депозитный калькулятор'!$G$11,IF(AND('депозитный калькулятор'!$G$7="факт/факт",MOD(YEAR(F992),4)=0),G992*'депозитный калькулятор'!$D$11/366,G992*'депозитный калькулятор'!$G$8),0))</f>
        <v xml:space="preserve"> </v>
      </c>
      <c r="S992" s="62" t="str">
        <f t="shared" ca="1" si="77"/>
        <v xml:space="preserve"> </v>
      </c>
      <c r="T992" s="149" t="str">
        <f ca="1">IF(S992=" "," ",IF('депозитный калькулятор'!$G$7="30/360",DAYS360(U991,IF(DAY(U992)=31,U992-1,U992))+IF(AND(MONTH(U992)=2,U992=EOMONTH(U992,0)),30-DAY(EOMONTH(U992,0)))+T991,VLOOKUP(S992,$C$22:$F$1023,2,0)))</f>
        <v xml:space="preserve"> </v>
      </c>
      <c r="U992" s="64" t="str">
        <f t="shared" ca="1" si="75"/>
        <v xml:space="preserve"> </v>
      </c>
      <c r="V992" s="150" t="str">
        <f t="shared" ca="1" si="78"/>
        <v xml:space="preserve"> </v>
      </c>
      <c r="W992" s="62" t="str">
        <f t="shared" ca="1" si="79"/>
        <v xml:space="preserve"> </v>
      </c>
      <c r="X992" s="141" t="str">
        <f ca="1">IF(S992=" "," ",IFERROR(VLOOKUP(U992,$F$23:$N$1023,7)+VLOOKUP(U992,$F$23:$N$1023,9)+IF(AND('депозитный калькулятор'!$G$13="нет",U992&lt;&gt;'депозитный калькулятор'!$D$8),VLOOKUP(U992,$F$23:$N$1023,4),0),0)+IF(U992='депозитный калькулятор'!$D$8,VLOOKUP(U992,$F$23:$N$1023,2)+VLOOKUP(U992,$F$23:$N$1023,4),0))</f>
        <v xml:space="preserve"> </v>
      </c>
      <c r="Y992" s="142" t="str">
        <f ca="1">IF(S992=" "," ",W992/(1+'депозитный калькулятор'!$K$8)^(T992/IF('депозитный калькулятор'!$G$7="30/360",360,365)))</f>
        <v xml:space="preserve"> </v>
      </c>
      <c r="Z992" s="142" t="str">
        <f ca="1">IF(S992=" "," ",X992/(1+'депозитный калькулятор'!$K$8)^(T992/IF('депозитный калькулятор'!$G$7="30/360",360,365)))</f>
        <v xml:space="preserve"> </v>
      </c>
      <c r="AA992" s="151"/>
      <c r="AB992" s="151"/>
      <c r="AC992" s="155"/>
      <c r="AD992" s="155"/>
    </row>
    <row r="993" spans="1:30" s="2" customFormat="1" ht="15.5" x14ac:dyDescent="0.35">
      <c r="A993" s="41" t="str">
        <f>IF(F993=" "," ",IF(OR('депозитный калькулятор'!$G$7="30/365",'депозитный калькулятор'!$G$7="30/360"),IF(AND(MONTH(F993)=2,DAY(F993)=DAY(EOMONTH(F993,0))),30-DAY(EOMONTH(F993,0)),IF(DAY(F993)=31,1," "))," "))</f>
        <v xml:space="preserve"> </v>
      </c>
      <c r="B993" s="130" t="str">
        <f t="shared" si="76"/>
        <v xml:space="preserve"> </v>
      </c>
      <c r="C993" s="130" t="str">
        <f>IF(OR(B993=0,B993=" ")," ",SUM($B$23:B993))</f>
        <v xml:space="preserve"> </v>
      </c>
      <c r="D993" s="62" t="str">
        <f>IF(D992=" "," ",IF(OR(F992='депозитный калькулятор'!$D$8,F992=" ")," ",D992+1))</f>
        <v xml:space="preserve"> </v>
      </c>
      <c r="E993" s="130" t="str">
        <f>IF(OR(F992='депозитный калькулятор'!$D$8,F992=" ")," ",IF(EOMONTH(F992,0)=F992,1,E992+1))</f>
        <v xml:space="preserve"> </v>
      </c>
      <c r="F993" s="64" t="str">
        <f>IF(F992=" "," ",IF(F992='депозитный калькулятор'!$D$8," ",F992+1))</f>
        <v xml:space="preserve"> </v>
      </c>
      <c r="G993" s="145" t="str">
        <f xml:space="preserve"> IF(F993&gt;'депозитный калькулятор'!$D$8," ",IF('депозитный калькулятор'!$G$13="есть",IF('депозитный калькулятор'!$G$14="есть",G992+IF(I992=" ",0,I992)-J993-K993+L993+M993-N993,G992+IF(I992=" ",0,I992)-J993-K993+M993-N993),IF('депозитный калькулятор'!$G$14="есть",G992-J993-K993+L993+M993-N993,G992-J993-K993+M993-N993)))</f>
        <v xml:space="preserve"> </v>
      </c>
      <c r="H993" s="133" t="str">
        <f>IF(F993&gt;'депозитный калькулятор'!$D$8," ",IF(AND(OR('депозитный калькулятор'!$G$7="30/365",'депозитный калькулятор'!$G$7="30/360"),AND(MONTH(F993)=2,EOMONTH(F993,0)=F993)),IF(DAY(F993)=28,3*G993*'депозитный калькулятор'!$G$8,2*G993*'депозитный калькулятор'!$G$8),IF(AND(OR('депозитный калькулятор'!$G$7="30/365",'депозитный калькулятор'!$G$7="30/360"),DAY(F993)=31)," ",IF(AND('депозитный калькулятор'!$G$7="факт/факт",MOD(YEAR(F993),4)=0),G993*'депозитный калькулятор'!$D$11/366,G993*'депозитный калькулятор'!$G$8))))</f>
        <v xml:space="preserve"> </v>
      </c>
      <c r="I993" s="134" t="str">
        <f ca="1">IF(F993=" "," ",IF('депозитный калькулятор'!$G$10="ежедневное",H993,IF(AND('депозитный калькулятор'!$G$10="еженедельное",WEEKDAY(F993,2)=7),SUM(OFFSET(H993,-6,0):H993),IF(AND('депозитный калькулятор'!$G$10="еженедельное",F993='депозитный калькулятор'!$D$8),SUM($H$23:H993)-SUM($I$23:I992),IF(AND('депозитный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недели",WEEKDAY(F993,2)=7),MIN(OFFSET(H993,-6,0):H993)*(COUNTIF(OFFSET(H993,-6,0):H993,"&gt;0")+SUMIF(OFFSET(A993,-WEEKDAY(F993,2),0):A993,"=2",OFFSET(A993,-WEEKDAY(F993,2),0):A993)),IF(AND('депозитный калькулятор'!$G$10="еженедельное, на минимальную сумму зафиксированную в течение недели",F993='депозитный калькулятор'!$D$8,WEEKDAY(F993,2)&lt;&gt;7),MIN(OFFSET(H993,-WEEKDAY(F993,2),0):H993)*(COUNTIF(OFFSET(H993,-WEEKDAY(F993,2)+1,0):H993,"&gt;0")+SUM(OFFSET(A993,-WEEKDAY(F993,2),0):A993)),IF(AND('депозитный калькулятор'!$G$10="ежемесячное (в конце месяца)",F993='депозитный калькулятор'!$D$8,EOMONTH(F993,0)&lt;&gt;F993),IF('депозитный калькулятор'!$F$1=1,$H$24,SUM($H$23:H993)-SUM($I$23:I992)),IF(AND('депозитный калькулятор'!$G$10="ежемесячное (в конце месяца)",EOMONTH(F993,0)=F993),SUM($H$23:H993)-SUM($I$23:I992),IF(AND('депозитный калькулятор'!$G$10="ежемесячное (по дням открытия вклада)",F993='депозитный калькулятор'!$D$8,DAY('депозитный калькулятор'!$D$7)&lt;&gt;DAY(F993)),IF('депозитный калькулятор'!$F$1=1,$H$24,SUM($H$23:H993)-SUM($I$23:I992)),IF(AND('депозитный калькулятор'!$G$10="ежемесячное (по дням открытия вклада)",DAY('депозитный калькулятор'!$D$7)=DAY(F993)),SUM($H$23:H993)-SUM($I$23:I992),IF(AND('депозитный калькулятор'!$G$10="ежемесячное, на минимальную сумму зафиксированную в течение месяца",F993='депозитный калькулятор'!$D$8,EOMONTH(F993,0)&lt;&gt;F993),IF('депозитный калькулятор'!$F$1=1,$H$24,IF(AND(OR('депозитный калькулятор'!$G$7="30/365",'депозитный калькулятор'!$G$7="30/360"),DAY(F993)=31),0,MIN(OFFSET(H993,-E993+1,0):H993)*(E993+SUMIF(OFFSET(A993,-E993+1,0):A993,"=2",OFFSET(A993,-E993+1,0):A993)))),IF(AND('депозитный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калькулятор'!$G$7="30/360"),DAY(EOMONTH(F993,0))=31),EOMONTH(F993,0)-1=F993,EOMONTH(F993,0)=F993)),IF(IF(AND(OR('депозитный калькулятор'!$G$7="30/365",'депозитный калькулятор'!$G$7="30/360"),DAY(EOMONTH($F$23,0))=31),F993=EOMONTH($F$23,0)-1,F993=EOMONTH($F$23,0)),MIN(OFFSET(H993,-(DAY(F993)-DAY($F$23)),0):H993)*E993,MIN(OFFSET(H993,-(DAY(F993)-1),0):H993)*IF(AND(OR('депозитный калькулятор'!$G$7="30/365",'депозитный калькулятор'!$G$7="30/360"),DAY(F993)&lt;30),30,DAY(F993))),IF(AND('депозитный калькулятор'!$G$10="ежемесячное, на средний остаток в течение месяца, при условии что остаток больше чем ограничение",F993='депозитный калькулятор'!$D$8,EOMONTH(F993,0)&lt;&gt;F993),IF('депозитный калькулятор'!$F$1=1,$H$24,SUM(OFFSET(Q993,-E993+1,0):Q993)),IF(AND('депозитный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калькулятор'!$G$7="30/360"),DAY(EOMONTH(F993,0))=31),EOMONTH(F993,0)-1=F993,EOMONTH(F993,0)=F993)),IF(IF(AND(OR('депозитный калькулятор'!$G$7="30/365",'депозитный калькулятор'!$G$7="30/360"),DAY(EOMONTH($F$24,0))=31),F993=EOMONTH($F$24,0)-1,F993=EOMONTH($F$24,0)),SUM(OFFSET(Q993,-E993+1,0):Q993),SUM(OFFSET(Q993,-E993+1,0):Q993)),IF('депозитный калькулятор'!$G$10="ежеквартальное",IF(F993&gt;'депозитный калькулятор'!$D$8," ",IF(AND(EOMONTH(F993,0)=F993,OR(MONTH(F993)=3,MONTH(F993)=6,MONTH(F993)=9,MONTH(F993)=12)),IF(EDATE(F993,-3)&lt;'депозитный калькулятор'!$D$7,SUM($H$23:H993),IF(MOD(YEAR(F993),4)=0,IF(AND(EOMONTH(F993,0)=F993,OR(MONTH(F993)=3,MONTH(F993)=6)),SUM(OFFSET(H993,-90,0):H993),IF(AND(EOMONTH(F993,0)=F993,OR(MONTH(F993)=9,MONTH(F993)=12)),SUM(OFFSET(H993,-91,0):H993))),IF(AND(EOMONTH(F993,0)=F993,MONTH(F993)=3),SUM(OFFSET(H993,-89,0):H993),IF(AND(EOMONTH(F993,0)=F993,MONTH(F993)=6),SUM(OFFSET(H993,-90,0):H993),IF(AND(EOMONTH(F993,0)=F993,OR(MONTH(F993)=9,MONTH(F993)=12)),SUM(OFFSET(H993,-91,0):H993)))))),IF(F993='депозитный калькулятор'!$D$8,SUM($H$23:H993)-SUM($I$23:I992),0))),IF('депозитный калькулятор'!$G$10="ежегодное",IF(F993&gt;'депозитный калькулятор'!$D$8," ",IF(F993='депозитный калькулятор'!$D$8,SUM($H$23:H993)-SUM($I$23:I992),IF(AND(EOMONTH(F993,0)=F993,MONTH(F993)=12),IF(MOD(YEAR(F992),4)=0,IF(F993-'депозитный калькулятор'!$D$7&lt;366,SUM($H$23:H993),SUM(OFFSET(H993,-365,0):H993)),IF(F993-'депозитный калькулятор'!$D$7&lt;365,SUM($H$23:H993),SUM(OFFSET(H993,-364,0):H993))),0))),IF(AND('депозитный калькулятор'!$G$10="в конце срока",'депозитный калькулятор'!$D$8=F993),SUM($H$23:H993),0))))))))))))))))))</f>
        <v xml:space="preserve"> </v>
      </c>
      <c r="J993" s="59" t="str">
        <f>IF(F993&gt;'депозитный калькулятор'!$D$8," ",IF('депозитный калькулятор'!$G$16="нет",0,IF(AND('депозитный калькулятор'!$G$17="разовая (в конце срока)",F993='депозитный калькулятор'!$D$8),'депозитный калькулятор'!$G$18,IF(AND('депозитный калькулятор'!$G$17="ежемесячная",EOMONTH(F992,0)=F992),'депозитный калькулятор'!$G$18,IF(AND('депозитный калькулятор'!$G$17="ежегодная",DAY(F992)=31,MONTH(F992)=12),'депозитный калькулятор'!$G$18,IF(AND('депозитный калькулятор'!$G$17="ежемесячная в зависимости от остатка",EOMONTH(F992,0)=F992,P992&gt;0),'депозитный калькулятор'!$G$18,IF(AND('депозитный калькулятор'!$G$17="ежегодная в зависимости от остатка",DAY(F992)=31,MONTH(F992)=12,P992&gt;0),'депозитный калькулятор'!$G$18,0)))))))</f>
        <v xml:space="preserve"> </v>
      </c>
      <c r="K993" s="135" t="str">
        <f>IF($F993=" "," ",IFERROR(VLOOKUP($F993,'депозитный калькулятор'!$B$26:$F$70,2,0),0))</f>
        <v xml:space="preserve"> </v>
      </c>
      <c r="L993" s="135" t="str">
        <f>IF($F993=" "," ",IFERROR(VLOOKUP($F993,'депозитный калькулятор'!$B$26:$F$70,3,0),0))</f>
        <v xml:space="preserve"> </v>
      </c>
      <c r="M993" s="135" t="str">
        <f>IF($F993=" "," ",IFERROR(VLOOKUP($F993,'депозитный калькулятор'!$B$26:$F$70,4,0),0))</f>
        <v xml:space="preserve"> </v>
      </c>
      <c r="N993" s="135" t="str">
        <f>IF($F993=" "," ",IFERROR(VLOOKUP($F993,'депозитный калькулятор'!$B$26:$F$70,5,0),0))</f>
        <v xml:space="preserve"> </v>
      </c>
      <c r="O993" s="146" t="str">
        <f>IF(F993&gt;'депозитный калькулятор'!$D$8," ",IF(F993='депозитный калькулятор'!$D$8,IF(AND($F$24='депозитный калькулятор'!$D$8,'депозитный калькулятор'!$G$13="нет"),-G993-IF(I993=" ",0,I993)-IF(AND(OR('депозитный калькулятор'!$G$7="30/365",'депозитный калькулятор'!$G$7="30/360"),'депозитный калькулятор'!$G$10="в начале срока"),I992,0)-L993+M993-N993,-G993-IF(I993=" ",0,I993)-L993+M993-N993),IF('депозитный калькулятор'!$G$13="есть",M993-N993+IF('депозитный калькулятор'!$G$14="есть",0,-L993),-IF(I993=" ",0,I993)-IF(AND(OR('депозитный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срока"),I992,0)+M993-N993+IF('депозитный калькулятор'!$G$14="есть",0,-L993))))</f>
        <v xml:space="preserve"> </v>
      </c>
      <c r="P993" s="147" t="str">
        <f>IF(F993&gt;'депозитный калькулятор'!$D$8," ",IF(EOMONTH(F992,0)=F992,0,IF(G993&gt;='депозитный калькулятор'!$G$19,P992,P992+1)))</f>
        <v xml:space="preserve"> </v>
      </c>
      <c r="Q993" s="138" t="str">
        <f>IF(F993=" "," ",IF(AND(OR('депозитный калькулятор'!$G$7="30/365",'депозитный калькулятор'!$G$7="30/360"),AND(MONTH(F993)=2,EOMONTH(F993,0)=F993)),IF(DAY(F993)=28,3,2),1)*IF(G993&gt;='депозитный калькулятор'!$G$11,IF(AND('депозитный калькулятор'!$G$7="факт/факт",MOD(YEAR(F993),4)=0),G993*'депозитный калькулятор'!$D$11/366,G993*'депозитный калькулятор'!$G$8),0))</f>
        <v xml:space="preserve"> </v>
      </c>
      <c r="S993" s="62" t="str">
        <f t="shared" ca="1" si="77"/>
        <v xml:space="preserve"> </v>
      </c>
      <c r="T993" s="149" t="str">
        <f ca="1">IF(S993=" "," ",IF('депозитный калькулятор'!$G$7="30/360",DAYS360(U992,IF(DAY(U993)=31,U993-1,U993))+IF(AND(MONTH(U993)=2,U993=EOMONTH(U993,0)),30-DAY(EOMONTH(U993,0)))+T992,VLOOKUP(S993,$C$22:$F$1023,2,0)))</f>
        <v xml:space="preserve"> </v>
      </c>
      <c r="U993" s="64" t="str">
        <f t="shared" ca="1" si="75"/>
        <v xml:space="preserve"> </v>
      </c>
      <c r="V993" s="150" t="str">
        <f t="shared" ca="1" si="78"/>
        <v xml:space="preserve"> </v>
      </c>
      <c r="W993" s="62" t="str">
        <f t="shared" ca="1" si="79"/>
        <v xml:space="preserve"> </v>
      </c>
      <c r="X993" s="141" t="str">
        <f ca="1">IF(S993=" "," ",IFERROR(VLOOKUP(U993,$F$23:$N$1023,7)+VLOOKUP(U993,$F$23:$N$1023,9)+IF(AND('депозитный калькулятор'!$G$13="нет",U993&lt;&gt;'депозитный калькулятор'!$D$8),VLOOKUP(U993,$F$23:$N$1023,4),0),0)+IF(U993='депозитный калькулятор'!$D$8,VLOOKUP(U993,$F$23:$N$1023,2)+VLOOKUP(U993,$F$23:$N$1023,4),0))</f>
        <v xml:space="preserve"> </v>
      </c>
      <c r="Y993" s="142" t="str">
        <f ca="1">IF(S993=" "," ",W993/(1+'депозитный калькулятор'!$K$8)^(T993/IF('депозитный калькулятор'!$G$7="30/360",360,365)))</f>
        <v xml:space="preserve"> </v>
      </c>
      <c r="Z993" s="142" t="str">
        <f ca="1">IF(S993=" "," ",X993/(1+'депозитный калькулятор'!$K$8)^(T993/IF('депозитный калькулятор'!$G$7="30/360",360,365)))</f>
        <v xml:space="preserve"> </v>
      </c>
      <c r="AA993" s="151"/>
      <c r="AB993" s="151"/>
      <c r="AC993" s="155"/>
      <c r="AD993" s="155"/>
    </row>
    <row r="994" spans="1:30" s="2" customFormat="1" ht="15.5" x14ac:dyDescent="0.35">
      <c r="A994" s="41" t="str">
        <f>IF(F994=" "," ",IF(OR('депозитный калькулятор'!$G$7="30/365",'депозитный калькулятор'!$G$7="30/360"),IF(AND(MONTH(F994)=2,DAY(F994)=DAY(EOMONTH(F994,0))),30-DAY(EOMONTH(F994,0)),IF(DAY(F994)=31,1," "))," "))</f>
        <v xml:space="preserve"> </v>
      </c>
      <c r="B994" s="130" t="str">
        <f t="shared" si="76"/>
        <v xml:space="preserve"> </v>
      </c>
      <c r="C994" s="130" t="str">
        <f>IF(OR(B994=0,B994=" ")," ",SUM($B$23:B994))</f>
        <v xml:space="preserve"> </v>
      </c>
      <c r="D994" s="62" t="str">
        <f>IF(D993=" "," ",IF(OR(F993='депозитный калькулятор'!$D$8,F993=" ")," ",D993+1))</f>
        <v xml:space="preserve"> </v>
      </c>
      <c r="E994" s="130" t="str">
        <f>IF(OR(F993='депозитный калькулятор'!$D$8,F993=" ")," ",IF(EOMONTH(F993,0)=F993,1,E993+1))</f>
        <v xml:space="preserve"> </v>
      </c>
      <c r="F994" s="64" t="str">
        <f>IF(F993=" "," ",IF(F993='депозитный калькулятор'!$D$8," ",F993+1))</f>
        <v xml:space="preserve"> </v>
      </c>
      <c r="G994" s="145" t="str">
        <f xml:space="preserve"> IF(F994&gt;'депозитный калькулятор'!$D$8," ",IF('депозитный калькулятор'!$G$13="есть",IF('депозитный калькулятор'!$G$14="есть",G993+IF(I993=" ",0,I993)-J994-K994+L994+M994-N994,G993+IF(I993=" ",0,I993)-J994-K994+M994-N994),IF('депозитный калькулятор'!$G$14="есть",G993-J994-K994+L994+M994-N994,G993-J994-K994+M994-N994)))</f>
        <v xml:space="preserve"> </v>
      </c>
      <c r="H994" s="133" t="str">
        <f>IF(F994&gt;'депозитный калькулятор'!$D$8," ",IF(AND(OR('депозитный калькулятор'!$G$7="30/365",'депозитный калькулятор'!$G$7="30/360"),AND(MONTH(F994)=2,EOMONTH(F994,0)=F994)),IF(DAY(F994)=28,3*G994*'депозитный калькулятор'!$G$8,2*G994*'депозитный калькулятор'!$G$8),IF(AND(OR('депозитный калькулятор'!$G$7="30/365",'депозитный калькулятор'!$G$7="30/360"),DAY(F994)=31)," ",IF(AND('депозитный калькулятор'!$G$7="факт/факт",MOD(YEAR(F994),4)=0),G994*'депозитный калькулятор'!$D$11/366,G994*'депозитный калькулятор'!$G$8))))</f>
        <v xml:space="preserve"> </v>
      </c>
      <c r="I994" s="134" t="str">
        <f ca="1">IF(F994=" "," ",IF('депозитный калькулятор'!$G$10="ежедневное",H994,IF(AND('депозитный калькулятор'!$G$10="еженедельное",WEEKDAY(F994,2)=7),SUM(OFFSET(H994,-6,0):H994),IF(AND('депозитный калькулятор'!$G$10="еженедельное",F994='депозитный калькулятор'!$D$8),SUM($H$23:H994)-SUM($I$23:I993),IF(AND('депозитный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недели",WEEKDAY(F994,2)=7),MIN(OFFSET(H994,-6,0):H994)*(COUNTIF(OFFSET(H994,-6,0):H994,"&gt;0")+SUMIF(OFFSET(A994,-WEEKDAY(F994,2),0):A994,"=2",OFFSET(A994,-WEEKDAY(F994,2),0):A994)),IF(AND('депозитный калькулятор'!$G$10="еженедельное, на минимальную сумму зафиксированную в течение недели",F994='депозитный калькулятор'!$D$8,WEEKDAY(F994,2)&lt;&gt;7),MIN(OFFSET(H994,-WEEKDAY(F994,2),0):H994)*(COUNTIF(OFFSET(H994,-WEEKDAY(F994,2)+1,0):H994,"&gt;0")+SUM(OFFSET(A994,-WEEKDAY(F994,2),0):A994)),IF(AND('депозитный калькулятор'!$G$10="ежемесячное (в конце месяца)",F994='депозитный калькулятор'!$D$8,EOMONTH(F994,0)&lt;&gt;F994),IF('депозитный калькулятор'!$F$1=1,$H$24,SUM($H$23:H994)-SUM($I$23:I993)),IF(AND('депозитный калькулятор'!$G$10="ежемесячное (в конце месяца)",EOMONTH(F994,0)=F994),SUM($H$23:H994)-SUM($I$23:I993),IF(AND('депозитный калькулятор'!$G$10="ежемесячное (по дням открытия вклада)",F994='депозитный калькулятор'!$D$8,DAY('депозитный калькулятор'!$D$7)&lt;&gt;DAY(F994)),IF('депозитный калькулятор'!$F$1=1,$H$24,SUM($H$23:H994)-SUM($I$23:I993)),IF(AND('депозитный калькулятор'!$G$10="ежемесячное (по дням открытия вклада)",DAY('депозитный калькулятор'!$D$7)=DAY(F994)),SUM($H$23:H994)-SUM($I$23:I993),IF(AND('депозитный калькулятор'!$G$10="ежемесячное, на минимальную сумму зафиксированную в течение месяца",F994='депозитный калькулятор'!$D$8,EOMONTH(F994,0)&lt;&gt;F994),IF('депозитный калькулятор'!$F$1=1,$H$24,IF(AND(OR('депозитный калькулятор'!$G$7="30/365",'депозитный калькулятор'!$G$7="30/360"),DAY(F994)=31),0,MIN(OFFSET(H994,-E994+1,0):H994)*(E994+SUMIF(OFFSET(A994,-E994+1,0):A994,"=2",OFFSET(A994,-E994+1,0):A994)))),IF(AND('депозитный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калькулятор'!$G$7="30/360"),DAY(EOMONTH(F994,0))=31),EOMONTH(F994,0)-1=F994,EOMONTH(F994,0)=F994)),IF(IF(AND(OR('депозитный калькулятор'!$G$7="30/365",'депозитный калькулятор'!$G$7="30/360"),DAY(EOMONTH($F$23,0))=31),F994=EOMONTH($F$23,0)-1,F994=EOMONTH($F$23,0)),MIN(OFFSET(H994,-(DAY(F994)-DAY($F$23)),0):H994)*E994,MIN(OFFSET(H994,-(DAY(F994)-1),0):H994)*IF(AND(OR('депозитный калькулятор'!$G$7="30/365",'депозитный калькулятор'!$G$7="30/360"),DAY(F994)&lt;30),30,DAY(F994))),IF(AND('депозитный калькулятор'!$G$10="ежемесячное, на средний остаток в течение месяца, при условии что остаток больше чем ограничение",F994='депозитный калькулятор'!$D$8,EOMONTH(F994,0)&lt;&gt;F994),IF('депозитный калькулятор'!$F$1=1,$H$24,SUM(OFFSET(Q994,-E994+1,0):Q994)),IF(AND('депозитный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калькулятор'!$G$7="30/360"),DAY(EOMONTH(F994,0))=31),EOMONTH(F994,0)-1=F994,EOMONTH(F994,0)=F994)),IF(IF(AND(OR('депозитный калькулятор'!$G$7="30/365",'депозитный калькулятор'!$G$7="30/360"),DAY(EOMONTH($F$24,0))=31),F994=EOMONTH($F$24,0)-1,F994=EOMONTH($F$24,0)),SUM(OFFSET(Q994,-E994+1,0):Q994),SUM(OFFSET(Q994,-E994+1,0):Q994)),IF('депозитный калькулятор'!$G$10="ежеквартальное",IF(F994&gt;'депозитный калькулятор'!$D$8," ",IF(AND(EOMONTH(F994,0)=F994,OR(MONTH(F994)=3,MONTH(F994)=6,MONTH(F994)=9,MONTH(F994)=12)),IF(EDATE(F994,-3)&lt;'депозитный калькулятор'!$D$7,SUM($H$23:H994),IF(MOD(YEAR(F994),4)=0,IF(AND(EOMONTH(F994,0)=F994,OR(MONTH(F994)=3,MONTH(F994)=6)),SUM(OFFSET(H994,-90,0):H994),IF(AND(EOMONTH(F994,0)=F994,OR(MONTH(F994)=9,MONTH(F994)=12)),SUM(OFFSET(H994,-91,0):H994))),IF(AND(EOMONTH(F994,0)=F994,MONTH(F994)=3),SUM(OFFSET(H994,-89,0):H994),IF(AND(EOMONTH(F994,0)=F994,MONTH(F994)=6),SUM(OFFSET(H994,-90,0):H994),IF(AND(EOMONTH(F994,0)=F994,OR(MONTH(F994)=9,MONTH(F994)=12)),SUM(OFFSET(H994,-91,0):H994)))))),IF(F994='депозитный калькулятор'!$D$8,SUM($H$23:H994)-SUM($I$23:I993),0))),IF('депозитный калькулятор'!$G$10="ежегодное",IF(F994&gt;'депозитный калькулятор'!$D$8," ",IF(F994='депозитный калькулятор'!$D$8,SUM($H$23:H994)-SUM($I$23:I993),IF(AND(EOMONTH(F994,0)=F994,MONTH(F994)=12),IF(MOD(YEAR(F993),4)=0,IF(F994-'депозитный калькулятор'!$D$7&lt;366,SUM($H$23:H994),SUM(OFFSET(H994,-365,0):H994)),IF(F994-'депозитный калькулятор'!$D$7&lt;365,SUM($H$23:H994),SUM(OFFSET(H994,-364,0):H994))),0))),IF(AND('депозитный калькулятор'!$G$10="в конце срока",'депозитный калькулятор'!$D$8=F994),SUM($H$23:H994),0))))))))))))))))))</f>
        <v xml:space="preserve"> </v>
      </c>
      <c r="J994" s="59" t="str">
        <f>IF(F994&gt;'депозитный калькулятор'!$D$8," ",IF('депозитный калькулятор'!$G$16="нет",0,IF(AND('депозитный калькулятор'!$G$17="разовая (в конце срока)",F994='депозитный калькулятор'!$D$8),'депозитный калькулятор'!$G$18,IF(AND('депозитный калькулятор'!$G$17="ежемесячная",EOMONTH(F993,0)=F993),'депозитный калькулятор'!$G$18,IF(AND('депозитный калькулятор'!$G$17="ежегодная",DAY(F993)=31,MONTH(F993)=12),'депозитный калькулятор'!$G$18,IF(AND('депозитный калькулятор'!$G$17="ежемесячная в зависимости от остатка",EOMONTH(F993,0)=F993,P993&gt;0),'депозитный калькулятор'!$G$18,IF(AND('депозитный калькулятор'!$G$17="ежегодная в зависимости от остатка",DAY(F993)=31,MONTH(F993)=12,P993&gt;0),'депозитный калькулятор'!$G$18,0)))))))</f>
        <v xml:space="preserve"> </v>
      </c>
      <c r="K994" s="135" t="str">
        <f>IF($F994=" "," ",IFERROR(VLOOKUP($F994,'депозитный калькулятор'!$B$26:$F$70,2,0),0))</f>
        <v xml:space="preserve"> </v>
      </c>
      <c r="L994" s="135" t="str">
        <f>IF($F994=" "," ",IFERROR(VLOOKUP($F994,'депозитный калькулятор'!$B$26:$F$70,3,0),0))</f>
        <v xml:space="preserve"> </v>
      </c>
      <c r="M994" s="135" t="str">
        <f>IF($F994=" "," ",IFERROR(VLOOKUP($F994,'депозитный калькулятор'!$B$26:$F$70,4,0),0))</f>
        <v xml:space="preserve"> </v>
      </c>
      <c r="N994" s="135" t="str">
        <f>IF($F994=" "," ",IFERROR(VLOOKUP($F994,'депозитный калькулятор'!$B$26:$F$70,5,0),0))</f>
        <v xml:space="preserve"> </v>
      </c>
      <c r="O994" s="146" t="str">
        <f>IF(F994&gt;'депозитный калькулятор'!$D$8," ",IF(F994='депозитный калькулятор'!$D$8,IF(AND($F$24='депозитный калькулятор'!$D$8,'депозитный калькулятор'!$G$13="нет"),-G994-IF(I994=" ",0,I994)-IF(AND(OR('депозитный калькулятор'!$G$7="30/365",'депозитный калькулятор'!$G$7="30/360"),'депозитный калькулятор'!$G$10="в начале срока"),I993,0)-L994+M994-N994,-G994-IF(I994=" ",0,I994)-L994+M994-N994),IF('депозитный калькулятор'!$G$13="есть",M994-N994+IF('депозитный калькулятор'!$G$14="есть",0,-L994),-IF(I994=" ",0,I994)-IF(AND(OR('депозитный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срока"),I993,0)+M994-N994+IF('депозитный калькулятор'!$G$14="есть",0,-L994))))</f>
        <v xml:space="preserve"> </v>
      </c>
      <c r="P994" s="147" t="str">
        <f>IF(F994&gt;'депозитный калькулятор'!$D$8," ",IF(EOMONTH(F993,0)=F993,0,IF(G994&gt;='депозитный калькулятор'!$G$19,P993,P993+1)))</f>
        <v xml:space="preserve"> </v>
      </c>
      <c r="Q994" s="138" t="str">
        <f>IF(F994=" "," ",IF(AND(OR('депозитный калькулятор'!$G$7="30/365",'депозитный калькулятор'!$G$7="30/360"),AND(MONTH(F994)=2,EOMONTH(F994,0)=F994)),IF(DAY(F994)=28,3,2),1)*IF(G994&gt;='депозитный калькулятор'!$G$11,IF(AND('депозитный калькулятор'!$G$7="факт/факт",MOD(YEAR(F994),4)=0),G994*'депозитный калькулятор'!$D$11/366,G994*'депозитный калькулятор'!$G$8),0))</f>
        <v xml:space="preserve"> </v>
      </c>
      <c r="S994" s="62" t="str">
        <f t="shared" ca="1" si="77"/>
        <v xml:space="preserve"> </v>
      </c>
      <c r="T994" s="149" t="str">
        <f ca="1">IF(S994=" "," ",IF('депозитный калькулятор'!$G$7="30/360",DAYS360(U993,IF(DAY(U994)=31,U994-1,U994))+IF(AND(MONTH(U994)=2,U994=EOMONTH(U994,0)),30-DAY(EOMONTH(U994,0)))+T993,VLOOKUP(S994,$C$22:$F$1023,2,0)))</f>
        <v xml:space="preserve"> </v>
      </c>
      <c r="U994" s="64" t="str">
        <f t="shared" ca="1" si="75"/>
        <v xml:space="preserve"> </v>
      </c>
      <c r="V994" s="150" t="str">
        <f t="shared" ca="1" si="78"/>
        <v xml:space="preserve"> </v>
      </c>
      <c r="W994" s="62" t="str">
        <f t="shared" ca="1" si="79"/>
        <v xml:space="preserve"> </v>
      </c>
      <c r="X994" s="141" t="str">
        <f ca="1">IF(S994=" "," ",IFERROR(VLOOKUP(U994,$F$23:$N$1023,7)+VLOOKUP(U994,$F$23:$N$1023,9)+IF(AND('депозитный калькулятор'!$G$13="нет",U994&lt;&gt;'депозитный калькулятор'!$D$8),VLOOKUP(U994,$F$23:$N$1023,4),0),0)+IF(U994='депозитный калькулятор'!$D$8,VLOOKUP(U994,$F$23:$N$1023,2)+VLOOKUP(U994,$F$23:$N$1023,4),0))</f>
        <v xml:space="preserve"> </v>
      </c>
      <c r="Y994" s="142" t="str">
        <f ca="1">IF(S994=" "," ",W994/(1+'депозитный калькулятор'!$K$8)^(T994/IF('депозитный калькулятор'!$G$7="30/360",360,365)))</f>
        <v xml:space="preserve"> </v>
      </c>
      <c r="Z994" s="142" t="str">
        <f ca="1">IF(S994=" "," ",X994/(1+'депозитный калькулятор'!$K$8)^(T994/IF('депозитный калькулятор'!$G$7="30/360",360,365)))</f>
        <v xml:space="preserve"> </v>
      </c>
      <c r="AA994" s="151"/>
      <c r="AB994" s="151"/>
      <c r="AC994" s="155"/>
      <c r="AD994" s="155"/>
    </row>
    <row r="995" spans="1:30" s="2" customFormat="1" ht="15.5" x14ac:dyDescent="0.35">
      <c r="A995" s="41" t="str">
        <f>IF(F995=" "," ",IF(OR('депозитный калькулятор'!$G$7="30/365",'депозитный калькулятор'!$G$7="30/360"),IF(AND(MONTH(F995)=2,DAY(F995)=DAY(EOMONTH(F995,0))),30-DAY(EOMONTH(F995,0)),IF(DAY(F995)=31,1," "))," "))</f>
        <v xml:space="preserve"> </v>
      </c>
      <c r="B995" s="130" t="str">
        <f t="shared" si="76"/>
        <v xml:space="preserve"> </v>
      </c>
      <c r="C995" s="130" t="str">
        <f>IF(OR(B995=0,B995=" ")," ",SUM($B$23:B995))</f>
        <v xml:space="preserve"> </v>
      </c>
      <c r="D995" s="62" t="str">
        <f>IF(D994=" "," ",IF(OR(F994='депозитный калькулятор'!$D$8,F994=" ")," ",D994+1))</f>
        <v xml:space="preserve"> </v>
      </c>
      <c r="E995" s="130" t="str">
        <f>IF(OR(F994='депозитный калькулятор'!$D$8,F994=" ")," ",IF(EOMONTH(F994,0)=F994,1,E994+1))</f>
        <v xml:space="preserve"> </v>
      </c>
      <c r="F995" s="64" t="str">
        <f>IF(F994=" "," ",IF(F994='депозитный калькулятор'!$D$8," ",F994+1))</f>
        <v xml:space="preserve"> </v>
      </c>
      <c r="G995" s="145" t="str">
        <f xml:space="preserve"> IF(F995&gt;'депозитный калькулятор'!$D$8," ",IF('депозитный калькулятор'!$G$13="есть",IF('депозитный калькулятор'!$G$14="есть",G994+IF(I994=" ",0,I994)-J995-K995+L995+M995-N995,G994+IF(I994=" ",0,I994)-J995-K995+M995-N995),IF('депозитный калькулятор'!$G$14="есть",G994-J995-K995+L995+M995-N995,G994-J995-K995+M995-N995)))</f>
        <v xml:space="preserve"> </v>
      </c>
      <c r="H995" s="133" t="str">
        <f>IF(F995&gt;'депозитный калькулятор'!$D$8," ",IF(AND(OR('депозитный калькулятор'!$G$7="30/365",'депозитный калькулятор'!$G$7="30/360"),AND(MONTH(F995)=2,EOMONTH(F995,0)=F995)),IF(DAY(F995)=28,3*G995*'депозитный калькулятор'!$G$8,2*G995*'депозитный калькулятор'!$G$8),IF(AND(OR('депозитный калькулятор'!$G$7="30/365",'депозитный калькулятор'!$G$7="30/360"),DAY(F995)=31)," ",IF(AND('депозитный калькулятор'!$G$7="факт/факт",MOD(YEAR(F995),4)=0),G995*'депозитный калькулятор'!$D$11/366,G995*'депозитный калькулятор'!$G$8))))</f>
        <v xml:space="preserve"> </v>
      </c>
      <c r="I995" s="134" t="str">
        <f ca="1">IF(F995=" "," ",IF('депозитный калькулятор'!$G$10="ежедневное",H995,IF(AND('депозитный калькулятор'!$G$10="еженедельное",WEEKDAY(F995,2)=7),SUM(OFFSET(H995,-6,0):H995),IF(AND('депозитный калькулятор'!$G$10="еженедельное",F995='депозитный калькулятор'!$D$8),SUM($H$23:H995)-SUM($I$23:I994),IF(AND('депозитный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недели",WEEKDAY(F995,2)=7),MIN(OFFSET(H995,-6,0):H995)*(COUNTIF(OFFSET(H995,-6,0):H995,"&gt;0")+SUMIF(OFFSET(A995,-WEEKDAY(F995,2),0):A995,"=2",OFFSET(A995,-WEEKDAY(F995,2),0):A995)),IF(AND('депозитный калькулятор'!$G$10="еженедельное, на минимальную сумму зафиксированную в течение недели",F995='депозитный калькулятор'!$D$8,WEEKDAY(F995,2)&lt;&gt;7),MIN(OFFSET(H995,-WEEKDAY(F995,2),0):H995)*(COUNTIF(OFFSET(H995,-WEEKDAY(F995,2)+1,0):H995,"&gt;0")+SUM(OFFSET(A995,-WEEKDAY(F995,2),0):A995)),IF(AND('депозитный калькулятор'!$G$10="ежемесячное (в конце месяца)",F995='депозитный калькулятор'!$D$8,EOMONTH(F995,0)&lt;&gt;F995),IF('депозитный калькулятор'!$F$1=1,$H$24,SUM($H$23:H995)-SUM($I$23:I994)),IF(AND('депозитный калькулятор'!$G$10="ежемесячное (в конце месяца)",EOMONTH(F995,0)=F995),SUM($H$23:H995)-SUM($I$23:I994),IF(AND('депозитный калькулятор'!$G$10="ежемесячное (по дням открытия вклада)",F995='депозитный калькулятор'!$D$8,DAY('депозитный калькулятор'!$D$7)&lt;&gt;DAY(F995)),IF('депозитный калькулятор'!$F$1=1,$H$24,SUM($H$23:H995)-SUM($I$23:I994)),IF(AND('депозитный калькулятор'!$G$10="ежемесячное (по дням открытия вклада)",DAY('депозитный калькулятор'!$D$7)=DAY(F995)),SUM($H$23:H995)-SUM($I$23:I994),IF(AND('депозитный калькулятор'!$G$10="ежемесячное, на минимальную сумму зафиксированную в течение месяца",F995='депозитный калькулятор'!$D$8,EOMONTH(F995,0)&lt;&gt;F995),IF('депозитный калькулятор'!$F$1=1,$H$24,IF(AND(OR('депозитный калькулятор'!$G$7="30/365",'депозитный калькулятор'!$G$7="30/360"),DAY(F995)=31),0,MIN(OFFSET(H995,-E995+1,0):H995)*(E995+SUMIF(OFFSET(A995,-E995+1,0):A995,"=2",OFFSET(A995,-E995+1,0):A995)))),IF(AND('депозитный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калькулятор'!$G$7="30/360"),DAY(EOMONTH(F995,0))=31),EOMONTH(F995,0)-1=F995,EOMONTH(F995,0)=F995)),IF(IF(AND(OR('депозитный калькулятор'!$G$7="30/365",'депозитный калькулятор'!$G$7="30/360"),DAY(EOMONTH($F$23,0))=31),F995=EOMONTH($F$23,0)-1,F995=EOMONTH($F$23,0)),MIN(OFFSET(H995,-(DAY(F995)-DAY($F$23)),0):H995)*E995,MIN(OFFSET(H995,-(DAY(F995)-1),0):H995)*IF(AND(OR('депозитный калькулятор'!$G$7="30/365",'депозитный калькулятор'!$G$7="30/360"),DAY(F995)&lt;30),30,DAY(F995))),IF(AND('депозитный калькулятор'!$G$10="ежемесячное, на средний остаток в течение месяца, при условии что остаток больше чем ограничение",F995='депозитный калькулятор'!$D$8,EOMONTH(F995,0)&lt;&gt;F995),IF('депозитный калькулятор'!$F$1=1,$H$24,SUM(OFFSET(Q995,-E995+1,0):Q995)),IF(AND('депозитный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калькулятор'!$G$7="30/360"),DAY(EOMONTH(F995,0))=31),EOMONTH(F995,0)-1=F995,EOMONTH(F995,0)=F995)),IF(IF(AND(OR('депозитный калькулятор'!$G$7="30/365",'депозитный калькулятор'!$G$7="30/360"),DAY(EOMONTH($F$24,0))=31),F995=EOMONTH($F$24,0)-1,F995=EOMONTH($F$24,0)),SUM(OFFSET(Q995,-E995+1,0):Q995),SUM(OFFSET(Q995,-E995+1,0):Q995)),IF('депозитный калькулятор'!$G$10="ежеквартальное",IF(F995&gt;'депозитный калькулятор'!$D$8," ",IF(AND(EOMONTH(F995,0)=F995,OR(MONTH(F995)=3,MONTH(F995)=6,MONTH(F995)=9,MONTH(F995)=12)),IF(EDATE(F995,-3)&lt;'депозитный калькулятор'!$D$7,SUM($H$23:H995),IF(MOD(YEAR(F995),4)=0,IF(AND(EOMONTH(F995,0)=F995,OR(MONTH(F995)=3,MONTH(F995)=6)),SUM(OFFSET(H995,-90,0):H995),IF(AND(EOMONTH(F995,0)=F995,OR(MONTH(F995)=9,MONTH(F995)=12)),SUM(OFFSET(H995,-91,0):H995))),IF(AND(EOMONTH(F995,0)=F995,MONTH(F995)=3),SUM(OFFSET(H995,-89,0):H995),IF(AND(EOMONTH(F995,0)=F995,MONTH(F995)=6),SUM(OFFSET(H995,-90,0):H995),IF(AND(EOMONTH(F995,0)=F995,OR(MONTH(F995)=9,MONTH(F995)=12)),SUM(OFFSET(H995,-91,0):H995)))))),IF(F995='депозитный калькулятор'!$D$8,SUM($H$23:H995)-SUM($I$23:I994),0))),IF('депозитный калькулятор'!$G$10="ежегодное",IF(F995&gt;'депозитный калькулятор'!$D$8," ",IF(F995='депозитный калькулятор'!$D$8,SUM($H$23:H995)-SUM($I$23:I994),IF(AND(EOMONTH(F995,0)=F995,MONTH(F995)=12),IF(MOD(YEAR(F994),4)=0,IF(F995-'депозитный калькулятор'!$D$7&lt;366,SUM($H$23:H995),SUM(OFFSET(H995,-365,0):H995)),IF(F995-'депозитный калькулятор'!$D$7&lt;365,SUM($H$23:H995),SUM(OFFSET(H995,-364,0):H995))),0))),IF(AND('депозитный калькулятор'!$G$10="в конце срока",'депозитный калькулятор'!$D$8=F995),SUM($H$23:H995),0))))))))))))))))))</f>
        <v xml:space="preserve"> </v>
      </c>
      <c r="J995" s="59" t="str">
        <f>IF(F995&gt;'депозитный калькулятор'!$D$8," ",IF('депозитный калькулятор'!$G$16="нет",0,IF(AND('депозитный калькулятор'!$G$17="разовая (в конце срока)",F995='депозитный калькулятор'!$D$8),'депозитный калькулятор'!$G$18,IF(AND('депозитный калькулятор'!$G$17="ежемесячная",EOMONTH(F994,0)=F994),'депозитный калькулятор'!$G$18,IF(AND('депозитный калькулятор'!$G$17="ежегодная",DAY(F994)=31,MONTH(F994)=12),'депозитный калькулятор'!$G$18,IF(AND('депозитный калькулятор'!$G$17="ежемесячная в зависимости от остатка",EOMONTH(F994,0)=F994,P994&gt;0),'депозитный калькулятор'!$G$18,IF(AND('депозитный калькулятор'!$G$17="ежегодная в зависимости от остатка",DAY(F994)=31,MONTH(F994)=12,P994&gt;0),'депозитный калькулятор'!$G$18,0)))))))</f>
        <v xml:space="preserve"> </v>
      </c>
      <c r="K995" s="135" t="str">
        <f>IF($F995=" "," ",IFERROR(VLOOKUP($F995,'депозитный калькулятор'!$B$26:$F$70,2,0),0))</f>
        <v xml:space="preserve"> </v>
      </c>
      <c r="L995" s="135" t="str">
        <f>IF($F995=" "," ",IFERROR(VLOOKUP($F995,'депозитный калькулятор'!$B$26:$F$70,3,0),0))</f>
        <v xml:space="preserve"> </v>
      </c>
      <c r="M995" s="135" t="str">
        <f>IF($F995=" "," ",IFERROR(VLOOKUP($F995,'депозитный калькулятор'!$B$26:$F$70,4,0),0))</f>
        <v xml:space="preserve"> </v>
      </c>
      <c r="N995" s="135" t="str">
        <f>IF($F995=" "," ",IFERROR(VLOOKUP($F995,'депозитный калькулятор'!$B$26:$F$70,5,0),0))</f>
        <v xml:space="preserve"> </v>
      </c>
      <c r="O995" s="146" t="str">
        <f>IF(F995&gt;'депозитный калькулятор'!$D$8," ",IF(F995='депозитный калькулятор'!$D$8,IF(AND($F$24='депозитный калькулятор'!$D$8,'депозитный калькулятор'!$G$13="нет"),-G995-IF(I995=" ",0,I995)-IF(AND(OR('депозитный калькулятор'!$G$7="30/365",'депозитный калькулятор'!$G$7="30/360"),'депозитный калькулятор'!$G$10="в начале срока"),I994,0)-L995+M995-N995,-G995-IF(I995=" ",0,I995)-L995+M995-N995),IF('депозитный калькулятор'!$G$13="есть",M995-N995+IF('депозитный калькулятор'!$G$14="есть",0,-L995),-IF(I995=" ",0,I995)-IF(AND(OR('депозитный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срока"),I994,0)+M995-N995+IF('депозитный калькулятор'!$G$14="есть",0,-L995))))</f>
        <v xml:space="preserve"> </v>
      </c>
      <c r="P995" s="147" t="str">
        <f>IF(F995&gt;'депозитный калькулятор'!$D$8," ",IF(EOMONTH(F994,0)=F994,0,IF(G995&gt;='депозитный калькулятор'!$G$19,P994,P994+1)))</f>
        <v xml:space="preserve"> </v>
      </c>
      <c r="Q995" s="138" t="str">
        <f>IF(F995=" "," ",IF(AND(OR('депозитный калькулятор'!$G$7="30/365",'депозитный калькулятор'!$G$7="30/360"),AND(MONTH(F995)=2,EOMONTH(F995,0)=F995)),IF(DAY(F995)=28,3,2),1)*IF(G995&gt;='депозитный калькулятор'!$G$11,IF(AND('депозитный калькулятор'!$G$7="факт/факт",MOD(YEAR(F995),4)=0),G995*'депозитный калькулятор'!$D$11/366,G995*'депозитный калькулятор'!$G$8),0))</f>
        <v xml:space="preserve"> </v>
      </c>
      <c r="S995" s="62" t="str">
        <f t="shared" ca="1" si="77"/>
        <v xml:space="preserve"> </v>
      </c>
      <c r="T995" s="149" t="str">
        <f ca="1">IF(S995=" "," ",IF('депозитный калькулятор'!$G$7="30/360",DAYS360(U994,IF(DAY(U995)=31,U995-1,U995))+IF(AND(MONTH(U995)=2,U995=EOMONTH(U995,0)),30-DAY(EOMONTH(U995,0)))+T994,VLOOKUP(S995,$C$22:$F$1023,2,0)))</f>
        <v xml:space="preserve"> </v>
      </c>
      <c r="U995" s="64" t="str">
        <f t="shared" ca="1" si="75"/>
        <v xml:space="preserve"> </v>
      </c>
      <c r="V995" s="150" t="str">
        <f t="shared" ca="1" si="78"/>
        <v xml:space="preserve"> </v>
      </c>
      <c r="W995" s="62" t="str">
        <f t="shared" ca="1" si="79"/>
        <v xml:space="preserve"> </v>
      </c>
      <c r="X995" s="141" t="str">
        <f ca="1">IF(S995=" "," ",IFERROR(VLOOKUP(U995,$F$23:$N$1023,7)+VLOOKUP(U995,$F$23:$N$1023,9)+IF(AND('депозитный калькулятор'!$G$13="нет",U995&lt;&gt;'депозитный калькулятор'!$D$8),VLOOKUP(U995,$F$23:$N$1023,4),0),0)+IF(U995='депозитный калькулятор'!$D$8,VLOOKUP(U995,$F$23:$N$1023,2)+VLOOKUP(U995,$F$23:$N$1023,4),0))</f>
        <v xml:space="preserve"> </v>
      </c>
      <c r="Y995" s="142" t="str">
        <f ca="1">IF(S995=" "," ",W995/(1+'депозитный калькулятор'!$K$8)^(T995/IF('депозитный калькулятор'!$G$7="30/360",360,365)))</f>
        <v xml:space="preserve"> </v>
      </c>
      <c r="Z995" s="142" t="str">
        <f ca="1">IF(S995=" "," ",X995/(1+'депозитный калькулятор'!$K$8)^(T995/IF('депозитный калькулятор'!$G$7="30/360",360,365)))</f>
        <v xml:space="preserve"> </v>
      </c>
      <c r="AA995" s="151"/>
      <c r="AB995" s="151"/>
      <c r="AC995" s="155"/>
      <c r="AD995" s="155"/>
    </row>
    <row r="996" spans="1:30" s="2" customFormat="1" ht="15.5" x14ac:dyDescent="0.35">
      <c r="A996" s="41" t="str">
        <f>IF(F996=" "," ",IF(OR('депозитный калькулятор'!$G$7="30/365",'депозитный калькулятор'!$G$7="30/360"),IF(AND(MONTH(F996)=2,DAY(F996)=DAY(EOMONTH(F996,0))),30-DAY(EOMONTH(F996,0)),IF(DAY(F996)=31,1," "))," "))</f>
        <v xml:space="preserve"> </v>
      </c>
      <c r="B996" s="130" t="str">
        <f t="shared" si="76"/>
        <v xml:space="preserve"> </v>
      </c>
      <c r="C996" s="130" t="str">
        <f>IF(OR(B996=0,B996=" ")," ",SUM($B$23:B996))</f>
        <v xml:space="preserve"> </v>
      </c>
      <c r="D996" s="62" t="str">
        <f>IF(D995=" "," ",IF(OR(F995='депозитный калькулятор'!$D$8,F995=" ")," ",D995+1))</f>
        <v xml:space="preserve"> </v>
      </c>
      <c r="E996" s="130" t="str">
        <f>IF(OR(F995='депозитный калькулятор'!$D$8,F995=" ")," ",IF(EOMONTH(F995,0)=F995,1,E995+1))</f>
        <v xml:space="preserve"> </v>
      </c>
      <c r="F996" s="64" t="str">
        <f>IF(F995=" "," ",IF(F995='депозитный калькулятор'!$D$8," ",F995+1))</f>
        <v xml:space="preserve"> </v>
      </c>
      <c r="G996" s="145" t="str">
        <f xml:space="preserve"> IF(F996&gt;'депозитный калькулятор'!$D$8," ",IF('депозитный калькулятор'!$G$13="есть",IF('депозитный калькулятор'!$G$14="есть",G995+IF(I995=" ",0,I995)-J996-K996+L996+M996-N996,G995+IF(I995=" ",0,I995)-J996-K996+M996-N996),IF('депозитный калькулятор'!$G$14="есть",G995-J996-K996+L996+M996-N996,G995-J996-K996+M996-N996)))</f>
        <v xml:space="preserve"> </v>
      </c>
      <c r="H996" s="133" t="str">
        <f>IF(F996&gt;'депозитный калькулятор'!$D$8," ",IF(AND(OR('депозитный калькулятор'!$G$7="30/365",'депозитный калькулятор'!$G$7="30/360"),AND(MONTH(F996)=2,EOMONTH(F996,0)=F996)),IF(DAY(F996)=28,3*G996*'депозитный калькулятор'!$G$8,2*G996*'депозитный калькулятор'!$G$8),IF(AND(OR('депозитный калькулятор'!$G$7="30/365",'депозитный калькулятор'!$G$7="30/360"),DAY(F996)=31)," ",IF(AND('депозитный калькулятор'!$G$7="факт/факт",MOD(YEAR(F996),4)=0),G996*'депозитный калькулятор'!$D$11/366,G996*'депозитный калькулятор'!$G$8))))</f>
        <v xml:space="preserve"> </v>
      </c>
      <c r="I996" s="134" t="str">
        <f ca="1">IF(F996=" "," ",IF('депозитный калькулятор'!$G$10="ежедневное",H996,IF(AND('депозитный калькулятор'!$G$10="еженедельное",WEEKDAY(F996,2)=7),SUM(OFFSET(H996,-6,0):H996),IF(AND('депозитный калькулятор'!$G$10="еженедельное",F996='депозитный калькулятор'!$D$8),SUM($H$23:H996)-SUM($I$23:I995),IF(AND('депозитный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недели",WEEKDAY(F996,2)=7),MIN(OFFSET(H996,-6,0):H996)*(COUNTIF(OFFSET(H996,-6,0):H996,"&gt;0")+SUMIF(OFFSET(A996,-WEEKDAY(F996,2),0):A996,"=2",OFFSET(A996,-WEEKDAY(F996,2),0):A996)),IF(AND('депозитный калькулятор'!$G$10="еженедельное, на минимальную сумму зафиксированную в течение недели",F996='депозитный калькулятор'!$D$8,WEEKDAY(F996,2)&lt;&gt;7),MIN(OFFSET(H996,-WEEKDAY(F996,2),0):H996)*(COUNTIF(OFFSET(H996,-WEEKDAY(F996,2)+1,0):H996,"&gt;0")+SUM(OFFSET(A996,-WEEKDAY(F996,2),0):A996)),IF(AND('депозитный калькулятор'!$G$10="ежемесячное (в конце месяца)",F996='депозитный калькулятор'!$D$8,EOMONTH(F996,0)&lt;&gt;F996),IF('депозитный калькулятор'!$F$1=1,$H$24,SUM($H$23:H996)-SUM($I$23:I995)),IF(AND('депозитный калькулятор'!$G$10="ежемесячное (в конце месяца)",EOMONTH(F996,0)=F996),SUM($H$23:H996)-SUM($I$23:I995),IF(AND('депозитный калькулятор'!$G$10="ежемесячное (по дням открытия вклада)",F996='депозитный калькулятор'!$D$8,DAY('депозитный калькулятор'!$D$7)&lt;&gt;DAY(F996)),IF('депозитный калькулятор'!$F$1=1,$H$24,SUM($H$23:H996)-SUM($I$23:I995)),IF(AND('депозитный калькулятор'!$G$10="ежемесячное (по дням открытия вклада)",DAY('депозитный калькулятор'!$D$7)=DAY(F996)),SUM($H$23:H996)-SUM($I$23:I995),IF(AND('депозитный калькулятор'!$G$10="ежемесячное, на минимальную сумму зафиксированную в течение месяца",F996='депозитный калькулятор'!$D$8,EOMONTH(F996,0)&lt;&gt;F996),IF('депозитный калькулятор'!$F$1=1,$H$24,IF(AND(OR('депозитный калькулятор'!$G$7="30/365",'депозитный калькулятор'!$G$7="30/360"),DAY(F996)=31),0,MIN(OFFSET(H996,-E996+1,0):H996)*(E996+SUMIF(OFFSET(A996,-E996+1,0):A996,"=2",OFFSET(A996,-E996+1,0):A996)))),IF(AND('депозитный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калькулятор'!$G$7="30/360"),DAY(EOMONTH(F996,0))=31),EOMONTH(F996,0)-1=F996,EOMONTH(F996,0)=F996)),IF(IF(AND(OR('депозитный калькулятор'!$G$7="30/365",'депозитный калькулятор'!$G$7="30/360"),DAY(EOMONTH($F$23,0))=31),F996=EOMONTH($F$23,0)-1,F996=EOMONTH($F$23,0)),MIN(OFFSET(H996,-(DAY(F996)-DAY($F$23)),0):H996)*E996,MIN(OFFSET(H996,-(DAY(F996)-1),0):H996)*IF(AND(OR('депозитный калькулятор'!$G$7="30/365",'депозитный калькулятор'!$G$7="30/360"),DAY(F996)&lt;30),30,DAY(F996))),IF(AND('депозитный калькулятор'!$G$10="ежемесячное, на средний остаток в течение месяца, при условии что остаток больше чем ограничение",F996='депозитный калькулятор'!$D$8,EOMONTH(F996,0)&lt;&gt;F996),IF('депозитный калькулятор'!$F$1=1,$H$24,SUM(OFFSET(Q996,-E996+1,0):Q996)),IF(AND('депозитный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калькулятор'!$G$7="30/360"),DAY(EOMONTH(F996,0))=31),EOMONTH(F996,0)-1=F996,EOMONTH(F996,0)=F996)),IF(IF(AND(OR('депозитный калькулятор'!$G$7="30/365",'депозитный калькулятор'!$G$7="30/360"),DAY(EOMONTH($F$24,0))=31),F996=EOMONTH($F$24,0)-1,F996=EOMONTH($F$24,0)),SUM(OFFSET(Q996,-E996+1,0):Q996),SUM(OFFSET(Q996,-E996+1,0):Q996)),IF('депозитный калькулятор'!$G$10="ежеквартальное",IF(F996&gt;'депозитный калькулятор'!$D$8," ",IF(AND(EOMONTH(F996,0)=F996,OR(MONTH(F996)=3,MONTH(F996)=6,MONTH(F996)=9,MONTH(F996)=12)),IF(EDATE(F996,-3)&lt;'депозитный калькулятор'!$D$7,SUM($H$23:H996),IF(MOD(YEAR(F996),4)=0,IF(AND(EOMONTH(F996,0)=F996,OR(MONTH(F996)=3,MONTH(F996)=6)),SUM(OFFSET(H996,-90,0):H996),IF(AND(EOMONTH(F996,0)=F996,OR(MONTH(F996)=9,MONTH(F996)=12)),SUM(OFFSET(H996,-91,0):H996))),IF(AND(EOMONTH(F996,0)=F996,MONTH(F996)=3),SUM(OFFSET(H996,-89,0):H996),IF(AND(EOMONTH(F996,0)=F996,MONTH(F996)=6),SUM(OFFSET(H996,-90,0):H996),IF(AND(EOMONTH(F996,0)=F996,OR(MONTH(F996)=9,MONTH(F996)=12)),SUM(OFFSET(H996,-91,0):H996)))))),IF(F996='депозитный калькулятор'!$D$8,SUM($H$23:H996)-SUM($I$23:I995),0))),IF('депозитный калькулятор'!$G$10="ежегодное",IF(F996&gt;'депозитный калькулятор'!$D$8," ",IF(F996='депозитный калькулятор'!$D$8,SUM($H$23:H996)-SUM($I$23:I995),IF(AND(EOMONTH(F996,0)=F996,MONTH(F996)=12),IF(MOD(YEAR(F995),4)=0,IF(F996-'депозитный калькулятор'!$D$7&lt;366,SUM($H$23:H996),SUM(OFFSET(H996,-365,0):H996)),IF(F996-'депозитный калькулятор'!$D$7&lt;365,SUM($H$23:H996),SUM(OFFSET(H996,-364,0):H996))),0))),IF(AND('депозитный калькулятор'!$G$10="в конце срока",'депозитный калькулятор'!$D$8=F996),SUM($H$23:H996),0))))))))))))))))))</f>
        <v xml:space="preserve"> </v>
      </c>
      <c r="J996" s="59" t="str">
        <f>IF(F996&gt;'депозитный калькулятор'!$D$8," ",IF('депозитный калькулятор'!$G$16="нет",0,IF(AND('депозитный калькулятор'!$G$17="разовая (в конце срока)",F996='депозитный калькулятор'!$D$8),'депозитный калькулятор'!$G$18,IF(AND('депозитный калькулятор'!$G$17="ежемесячная",EOMONTH(F995,0)=F995),'депозитный калькулятор'!$G$18,IF(AND('депозитный калькулятор'!$G$17="ежегодная",DAY(F995)=31,MONTH(F995)=12),'депозитный калькулятор'!$G$18,IF(AND('депозитный калькулятор'!$G$17="ежемесячная в зависимости от остатка",EOMONTH(F995,0)=F995,P995&gt;0),'депозитный калькулятор'!$G$18,IF(AND('депозитный калькулятор'!$G$17="ежегодная в зависимости от остатка",DAY(F995)=31,MONTH(F995)=12,P995&gt;0),'депозитный калькулятор'!$G$18,0)))))))</f>
        <v xml:space="preserve"> </v>
      </c>
      <c r="K996" s="135" t="str">
        <f>IF($F996=" "," ",IFERROR(VLOOKUP($F996,'депозитный калькулятор'!$B$26:$F$70,2,0),0))</f>
        <v xml:space="preserve"> </v>
      </c>
      <c r="L996" s="135" t="str">
        <f>IF($F996=" "," ",IFERROR(VLOOKUP($F996,'депозитный калькулятор'!$B$26:$F$70,3,0),0))</f>
        <v xml:space="preserve"> </v>
      </c>
      <c r="M996" s="135" t="str">
        <f>IF($F996=" "," ",IFERROR(VLOOKUP($F996,'депозитный калькулятор'!$B$26:$F$70,4,0),0))</f>
        <v xml:space="preserve"> </v>
      </c>
      <c r="N996" s="135" t="str">
        <f>IF($F996=" "," ",IFERROR(VLOOKUP($F996,'депозитный калькулятор'!$B$26:$F$70,5,0),0))</f>
        <v xml:space="preserve"> </v>
      </c>
      <c r="O996" s="146" t="str">
        <f>IF(F996&gt;'депозитный калькулятор'!$D$8," ",IF(F996='депозитный калькулятор'!$D$8,IF(AND($F$24='депозитный калькулятор'!$D$8,'депозитный калькулятор'!$G$13="нет"),-G996-IF(I996=" ",0,I996)-IF(AND(OR('депозитный калькулятор'!$G$7="30/365",'депозитный калькулятор'!$G$7="30/360"),'депозитный калькулятор'!$G$10="в начале срока"),I995,0)-L996+M996-N996,-G996-IF(I996=" ",0,I996)-L996+M996-N996),IF('депозитный калькулятор'!$G$13="есть",M996-N996+IF('депозитный калькулятор'!$G$14="есть",0,-L996),-IF(I996=" ",0,I996)-IF(AND(OR('депозитный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срока"),I995,0)+M996-N996+IF('депозитный калькулятор'!$G$14="есть",0,-L996))))</f>
        <v xml:space="preserve"> </v>
      </c>
      <c r="P996" s="147" t="str">
        <f>IF(F996&gt;'депозитный калькулятор'!$D$8," ",IF(EOMONTH(F995,0)=F995,0,IF(G996&gt;='депозитный калькулятор'!$G$19,P995,P995+1)))</f>
        <v xml:space="preserve"> </v>
      </c>
      <c r="Q996" s="138" t="str">
        <f>IF(F996=" "," ",IF(AND(OR('депозитный калькулятор'!$G$7="30/365",'депозитный калькулятор'!$G$7="30/360"),AND(MONTH(F996)=2,EOMONTH(F996,0)=F996)),IF(DAY(F996)=28,3,2),1)*IF(G996&gt;='депозитный калькулятор'!$G$11,IF(AND('депозитный калькулятор'!$G$7="факт/факт",MOD(YEAR(F996),4)=0),G996*'депозитный калькулятор'!$D$11/366,G996*'депозитный калькулятор'!$G$8),0))</f>
        <v xml:space="preserve"> </v>
      </c>
      <c r="S996" s="62" t="str">
        <f t="shared" ca="1" si="77"/>
        <v xml:space="preserve"> </v>
      </c>
      <c r="T996" s="149" t="str">
        <f ca="1">IF(S996=" "," ",IF('депозитный калькулятор'!$G$7="30/360",DAYS360(U995,IF(DAY(U996)=31,U996-1,U996))+IF(AND(MONTH(U996)=2,U996=EOMONTH(U996,0)),30-DAY(EOMONTH(U996,0)))+T995,VLOOKUP(S996,$C$22:$F$1023,2,0)))</f>
        <v xml:space="preserve"> </v>
      </c>
      <c r="U996" s="64" t="str">
        <f t="shared" ca="1" si="75"/>
        <v xml:space="preserve"> </v>
      </c>
      <c r="V996" s="150" t="str">
        <f t="shared" ca="1" si="78"/>
        <v xml:space="preserve"> </v>
      </c>
      <c r="W996" s="62" t="str">
        <f t="shared" ca="1" si="79"/>
        <v xml:space="preserve"> </v>
      </c>
      <c r="X996" s="141" t="str">
        <f ca="1">IF(S996=" "," ",IFERROR(VLOOKUP(U996,$F$23:$N$1023,7)+VLOOKUP(U996,$F$23:$N$1023,9)+IF(AND('депозитный калькулятор'!$G$13="нет",U996&lt;&gt;'депозитный калькулятор'!$D$8),VLOOKUP(U996,$F$23:$N$1023,4),0),0)+IF(U996='депозитный калькулятор'!$D$8,VLOOKUP(U996,$F$23:$N$1023,2)+VLOOKUP(U996,$F$23:$N$1023,4),0))</f>
        <v xml:space="preserve"> </v>
      </c>
      <c r="Y996" s="142" t="str">
        <f ca="1">IF(S996=" "," ",W996/(1+'депозитный калькулятор'!$K$8)^(T996/IF('депозитный калькулятор'!$G$7="30/360",360,365)))</f>
        <v xml:space="preserve"> </v>
      </c>
      <c r="Z996" s="142" t="str">
        <f ca="1">IF(S996=" "," ",X996/(1+'депозитный калькулятор'!$K$8)^(T996/IF('депозитный калькулятор'!$G$7="30/360",360,365)))</f>
        <v xml:space="preserve"> </v>
      </c>
      <c r="AA996" s="151"/>
      <c r="AB996" s="151"/>
      <c r="AC996" s="155"/>
      <c r="AD996" s="155"/>
    </row>
    <row r="997" spans="1:30" s="2" customFormat="1" ht="15.5" x14ac:dyDescent="0.35">
      <c r="A997" s="41" t="str">
        <f>IF(F997=" "," ",IF(OR('депозитный калькулятор'!$G$7="30/365",'депозитный калькулятор'!$G$7="30/360"),IF(AND(MONTH(F997)=2,DAY(F997)=DAY(EOMONTH(F997,0))),30-DAY(EOMONTH(F997,0)),IF(DAY(F997)=31,1," "))," "))</f>
        <v xml:space="preserve"> </v>
      </c>
      <c r="B997" s="130" t="str">
        <f t="shared" si="76"/>
        <v xml:space="preserve"> </v>
      </c>
      <c r="C997" s="130" t="str">
        <f>IF(OR(B997=0,B997=" ")," ",SUM($B$23:B997))</f>
        <v xml:space="preserve"> </v>
      </c>
      <c r="D997" s="62" t="str">
        <f>IF(D996=" "," ",IF(OR(F996='депозитный калькулятор'!$D$8,F996=" ")," ",D996+1))</f>
        <v xml:space="preserve"> </v>
      </c>
      <c r="E997" s="130" t="str">
        <f>IF(OR(F996='депозитный калькулятор'!$D$8,F996=" ")," ",IF(EOMONTH(F996,0)=F996,1,E996+1))</f>
        <v xml:space="preserve"> </v>
      </c>
      <c r="F997" s="64" t="str">
        <f>IF(F996=" "," ",IF(F996='депозитный калькулятор'!$D$8," ",F996+1))</f>
        <v xml:space="preserve"> </v>
      </c>
      <c r="G997" s="145" t="str">
        <f xml:space="preserve"> IF(F997&gt;'депозитный калькулятор'!$D$8," ",IF('депозитный калькулятор'!$G$13="есть",IF('депозитный калькулятор'!$G$14="есть",G996+IF(I996=" ",0,I996)-J997-K997+L997+M997-N997,G996+IF(I996=" ",0,I996)-J997-K997+M997-N997),IF('депозитный калькулятор'!$G$14="есть",G996-J997-K997+L997+M997-N997,G996-J997-K997+M997-N997)))</f>
        <v xml:space="preserve"> </v>
      </c>
      <c r="H997" s="133" t="str">
        <f>IF(F997&gt;'депозитный калькулятор'!$D$8," ",IF(AND(OR('депозитный калькулятор'!$G$7="30/365",'депозитный калькулятор'!$G$7="30/360"),AND(MONTH(F997)=2,EOMONTH(F997,0)=F997)),IF(DAY(F997)=28,3*G997*'депозитный калькулятор'!$G$8,2*G997*'депозитный калькулятор'!$G$8),IF(AND(OR('депозитный калькулятор'!$G$7="30/365",'депозитный калькулятор'!$G$7="30/360"),DAY(F997)=31)," ",IF(AND('депозитный калькулятор'!$G$7="факт/факт",MOD(YEAR(F997),4)=0),G997*'депозитный калькулятор'!$D$11/366,G997*'депозитный калькулятор'!$G$8))))</f>
        <v xml:space="preserve"> </v>
      </c>
      <c r="I997" s="134" t="str">
        <f ca="1">IF(F997=" "," ",IF('депозитный калькулятор'!$G$10="ежедневное",H997,IF(AND('депозитный калькулятор'!$G$10="еженедельное",WEEKDAY(F997,2)=7),SUM(OFFSET(H997,-6,0):H997),IF(AND('депозитный калькулятор'!$G$10="еженедельное",F997='депозитный калькулятор'!$D$8),SUM($H$23:H997)-SUM($I$23:I996),IF(AND('депозитный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недели",WEEKDAY(F997,2)=7),MIN(OFFSET(H997,-6,0):H997)*(COUNTIF(OFFSET(H997,-6,0):H997,"&gt;0")+SUMIF(OFFSET(A997,-WEEKDAY(F997,2),0):A997,"=2",OFFSET(A997,-WEEKDAY(F997,2),0):A997)),IF(AND('депозитный калькулятор'!$G$10="еженедельное, на минимальную сумму зафиксированную в течение недели",F997='депозитный калькулятор'!$D$8,WEEKDAY(F997,2)&lt;&gt;7),MIN(OFFSET(H997,-WEEKDAY(F997,2),0):H997)*(COUNTIF(OFFSET(H997,-WEEKDAY(F997,2)+1,0):H997,"&gt;0")+SUM(OFFSET(A997,-WEEKDAY(F997,2),0):A997)),IF(AND('депозитный калькулятор'!$G$10="ежемесячное (в конце месяца)",F997='депозитный калькулятор'!$D$8,EOMONTH(F997,0)&lt;&gt;F997),IF('депозитный калькулятор'!$F$1=1,$H$24,SUM($H$23:H997)-SUM($I$23:I996)),IF(AND('депозитный калькулятор'!$G$10="ежемесячное (в конце месяца)",EOMONTH(F997,0)=F997),SUM($H$23:H997)-SUM($I$23:I996),IF(AND('депозитный калькулятор'!$G$10="ежемесячное (по дням открытия вклада)",F997='депозитный калькулятор'!$D$8,DAY('депозитный калькулятор'!$D$7)&lt;&gt;DAY(F997)),IF('депозитный калькулятор'!$F$1=1,$H$24,SUM($H$23:H997)-SUM($I$23:I996)),IF(AND('депозитный калькулятор'!$G$10="ежемесячное (по дням открытия вклада)",DAY('депозитный калькулятор'!$D$7)=DAY(F997)),SUM($H$23:H997)-SUM($I$23:I996),IF(AND('депозитный калькулятор'!$G$10="ежемесячное, на минимальную сумму зафиксированную в течение месяца",F997='депозитный калькулятор'!$D$8,EOMONTH(F997,0)&lt;&gt;F997),IF('депозитный калькулятор'!$F$1=1,$H$24,IF(AND(OR('депозитный калькулятор'!$G$7="30/365",'депозитный калькулятор'!$G$7="30/360"),DAY(F997)=31),0,MIN(OFFSET(H997,-E997+1,0):H997)*(E997+SUMIF(OFFSET(A997,-E997+1,0):A997,"=2",OFFSET(A997,-E997+1,0):A997)))),IF(AND('депозитный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калькулятор'!$G$7="30/360"),DAY(EOMONTH(F997,0))=31),EOMONTH(F997,0)-1=F997,EOMONTH(F997,0)=F997)),IF(IF(AND(OR('депозитный калькулятор'!$G$7="30/365",'депозитный калькулятор'!$G$7="30/360"),DAY(EOMONTH($F$23,0))=31),F997=EOMONTH($F$23,0)-1,F997=EOMONTH($F$23,0)),MIN(OFFSET(H997,-(DAY(F997)-DAY($F$23)),0):H997)*E997,MIN(OFFSET(H997,-(DAY(F997)-1),0):H997)*IF(AND(OR('депозитный калькулятор'!$G$7="30/365",'депозитный калькулятор'!$G$7="30/360"),DAY(F997)&lt;30),30,DAY(F997))),IF(AND('депозитный калькулятор'!$G$10="ежемесячное, на средний остаток в течение месяца, при условии что остаток больше чем ограничение",F997='депозитный калькулятор'!$D$8,EOMONTH(F997,0)&lt;&gt;F997),IF('депозитный калькулятор'!$F$1=1,$H$24,SUM(OFFSET(Q997,-E997+1,0):Q997)),IF(AND('депозитный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калькулятор'!$G$7="30/360"),DAY(EOMONTH(F997,0))=31),EOMONTH(F997,0)-1=F997,EOMONTH(F997,0)=F997)),IF(IF(AND(OR('депозитный калькулятор'!$G$7="30/365",'депозитный калькулятор'!$G$7="30/360"),DAY(EOMONTH($F$24,0))=31),F997=EOMONTH($F$24,0)-1,F997=EOMONTH($F$24,0)),SUM(OFFSET(Q997,-E997+1,0):Q997),SUM(OFFSET(Q997,-E997+1,0):Q997)),IF('депозитный калькулятор'!$G$10="ежеквартальное",IF(F997&gt;'депозитный калькулятор'!$D$8," ",IF(AND(EOMONTH(F997,0)=F997,OR(MONTH(F997)=3,MONTH(F997)=6,MONTH(F997)=9,MONTH(F997)=12)),IF(EDATE(F997,-3)&lt;'депозитный калькулятор'!$D$7,SUM($H$23:H997),IF(MOD(YEAR(F997),4)=0,IF(AND(EOMONTH(F997,0)=F997,OR(MONTH(F997)=3,MONTH(F997)=6)),SUM(OFFSET(H997,-90,0):H997),IF(AND(EOMONTH(F997,0)=F997,OR(MONTH(F997)=9,MONTH(F997)=12)),SUM(OFFSET(H997,-91,0):H997))),IF(AND(EOMONTH(F997,0)=F997,MONTH(F997)=3),SUM(OFFSET(H997,-89,0):H997),IF(AND(EOMONTH(F997,0)=F997,MONTH(F997)=6),SUM(OFFSET(H997,-90,0):H997),IF(AND(EOMONTH(F997,0)=F997,OR(MONTH(F997)=9,MONTH(F997)=12)),SUM(OFFSET(H997,-91,0):H997)))))),IF(F997='депозитный калькулятор'!$D$8,SUM($H$23:H997)-SUM($I$23:I996),0))),IF('депозитный калькулятор'!$G$10="ежегодное",IF(F997&gt;'депозитный калькулятор'!$D$8," ",IF(F997='депозитный калькулятор'!$D$8,SUM($H$23:H997)-SUM($I$23:I996),IF(AND(EOMONTH(F997,0)=F997,MONTH(F997)=12),IF(MOD(YEAR(F996),4)=0,IF(F997-'депозитный калькулятор'!$D$7&lt;366,SUM($H$23:H997),SUM(OFFSET(H997,-365,0):H997)),IF(F997-'депозитный калькулятор'!$D$7&lt;365,SUM($H$23:H997),SUM(OFFSET(H997,-364,0):H997))),0))),IF(AND('депозитный калькулятор'!$G$10="в конце срока",'депозитный калькулятор'!$D$8=F997),SUM($H$23:H997),0))))))))))))))))))</f>
        <v xml:space="preserve"> </v>
      </c>
      <c r="J997" s="59" t="str">
        <f>IF(F997&gt;'депозитный калькулятор'!$D$8," ",IF('депозитный калькулятор'!$G$16="нет",0,IF(AND('депозитный калькулятор'!$G$17="разовая (в конце срока)",F997='депозитный калькулятор'!$D$8),'депозитный калькулятор'!$G$18,IF(AND('депозитный калькулятор'!$G$17="ежемесячная",EOMONTH(F996,0)=F996),'депозитный калькулятор'!$G$18,IF(AND('депозитный калькулятор'!$G$17="ежегодная",DAY(F996)=31,MONTH(F996)=12),'депозитный калькулятор'!$G$18,IF(AND('депозитный калькулятор'!$G$17="ежемесячная в зависимости от остатка",EOMONTH(F996,0)=F996,P996&gt;0),'депозитный калькулятор'!$G$18,IF(AND('депозитный калькулятор'!$G$17="ежегодная в зависимости от остатка",DAY(F996)=31,MONTH(F996)=12,P996&gt;0),'депозитный калькулятор'!$G$18,0)))))))</f>
        <v xml:space="preserve"> </v>
      </c>
      <c r="K997" s="135" t="str">
        <f>IF($F997=" "," ",IFERROR(VLOOKUP($F997,'депозитный калькулятор'!$B$26:$F$70,2,0),0))</f>
        <v xml:space="preserve"> </v>
      </c>
      <c r="L997" s="135" t="str">
        <f>IF($F997=" "," ",IFERROR(VLOOKUP($F997,'депозитный калькулятор'!$B$26:$F$70,3,0),0))</f>
        <v xml:space="preserve"> </v>
      </c>
      <c r="M997" s="135" t="str">
        <f>IF($F997=" "," ",IFERROR(VLOOKUP($F997,'депозитный калькулятор'!$B$26:$F$70,4,0),0))</f>
        <v xml:space="preserve"> </v>
      </c>
      <c r="N997" s="135" t="str">
        <f>IF($F997=" "," ",IFERROR(VLOOKUP($F997,'депозитный калькулятор'!$B$26:$F$70,5,0),0))</f>
        <v xml:space="preserve"> </v>
      </c>
      <c r="O997" s="146" t="str">
        <f>IF(F997&gt;'депозитный калькулятор'!$D$8," ",IF(F997='депозитный калькулятор'!$D$8,IF(AND($F$24='депозитный калькулятор'!$D$8,'депозитный калькулятор'!$G$13="нет"),-G997-IF(I997=" ",0,I997)-IF(AND(OR('депозитный калькулятор'!$G$7="30/365",'депозитный калькулятор'!$G$7="30/360"),'депозитный калькулятор'!$G$10="в начале срока"),I996,0)-L997+M997-N997,-G997-IF(I997=" ",0,I997)-L997+M997-N997),IF('депозитный калькулятор'!$G$13="есть",M997-N997+IF('депозитный калькулятор'!$G$14="есть",0,-L997),-IF(I997=" ",0,I997)-IF(AND(OR('депозитный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срока"),I996,0)+M997-N997+IF('депозитный калькулятор'!$G$14="есть",0,-L997))))</f>
        <v xml:space="preserve"> </v>
      </c>
      <c r="P997" s="147" t="str">
        <f>IF(F997&gt;'депозитный калькулятор'!$D$8," ",IF(EOMONTH(F996,0)=F996,0,IF(G997&gt;='депозитный калькулятор'!$G$19,P996,P996+1)))</f>
        <v xml:space="preserve"> </v>
      </c>
      <c r="Q997" s="138" t="str">
        <f>IF(F997=" "," ",IF(AND(OR('депозитный калькулятор'!$G$7="30/365",'депозитный калькулятор'!$G$7="30/360"),AND(MONTH(F997)=2,EOMONTH(F997,0)=F997)),IF(DAY(F997)=28,3,2),1)*IF(G997&gt;='депозитный калькулятор'!$G$11,IF(AND('депозитный калькулятор'!$G$7="факт/факт",MOD(YEAR(F997),4)=0),G997*'депозитный калькулятор'!$D$11/366,G997*'депозитный калькулятор'!$G$8),0))</f>
        <v xml:space="preserve"> </v>
      </c>
      <c r="S997" s="62" t="str">
        <f t="shared" ca="1" si="77"/>
        <v xml:space="preserve"> </v>
      </c>
      <c r="T997" s="149" t="str">
        <f ca="1">IF(S997=" "," ",IF('депозитный калькулятор'!$G$7="30/360",DAYS360(U996,IF(DAY(U997)=31,U997-1,U997))+IF(AND(MONTH(U997)=2,U997=EOMONTH(U997,0)),30-DAY(EOMONTH(U997,0)))+T996,VLOOKUP(S997,$C$22:$F$1023,2,0)))</f>
        <v xml:space="preserve"> </v>
      </c>
      <c r="U997" s="64" t="str">
        <f t="shared" ca="1" si="75"/>
        <v xml:space="preserve"> </v>
      </c>
      <c r="V997" s="150" t="str">
        <f t="shared" ca="1" si="78"/>
        <v xml:space="preserve"> </v>
      </c>
      <c r="W997" s="62" t="str">
        <f t="shared" ca="1" si="79"/>
        <v xml:space="preserve"> </v>
      </c>
      <c r="X997" s="141" t="str">
        <f ca="1">IF(S997=" "," ",IFERROR(VLOOKUP(U997,$F$23:$N$1023,7)+VLOOKUP(U997,$F$23:$N$1023,9)+IF(AND('депозитный калькулятор'!$G$13="нет",U997&lt;&gt;'депозитный калькулятор'!$D$8),VLOOKUP(U997,$F$23:$N$1023,4),0),0)+IF(U997='депозитный калькулятор'!$D$8,VLOOKUP(U997,$F$23:$N$1023,2)+VLOOKUP(U997,$F$23:$N$1023,4),0))</f>
        <v xml:space="preserve"> </v>
      </c>
      <c r="Y997" s="142" t="str">
        <f ca="1">IF(S997=" "," ",W997/(1+'депозитный калькулятор'!$K$8)^(T997/IF('депозитный калькулятор'!$G$7="30/360",360,365)))</f>
        <v xml:space="preserve"> </v>
      </c>
      <c r="Z997" s="142" t="str">
        <f ca="1">IF(S997=" "," ",X997/(1+'депозитный калькулятор'!$K$8)^(T997/IF('депозитный калькулятор'!$G$7="30/360",360,365)))</f>
        <v xml:space="preserve"> </v>
      </c>
      <c r="AA997" s="151"/>
      <c r="AB997" s="151"/>
      <c r="AC997" s="155"/>
      <c r="AD997" s="155"/>
    </row>
    <row r="998" spans="1:30" s="2" customFormat="1" ht="15.5" x14ac:dyDescent="0.35">
      <c r="A998" s="41" t="str">
        <f>IF(F998=" "," ",IF(OR('депозитный калькулятор'!$G$7="30/365",'депозитный калькулятор'!$G$7="30/360"),IF(AND(MONTH(F998)=2,DAY(F998)=DAY(EOMONTH(F998,0))),30-DAY(EOMONTH(F998,0)),IF(DAY(F998)=31,1," "))," "))</f>
        <v xml:space="preserve"> </v>
      </c>
      <c r="B998" s="130" t="str">
        <f t="shared" si="76"/>
        <v xml:space="preserve"> </v>
      </c>
      <c r="C998" s="130" t="str">
        <f>IF(OR(B998=0,B998=" ")," ",SUM($B$23:B998))</f>
        <v xml:space="preserve"> </v>
      </c>
      <c r="D998" s="62" t="str">
        <f>IF(D997=" "," ",IF(OR(F997='депозитный калькулятор'!$D$8,F997=" ")," ",D997+1))</f>
        <v xml:space="preserve"> </v>
      </c>
      <c r="E998" s="130" t="str">
        <f>IF(OR(F997='депозитный калькулятор'!$D$8,F997=" ")," ",IF(EOMONTH(F997,0)=F997,1,E997+1))</f>
        <v xml:space="preserve"> </v>
      </c>
      <c r="F998" s="64" t="str">
        <f>IF(F997=" "," ",IF(F997='депозитный калькулятор'!$D$8," ",F997+1))</f>
        <v xml:space="preserve"> </v>
      </c>
      <c r="G998" s="145" t="str">
        <f xml:space="preserve"> IF(F998&gt;'депозитный калькулятор'!$D$8," ",IF('депозитный калькулятор'!$G$13="есть",IF('депозитный калькулятор'!$G$14="есть",G997+IF(I997=" ",0,I997)-J998-K998+L998+M998-N998,G997+IF(I997=" ",0,I997)-J998-K998+M998-N998),IF('депозитный калькулятор'!$G$14="есть",G997-J998-K998+L998+M998-N998,G997-J998-K998+M998-N998)))</f>
        <v xml:space="preserve"> </v>
      </c>
      <c r="H998" s="133" t="str">
        <f>IF(F998&gt;'депозитный калькулятор'!$D$8," ",IF(AND(OR('депозитный калькулятор'!$G$7="30/365",'депозитный калькулятор'!$G$7="30/360"),AND(MONTH(F998)=2,EOMONTH(F998,0)=F998)),IF(DAY(F998)=28,3*G998*'депозитный калькулятор'!$G$8,2*G998*'депозитный калькулятор'!$G$8),IF(AND(OR('депозитный калькулятор'!$G$7="30/365",'депозитный калькулятор'!$G$7="30/360"),DAY(F998)=31)," ",IF(AND('депозитный калькулятор'!$G$7="факт/факт",MOD(YEAR(F998),4)=0),G998*'депозитный калькулятор'!$D$11/366,G998*'депозитный калькулятор'!$G$8))))</f>
        <v xml:space="preserve"> </v>
      </c>
      <c r="I998" s="134" t="str">
        <f ca="1">IF(F998=" "," ",IF('депозитный калькулятор'!$G$10="ежедневное",H998,IF(AND('депозитный калькулятор'!$G$10="еженедельное",WEEKDAY(F998,2)=7),SUM(OFFSET(H998,-6,0):H998),IF(AND('депозитный калькулятор'!$G$10="еженедельное",F998='депозитный калькулятор'!$D$8),SUM($H$23:H998)-SUM($I$23:I997),IF(AND('депозитный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недели",WEEKDAY(F998,2)=7),MIN(OFFSET(H998,-6,0):H998)*(COUNTIF(OFFSET(H998,-6,0):H998,"&gt;0")+SUMIF(OFFSET(A998,-WEEKDAY(F998,2),0):A998,"=2",OFFSET(A998,-WEEKDAY(F998,2),0):A998)),IF(AND('депозитный калькулятор'!$G$10="еженедельное, на минимальную сумму зафиксированную в течение недели",F998='депозитный калькулятор'!$D$8,WEEKDAY(F998,2)&lt;&gt;7),MIN(OFFSET(H998,-WEEKDAY(F998,2),0):H998)*(COUNTIF(OFFSET(H998,-WEEKDAY(F998,2)+1,0):H998,"&gt;0")+SUM(OFFSET(A998,-WEEKDAY(F998,2),0):A998)),IF(AND('депозитный калькулятор'!$G$10="ежемесячное (в конце месяца)",F998='депозитный калькулятор'!$D$8,EOMONTH(F998,0)&lt;&gt;F998),IF('депозитный калькулятор'!$F$1=1,$H$24,SUM($H$23:H998)-SUM($I$23:I997)),IF(AND('депозитный калькулятор'!$G$10="ежемесячное (в конце месяца)",EOMONTH(F998,0)=F998),SUM($H$23:H998)-SUM($I$23:I997),IF(AND('депозитный калькулятор'!$G$10="ежемесячное (по дням открытия вклада)",F998='депозитный калькулятор'!$D$8,DAY('депозитный калькулятор'!$D$7)&lt;&gt;DAY(F998)),IF('депозитный калькулятор'!$F$1=1,$H$24,SUM($H$23:H998)-SUM($I$23:I997)),IF(AND('депозитный калькулятор'!$G$10="ежемесячное (по дням открытия вклада)",DAY('депозитный калькулятор'!$D$7)=DAY(F998)),SUM($H$23:H998)-SUM($I$23:I997),IF(AND('депозитный калькулятор'!$G$10="ежемесячное, на минимальную сумму зафиксированную в течение месяца",F998='депозитный калькулятор'!$D$8,EOMONTH(F998,0)&lt;&gt;F998),IF('депозитный калькулятор'!$F$1=1,$H$24,IF(AND(OR('депозитный калькулятор'!$G$7="30/365",'депозитный калькулятор'!$G$7="30/360"),DAY(F998)=31),0,MIN(OFFSET(H998,-E998+1,0):H998)*(E998+SUMIF(OFFSET(A998,-E998+1,0):A998,"=2",OFFSET(A998,-E998+1,0):A998)))),IF(AND('депозитный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калькулятор'!$G$7="30/360"),DAY(EOMONTH(F998,0))=31),EOMONTH(F998,0)-1=F998,EOMONTH(F998,0)=F998)),IF(IF(AND(OR('депозитный калькулятор'!$G$7="30/365",'депозитный калькулятор'!$G$7="30/360"),DAY(EOMONTH($F$23,0))=31),F998=EOMONTH($F$23,0)-1,F998=EOMONTH($F$23,0)),MIN(OFFSET(H998,-(DAY(F998)-DAY($F$23)),0):H998)*E998,MIN(OFFSET(H998,-(DAY(F998)-1),0):H998)*IF(AND(OR('депозитный калькулятор'!$G$7="30/365",'депозитный калькулятор'!$G$7="30/360"),DAY(F998)&lt;30),30,DAY(F998))),IF(AND('депозитный калькулятор'!$G$10="ежемесячное, на средний остаток в течение месяца, при условии что остаток больше чем ограничение",F998='депозитный калькулятор'!$D$8,EOMONTH(F998,0)&lt;&gt;F998),IF('депозитный калькулятор'!$F$1=1,$H$24,SUM(OFFSET(Q998,-E998+1,0):Q998)),IF(AND('депозитный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калькулятор'!$G$7="30/360"),DAY(EOMONTH(F998,0))=31),EOMONTH(F998,0)-1=F998,EOMONTH(F998,0)=F998)),IF(IF(AND(OR('депозитный калькулятор'!$G$7="30/365",'депозитный калькулятор'!$G$7="30/360"),DAY(EOMONTH($F$24,0))=31),F998=EOMONTH($F$24,0)-1,F998=EOMONTH($F$24,0)),SUM(OFFSET(Q998,-E998+1,0):Q998),SUM(OFFSET(Q998,-E998+1,0):Q998)),IF('депозитный калькулятор'!$G$10="ежеквартальное",IF(F998&gt;'депозитный калькулятор'!$D$8," ",IF(AND(EOMONTH(F998,0)=F998,OR(MONTH(F998)=3,MONTH(F998)=6,MONTH(F998)=9,MONTH(F998)=12)),IF(EDATE(F998,-3)&lt;'депозитный калькулятор'!$D$7,SUM($H$23:H998),IF(MOD(YEAR(F998),4)=0,IF(AND(EOMONTH(F998,0)=F998,OR(MONTH(F998)=3,MONTH(F998)=6)),SUM(OFFSET(H998,-90,0):H998),IF(AND(EOMONTH(F998,0)=F998,OR(MONTH(F998)=9,MONTH(F998)=12)),SUM(OFFSET(H998,-91,0):H998))),IF(AND(EOMONTH(F998,0)=F998,MONTH(F998)=3),SUM(OFFSET(H998,-89,0):H998),IF(AND(EOMONTH(F998,0)=F998,MONTH(F998)=6),SUM(OFFSET(H998,-90,0):H998),IF(AND(EOMONTH(F998,0)=F998,OR(MONTH(F998)=9,MONTH(F998)=12)),SUM(OFFSET(H998,-91,0):H998)))))),IF(F998='депозитный калькулятор'!$D$8,SUM($H$23:H998)-SUM($I$23:I997),0))),IF('депозитный калькулятор'!$G$10="ежегодное",IF(F998&gt;'депозитный калькулятор'!$D$8," ",IF(F998='депозитный калькулятор'!$D$8,SUM($H$23:H998)-SUM($I$23:I997),IF(AND(EOMONTH(F998,0)=F998,MONTH(F998)=12),IF(MOD(YEAR(F997),4)=0,IF(F998-'депозитный калькулятор'!$D$7&lt;366,SUM($H$23:H998),SUM(OFFSET(H998,-365,0):H998)),IF(F998-'депозитный калькулятор'!$D$7&lt;365,SUM($H$23:H998),SUM(OFFSET(H998,-364,0):H998))),0))),IF(AND('депозитный калькулятор'!$G$10="в конце срока",'депозитный калькулятор'!$D$8=F998),SUM($H$23:H998),0))))))))))))))))))</f>
        <v xml:space="preserve"> </v>
      </c>
      <c r="J998" s="59" t="str">
        <f>IF(F998&gt;'депозитный калькулятор'!$D$8," ",IF('депозитный калькулятор'!$G$16="нет",0,IF(AND('депозитный калькулятор'!$G$17="разовая (в конце срока)",F998='депозитный калькулятор'!$D$8),'депозитный калькулятор'!$G$18,IF(AND('депозитный калькулятор'!$G$17="ежемесячная",EOMONTH(F997,0)=F997),'депозитный калькулятор'!$G$18,IF(AND('депозитный калькулятор'!$G$17="ежегодная",DAY(F997)=31,MONTH(F997)=12),'депозитный калькулятор'!$G$18,IF(AND('депозитный калькулятор'!$G$17="ежемесячная в зависимости от остатка",EOMONTH(F997,0)=F997,P997&gt;0),'депозитный калькулятор'!$G$18,IF(AND('депозитный калькулятор'!$G$17="ежегодная в зависимости от остатка",DAY(F997)=31,MONTH(F997)=12,P997&gt;0),'депозитный калькулятор'!$G$18,0)))))))</f>
        <v xml:space="preserve"> </v>
      </c>
      <c r="K998" s="135" t="str">
        <f>IF($F998=" "," ",IFERROR(VLOOKUP($F998,'депозитный калькулятор'!$B$26:$F$70,2,0),0))</f>
        <v xml:space="preserve"> </v>
      </c>
      <c r="L998" s="135" t="str">
        <f>IF($F998=" "," ",IFERROR(VLOOKUP($F998,'депозитный калькулятор'!$B$26:$F$70,3,0),0))</f>
        <v xml:space="preserve"> </v>
      </c>
      <c r="M998" s="135" t="str">
        <f>IF($F998=" "," ",IFERROR(VLOOKUP($F998,'депозитный калькулятор'!$B$26:$F$70,4,0),0))</f>
        <v xml:space="preserve"> </v>
      </c>
      <c r="N998" s="135" t="str">
        <f>IF($F998=" "," ",IFERROR(VLOOKUP($F998,'депозитный калькулятор'!$B$26:$F$70,5,0),0))</f>
        <v xml:space="preserve"> </v>
      </c>
      <c r="O998" s="146" t="str">
        <f>IF(F998&gt;'депозитный калькулятор'!$D$8," ",IF(F998='депозитный калькулятор'!$D$8,IF(AND($F$24='депозитный калькулятор'!$D$8,'депозитный калькулятор'!$G$13="нет"),-G998-IF(I998=" ",0,I998)-IF(AND(OR('депозитный калькулятор'!$G$7="30/365",'депозитный калькулятор'!$G$7="30/360"),'депозитный калькулятор'!$G$10="в начале срока"),I997,0)-L998+M998-N998,-G998-IF(I998=" ",0,I998)-L998+M998-N998),IF('депозитный калькулятор'!$G$13="есть",M998-N998+IF('депозитный калькулятор'!$G$14="есть",0,-L998),-IF(I998=" ",0,I998)-IF(AND(OR('депозитный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срока"),I997,0)+M998-N998+IF('депозитный калькулятор'!$G$14="есть",0,-L998))))</f>
        <v xml:space="preserve"> </v>
      </c>
      <c r="P998" s="147" t="str">
        <f>IF(F998&gt;'депозитный калькулятор'!$D$8," ",IF(EOMONTH(F997,0)=F997,0,IF(G998&gt;='депозитный калькулятор'!$G$19,P997,P997+1)))</f>
        <v xml:space="preserve"> </v>
      </c>
      <c r="Q998" s="138" t="str">
        <f>IF(F998=" "," ",IF(AND(OR('депозитный калькулятор'!$G$7="30/365",'депозитный калькулятор'!$G$7="30/360"),AND(MONTH(F998)=2,EOMONTH(F998,0)=F998)),IF(DAY(F998)=28,3,2),1)*IF(G998&gt;='депозитный калькулятор'!$G$11,IF(AND('депозитный калькулятор'!$G$7="факт/факт",MOD(YEAR(F998),4)=0),G998*'депозитный калькулятор'!$D$11/366,G998*'депозитный калькулятор'!$G$8),0))</f>
        <v xml:space="preserve"> </v>
      </c>
      <c r="S998" s="62" t="str">
        <f t="shared" ca="1" si="77"/>
        <v xml:space="preserve"> </v>
      </c>
      <c r="T998" s="149" t="str">
        <f ca="1">IF(S998=" "," ",IF('депозитный калькулятор'!$G$7="30/360",DAYS360(U997,IF(DAY(U998)=31,U998-1,U998))+IF(AND(MONTH(U998)=2,U998=EOMONTH(U998,0)),30-DAY(EOMONTH(U998,0)))+T997,VLOOKUP(S998,$C$22:$F$1023,2,0)))</f>
        <v xml:space="preserve"> </v>
      </c>
      <c r="U998" s="64" t="str">
        <f t="shared" ca="1" si="75"/>
        <v xml:space="preserve"> </v>
      </c>
      <c r="V998" s="150" t="str">
        <f t="shared" ca="1" si="78"/>
        <v xml:space="preserve"> </v>
      </c>
      <c r="W998" s="62" t="str">
        <f t="shared" ca="1" si="79"/>
        <v xml:space="preserve"> </v>
      </c>
      <c r="X998" s="141" t="str">
        <f ca="1">IF(S998=" "," ",IFERROR(VLOOKUP(U998,$F$23:$N$1023,7)+VLOOKUP(U998,$F$23:$N$1023,9)+IF(AND('депозитный калькулятор'!$G$13="нет",U998&lt;&gt;'депозитный калькулятор'!$D$8),VLOOKUP(U998,$F$23:$N$1023,4),0),0)+IF(U998='депозитный калькулятор'!$D$8,VLOOKUP(U998,$F$23:$N$1023,2)+VLOOKUP(U998,$F$23:$N$1023,4),0))</f>
        <v xml:space="preserve"> </v>
      </c>
      <c r="Y998" s="142" t="str">
        <f ca="1">IF(S998=" "," ",W998/(1+'депозитный калькулятор'!$K$8)^(T998/IF('депозитный калькулятор'!$G$7="30/360",360,365)))</f>
        <v xml:space="preserve"> </v>
      </c>
      <c r="Z998" s="142" t="str">
        <f ca="1">IF(S998=" "," ",X998/(1+'депозитный калькулятор'!$K$8)^(T998/IF('депозитный калькулятор'!$G$7="30/360",360,365)))</f>
        <v xml:space="preserve"> </v>
      </c>
      <c r="AA998" s="151"/>
      <c r="AB998" s="151"/>
      <c r="AC998" s="155"/>
      <c r="AD998" s="155"/>
    </row>
    <row r="999" spans="1:30" s="2" customFormat="1" ht="15.5" x14ac:dyDescent="0.35">
      <c r="A999" s="41" t="str">
        <f>IF(F999=" "," ",IF(OR('депозитный калькулятор'!$G$7="30/365",'депозитный калькулятор'!$G$7="30/360"),IF(AND(MONTH(F999)=2,DAY(F999)=DAY(EOMONTH(F999,0))),30-DAY(EOMONTH(F999,0)),IF(DAY(F999)=31,1," "))," "))</f>
        <v xml:space="preserve"> </v>
      </c>
      <c r="B999" s="130" t="str">
        <f t="shared" si="76"/>
        <v xml:space="preserve"> </v>
      </c>
      <c r="C999" s="130" t="str">
        <f>IF(OR(B999=0,B999=" ")," ",SUM($B$23:B999))</f>
        <v xml:space="preserve"> </v>
      </c>
      <c r="D999" s="62" t="str">
        <f>IF(D998=" "," ",IF(OR(F998='депозитный калькулятор'!$D$8,F998=" ")," ",D998+1))</f>
        <v xml:space="preserve"> </v>
      </c>
      <c r="E999" s="130" t="str">
        <f>IF(OR(F998='депозитный калькулятор'!$D$8,F998=" ")," ",IF(EOMONTH(F998,0)=F998,1,E998+1))</f>
        <v xml:space="preserve"> </v>
      </c>
      <c r="F999" s="64" t="str">
        <f>IF(F998=" "," ",IF(F998='депозитный калькулятор'!$D$8," ",F998+1))</f>
        <v xml:space="preserve"> </v>
      </c>
      <c r="G999" s="145" t="str">
        <f xml:space="preserve"> IF(F999&gt;'депозитный калькулятор'!$D$8," ",IF('депозитный калькулятор'!$G$13="есть",IF('депозитный калькулятор'!$G$14="есть",G998+IF(I998=" ",0,I998)-J999-K999+L999+M999-N999,G998+IF(I998=" ",0,I998)-J999-K999+M999-N999),IF('депозитный калькулятор'!$G$14="есть",G998-J999-K999+L999+M999-N999,G998-J999-K999+M999-N999)))</f>
        <v xml:space="preserve"> </v>
      </c>
      <c r="H999" s="133" t="str">
        <f>IF(F999&gt;'депозитный калькулятор'!$D$8," ",IF(AND(OR('депозитный калькулятор'!$G$7="30/365",'депозитный калькулятор'!$G$7="30/360"),AND(MONTH(F999)=2,EOMONTH(F999,0)=F999)),IF(DAY(F999)=28,3*G999*'депозитный калькулятор'!$G$8,2*G999*'депозитный калькулятор'!$G$8),IF(AND(OR('депозитный калькулятор'!$G$7="30/365",'депозитный калькулятор'!$G$7="30/360"),DAY(F999)=31)," ",IF(AND('депозитный калькулятор'!$G$7="факт/факт",MOD(YEAR(F999),4)=0),G999*'депозитный калькулятор'!$D$11/366,G999*'депозитный калькулятор'!$G$8))))</f>
        <v xml:space="preserve"> </v>
      </c>
      <c r="I999" s="134" t="str">
        <f ca="1">IF(F999=" "," ",IF('депозитный калькулятор'!$G$10="ежедневное",H999,IF(AND('депозитный калькулятор'!$G$10="еженедельное",WEEKDAY(F999,2)=7),SUM(OFFSET(H999,-6,0):H999),IF(AND('депозитный калькулятор'!$G$10="еженедельное",F999='депозитный калькулятор'!$D$8),SUM($H$23:H999)-SUM($I$23:I998),IF(AND('депозитный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недели",WEEKDAY(F999,2)=7),MIN(OFFSET(H999,-6,0):H999)*(COUNTIF(OFFSET(H999,-6,0):H999,"&gt;0")+SUMIF(OFFSET(A999,-WEEKDAY(F999,2),0):A999,"=2",OFFSET(A999,-WEEKDAY(F999,2),0):A999)),IF(AND('депозитный калькулятор'!$G$10="еженедельное, на минимальную сумму зафиксированную в течение недели",F999='депозитный калькулятор'!$D$8,WEEKDAY(F999,2)&lt;&gt;7),MIN(OFFSET(H999,-WEEKDAY(F999,2),0):H999)*(COUNTIF(OFFSET(H999,-WEEKDAY(F999,2)+1,0):H999,"&gt;0")+SUM(OFFSET(A999,-WEEKDAY(F999,2),0):A999)),IF(AND('депозитный калькулятор'!$G$10="ежемесячное (в конце месяца)",F999='депозитный калькулятор'!$D$8,EOMONTH(F999,0)&lt;&gt;F999),IF('депозитный калькулятор'!$F$1=1,$H$24,SUM($H$23:H999)-SUM($I$23:I998)),IF(AND('депозитный калькулятор'!$G$10="ежемесячное (в конце месяца)",EOMONTH(F999,0)=F999),SUM($H$23:H999)-SUM($I$23:I998),IF(AND('депозитный калькулятор'!$G$10="ежемесячное (по дням открытия вклада)",F999='депозитный калькулятор'!$D$8,DAY('депозитный калькулятор'!$D$7)&lt;&gt;DAY(F999)),IF('депозитный калькулятор'!$F$1=1,$H$24,SUM($H$23:H999)-SUM($I$23:I998)),IF(AND('депозитный калькулятор'!$G$10="ежемесячное (по дням открытия вклада)",DAY('депозитный калькулятор'!$D$7)=DAY(F999)),SUM($H$23:H999)-SUM($I$23:I998),IF(AND('депозитный калькулятор'!$G$10="ежемесячное, на минимальную сумму зафиксированную в течение месяца",F999='депозитный калькулятор'!$D$8,EOMONTH(F999,0)&lt;&gt;F999),IF('депозитный калькулятор'!$F$1=1,$H$24,IF(AND(OR('депозитный калькулятор'!$G$7="30/365",'депозитный калькулятор'!$G$7="30/360"),DAY(F999)=31),0,MIN(OFFSET(H999,-E999+1,0):H999)*(E999+SUMIF(OFFSET(A999,-E999+1,0):A999,"=2",OFFSET(A999,-E999+1,0):A999)))),IF(AND('депозитный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калькулятор'!$G$7="30/360"),DAY(EOMONTH(F999,0))=31),EOMONTH(F999,0)-1=F999,EOMONTH(F999,0)=F999)),IF(IF(AND(OR('депозитный калькулятор'!$G$7="30/365",'депозитный калькулятор'!$G$7="30/360"),DAY(EOMONTH($F$23,0))=31),F999=EOMONTH($F$23,0)-1,F999=EOMONTH($F$23,0)),MIN(OFFSET(H999,-(DAY(F999)-DAY($F$23)),0):H999)*E999,MIN(OFFSET(H999,-(DAY(F999)-1),0):H999)*IF(AND(OR('депозитный калькулятор'!$G$7="30/365",'депозитный калькулятор'!$G$7="30/360"),DAY(F999)&lt;30),30,DAY(F999))),IF(AND('депозитный калькулятор'!$G$10="ежемесячное, на средний остаток в течение месяца, при условии что остаток больше чем ограничение",F999='депозитный калькулятор'!$D$8,EOMONTH(F999,0)&lt;&gt;F999),IF('депозитный калькулятор'!$F$1=1,$H$24,SUM(OFFSET(Q999,-E999+1,0):Q999)),IF(AND('депозитный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калькулятор'!$G$7="30/360"),DAY(EOMONTH(F999,0))=31),EOMONTH(F999,0)-1=F999,EOMONTH(F999,0)=F999)),IF(IF(AND(OR('депозитный калькулятор'!$G$7="30/365",'депозитный калькулятор'!$G$7="30/360"),DAY(EOMONTH($F$24,0))=31),F999=EOMONTH($F$24,0)-1,F999=EOMONTH($F$24,0)),SUM(OFFSET(Q999,-E999+1,0):Q999),SUM(OFFSET(Q999,-E999+1,0):Q999)),IF('депозитный калькулятор'!$G$10="ежеквартальное",IF(F999&gt;'депозитный калькулятор'!$D$8," ",IF(AND(EOMONTH(F999,0)=F999,OR(MONTH(F999)=3,MONTH(F999)=6,MONTH(F999)=9,MONTH(F999)=12)),IF(EDATE(F999,-3)&lt;'депозитный калькулятор'!$D$7,SUM($H$23:H999),IF(MOD(YEAR(F999),4)=0,IF(AND(EOMONTH(F999,0)=F999,OR(MONTH(F999)=3,MONTH(F999)=6)),SUM(OFFSET(H999,-90,0):H999),IF(AND(EOMONTH(F999,0)=F999,OR(MONTH(F999)=9,MONTH(F999)=12)),SUM(OFFSET(H999,-91,0):H999))),IF(AND(EOMONTH(F999,0)=F999,MONTH(F999)=3),SUM(OFFSET(H999,-89,0):H999),IF(AND(EOMONTH(F999,0)=F999,MONTH(F999)=6),SUM(OFFSET(H999,-90,0):H999),IF(AND(EOMONTH(F999,0)=F999,OR(MONTH(F999)=9,MONTH(F999)=12)),SUM(OFFSET(H999,-91,0):H999)))))),IF(F999='депозитный калькулятор'!$D$8,SUM($H$23:H999)-SUM($I$23:I998),0))),IF('депозитный калькулятор'!$G$10="ежегодное",IF(F999&gt;'депозитный калькулятор'!$D$8," ",IF(F999='депозитный калькулятор'!$D$8,SUM($H$23:H999)-SUM($I$23:I998),IF(AND(EOMONTH(F999,0)=F999,MONTH(F999)=12),IF(MOD(YEAR(F998),4)=0,IF(F999-'депозитный калькулятор'!$D$7&lt;366,SUM($H$23:H999),SUM(OFFSET(H999,-365,0):H999)),IF(F999-'депозитный калькулятор'!$D$7&lt;365,SUM($H$23:H999),SUM(OFFSET(H999,-364,0):H999))),0))),IF(AND('депозитный калькулятор'!$G$10="в конце срока",'депозитный калькулятор'!$D$8=F999),SUM($H$23:H999),0))))))))))))))))))</f>
        <v xml:space="preserve"> </v>
      </c>
      <c r="J999" s="59" t="str">
        <f>IF(F999&gt;'депозитный калькулятор'!$D$8," ",IF('депозитный калькулятор'!$G$16="нет",0,IF(AND('депозитный калькулятор'!$G$17="разовая (в конце срока)",F999='депозитный калькулятор'!$D$8),'депозитный калькулятор'!$G$18,IF(AND('депозитный калькулятор'!$G$17="ежемесячная",EOMONTH(F998,0)=F998),'депозитный калькулятор'!$G$18,IF(AND('депозитный калькулятор'!$G$17="ежегодная",DAY(F998)=31,MONTH(F998)=12),'депозитный калькулятор'!$G$18,IF(AND('депозитный калькулятор'!$G$17="ежемесячная в зависимости от остатка",EOMONTH(F998,0)=F998,P998&gt;0),'депозитный калькулятор'!$G$18,IF(AND('депозитный калькулятор'!$G$17="ежегодная в зависимости от остатка",DAY(F998)=31,MONTH(F998)=12,P998&gt;0),'депозитный калькулятор'!$G$18,0)))))))</f>
        <v xml:space="preserve"> </v>
      </c>
      <c r="K999" s="135" t="str">
        <f>IF($F999=" "," ",IFERROR(VLOOKUP($F999,'депозитный калькулятор'!$B$26:$F$70,2,0),0))</f>
        <v xml:space="preserve"> </v>
      </c>
      <c r="L999" s="135" t="str">
        <f>IF($F999=" "," ",IFERROR(VLOOKUP($F999,'депозитный калькулятор'!$B$26:$F$70,3,0),0))</f>
        <v xml:space="preserve"> </v>
      </c>
      <c r="M999" s="135" t="str">
        <f>IF($F999=" "," ",IFERROR(VLOOKUP($F999,'депозитный калькулятор'!$B$26:$F$70,4,0),0))</f>
        <v xml:space="preserve"> </v>
      </c>
      <c r="N999" s="135" t="str">
        <f>IF($F999=" "," ",IFERROR(VLOOKUP($F999,'депозитный калькулятор'!$B$26:$F$70,5,0),0))</f>
        <v xml:space="preserve"> </v>
      </c>
      <c r="O999" s="146" t="str">
        <f>IF(F999&gt;'депозитный калькулятор'!$D$8," ",IF(F999='депозитный калькулятор'!$D$8,IF(AND($F$24='депозитный калькулятор'!$D$8,'депозитный калькулятор'!$G$13="нет"),-G999-IF(I999=" ",0,I999)-IF(AND(OR('депозитный калькулятор'!$G$7="30/365",'депозитный калькулятор'!$G$7="30/360"),'депозитный калькулятор'!$G$10="в начале срока"),I998,0)-L999+M999-N999,-G999-IF(I999=" ",0,I999)-L999+M999-N999),IF('депозитный калькулятор'!$G$13="есть",M999-N999+IF('депозитный калькулятор'!$G$14="есть",0,-L999),-IF(I999=" ",0,I999)-IF(AND(OR('депозитный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срока"),I998,0)+M999-N999+IF('депозитный калькулятор'!$G$14="есть",0,-L999))))</f>
        <v xml:space="preserve"> </v>
      </c>
      <c r="P999" s="147" t="str">
        <f>IF(F999&gt;'депозитный калькулятор'!$D$8," ",IF(EOMONTH(F998,0)=F998,0,IF(G999&gt;='депозитный калькулятор'!$G$19,P998,P998+1)))</f>
        <v xml:space="preserve"> </v>
      </c>
      <c r="Q999" s="138" t="str">
        <f>IF(F999=" "," ",IF(AND(OR('депозитный калькулятор'!$G$7="30/365",'депозитный калькулятор'!$G$7="30/360"),AND(MONTH(F999)=2,EOMONTH(F999,0)=F999)),IF(DAY(F999)=28,3,2),1)*IF(G999&gt;='депозитный калькулятор'!$G$11,IF(AND('депозитный калькулятор'!$G$7="факт/факт",MOD(YEAR(F999),4)=0),G999*'депозитный калькулятор'!$D$11/366,G999*'депозитный калькулятор'!$G$8),0))</f>
        <v xml:space="preserve"> </v>
      </c>
      <c r="S999" s="62" t="str">
        <f t="shared" ca="1" si="77"/>
        <v xml:space="preserve"> </v>
      </c>
      <c r="T999" s="149" t="str">
        <f ca="1">IF(S999=" "," ",IF('депозитный калькулятор'!$G$7="30/360",DAYS360(U998,IF(DAY(U999)=31,U999-1,U999))+IF(AND(MONTH(U999)=2,U999=EOMONTH(U999,0)),30-DAY(EOMONTH(U999,0)))+T998,VLOOKUP(S999,$C$22:$F$1023,2,0)))</f>
        <v xml:space="preserve"> </v>
      </c>
      <c r="U999" s="64" t="str">
        <f t="shared" ca="1" si="75"/>
        <v xml:space="preserve"> </v>
      </c>
      <c r="V999" s="150" t="str">
        <f t="shared" ca="1" si="78"/>
        <v xml:space="preserve"> </v>
      </c>
      <c r="W999" s="62" t="str">
        <f t="shared" ca="1" si="79"/>
        <v xml:space="preserve"> </v>
      </c>
      <c r="X999" s="141" t="str">
        <f ca="1">IF(S999=" "," ",IFERROR(VLOOKUP(U999,$F$23:$N$1023,7)+VLOOKUP(U999,$F$23:$N$1023,9)+IF(AND('депозитный калькулятор'!$G$13="нет",U999&lt;&gt;'депозитный калькулятор'!$D$8),VLOOKUP(U999,$F$23:$N$1023,4),0),0)+IF(U999='депозитный калькулятор'!$D$8,VLOOKUP(U999,$F$23:$N$1023,2)+VLOOKUP(U999,$F$23:$N$1023,4),0))</f>
        <v xml:space="preserve"> </v>
      </c>
      <c r="Y999" s="142" t="str">
        <f ca="1">IF(S999=" "," ",W999/(1+'депозитный калькулятор'!$K$8)^(T999/IF('депозитный калькулятор'!$G$7="30/360",360,365)))</f>
        <v xml:space="preserve"> </v>
      </c>
      <c r="Z999" s="142" t="str">
        <f ca="1">IF(S999=" "," ",X999/(1+'депозитный калькулятор'!$K$8)^(T999/IF('депозитный калькулятор'!$G$7="30/360",360,365)))</f>
        <v xml:space="preserve"> </v>
      </c>
      <c r="AA999" s="151"/>
      <c r="AB999" s="151"/>
      <c r="AC999" s="155"/>
      <c r="AD999" s="155"/>
    </row>
    <row r="1000" spans="1:30" s="2" customFormat="1" ht="15.5" x14ac:dyDescent="0.35">
      <c r="A1000" s="41" t="str">
        <f>IF(F1000=" "," ",IF(OR('депозитный калькулятор'!$G$7="30/365",'депозитный калькулятор'!$G$7="30/360"),IF(AND(MONTH(F1000)=2,DAY(F1000)=DAY(EOMONTH(F1000,0))),30-DAY(EOMONTH(F1000,0)),IF(DAY(F1000)=31,1," "))," "))</f>
        <v xml:space="preserve"> </v>
      </c>
      <c r="B1000" s="130" t="str">
        <f t="shared" si="76"/>
        <v xml:space="preserve"> </v>
      </c>
      <c r="C1000" s="130" t="str">
        <f>IF(OR(B1000=0,B1000=" ")," ",SUM($B$23:B1000))</f>
        <v xml:space="preserve"> </v>
      </c>
      <c r="D1000" s="62" t="str">
        <f>IF(D999=" "," ",IF(OR(F999='депозитный калькулятор'!$D$8,F999=" ")," ",D999+1))</f>
        <v xml:space="preserve"> </v>
      </c>
      <c r="E1000" s="130" t="str">
        <f>IF(OR(F999='депозитный калькулятор'!$D$8,F999=" ")," ",IF(EOMONTH(F999,0)=F999,1,E999+1))</f>
        <v xml:space="preserve"> </v>
      </c>
      <c r="F1000" s="64" t="str">
        <f>IF(F999=" "," ",IF(F999='депозитный калькулятор'!$D$8," ",F999+1))</f>
        <v xml:space="preserve"> </v>
      </c>
      <c r="G1000" s="145" t="str">
        <f xml:space="preserve"> IF(F1000&gt;'депозитный калькулятор'!$D$8," ",IF('депозитный калькулятор'!$G$13="есть",IF('депозитный калькулятор'!$G$14="есть",G999+IF(I999=" ",0,I999)-J1000-K1000+L1000+M1000-N1000,G999+IF(I999=" ",0,I999)-J1000-K1000+M1000-N1000),IF('депозитный калькулятор'!$G$14="есть",G999-J1000-K1000+L1000+M1000-N1000,G999-J1000-K1000+M1000-N1000)))</f>
        <v xml:space="preserve"> </v>
      </c>
      <c r="H1000" s="133" t="str">
        <f>IF(F1000&gt;'депозитный калькулятор'!$D$8," ",IF(AND(OR('депозитный калькулятор'!$G$7="30/365",'депозитный калькулятор'!$G$7="30/360"),AND(MONTH(F1000)=2,EOMONTH(F1000,0)=F1000)),IF(DAY(F1000)=28,3*G1000*'депозитный калькулятор'!$G$8,2*G1000*'депозитный калькулятор'!$G$8),IF(AND(OR('депозитный калькулятор'!$G$7="30/365",'депозитный калькулятор'!$G$7="30/360"),DAY(F1000)=31)," ",IF(AND('депозитный калькулятор'!$G$7="факт/факт",MOD(YEAR(F1000),4)=0),G1000*'депозитный калькулятор'!$D$11/366,G1000*'депозитный калькулятор'!$G$8))))</f>
        <v xml:space="preserve"> </v>
      </c>
      <c r="I1000" s="134" t="str">
        <f ca="1">IF(F1000=" "," ",IF('депозитный калькулятор'!$G$10="ежедневное",H1000,IF(AND('депозитный калькулятор'!$G$10="еженедельное",WEEKDAY(F1000,2)=7),SUM(OFFSET(H1000,-6,0):H1000),IF(AND('депозитный калькулятор'!$G$10="еженедельное",F1000='депозитный калькулятор'!$D$8),SUM($H$23:H1000)-SUM($I$23:I999),IF(AND('депозитный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недели",WEEKDAY(F1000,2)=7),MIN(OFFSET(H1000,-6,0):H1000)*(COUNTIF(OFFSET(H1000,-6,0):H1000,"&gt;0")+SUMIF(OFFSET(A1000,-WEEKDAY(F1000,2),0):A1000,"=2",OFFSET(A1000,-WEEKDAY(F1000,2),0):A1000)),IF(AND('депозитный калькулятор'!$G$10="еженедельное, на минимальную сумму зафиксированную в течение недели",F1000='депозитный калькулятор'!$D$8,WEEKDAY(F1000,2)&lt;&gt;7),MIN(OFFSET(H1000,-WEEKDAY(F1000,2),0):H1000)*(COUNTIF(OFFSET(H1000,-WEEKDAY(F1000,2)+1,0):H1000,"&gt;0")+SUM(OFFSET(A1000,-WEEKDAY(F1000,2),0):A1000)),IF(AND('депозитный калькулятор'!$G$10="ежемесячное (в конце месяца)",F1000='депозитный калькулятор'!$D$8,EOMONTH(F1000,0)&lt;&gt;F1000),IF('депозитный калькулятор'!$F$1=1,$H$24,SUM($H$23:H1000)-SUM($I$23:I999)),IF(AND('депозитный калькулятор'!$G$10="ежемесячное (в конце месяца)",EOMONTH(F1000,0)=F1000),SUM($H$23:H1000)-SUM($I$23:I999),IF(AND('депозитный калькулятор'!$G$10="ежемесячное (по дням открытия вклада)",F1000='депозитный калькулятор'!$D$8,DAY('депозитный калькулятор'!$D$7)&lt;&gt;DAY(F1000)),IF('депозитный калькулятор'!$F$1=1,$H$24,SUM($H$23:H1000)-SUM($I$23:I999)),IF(AND('депозитный калькулятор'!$G$10="ежемесячное (по дням открытия вклада)",DAY('депозитный калькулятор'!$D$7)=DAY(F1000)),SUM($H$23:H1000)-SUM($I$23:I999),IF(AND('депозитный калькулятор'!$G$10="ежемесячное, на минимальную сумму зафиксированную в течение месяца",F1000='депозитный калькулятор'!$D$8,EOMONTH(F1000,0)&lt;&gt;F1000),IF('депозитный калькулятор'!$F$1=1,$H$24,IF(AND(OR('депозитный калькулятор'!$G$7="30/365",'депозитный калькулятор'!$G$7="30/360"),DAY(F1000)=31),0,MIN(OFFSET(H1000,-E1000+1,0):H1000)*(E1000+SUMIF(OFFSET(A1000,-E1000+1,0):A1000,"=2",OFFSET(A1000,-E1000+1,0):A1000)))),IF(AND('депозитный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калькулятор'!$G$7="30/360"),DAY(EOMONTH(F1000,0))=31),EOMONTH(F1000,0)-1=F1000,EOMONTH(F1000,0)=F1000)),IF(IF(AND(OR('депозитный калькулятор'!$G$7="30/365",'депозитный калькулятор'!$G$7="30/360"),DAY(EOMONTH($F$23,0))=31),F1000=EOMONTH($F$23,0)-1,F1000=EOMONTH($F$23,0)),MIN(OFFSET(H1000,-(DAY(F1000)-DAY($F$23)),0):H1000)*E1000,MIN(OFFSET(H1000,-(DAY(F1000)-1),0):H1000)*IF(AND(OR('депозитный калькулятор'!$G$7="30/365",'депозитный калькулятор'!$G$7="30/360"),DAY(F1000)&lt;30),30,DAY(F1000))),IF(AND('депозитный калькулятор'!$G$10="ежемесячное, на средний остаток в течение месяца, при условии что остаток больше чем ограничение",F1000='депозитный калькулятор'!$D$8,EOMONTH(F1000,0)&lt;&gt;F1000),IF('депозитный калькулятор'!$F$1=1,$H$24,SUM(OFFSET(Q1000,-E1000+1,0):Q1000)),IF(AND('депозитный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калькулятор'!$G$7="30/360"),DAY(EOMONTH(F1000,0))=31),EOMONTH(F1000,0)-1=F1000,EOMONTH(F1000,0)=F1000)),IF(IF(AND(OR('депозитный калькулятор'!$G$7="30/365",'депозитный калькулятор'!$G$7="30/360"),DAY(EOMONTH($F$24,0))=31),F1000=EOMONTH($F$24,0)-1,F1000=EOMONTH($F$24,0)),SUM(OFFSET(Q1000,-E1000+1,0):Q1000),SUM(OFFSET(Q1000,-E1000+1,0):Q1000)),IF('депозитный калькулятор'!$G$10="ежеквартальное",IF(F1000&gt;'депозитный калькулятор'!$D$8," ",IF(AND(EOMONTH(F1000,0)=F1000,OR(MONTH(F1000)=3,MONTH(F1000)=6,MONTH(F1000)=9,MONTH(F1000)=12)),IF(EDATE(F1000,-3)&lt;'депозитный калькулятор'!$D$7,SUM($H$23:H1000),IF(MOD(YEAR(F1000),4)=0,IF(AND(EOMONTH(F1000,0)=F1000,OR(MONTH(F1000)=3,MONTH(F1000)=6)),SUM(OFFSET(H1000,-90,0):H1000),IF(AND(EOMONTH(F1000,0)=F1000,OR(MONTH(F1000)=9,MONTH(F1000)=12)),SUM(OFFSET(H1000,-91,0):H1000))),IF(AND(EOMONTH(F1000,0)=F1000,MONTH(F1000)=3),SUM(OFFSET(H1000,-89,0):H1000),IF(AND(EOMONTH(F1000,0)=F1000,MONTH(F1000)=6),SUM(OFFSET(H1000,-90,0):H1000),IF(AND(EOMONTH(F1000,0)=F1000,OR(MONTH(F1000)=9,MONTH(F1000)=12)),SUM(OFFSET(H1000,-91,0):H1000)))))),IF(F1000='депозитный калькулятор'!$D$8,SUM($H$23:H1000)-SUM($I$23:I999),0))),IF('депозитный калькулятор'!$G$10="ежегодное",IF(F1000&gt;'депозитный калькулятор'!$D$8," ",IF(F1000='депозитный калькулятор'!$D$8,SUM($H$23:H1000)-SUM($I$23:I999),IF(AND(EOMONTH(F1000,0)=F1000,MONTH(F1000)=12),IF(MOD(YEAR(F999),4)=0,IF(F1000-'депозитный калькулятор'!$D$7&lt;366,SUM($H$23:H1000),SUM(OFFSET(H1000,-365,0):H1000)),IF(F1000-'депозитный калькулятор'!$D$7&lt;365,SUM($H$23:H1000),SUM(OFFSET(H1000,-364,0):H1000))),0))),IF(AND('депозитный калькулятор'!$G$10="в конце срока",'депозитный калькулятор'!$D$8=F1000),SUM($H$23:H1000),0))))))))))))))))))</f>
        <v xml:space="preserve"> </v>
      </c>
      <c r="J1000" s="59" t="str">
        <f>IF(F1000&gt;'депозитный калькулятор'!$D$8," ",IF('депозитный калькулятор'!$G$16="нет",0,IF(AND('депозитный калькулятор'!$G$17="разовая (в конце срока)",F1000='депозитный калькулятор'!$D$8),'депозитный калькулятор'!$G$18,IF(AND('депозитный калькулятор'!$G$17="ежемесячная",EOMONTH(F999,0)=F999),'депозитный калькулятор'!$G$18,IF(AND('депозитный калькулятор'!$G$17="ежегодная",DAY(F999)=31,MONTH(F999)=12),'депозитный калькулятор'!$G$18,IF(AND('депозитный калькулятор'!$G$17="ежемесячная в зависимости от остатка",EOMONTH(F999,0)=F999,P999&gt;0),'депозитный калькулятор'!$G$18,IF(AND('депозитный калькулятор'!$G$17="ежегодная в зависимости от остатка",DAY(F999)=31,MONTH(F999)=12,P999&gt;0),'депозитный калькулятор'!$G$18,0)))))))</f>
        <v xml:space="preserve"> </v>
      </c>
      <c r="K1000" s="135" t="str">
        <f>IF($F1000=" "," ",IFERROR(VLOOKUP($F1000,'депозитный калькулятор'!$B$26:$F$70,2,0),0))</f>
        <v xml:space="preserve"> </v>
      </c>
      <c r="L1000" s="135" t="str">
        <f>IF($F1000=" "," ",IFERROR(VLOOKUP($F1000,'депозитный калькулятор'!$B$26:$F$70,3,0),0))</f>
        <v xml:space="preserve"> </v>
      </c>
      <c r="M1000" s="135" t="str">
        <f>IF($F1000=" "," ",IFERROR(VLOOKUP($F1000,'депозитный калькулятор'!$B$26:$F$70,4,0),0))</f>
        <v xml:space="preserve"> </v>
      </c>
      <c r="N1000" s="135" t="str">
        <f>IF($F1000=" "," ",IFERROR(VLOOKUP($F1000,'депозитный калькулятор'!$B$26:$F$70,5,0),0))</f>
        <v xml:space="preserve"> </v>
      </c>
      <c r="O1000" s="146" t="str">
        <f>IF(F1000&gt;'депозитный калькулятор'!$D$8," ",IF(F1000='депозитный калькулятор'!$D$8,IF(AND($F$24='депозитный калькулятор'!$D$8,'депозитный калькулятор'!$G$13="нет"),-G1000-IF(I1000=" ",0,I1000)-IF(AND(OR('депозитный калькулятор'!$G$7="30/365",'депозитный калькулятор'!$G$7="30/360"),'депозитный калькулятор'!$G$10="в начале срока"),I999,0)-L1000+M1000-N1000,-G1000-IF(I1000=" ",0,I1000)-L1000+M1000-N1000),IF('депозитный калькулятор'!$G$13="есть",M1000-N1000+IF('депозитный калькулятор'!$G$14="есть",0,-L1000),-IF(I1000=" ",0,I1000)-IF(AND(OR('депозитный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срока"),I999,0)+M1000-N1000+IF('депозитный калькулятор'!$G$14="есть",0,-L1000))))</f>
        <v xml:space="preserve"> </v>
      </c>
      <c r="P1000" s="147" t="str">
        <f>IF(F1000&gt;'депозитный калькулятор'!$D$8," ",IF(EOMONTH(F999,0)=F999,0,IF(G1000&gt;='депозитный калькулятор'!$G$19,P999,P999+1)))</f>
        <v xml:space="preserve"> </v>
      </c>
      <c r="Q1000" s="138" t="str">
        <f>IF(F1000=" "," ",IF(AND(OR('депозитный калькулятор'!$G$7="30/365",'депозитный калькулятор'!$G$7="30/360"),AND(MONTH(F1000)=2,EOMONTH(F1000,0)=F1000)),IF(DAY(F1000)=28,3,2),1)*IF(G1000&gt;='депозитный калькулятор'!$G$11,IF(AND('депозитный калькулятор'!$G$7="факт/факт",MOD(YEAR(F1000),4)=0),G1000*'депозитный калькулятор'!$D$11/366,G1000*'депозитный калькулятор'!$G$8),0))</f>
        <v xml:space="preserve"> </v>
      </c>
      <c r="S1000" s="62" t="str">
        <f t="shared" ca="1" si="77"/>
        <v xml:space="preserve"> </v>
      </c>
      <c r="T1000" s="149" t="str">
        <f ca="1">IF(S1000=" "," ",IF('депозитный калькулятор'!$G$7="30/360",DAYS360(U999,IF(DAY(U1000)=31,U1000-1,U1000))+IF(AND(MONTH(U1000)=2,U1000=EOMONTH(U1000,0)),30-DAY(EOMONTH(U1000,0)))+T999,VLOOKUP(S1000,$C$22:$F$1023,2,0)))</f>
        <v xml:space="preserve"> </v>
      </c>
      <c r="U1000" s="64" t="str">
        <f t="shared" ca="1" si="75"/>
        <v xml:space="preserve"> </v>
      </c>
      <c r="V1000" s="150" t="str">
        <f t="shared" ca="1" si="78"/>
        <v xml:space="preserve"> </v>
      </c>
      <c r="W1000" s="62" t="str">
        <f t="shared" ca="1" si="79"/>
        <v xml:space="preserve"> </v>
      </c>
      <c r="X1000" s="141" t="str">
        <f ca="1">IF(S1000=" "," ",IFERROR(VLOOKUP(U1000,$F$23:$N$1023,7)+VLOOKUP(U1000,$F$23:$N$1023,9)+IF(AND('депозитный калькулятор'!$G$13="нет",U1000&lt;&gt;'депозитный калькулятор'!$D$8),VLOOKUP(U1000,$F$23:$N$1023,4),0),0)+IF(U1000='депозитный калькулятор'!$D$8,VLOOKUP(U1000,$F$23:$N$1023,2)+VLOOKUP(U1000,$F$23:$N$1023,4),0))</f>
        <v xml:space="preserve"> </v>
      </c>
      <c r="Y1000" s="142" t="str">
        <f ca="1">IF(S1000=" "," ",W1000/(1+'депозитный калькулятор'!$K$8)^(T1000/IF('депозитный калькулятор'!$G$7="30/360",360,365)))</f>
        <v xml:space="preserve"> </v>
      </c>
      <c r="Z1000" s="142" t="str">
        <f ca="1">IF(S1000=" "," ",X1000/(1+'депозитный калькулятор'!$K$8)^(T1000/IF('депозитный калькулятор'!$G$7="30/360",360,365)))</f>
        <v xml:space="preserve"> </v>
      </c>
      <c r="AA1000" s="151"/>
      <c r="AB1000" s="151"/>
      <c r="AC1000" s="155"/>
      <c r="AD1000" s="155"/>
    </row>
    <row r="1001" spans="1:30" s="2" customFormat="1" ht="15.5" x14ac:dyDescent="0.35">
      <c r="A1001" s="41" t="str">
        <f>IF(F1001=" "," ",IF(OR('депозитный калькулятор'!$G$7="30/365",'депозитный калькулятор'!$G$7="30/360"),IF(AND(MONTH(F1001)=2,DAY(F1001)=DAY(EOMONTH(F1001,0))),30-DAY(EOMONTH(F1001,0)),IF(DAY(F1001)=31,1," "))," "))</f>
        <v xml:space="preserve"> </v>
      </c>
      <c r="B1001" s="130" t="str">
        <f t="shared" si="76"/>
        <v xml:space="preserve"> </v>
      </c>
      <c r="C1001" s="130" t="str">
        <f>IF(OR(B1001=0,B1001=" ")," ",SUM($B$23:B1001))</f>
        <v xml:space="preserve"> </v>
      </c>
      <c r="D1001" s="62" t="str">
        <f>IF(D1000=" "," ",IF(OR(F1000='депозитный калькулятор'!$D$8,F1000=" ")," ",D1000+1))</f>
        <v xml:space="preserve"> </v>
      </c>
      <c r="E1001" s="130" t="str">
        <f>IF(OR(F1000='депозитный калькулятор'!$D$8,F1000=" ")," ",IF(EOMONTH(F1000,0)=F1000,1,E1000+1))</f>
        <v xml:space="preserve"> </v>
      </c>
      <c r="F1001" s="64" t="str">
        <f>IF(F1000=" "," ",IF(F1000='депозитный калькулятор'!$D$8," ",F1000+1))</f>
        <v xml:space="preserve"> </v>
      </c>
      <c r="G1001" s="145" t="str">
        <f xml:space="preserve"> IF(F1001&gt;'депозитный калькулятор'!$D$8," ",IF('депозитный калькулятор'!$G$13="есть",IF('депозитный калькулятор'!$G$14="есть",G1000+IF(I1000=" ",0,I1000)-J1001-K1001+L1001+M1001-N1001,G1000+IF(I1000=" ",0,I1000)-J1001-K1001+M1001-N1001),IF('депозитный калькулятор'!$G$14="есть",G1000-J1001-K1001+L1001+M1001-N1001,G1000-J1001-K1001+M1001-N1001)))</f>
        <v xml:space="preserve"> </v>
      </c>
      <c r="H1001" s="133" t="str">
        <f>IF(F1001&gt;'депозитный калькулятор'!$D$8," ",IF(AND(OR('депозитный калькулятор'!$G$7="30/365",'депозитный калькулятор'!$G$7="30/360"),AND(MONTH(F1001)=2,EOMONTH(F1001,0)=F1001)),IF(DAY(F1001)=28,3*G1001*'депозитный калькулятор'!$G$8,2*G1001*'депозитный калькулятор'!$G$8),IF(AND(OR('депозитный калькулятор'!$G$7="30/365",'депозитный калькулятор'!$G$7="30/360"),DAY(F1001)=31)," ",IF(AND('депозитный калькулятор'!$G$7="факт/факт",MOD(YEAR(F1001),4)=0),G1001*'депозитный калькулятор'!$D$11/366,G1001*'депозитный калькулятор'!$G$8))))</f>
        <v xml:space="preserve"> </v>
      </c>
      <c r="I1001" s="134" t="str">
        <f ca="1">IF(F1001=" "," ",IF('депозитный калькулятор'!$G$10="ежедневное",H1001,IF(AND('депозитный калькулятор'!$G$10="еженедельное",WEEKDAY(F1001,2)=7),SUM(OFFSET(H1001,-6,0):H1001),IF(AND('депозитный калькулятор'!$G$10="еженедельное",F1001='депозитный калькулятор'!$D$8),SUM($H$23:H1001)-SUM($I$23:I1000),IF(AND('депозитный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недели",WEEKDAY(F1001,2)=7),MIN(OFFSET(H1001,-6,0):H1001)*(COUNTIF(OFFSET(H1001,-6,0):H1001,"&gt;0")+SUMIF(OFFSET(A1001,-WEEKDAY(F1001,2),0):A1001,"=2",OFFSET(A1001,-WEEKDAY(F1001,2),0):A1001)),IF(AND('депозитный калькулятор'!$G$10="еженедельное, на минимальную сумму зафиксированную в течение недели",F1001='депозитный калькулятор'!$D$8,WEEKDAY(F1001,2)&lt;&gt;7),MIN(OFFSET(H1001,-WEEKDAY(F1001,2),0):H1001)*(COUNTIF(OFFSET(H1001,-WEEKDAY(F1001,2)+1,0):H1001,"&gt;0")+SUM(OFFSET(A1001,-WEEKDAY(F1001,2),0):A1001)),IF(AND('депозитный калькулятор'!$G$10="ежемесячное (в конце месяца)",F1001='депозитный калькулятор'!$D$8,EOMONTH(F1001,0)&lt;&gt;F1001),IF('депозитный калькулятор'!$F$1=1,$H$24,SUM($H$23:H1001)-SUM($I$23:I1000)),IF(AND('депозитный калькулятор'!$G$10="ежемесячное (в конце месяца)",EOMONTH(F1001,0)=F1001),SUM($H$23:H1001)-SUM($I$23:I1000),IF(AND('депозитный калькулятор'!$G$10="ежемесячное (по дням открытия вклада)",F1001='депозитный калькулятор'!$D$8,DAY('депозитный калькулятор'!$D$7)&lt;&gt;DAY(F1001)),IF('депозитный калькулятор'!$F$1=1,$H$24,SUM($H$23:H1001)-SUM($I$23:I1000)),IF(AND('депозитный калькулятор'!$G$10="ежемесячное (по дням открытия вклада)",DAY('депозитный калькулятор'!$D$7)=DAY(F1001)),SUM($H$23:H1001)-SUM($I$23:I1000),IF(AND('депозитный калькулятор'!$G$10="ежемесячное, на минимальную сумму зафиксированную в течение месяца",F1001='депозитный калькулятор'!$D$8,EOMONTH(F1001,0)&lt;&gt;F1001),IF('депозитный калькулятор'!$F$1=1,$H$24,IF(AND(OR('депозитный калькулятор'!$G$7="30/365",'депозитный калькулятор'!$G$7="30/360"),DAY(F1001)=31),0,MIN(OFFSET(H1001,-E1001+1,0):H1001)*(E1001+SUMIF(OFFSET(A1001,-E1001+1,0):A1001,"=2",OFFSET(A1001,-E1001+1,0):A1001)))),IF(AND('депозитный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калькулятор'!$G$7="30/360"),DAY(EOMONTH(F1001,0))=31),EOMONTH(F1001,0)-1=F1001,EOMONTH(F1001,0)=F1001)),IF(IF(AND(OR('депозитный калькулятор'!$G$7="30/365",'депозитный калькулятор'!$G$7="30/360"),DAY(EOMONTH($F$23,0))=31),F1001=EOMONTH($F$23,0)-1,F1001=EOMONTH($F$23,0)),MIN(OFFSET(H1001,-(DAY(F1001)-DAY($F$23)),0):H1001)*E1001,MIN(OFFSET(H1001,-(DAY(F1001)-1),0):H1001)*IF(AND(OR('депозитный калькулятор'!$G$7="30/365",'депозитный калькулятор'!$G$7="30/360"),DAY(F1001)&lt;30),30,DAY(F1001))),IF(AND('депозитный калькулятор'!$G$10="ежемесячное, на средний остаток в течение месяца, при условии что остаток больше чем ограничение",F1001='депозитный калькулятор'!$D$8,EOMONTH(F1001,0)&lt;&gt;F1001),IF('депозитный калькулятор'!$F$1=1,$H$24,SUM(OFFSET(Q1001,-E1001+1,0):Q1001)),IF(AND('депозитный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калькулятор'!$G$7="30/360"),DAY(EOMONTH(F1001,0))=31),EOMONTH(F1001,0)-1=F1001,EOMONTH(F1001,0)=F1001)),IF(IF(AND(OR('депозитный калькулятор'!$G$7="30/365",'депозитный калькулятор'!$G$7="30/360"),DAY(EOMONTH($F$24,0))=31),F1001=EOMONTH($F$24,0)-1,F1001=EOMONTH($F$24,0)),SUM(OFFSET(Q1001,-E1001+1,0):Q1001),SUM(OFFSET(Q1001,-E1001+1,0):Q1001)),IF('депозитный калькулятор'!$G$10="ежеквартальное",IF(F1001&gt;'депозитный калькулятор'!$D$8," ",IF(AND(EOMONTH(F1001,0)=F1001,OR(MONTH(F1001)=3,MONTH(F1001)=6,MONTH(F1001)=9,MONTH(F1001)=12)),IF(EDATE(F1001,-3)&lt;'депозитный калькулятор'!$D$7,SUM($H$23:H1001),IF(MOD(YEAR(F1001),4)=0,IF(AND(EOMONTH(F1001,0)=F1001,OR(MONTH(F1001)=3,MONTH(F1001)=6)),SUM(OFFSET(H1001,-90,0):H1001),IF(AND(EOMONTH(F1001,0)=F1001,OR(MONTH(F1001)=9,MONTH(F1001)=12)),SUM(OFFSET(H1001,-91,0):H1001))),IF(AND(EOMONTH(F1001,0)=F1001,MONTH(F1001)=3),SUM(OFFSET(H1001,-89,0):H1001),IF(AND(EOMONTH(F1001,0)=F1001,MONTH(F1001)=6),SUM(OFFSET(H1001,-90,0):H1001),IF(AND(EOMONTH(F1001,0)=F1001,OR(MONTH(F1001)=9,MONTH(F1001)=12)),SUM(OFFSET(H1001,-91,0):H1001)))))),IF(F1001='депозитный калькулятор'!$D$8,SUM($H$23:H1001)-SUM($I$23:I1000),0))),IF('депозитный калькулятор'!$G$10="ежегодное",IF(F1001&gt;'депозитный калькулятор'!$D$8," ",IF(F1001='депозитный калькулятор'!$D$8,SUM($H$23:H1001)-SUM($I$23:I1000),IF(AND(EOMONTH(F1001,0)=F1001,MONTH(F1001)=12),IF(MOD(YEAR(F1000),4)=0,IF(F1001-'депозитный калькулятор'!$D$7&lt;366,SUM($H$23:H1001),SUM(OFFSET(H1001,-365,0):H1001)),IF(F1001-'депозитный калькулятор'!$D$7&lt;365,SUM($H$23:H1001),SUM(OFFSET(H1001,-364,0):H1001))),0))),IF(AND('депозитный калькулятор'!$G$10="в конце срока",'депозитный калькулятор'!$D$8=F1001),SUM($H$23:H1001),0))))))))))))))))))</f>
        <v xml:space="preserve"> </v>
      </c>
      <c r="J1001" s="59" t="str">
        <f>IF(F1001&gt;'депозитный калькулятор'!$D$8," ",IF('депозитный калькулятор'!$G$16="нет",0,IF(AND('депозитный калькулятор'!$G$17="разовая (в конце срока)",F1001='депозитный калькулятор'!$D$8),'депозитный калькулятор'!$G$18,IF(AND('депозитный калькулятор'!$G$17="ежемесячная",EOMONTH(F1000,0)=F1000),'депозитный калькулятор'!$G$18,IF(AND('депозитный калькулятор'!$G$17="ежегодная",DAY(F1000)=31,MONTH(F1000)=12),'депозитный калькулятор'!$G$18,IF(AND('депозитный калькулятор'!$G$17="ежемесячная в зависимости от остатка",EOMONTH(F1000,0)=F1000,P1000&gt;0),'депозитный калькулятор'!$G$18,IF(AND('депозитный калькулятор'!$G$17="ежегодная в зависимости от остатка",DAY(F1000)=31,MONTH(F1000)=12,P1000&gt;0),'депозитный калькулятор'!$G$18,0)))))))</f>
        <v xml:space="preserve"> </v>
      </c>
      <c r="K1001" s="135" t="str">
        <f>IF($F1001=" "," ",IFERROR(VLOOKUP($F1001,'депозитный калькулятор'!$B$26:$F$70,2,0),0))</f>
        <v xml:space="preserve"> </v>
      </c>
      <c r="L1001" s="135" t="str">
        <f>IF($F1001=" "," ",IFERROR(VLOOKUP($F1001,'депозитный калькулятор'!$B$26:$F$70,3,0),0))</f>
        <v xml:space="preserve"> </v>
      </c>
      <c r="M1001" s="135" t="str">
        <f>IF($F1001=" "," ",IFERROR(VLOOKUP($F1001,'депозитный калькулятор'!$B$26:$F$70,4,0),0))</f>
        <v xml:space="preserve"> </v>
      </c>
      <c r="N1001" s="135" t="str">
        <f>IF($F1001=" "," ",IFERROR(VLOOKUP($F1001,'депозитный калькулятор'!$B$26:$F$70,5,0),0))</f>
        <v xml:space="preserve"> </v>
      </c>
      <c r="O1001" s="146" t="str">
        <f>IF(F1001&gt;'депозитный калькулятор'!$D$8," ",IF(F1001='депозитный калькулятор'!$D$8,IF(AND($F$24='депозитный калькулятор'!$D$8,'депозитный калькулятор'!$G$13="нет"),-G1001-IF(I1001=" ",0,I1001)-IF(AND(OR('депозитный калькулятор'!$G$7="30/365",'депозитный калькулятор'!$G$7="30/360"),'депозитный калькулятор'!$G$10="в начале срока"),I1000,0)-L1001+M1001-N1001,-G1001-IF(I1001=" ",0,I1001)-L1001+M1001-N1001),IF('депозитный калькулятор'!$G$13="есть",M1001-N1001+IF('депозитный калькулятор'!$G$14="есть",0,-L1001),-IF(I1001=" ",0,I1001)-IF(AND(OR('депозитный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срока"),I1000,0)+M1001-N1001+IF('депозитный калькулятор'!$G$14="есть",0,-L1001))))</f>
        <v xml:space="preserve"> </v>
      </c>
      <c r="P1001" s="147" t="str">
        <f>IF(F1001&gt;'депозитный калькулятор'!$D$8," ",IF(EOMONTH(F1000,0)=F1000,0,IF(G1001&gt;='депозитный калькулятор'!$G$19,P1000,P1000+1)))</f>
        <v xml:space="preserve"> </v>
      </c>
      <c r="Q1001" s="138" t="str">
        <f>IF(F1001=" "," ",IF(AND(OR('депозитный калькулятор'!$G$7="30/365",'депозитный калькулятор'!$G$7="30/360"),AND(MONTH(F1001)=2,EOMONTH(F1001,0)=F1001)),IF(DAY(F1001)=28,3,2),1)*IF(G1001&gt;='депозитный калькулятор'!$G$11,IF(AND('депозитный калькулятор'!$G$7="факт/факт",MOD(YEAR(F1001),4)=0),G1001*'депозитный калькулятор'!$D$11/366,G1001*'депозитный калькулятор'!$G$8),0))</f>
        <v xml:space="preserve"> </v>
      </c>
      <c r="S1001" s="62" t="str">
        <f t="shared" ca="1" si="77"/>
        <v xml:space="preserve"> </v>
      </c>
      <c r="T1001" s="149" t="str">
        <f ca="1">IF(S1001=" "," ",IF('депозитный калькулятор'!$G$7="30/360",DAYS360(U1000,IF(DAY(U1001)=31,U1001-1,U1001))+IF(AND(MONTH(U1001)=2,U1001=EOMONTH(U1001,0)),30-DAY(EOMONTH(U1001,0)))+T1000,VLOOKUP(S1001,$C$22:$F$1023,2,0)))</f>
        <v xml:space="preserve"> </v>
      </c>
      <c r="U1001" s="64" t="str">
        <f t="shared" ca="1" si="75"/>
        <v xml:space="preserve"> </v>
      </c>
      <c r="V1001" s="150" t="str">
        <f t="shared" ca="1" si="78"/>
        <v xml:space="preserve"> </v>
      </c>
      <c r="W1001" s="62" t="str">
        <f t="shared" ca="1" si="79"/>
        <v xml:space="preserve"> </v>
      </c>
      <c r="X1001" s="141" t="str">
        <f ca="1">IF(S1001=" "," ",IFERROR(VLOOKUP(U1001,$F$23:$N$1023,7)+VLOOKUP(U1001,$F$23:$N$1023,9)+IF(AND('депозитный калькулятор'!$G$13="нет",U1001&lt;&gt;'депозитный калькулятор'!$D$8),VLOOKUP(U1001,$F$23:$N$1023,4),0),0)+IF(U1001='депозитный калькулятор'!$D$8,VLOOKUP(U1001,$F$23:$N$1023,2)+VLOOKUP(U1001,$F$23:$N$1023,4),0))</f>
        <v xml:space="preserve"> </v>
      </c>
      <c r="Y1001" s="142" t="str">
        <f ca="1">IF(S1001=" "," ",W1001/(1+'депозитный калькулятор'!$K$8)^(T1001/IF('депозитный калькулятор'!$G$7="30/360",360,365)))</f>
        <v xml:space="preserve"> </v>
      </c>
      <c r="Z1001" s="142" t="str">
        <f ca="1">IF(S1001=" "," ",X1001/(1+'депозитный калькулятор'!$K$8)^(T1001/IF('депозитный калькулятор'!$G$7="30/360",360,365)))</f>
        <v xml:space="preserve"> </v>
      </c>
      <c r="AA1001" s="151"/>
      <c r="AB1001" s="151"/>
      <c r="AC1001" s="155"/>
      <c r="AD1001" s="155"/>
    </row>
    <row r="1002" spans="1:30" s="2" customFormat="1" ht="15.5" x14ac:dyDescent="0.35">
      <c r="A1002" s="41" t="str">
        <f>IF(F1002=" "," ",IF(OR('депозитный калькулятор'!$G$7="30/365",'депозитный калькулятор'!$G$7="30/360"),IF(AND(MONTH(F1002)=2,DAY(F1002)=DAY(EOMONTH(F1002,0))),30-DAY(EOMONTH(F1002,0)),IF(DAY(F1002)=31,1," "))," "))</f>
        <v xml:space="preserve"> </v>
      </c>
      <c r="B1002" s="130" t="str">
        <f t="shared" si="76"/>
        <v xml:space="preserve"> </v>
      </c>
      <c r="C1002" s="130" t="str">
        <f>IF(OR(B1002=0,B1002=" ")," ",SUM($B$23:B1002))</f>
        <v xml:space="preserve"> </v>
      </c>
      <c r="D1002" s="62" t="str">
        <f>IF(D1001=" "," ",IF(OR(F1001='депозитный калькулятор'!$D$8,F1001=" ")," ",D1001+1))</f>
        <v xml:space="preserve"> </v>
      </c>
      <c r="E1002" s="130" t="str">
        <f>IF(OR(F1001='депозитный калькулятор'!$D$8,F1001=" ")," ",IF(EOMONTH(F1001,0)=F1001,1,E1001+1))</f>
        <v xml:space="preserve"> </v>
      </c>
      <c r="F1002" s="64" t="str">
        <f>IF(F1001=" "," ",IF(F1001='депозитный калькулятор'!$D$8," ",F1001+1))</f>
        <v xml:space="preserve"> </v>
      </c>
      <c r="G1002" s="145" t="str">
        <f xml:space="preserve"> IF(F1002&gt;'депозитный калькулятор'!$D$8," ",IF('депозитный калькулятор'!$G$13="есть",IF('депозитный калькулятор'!$G$14="есть",G1001+IF(I1001=" ",0,I1001)-J1002-K1002+L1002+M1002-N1002,G1001+IF(I1001=" ",0,I1001)-J1002-K1002+M1002-N1002),IF('депозитный калькулятор'!$G$14="есть",G1001-J1002-K1002+L1002+M1002-N1002,G1001-J1002-K1002+M1002-N1002)))</f>
        <v xml:space="preserve"> </v>
      </c>
      <c r="H1002" s="133" t="str">
        <f>IF(F1002&gt;'депозитный калькулятор'!$D$8," ",IF(AND(OR('депозитный калькулятор'!$G$7="30/365",'депозитный калькулятор'!$G$7="30/360"),AND(MONTH(F1002)=2,EOMONTH(F1002,0)=F1002)),IF(DAY(F1002)=28,3*G1002*'депозитный калькулятор'!$G$8,2*G1002*'депозитный калькулятор'!$G$8),IF(AND(OR('депозитный калькулятор'!$G$7="30/365",'депозитный калькулятор'!$G$7="30/360"),DAY(F1002)=31)," ",IF(AND('депозитный калькулятор'!$G$7="факт/факт",MOD(YEAR(F1002),4)=0),G1002*'депозитный калькулятор'!$D$11/366,G1002*'депозитный калькулятор'!$G$8))))</f>
        <v xml:space="preserve"> </v>
      </c>
      <c r="I1002" s="134" t="str">
        <f ca="1">IF(F1002=" "," ",IF('депозитный калькулятор'!$G$10="ежедневное",H1002,IF(AND('депозитный калькулятор'!$G$10="еженедельное",WEEKDAY(F1002,2)=7),SUM(OFFSET(H1002,-6,0):H1002),IF(AND('депозитный калькулятор'!$G$10="еженедельное",F1002='депозитный калькулятор'!$D$8),SUM($H$23:H1002)-SUM($I$23:I1001),IF(AND('депозитный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недели",WEEKDAY(F1002,2)=7),MIN(OFFSET(H1002,-6,0):H1002)*(COUNTIF(OFFSET(H1002,-6,0):H1002,"&gt;0")+SUMIF(OFFSET(A1002,-WEEKDAY(F1002,2),0):A1002,"=2",OFFSET(A1002,-WEEKDAY(F1002,2),0):A1002)),IF(AND('депозитный калькулятор'!$G$10="еженедельное, на минимальную сумму зафиксированную в течение недели",F1002='депозитный калькулятор'!$D$8,WEEKDAY(F1002,2)&lt;&gt;7),MIN(OFFSET(H1002,-WEEKDAY(F1002,2),0):H1002)*(COUNTIF(OFFSET(H1002,-WEEKDAY(F1002,2)+1,0):H1002,"&gt;0")+SUM(OFFSET(A1002,-WEEKDAY(F1002,2),0):A1002)),IF(AND('депозитный калькулятор'!$G$10="ежемесячное (в конце месяца)",F1002='депозитный калькулятор'!$D$8,EOMONTH(F1002,0)&lt;&gt;F1002),IF('депозитный калькулятор'!$F$1=1,$H$24,SUM($H$23:H1002)-SUM($I$23:I1001)),IF(AND('депозитный калькулятор'!$G$10="ежемесячное (в конце месяца)",EOMONTH(F1002,0)=F1002),SUM($H$23:H1002)-SUM($I$23:I1001),IF(AND('депозитный калькулятор'!$G$10="ежемесячное (по дням открытия вклада)",F1002='депозитный калькулятор'!$D$8,DAY('депозитный калькулятор'!$D$7)&lt;&gt;DAY(F1002)),IF('депозитный калькулятор'!$F$1=1,$H$24,SUM($H$23:H1002)-SUM($I$23:I1001)),IF(AND('депозитный калькулятор'!$G$10="ежемесячное (по дням открытия вклада)",DAY('депозитный калькулятор'!$D$7)=DAY(F1002)),SUM($H$23:H1002)-SUM($I$23:I1001),IF(AND('депозитный калькулятор'!$G$10="ежемесячное, на минимальную сумму зафиксированную в течение месяца",F1002='депозитный калькулятор'!$D$8,EOMONTH(F1002,0)&lt;&gt;F1002),IF('депозитный калькулятор'!$F$1=1,$H$24,IF(AND(OR('депозитный калькулятор'!$G$7="30/365",'депозитный калькулятор'!$G$7="30/360"),DAY(F1002)=31),0,MIN(OFFSET(H1002,-E1002+1,0):H1002)*(E1002+SUMIF(OFFSET(A1002,-E1002+1,0):A1002,"=2",OFFSET(A1002,-E1002+1,0):A1002)))),IF(AND('депозитный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калькулятор'!$G$7="30/360"),DAY(EOMONTH(F1002,0))=31),EOMONTH(F1002,0)-1=F1002,EOMONTH(F1002,0)=F1002)),IF(IF(AND(OR('депозитный калькулятор'!$G$7="30/365",'депозитный калькулятор'!$G$7="30/360"),DAY(EOMONTH($F$23,0))=31),F1002=EOMONTH($F$23,0)-1,F1002=EOMONTH($F$23,0)),MIN(OFFSET(H1002,-(DAY(F1002)-DAY($F$23)),0):H1002)*E1002,MIN(OFFSET(H1002,-(DAY(F1002)-1),0):H1002)*IF(AND(OR('депозитный калькулятор'!$G$7="30/365",'депозитный калькулятор'!$G$7="30/360"),DAY(F1002)&lt;30),30,DAY(F1002))),IF(AND('депозитный калькулятор'!$G$10="ежемесячное, на средний остаток в течение месяца, при условии что остаток больше чем ограничение",F1002='депозитный калькулятор'!$D$8,EOMONTH(F1002,0)&lt;&gt;F1002),IF('депозитный калькулятор'!$F$1=1,$H$24,SUM(OFFSET(Q1002,-E1002+1,0):Q1002)),IF(AND('депозитный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калькулятор'!$G$7="30/360"),DAY(EOMONTH(F1002,0))=31),EOMONTH(F1002,0)-1=F1002,EOMONTH(F1002,0)=F1002)),IF(IF(AND(OR('депозитный калькулятор'!$G$7="30/365",'депозитный калькулятор'!$G$7="30/360"),DAY(EOMONTH($F$24,0))=31),F1002=EOMONTH($F$24,0)-1,F1002=EOMONTH($F$24,0)),SUM(OFFSET(Q1002,-E1002+1,0):Q1002),SUM(OFFSET(Q1002,-E1002+1,0):Q1002)),IF('депозитный калькулятор'!$G$10="ежеквартальное",IF(F1002&gt;'депозитный калькулятор'!$D$8," ",IF(AND(EOMONTH(F1002,0)=F1002,OR(MONTH(F1002)=3,MONTH(F1002)=6,MONTH(F1002)=9,MONTH(F1002)=12)),IF(EDATE(F1002,-3)&lt;'депозитный калькулятор'!$D$7,SUM($H$23:H1002),IF(MOD(YEAR(F1002),4)=0,IF(AND(EOMONTH(F1002,0)=F1002,OR(MONTH(F1002)=3,MONTH(F1002)=6)),SUM(OFFSET(H1002,-90,0):H1002),IF(AND(EOMONTH(F1002,0)=F1002,OR(MONTH(F1002)=9,MONTH(F1002)=12)),SUM(OFFSET(H1002,-91,0):H1002))),IF(AND(EOMONTH(F1002,0)=F1002,MONTH(F1002)=3),SUM(OFFSET(H1002,-89,0):H1002),IF(AND(EOMONTH(F1002,0)=F1002,MONTH(F1002)=6),SUM(OFFSET(H1002,-90,0):H1002),IF(AND(EOMONTH(F1002,0)=F1002,OR(MONTH(F1002)=9,MONTH(F1002)=12)),SUM(OFFSET(H1002,-91,0):H1002)))))),IF(F1002='депозитный калькулятор'!$D$8,SUM($H$23:H1002)-SUM($I$23:I1001),0))),IF('депозитный калькулятор'!$G$10="ежегодное",IF(F1002&gt;'депозитный калькулятор'!$D$8," ",IF(F1002='депозитный калькулятор'!$D$8,SUM($H$23:H1002)-SUM($I$23:I1001),IF(AND(EOMONTH(F1002,0)=F1002,MONTH(F1002)=12),IF(MOD(YEAR(F1001),4)=0,IF(F1002-'депозитный калькулятор'!$D$7&lt;366,SUM($H$23:H1002),SUM(OFFSET(H1002,-365,0):H1002)),IF(F1002-'депозитный калькулятор'!$D$7&lt;365,SUM($H$23:H1002),SUM(OFFSET(H1002,-364,0):H1002))),0))),IF(AND('депозитный калькулятор'!$G$10="в конце срока",'депозитный калькулятор'!$D$8=F1002),SUM($H$23:H1002),0))))))))))))))))))</f>
        <v xml:space="preserve"> </v>
      </c>
      <c r="J1002" s="59" t="str">
        <f>IF(F1002&gt;'депозитный калькулятор'!$D$8," ",IF('депозитный калькулятор'!$G$16="нет",0,IF(AND('депозитный калькулятор'!$G$17="разовая (в конце срока)",F1002='депозитный калькулятор'!$D$8),'депозитный калькулятор'!$G$18,IF(AND('депозитный калькулятор'!$G$17="ежемесячная",EOMONTH(F1001,0)=F1001),'депозитный калькулятор'!$G$18,IF(AND('депозитный калькулятор'!$G$17="ежегодная",DAY(F1001)=31,MONTH(F1001)=12),'депозитный калькулятор'!$G$18,IF(AND('депозитный калькулятор'!$G$17="ежемесячная в зависимости от остатка",EOMONTH(F1001,0)=F1001,P1001&gt;0),'депозитный калькулятор'!$G$18,IF(AND('депозитный калькулятор'!$G$17="ежегодная в зависимости от остатка",DAY(F1001)=31,MONTH(F1001)=12,P1001&gt;0),'депозитный калькулятор'!$G$18,0)))))))</f>
        <v xml:space="preserve"> </v>
      </c>
      <c r="K1002" s="135" t="str">
        <f>IF($F1002=" "," ",IFERROR(VLOOKUP($F1002,'депозитный калькулятор'!$B$26:$F$70,2,0),0))</f>
        <v xml:space="preserve"> </v>
      </c>
      <c r="L1002" s="135" t="str">
        <f>IF($F1002=" "," ",IFERROR(VLOOKUP($F1002,'депозитный калькулятор'!$B$26:$F$70,3,0),0))</f>
        <v xml:space="preserve"> </v>
      </c>
      <c r="M1002" s="135" t="str">
        <f>IF($F1002=" "," ",IFERROR(VLOOKUP($F1002,'депозитный калькулятор'!$B$26:$F$70,4,0),0))</f>
        <v xml:space="preserve"> </v>
      </c>
      <c r="N1002" s="135" t="str">
        <f>IF($F1002=" "," ",IFERROR(VLOOKUP($F1002,'депозитный калькулятор'!$B$26:$F$70,5,0),0))</f>
        <v xml:space="preserve"> </v>
      </c>
      <c r="O1002" s="146" t="str">
        <f>IF(F1002&gt;'депозитный калькулятор'!$D$8," ",IF(F1002='депозитный калькулятор'!$D$8,IF(AND($F$24='депозитный калькулятор'!$D$8,'депозитный калькулятор'!$G$13="нет"),-G1002-IF(I1002=" ",0,I1002)-IF(AND(OR('депозитный калькулятор'!$G$7="30/365",'депозитный калькулятор'!$G$7="30/360"),'депозитный калькулятор'!$G$10="в начале срока"),I1001,0)-L1002+M1002-N1002,-G1002-IF(I1002=" ",0,I1002)-L1002+M1002-N1002),IF('депозитный калькулятор'!$G$13="есть",M1002-N1002+IF('депозитный калькулятор'!$G$14="есть",0,-L1002),-IF(I1002=" ",0,I1002)-IF(AND(OR('депозитный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срока"),I1001,0)+M1002-N1002+IF('депозитный калькулятор'!$G$14="есть",0,-L1002))))</f>
        <v xml:space="preserve"> </v>
      </c>
      <c r="P1002" s="147" t="str">
        <f>IF(F1002&gt;'депозитный калькулятор'!$D$8," ",IF(EOMONTH(F1001,0)=F1001,0,IF(G1002&gt;='депозитный калькулятор'!$G$19,P1001,P1001+1)))</f>
        <v xml:space="preserve"> </v>
      </c>
      <c r="Q1002" s="138" t="str">
        <f>IF(F1002=" "," ",IF(AND(OR('депозитный калькулятор'!$G$7="30/365",'депозитный калькулятор'!$G$7="30/360"),AND(MONTH(F1002)=2,EOMONTH(F1002,0)=F1002)),IF(DAY(F1002)=28,3,2),1)*IF(G1002&gt;='депозитный калькулятор'!$G$11,IF(AND('депозитный калькулятор'!$G$7="факт/факт",MOD(YEAR(F1002),4)=0),G1002*'депозитный калькулятор'!$D$11/366,G1002*'депозитный калькулятор'!$G$8),0))</f>
        <v xml:space="preserve"> </v>
      </c>
      <c r="S1002" s="62" t="str">
        <f t="shared" ca="1" si="77"/>
        <v xml:space="preserve"> </v>
      </c>
      <c r="T1002" s="149" t="str">
        <f ca="1">IF(S1002=" "," ",IF('депозитный калькулятор'!$G$7="30/360",DAYS360(U1001,IF(DAY(U1002)=31,U1002-1,U1002))+IF(AND(MONTH(U1002)=2,U1002=EOMONTH(U1002,0)),30-DAY(EOMONTH(U1002,0)))+T1001,VLOOKUP(S1002,$C$22:$F$1023,2,0)))</f>
        <v xml:space="preserve"> </v>
      </c>
      <c r="U1002" s="64" t="str">
        <f t="shared" ca="1" si="75"/>
        <v xml:space="preserve"> </v>
      </c>
      <c r="V1002" s="150" t="str">
        <f t="shared" ca="1" si="78"/>
        <v xml:space="preserve"> </v>
      </c>
      <c r="W1002" s="62" t="str">
        <f t="shared" ca="1" si="79"/>
        <v xml:space="preserve"> </v>
      </c>
      <c r="X1002" s="141" t="str">
        <f ca="1">IF(S1002=" "," ",IFERROR(VLOOKUP(U1002,$F$23:$N$1023,7)+VLOOKUP(U1002,$F$23:$N$1023,9)+IF(AND('депозитный калькулятор'!$G$13="нет",U1002&lt;&gt;'депозитный калькулятор'!$D$8),VLOOKUP(U1002,$F$23:$N$1023,4),0),0)+IF(U1002='депозитный калькулятор'!$D$8,VLOOKUP(U1002,$F$23:$N$1023,2)+VLOOKUP(U1002,$F$23:$N$1023,4),0))</f>
        <v xml:space="preserve"> </v>
      </c>
      <c r="Y1002" s="142" t="str">
        <f ca="1">IF(S1002=" "," ",W1002/(1+'депозитный калькулятор'!$K$8)^(T1002/IF('депозитный калькулятор'!$G$7="30/360",360,365)))</f>
        <v xml:space="preserve"> </v>
      </c>
      <c r="Z1002" s="142" t="str">
        <f ca="1">IF(S1002=" "," ",X1002/(1+'депозитный калькулятор'!$K$8)^(T1002/IF('депозитный калькулятор'!$G$7="30/360",360,365)))</f>
        <v xml:space="preserve"> </v>
      </c>
      <c r="AA1002" s="151"/>
      <c r="AB1002" s="151"/>
      <c r="AC1002" s="155"/>
      <c r="AD1002" s="155"/>
    </row>
    <row r="1003" spans="1:30" s="2" customFormat="1" ht="15.5" x14ac:dyDescent="0.35">
      <c r="A1003" s="41" t="str">
        <f>IF(F1003=" "," ",IF(OR('депозитный калькулятор'!$G$7="30/365",'депозитный калькулятор'!$G$7="30/360"),IF(AND(MONTH(F1003)=2,DAY(F1003)=DAY(EOMONTH(F1003,0))),30-DAY(EOMONTH(F1003,0)),IF(DAY(F1003)=31,1," "))," "))</f>
        <v xml:space="preserve"> </v>
      </c>
      <c r="B1003" s="130" t="str">
        <f t="shared" si="76"/>
        <v xml:space="preserve"> </v>
      </c>
      <c r="C1003" s="130" t="str">
        <f>IF(OR(B1003=0,B1003=" ")," ",SUM($B$23:B1003))</f>
        <v xml:space="preserve"> </v>
      </c>
      <c r="D1003" s="62" t="str">
        <f>IF(D1002=" "," ",IF(OR(F1002='депозитный калькулятор'!$D$8,F1002=" ")," ",D1002+1))</f>
        <v xml:space="preserve"> </v>
      </c>
      <c r="E1003" s="130" t="str">
        <f>IF(OR(F1002='депозитный калькулятор'!$D$8,F1002=" ")," ",IF(EOMONTH(F1002,0)=F1002,1,E1002+1))</f>
        <v xml:space="preserve"> </v>
      </c>
      <c r="F1003" s="64" t="str">
        <f>IF(F1002=" "," ",IF(F1002='депозитный калькулятор'!$D$8," ",F1002+1))</f>
        <v xml:space="preserve"> </v>
      </c>
      <c r="G1003" s="145" t="str">
        <f xml:space="preserve"> IF(F1003&gt;'депозитный калькулятор'!$D$8," ",IF('депозитный калькулятор'!$G$13="есть",IF('депозитный калькулятор'!$G$14="есть",G1002+IF(I1002=" ",0,I1002)-J1003-K1003+L1003+M1003-N1003,G1002+IF(I1002=" ",0,I1002)-J1003-K1003+M1003-N1003),IF('депозитный калькулятор'!$G$14="есть",G1002-J1003-K1003+L1003+M1003-N1003,G1002-J1003-K1003+M1003-N1003)))</f>
        <v xml:space="preserve"> </v>
      </c>
      <c r="H1003" s="133" t="str">
        <f>IF(F1003&gt;'депозитный калькулятор'!$D$8," ",IF(AND(OR('депозитный калькулятор'!$G$7="30/365",'депозитный калькулятор'!$G$7="30/360"),AND(MONTH(F1003)=2,EOMONTH(F1003,0)=F1003)),IF(DAY(F1003)=28,3*G1003*'депозитный калькулятор'!$G$8,2*G1003*'депозитный калькулятор'!$G$8),IF(AND(OR('депозитный калькулятор'!$G$7="30/365",'депозитный калькулятор'!$G$7="30/360"),DAY(F1003)=31)," ",IF(AND('депозитный калькулятор'!$G$7="факт/факт",MOD(YEAR(F1003),4)=0),G1003*'депозитный калькулятор'!$D$11/366,G1003*'депозитный калькулятор'!$G$8))))</f>
        <v xml:space="preserve"> </v>
      </c>
      <c r="I1003" s="134" t="str">
        <f ca="1">IF(F1003=" "," ",IF('депозитный калькулятор'!$G$10="ежедневное",H1003,IF(AND('депозитный калькулятор'!$G$10="еженедельное",WEEKDAY(F1003,2)=7),SUM(OFFSET(H1003,-6,0):H1003),IF(AND('депозитный калькулятор'!$G$10="еженедельное",F1003='депозитный калькулятор'!$D$8),SUM($H$23:H1003)-SUM($I$23:I1002),IF(AND('депозитный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недели",WEEKDAY(F1003,2)=7),MIN(OFFSET(H1003,-6,0):H1003)*(COUNTIF(OFFSET(H1003,-6,0):H1003,"&gt;0")+SUMIF(OFFSET(A1003,-WEEKDAY(F1003,2),0):A1003,"=2",OFFSET(A1003,-WEEKDAY(F1003,2),0):A1003)),IF(AND('депозитный калькулятор'!$G$10="еженедельное, на минимальную сумму зафиксированную в течение недели",F1003='депозитный калькулятор'!$D$8,WEEKDAY(F1003,2)&lt;&gt;7),MIN(OFFSET(H1003,-WEEKDAY(F1003,2),0):H1003)*(COUNTIF(OFFSET(H1003,-WEEKDAY(F1003,2)+1,0):H1003,"&gt;0")+SUM(OFFSET(A1003,-WEEKDAY(F1003,2),0):A1003)),IF(AND('депозитный калькулятор'!$G$10="ежемесячное (в конце месяца)",F1003='депозитный калькулятор'!$D$8,EOMONTH(F1003,0)&lt;&gt;F1003),IF('депозитный калькулятор'!$F$1=1,$H$24,SUM($H$23:H1003)-SUM($I$23:I1002)),IF(AND('депозитный калькулятор'!$G$10="ежемесячное (в конце месяца)",EOMONTH(F1003,0)=F1003),SUM($H$23:H1003)-SUM($I$23:I1002),IF(AND('депозитный калькулятор'!$G$10="ежемесячное (по дням открытия вклада)",F1003='депозитный калькулятор'!$D$8,DAY('депозитный калькулятор'!$D$7)&lt;&gt;DAY(F1003)),IF('депозитный калькулятор'!$F$1=1,$H$24,SUM($H$23:H1003)-SUM($I$23:I1002)),IF(AND('депозитный калькулятор'!$G$10="ежемесячное (по дням открытия вклада)",DAY('депозитный калькулятор'!$D$7)=DAY(F1003)),SUM($H$23:H1003)-SUM($I$23:I1002),IF(AND('депозитный калькулятор'!$G$10="ежемесячное, на минимальную сумму зафиксированную в течение месяца",F1003='депозитный калькулятор'!$D$8,EOMONTH(F1003,0)&lt;&gt;F1003),IF('депозитный калькулятор'!$F$1=1,$H$24,IF(AND(OR('депозитный калькулятор'!$G$7="30/365",'депозитный калькулятор'!$G$7="30/360"),DAY(F1003)=31),0,MIN(OFFSET(H1003,-E1003+1,0):H1003)*(E1003+SUMIF(OFFSET(A1003,-E1003+1,0):A1003,"=2",OFFSET(A1003,-E1003+1,0):A1003)))),IF(AND('депозитный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калькулятор'!$G$7="30/360"),DAY(EOMONTH(F1003,0))=31),EOMONTH(F1003,0)-1=F1003,EOMONTH(F1003,0)=F1003)),IF(IF(AND(OR('депозитный калькулятор'!$G$7="30/365",'депозитный калькулятор'!$G$7="30/360"),DAY(EOMONTH($F$23,0))=31),F1003=EOMONTH($F$23,0)-1,F1003=EOMONTH($F$23,0)),MIN(OFFSET(H1003,-(DAY(F1003)-DAY($F$23)),0):H1003)*E1003,MIN(OFFSET(H1003,-(DAY(F1003)-1),0):H1003)*IF(AND(OR('депозитный калькулятор'!$G$7="30/365",'депозитный калькулятор'!$G$7="30/360"),DAY(F1003)&lt;30),30,DAY(F1003))),IF(AND('депозитный калькулятор'!$G$10="ежемесячное, на средний остаток в течение месяца, при условии что остаток больше чем ограничение",F1003='депозитный калькулятор'!$D$8,EOMONTH(F1003,0)&lt;&gt;F1003),IF('депозитный калькулятор'!$F$1=1,$H$24,SUM(OFFSET(Q1003,-E1003+1,0):Q1003)),IF(AND('депозитный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калькулятор'!$G$7="30/360"),DAY(EOMONTH(F1003,0))=31),EOMONTH(F1003,0)-1=F1003,EOMONTH(F1003,0)=F1003)),IF(IF(AND(OR('депозитный калькулятор'!$G$7="30/365",'депозитный калькулятор'!$G$7="30/360"),DAY(EOMONTH($F$24,0))=31),F1003=EOMONTH($F$24,0)-1,F1003=EOMONTH($F$24,0)),SUM(OFFSET(Q1003,-E1003+1,0):Q1003),SUM(OFFSET(Q1003,-E1003+1,0):Q1003)),IF('депозитный калькулятор'!$G$10="ежеквартальное",IF(F1003&gt;'депозитный калькулятор'!$D$8," ",IF(AND(EOMONTH(F1003,0)=F1003,OR(MONTH(F1003)=3,MONTH(F1003)=6,MONTH(F1003)=9,MONTH(F1003)=12)),IF(EDATE(F1003,-3)&lt;'депозитный калькулятор'!$D$7,SUM($H$23:H1003),IF(MOD(YEAR(F1003),4)=0,IF(AND(EOMONTH(F1003,0)=F1003,OR(MONTH(F1003)=3,MONTH(F1003)=6)),SUM(OFFSET(H1003,-90,0):H1003),IF(AND(EOMONTH(F1003,0)=F1003,OR(MONTH(F1003)=9,MONTH(F1003)=12)),SUM(OFFSET(H1003,-91,0):H1003))),IF(AND(EOMONTH(F1003,0)=F1003,MONTH(F1003)=3),SUM(OFFSET(H1003,-89,0):H1003),IF(AND(EOMONTH(F1003,0)=F1003,MONTH(F1003)=6),SUM(OFFSET(H1003,-90,0):H1003),IF(AND(EOMONTH(F1003,0)=F1003,OR(MONTH(F1003)=9,MONTH(F1003)=12)),SUM(OFFSET(H1003,-91,0):H1003)))))),IF(F1003='депозитный калькулятор'!$D$8,SUM($H$23:H1003)-SUM($I$23:I1002),0))),IF('депозитный калькулятор'!$G$10="ежегодное",IF(F1003&gt;'депозитный калькулятор'!$D$8," ",IF(F1003='депозитный калькулятор'!$D$8,SUM($H$23:H1003)-SUM($I$23:I1002),IF(AND(EOMONTH(F1003,0)=F1003,MONTH(F1003)=12),IF(MOD(YEAR(F1002),4)=0,IF(F1003-'депозитный калькулятор'!$D$7&lt;366,SUM($H$23:H1003),SUM(OFFSET(H1003,-365,0):H1003)),IF(F1003-'депозитный калькулятор'!$D$7&lt;365,SUM($H$23:H1003),SUM(OFFSET(H1003,-364,0):H1003))),0))),IF(AND('депозитный калькулятор'!$G$10="в конце срока",'депозитный калькулятор'!$D$8=F1003),SUM($H$23:H1003),0))))))))))))))))))</f>
        <v xml:space="preserve"> </v>
      </c>
      <c r="J1003" s="59" t="str">
        <f>IF(F1003&gt;'депозитный калькулятор'!$D$8," ",IF('депозитный калькулятор'!$G$16="нет",0,IF(AND('депозитный калькулятор'!$G$17="разовая (в конце срока)",F1003='депозитный калькулятор'!$D$8),'депозитный калькулятор'!$G$18,IF(AND('депозитный калькулятор'!$G$17="ежемесячная",EOMONTH(F1002,0)=F1002),'депозитный калькулятор'!$G$18,IF(AND('депозитный калькулятор'!$G$17="ежегодная",DAY(F1002)=31,MONTH(F1002)=12),'депозитный калькулятор'!$G$18,IF(AND('депозитный калькулятор'!$G$17="ежемесячная в зависимости от остатка",EOMONTH(F1002,0)=F1002,P1002&gt;0),'депозитный калькулятор'!$G$18,IF(AND('депозитный калькулятор'!$G$17="ежегодная в зависимости от остатка",DAY(F1002)=31,MONTH(F1002)=12,P1002&gt;0),'депозитный калькулятор'!$G$18,0)))))))</f>
        <v xml:space="preserve"> </v>
      </c>
      <c r="K1003" s="135" t="str">
        <f>IF($F1003=" "," ",IFERROR(VLOOKUP($F1003,'депозитный калькулятор'!$B$26:$F$70,2,0),0))</f>
        <v xml:space="preserve"> </v>
      </c>
      <c r="L1003" s="135" t="str">
        <f>IF($F1003=" "," ",IFERROR(VLOOKUP($F1003,'депозитный калькулятор'!$B$26:$F$70,3,0),0))</f>
        <v xml:space="preserve"> </v>
      </c>
      <c r="M1003" s="135" t="str">
        <f>IF($F1003=" "," ",IFERROR(VLOOKUP($F1003,'депозитный калькулятор'!$B$26:$F$70,4,0),0))</f>
        <v xml:space="preserve"> </v>
      </c>
      <c r="N1003" s="135" t="str">
        <f>IF($F1003=" "," ",IFERROR(VLOOKUP($F1003,'депозитный калькулятор'!$B$26:$F$70,5,0),0))</f>
        <v xml:space="preserve"> </v>
      </c>
      <c r="O1003" s="146" t="str">
        <f>IF(F1003&gt;'депозитный калькулятор'!$D$8," ",IF(F1003='депозитный калькулятор'!$D$8,IF(AND($F$24='депозитный калькулятор'!$D$8,'депозитный калькулятор'!$G$13="нет"),-G1003-IF(I1003=" ",0,I1003)-IF(AND(OR('депозитный калькулятор'!$G$7="30/365",'депозитный калькулятор'!$G$7="30/360"),'депозитный калькулятор'!$G$10="в начале срока"),I1002,0)-L1003+M1003-N1003,-G1003-IF(I1003=" ",0,I1003)-L1003+M1003-N1003),IF('депозитный калькулятор'!$G$13="есть",M1003-N1003+IF('депозитный калькулятор'!$G$14="есть",0,-L1003),-IF(I1003=" ",0,I1003)-IF(AND(OR('депозитный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срока"),I1002,0)+M1003-N1003+IF('депозитный калькулятор'!$G$14="есть",0,-L1003))))</f>
        <v xml:space="preserve"> </v>
      </c>
      <c r="P1003" s="147" t="str">
        <f>IF(F1003&gt;'депозитный калькулятор'!$D$8," ",IF(EOMONTH(F1002,0)=F1002,0,IF(G1003&gt;='депозитный калькулятор'!$G$19,P1002,P1002+1)))</f>
        <v xml:space="preserve"> </v>
      </c>
      <c r="Q1003" s="138" t="str">
        <f>IF(F1003=" "," ",IF(AND(OR('депозитный калькулятор'!$G$7="30/365",'депозитный калькулятор'!$G$7="30/360"),AND(MONTH(F1003)=2,EOMONTH(F1003,0)=F1003)),IF(DAY(F1003)=28,3,2),1)*IF(G1003&gt;='депозитный калькулятор'!$G$11,IF(AND('депозитный калькулятор'!$G$7="факт/факт",MOD(YEAR(F1003),4)=0),G1003*'депозитный калькулятор'!$D$11/366,G1003*'депозитный калькулятор'!$G$8),0))</f>
        <v xml:space="preserve"> </v>
      </c>
      <c r="S1003" s="62" t="str">
        <f t="shared" ca="1" si="77"/>
        <v xml:space="preserve"> </v>
      </c>
      <c r="T1003" s="149" t="str">
        <f ca="1">IF(S1003=" "," ",IF('депозитный калькулятор'!$G$7="30/360",DAYS360(U1002,IF(DAY(U1003)=31,U1003-1,U1003))+IF(AND(MONTH(U1003)=2,U1003=EOMONTH(U1003,0)),30-DAY(EOMONTH(U1003,0)))+T1002,VLOOKUP(S1003,$C$22:$F$1023,2,0)))</f>
        <v xml:space="preserve"> </v>
      </c>
      <c r="U1003" s="64" t="str">
        <f t="shared" ca="1" si="75"/>
        <v xml:space="preserve"> </v>
      </c>
      <c r="V1003" s="150" t="str">
        <f t="shared" ca="1" si="78"/>
        <v xml:space="preserve"> </v>
      </c>
      <c r="W1003" s="62" t="str">
        <f t="shared" ca="1" si="79"/>
        <v xml:space="preserve"> </v>
      </c>
      <c r="X1003" s="141" t="str">
        <f ca="1">IF(S1003=" "," ",IFERROR(VLOOKUP(U1003,$F$23:$N$1023,7)+VLOOKUP(U1003,$F$23:$N$1023,9)+IF(AND('депозитный калькулятор'!$G$13="нет",U1003&lt;&gt;'депозитный калькулятор'!$D$8),VLOOKUP(U1003,$F$23:$N$1023,4),0),0)+IF(U1003='депозитный калькулятор'!$D$8,VLOOKUP(U1003,$F$23:$N$1023,2)+VLOOKUP(U1003,$F$23:$N$1023,4),0))</f>
        <v xml:space="preserve"> </v>
      </c>
      <c r="Y1003" s="142" t="str">
        <f ca="1">IF(S1003=" "," ",W1003/(1+'депозитный калькулятор'!$K$8)^(T1003/IF('депозитный калькулятор'!$G$7="30/360",360,365)))</f>
        <v xml:space="preserve"> </v>
      </c>
      <c r="Z1003" s="142" t="str">
        <f ca="1">IF(S1003=" "," ",X1003/(1+'депозитный калькулятор'!$K$8)^(T1003/IF('депозитный калькулятор'!$G$7="30/360",360,365)))</f>
        <v xml:space="preserve"> </v>
      </c>
      <c r="AA1003" s="151"/>
      <c r="AB1003" s="151"/>
      <c r="AC1003" s="155"/>
      <c r="AD1003" s="155"/>
    </row>
    <row r="1004" spans="1:30" s="2" customFormat="1" ht="15.5" x14ac:dyDescent="0.35">
      <c r="A1004" s="41" t="str">
        <f>IF(F1004=" "," ",IF(OR('депозитный калькулятор'!$G$7="30/365",'депозитный калькулятор'!$G$7="30/360"),IF(AND(MONTH(F1004)=2,DAY(F1004)=DAY(EOMONTH(F1004,0))),30-DAY(EOMONTH(F1004,0)),IF(DAY(F1004)=31,1," "))," "))</f>
        <v xml:space="preserve"> </v>
      </c>
      <c r="B1004" s="130" t="str">
        <f t="shared" si="76"/>
        <v xml:space="preserve"> </v>
      </c>
      <c r="C1004" s="130" t="str">
        <f>IF(OR(B1004=0,B1004=" ")," ",SUM($B$23:B1004))</f>
        <v xml:space="preserve"> </v>
      </c>
      <c r="D1004" s="62" t="str">
        <f>IF(D1003=" "," ",IF(OR(F1003='депозитный калькулятор'!$D$8,F1003=" ")," ",D1003+1))</f>
        <v xml:space="preserve"> </v>
      </c>
      <c r="E1004" s="130" t="str">
        <f>IF(OR(F1003='депозитный калькулятор'!$D$8,F1003=" ")," ",IF(EOMONTH(F1003,0)=F1003,1,E1003+1))</f>
        <v xml:space="preserve"> </v>
      </c>
      <c r="F1004" s="64" t="str">
        <f>IF(F1003=" "," ",IF(F1003='депозитный калькулятор'!$D$8," ",F1003+1))</f>
        <v xml:space="preserve"> </v>
      </c>
      <c r="G1004" s="145" t="str">
        <f xml:space="preserve"> IF(F1004&gt;'депозитный калькулятор'!$D$8," ",IF('депозитный калькулятор'!$G$13="есть",IF('депозитный калькулятор'!$G$14="есть",G1003+IF(I1003=" ",0,I1003)-J1004-K1004+L1004+M1004-N1004,G1003+IF(I1003=" ",0,I1003)-J1004-K1004+M1004-N1004),IF('депозитный калькулятор'!$G$14="есть",G1003-J1004-K1004+L1004+M1004-N1004,G1003-J1004-K1004+M1004-N1004)))</f>
        <v xml:space="preserve"> </v>
      </c>
      <c r="H1004" s="133" t="str">
        <f>IF(F1004&gt;'депозитный калькулятор'!$D$8," ",IF(AND(OR('депозитный калькулятор'!$G$7="30/365",'депозитный калькулятор'!$G$7="30/360"),AND(MONTH(F1004)=2,EOMONTH(F1004,0)=F1004)),IF(DAY(F1004)=28,3*G1004*'депозитный калькулятор'!$G$8,2*G1004*'депозитный калькулятор'!$G$8),IF(AND(OR('депозитный калькулятор'!$G$7="30/365",'депозитный калькулятор'!$G$7="30/360"),DAY(F1004)=31)," ",IF(AND('депозитный калькулятор'!$G$7="факт/факт",MOD(YEAR(F1004),4)=0),G1004*'депозитный калькулятор'!$D$11/366,G1004*'депозитный калькулятор'!$G$8))))</f>
        <v xml:space="preserve"> </v>
      </c>
      <c r="I1004" s="134" t="str">
        <f ca="1">IF(F1004=" "," ",IF('депозитный калькулятор'!$G$10="ежедневное",H1004,IF(AND('депозитный калькулятор'!$G$10="еженедельное",WEEKDAY(F1004,2)=7),SUM(OFFSET(H1004,-6,0):H1004),IF(AND('депозитный калькулятор'!$G$10="еженедельное",F1004='депозитный калькулятор'!$D$8),SUM($H$23:H1004)-SUM($I$23:I1003),IF(AND('депозитный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недели",WEEKDAY(F1004,2)=7),MIN(OFFSET(H1004,-6,0):H1004)*(COUNTIF(OFFSET(H1004,-6,0):H1004,"&gt;0")+SUMIF(OFFSET(A1004,-WEEKDAY(F1004,2),0):A1004,"=2",OFFSET(A1004,-WEEKDAY(F1004,2),0):A1004)),IF(AND('депозитный калькулятор'!$G$10="еженедельное, на минимальную сумму зафиксированную в течение недели",F1004='депозитный калькулятор'!$D$8,WEEKDAY(F1004,2)&lt;&gt;7),MIN(OFFSET(H1004,-WEEKDAY(F1004,2),0):H1004)*(COUNTIF(OFFSET(H1004,-WEEKDAY(F1004,2)+1,0):H1004,"&gt;0")+SUM(OFFSET(A1004,-WEEKDAY(F1004,2),0):A1004)),IF(AND('депозитный калькулятор'!$G$10="ежемесячное (в конце месяца)",F1004='депозитный калькулятор'!$D$8,EOMONTH(F1004,0)&lt;&gt;F1004),IF('депозитный калькулятор'!$F$1=1,$H$24,SUM($H$23:H1004)-SUM($I$23:I1003)),IF(AND('депозитный калькулятор'!$G$10="ежемесячное (в конце месяца)",EOMONTH(F1004,0)=F1004),SUM($H$23:H1004)-SUM($I$23:I1003),IF(AND('депозитный калькулятор'!$G$10="ежемесячное (по дням открытия вклада)",F1004='депозитный калькулятор'!$D$8,DAY('депозитный калькулятор'!$D$7)&lt;&gt;DAY(F1004)),IF('депозитный калькулятор'!$F$1=1,$H$24,SUM($H$23:H1004)-SUM($I$23:I1003)),IF(AND('депозитный калькулятор'!$G$10="ежемесячное (по дням открытия вклада)",DAY('депозитный калькулятор'!$D$7)=DAY(F1004)),SUM($H$23:H1004)-SUM($I$23:I1003),IF(AND('депозитный калькулятор'!$G$10="ежемесячное, на минимальную сумму зафиксированную в течение месяца",F1004='депозитный калькулятор'!$D$8,EOMONTH(F1004,0)&lt;&gt;F1004),IF('депозитный калькулятор'!$F$1=1,$H$24,IF(AND(OR('депозитный калькулятор'!$G$7="30/365",'депозитный калькулятор'!$G$7="30/360"),DAY(F1004)=31),0,MIN(OFFSET(H1004,-E1004+1,0):H1004)*(E1004+SUMIF(OFFSET(A1004,-E1004+1,0):A1004,"=2",OFFSET(A1004,-E1004+1,0):A1004)))),IF(AND('депозитный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калькулятор'!$G$7="30/360"),DAY(EOMONTH(F1004,0))=31),EOMONTH(F1004,0)-1=F1004,EOMONTH(F1004,0)=F1004)),IF(IF(AND(OR('депозитный калькулятор'!$G$7="30/365",'депозитный калькулятор'!$G$7="30/360"),DAY(EOMONTH($F$23,0))=31),F1004=EOMONTH($F$23,0)-1,F1004=EOMONTH($F$23,0)),MIN(OFFSET(H1004,-(DAY(F1004)-DAY($F$23)),0):H1004)*E1004,MIN(OFFSET(H1004,-(DAY(F1004)-1),0):H1004)*IF(AND(OR('депозитный калькулятор'!$G$7="30/365",'депозитный калькулятор'!$G$7="30/360"),DAY(F1004)&lt;30),30,DAY(F1004))),IF(AND('депозитный калькулятор'!$G$10="ежемесячное, на средний остаток в течение месяца, при условии что остаток больше чем ограничение",F1004='депозитный калькулятор'!$D$8,EOMONTH(F1004,0)&lt;&gt;F1004),IF('депозитный калькулятор'!$F$1=1,$H$24,SUM(OFFSET(Q1004,-E1004+1,0):Q1004)),IF(AND('депозитный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калькулятор'!$G$7="30/360"),DAY(EOMONTH(F1004,0))=31),EOMONTH(F1004,0)-1=F1004,EOMONTH(F1004,0)=F1004)),IF(IF(AND(OR('депозитный калькулятор'!$G$7="30/365",'депозитный калькулятор'!$G$7="30/360"),DAY(EOMONTH($F$24,0))=31),F1004=EOMONTH($F$24,0)-1,F1004=EOMONTH($F$24,0)),SUM(OFFSET(Q1004,-E1004+1,0):Q1004),SUM(OFFSET(Q1004,-E1004+1,0):Q1004)),IF('депозитный калькулятор'!$G$10="ежеквартальное",IF(F1004&gt;'депозитный калькулятор'!$D$8," ",IF(AND(EOMONTH(F1004,0)=F1004,OR(MONTH(F1004)=3,MONTH(F1004)=6,MONTH(F1004)=9,MONTH(F1004)=12)),IF(EDATE(F1004,-3)&lt;'депозитный калькулятор'!$D$7,SUM($H$23:H1004),IF(MOD(YEAR(F1004),4)=0,IF(AND(EOMONTH(F1004,0)=F1004,OR(MONTH(F1004)=3,MONTH(F1004)=6)),SUM(OFFSET(H1004,-90,0):H1004),IF(AND(EOMONTH(F1004,0)=F1004,OR(MONTH(F1004)=9,MONTH(F1004)=12)),SUM(OFFSET(H1004,-91,0):H1004))),IF(AND(EOMONTH(F1004,0)=F1004,MONTH(F1004)=3),SUM(OFFSET(H1004,-89,0):H1004),IF(AND(EOMONTH(F1004,0)=F1004,MONTH(F1004)=6),SUM(OFFSET(H1004,-90,0):H1004),IF(AND(EOMONTH(F1004,0)=F1004,OR(MONTH(F1004)=9,MONTH(F1004)=12)),SUM(OFFSET(H1004,-91,0):H1004)))))),IF(F1004='депозитный калькулятор'!$D$8,SUM($H$23:H1004)-SUM($I$23:I1003),0))),IF('депозитный калькулятор'!$G$10="ежегодное",IF(F1004&gt;'депозитный калькулятор'!$D$8," ",IF(F1004='депозитный калькулятор'!$D$8,SUM($H$23:H1004)-SUM($I$23:I1003),IF(AND(EOMONTH(F1004,0)=F1004,MONTH(F1004)=12),IF(MOD(YEAR(F1003),4)=0,IF(F1004-'депозитный калькулятор'!$D$7&lt;366,SUM($H$23:H1004),SUM(OFFSET(H1004,-365,0):H1004)),IF(F1004-'депозитный калькулятор'!$D$7&lt;365,SUM($H$23:H1004),SUM(OFFSET(H1004,-364,0):H1004))),0))),IF(AND('депозитный калькулятор'!$G$10="в конце срока",'депозитный калькулятор'!$D$8=F1004),SUM($H$23:H1004),0))))))))))))))))))</f>
        <v xml:space="preserve"> </v>
      </c>
      <c r="J1004" s="59" t="str">
        <f>IF(F1004&gt;'депозитный калькулятор'!$D$8," ",IF('депозитный калькулятор'!$G$16="нет",0,IF(AND('депозитный калькулятор'!$G$17="разовая (в конце срока)",F1004='депозитный калькулятор'!$D$8),'депозитный калькулятор'!$G$18,IF(AND('депозитный калькулятор'!$G$17="ежемесячная",EOMONTH(F1003,0)=F1003),'депозитный калькулятор'!$G$18,IF(AND('депозитный калькулятор'!$G$17="ежегодная",DAY(F1003)=31,MONTH(F1003)=12),'депозитный калькулятор'!$G$18,IF(AND('депозитный калькулятор'!$G$17="ежемесячная в зависимости от остатка",EOMONTH(F1003,0)=F1003,P1003&gt;0),'депозитный калькулятор'!$G$18,IF(AND('депозитный калькулятор'!$G$17="ежегодная в зависимости от остатка",DAY(F1003)=31,MONTH(F1003)=12,P1003&gt;0),'депозитный калькулятор'!$G$18,0)))))))</f>
        <v xml:space="preserve"> </v>
      </c>
      <c r="K1004" s="135" t="str">
        <f>IF($F1004=" "," ",IFERROR(VLOOKUP($F1004,'депозитный калькулятор'!$B$26:$F$70,2,0),0))</f>
        <v xml:space="preserve"> </v>
      </c>
      <c r="L1004" s="135" t="str">
        <f>IF($F1004=" "," ",IFERROR(VLOOKUP($F1004,'депозитный калькулятор'!$B$26:$F$70,3,0),0))</f>
        <v xml:space="preserve"> </v>
      </c>
      <c r="M1004" s="135" t="str">
        <f>IF($F1004=" "," ",IFERROR(VLOOKUP($F1004,'депозитный калькулятор'!$B$26:$F$70,4,0),0))</f>
        <v xml:space="preserve"> </v>
      </c>
      <c r="N1004" s="135" t="str">
        <f>IF($F1004=" "," ",IFERROR(VLOOKUP($F1004,'депозитный калькулятор'!$B$26:$F$70,5,0),0))</f>
        <v xml:space="preserve"> </v>
      </c>
      <c r="O1004" s="146" t="str">
        <f>IF(F1004&gt;'депозитный калькулятор'!$D$8," ",IF(F1004='депозитный калькулятор'!$D$8,IF(AND($F$24='депозитный калькулятор'!$D$8,'депозитный калькулятор'!$G$13="нет"),-G1004-IF(I1004=" ",0,I1004)-IF(AND(OR('депозитный калькулятор'!$G$7="30/365",'депозитный калькулятор'!$G$7="30/360"),'депозитный калькулятор'!$G$10="в начале срока"),I1003,0)-L1004+M1004-N1004,-G1004-IF(I1004=" ",0,I1004)-L1004+M1004-N1004),IF('депозитный калькулятор'!$G$13="есть",M1004-N1004+IF('депозитный калькулятор'!$G$14="есть",0,-L1004),-IF(I1004=" ",0,I1004)-IF(AND(OR('депозитный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срока"),I1003,0)+M1004-N1004+IF('депозитный калькулятор'!$G$14="есть",0,-L1004))))</f>
        <v xml:space="preserve"> </v>
      </c>
      <c r="P1004" s="147" t="str">
        <f>IF(F1004&gt;'депозитный калькулятор'!$D$8," ",IF(EOMONTH(F1003,0)=F1003,0,IF(G1004&gt;='депозитный калькулятор'!$G$19,P1003,P1003+1)))</f>
        <v xml:space="preserve"> </v>
      </c>
      <c r="Q1004" s="138" t="str">
        <f>IF(F1004=" "," ",IF(AND(OR('депозитный калькулятор'!$G$7="30/365",'депозитный калькулятор'!$G$7="30/360"),AND(MONTH(F1004)=2,EOMONTH(F1004,0)=F1004)),IF(DAY(F1004)=28,3,2),1)*IF(G1004&gt;='депозитный калькулятор'!$G$11,IF(AND('депозитный калькулятор'!$G$7="факт/факт",MOD(YEAR(F1004),4)=0),G1004*'депозитный калькулятор'!$D$11/366,G1004*'депозитный калькулятор'!$G$8),0))</f>
        <v xml:space="preserve"> </v>
      </c>
      <c r="S1004" s="62" t="str">
        <f t="shared" ca="1" si="77"/>
        <v xml:space="preserve"> </v>
      </c>
      <c r="T1004" s="149" t="str">
        <f ca="1">IF(S1004=" "," ",IF('депозитный калькулятор'!$G$7="30/360",DAYS360(U1003,IF(DAY(U1004)=31,U1004-1,U1004))+IF(AND(MONTH(U1004)=2,U1004=EOMONTH(U1004,0)),30-DAY(EOMONTH(U1004,0)))+T1003,VLOOKUP(S1004,$C$22:$F$1023,2,0)))</f>
        <v xml:space="preserve"> </v>
      </c>
      <c r="U1004" s="64" t="str">
        <f t="shared" ca="1" si="75"/>
        <v xml:space="preserve"> </v>
      </c>
      <c r="V1004" s="150" t="str">
        <f t="shared" ca="1" si="78"/>
        <v xml:space="preserve"> </v>
      </c>
      <c r="W1004" s="62" t="str">
        <f t="shared" ca="1" si="79"/>
        <v xml:space="preserve"> </v>
      </c>
      <c r="X1004" s="141" t="str">
        <f ca="1">IF(S1004=" "," ",IFERROR(VLOOKUP(U1004,$F$23:$N$1023,7)+VLOOKUP(U1004,$F$23:$N$1023,9)+IF(AND('депозитный калькулятор'!$G$13="нет",U1004&lt;&gt;'депозитный калькулятор'!$D$8),VLOOKUP(U1004,$F$23:$N$1023,4),0),0)+IF(U1004='депозитный калькулятор'!$D$8,VLOOKUP(U1004,$F$23:$N$1023,2)+VLOOKUP(U1004,$F$23:$N$1023,4),0))</f>
        <v xml:space="preserve"> </v>
      </c>
      <c r="Y1004" s="142" t="str">
        <f ca="1">IF(S1004=" "," ",W1004/(1+'депозитный калькулятор'!$K$8)^(T1004/IF('депозитный калькулятор'!$G$7="30/360",360,365)))</f>
        <v xml:space="preserve"> </v>
      </c>
      <c r="Z1004" s="142" t="str">
        <f ca="1">IF(S1004=" "," ",X1004/(1+'депозитный калькулятор'!$K$8)^(T1004/IF('депозитный калькулятор'!$G$7="30/360",360,365)))</f>
        <v xml:space="preserve"> </v>
      </c>
      <c r="AA1004" s="151"/>
      <c r="AB1004" s="151"/>
      <c r="AC1004" s="155"/>
      <c r="AD1004" s="155"/>
    </row>
    <row r="1005" spans="1:30" s="2" customFormat="1" ht="15.5" x14ac:dyDescent="0.35">
      <c r="A1005" s="41" t="str">
        <f>IF(F1005=" "," ",IF(OR('депозитный калькулятор'!$G$7="30/365",'депозитный калькулятор'!$G$7="30/360"),IF(AND(MONTH(F1005)=2,DAY(F1005)=DAY(EOMONTH(F1005,0))),30-DAY(EOMONTH(F1005,0)),IF(DAY(F1005)=31,1," "))," "))</f>
        <v xml:space="preserve"> </v>
      </c>
      <c r="B1005" s="130" t="str">
        <f t="shared" si="76"/>
        <v xml:space="preserve"> </v>
      </c>
      <c r="C1005" s="130" t="str">
        <f>IF(OR(B1005=0,B1005=" ")," ",SUM($B$23:B1005))</f>
        <v xml:space="preserve"> </v>
      </c>
      <c r="D1005" s="62" t="str">
        <f>IF(D1004=" "," ",IF(OR(F1004='депозитный калькулятор'!$D$8,F1004=" ")," ",D1004+1))</f>
        <v xml:space="preserve"> </v>
      </c>
      <c r="E1005" s="130" t="str">
        <f>IF(OR(F1004='депозитный калькулятор'!$D$8,F1004=" ")," ",IF(EOMONTH(F1004,0)=F1004,1,E1004+1))</f>
        <v xml:space="preserve"> </v>
      </c>
      <c r="F1005" s="64" t="str">
        <f>IF(F1004=" "," ",IF(F1004='депозитный калькулятор'!$D$8," ",F1004+1))</f>
        <v xml:space="preserve"> </v>
      </c>
      <c r="G1005" s="145" t="str">
        <f xml:space="preserve"> IF(F1005&gt;'депозитный калькулятор'!$D$8," ",IF('депозитный калькулятор'!$G$13="есть",IF('депозитный калькулятор'!$G$14="есть",G1004+IF(I1004=" ",0,I1004)-J1005-K1005+L1005+M1005-N1005,G1004+IF(I1004=" ",0,I1004)-J1005-K1005+M1005-N1005),IF('депозитный калькулятор'!$G$14="есть",G1004-J1005-K1005+L1005+M1005-N1005,G1004-J1005-K1005+M1005-N1005)))</f>
        <v xml:space="preserve"> </v>
      </c>
      <c r="H1005" s="133" t="str">
        <f>IF(F1005&gt;'депозитный калькулятор'!$D$8," ",IF(AND(OR('депозитный калькулятор'!$G$7="30/365",'депозитный калькулятор'!$G$7="30/360"),AND(MONTH(F1005)=2,EOMONTH(F1005,0)=F1005)),IF(DAY(F1005)=28,3*G1005*'депозитный калькулятор'!$G$8,2*G1005*'депозитный калькулятор'!$G$8),IF(AND(OR('депозитный калькулятор'!$G$7="30/365",'депозитный калькулятор'!$G$7="30/360"),DAY(F1005)=31)," ",IF(AND('депозитный калькулятор'!$G$7="факт/факт",MOD(YEAR(F1005),4)=0),G1005*'депозитный калькулятор'!$D$11/366,G1005*'депозитный калькулятор'!$G$8))))</f>
        <v xml:space="preserve"> </v>
      </c>
      <c r="I1005" s="134" t="str">
        <f ca="1">IF(F1005=" "," ",IF('депозитный калькулятор'!$G$10="ежедневное",H1005,IF(AND('депозитный калькулятор'!$G$10="еженедельное",WEEKDAY(F1005,2)=7),SUM(OFFSET(H1005,-6,0):H1005),IF(AND('депозитный калькулятор'!$G$10="еженедельное",F1005='депозитный калькулятор'!$D$8),SUM($H$23:H1005)-SUM($I$23:I1004),IF(AND('депозитный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недели",WEEKDAY(F1005,2)=7),MIN(OFFSET(H1005,-6,0):H1005)*(COUNTIF(OFFSET(H1005,-6,0):H1005,"&gt;0")+SUMIF(OFFSET(A1005,-WEEKDAY(F1005,2),0):A1005,"=2",OFFSET(A1005,-WEEKDAY(F1005,2),0):A1005)),IF(AND('депозитный калькулятор'!$G$10="еженедельное, на минимальную сумму зафиксированную в течение недели",F1005='депозитный калькулятор'!$D$8,WEEKDAY(F1005,2)&lt;&gt;7),MIN(OFFSET(H1005,-WEEKDAY(F1005,2),0):H1005)*(COUNTIF(OFFSET(H1005,-WEEKDAY(F1005,2)+1,0):H1005,"&gt;0")+SUM(OFFSET(A1005,-WEEKDAY(F1005,2),0):A1005)),IF(AND('депозитный калькулятор'!$G$10="ежемесячное (в конце месяца)",F1005='депозитный калькулятор'!$D$8,EOMONTH(F1005,0)&lt;&gt;F1005),IF('депозитный калькулятор'!$F$1=1,$H$24,SUM($H$23:H1005)-SUM($I$23:I1004)),IF(AND('депозитный калькулятор'!$G$10="ежемесячное (в конце месяца)",EOMONTH(F1005,0)=F1005),SUM($H$23:H1005)-SUM($I$23:I1004),IF(AND('депозитный калькулятор'!$G$10="ежемесячное (по дням открытия вклада)",F1005='депозитный калькулятор'!$D$8,DAY('депозитный калькулятор'!$D$7)&lt;&gt;DAY(F1005)),IF('депозитный калькулятор'!$F$1=1,$H$24,SUM($H$23:H1005)-SUM($I$23:I1004)),IF(AND('депозитный калькулятор'!$G$10="ежемесячное (по дням открытия вклада)",DAY('депозитный калькулятор'!$D$7)=DAY(F1005)),SUM($H$23:H1005)-SUM($I$23:I1004),IF(AND('депозитный калькулятор'!$G$10="ежемесячное, на минимальную сумму зафиксированную в течение месяца",F1005='депозитный калькулятор'!$D$8,EOMONTH(F1005,0)&lt;&gt;F1005),IF('депозитный калькулятор'!$F$1=1,$H$24,IF(AND(OR('депозитный калькулятор'!$G$7="30/365",'депозитный калькулятор'!$G$7="30/360"),DAY(F1005)=31),0,MIN(OFFSET(H1005,-E1005+1,0):H1005)*(E1005+SUMIF(OFFSET(A1005,-E1005+1,0):A1005,"=2",OFFSET(A1005,-E1005+1,0):A1005)))),IF(AND('депозитный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калькулятор'!$G$7="30/360"),DAY(EOMONTH(F1005,0))=31),EOMONTH(F1005,0)-1=F1005,EOMONTH(F1005,0)=F1005)),IF(IF(AND(OR('депозитный калькулятор'!$G$7="30/365",'депозитный калькулятор'!$G$7="30/360"),DAY(EOMONTH($F$23,0))=31),F1005=EOMONTH($F$23,0)-1,F1005=EOMONTH($F$23,0)),MIN(OFFSET(H1005,-(DAY(F1005)-DAY($F$23)),0):H1005)*E1005,MIN(OFFSET(H1005,-(DAY(F1005)-1),0):H1005)*IF(AND(OR('депозитный калькулятор'!$G$7="30/365",'депозитный калькулятор'!$G$7="30/360"),DAY(F1005)&lt;30),30,DAY(F1005))),IF(AND('депозитный калькулятор'!$G$10="ежемесячное, на средний остаток в течение месяца, при условии что остаток больше чем ограничение",F1005='депозитный калькулятор'!$D$8,EOMONTH(F1005,0)&lt;&gt;F1005),IF('депозитный калькулятор'!$F$1=1,$H$24,SUM(OFFSET(Q1005,-E1005+1,0):Q1005)),IF(AND('депозитный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калькулятор'!$G$7="30/360"),DAY(EOMONTH(F1005,0))=31),EOMONTH(F1005,0)-1=F1005,EOMONTH(F1005,0)=F1005)),IF(IF(AND(OR('депозитный калькулятор'!$G$7="30/365",'депозитный калькулятор'!$G$7="30/360"),DAY(EOMONTH($F$24,0))=31),F1005=EOMONTH($F$24,0)-1,F1005=EOMONTH($F$24,0)),SUM(OFFSET(Q1005,-E1005+1,0):Q1005),SUM(OFFSET(Q1005,-E1005+1,0):Q1005)),IF('депозитный калькулятор'!$G$10="ежеквартальное",IF(F1005&gt;'депозитный калькулятор'!$D$8," ",IF(AND(EOMONTH(F1005,0)=F1005,OR(MONTH(F1005)=3,MONTH(F1005)=6,MONTH(F1005)=9,MONTH(F1005)=12)),IF(EDATE(F1005,-3)&lt;'депозитный калькулятор'!$D$7,SUM($H$23:H1005),IF(MOD(YEAR(F1005),4)=0,IF(AND(EOMONTH(F1005,0)=F1005,OR(MONTH(F1005)=3,MONTH(F1005)=6)),SUM(OFFSET(H1005,-90,0):H1005),IF(AND(EOMONTH(F1005,0)=F1005,OR(MONTH(F1005)=9,MONTH(F1005)=12)),SUM(OFFSET(H1005,-91,0):H1005))),IF(AND(EOMONTH(F1005,0)=F1005,MONTH(F1005)=3),SUM(OFFSET(H1005,-89,0):H1005),IF(AND(EOMONTH(F1005,0)=F1005,MONTH(F1005)=6),SUM(OFFSET(H1005,-90,0):H1005),IF(AND(EOMONTH(F1005,0)=F1005,OR(MONTH(F1005)=9,MONTH(F1005)=12)),SUM(OFFSET(H1005,-91,0):H1005)))))),IF(F1005='депозитный калькулятор'!$D$8,SUM($H$23:H1005)-SUM($I$23:I1004),0))),IF('депозитный калькулятор'!$G$10="ежегодное",IF(F1005&gt;'депозитный калькулятор'!$D$8," ",IF(F1005='депозитный калькулятор'!$D$8,SUM($H$23:H1005)-SUM($I$23:I1004),IF(AND(EOMONTH(F1005,0)=F1005,MONTH(F1005)=12),IF(MOD(YEAR(F1004),4)=0,IF(F1005-'депозитный калькулятор'!$D$7&lt;366,SUM($H$23:H1005),SUM(OFFSET(H1005,-365,0):H1005)),IF(F1005-'депозитный калькулятор'!$D$7&lt;365,SUM($H$23:H1005),SUM(OFFSET(H1005,-364,0):H1005))),0))),IF(AND('депозитный калькулятор'!$G$10="в конце срока",'депозитный калькулятор'!$D$8=F1005),SUM($H$23:H1005),0))))))))))))))))))</f>
        <v xml:space="preserve"> </v>
      </c>
      <c r="J1005" s="59" t="str">
        <f>IF(F1005&gt;'депозитный калькулятор'!$D$8," ",IF('депозитный калькулятор'!$G$16="нет",0,IF(AND('депозитный калькулятор'!$G$17="разовая (в конце срока)",F1005='депозитный калькулятор'!$D$8),'депозитный калькулятор'!$G$18,IF(AND('депозитный калькулятор'!$G$17="ежемесячная",EOMONTH(F1004,0)=F1004),'депозитный калькулятор'!$G$18,IF(AND('депозитный калькулятор'!$G$17="ежегодная",DAY(F1004)=31,MONTH(F1004)=12),'депозитный калькулятор'!$G$18,IF(AND('депозитный калькулятор'!$G$17="ежемесячная в зависимости от остатка",EOMONTH(F1004,0)=F1004,P1004&gt;0),'депозитный калькулятор'!$G$18,IF(AND('депозитный калькулятор'!$G$17="ежегодная в зависимости от остатка",DAY(F1004)=31,MONTH(F1004)=12,P1004&gt;0),'депозитный калькулятор'!$G$18,0)))))))</f>
        <v xml:space="preserve"> </v>
      </c>
      <c r="K1005" s="135" t="str">
        <f>IF($F1005=" "," ",IFERROR(VLOOKUP($F1005,'депозитный калькулятор'!$B$26:$F$70,2,0),0))</f>
        <v xml:space="preserve"> </v>
      </c>
      <c r="L1005" s="135" t="str">
        <f>IF($F1005=" "," ",IFERROR(VLOOKUP($F1005,'депозитный калькулятор'!$B$26:$F$70,3,0),0))</f>
        <v xml:space="preserve"> </v>
      </c>
      <c r="M1005" s="135" t="str">
        <f>IF($F1005=" "," ",IFERROR(VLOOKUP($F1005,'депозитный калькулятор'!$B$26:$F$70,4,0),0))</f>
        <v xml:space="preserve"> </v>
      </c>
      <c r="N1005" s="135" t="str">
        <f>IF($F1005=" "," ",IFERROR(VLOOKUP($F1005,'депозитный калькулятор'!$B$26:$F$70,5,0),0))</f>
        <v xml:space="preserve"> </v>
      </c>
      <c r="O1005" s="146" t="str">
        <f>IF(F1005&gt;'депозитный калькулятор'!$D$8," ",IF(F1005='депозитный калькулятор'!$D$8,IF(AND($F$24='депозитный калькулятор'!$D$8,'депозитный калькулятор'!$G$13="нет"),-G1005-IF(I1005=" ",0,I1005)-IF(AND(OR('депозитный калькулятор'!$G$7="30/365",'депозитный калькулятор'!$G$7="30/360"),'депозитный калькулятор'!$G$10="в начале срока"),I1004,0)-L1005+M1005-N1005,-G1005-IF(I1005=" ",0,I1005)-L1005+M1005-N1005),IF('депозитный калькулятор'!$G$13="есть",M1005-N1005+IF('депозитный калькулятор'!$G$14="есть",0,-L1005),-IF(I1005=" ",0,I1005)-IF(AND(OR('депозитный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срока"),I1004,0)+M1005-N1005+IF('депозитный калькулятор'!$G$14="есть",0,-L1005))))</f>
        <v xml:space="preserve"> </v>
      </c>
      <c r="P1005" s="147" t="str">
        <f>IF(F1005&gt;'депозитный калькулятор'!$D$8," ",IF(EOMONTH(F1004,0)=F1004,0,IF(G1005&gt;='депозитный калькулятор'!$G$19,P1004,P1004+1)))</f>
        <v xml:space="preserve"> </v>
      </c>
      <c r="Q1005" s="138" t="str">
        <f>IF(F1005=" "," ",IF(AND(OR('депозитный калькулятор'!$G$7="30/365",'депозитный калькулятор'!$G$7="30/360"),AND(MONTH(F1005)=2,EOMONTH(F1005,0)=F1005)),IF(DAY(F1005)=28,3,2),1)*IF(G1005&gt;='депозитный калькулятор'!$G$11,IF(AND('депозитный калькулятор'!$G$7="факт/факт",MOD(YEAR(F1005),4)=0),G1005*'депозитный калькулятор'!$D$11/366,G1005*'депозитный калькулятор'!$G$8),0))</f>
        <v xml:space="preserve"> </v>
      </c>
      <c r="S1005" s="62" t="str">
        <f t="shared" ca="1" si="77"/>
        <v xml:space="preserve"> </v>
      </c>
      <c r="T1005" s="149" t="str">
        <f ca="1">IF(S1005=" "," ",IF('депозитный калькулятор'!$G$7="30/360",DAYS360(U1004,IF(DAY(U1005)=31,U1005-1,U1005))+IF(AND(MONTH(U1005)=2,U1005=EOMONTH(U1005,0)),30-DAY(EOMONTH(U1005,0)))+T1004,VLOOKUP(S1005,$C$22:$F$1023,2,0)))</f>
        <v xml:space="preserve"> </v>
      </c>
      <c r="U1005" s="64" t="str">
        <f t="shared" ca="1" si="75"/>
        <v xml:space="preserve"> </v>
      </c>
      <c r="V1005" s="150" t="str">
        <f t="shared" ca="1" si="78"/>
        <v xml:space="preserve"> </v>
      </c>
      <c r="W1005" s="62" t="str">
        <f t="shared" ca="1" si="79"/>
        <v xml:space="preserve"> </v>
      </c>
      <c r="X1005" s="141" t="str">
        <f ca="1">IF(S1005=" "," ",IFERROR(VLOOKUP(U1005,$F$23:$N$1023,7)+VLOOKUP(U1005,$F$23:$N$1023,9)+IF(AND('депозитный калькулятор'!$G$13="нет",U1005&lt;&gt;'депозитный калькулятор'!$D$8),VLOOKUP(U1005,$F$23:$N$1023,4),0),0)+IF(U1005='депозитный калькулятор'!$D$8,VLOOKUP(U1005,$F$23:$N$1023,2)+VLOOKUP(U1005,$F$23:$N$1023,4),0))</f>
        <v xml:space="preserve"> </v>
      </c>
      <c r="Y1005" s="142" t="str">
        <f ca="1">IF(S1005=" "," ",W1005/(1+'депозитный калькулятор'!$K$8)^(T1005/IF('депозитный калькулятор'!$G$7="30/360",360,365)))</f>
        <v xml:space="preserve"> </v>
      </c>
      <c r="Z1005" s="142" t="str">
        <f ca="1">IF(S1005=" "," ",X1005/(1+'депозитный калькулятор'!$K$8)^(T1005/IF('депозитный калькулятор'!$G$7="30/360",360,365)))</f>
        <v xml:space="preserve"> </v>
      </c>
      <c r="AA1005" s="151"/>
      <c r="AB1005" s="151"/>
      <c r="AC1005" s="155"/>
      <c r="AD1005" s="155"/>
    </row>
    <row r="1006" spans="1:30" s="2" customFormat="1" ht="15.5" x14ac:dyDescent="0.35">
      <c r="A1006" s="41" t="str">
        <f>IF(F1006=" "," ",IF(OR('депозитный калькулятор'!$G$7="30/365",'депозитный калькулятор'!$G$7="30/360"),IF(AND(MONTH(F1006)=2,DAY(F1006)=DAY(EOMONTH(F1006,0))),30-DAY(EOMONTH(F1006,0)),IF(DAY(F1006)=31,1," "))," "))</f>
        <v xml:space="preserve"> </v>
      </c>
      <c r="B1006" s="130" t="str">
        <f t="shared" si="76"/>
        <v xml:space="preserve"> </v>
      </c>
      <c r="C1006" s="130" t="str">
        <f>IF(OR(B1006=0,B1006=" ")," ",SUM($B$23:B1006))</f>
        <v xml:space="preserve"> </v>
      </c>
      <c r="D1006" s="62" t="str">
        <f>IF(D1005=" "," ",IF(OR(F1005='депозитный калькулятор'!$D$8,F1005=" ")," ",D1005+1))</f>
        <v xml:space="preserve"> </v>
      </c>
      <c r="E1006" s="130" t="str">
        <f>IF(OR(F1005='депозитный калькулятор'!$D$8,F1005=" ")," ",IF(EOMONTH(F1005,0)=F1005,1,E1005+1))</f>
        <v xml:space="preserve"> </v>
      </c>
      <c r="F1006" s="64" t="str">
        <f>IF(F1005=" "," ",IF(F1005='депозитный калькулятор'!$D$8," ",F1005+1))</f>
        <v xml:space="preserve"> </v>
      </c>
      <c r="G1006" s="145" t="str">
        <f xml:space="preserve"> IF(F1006&gt;'депозитный калькулятор'!$D$8," ",IF('депозитный калькулятор'!$G$13="есть",IF('депозитный калькулятор'!$G$14="есть",G1005+IF(I1005=" ",0,I1005)-J1006-K1006+L1006+M1006-N1006,G1005+IF(I1005=" ",0,I1005)-J1006-K1006+M1006-N1006),IF('депозитный калькулятор'!$G$14="есть",G1005-J1006-K1006+L1006+M1006-N1006,G1005-J1006-K1006+M1006-N1006)))</f>
        <v xml:space="preserve"> </v>
      </c>
      <c r="H1006" s="133" t="str">
        <f>IF(F1006&gt;'депозитный калькулятор'!$D$8," ",IF(AND(OR('депозитный калькулятор'!$G$7="30/365",'депозитный калькулятор'!$G$7="30/360"),AND(MONTH(F1006)=2,EOMONTH(F1006,0)=F1006)),IF(DAY(F1006)=28,3*G1006*'депозитный калькулятор'!$G$8,2*G1006*'депозитный калькулятор'!$G$8),IF(AND(OR('депозитный калькулятор'!$G$7="30/365",'депозитный калькулятор'!$G$7="30/360"),DAY(F1006)=31)," ",IF(AND('депозитный калькулятор'!$G$7="факт/факт",MOD(YEAR(F1006),4)=0),G1006*'депозитный калькулятор'!$D$11/366,G1006*'депозитный калькулятор'!$G$8))))</f>
        <v xml:space="preserve"> </v>
      </c>
      <c r="I1006" s="134" t="str">
        <f ca="1">IF(F1006=" "," ",IF('депозитный калькулятор'!$G$10="ежедневное",H1006,IF(AND('депозитный калькулятор'!$G$10="еженедельное",WEEKDAY(F1006,2)=7),SUM(OFFSET(H1006,-6,0):H1006),IF(AND('депозитный калькулятор'!$G$10="еженедельное",F1006='депозитный калькулятор'!$D$8),SUM($H$23:H1006)-SUM($I$23:I1005),IF(AND('депозитный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недели",WEEKDAY(F1006,2)=7),MIN(OFFSET(H1006,-6,0):H1006)*(COUNTIF(OFFSET(H1006,-6,0):H1006,"&gt;0")+SUMIF(OFFSET(A1006,-WEEKDAY(F1006,2),0):A1006,"=2",OFFSET(A1006,-WEEKDAY(F1006,2),0):A1006)),IF(AND('депозитный калькулятор'!$G$10="еженедельное, на минимальную сумму зафиксированную в течение недели",F1006='депозитный калькулятор'!$D$8,WEEKDAY(F1006,2)&lt;&gt;7),MIN(OFFSET(H1006,-WEEKDAY(F1006,2),0):H1006)*(COUNTIF(OFFSET(H1006,-WEEKDAY(F1006,2)+1,0):H1006,"&gt;0")+SUM(OFFSET(A1006,-WEEKDAY(F1006,2),0):A1006)),IF(AND('депозитный калькулятор'!$G$10="ежемесячное (в конце месяца)",F1006='депозитный калькулятор'!$D$8,EOMONTH(F1006,0)&lt;&gt;F1006),IF('депозитный калькулятор'!$F$1=1,$H$24,SUM($H$23:H1006)-SUM($I$23:I1005)),IF(AND('депозитный калькулятор'!$G$10="ежемесячное (в конце месяца)",EOMONTH(F1006,0)=F1006),SUM($H$23:H1006)-SUM($I$23:I1005),IF(AND('депозитный калькулятор'!$G$10="ежемесячное (по дням открытия вклада)",F1006='депозитный калькулятор'!$D$8,DAY('депозитный калькулятор'!$D$7)&lt;&gt;DAY(F1006)),IF('депозитный калькулятор'!$F$1=1,$H$24,SUM($H$23:H1006)-SUM($I$23:I1005)),IF(AND('депозитный калькулятор'!$G$10="ежемесячное (по дням открытия вклада)",DAY('депозитный калькулятор'!$D$7)=DAY(F1006)),SUM($H$23:H1006)-SUM($I$23:I1005),IF(AND('депозитный калькулятор'!$G$10="ежемесячное, на минимальную сумму зафиксированную в течение месяца",F1006='депозитный калькулятор'!$D$8,EOMONTH(F1006,0)&lt;&gt;F1006),IF('депозитный калькулятор'!$F$1=1,$H$24,IF(AND(OR('депозитный калькулятор'!$G$7="30/365",'депозитный калькулятор'!$G$7="30/360"),DAY(F1006)=31),0,MIN(OFFSET(H1006,-E1006+1,0):H1006)*(E1006+SUMIF(OFFSET(A1006,-E1006+1,0):A1006,"=2",OFFSET(A1006,-E1006+1,0):A1006)))),IF(AND('депозитный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калькулятор'!$G$7="30/360"),DAY(EOMONTH(F1006,0))=31),EOMONTH(F1006,0)-1=F1006,EOMONTH(F1006,0)=F1006)),IF(IF(AND(OR('депозитный калькулятор'!$G$7="30/365",'депозитный калькулятор'!$G$7="30/360"),DAY(EOMONTH($F$23,0))=31),F1006=EOMONTH($F$23,0)-1,F1006=EOMONTH($F$23,0)),MIN(OFFSET(H1006,-(DAY(F1006)-DAY($F$23)),0):H1006)*E1006,MIN(OFFSET(H1006,-(DAY(F1006)-1),0):H1006)*IF(AND(OR('депозитный калькулятор'!$G$7="30/365",'депозитный калькулятор'!$G$7="30/360"),DAY(F1006)&lt;30),30,DAY(F1006))),IF(AND('депозитный калькулятор'!$G$10="ежемесячное, на средний остаток в течение месяца, при условии что остаток больше чем ограничение",F1006='депозитный калькулятор'!$D$8,EOMONTH(F1006,0)&lt;&gt;F1006),IF('депозитный калькулятор'!$F$1=1,$H$24,SUM(OFFSET(Q1006,-E1006+1,0):Q1006)),IF(AND('депозитный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калькулятор'!$G$7="30/360"),DAY(EOMONTH(F1006,0))=31),EOMONTH(F1006,0)-1=F1006,EOMONTH(F1006,0)=F1006)),IF(IF(AND(OR('депозитный калькулятор'!$G$7="30/365",'депозитный калькулятор'!$G$7="30/360"),DAY(EOMONTH($F$24,0))=31),F1006=EOMONTH($F$24,0)-1,F1006=EOMONTH($F$24,0)),SUM(OFFSET(Q1006,-E1006+1,0):Q1006),SUM(OFFSET(Q1006,-E1006+1,0):Q1006)),IF('депозитный калькулятор'!$G$10="ежеквартальное",IF(F1006&gt;'депозитный калькулятор'!$D$8," ",IF(AND(EOMONTH(F1006,0)=F1006,OR(MONTH(F1006)=3,MONTH(F1006)=6,MONTH(F1006)=9,MONTH(F1006)=12)),IF(EDATE(F1006,-3)&lt;'депозитный калькулятор'!$D$7,SUM($H$23:H1006),IF(MOD(YEAR(F1006),4)=0,IF(AND(EOMONTH(F1006,0)=F1006,OR(MONTH(F1006)=3,MONTH(F1006)=6)),SUM(OFFSET(H1006,-90,0):H1006),IF(AND(EOMONTH(F1006,0)=F1006,OR(MONTH(F1006)=9,MONTH(F1006)=12)),SUM(OFFSET(H1006,-91,0):H1006))),IF(AND(EOMONTH(F1006,0)=F1006,MONTH(F1006)=3),SUM(OFFSET(H1006,-89,0):H1006),IF(AND(EOMONTH(F1006,0)=F1006,MONTH(F1006)=6),SUM(OFFSET(H1006,-90,0):H1006),IF(AND(EOMONTH(F1006,0)=F1006,OR(MONTH(F1006)=9,MONTH(F1006)=12)),SUM(OFFSET(H1006,-91,0):H1006)))))),IF(F1006='депозитный калькулятор'!$D$8,SUM($H$23:H1006)-SUM($I$23:I1005),0))),IF('депозитный калькулятор'!$G$10="ежегодное",IF(F1006&gt;'депозитный калькулятор'!$D$8," ",IF(F1006='депозитный калькулятор'!$D$8,SUM($H$23:H1006)-SUM($I$23:I1005),IF(AND(EOMONTH(F1006,0)=F1006,MONTH(F1006)=12),IF(MOD(YEAR(F1005),4)=0,IF(F1006-'депозитный калькулятор'!$D$7&lt;366,SUM($H$23:H1006),SUM(OFFSET(H1006,-365,0):H1006)),IF(F1006-'депозитный калькулятор'!$D$7&lt;365,SUM($H$23:H1006),SUM(OFFSET(H1006,-364,0):H1006))),0))),IF(AND('депозитный калькулятор'!$G$10="в конце срока",'депозитный калькулятор'!$D$8=F1006),SUM($H$23:H1006),0))))))))))))))))))</f>
        <v xml:space="preserve"> </v>
      </c>
      <c r="J1006" s="59" t="str">
        <f>IF(F1006&gt;'депозитный калькулятор'!$D$8," ",IF('депозитный калькулятор'!$G$16="нет",0,IF(AND('депозитный калькулятор'!$G$17="разовая (в конце срока)",F1006='депозитный калькулятор'!$D$8),'депозитный калькулятор'!$G$18,IF(AND('депозитный калькулятор'!$G$17="ежемесячная",EOMONTH(F1005,0)=F1005),'депозитный калькулятор'!$G$18,IF(AND('депозитный калькулятор'!$G$17="ежегодная",DAY(F1005)=31,MONTH(F1005)=12),'депозитный калькулятор'!$G$18,IF(AND('депозитный калькулятор'!$G$17="ежемесячная в зависимости от остатка",EOMONTH(F1005,0)=F1005,P1005&gt;0),'депозитный калькулятор'!$G$18,IF(AND('депозитный калькулятор'!$G$17="ежегодная в зависимости от остатка",DAY(F1005)=31,MONTH(F1005)=12,P1005&gt;0),'депозитный калькулятор'!$G$18,0)))))))</f>
        <v xml:space="preserve"> </v>
      </c>
      <c r="K1006" s="135" t="str">
        <f>IF($F1006=" "," ",IFERROR(VLOOKUP($F1006,'депозитный калькулятор'!$B$26:$F$70,2,0),0))</f>
        <v xml:space="preserve"> </v>
      </c>
      <c r="L1006" s="135" t="str">
        <f>IF($F1006=" "," ",IFERROR(VLOOKUP($F1006,'депозитный калькулятор'!$B$26:$F$70,3,0),0))</f>
        <v xml:space="preserve"> </v>
      </c>
      <c r="M1006" s="135" t="str">
        <f>IF($F1006=" "," ",IFERROR(VLOOKUP($F1006,'депозитный калькулятор'!$B$26:$F$70,4,0),0))</f>
        <v xml:space="preserve"> </v>
      </c>
      <c r="N1006" s="135" t="str">
        <f>IF($F1006=" "," ",IFERROR(VLOOKUP($F1006,'депозитный калькулятор'!$B$26:$F$70,5,0),0))</f>
        <v xml:space="preserve"> </v>
      </c>
      <c r="O1006" s="146" t="str">
        <f>IF(F1006&gt;'депозитный калькулятор'!$D$8," ",IF(F1006='депозитный калькулятор'!$D$8,IF(AND($F$24='депозитный калькулятор'!$D$8,'депозитный калькулятор'!$G$13="нет"),-G1006-IF(I1006=" ",0,I1006)-IF(AND(OR('депозитный калькулятор'!$G$7="30/365",'депозитный калькулятор'!$G$7="30/360"),'депозитный калькулятор'!$G$10="в начале срока"),I1005,0)-L1006+M1006-N1006,-G1006-IF(I1006=" ",0,I1006)-L1006+M1006-N1006),IF('депозитный калькулятор'!$G$13="есть",M1006-N1006+IF('депозитный калькулятор'!$G$14="есть",0,-L1006),-IF(I1006=" ",0,I1006)-IF(AND(OR('депозитный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срока"),I1005,0)+M1006-N1006+IF('депозитный калькулятор'!$G$14="есть",0,-L1006))))</f>
        <v xml:space="preserve"> </v>
      </c>
      <c r="P1006" s="147" t="str">
        <f>IF(F1006&gt;'депозитный калькулятор'!$D$8," ",IF(EOMONTH(F1005,0)=F1005,0,IF(G1006&gt;='депозитный калькулятор'!$G$19,P1005,P1005+1)))</f>
        <v xml:space="preserve"> </v>
      </c>
      <c r="Q1006" s="138" t="str">
        <f>IF(F1006=" "," ",IF(AND(OR('депозитный калькулятор'!$G$7="30/365",'депозитный калькулятор'!$G$7="30/360"),AND(MONTH(F1006)=2,EOMONTH(F1006,0)=F1006)),IF(DAY(F1006)=28,3,2),1)*IF(G1006&gt;='депозитный калькулятор'!$G$11,IF(AND('депозитный калькулятор'!$G$7="факт/факт",MOD(YEAR(F1006),4)=0),G1006*'депозитный калькулятор'!$D$11/366,G1006*'депозитный калькулятор'!$G$8),0))</f>
        <v xml:space="preserve"> </v>
      </c>
      <c r="S1006" s="62" t="str">
        <f t="shared" ca="1" si="77"/>
        <v xml:space="preserve"> </v>
      </c>
      <c r="T1006" s="149" t="str">
        <f ca="1">IF(S1006=" "," ",IF('депозитный калькулятор'!$G$7="30/360",DAYS360(U1005,IF(DAY(U1006)=31,U1006-1,U1006))+IF(AND(MONTH(U1006)=2,U1006=EOMONTH(U1006,0)),30-DAY(EOMONTH(U1006,0)))+T1005,VLOOKUP(S1006,$C$22:$F$1023,2,0)))</f>
        <v xml:space="preserve"> </v>
      </c>
      <c r="U1006" s="64" t="str">
        <f t="shared" ca="1" si="75"/>
        <v xml:space="preserve"> </v>
      </c>
      <c r="V1006" s="150" t="str">
        <f t="shared" ca="1" si="78"/>
        <v xml:space="preserve"> </v>
      </c>
      <c r="W1006" s="62" t="str">
        <f t="shared" ca="1" si="79"/>
        <v xml:space="preserve"> </v>
      </c>
      <c r="X1006" s="141" t="str">
        <f ca="1">IF(S1006=" "," ",IFERROR(VLOOKUP(U1006,$F$23:$N$1023,7)+VLOOKUP(U1006,$F$23:$N$1023,9)+IF(AND('депозитный калькулятор'!$G$13="нет",U1006&lt;&gt;'депозитный калькулятор'!$D$8),VLOOKUP(U1006,$F$23:$N$1023,4),0),0)+IF(U1006='депозитный калькулятор'!$D$8,VLOOKUP(U1006,$F$23:$N$1023,2)+VLOOKUP(U1006,$F$23:$N$1023,4),0))</f>
        <v xml:space="preserve"> </v>
      </c>
      <c r="Y1006" s="142" t="str">
        <f ca="1">IF(S1006=" "," ",W1006/(1+'депозитный калькулятор'!$K$8)^(T1006/IF('депозитный калькулятор'!$G$7="30/360",360,365)))</f>
        <v xml:space="preserve"> </v>
      </c>
      <c r="Z1006" s="142" t="str">
        <f ca="1">IF(S1006=" "," ",X1006/(1+'депозитный калькулятор'!$K$8)^(T1006/IF('депозитный калькулятор'!$G$7="30/360",360,365)))</f>
        <v xml:space="preserve"> </v>
      </c>
      <c r="AA1006" s="151"/>
      <c r="AB1006" s="151"/>
      <c r="AC1006" s="155"/>
      <c r="AD1006" s="155"/>
    </row>
    <row r="1007" spans="1:30" s="2" customFormat="1" ht="15.5" x14ac:dyDescent="0.35">
      <c r="A1007" s="41" t="str">
        <f>IF(F1007=" "," ",IF(OR('депозитный калькулятор'!$G$7="30/365",'депозитный калькулятор'!$G$7="30/360"),IF(AND(MONTH(F1007)=2,DAY(F1007)=DAY(EOMONTH(F1007,0))),30-DAY(EOMONTH(F1007,0)),IF(DAY(F1007)=31,1," "))," "))</f>
        <v xml:space="preserve"> </v>
      </c>
      <c r="B1007" s="130" t="str">
        <f t="shared" si="76"/>
        <v xml:space="preserve"> </v>
      </c>
      <c r="C1007" s="130" t="str">
        <f>IF(OR(B1007=0,B1007=" ")," ",SUM($B$23:B1007))</f>
        <v xml:space="preserve"> </v>
      </c>
      <c r="D1007" s="62" t="str">
        <f>IF(D1006=" "," ",IF(OR(F1006='депозитный калькулятор'!$D$8,F1006=" ")," ",D1006+1))</f>
        <v xml:space="preserve"> </v>
      </c>
      <c r="E1007" s="130" t="str">
        <f>IF(OR(F1006='депозитный калькулятор'!$D$8,F1006=" ")," ",IF(EOMONTH(F1006,0)=F1006,1,E1006+1))</f>
        <v xml:space="preserve"> </v>
      </c>
      <c r="F1007" s="64" t="str">
        <f>IF(F1006=" "," ",IF(F1006='депозитный калькулятор'!$D$8," ",F1006+1))</f>
        <v xml:space="preserve"> </v>
      </c>
      <c r="G1007" s="145" t="str">
        <f xml:space="preserve"> IF(F1007&gt;'депозитный калькулятор'!$D$8," ",IF('депозитный калькулятор'!$G$13="есть",IF('депозитный калькулятор'!$G$14="есть",G1006+IF(I1006=" ",0,I1006)-J1007-K1007+L1007+M1007-N1007,G1006+IF(I1006=" ",0,I1006)-J1007-K1007+M1007-N1007),IF('депозитный калькулятор'!$G$14="есть",G1006-J1007-K1007+L1007+M1007-N1007,G1006-J1007-K1007+M1007-N1007)))</f>
        <v xml:space="preserve"> </v>
      </c>
      <c r="H1007" s="133" t="str">
        <f>IF(F1007&gt;'депозитный калькулятор'!$D$8," ",IF(AND(OR('депозитный калькулятор'!$G$7="30/365",'депозитный калькулятор'!$G$7="30/360"),AND(MONTH(F1007)=2,EOMONTH(F1007,0)=F1007)),IF(DAY(F1007)=28,3*G1007*'депозитный калькулятор'!$G$8,2*G1007*'депозитный калькулятор'!$G$8),IF(AND(OR('депозитный калькулятор'!$G$7="30/365",'депозитный калькулятор'!$G$7="30/360"),DAY(F1007)=31)," ",IF(AND('депозитный калькулятор'!$G$7="факт/факт",MOD(YEAR(F1007),4)=0),G1007*'депозитный калькулятор'!$D$11/366,G1007*'депозитный калькулятор'!$G$8))))</f>
        <v xml:space="preserve"> </v>
      </c>
      <c r="I1007" s="134" t="str">
        <f ca="1">IF(F1007=" "," ",IF('депозитный калькулятор'!$G$10="ежедневное",H1007,IF(AND('депозитный калькулятор'!$G$10="еженедельное",WEEKDAY(F1007,2)=7),SUM(OFFSET(H1007,-6,0):H1007),IF(AND('депозитный калькулятор'!$G$10="еженедельное",F1007='депозитный калькулятор'!$D$8),SUM($H$23:H1007)-SUM($I$23:I1006),IF(AND('депозитный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недели",WEEKDAY(F1007,2)=7),MIN(OFFSET(H1007,-6,0):H1007)*(COUNTIF(OFFSET(H1007,-6,0):H1007,"&gt;0")+SUMIF(OFFSET(A1007,-WEEKDAY(F1007,2),0):A1007,"=2",OFFSET(A1007,-WEEKDAY(F1007,2),0):A1007)),IF(AND('депозитный калькулятор'!$G$10="еженедельное, на минимальную сумму зафиксированную в течение недели",F1007='депозитный калькулятор'!$D$8,WEEKDAY(F1007,2)&lt;&gt;7),MIN(OFFSET(H1007,-WEEKDAY(F1007,2),0):H1007)*(COUNTIF(OFFSET(H1007,-WEEKDAY(F1007,2)+1,0):H1007,"&gt;0")+SUM(OFFSET(A1007,-WEEKDAY(F1007,2),0):A1007)),IF(AND('депозитный калькулятор'!$G$10="ежемесячное (в конце месяца)",F1007='депозитный калькулятор'!$D$8,EOMONTH(F1007,0)&lt;&gt;F1007),IF('депозитный калькулятор'!$F$1=1,$H$24,SUM($H$23:H1007)-SUM($I$23:I1006)),IF(AND('депозитный калькулятор'!$G$10="ежемесячное (в конце месяца)",EOMONTH(F1007,0)=F1007),SUM($H$23:H1007)-SUM($I$23:I1006),IF(AND('депозитный калькулятор'!$G$10="ежемесячное (по дням открытия вклада)",F1007='депозитный калькулятор'!$D$8,DAY('депозитный калькулятор'!$D$7)&lt;&gt;DAY(F1007)),IF('депозитный калькулятор'!$F$1=1,$H$24,SUM($H$23:H1007)-SUM($I$23:I1006)),IF(AND('депозитный калькулятор'!$G$10="ежемесячное (по дням открытия вклада)",DAY('депозитный калькулятор'!$D$7)=DAY(F1007)),SUM($H$23:H1007)-SUM($I$23:I1006),IF(AND('депозитный калькулятор'!$G$10="ежемесячное, на минимальную сумму зафиксированную в течение месяца",F1007='депозитный калькулятор'!$D$8,EOMONTH(F1007,0)&lt;&gt;F1007),IF('депозитный калькулятор'!$F$1=1,$H$24,IF(AND(OR('депозитный калькулятор'!$G$7="30/365",'депозитный калькулятор'!$G$7="30/360"),DAY(F1007)=31),0,MIN(OFFSET(H1007,-E1007+1,0):H1007)*(E1007+SUMIF(OFFSET(A1007,-E1007+1,0):A1007,"=2",OFFSET(A1007,-E1007+1,0):A1007)))),IF(AND('депозитный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калькулятор'!$G$7="30/360"),DAY(EOMONTH(F1007,0))=31),EOMONTH(F1007,0)-1=F1007,EOMONTH(F1007,0)=F1007)),IF(IF(AND(OR('депозитный калькулятор'!$G$7="30/365",'депозитный калькулятор'!$G$7="30/360"),DAY(EOMONTH($F$23,0))=31),F1007=EOMONTH($F$23,0)-1,F1007=EOMONTH($F$23,0)),MIN(OFFSET(H1007,-(DAY(F1007)-DAY($F$23)),0):H1007)*E1007,MIN(OFFSET(H1007,-(DAY(F1007)-1),0):H1007)*IF(AND(OR('депозитный калькулятор'!$G$7="30/365",'депозитный калькулятор'!$G$7="30/360"),DAY(F1007)&lt;30),30,DAY(F1007))),IF(AND('депозитный калькулятор'!$G$10="ежемесячное, на средний остаток в течение месяца, при условии что остаток больше чем ограничение",F1007='депозитный калькулятор'!$D$8,EOMONTH(F1007,0)&lt;&gt;F1007),IF('депозитный калькулятор'!$F$1=1,$H$24,SUM(OFFSET(Q1007,-E1007+1,0):Q1007)),IF(AND('депозитный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калькулятор'!$G$7="30/360"),DAY(EOMONTH(F1007,0))=31),EOMONTH(F1007,0)-1=F1007,EOMONTH(F1007,0)=F1007)),IF(IF(AND(OR('депозитный калькулятор'!$G$7="30/365",'депозитный калькулятор'!$G$7="30/360"),DAY(EOMONTH($F$24,0))=31),F1007=EOMONTH($F$24,0)-1,F1007=EOMONTH($F$24,0)),SUM(OFFSET(Q1007,-E1007+1,0):Q1007),SUM(OFFSET(Q1007,-E1007+1,0):Q1007)),IF('депозитный калькулятор'!$G$10="ежеквартальное",IF(F1007&gt;'депозитный калькулятор'!$D$8," ",IF(AND(EOMONTH(F1007,0)=F1007,OR(MONTH(F1007)=3,MONTH(F1007)=6,MONTH(F1007)=9,MONTH(F1007)=12)),IF(EDATE(F1007,-3)&lt;'депозитный калькулятор'!$D$7,SUM($H$23:H1007),IF(MOD(YEAR(F1007),4)=0,IF(AND(EOMONTH(F1007,0)=F1007,OR(MONTH(F1007)=3,MONTH(F1007)=6)),SUM(OFFSET(H1007,-90,0):H1007),IF(AND(EOMONTH(F1007,0)=F1007,OR(MONTH(F1007)=9,MONTH(F1007)=12)),SUM(OFFSET(H1007,-91,0):H1007))),IF(AND(EOMONTH(F1007,0)=F1007,MONTH(F1007)=3),SUM(OFFSET(H1007,-89,0):H1007),IF(AND(EOMONTH(F1007,0)=F1007,MONTH(F1007)=6),SUM(OFFSET(H1007,-90,0):H1007),IF(AND(EOMONTH(F1007,0)=F1007,OR(MONTH(F1007)=9,MONTH(F1007)=12)),SUM(OFFSET(H1007,-91,0):H1007)))))),IF(F1007='депозитный калькулятор'!$D$8,SUM($H$23:H1007)-SUM($I$23:I1006),0))),IF('депозитный калькулятор'!$G$10="ежегодное",IF(F1007&gt;'депозитный калькулятор'!$D$8," ",IF(F1007='депозитный калькулятор'!$D$8,SUM($H$23:H1007)-SUM($I$23:I1006),IF(AND(EOMONTH(F1007,0)=F1007,MONTH(F1007)=12),IF(MOD(YEAR(F1006),4)=0,IF(F1007-'депозитный калькулятор'!$D$7&lt;366,SUM($H$23:H1007),SUM(OFFSET(H1007,-365,0):H1007)),IF(F1007-'депозитный калькулятор'!$D$7&lt;365,SUM($H$23:H1007),SUM(OFFSET(H1007,-364,0):H1007))),0))),IF(AND('депозитный калькулятор'!$G$10="в конце срока",'депозитный калькулятор'!$D$8=F1007),SUM($H$23:H1007),0))))))))))))))))))</f>
        <v xml:space="preserve"> </v>
      </c>
      <c r="J1007" s="59" t="str">
        <f>IF(F1007&gt;'депозитный калькулятор'!$D$8," ",IF('депозитный калькулятор'!$G$16="нет",0,IF(AND('депозитный калькулятор'!$G$17="разовая (в конце срока)",F1007='депозитный калькулятор'!$D$8),'депозитный калькулятор'!$G$18,IF(AND('депозитный калькулятор'!$G$17="ежемесячная",EOMONTH(F1006,0)=F1006),'депозитный калькулятор'!$G$18,IF(AND('депозитный калькулятор'!$G$17="ежегодная",DAY(F1006)=31,MONTH(F1006)=12),'депозитный калькулятор'!$G$18,IF(AND('депозитный калькулятор'!$G$17="ежемесячная в зависимости от остатка",EOMONTH(F1006,0)=F1006,P1006&gt;0),'депозитный калькулятор'!$G$18,IF(AND('депозитный калькулятор'!$G$17="ежегодная в зависимости от остатка",DAY(F1006)=31,MONTH(F1006)=12,P1006&gt;0),'депозитный калькулятор'!$G$18,0)))))))</f>
        <v xml:space="preserve"> </v>
      </c>
      <c r="K1007" s="135" t="str">
        <f>IF($F1007=" "," ",IFERROR(VLOOKUP($F1007,'депозитный калькулятор'!$B$26:$F$70,2,0),0))</f>
        <v xml:space="preserve"> </v>
      </c>
      <c r="L1007" s="135" t="str">
        <f>IF($F1007=" "," ",IFERROR(VLOOKUP($F1007,'депозитный калькулятор'!$B$26:$F$70,3,0),0))</f>
        <v xml:space="preserve"> </v>
      </c>
      <c r="M1007" s="135" t="str">
        <f>IF($F1007=" "," ",IFERROR(VLOOKUP($F1007,'депозитный калькулятор'!$B$26:$F$70,4,0),0))</f>
        <v xml:space="preserve"> </v>
      </c>
      <c r="N1007" s="135" t="str">
        <f>IF($F1007=" "," ",IFERROR(VLOOKUP($F1007,'депозитный калькулятор'!$B$26:$F$70,5,0),0))</f>
        <v xml:space="preserve"> </v>
      </c>
      <c r="O1007" s="146" t="str">
        <f>IF(F1007&gt;'депозитный калькулятор'!$D$8," ",IF(F1007='депозитный калькулятор'!$D$8,IF(AND($F$24='депозитный калькулятор'!$D$8,'депозитный калькулятор'!$G$13="нет"),-G1007-IF(I1007=" ",0,I1007)-IF(AND(OR('депозитный калькулятор'!$G$7="30/365",'депозитный калькулятор'!$G$7="30/360"),'депозитный калькулятор'!$G$10="в начале срока"),I1006,0)-L1007+M1007-N1007,-G1007-IF(I1007=" ",0,I1007)-L1007+M1007-N1007),IF('депозитный калькулятор'!$G$13="есть",M1007-N1007+IF('депозитный калькулятор'!$G$14="есть",0,-L1007),-IF(I1007=" ",0,I1007)-IF(AND(OR('депозитный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срока"),I1006,0)+M1007-N1007+IF('депозитный калькулятор'!$G$14="есть",0,-L1007))))</f>
        <v xml:space="preserve"> </v>
      </c>
      <c r="P1007" s="147" t="str">
        <f>IF(F1007&gt;'депозитный калькулятор'!$D$8," ",IF(EOMONTH(F1006,0)=F1006,0,IF(G1007&gt;='депозитный калькулятор'!$G$19,P1006,P1006+1)))</f>
        <v xml:space="preserve"> </v>
      </c>
      <c r="Q1007" s="138" t="str">
        <f>IF(F1007=" "," ",IF(AND(OR('депозитный калькулятор'!$G$7="30/365",'депозитный калькулятор'!$G$7="30/360"),AND(MONTH(F1007)=2,EOMONTH(F1007,0)=F1007)),IF(DAY(F1007)=28,3,2),1)*IF(G1007&gt;='депозитный калькулятор'!$G$11,IF(AND('депозитный калькулятор'!$G$7="факт/факт",MOD(YEAR(F1007),4)=0),G1007*'депозитный калькулятор'!$D$11/366,G1007*'депозитный калькулятор'!$G$8),0))</f>
        <v xml:space="preserve"> </v>
      </c>
      <c r="S1007" s="62" t="str">
        <f t="shared" ca="1" si="77"/>
        <v xml:space="preserve"> </v>
      </c>
      <c r="T1007" s="149" t="str">
        <f ca="1">IF(S1007=" "," ",IF('депозитный калькулятор'!$G$7="30/360",DAYS360(U1006,IF(DAY(U1007)=31,U1007-1,U1007))+IF(AND(MONTH(U1007)=2,U1007=EOMONTH(U1007,0)),30-DAY(EOMONTH(U1007,0)))+T1006,VLOOKUP(S1007,$C$22:$F$1023,2,0)))</f>
        <v xml:space="preserve"> </v>
      </c>
      <c r="U1007" s="64" t="str">
        <f t="shared" ca="1" si="75"/>
        <v xml:space="preserve"> </v>
      </c>
      <c r="V1007" s="150" t="str">
        <f t="shared" ca="1" si="78"/>
        <v xml:space="preserve"> </v>
      </c>
      <c r="W1007" s="62" t="str">
        <f t="shared" ca="1" si="79"/>
        <v xml:space="preserve"> </v>
      </c>
      <c r="X1007" s="141" t="str">
        <f ca="1">IF(S1007=" "," ",IFERROR(VLOOKUP(U1007,$F$23:$N$1023,7)+VLOOKUP(U1007,$F$23:$N$1023,9)+IF(AND('депозитный калькулятор'!$G$13="нет",U1007&lt;&gt;'депозитный калькулятор'!$D$8),VLOOKUP(U1007,$F$23:$N$1023,4),0),0)+IF(U1007='депозитный калькулятор'!$D$8,VLOOKUP(U1007,$F$23:$N$1023,2)+VLOOKUP(U1007,$F$23:$N$1023,4),0))</f>
        <v xml:space="preserve"> </v>
      </c>
      <c r="Y1007" s="142" t="str">
        <f ca="1">IF(S1007=" "," ",W1007/(1+'депозитный калькулятор'!$K$8)^(T1007/IF('депозитный калькулятор'!$G$7="30/360",360,365)))</f>
        <v xml:space="preserve"> </v>
      </c>
      <c r="Z1007" s="142" t="str">
        <f ca="1">IF(S1007=" "," ",X1007/(1+'депозитный калькулятор'!$K$8)^(T1007/IF('депозитный калькулятор'!$G$7="30/360",360,365)))</f>
        <v xml:space="preserve"> </v>
      </c>
      <c r="AA1007" s="151"/>
      <c r="AB1007" s="151"/>
      <c r="AC1007" s="155"/>
      <c r="AD1007" s="155"/>
    </row>
    <row r="1008" spans="1:30" s="2" customFormat="1" ht="15.5" x14ac:dyDescent="0.35">
      <c r="A1008" s="41" t="str">
        <f>IF(F1008=" "," ",IF(OR('депозитный калькулятор'!$G$7="30/365",'депозитный калькулятор'!$G$7="30/360"),IF(AND(MONTH(F1008)=2,DAY(F1008)=DAY(EOMONTH(F1008,0))),30-DAY(EOMONTH(F1008,0)),IF(DAY(F1008)=31,1," "))," "))</f>
        <v xml:space="preserve"> </v>
      </c>
      <c r="B1008" s="130" t="str">
        <f t="shared" si="76"/>
        <v xml:space="preserve"> </v>
      </c>
      <c r="C1008" s="130" t="str">
        <f>IF(OR(B1008=0,B1008=" ")," ",SUM($B$23:B1008))</f>
        <v xml:space="preserve"> </v>
      </c>
      <c r="D1008" s="62" t="str">
        <f>IF(D1007=" "," ",IF(OR(F1007='депозитный калькулятор'!$D$8,F1007=" ")," ",D1007+1))</f>
        <v xml:space="preserve"> </v>
      </c>
      <c r="E1008" s="130" t="str">
        <f>IF(OR(F1007='депозитный калькулятор'!$D$8,F1007=" ")," ",IF(EOMONTH(F1007,0)=F1007,1,E1007+1))</f>
        <v xml:space="preserve"> </v>
      </c>
      <c r="F1008" s="64" t="str">
        <f>IF(F1007=" "," ",IF(F1007='депозитный калькулятор'!$D$8," ",F1007+1))</f>
        <v xml:space="preserve"> </v>
      </c>
      <c r="G1008" s="145" t="str">
        <f xml:space="preserve"> IF(F1008&gt;'депозитный калькулятор'!$D$8," ",IF('депозитный калькулятор'!$G$13="есть",IF('депозитный калькулятор'!$G$14="есть",G1007+IF(I1007=" ",0,I1007)-J1008-K1008+L1008+M1008-N1008,G1007+IF(I1007=" ",0,I1007)-J1008-K1008+M1008-N1008),IF('депозитный калькулятор'!$G$14="есть",G1007-J1008-K1008+L1008+M1008-N1008,G1007-J1008-K1008+M1008-N1008)))</f>
        <v xml:space="preserve"> </v>
      </c>
      <c r="H1008" s="133" t="str">
        <f>IF(F1008&gt;'депозитный калькулятор'!$D$8," ",IF(AND(OR('депозитный калькулятор'!$G$7="30/365",'депозитный калькулятор'!$G$7="30/360"),AND(MONTH(F1008)=2,EOMONTH(F1008,0)=F1008)),IF(DAY(F1008)=28,3*G1008*'депозитный калькулятор'!$G$8,2*G1008*'депозитный калькулятор'!$G$8),IF(AND(OR('депозитный калькулятор'!$G$7="30/365",'депозитный калькулятор'!$G$7="30/360"),DAY(F1008)=31)," ",IF(AND('депозитный калькулятор'!$G$7="факт/факт",MOD(YEAR(F1008),4)=0),G1008*'депозитный калькулятор'!$D$11/366,G1008*'депозитный калькулятор'!$G$8))))</f>
        <v xml:space="preserve"> </v>
      </c>
      <c r="I1008" s="134" t="str">
        <f ca="1">IF(F1008=" "," ",IF('депозитный калькулятор'!$G$10="ежедневное",H1008,IF(AND('депозитный калькулятор'!$G$10="еженедельное",WEEKDAY(F1008,2)=7),SUM(OFFSET(H1008,-6,0):H1008),IF(AND('депозитный калькулятор'!$G$10="еженедельное",F1008='депозитный калькулятор'!$D$8),SUM($H$23:H1008)-SUM($I$23:I1007),IF(AND('депозитный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недели",WEEKDAY(F1008,2)=7),MIN(OFFSET(H1008,-6,0):H1008)*(COUNTIF(OFFSET(H1008,-6,0):H1008,"&gt;0")+SUMIF(OFFSET(A1008,-WEEKDAY(F1008,2),0):A1008,"=2",OFFSET(A1008,-WEEKDAY(F1008,2),0):A1008)),IF(AND('депозитный калькулятор'!$G$10="еженедельное, на минимальную сумму зафиксированную в течение недели",F1008='депозитный калькулятор'!$D$8,WEEKDAY(F1008,2)&lt;&gt;7),MIN(OFFSET(H1008,-WEEKDAY(F1008,2),0):H1008)*(COUNTIF(OFFSET(H1008,-WEEKDAY(F1008,2)+1,0):H1008,"&gt;0")+SUM(OFFSET(A1008,-WEEKDAY(F1008,2),0):A1008)),IF(AND('депозитный калькулятор'!$G$10="ежемесячное (в конце месяца)",F1008='депозитный калькулятор'!$D$8,EOMONTH(F1008,0)&lt;&gt;F1008),IF('депозитный калькулятор'!$F$1=1,$H$24,SUM($H$23:H1008)-SUM($I$23:I1007)),IF(AND('депозитный калькулятор'!$G$10="ежемесячное (в конце месяца)",EOMONTH(F1008,0)=F1008),SUM($H$23:H1008)-SUM($I$23:I1007),IF(AND('депозитный калькулятор'!$G$10="ежемесячное (по дням открытия вклада)",F1008='депозитный калькулятор'!$D$8,DAY('депозитный калькулятор'!$D$7)&lt;&gt;DAY(F1008)),IF('депозитный калькулятор'!$F$1=1,$H$24,SUM($H$23:H1008)-SUM($I$23:I1007)),IF(AND('депозитный калькулятор'!$G$10="ежемесячное (по дням открытия вклада)",DAY('депозитный калькулятор'!$D$7)=DAY(F1008)),SUM($H$23:H1008)-SUM($I$23:I1007),IF(AND('депозитный калькулятор'!$G$10="ежемесячное, на минимальную сумму зафиксированную в течение месяца",F1008='депозитный калькулятор'!$D$8,EOMONTH(F1008,0)&lt;&gt;F1008),IF('депозитный калькулятор'!$F$1=1,$H$24,IF(AND(OR('депозитный калькулятор'!$G$7="30/365",'депозитный калькулятор'!$G$7="30/360"),DAY(F1008)=31),0,MIN(OFFSET(H1008,-E1008+1,0):H1008)*(E1008+SUMIF(OFFSET(A1008,-E1008+1,0):A1008,"=2",OFFSET(A1008,-E1008+1,0):A1008)))),IF(AND('депозитный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калькулятор'!$G$7="30/360"),DAY(EOMONTH(F1008,0))=31),EOMONTH(F1008,0)-1=F1008,EOMONTH(F1008,0)=F1008)),IF(IF(AND(OR('депозитный калькулятор'!$G$7="30/365",'депозитный калькулятор'!$G$7="30/360"),DAY(EOMONTH($F$23,0))=31),F1008=EOMONTH($F$23,0)-1,F1008=EOMONTH($F$23,0)),MIN(OFFSET(H1008,-(DAY(F1008)-DAY($F$23)),0):H1008)*E1008,MIN(OFFSET(H1008,-(DAY(F1008)-1),0):H1008)*IF(AND(OR('депозитный калькулятор'!$G$7="30/365",'депозитный калькулятор'!$G$7="30/360"),DAY(F1008)&lt;30),30,DAY(F1008))),IF(AND('депозитный калькулятор'!$G$10="ежемесячное, на средний остаток в течение месяца, при условии что остаток больше чем ограничение",F1008='депозитный калькулятор'!$D$8,EOMONTH(F1008,0)&lt;&gt;F1008),IF('депозитный калькулятор'!$F$1=1,$H$24,SUM(OFFSET(Q1008,-E1008+1,0):Q1008)),IF(AND('депозитный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калькулятор'!$G$7="30/360"),DAY(EOMONTH(F1008,0))=31),EOMONTH(F1008,0)-1=F1008,EOMONTH(F1008,0)=F1008)),IF(IF(AND(OR('депозитный калькулятор'!$G$7="30/365",'депозитный калькулятор'!$G$7="30/360"),DAY(EOMONTH($F$24,0))=31),F1008=EOMONTH($F$24,0)-1,F1008=EOMONTH($F$24,0)),SUM(OFFSET(Q1008,-E1008+1,0):Q1008),SUM(OFFSET(Q1008,-E1008+1,0):Q1008)),IF('депозитный калькулятор'!$G$10="ежеквартальное",IF(F1008&gt;'депозитный калькулятор'!$D$8," ",IF(AND(EOMONTH(F1008,0)=F1008,OR(MONTH(F1008)=3,MONTH(F1008)=6,MONTH(F1008)=9,MONTH(F1008)=12)),IF(EDATE(F1008,-3)&lt;'депозитный калькулятор'!$D$7,SUM($H$23:H1008),IF(MOD(YEAR(F1008),4)=0,IF(AND(EOMONTH(F1008,0)=F1008,OR(MONTH(F1008)=3,MONTH(F1008)=6)),SUM(OFFSET(H1008,-90,0):H1008),IF(AND(EOMONTH(F1008,0)=F1008,OR(MONTH(F1008)=9,MONTH(F1008)=12)),SUM(OFFSET(H1008,-91,0):H1008))),IF(AND(EOMONTH(F1008,0)=F1008,MONTH(F1008)=3),SUM(OFFSET(H1008,-89,0):H1008),IF(AND(EOMONTH(F1008,0)=F1008,MONTH(F1008)=6),SUM(OFFSET(H1008,-90,0):H1008),IF(AND(EOMONTH(F1008,0)=F1008,OR(MONTH(F1008)=9,MONTH(F1008)=12)),SUM(OFFSET(H1008,-91,0):H1008)))))),IF(F1008='депозитный калькулятор'!$D$8,SUM($H$23:H1008)-SUM($I$23:I1007),0))),IF('депозитный калькулятор'!$G$10="ежегодное",IF(F1008&gt;'депозитный калькулятор'!$D$8," ",IF(F1008='депозитный калькулятор'!$D$8,SUM($H$23:H1008)-SUM($I$23:I1007),IF(AND(EOMONTH(F1008,0)=F1008,MONTH(F1008)=12),IF(MOD(YEAR(F1007),4)=0,IF(F1008-'депозитный калькулятор'!$D$7&lt;366,SUM($H$23:H1008),SUM(OFFSET(H1008,-365,0):H1008)),IF(F1008-'депозитный калькулятор'!$D$7&lt;365,SUM($H$23:H1008),SUM(OFFSET(H1008,-364,0):H1008))),0))),IF(AND('депозитный калькулятор'!$G$10="в конце срока",'депозитный калькулятор'!$D$8=F1008),SUM($H$23:H1008),0))))))))))))))))))</f>
        <v xml:space="preserve"> </v>
      </c>
      <c r="J1008" s="59" t="str">
        <f>IF(F1008&gt;'депозитный калькулятор'!$D$8," ",IF('депозитный калькулятор'!$G$16="нет",0,IF(AND('депозитный калькулятор'!$G$17="разовая (в конце срока)",F1008='депозитный калькулятор'!$D$8),'депозитный калькулятор'!$G$18,IF(AND('депозитный калькулятор'!$G$17="ежемесячная",EOMONTH(F1007,0)=F1007),'депозитный калькулятор'!$G$18,IF(AND('депозитный калькулятор'!$G$17="ежегодная",DAY(F1007)=31,MONTH(F1007)=12),'депозитный калькулятор'!$G$18,IF(AND('депозитный калькулятор'!$G$17="ежемесячная в зависимости от остатка",EOMONTH(F1007,0)=F1007,P1007&gt;0),'депозитный калькулятор'!$G$18,IF(AND('депозитный калькулятор'!$G$17="ежегодная в зависимости от остатка",DAY(F1007)=31,MONTH(F1007)=12,P1007&gt;0),'депозитный калькулятор'!$G$18,0)))))))</f>
        <v xml:space="preserve"> </v>
      </c>
      <c r="K1008" s="135" t="str">
        <f>IF($F1008=" "," ",IFERROR(VLOOKUP($F1008,'депозитный калькулятор'!$B$26:$F$70,2,0),0))</f>
        <v xml:space="preserve"> </v>
      </c>
      <c r="L1008" s="135" t="str">
        <f>IF($F1008=" "," ",IFERROR(VLOOKUP($F1008,'депозитный калькулятор'!$B$26:$F$70,3,0),0))</f>
        <v xml:space="preserve"> </v>
      </c>
      <c r="M1008" s="135" t="str">
        <f>IF($F1008=" "," ",IFERROR(VLOOKUP($F1008,'депозитный калькулятор'!$B$26:$F$70,4,0),0))</f>
        <v xml:space="preserve"> </v>
      </c>
      <c r="N1008" s="135" t="str">
        <f>IF($F1008=" "," ",IFERROR(VLOOKUP($F1008,'депозитный калькулятор'!$B$26:$F$70,5,0),0))</f>
        <v xml:space="preserve"> </v>
      </c>
      <c r="O1008" s="146" t="str">
        <f>IF(F1008&gt;'депозитный калькулятор'!$D$8," ",IF(F1008='депозитный калькулятор'!$D$8,IF(AND($F$24='депозитный калькулятор'!$D$8,'депозитный калькулятор'!$G$13="нет"),-G1008-IF(I1008=" ",0,I1008)-IF(AND(OR('депозитный калькулятор'!$G$7="30/365",'депозитный калькулятор'!$G$7="30/360"),'депозитный калькулятор'!$G$10="в начале срока"),I1007,0)-L1008+M1008-N1008,-G1008-IF(I1008=" ",0,I1008)-L1008+M1008-N1008),IF('депозитный калькулятор'!$G$13="есть",M1008-N1008+IF('депозитный калькулятор'!$G$14="есть",0,-L1008),-IF(I1008=" ",0,I1008)-IF(AND(OR('депозитный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срока"),I1007,0)+M1008-N1008+IF('депозитный калькулятор'!$G$14="есть",0,-L1008))))</f>
        <v xml:space="preserve"> </v>
      </c>
      <c r="P1008" s="147" t="str">
        <f>IF(F1008&gt;'депозитный калькулятор'!$D$8," ",IF(EOMONTH(F1007,0)=F1007,0,IF(G1008&gt;='депозитный калькулятор'!$G$19,P1007,P1007+1)))</f>
        <v xml:space="preserve"> </v>
      </c>
      <c r="Q1008" s="138" t="str">
        <f>IF(F1008=" "," ",IF(AND(OR('депозитный калькулятор'!$G$7="30/365",'депозитный калькулятор'!$G$7="30/360"),AND(MONTH(F1008)=2,EOMONTH(F1008,0)=F1008)),IF(DAY(F1008)=28,3,2),1)*IF(G1008&gt;='депозитный калькулятор'!$G$11,IF(AND('депозитный калькулятор'!$G$7="факт/факт",MOD(YEAR(F1008),4)=0),G1008*'депозитный калькулятор'!$D$11/366,G1008*'депозитный калькулятор'!$G$8),0))</f>
        <v xml:space="preserve"> </v>
      </c>
      <c r="S1008" s="62" t="str">
        <f t="shared" ca="1" si="77"/>
        <v xml:space="preserve"> </v>
      </c>
      <c r="T1008" s="149" t="str">
        <f ca="1">IF(S1008=" "," ",IF('депозитный калькулятор'!$G$7="30/360",DAYS360(U1007,IF(DAY(U1008)=31,U1008-1,U1008))+IF(AND(MONTH(U1008)=2,U1008=EOMONTH(U1008,0)),30-DAY(EOMONTH(U1008,0)))+T1007,VLOOKUP(S1008,$C$22:$F$1023,2,0)))</f>
        <v xml:space="preserve"> </v>
      </c>
      <c r="U1008" s="64" t="str">
        <f t="shared" ca="1" si="75"/>
        <v xml:space="preserve"> </v>
      </c>
      <c r="V1008" s="150" t="str">
        <f t="shared" ca="1" si="78"/>
        <v xml:space="preserve"> </v>
      </c>
      <c r="W1008" s="62" t="str">
        <f t="shared" ca="1" si="79"/>
        <v xml:space="preserve"> </v>
      </c>
      <c r="X1008" s="141" t="str">
        <f ca="1">IF(S1008=" "," ",IFERROR(VLOOKUP(U1008,$F$23:$N$1023,7)+VLOOKUP(U1008,$F$23:$N$1023,9)+IF(AND('депозитный калькулятор'!$G$13="нет",U1008&lt;&gt;'депозитный калькулятор'!$D$8),VLOOKUP(U1008,$F$23:$N$1023,4),0),0)+IF(U1008='депозитный калькулятор'!$D$8,VLOOKUP(U1008,$F$23:$N$1023,2)+VLOOKUP(U1008,$F$23:$N$1023,4),0))</f>
        <v xml:space="preserve"> </v>
      </c>
      <c r="Y1008" s="142" t="str">
        <f ca="1">IF(S1008=" "," ",W1008/(1+'депозитный калькулятор'!$K$8)^(T1008/IF('депозитный калькулятор'!$G$7="30/360",360,365)))</f>
        <v xml:space="preserve"> </v>
      </c>
      <c r="Z1008" s="142" t="str">
        <f ca="1">IF(S1008=" "," ",X1008/(1+'депозитный калькулятор'!$K$8)^(T1008/IF('депозитный калькулятор'!$G$7="30/360",360,365)))</f>
        <v xml:space="preserve"> </v>
      </c>
      <c r="AA1008" s="151"/>
      <c r="AB1008" s="151"/>
      <c r="AC1008" s="155"/>
      <c r="AD1008" s="155"/>
    </row>
    <row r="1009" spans="1:34" ht="15.5" x14ac:dyDescent="0.35">
      <c r="A1009" s="41" t="str">
        <f>IF(F1009=" "," ",IF(OR('депозитный калькулятор'!$G$7="30/365",'депозитный калькулятор'!$G$7="30/360"),IF(AND(MONTH(F1009)=2,DAY(F1009)=DAY(EOMONTH(F1009,0))),30-DAY(EOMONTH(F1009,0)),IF(DAY(F1009)=31,1," "))," "))</f>
        <v xml:space="preserve"> </v>
      </c>
      <c r="B1009" s="130" t="str">
        <f t="shared" si="76"/>
        <v xml:space="preserve"> </v>
      </c>
      <c r="C1009" s="130" t="str">
        <f>IF(OR(B1009=0,B1009=" ")," ",SUM($B$23:B1009))</f>
        <v xml:space="preserve"> </v>
      </c>
      <c r="D1009" s="62" t="str">
        <f>IF(D1008=" "," ",IF(OR(F1008='депозитный калькулятор'!$D$8,F1008=" ")," ",D1008+1))</f>
        <v xml:space="preserve"> </v>
      </c>
      <c r="E1009" s="130" t="str">
        <f>IF(OR(F1008='депозитный калькулятор'!$D$8,F1008=" ")," ",IF(EOMONTH(F1008,0)=F1008,1,E1008+1))</f>
        <v xml:space="preserve"> </v>
      </c>
      <c r="F1009" s="64" t="str">
        <f>IF(F1008=" "," ",IF(F1008='депозитный калькулятор'!$D$8," ",F1008+1))</f>
        <v xml:space="preserve"> </v>
      </c>
      <c r="G1009" s="145" t="str">
        <f xml:space="preserve"> IF(F1009&gt;'депозитный калькулятор'!$D$8," ",IF('депозитный калькулятор'!$G$13="есть",IF('депозитный калькулятор'!$G$14="есть",G1008+IF(I1008=" ",0,I1008)-J1009-K1009+L1009+M1009-N1009,G1008+IF(I1008=" ",0,I1008)-J1009-K1009+M1009-N1009),IF('депозитный калькулятор'!$G$14="есть",G1008-J1009-K1009+L1009+M1009-N1009,G1008-J1009-K1009+M1009-N1009)))</f>
        <v xml:space="preserve"> </v>
      </c>
      <c r="H1009" s="133" t="str">
        <f>IF(F1009&gt;'депозитный калькулятор'!$D$8," ",IF(AND(OR('депозитный калькулятор'!$G$7="30/365",'депозитный калькулятор'!$G$7="30/360"),AND(MONTH(F1009)=2,EOMONTH(F1009,0)=F1009)),IF(DAY(F1009)=28,3*G1009*'депозитный калькулятор'!$G$8,2*G1009*'депозитный калькулятор'!$G$8),IF(AND(OR('депозитный калькулятор'!$G$7="30/365",'депозитный калькулятор'!$G$7="30/360"),DAY(F1009)=31)," ",IF(AND('депозитный калькулятор'!$G$7="факт/факт",MOD(YEAR(F1009),4)=0),G1009*'депозитный калькулятор'!$D$11/366,G1009*'депозитный калькулятор'!$G$8))))</f>
        <v xml:space="preserve"> </v>
      </c>
      <c r="I1009" s="134" t="str">
        <f ca="1">IF(F1009=" "," ",IF('депозитный калькулятор'!$G$10="ежедневное",H1009,IF(AND('депозитный калькулятор'!$G$10="еженедельное",WEEKDAY(F1009,2)=7),SUM(OFFSET(H1009,-6,0):H1009),IF(AND('депозитный калькулятор'!$G$10="еженедельное",F1009='депозитный калькулятор'!$D$8),SUM($H$23:H1009)-SUM($I$23:I1008),IF(AND('депозитный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недели",WEEKDAY(F1009,2)=7),MIN(OFFSET(H1009,-6,0):H1009)*(COUNTIF(OFFSET(H1009,-6,0):H1009,"&gt;0")+SUMIF(OFFSET(A1009,-WEEKDAY(F1009,2),0):A1009,"=2",OFFSET(A1009,-WEEKDAY(F1009,2),0):A1009)),IF(AND('депозитный калькулятор'!$G$10="еженедельное, на минимальную сумму зафиксированную в течение недели",F1009='депозитный калькулятор'!$D$8,WEEKDAY(F1009,2)&lt;&gt;7),MIN(OFFSET(H1009,-WEEKDAY(F1009,2),0):H1009)*(COUNTIF(OFFSET(H1009,-WEEKDAY(F1009,2)+1,0):H1009,"&gt;0")+SUM(OFFSET(A1009,-WEEKDAY(F1009,2),0):A1009)),IF(AND('депозитный калькулятор'!$G$10="ежемесячное (в конце месяца)",F1009='депозитный калькулятор'!$D$8,EOMONTH(F1009,0)&lt;&gt;F1009),IF('депозитный калькулятор'!$F$1=1,$H$24,SUM($H$23:H1009)-SUM($I$23:I1008)),IF(AND('депозитный калькулятор'!$G$10="ежемесячное (в конце месяца)",EOMONTH(F1009,0)=F1009),SUM($H$23:H1009)-SUM($I$23:I1008),IF(AND('депозитный калькулятор'!$G$10="ежемесячное (по дням открытия вклада)",F1009='депозитный калькулятор'!$D$8,DAY('депозитный калькулятор'!$D$7)&lt;&gt;DAY(F1009)),IF('депозитный калькулятор'!$F$1=1,$H$24,SUM($H$23:H1009)-SUM($I$23:I1008)),IF(AND('депозитный калькулятор'!$G$10="ежемесячное (по дням открытия вклада)",DAY('депозитный калькулятор'!$D$7)=DAY(F1009)),SUM($H$23:H1009)-SUM($I$23:I1008),IF(AND('депозитный калькулятор'!$G$10="ежемесячное, на минимальную сумму зафиксированную в течение месяца",F1009='депозитный калькулятор'!$D$8,EOMONTH(F1009,0)&lt;&gt;F1009),IF('депозитный калькулятор'!$F$1=1,$H$24,IF(AND(OR('депозитный калькулятор'!$G$7="30/365",'депозитный калькулятор'!$G$7="30/360"),DAY(F1009)=31),0,MIN(OFFSET(H1009,-E1009+1,0):H1009)*(E1009+SUMIF(OFFSET(A1009,-E1009+1,0):A1009,"=2",OFFSET(A1009,-E1009+1,0):A1009)))),IF(AND('депозитный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калькулятор'!$G$7="30/360"),DAY(EOMONTH(F1009,0))=31),EOMONTH(F1009,0)-1=F1009,EOMONTH(F1009,0)=F1009)),IF(IF(AND(OR('депозитный калькулятор'!$G$7="30/365",'депозитный калькулятор'!$G$7="30/360"),DAY(EOMONTH($F$23,0))=31),F1009=EOMONTH($F$23,0)-1,F1009=EOMONTH($F$23,0)),MIN(OFFSET(H1009,-(DAY(F1009)-DAY($F$23)),0):H1009)*E1009,MIN(OFFSET(H1009,-(DAY(F1009)-1),0):H1009)*IF(AND(OR('депозитный калькулятор'!$G$7="30/365",'депозитный калькулятор'!$G$7="30/360"),DAY(F1009)&lt;30),30,DAY(F1009))),IF(AND('депозитный калькулятор'!$G$10="ежемесячное, на средний остаток в течение месяца, при условии что остаток больше чем ограничение",F1009='депозитный калькулятор'!$D$8,EOMONTH(F1009,0)&lt;&gt;F1009),IF('депозитный калькулятор'!$F$1=1,$H$24,SUM(OFFSET(Q1009,-E1009+1,0):Q1009)),IF(AND('депозитный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калькулятор'!$G$7="30/360"),DAY(EOMONTH(F1009,0))=31),EOMONTH(F1009,0)-1=F1009,EOMONTH(F1009,0)=F1009)),IF(IF(AND(OR('депозитный калькулятор'!$G$7="30/365",'депозитный калькулятор'!$G$7="30/360"),DAY(EOMONTH($F$24,0))=31),F1009=EOMONTH($F$24,0)-1,F1009=EOMONTH($F$24,0)),SUM(OFFSET(Q1009,-E1009+1,0):Q1009),SUM(OFFSET(Q1009,-E1009+1,0):Q1009)),IF('депозитный калькулятор'!$G$10="ежеквартальное",IF(F1009&gt;'депозитный калькулятор'!$D$8," ",IF(AND(EOMONTH(F1009,0)=F1009,OR(MONTH(F1009)=3,MONTH(F1009)=6,MONTH(F1009)=9,MONTH(F1009)=12)),IF(EDATE(F1009,-3)&lt;'депозитный калькулятор'!$D$7,SUM($H$23:H1009),IF(MOD(YEAR(F1009),4)=0,IF(AND(EOMONTH(F1009,0)=F1009,OR(MONTH(F1009)=3,MONTH(F1009)=6)),SUM(OFFSET(H1009,-90,0):H1009),IF(AND(EOMONTH(F1009,0)=F1009,OR(MONTH(F1009)=9,MONTH(F1009)=12)),SUM(OFFSET(H1009,-91,0):H1009))),IF(AND(EOMONTH(F1009,0)=F1009,MONTH(F1009)=3),SUM(OFFSET(H1009,-89,0):H1009),IF(AND(EOMONTH(F1009,0)=F1009,MONTH(F1009)=6),SUM(OFFSET(H1009,-90,0):H1009),IF(AND(EOMONTH(F1009,0)=F1009,OR(MONTH(F1009)=9,MONTH(F1009)=12)),SUM(OFFSET(H1009,-91,0):H1009)))))),IF(F1009='депозитный калькулятор'!$D$8,SUM($H$23:H1009)-SUM($I$23:I1008),0))),IF('депозитный калькулятор'!$G$10="ежегодное",IF(F1009&gt;'депозитный калькулятор'!$D$8," ",IF(F1009='депозитный калькулятор'!$D$8,SUM($H$23:H1009)-SUM($I$23:I1008),IF(AND(EOMONTH(F1009,0)=F1009,MONTH(F1009)=12),IF(MOD(YEAR(F1008),4)=0,IF(F1009-'депозитный калькулятор'!$D$7&lt;366,SUM($H$23:H1009),SUM(OFFSET(H1009,-365,0):H1009)),IF(F1009-'депозитный калькулятор'!$D$7&lt;365,SUM($H$23:H1009),SUM(OFFSET(H1009,-364,0):H1009))),0))),IF(AND('депозитный калькулятор'!$G$10="в конце срока",'депозитный калькулятор'!$D$8=F1009),SUM($H$23:H1009),0))))))))))))))))))</f>
        <v xml:space="preserve"> </v>
      </c>
      <c r="J1009" s="59" t="str">
        <f>IF(F1009&gt;'депозитный калькулятор'!$D$8," ",IF('депозитный калькулятор'!$G$16="нет",0,IF(AND('депозитный калькулятор'!$G$17="разовая (в конце срока)",F1009='депозитный калькулятор'!$D$8),'депозитный калькулятор'!$G$18,IF(AND('депозитный калькулятор'!$G$17="ежемесячная",EOMONTH(F1008,0)=F1008),'депозитный калькулятор'!$G$18,IF(AND('депозитный калькулятор'!$G$17="ежегодная",DAY(F1008)=31,MONTH(F1008)=12),'депозитный калькулятор'!$G$18,IF(AND('депозитный калькулятор'!$G$17="ежемесячная в зависимости от остатка",EOMONTH(F1008,0)=F1008,P1008&gt;0),'депозитный калькулятор'!$G$18,IF(AND('депозитный калькулятор'!$G$17="ежегодная в зависимости от остатка",DAY(F1008)=31,MONTH(F1008)=12,P1008&gt;0),'депозитный калькулятор'!$G$18,0)))))))</f>
        <v xml:space="preserve"> </v>
      </c>
      <c r="K1009" s="135" t="str">
        <f>IF($F1009=" "," ",IFERROR(VLOOKUP($F1009,'депозитный калькулятор'!$B$26:$F$70,2,0),0))</f>
        <v xml:space="preserve"> </v>
      </c>
      <c r="L1009" s="135" t="str">
        <f>IF($F1009=" "," ",IFERROR(VLOOKUP($F1009,'депозитный калькулятор'!$B$26:$F$70,3,0),0))</f>
        <v xml:space="preserve"> </v>
      </c>
      <c r="M1009" s="135" t="str">
        <f>IF($F1009=" "," ",IFERROR(VLOOKUP($F1009,'депозитный калькулятор'!$B$26:$F$70,4,0),0))</f>
        <v xml:space="preserve"> </v>
      </c>
      <c r="N1009" s="135" t="str">
        <f>IF($F1009=" "," ",IFERROR(VLOOKUP($F1009,'депозитный калькулятор'!$B$26:$F$70,5,0),0))</f>
        <v xml:space="preserve"> </v>
      </c>
      <c r="O1009" s="146" t="str">
        <f>IF(F1009&gt;'депозитный калькулятор'!$D$8," ",IF(F1009='депозитный калькулятор'!$D$8,IF(AND($F$24='депозитный калькулятор'!$D$8,'депозитный калькулятор'!$G$13="нет"),-G1009-IF(I1009=" ",0,I1009)-IF(AND(OR('депозитный калькулятор'!$G$7="30/365",'депозитный калькулятор'!$G$7="30/360"),'депозитный калькулятор'!$G$10="в начале срока"),I1008,0)-L1009+M1009-N1009,-G1009-IF(I1009=" ",0,I1009)-L1009+M1009-N1009),IF('депозитный калькулятор'!$G$13="есть",M1009-N1009+IF('депозитный калькулятор'!$G$14="есть",0,-L1009),-IF(I1009=" ",0,I1009)-IF(AND(OR('депозитный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срока"),I1008,0)+M1009-N1009+IF('депозитный калькулятор'!$G$14="есть",0,-L1009))))</f>
        <v xml:space="preserve"> </v>
      </c>
      <c r="P1009" s="147" t="str">
        <f>IF(F1009&gt;'депозитный калькулятор'!$D$8," ",IF(EOMONTH(F1008,0)=F1008,0,IF(G1009&gt;='депозитный калькулятор'!$G$19,P1008,P1008+1)))</f>
        <v xml:space="preserve"> </v>
      </c>
      <c r="Q1009" s="138" t="str">
        <f>IF(F1009=" "," ",IF(AND(OR('депозитный калькулятор'!$G$7="30/365",'депозитный калькулятор'!$G$7="30/360"),AND(MONTH(F1009)=2,EOMONTH(F1009,0)=F1009)),IF(DAY(F1009)=28,3,2),1)*IF(G1009&gt;='депозитный калькулятор'!$G$11,IF(AND('депозитный калькулятор'!$G$7="факт/факт",MOD(YEAR(F1009),4)=0),G1009*'депозитный калькулятор'!$D$11/366,G1009*'депозитный калькулятор'!$G$8),0))</f>
        <v xml:space="preserve"> </v>
      </c>
      <c r="S1009" s="62" t="str">
        <f t="shared" ca="1" si="77"/>
        <v xml:space="preserve"> </v>
      </c>
      <c r="T1009" s="149" t="str">
        <f ca="1">IF(S1009=" "," ",IF('депозитный калькулятор'!$G$7="30/360",DAYS360(U1008,IF(DAY(U1009)=31,U1009-1,U1009))+IF(AND(MONTH(U1009)=2,U1009=EOMONTH(U1009,0)),30-DAY(EOMONTH(U1009,0)))+T1008,VLOOKUP(S1009,$C$22:$F$1023,2,0)))</f>
        <v xml:space="preserve"> </v>
      </c>
      <c r="U1009" s="64" t="str">
        <f t="shared" ca="1" si="75"/>
        <v xml:space="preserve"> </v>
      </c>
      <c r="V1009" s="150" t="str">
        <f t="shared" ca="1" si="78"/>
        <v xml:space="preserve"> </v>
      </c>
      <c r="W1009" s="62" t="str">
        <f t="shared" ca="1" si="79"/>
        <v xml:space="preserve"> </v>
      </c>
      <c r="X1009" s="141" t="str">
        <f ca="1">IF(S1009=" "," ",IFERROR(VLOOKUP(U1009,$F$23:$N$1023,7)+VLOOKUP(U1009,$F$23:$N$1023,9)+IF(AND('депозитный калькулятор'!$G$13="нет",U1009&lt;&gt;'депозитный калькулятор'!$D$8),VLOOKUP(U1009,$F$23:$N$1023,4),0),0)+IF(U1009='депозитный калькулятор'!$D$8,VLOOKUP(U1009,$F$23:$N$1023,2)+VLOOKUP(U1009,$F$23:$N$1023,4),0))</f>
        <v xml:space="preserve"> </v>
      </c>
      <c r="Y1009" s="142" t="str">
        <f ca="1">IF(S1009=" "," ",W1009/(1+'депозитный калькулятор'!$K$8)^(T1009/IF('депозитный калькулятор'!$G$7="30/360",360,365)))</f>
        <v xml:space="preserve"> </v>
      </c>
      <c r="Z1009" s="142" t="str">
        <f ca="1">IF(S1009=" "," ",X1009/(1+'депозитный калькулятор'!$K$8)^(T1009/IF('депозитный калькулятор'!$G$7="30/360",360,365)))</f>
        <v xml:space="preserve"> </v>
      </c>
      <c r="AA1009" s="151"/>
      <c r="AB1009" s="151"/>
      <c r="AC1009" s="155"/>
      <c r="AD1009" s="155"/>
      <c r="AF1009" s="2"/>
      <c r="AG1009" s="2"/>
      <c r="AH1009" s="2"/>
    </row>
    <row r="1010" spans="1:34" ht="15.5" x14ac:dyDescent="0.35">
      <c r="A1010" s="41" t="str">
        <f>IF(F1010=" "," ",IF(OR('депозитный калькулятор'!$G$7="30/365",'депозитный калькулятор'!$G$7="30/360"),IF(AND(MONTH(F1010)=2,DAY(F1010)=DAY(EOMONTH(F1010,0))),30-DAY(EOMONTH(F1010,0)),IF(DAY(F1010)=31,1," "))," "))</f>
        <v xml:space="preserve"> </v>
      </c>
      <c r="B1010" s="130" t="str">
        <f t="shared" si="76"/>
        <v xml:space="preserve"> </v>
      </c>
      <c r="C1010" s="130" t="str">
        <f>IF(OR(B1010=0,B1010=" ")," ",SUM($B$23:B1010))</f>
        <v xml:space="preserve"> </v>
      </c>
      <c r="D1010" s="62" t="str">
        <f>IF(D1009=" "," ",IF(OR(F1009='депозитный калькулятор'!$D$8,F1009=" ")," ",D1009+1))</f>
        <v xml:space="preserve"> </v>
      </c>
      <c r="E1010" s="130" t="str">
        <f>IF(OR(F1009='депозитный калькулятор'!$D$8,F1009=" ")," ",IF(EOMONTH(F1009,0)=F1009,1,E1009+1))</f>
        <v xml:space="preserve"> </v>
      </c>
      <c r="F1010" s="64" t="str">
        <f>IF(F1009=" "," ",IF(F1009='депозитный калькулятор'!$D$8," ",F1009+1))</f>
        <v xml:space="preserve"> </v>
      </c>
      <c r="G1010" s="145" t="str">
        <f xml:space="preserve"> IF(F1010&gt;'депозитный калькулятор'!$D$8," ",IF('депозитный калькулятор'!$G$13="есть",IF('депозитный калькулятор'!$G$14="есть",G1009+IF(I1009=" ",0,I1009)-J1010-K1010+L1010+M1010-N1010,G1009+IF(I1009=" ",0,I1009)-J1010-K1010+M1010-N1010),IF('депозитный калькулятор'!$G$14="есть",G1009-J1010-K1010+L1010+M1010-N1010,G1009-J1010-K1010+M1010-N1010)))</f>
        <v xml:space="preserve"> </v>
      </c>
      <c r="H1010" s="133" t="str">
        <f>IF(F1010&gt;'депозитный калькулятор'!$D$8," ",IF(AND(OR('депозитный калькулятор'!$G$7="30/365",'депозитный калькулятор'!$G$7="30/360"),AND(MONTH(F1010)=2,EOMONTH(F1010,0)=F1010)),IF(DAY(F1010)=28,3*G1010*'депозитный калькулятор'!$G$8,2*G1010*'депозитный калькулятор'!$G$8),IF(AND(OR('депозитный калькулятор'!$G$7="30/365",'депозитный калькулятор'!$G$7="30/360"),DAY(F1010)=31)," ",IF(AND('депозитный калькулятор'!$G$7="факт/факт",MOD(YEAR(F1010),4)=0),G1010*'депозитный калькулятор'!$D$11/366,G1010*'депозитный калькулятор'!$G$8))))</f>
        <v xml:space="preserve"> </v>
      </c>
      <c r="I1010" s="134" t="str">
        <f ca="1">IF(F1010=" "," ",IF('депозитный калькулятор'!$G$10="ежедневное",H1010,IF(AND('депозитный калькулятор'!$G$10="еженедельное",WEEKDAY(F1010,2)=7),SUM(OFFSET(H1010,-6,0):H1010),IF(AND('депозитный калькулятор'!$G$10="еженедельное",F1010='депозитный калькулятор'!$D$8),SUM($H$23:H1010)-SUM($I$23:I1009),IF(AND('депозитный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недели",WEEKDAY(F1010,2)=7),MIN(OFFSET(H1010,-6,0):H1010)*(COUNTIF(OFFSET(H1010,-6,0):H1010,"&gt;0")+SUMIF(OFFSET(A1010,-WEEKDAY(F1010,2),0):A1010,"=2",OFFSET(A1010,-WEEKDAY(F1010,2),0):A1010)),IF(AND('депозитный калькулятор'!$G$10="еженедельное, на минимальную сумму зафиксированную в течение недели",F1010='депозитный калькулятор'!$D$8,WEEKDAY(F1010,2)&lt;&gt;7),MIN(OFFSET(H1010,-WEEKDAY(F1010,2),0):H1010)*(COUNTIF(OFFSET(H1010,-WEEKDAY(F1010,2)+1,0):H1010,"&gt;0")+SUM(OFFSET(A1010,-WEEKDAY(F1010,2),0):A1010)),IF(AND('депозитный калькулятор'!$G$10="ежемесячное (в конце месяца)",F1010='депозитный калькулятор'!$D$8,EOMONTH(F1010,0)&lt;&gt;F1010),IF('депозитный калькулятор'!$F$1=1,$H$24,SUM($H$23:H1010)-SUM($I$23:I1009)),IF(AND('депозитный калькулятор'!$G$10="ежемесячное (в конце месяца)",EOMONTH(F1010,0)=F1010),SUM($H$23:H1010)-SUM($I$23:I1009),IF(AND('депозитный калькулятор'!$G$10="ежемесячное (по дням открытия вклада)",F1010='депозитный калькулятор'!$D$8,DAY('депозитный калькулятор'!$D$7)&lt;&gt;DAY(F1010)),IF('депозитный калькулятор'!$F$1=1,$H$24,SUM($H$23:H1010)-SUM($I$23:I1009)),IF(AND('депозитный калькулятор'!$G$10="ежемесячное (по дням открытия вклада)",DAY('депозитный калькулятор'!$D$7)=DAY(F1010)),SUM($H$23:H1010)-SUM($I$23:I1009),IF(AND('депозитный калькулятор'!$G$10="ежемесячное, на минимальную сумму зафиксированную в течение месяца",F1010='депозитный калькулятор'!$D$8,EOMONTH(F1010,0)&lt;&gt;F1010),IF('депозитный калькулятор'!$F$1=1,$H$24,IF(AND(OR('депозитный калькулятор'!$G$7="30/365",'депозитный калькулятор'!$G$7="30/360"),DAY(F1010)=31),0,MIN(OFFSET(H1010,-E1010+1,0):H1010)*(E1010+SUMIF(OFFSET(A1010,-E1010+1,0):A1010,"=2",OFFSET(A1010,-E1010+1,0):A1010)))),IF(AND('депозитный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калькулятор'!$G$7="30/360"),DAY(EOMONTH(F1010,0))=31),EOMONTH(F1010,0)-1=F1010,EOMONTH(F1010,0)=F1010)),IF(IF(AND(OR('депозитный калькулятор'!$G$7="30/365",'депозитный калькулятор'!$G$7="30/360"),DAY(EOMONTH($F$23,0))=31),F1010=EOMONTH($F$23,0)-1,F1010=EOMONTH($F$23,0)),MIN(OFFSET(H1010,-(DAY(F1010)-DAY($F$23)),0):H1010)*E1010,MIN(OFFSET(H1010,-(DAY(F1010)-1),0):H1010)*IF(AND(OR('депозитный калькулятор'!$G$7="30/365",'депозитный калькулятор'!$G$7="30/360"),DAY(F1010)&lt;30),30,DAY(F1010))),IF(AND('депозитный калькулятор'!$G$10="ежемесячное, на средний остаток в течение месяца, при условии что остаток больше чем ограничение",F1010='депозитный калькулятор'!$D$8,EOMONTH(F1010,0)&lt;&gt;F1010),IF('депозитный калькулятор'!$F$1=1,$H$24,SUM(OFFSET(Q1010,-E1010+1,0):Q1010)),IF(AND('депозитный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калькулятор'!$G$7="30/360"),DAY(EOMONTH(F1010,0))=31),EOMONTH(F1010,0)-1=F1010,EOMONTH(F1010,0)=F1010)),IF(IF(AND(OR('депозитный калькулятор'!$G$7="30/365",'депозитный калькулятор'!$G$7="30/360"),DAY(EOMONTH($F$24,0))=31),F1010=EOMONTH($F$24,0)-1,F1010=EOMONTH($F$24,0)),SUM(OFFSET(Q1010,-E1010+1,0):Q1010),SUM(OFFSET(Q1010,-E1010+1,0):Q1010)),IF('депозитный калькулятор'!$G$10="ежеквартальное",IF(F1010&gt;'депозитный калькулятор'!$D$8," ",IF(AND(EOMONTH(F1010,0)=F1010,OR(MONTH(F1010)=3,MONTH(F1010)=6,MONTH(F1010)=9,MONTH(F1010)=12)),IF(EDATE(F1010,-3)&lt;'депозитный калькулятор'!$D$7,SUM($H$23:H1010),IF(MOD(YEAR(F1010),4)=0,IF(AND(EOMONTH(F1010,0)=F1010,OR(MONTH(F1010)=3,MONTH(F1010)=6)),SUM(OFFSET(H1010,-90,0):H1010),IF(AND(EOMONTH(F1010,0)=F1010,OR(MONTH(F1010)=9,MONTH(F1010)=12)),SUM(OFFSET(H1010,-91,0):H1010))),IF(AND(EOMONTH(F1010,0)=F1010,MONTH(F1010)=3),SUM(OFFSET(H1010,-89,0):H1010),IF(AND(EOMONTH(F1010,0)=F1010,MONTH(F1010)=6),SUM(OFFSET(H1010,-90,0):H1010),IF(AND(EOMONTH(F1010,0)=F1010,OR(MONTH(F1010)=9,MONTH(F1010)=12)),SUM(OFFSET(H1010,-91,0):H1010)))))),IF(F1010='депозитный калькулятор'!$D$8,SUM($H$23:H1010)-SUM($I$23:I1009),0))),IF('депозитный калькулятор'!$G$10="ежегодное",IF(F1010&gt;'депозитный калькулятор'!$D$8," ",IF(F1010='депозитный калькулятор'!$D$8,SUM($H$23:H1010)-SUM($I$23:I1009),IF(AND(EOMONTH(F1010,0)=F1010,MONTH(F1010)=12),IF(MOD(YEAR(F1009),4)=0,IF(F1010-'депозитный калькулятор'!$D$7&lt;366,SUM($H$23:H1010),SUM(OFFSET(H1010,-365,0):H1010)),IF(F1010-'депозитный калькулятор'!$D$7&lt;365,SUM($H$23:H1010),SUM(OFFSET(H1010,-364,0):H1010))),0))),IF(AND('депозитный калькулятор'!$G$10="в конце срока",'депозитный калькулятор'!$D$8=F1010),SUM($H$23:H1010),0))))))))))))))))))</f>
        <v xml:space="preserve"> </v>
      </c>
      <c r="J1010" s="59" t="str">
        <f>IF(F1010&gt;'депозитный калькулятор'!$D$8," ",IF('депозитный калькулятор'!$G$16="нет",0,IF(AND('депозитный калькулятор'!$G$17="разовая (в конце срока)",F1010='депозитный калькулятор'!$D$8),'депозитный калькулятор'!$G$18,IF(AND('депозитный калькулятор'!$G$17="ежемесячная",EOMONTH(F1009,0)=F1009),'депозитный калькулятор'!$G$18,IF(AND('депозитный калькулятор'!$G$17="ежегодная",DAY(F1009)=31,MONTH(F1009)=12),'депозитный калькулятор'!$G$18,IF(AND('депозитный калькулятор'!$G$17="ежемесячная в зависимости от остатка",EOMONTH(F1009,0)=F1009,P1009&gt;0),'депозитный калькулятор'!$G$18,IF(AND('депозитный калькулятор'!$G$17="ежегодная в зависимости от остатка",DAY(F1009)=31,MONTH(F1009)=12,P1009&gt;0),'депозитный калькулятор'!$G$18,0)))))))</f>
        <v xml:space="preserve"> </v>
      </c>
      <c r="K1010" s="135" t="str">
        <f>IF($F1010=" "," ",IFERROR(VLOOKUP($F1010,'депозитный калькулятор'!$B$26:$F$70,2,0),0))</f>
        <v xml:space="preserve"> </v>
      </c>
      <c r="L1010" s="135" t="str">
        <f>IF($F1010=" "," ",IFERROR(VLOOKUP($F1010,'депозитный калькулятор'!$B$26:$F$70,3,0),0))</f>
        <v xml:space="preserve"> </v>
      </c>
      <c r="M1010" s="135" t="str">
        <f>IF($F1010=" "," ",IFERROR(VLOOKUP($F1010,'депозитный калькулятор'!$B$26:$F$70,4,0),0))</f>
        <v xml:space="preserve"> </v>
      </c>
      <c r="N1010" s="135" t="str">
        <f>IF($F1010=" "," ",IFERROR(VLOOKUP($F1010,'депозитный калькулятор'!$B$26:$F$70,5,0),0))</f>
        <v xml:space="preserve"> </v>
      </c>
      <c r="O1010" s="146" t="str">
        <f>IF(F1010&gt;'депозитный калькулятор'!$D$8," ",IF(F1010='депозитный калькулятор'!$D$8,IF(AND($F$24='депозитный калькулятор'!$D$8,'депозитный калькулятор'!$G$13="нет"),-G1010-IF(I1010=" ",0,I1010)-IF(AND(OR('депозитный калькулятор'!$G$7="30/365",'депозитный калькулятор'!$G$7="30/360"),'депозитный калькулятор'!$G$10="в начале срока"),I1009,0)-L1010+M1010-N1010,-G1010-IF(I1010=" ",0,I1010)-L1010+M1010-N1010),IF('депозитный калькулятор'!$G$13="есть",M1010-N1010+IF('депозитный калькулятор'!$G$14="есть",0,-L1010),-IF(I1010=" ",0,I1010)-IF(AND(OR('депозитный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срока"),I1009,0)+M1010-N1010+IF('депозитный калькулятор'!$G$14="есть",0,-L1010))))</f>
        <v xml:space="preserve"> </v>
      </c>
      <c r="P1010" s="147" t="str">
        <f>IF(F1010&gt;'депозитный калькулятор'!$D$8," ",IF(EOMONTH(F1009,0)=F1009,0,IF(G1010&gt;='депозитный калькулятор'!$G$19,P1009,P1009+1)))</f>
        <v xml:space="preserve"> </v>
      </c>
      <c r="Q1010" s="138" t="str">
        <f>IF(F1010=" "," ",IF(AND(OR('депозитный калькулятор'!$G$7="30/365",'депозитный калькулятор'!$G$7="30/360"),AND(MONTH(F1010)=2,EOMONTH(F1010,0)=F1010)),IF(DAY(F1010)=28,3,2),1)*IF(G1010&gt;='депозитный калькулятор'!$G$11,IF(AND('депозитный калькулятор'!$G$7="факт/факт",MOD(YEAR(F1010),4)=0),G1010*'депозитный калькулятор'!$D$11/366,G1010*'депозитный калькулятор'!$G$8),0))</f>
        <v xml:space="preserve"> </v>
      </c>
      <c r="S1010" s="62" t="str">
        <f t="shared" ca="1" si="77"/>
        <v xml:space="preserve"> </v>
      </c>
      <c r="T1010" s="149" t="str">
        <f ca="1">IF(S1010=" "," ",IF('депозитный калькулятор'!$G$7="30/360",DAYS360(U1009,IF(DAY(U1010)=31,U1010-1,U1010))+IF(AND(MONTH(U1010)=2,U1010=EOMONTH(U1010,0)),30-DAY(EOMONTH(U1010,0)))+T1009,VLOOKUP(S1010,$C$22:$F$1023,2,0)))</f>
        <v xml:space="preserve"> </v>
      </c>
      <c r="U1010" s="64" t="str">
        <f t="shared" ca="1" si="75"/>
        <v xml:space="preserve"> </v>
      </c>
      <c r="V1010" s="150" t="str">
        <f t="shared" ca="1" si="78"/>
        <v xml:space="preserve"> </v>
      </c>
      <c r="W1010" s="62" t="str">
        <f t="shared" ca="1" si="79"/>
        <v xml:space="preserve"> </v>
      </c>
      <c r="X1010" s="141" t="str">
        <f ca="1">IF(S1010=" "," ",IFERROR(VLOOKUP(U1010,$F$23:$N$1023,7)+VLOOKUP(U1010,$F$23:$N$1023,9)+IF(AND('депозитный калькулятор'!$G$13="нет",U1010&lt;&gt;'депозитный калькулятор'!$D$8),VLOOKUP(U1010,$F$23:$N$1023,4),0),0)+IF(U1010='депозитный калькулятор'!$D$8,VLOOKUP(U1010,$F$23:$N$1023,2)+VLOOKUP(U1010,$F$23:$N$1023,4),0))</f>
        <v xml:space="preserve"> </v>
      </c>
      <c r="Y1010" s="142" t="str">
        <f ca="1">IF(S1010=" "," ",W1010/(1+'депозитный калькулятор'!$K$8)^(T1010/IF('депозитный калькулятор'!$G$7="30/360",360,365)))</f>
        <v xml:space="preserve"> </v>
      </c>
      <c r="Z1010" s="142" t="str">
        <f ca="1">IF(S1010=" "," ",X1010/(1+'депозитный калькулятор'!$K$8)^(T1010/IF('депозитный калькулятор'!$G$7="30/360",360,365)))</f>
        <v xml:space="preserve"> </v>
      </c>
      <c r="AA1010" s="151"/>
      <c r="AB1010" s="151"/>
      <c r="AC1010" s="155"/>
      <c r="AD1010" s="155"/>
      <c r="AF1010" s="2"/>
      <c r="AG1010" s="2"/>
      <c r="AH1010" s="2"/>
    </row>
    <row r="1011" spans="1:34" ht="15.5" x14ac:dyDescent="0.35">
      <c r="A1011" s="41" t="str">
        <f>IF(F1011=" "," ",IF(OR('депозитный калькулятор'!$G$7="30/365",'депозитный калькулятор'!$G$7="30/360"),IF(AND(MONTH(F1011)=2,DAY(F1011)=DAY(EOMONTH(F1011,0))),30-DAY(EOMONTH(F1011,0)),IF(DAY(F1011)=31,1," "))," "))</f>
        <v xml:space="preserve"> </v>
      </c>
      <c r="B1011" s="130" t="str">
        <f t="shared" si="76"/>
        <v xml:space="preserve"> </v>
      </c>
      <c r="C1011" s="130" t="str">
        <f>IF(OR(B1011=0,B1011=" ")," ",SUM($B$23:B1011))</f>
        <v xml:space="preserve"> </v>
      </c>
      <c r="D1011" s="62" t="str">
        <f>IF(D1010=" "," ",IF(OR(F1010='депозитный калькулятор'!$D$8,F1010=" ")," ",D1010+1))</f>
        <v xml:space="preserve"> </v>
      </c>
      <c r="E1011" s="130" t="str">
        <f>IF(OR(F1010='депозитный калькулятор'!$D$8,F1010=" ")," ",IF(EOMONTH(F1010,0)=F1010,1,E1010+1))</f>
        <v xml:space="preserve"> </v>
      </c>
      <c r="F1011" s="64" t="str">
        <f>IF(F1010=" "," ",IF(F1010='депозитный калькулятор'!$D$8," ",F1010+1))</f>
        <v xml:space="preserve"> </v>
      </c>
      <c r="G1011" s="145" t="str">
        <f xml:space="preserve"> IF(F1011&gt;'депозитный калькулятор'!$D$8," ",IF('депозитный калькулятор'!$G$13="есть",IF('депозитный калькулятор'!$G$14="есть",G1010+IF(I1010=" ",0,I1010)-J1011-K1011+L1011+M1011-N1011,G1010+IF(I1010=" ",0,I1010)-J1011-K1011+M1011-N1011),IF('депозитный калькулятор'!$G$14="есть",G1010-J1011-K1011+L1011+M1011-N1011,G1010-J1011-K1011+M1011-N1011)))</f>
        <v xml:space="preserve"> </v>
      </c>
      <c r="H1011" s="133" t="str">
        <f>IF(F1011&gt;'депозитный калькулятор'!$D$8," ",IF(AND(OR('депозитный калькулятор'!$G$7="30/365",'депозитный калькулятор'!$G$7="30/360"),AND(MONTH(F1011)=2,EOMONTH(F1011,0)=F1011)),IF(DAY(F1011)=28,3*G1011*'депозитный калькулятор'!$G$8,2*G1011*'депозитный калькулятор'!$G$8),IF(AND(OR('депозитный калькулятор'!$G$7="30/365",'депозитный калькулятор'!$G$7="30/360"),DAY(F1011)=31)," ",IF(AND('депозитный калькулятор'!$G$7="факт/факт",MOD(YEAR(F1011),4)=0),G1011*'депозитный калькулятор'!$D$11/366,G1011*'депозитный калькулятор'!$G$8))))</f>
        <v xml:space="preserve"> </v>
      </c>
      <c r="I1011" s="134" t="str">
        <f ca="1">IF(F1011=" "," ",IF('депозитный калькулятор'!$G$10="ежедневное",H1011,IF(AND('депозитный калькулятор'!$G$10="еженедельное",WEEKDAY(F1011,2)=7),SUM(OFFSET(H1011,-6,0):H1011),IF(AND('депозитный калькулятор'!$G$10="еженедельное",F1011='депозитный калькулятор'!$D$8),SUM($H$23:H1011)-SUM($I$23:I1010),IF(AND('депозитный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недели",WEEKDAY(F1011,2)=7),MIN(OFFSET(H1011,-6,0):H1011)*(COUNTIF(OFFSET(H1011,-6,0):H1011,"&gt;0")+SUMIF(OFFSET(A1011,-WEEKDAY(F1011,2),0):A1011,"=2",OFFSET(A1011,-WEEKDAY(F1011,2),0):A1011)),IF(AND('депозитный калькулятор'!$G$10="еженедельное, на минимальную сумму зафиксированную в течение недели",F1011='депозитный калькулятор'!$D$8,WEEKDAY(F1011,2)&lt;&gt;7),MIN(OFFSET(H1011,-WEEKDAY(F1011,2),0):H1011)*(COUNTIF(OFFSET(H1011,-WEEKDAY(F1011,2)+1,0):H1011,"&gt;0")+SUM(OFFSET(A1011,-WEEKDAY(F1011,2),0):A1011)),IF(AND('депозитный калькулятор'!$G$10="ежемесячное (в конце месяца)",F1011='депозитный калькулятор'!$D$8,EOMONTH(F1011,0)&lt;&gt;F1011),IF('депозитный калькулятор'!$F$1=1,$H$24,SUM($H$23:H1011)-SUM($I$23:I1010)),IF(AND('депозитный калькулятор'!$G$10="ежемесячное (в конце месяца)",EOMONTH(F1011,0)=F1011),SUM($H$23:H1011)-SUM($I$23:I1010),IF(AND('депозитный калькулятор'!$G$10="ежемесячное (по дням открытия вклада)",F1011='депозитный калькулятор'!$D$8,DAY('депозитный калькулятор'!$D$7)&lt;&gt;DAY(F1011)),IF('депозитный калькулятор'!$F$1=1,$H$24,SUM($H$23:H1011)-SUM($I$23:I1010)),IF(AND('депозитный калькулятор'!$G$10="ежемесячное (по дням открытия вклада)",DAY('депозитный калькулятор'!$D$7)=DAY(F1011)),SUM($H$23:H1011)-SUM($I$23:I1010),IF(AND('депозитный калькулятор'!$G$10="ежемесячное, на минимальную сумму зафиксированную в течение месяца",F1011='депозитный калькулятор'!$D$8,EOMONTH(F1011,0)&lt;&gt;F1011),IF('депозитный калькулятор'!$F$1=1,$H$24,IF(AND(OR('депозитный калькулятор'!$G$7="30/365",'депозитный калькулятор'!$G$7="30/360"),DAY(F1011)=31),0,MIN(OFFSET(H1011,-E1011+1,0):H1011)*(E1011+SUMIF(OFFSET(A1011,-E1011+1,0):A1011,"=2",OFFSET(A1011,-E1011+1,0):A1011)))),IF(AND('депозитный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калькулятор'!$G$7="30/360"),DAY(EOMONTH(F1011,0))=31),EOMONTH(F1011,0)-1=F1011,EOMONTH(F1011,0)=F1011)),IF(IF(AND(OR('депозитный калькулятор'!$G$7="30/365",'депозитный калькулятор'!$G$7="30/360"),DAY(EOMONTH($F$23,0))=31),F1011=EOMONTH($F$23,0)-1,F1011=EOMONTH($F$23,0)),MIN(OFFSET(H1011,-(DAY(F1011)-DAY($F$23)),0):H1011)*E1011,MIN(OFFSET(H1011,-(DAY(F1011)-1),0):H1011)*IF(AND(OR('депозитный калькулятор'!$G$7="30/365",'депозитный калькулятор'!$G$7="30/360"),DAY(F1011)&lt;30),30,DAY(F1011))),IF(AND('депозитный калькулятор'!$G$10="ежемесячное, на средний остаток в течение месяца, при условии что остаток больше чем ограничение",F1011='депозитный калькулятор'!$D$8,EOMONTH(F1011,0)&lt;&gt;F1011),IF('депозитный калькулятор'!$F$1=1,$H$24,SUM(OFFSET(Q1011,-E1011+1,0):Q1011)),IF(AND('депозитный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калькулятор'!$G$7="30/360"),DAY(EOMONTH(F1011,0))=31),EOMONTH(F1011,0)-1=F1011,EOMONTH(F1011,0)=F1011)),IF(IF(AND(OR('депозитный калькулятор'!$G$7="30/365",'депозитный калькулятор'!$G$7="30/360"),DAY(EOMONTH($F$24,0))=31),F1011=EOMONTH($F$24,0)-1,F1011=EOMONTH($F$24,0)),SUM(OFFSET(Q1011,-E1011+1,0):Q1011),SUM(OFFSET(Q1011,-E1011+1,0):Q1011)),IF('депозитный калькулятор'!$G$10="ежеквартальное",IF(F1011&gt;'депозитный калькулятор'!$D$8," ",IF(AND(EOMONTH(F1011,0)=F1011,OR(MONTH(F1011)=3,MONTH(F1011)=6,MONTH(F1011)=9,MONTH(F1011)=12)),IF(EDATE(F1011,-3)&lt;'депозитный калькулятор'!$D$7,SUM($H$23:H1011),IF(MOD(YEAR(F1011),4)=0,IF(AND(EOMONTH(F1011,0)=F1011,OR(MONTH(F1011)=3,MONTH(F1011)=6)),SUM(OFFSET(H1011,-90,0):H1011),IF(AND(EOMONTH(F1011,0)=F1011,OR(MONTH(F1011)=9,MONTH(F1011)=12)),SUM(OFFSET(H1011,-91,0):H1011))),IF(AND(EOMONTH(F1011,0)=F1011,MONTH(F1011)=3),SUM(OFFSET(H1011,-89,0):H1011),IF(AND(EOMONTH(F1011,0)=F1011,MONTH(F1011)=6),SUM(OFFSET(H1011,-90,0):H1011),IF(AND(EOMONTH(F1011,0)=F1011,OR(MONTH(F1011)=9,MONTH(F1011)=12)),SUM(OFFSET(H1011,-91,0):H1011)))))),IF(F1011='депозитный калькулятор'!$D$8,SUM($H$23:H1011)-SUM($I$23:I1010),0))),IF('депозитный калькулятор'!$G$10="ежегодное",IF(F1011&gt;'депозитный калькулятор'!$D$8," ",IF(F1011='депозитный калькулятор'!$D$8,SUM($H$23:H1011)-SUM($I$23:I1010),IF(AND(EOMONTH(F1011,0)=F1011,MONTH(F1011)=12),IF(MOD(YEAR(F1010),4)=0,IF(F1011-'депозитный калькулятор'!$D$7&lt;366,SUM($H$23:H1011),SUM(OFFSET(H1011,-365,0):H1011)),IF(F1011-'депозитный калькулятор'!$D$7&lt;365,SUM($H$23:H1011),SUM(OFFSET(H1011,-364,0):H1011))),0))),IF(AND('депозитный калькулятор'!$G$10="в конце срока",'депозитный калькулятор'!$D$8=F1011),SUM($H$23:H1011),0))))))))))))))))))</f>
        <v xml:space="preserve"> </v>
      </c>
      <c r="J1011" s="59" t="str">
        <f>IF(F1011&gt;'депозитный калькулятор'!$D$8," ",IF('депозитный калькулятор'!$G$16="нет",0,IF(AND('депозитный калькулятор'!$G$17="разовая (в конце срока)",F1011='депозитный калькулятор'!$D$8),'депозитный калькулятор'!$G$18,IF(AND('депозитный калькулятор'!$G$17="ежемесячная",EOMONTH(F1010,0)=F1010),'депозитный калькулятор'!$G$18,IF(AND('депозитный калькулятор'!$G$17="ежегодная",DAY(F1010)=31,MONTH(F1010)=12),'депозитный калькулятор'!$G$18,IF(AND('депозитный калькулятор'!$G$17="ежемесячная в зависимости от остатка",EOMONTH(F1010,0)=F1010,P1010&gt;0),'депозитный калькулятор'!$G$18,IF(AND('депозитный калькулятор'!$G$17="ежегодная в зависимости от остатка",DAY(F1010)=31,MONTH(F1010)=12,P1010&gt;0),'депозитный калькулятор'!$G$18,0)))))))</f>
        <v xml:space="preserve"> </v>
      </c>
      <c r="K1011" s="135" t="str">
        <f>IF($F1011=" "," ",IFERROR(VLOOKUP($F1011,'депозитный калькулятор'!$B$26:$F$70,2,0),0))</f>
        <v xml:space="preserve"> </v>
      </c>
      <c r="L1011" s="135" t="str">
        <f>IF($F1011=" "," ",IFERROR(VLOOKUP($F1011,'депозитный калькулятор'!$B$26:$F$70,3,0),0))</f>
        <v xml:space="preserve"> </v>
      </c>
      <c r="M1011" s="135" t="str">
        <f>IF($F1011=" "," ",IFERROR(VLOOKUP($F1011,'депозитный калькулятор'!$B$26:$F$70,4,0),0))</f>
        <v xml:space="preserve"> </v>
      </c>
      <c r="N1011" s="135" t="str">
        <f>IF($F1011=" "," ",IFERROR(VLOOKUP($F1011,'депозитный калькулятор'!$B$26:$F$70,5,0),0))</f>
        <v xml:space="preserve"> </v>
      </c>
      <c r="O1011" s="146" t="str">
        <f>IF(F1011&gt;'депозитный калькулятор'!$D$8," ",IF(F1011='депозитный калькулятор'!$D$8,IF(AND($F$24='депозитный калькулятор'!$D$8,'депозитный калькулятор'!$G$13="нет"),-G1011-IF(I1011=" ",0,I1011)-IF(AND(OR('депозитный калькулятор'!$G$7="30/365",'депозитный калькулятор'!$G$7="30/360"),'депозитный калькулятор'!$G$10="в начале срока"),I1010,0)-L1011+M1011-N1011,-G1011-IF(I1011=" ",0,I1011)-L1011+M1011-N1011),IF('депозитный калькулятор'!$G$13="есть",M1011-N1011+IF('депозитный калькулятор'!$G$14="есть",0,-L1011),-IF(I1011=" ",0,I1011)-IF(AND(OR('депозитный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срока"),I1010,0)+M1011-N1011+IF('депозитный калькулятор'!$G$14="есть",0,-L1011))))</f>
        <v xml:space="preserve"> </v>
      </c>
      <c r="P1011" s="147" t="str">
        <f>IF(F1011&gt;'депозитный калькулятор'!$D$8," ",IF(EOMONTH(F1010,0)=F1010,0,IF(G1011&gt;='депозитный калькулятор'!$G$19,P1010,P1010+1)))</f>
        <v xml:space="preserve"> </v>
      </c>
      <c r="Q1011" s="138" t="str">
        <f>IF(F1011=" "," ",IF(AND(OR('депозитный калькулятор'!$G$7="30/365",'депозитный калькулятор'!$G$7="30/360"),AND(MONTH(F1011)=2,EOMONTH(F1011,0)=F1011)),IF(DAY(F1011)=28,3,2),1)*IF(G1011&gt;='депозитный калькулятор'!$G$11,IF(AND('депозитный калькулятор'!$G$7="факт/факт",MOD(YEAR(F1011),4)=0),G1011*'депозитный калькулятор'!$D$11/366,G1011*'депозитный калькулятор'!$G$8),0))</f>
        <v xml:space="preserve"> </v>
      </c>
      <c r="S1011" s="62" t="str">
        <f t="shared" ca="1" si="77"/>
        <v xml:space="preserve"> </v>
      </c>
      <c r="T1011" s="149" t="str">
        <f ca="1">IF(S1011=" "," ",IF('депозитный калькулятор'!$G$7="30/360",DAYS360(U1010,IF(DAY(U1011)=31,U1011-1,U1011))+IF(AND(MONTH(U1011)=2,U1011=EOMONTH(U1011,0)),30-DAY(EOMONTH(U1011,0)))+T1010,VLOOKUP(S1011,$C$22:$F$1023,2,0)))</f>
        <v xml:space="preserve"> </v>
      </c>
      <c r="U1011" s="64" t="str">
        <f t="shared" ca="1" si="75"/>
        <v xml:space="preserve"> </v>
      </c>
      <c r="V1011" s="150" t="str">
        <f t="shared" ca="1" si="78"/>
        <v xml:space="preserve"> </v>
      </c>
      <c r="W1011" s="62" t="str">
        <f t="shared" ca="1" si="79"/>
        <v xml:space="preserve"> </v>
      </c>
      <c r="X1011" s="141" t="str">
        <f ca="1">IF(S1011=" "," ",IFERROR(VLOOKUP(U1011,$F$23:$N$1023,7)+VLOOKUP(U1011,$F$23:$N$1023,9)+IF(AND('депозитный калькулятор'!$G$13="нет",U1011&lt;&gt;'депозитный калькулятор'!$D$8),VLOOKUP(U1011,$F$23:$N$1023,4),0),0)+IF(U1011='депозитный калькулятор'!$D$8,VLOOKUP(U1011,$F$23:$N$1023,2)+VLOOKUP(U1011,$F$23:$N$1023,4),0))</f>
        <v xml:space="preserve"> </v>
      </c>
      <c r="Y1011" s="142" t="str">
        <f ca="1">IF(S1011=" "," ",W1011/(1+'депозитный калькулятор'!$K$8)^(T1011/IF('депозитный калькулятор'!$G$7="30/360",360,365)))</f>
        <v xml:space="preserve"> </v>
      </c>
      <c r="Z1011" s="142" t="str">
        <f ca="1">IF(S1011=" "," ",X1011/(1+'депозитный калькулятор'!$K$8)^(T1011/IF('депозитный калькулятор'!$G$7="30/360",360,365)))</f>
        <v xml:space="preserve"> </v>
      </c>
      <c r="AA1011" s="151"/>
      <c r="AB1011" s="151"/>
      <c r="AC1011" s="155"/>
      <c r="AD1011" s="155"/>
      <c r="AF1011" s="2"/>
      <c r="AG1011" s="2"/>
      <c r="AH1011" s="2"/>
    </row>
    <row r="1012" spans="1:34" ht="15.5" x14ac:dyDescent="0.35">
      <c r="A1012" s="41" t="str">
        <f>IF(F1012=" "," ",IF(OR('депозитный калькулятор'!$G$7="30/365",'депозитный калькулятор'!$G$7="30/360"),IF(AND(MONTH(F1012)=2,DAY(F1012)=DAY(EOMONTH(F1012,0))),30-DAY(EOMONTH(F1012,0)),IF(DAY(F1012)=31,1," "))," "))</f>
        <v xml:space="preserve"> </v>
      </c>
      <c r="B1012" s="130" t="str">
        <f t="shared" si="76"/>
        <v xml:space="preserve"> </v>
      </c>
      <c r="C1012" s="130" t="str">
        <f>IF(OR(B1012=0,B1012=" ")," ",SUM($B$23:B1012))</f>
        <v xml:space="preserve"> </v>
      </c>
      <c r="D1012" s="62" t="str">
        <f>IF(D1011=" "," ",IF(OR(F1011='депозитный калькулятор'!$D$8,F1011=" ")," ",D1011+1))</f>
        <v xml:space="preserve"> </v>
      </c>
      <c r="E1012" s="130" t="str">
        <f>IF(OR(F1011='депозитный калькулятор'!$D$8,F1011=" ")," ",IF(EOMONTH(F1011,0)=F1011,1,E1011+1))</f>
        <v xml:space="preserve"> </v>
      </c>
      <c r="F1012" s="64" t="str">
        <f>IF(F1011=" "," ",IF(F1011='депозитный калькулятор'!$D$8," ",F1011+1))</f>
        <v xml:space="preserve"> </v>
      </c>
      <c r="G1012" s="145" t="str">
        <f xml:space="preserve"> IF(F1012&gt;'депозитный калькулятор'!$D$8," ",IF('депозитный калькулятор'!$G$13="есть",IF('депозитный калькулятор'!$G$14="есть",G1011+IF(I1011=" ",0,I1011)-J1012-K1012+L1012+M1012-N1012,G1011+IF(I1011=" ",0,I1011)-J1012-K1012+M1012-N1012),IF('депозитный калькулятор'!$G$14="есть",G1011-J1012-K1012+L1012+M1012-N1012,G1011-J1012-K1012+M1012-N1012)))</f>
        <v xml:space="preserve"> </v>
      </c>
      <c r="H1012" s="133" t="str">
        <f>IF(F1012&gt;'депозитный калькулятор'!$D$8," ",IF(AND(OR('депозитный калькулятор'!$G$7="30/365",'депозитный калькулятор'!$G$7="30/360"),AND(MONTH(F1012)=2,EOMONTH(F1012,0)=F1012)),IF(DAY(F1012)=28,3*G1012*'депозитный калькулятор'!$G$8,2*G1012*'депозитный калькулятор'!$G$8),IF(AND(OR('депозитный калькулятор'!$G$7="30/365",'депозитный калькулятор'!$G$7="30/360"),DAY(F1012)=31)," ",IF(AND('депозитный калькулятор'!$G$7="факт/факт",MOD(YEAR(F1012),4)=0),G1012*'депозитный калькулятор'!$D$11/366,G1012*'депозитный калькулятор'!$G$8))))</f>
        <v xml:space="preserve"> </v>
      </c>
      <c r="I1012" s="134" t="str">
        <f ca="1">IF(F1012=" "," ",IF('депозитный калькулятор'!$G$10="ежедневное",H1012,IF(AND('депозитный калькулятор'!$G$10="еженедельное",WEEKDAY(F1012,2)=7),SUM(OFFSET(H1012,-6,0):H1012),IF(AND('депозитный калькулятор'!$G$10="еженедельное",F1012='депозитный калькулятор'!$D$8),SUM($H$23:H1012)-SUM($I$23:I1011),IF(AND('депозитный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недели",WEEKDAY(F1012,2)=7),MIN(OFFSET(H1012,-6,0):H1012)*(COUNTIF(OFFSET(H1012,-6,0):H1012,"&gt;0")+SUMIF(OFFSET(A1012,-WEEKDAY(F1012,2),0):A1012,"=2",OFFSET(A1012,-WEEKDAY(F1012,2),0):A1012)),IF(AND('депозитный калькулятор'!$G$10="еженедельное, на минимальную сумму зафиксированную в течение недели",F1012='депозитный калькулятор'!$D$8,WEEKDAY(F1012,2)&lt;&gt;7),MIN(OFFSET(H1012,-WEEKDAY(F1012,2),0):H1012)*(COUNTIF(OFFSET(H1012,-WEEKDAY(F1012,2)+1,0):H1012,"&gt;0")+SUM(OFFSET(A1012,-WEEKDAY(F1012,2),0):A1012)),IF(AND('депозитный калькулятор'!$G$10="ежемесячное (в конце месяца)",F1012='депозитный калькулятор'!$D$8,EOMONTH(F1012,0)&lt;&gt;F1012),IF('депозитный калькулятор'!$F$1=1,$H$24,SUM($H$23:H1012)-SUM($I$23:I1011)),IF(AND('депозитный калькулятор'!$G$10="ежемесячное (в конце месяца)",EOMONTH(F1012,0)=F1012),SUM($H$23:H1012)-SUM($I$23:I1011),IF(AND('депозитный калькулятор'!$G$10="ежемесячное (по дням открытия вклада)",F1012='депозитный калькулятор'!$D$8,DAY('депозитный калькулятор'!$D$7)&lt;&gt;DAY(F1012)),IF('депозитный калькулятор'!$F$1=1,$H$24,SUM($H$23:H1012)-SUM($I$23:I1011)),IF(AND('депозитный калькулятор'!$G$10="ежемесячное (по дням открытия вклада)",DAY('депозитный калькулятор'!$D$7)=DAY(F1012)),SUM($H$23:H1012)-SUM($I$23:I1011),IF(AND('депозитный калькулятор'!$G$10="ежемесячное, на минимальную сумму зафиксированную в течение месяца",F1012='депозитный калькулятор'!$D$8,EOMONTH(F1012,0)&lt;&gt;F1012),IF('депозитный калькулятор'!$F$1=1,$H$24,IF(AND(OR('депозитный калькулятор'!$G$7="30/365",'депозитный калькулятор'!$G$7="30/360"),DAY(F1012)=31),0,MIN(OFFSET(H1012,-E1012+1,0):H1012)*(E1012+SUMIF(OFFSET(A1012,-E1012+1,0):A1012,"=2",OFFSET(A1012,-E1012+1,0):A1012)))),IF(AND('депозитный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калькулятор'!$G$7="30/360"),DAY(EOMONTH(F1012,0))=31),EOMONTH(F1012,0)-1=F1012,EOMONTH(F1012,0)=F1012)),IF(IF(AND(OR('депозитный калькулятор'!$G$7="30/365",'депозитный калькулятор'!$G$7="30/360"),DAY(EOMONTH($F$23,0))=31),F1012=EOMONTH($F$23,0)-1,F1012=EOMONTH($F$23,0)),MIN(OFFSET(H1012,-(DAY(F1012)-DAY($F$23)),0):H1012)*E1012,MIN(OFFSET(H1012,-(DAY(F1012)-1),0):H1012)*IF(AND(OR('депозитный калькулятор'!$G$7="30/365",'депозитный калькулятор'!$G$7="30/360"),DAY(F1012)&lt;30),30,DAY(F1012))),IF(AND('депозитный калькулятор'!$G$10="ежемесячное, на средний остаток в течение месяца, при условии что остаток больше чем ограничение",F1012='депозитный калькулятор'!$D$8,EOMONTH(F1012,0)&lt;&gt;F1012),IF('депозитный калькулятор'!$F$1=1,$H$24,SUM(OFFSET(Q1012,-E1012+1,0):Q1012)),IF(AND('депозитный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калькулятор'!$G$7="30/360"),DAY(EOMONTH(F1012,0))=31),EOMONTH(F1012,0)-1=F1012,EOMONTH(F1012,0)=F1012)),IF(IF(AND(OR('депозитный калькулятор'!$G$7="30/365",'депозитный калькулятор'!$G$7="30/360"),DAY(EOMONTH($F$24,0))=31),F1012=EOMONTH($F$24,0)-1,F1012=EOMONTH($F$24,0)),SUM(OFFSET(Q1012,-E1012+1,0):Q1012),SUM(OFFSET(Q1012,-E1012+1,0):Q1012)),IF('депозитный калькулятор'!$G$10="ежеквартальное",IF(F1012&gt;'депозитный калькулятор'!$D$8," ",IF(AND(EOMONTH(F1012,0)=F1012,OR(MONTH(F1012)=3,MONTH(F1012)=6,MONTH(F1012)=9,MONTH(F1012)=12)),IF(EDATE(F1012,-3)&lt;'депозитный калькулятор'!$D$7,SUM($H$23:H1012),IF(MOD(YEAR(F1012),4)=0,IF(AND(EOMONTH(F1012,0)=F1012,OR(MONTH(F1012)=3,MONTH(F1012)=6)),SUM(OFFSET(H1012,-90,0):H1012),IF(AND(EOMONTH(F1012,0)=F1012,OR(MONTH(F1012)=9,MONTH(F1012)=12)),SUM(OFFSET(H1012,-91,0):H1012))),IF(AND(EOMONTH(F1012,0)=F1012,MONTH(F1012)=3),SUM(OFFSET(H1012,-89,0):H1012),IF(AND(EOMONTH(F1012,0)=F1012,MONTH(F1012)=6),SUM(OFFSET(H1012,-90,0):H1012),IF(AND(EOMONTH(F1012,0)=F1012,OR(MONTH(F1012)=9,MONTH(F1012)=12)),SUM(OFFSET(H1012,-91,0):H1012)))))),IF(F1012='депозитный калькулятор'!$D$8,SUM($H$23:H1012)-SUM($I$23:I1011),0))),IF('депозитный калькулятор'!$G$10="ежегодное",IF(F1012&gt;'депозитный калькулятор'!$D$8," ",IF(F1012='депозитный калькулятор'!$D$8,SUM($H$23:H1012)-SUM($I$23:I1011),IF(AND(EOMONTH(F1012,0)=F1012,MONTH(F1012)=12),IF(MOD(YEAR(F1011),4)=0,IF(F1012-'депозитный калькулятор'!$D$7&lt;366,SUM($H$23:H1012),SUM(OFFSET(H1012,-365,0):H1012)),IF(F1012-'депозитный калькулятор'!$D$7&lt;365,SUM($H$23:H1012),SUM(OFFSET(H1012,-364,0):H1012))),0))),IF(AND('депозитный калькулятор'!$G$10="в конце срока",'депозитный калькулятор'!$D$8=F1012),SUM($H$23:H1012),0))))))))))))))))))</f>
        <v xml:space="preserve"> </v>
      </c>
      <c r="J1012" s="59" t="str">
        <f>IF(F1012&gt;'депозитный калькулятор'!$D$8," ",IF('депозитный калькулятор'!$G$16="нет",0,IF(AND('депозитный калькулятор'!$G$17="разовая (в конце срока)",F1012='депозитный калькулятор'!$D$8),'депозитный калькулятор'!$G$18,IF(AND('депозитный калькулятор'!$G$17="ежемесячная",EOMONTH(F1011,0)=F1011),'депозитный калькулятор'!$G$18,IF(AND('депозитный калькулятор'!$G$17="ежегодная",DAY(F1011)=31,MONTH(F1011)=12),'депозитный калькулятор'!$G$18,IF(AND('депозитный калькулятор'!$G$17="ежемесячная в зависимости от остатка",EOMONTH(F1011,0)=F1011,P1011&gt;0),'депозитный калькулятор'!$G$18,IF(AND('депозитный калькулятор'!$G$17="ежегодная в зависимости от остатка",DAY(F1011)=31,MONTH(F1011)=12,P1011&gt;0),'депозитный калькулятор'!$G$18,0)))))))</f>
        <v xml:space="preserve"> </v>
      </c>
      <c r="K1012" s="135" t="str">
        <f>IF($F1012=" "," ",IFERROR(VLOOKUP($F1012,'депозитный калькулятор'!$B$26:$F$70,2,0),0))</f>
        <v xml:space="preserve"> </v>
      </c>
      <c r="L1012" s="135" t="str">
        <f>IF($F1012=" "," ",IFERROR(VLOOKUP($F1012,'депозитный калькулятор'!$B$26:$F$70,3,0),0))</f>
        <v xml:space="preserve"> </v>
      </c>
      <c r="M1012" s="135" t="str">
        <f>IF($F1012=" "," ",IFERROR(VLOOKUP($F1012,'депозитный калькулятор'!$B$26:$F$70,4,0),0))</f>
        <v xml:space="preserve"> </v>
      </c>
      <c r="N1012" s="135" t="str">
        <f>IF($F1012=" "," ",IFERROR(VLOOKUP($F1012,'депозитный калькулятор'!$B$26:$F$70,5,0),0))</f>
        <v xml:space="preserve"> </v>
      </c>
      <c r="O1012" s="146" t="str">
        <f>IF(F1012&gt;'депозитный калькулятор'!$D$8," ",IF(F1012='депозитный калькулятор'!$D$8,IF(AND($F$24='депозитный калькулятор'!$D$8,'депозитный калькулятор'!$G$13="нет"),-G1012-IF(I1012=" ",0,I1012)-IF(AND(OR('депозитный калькулятор'!$G$7="30/365",'депозитный калькулятор'!$G$7="30/360"),'депозитный калькулятор'!$G$10="в начале срока"),I1011,0)-L1012+M1012-N1012,-G1012-IF(I1012=" ",0,I1012)-L1012+M1012-N1012),IF('депозитный калькулятор'!$G$13="есть",M1012-N1012+IF('депозитный калькулятор'!$G$14="есть",0,-L1012),-IF(I1012=" ",0,I1012)-IF(AND(OR('депозитный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срока"),I1011,0)+M1012-N1012+IF('депозитный калькулятор'!$G$14="есть",0,-L1012))))</f>
        <v xml:space="preserve"> </v>
      </c>
      <c r="P1012" s="147" t="str">
        <f>IF(F1012&gt;'депозитный калькулятор'!$D$8," ",IF(EOMONTH(F1011,0)=F1011,0,IF(G1012&gt;='депозитный калькулятор'!$G$19,P1011,P1011+1)))</f>
        <v xml:space="preserve"> </v>
      </c>
      <c r="Q1012" s="138" t="str">
        <f>IF(F1012=" "," ",IF(AND(OR('депозитный калькулятор'!$G$7="30/365",'депозитный калькулятор'!$G$7="30/360"),AND(MONTH(F1012)=2,EOMONTH(F1012,0)=F1012)),IF(DAY(F1012)=28,3,2),1)*IF(G1012&gt;='депозитный калькулятор'!$G$11,IF(AND('депозитный калькулятор'!$G$7="факт/факт",MOD(YEAR(F1012),4)=0),G1012*'депозитный калькулятор'!$D$11/366,G1012*'депозитный калькулятор'!$G$8),0))</f>
        <v xml:space="preserve"> </v>
      </c>
      <c r="S1012" s="62" t="str">
        <f t="shared" ca="1" si="77"/>
        <v xml:space="preserve"> </v>
      </c>
      <c r="T1012" s="149" t="str">
        <f ca="1">IF(S1012=" "," ",IF('депозитный калькулятор'!$G$7="30/360",DAYS360(U1011,IF(DAY(U1012)=31,U1012-1,U1012))+IF(AND(MONTH(U1012)=2,U1012=EOMONTH(U1012,0)),30-DAY(EOMONTH(U1012,0)))+T1011,VLOOKUP(S1012,$C$22:$F$1023,2,0)))</f>
        <v xml:space="preserve"> </v>
      </c>
      <c r="U1012" s="64" t="str">
        <f t="shared" ca="1" si="75"/>
        <v xml:space="preserve"> </v>
      </c>
      <c r="V1012" s="150" t="str">
        <f t="shared" ca="1" si="78"/>
        <v xml:space="preserve"> </v>
      </c>
      <c r="W1012" s="62" t="str">
        <f t="shared" ca="1" si="79"/>
        <v xml:space="preserve"> </v>
      </c>
      <c r="X1012" s="141" t="str">
        <f ca="1">IF(S1012=" "," ",IFERROR(VLOOKUP(U1012,$F$23:$N$1023,7)+VLOOKUP(U1012,$F$23:$N$1023,9)+IF(AND('депозитный калькулятор'!$G$13="нет",U1012&lt;&gt;'депозитный калькулятор'!$D$8),VLOOKUP(U1012,$F$23:$N$1023,4),0),0)+IF(U1012='депозитный калькулятор'!$D$8,VLOOKUP(U1012,$F$23:$N$1023,2)+VLOOKUP(U1012,$F$23:$N$1023,4),0))</f>
        <v xml:space="preserve"> </v>
      </c>
      <c r="Y1012" s="142" t="str">
        <f ca="1">IF(S1012=" "," ",W1012/(1+'депозитный калькулятор'!$K$8)^(T1012/IF('депозитный калькулятор'!$G$7="30/360",360,365)))</f>
        <v xml:space="preserve"> </v>
      </c>
      <c r="Z1012" s="142" t="str">
        <f ca="1">IF(S1012=" "," ",X1012/(1+'депозитный калькулятор'!$K$8)^(T1012/IF('депозитный калькулятор'!$G$7="30/360",360,365)))</f>
        <v xml:space="preserve"> </v>
      </c>
      <c r="AA1012" s="151"/>
      <c r="AB1012" s="151"/>
      <c r="AC1012" s="155"/>
      <c r="AD1012" s="155"/>
      <c r="AF1012" s="2"/>
      <c r="AG1012" s="2"/>
      <c r="AH1012" s="2"/>
    </row>
    <row r="1013" spans="1:34" ht="15.5" x14ac:dyDescent="0.35">
      <c r="A1013" s="41" t="str">
        <f>IF(F1013=" "," ",IF(OR('депозитный калькулятор'!$G$7="30/365",'депозитный калькулятор'!$G$7="30/360"),IF(AND(MONTH(F1013)=2,DAY(F1013)=DAY(EOMONTH(F1013,0))),30-DAY(EOMONTH(F1013,0)),IF(DAY(F1013)=31,1," "))," "))</f>
        <v xml:space="preserve"> </v>
      </c>
      <c r="B1013" s="130" t="str">
        <f t="shared" si="76"/>
        <v xml:space="preserve"> </v>
      </c>
      <c r="C1013" s="130" t="str">
        <f>IF(OR(B1013=0,B1013=" ")," ",SUM($B$23:B1013))</f>
        <v xml:space="preserve"> </v>
      </c>
      <c r="D1013" s="62" t="str">
        <f>IF(D1012=" "," ",IF(OR(F1012='депозитный калькулятор'!$D$8,F1012=" ")," ",D1012+1))</f>
        <v xml:space="preserve"> </v>
      </c>
      <c r="E1013" s="130" t="str">
        <f>IF(OR(F1012='депозитный калькулятор'!$D$8,F1012=" ")," ",IF(EOMONTH(F1012,0)=F1012,1,E1012+1))</f>
        <v xml:space="preserve"> </v>
      </c>
      <c r="F1013" s="64" t="str">
        <f>IF(F1012=" "," ",IF(F1012='депозитный калькулятор'!$D$8," ",F1012+1))</f>
        <v xml:space="preserve"> </v>
      </c>
      <c r="G1013" s="145" t="str">
        <f xml:space="preserve"> IF(F1013&gt;'депозитный калькулятор'!$D$8," ",IF('депозитный калькулятор'!$G$13="есть",IF('депозитный калькулятор'!$G$14="есть",G1012+IF(I1012=" ",0,I1012)-J1013-K1013+L1013+M1013-N1013,G1012+IF(I1012=" ",0,I1012)-J1013-K1013+M1013-N1013),IF('депозитный калькулятор'!$G$14="есть",G1012-J1013-K1013+L1013+M1013-N1013,G1012-J1013-K1013+M1013-N1013)))</f>
        <v xml:space="preserve"> </v>
      </c>
      <c r="H1013" s="133" t="str">
        <f>IF(F1013&gt;'депозитный калькулятор'!$D$8," ",IF(AND(OR('депозитный калькулятор'!$G$7="30/365",'депозитный калькулятор'!$G$7="30/360"),AND(MONTH(F1013)=2,EOMONTH(F1013,0)=F1013)),IF(DAY(F1013)=28,3*G1013*'депозитный калькулятор'!$G$8,2*G1013*'депозитный калькулятор'!$G$8),IF(AND(OR('депозитный калькулятор'!$G$7="30/365",'депозитный калькулятор'!$G$7="30/360"),DAY(F1013)=31)," ",IF(AND('депозитный калькулятор'!$G$7="факт/факт",MOD(YEAR(F1013),4)=0),G1013*'депозитный калькулятор'!$D$11/366,G1013*'депозитный калькулятор'!$G$8))))</f>
        <v xml:space="preserve"> </v>
      </c>
      <c r="I1013" s="134" t="str">
        <f ca="1">IF(F1013=" "," ",IF('депозитный калькулятор'!$G$10="ежедневное",H1013,IF(AND('депозитный калькулятор'!$G$10="еженедельное",WEEKDAY(F1013,2)=7),SUM(OFFSET(H1013,-6,0):H1013),IF(AND('депозитный калькулятор'!$G$10="еженедельное",F1013='депозитный калькулятор'!$D$8),SUM($H$23:H1013)-SUM($I$23:I1012),IF(AND('депозитный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недели",WEEKDAY(F1013,2)=7),MIN(OFFSET(H1013,-6,0):H1013)*(COUNTIF(OFFSET(H1013,-6,0):H1013,"&gt;0")+SUMIF(OFFSET(A1013,-WEEKDAY(F1013,2),0):A1013,"=2",OFFSET(A1013,-WEEKDAY(F1013,2),0):A1013)),IF(AND('депозитный калькулятор'!$G$10="еженедельное, на минимальную сумму зафиксированную в течение недели",F1013='депозитный калькулятор'!$D$8,WEEKDAY(F1013,2)&lt;&gt;7),MIN(OFFSET(H1013,-WEEKDAY(F1013,2),0):H1013)*(COUNTIF(OFFSET(H1013,-WEEKDAY(F1013,2)+1,0):H1013,"&gt;0")+SUM(OFFSET(A1013,-WEEKDAY(F1013,2),0):A1013)),IF(AND('депозитный калькулятор'!$G$10="ежемесячное (в конце месяца)",F1013='депозитный калькулятор'!$D$8,EOMONTH(F1013,0)&lt;&gt;F1013),IF('депозитный калькулятор'!$F$1=1,$H$24,SUM($H$23:H1013)-SUM($I$23:I1012)),IF(AND('депозитный калькулятор'!$G$10="ежемесячное (в конце месяца)",EOMONTH(F1013,0)=F1013),SUM($H$23:H1013)-SUM($I$23:I1012),IF(AND('депозитный калькулятор'!$G$10="ежемесячное (по дням открытия вклада)",F1013='депозитный калькулятор'!$D$8,DAY('депозитный калькулятор'!$D$7)&lt;&gt;DAY(F1013)),IF('депозитный калькулятор'!$F$1=1,$H$24,SUM($H$23:H1013)-SUM($I$23:I1012)),IF(AND('депозитный калькулятор'!$G$10="ежемесячное (по дням открытия вклада)",DAY('депозитный калькулятор'!$D$7)=DAY(F1013)),SUM($H$23:H1013)-SUM($I$23:I1012),IF(AND('депозитный калькулятор'!$G$10="ежемесячное, на минимальную сумму зафиксированную в течение месяца",F1013='депозитный калькулятор'!$D$8,EOMONTH(F1013,0)&lt;&gt;F1013),IF('депозитный калькулятор'!$F$1=1,$H$24,IF(AND(OR('депозитный калькулятор'!$G$7="30/365",'депозитный калькулятор'!$G$7="30/360"),DAY(F1013)=31),0,MIN(OFFSET(H1013,-E1013+1,0):H1013)*(E1013+SUMIF(OFFSET(A1013,-E1013+1,0):A1013,"=2",OFFSET(A1013,-E1013+1,0):A1013)))),IF(AND('депозитный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калькулятор'!$G$7="30/360"),DAY(EOMONTH(F1013,0))=31),EOMONTH(F1013,0)-1=F1013,EOMONTH(F1013,0)=F1013)),IF(IF(AND(OR('депозитный калькулятор'!$G$7="30/365",'депозитный калькулятор'!$G$7="30/360"),DAY(EOMONTH($F$23,0))=31),F1013=EOMONTH($F$23,0)-1,F1013=EOMONTH($F$23,0)),MIN(OFFSET(H1013,-(DAY(F1013)-DAY($F$23)),0):H1013)*E1013,MIN(OFFSET(H1013,-(DAY(F1013)-1),0):H1013)*IF(AND(OR('депозитный калькулятор'!$G$7="30/365",'депозитный калькулятор'!$G$7="30/360"),DAY(F1013)&lt;30),30,DAY(F1013))),IF(AND('депозитный калькулятор'!$G$10="ежемесячное, на средний остаток в течение месяца, при условии что остаток больше чем ограничение",F1013='депозитный калькулятор'!$D$8,EOMONTH(F1013,0)&lt;&gt;F1013),IF('депозитный калькулятор'!$F$1=1,$H$24,SUM(OFFSET(Q1013,-E1013+1,0):Q1013)),IF(AND('депозитный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калькулятор'!$G$7="30/360"),DAY(EOMONTH(F1013,0))=31),EOMONTH(F1013,0)-1=F1013,EOMONTH(F1013,0)=F1013)),IF(IF(AND(OR('депозитный калькулятор'!$G$7="30/365",'депозитный калькулятор'!$G$7="30/360"),DAY(EOMONTH($F$24,0))=31),F1013=EOMONTH($F$24,0)-1,F1013=EOMONTH($F$24,0)),SUM(OFFSET(Q1013,-E1013+1,0):Q1013),SUM(OFFSET(Q1013,-E1013+1,0):Q1013)),IF('депозитный калькулятор'!$G$10="ежеквартальное",IF(F1013&gt;'депозитный калькулятор'!$D$8," ",IF(AND(EOMONTH(F1013,0)=F1013,OR(MONTH(F1013)=3,MONTH(F1013)=6,MONTH(F1013)=9,MONTH(F1013)=12)),IF(EDATE(F1013,-3)&lt;'депозитный калькулятор'!$D$7,SUM($H$23:H1013),IF(MOD(YEAR(F1013),4)=0,IF(AND(EOMONTH(F1013,0)=F1013,OR(MONTH(F1013)=3,MONTH(F1013)=6)),SUM(OFFSET(H1013,-90,0):H1013),IF(AND(EOMONTH(F1013,0)=F1013,OR(MONTH(F1013)=9,MONTH(F1013)=12)),SUM(OFFSET(H1013,-91,0):H1013))),IF(AND(EOMONTH(F1013,0)=F1013,MONTH(F1013)=3),SUM(OFFSET(H1013,-89,0):H1013),IF(AND(EOMONTH(F1013,0)=F1013,MONTH(F1013)=6),SUM(OFFSET(H1013,-90,0):H1013),IF(AND(EOMONTH(F1013,0)=F1013,OR(MONTH(F1013)=9,MONTH(F1013)=12)),SUM(OFFSET(H1013,-91,0):H1013)))))),IF(F1013='депозитный калькулятор'!$D$8,SUM($H$23:H1013)-SUM($I$23:I1012),0))),IF('депозитный калькулятор'!$G$10="ежегодное",IF(F1013&gt;'депозитный калькулятор'!$D$8," ",IF(F1013='депозитный калькулятор'!$D$8,SUM($H$23:H1013)-SUM($I$23:I1012),IF(AND(EOMONTH(F1013,0)=F1013,MONTH(F1013)=12),IF(MOD(YEAR(F1012),4)=0,IF(F1013-'депозитный калькулятор'!$D$7&lt;366,SUM($H$23:H1013),SUM(OFFSET(H1013,-365,0):H1013)),IF(F1013-'депозитный калькулятор'!$D$7&lt;365,SUM($H$23:H1013),SUM(OFFSET(H1013,-364,0):H1013))),0))),IF(AND('депозитный калькулятор'!$G$10="в конце срока",'депозитный калькулятор'!$D$8=F1013),SUM($H$23:H1013),0))))))))))))))))))</f>
        <v xml:space="preserve"> </v>
      </c>
      <c r="J1013" s="59" t="str">
        <f>IF(F1013&gt;'депозитный калькулятор'!$D$8," ",IF('депозитный калькулятор'!$G$16="нет",0,IF(AND('депозитный калькулятор'!$G$17="разовая (в конце срока)",F1013='депозитный калькулятор'!$D$8),'депозитный калькулятор'!$G$18,IF(AND('депозитный калькулятор'!$G$17="ежемесячная",EOMONTH(F1012,0)=F1012),'депозитный калькулятор'!$G$18,IF(AND('депозитный калькулятор'!$G$17="ежегодная",DAY(F1012)=31,MONTH(F1012)=12),'депозитный калькулятор'!$G$18,IF(AND('депозитный калькулятор'!$G$17="ежемесячная в зависимости от остатка",EOMONTH(F1012,0)=F1012,P1012&gt;0),'депозитный калькулятор'!$G$18,IF(AND('депозитный калькулятор'!$G$17="ежегодная в зависимости от остатка",DAY(F1012)=31,MONTH(F1012)=12,P1012&gt;0),'депозитный калькулятор'!$G$18,0)))))))</f>
        <v xml:space="preserve"> </v>
      </c>
      <c r="K1013" s="135" t="str">
        <f>IF($F1013=" "," ",IFERROR(VLOOKUP($F1013,'депозитный калькулятор'!$B$26:$F$70,2,0),0))</f>
        <v xml:space="preserve"> </v>
      </c>
      <c r="L1013" s="135" t="str">
        <f>IF($F1013=" "," ",IFERROR(VLOOKUP($F1013,'депозитный калькулятор'!$B$26:$F$70,3,0),0))</f>
        <v xml:space="preserve"> </v>
      </c>
      <c r="M1013" s="135" t="str">
        <f>IF($F1013=" "," ",IFERROR(VLOOKUP($F1013,'депозитный калькулятор'!$B$26:$F$70,4,0),0))</f>
        <v xml:space="preserve"> </v>
      </c>
      <c r="N1013" s="135" t="str">
        <f>IF($F1013=" "," ",IFERROR(VLOOKUP($F1013,'депозитный калькулятор'!$B$26:$F$70,5,0),0))</f>
        <v xml:space="preserve"> </v>
      </c>
      <c r="O1013" s="146" t="str">
        <f>IF(F1013&gt;'депозитный калькулятор'!$D$8," ",IF(F1013='депозитный калькулятор'!$D$8,IF(AND($F$24='депозитный калькулятор'!$D$8,'депозитный калькулятор'!$G$13="нет"),-G1013-IF(I1013=" ",0,I1013)-IF(AND(OR('депозитный калькулятор'!$G$7="30/365",'депозитный калькулятор'!$G$7="30/360"),'депозитный калькулятор'!$G$10="в начале срока"),I1012,0)-L1013+M1013-N1013,-G1013-IF(I1013=" ",0,I1013)-L1013+M1013-N1013),IF('депозитный калькулятор'!$G$13="есть",M1013-N1013+IF('депозитный калькулятор'!$G$14="есть",0,-L1013),-IF(I1013=" ",0,I1013)-IF(AND(OR('депозитный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срока"),I1012,0)+M1013-N1013+IF('депозитный калькулятор'!$G$14="есть",0,-L1013))))</f>
        <v xml:space="preserve"> </v>
      </c>
      <c r="P1013" s="147" t="str">
        <f>IF(F1013&gt;'депозитный калькулятор'!$D$8," ",IF(EOMONTH(F1012,0)=F1012,0,IF(G1013&gt;='депозитный калькулятор'!$G$19,P1012,P1012+1)))</f>
        <v xml:space="preserve"> </v>
      </c>
      <c r="Q1013" s="138" t="str">
        <f>IF(F1013=" "," ",IF(AND(OR('депозитный калькулятор'!$G$7="30/365",'депозитный калькулятор'!$G$7="30/360"),AND(MONTH(F1013)=2,EOMONTH(F1013,0)=F1013)),IF(DAY(F1013)=28,3,2),1)*IF(G1013&gt;='депозитный калькулятор'!$G$11,IF(AND('депозитный калькулятор'!$G$7="факт/факт",MOD(YEAR(F1013),4)=0),G1013*'депозитный калькулятор'!$D$11/366,G1013*'депозитный калькулятор'!$G$8),0))</f>
        <v xml:space="preserve"> </v>
      </c>
      <c r="S1013" s="62" t="str">
        <f t="shared" ca="1" si="77"/>
        <v xml:space="preserve"> </v>
      </c>
      <c r="T1013" s="149" t="str">
        <f ca="1">IF(S1013=" "," ",IF('депозитный калькулятор'!$G$7="30/360",DAYS360(U1012,IF(DAY(U1013)=31,U1013-1,U1013))+IF(AND(MONTH(U1013)=2,U1013=EOMONTH(U1013,0)),30-DAY(EOMONTH(U1013,0)))+T1012,VLOOKUP(S1013,$C$22:$F$1023,2,0)))</f>
        <v xml:space="preserve"> </v>
      </c>
      <c r="U1013" s="64" t="str">
        <f t="shared" ca="1" si="75"/>
        <v xml:space="preserve"> </v>
      </c>
      <c r="V1013" s="150" t="str">
        <f t="shared" ca="1" si="78"/>
        <v xml:space="preserve"> </v>
      </c>
      <c r="W1013" s="62" t="str">
        <f t="shared" ca="1" si="79"/>
        <v xml:space="preserve"> </v>
      </c>
      <c r="X1013" s="141" t="str">
        <f ca="1">IF(S1013=" "," ",IFERROR(VLOOKUP(U1013,$F$23:$N$1023,7)+VLOOKUP(U1013,$F$23:$N$1023,9)+IF(AND('депозитный калькулятор'!$G$13="нет",U1013&lt;&gt;'депозитный калькулятор'!$D$8),VLOOKUP(U1013,$F$23:$N$1023,4),0),0)+IF(U1013='депозитный калькулятор'!$D$8,VLOOKUP(U1013,$F$23:$N$1023,2)+VLOOKUP(U1013,$F$23:$N$1023,4),0))</f>
        <v xml:space="preserve"> </v>
      </c>
      <c r="Y1013" s="142" t="str">
        <f ca="1">IF(S1013=" "," ",W1013/(1+'депозитный калькулятор'!$K$8)^(T1013/IF('депозитный калькулятор'!$G$7="30/360",360,365)))</f>
        <v xml:space="preserve"> </v>
      </c>
      <c r="Z1013" s="142" t="str">
        <f ca="1">IF(S1013=" "," ",X1013/(1+'депозитный калькулятор'!$K$8)^(T1013/IF('депозитный калькулятор'!$G$7="30/360",360,365)))</f>
        <v xml:space="preserve"> </v>
      </c>
      <c r="AA1013" s="151"/>
      <c r="AB1013" s="151"/>
      <c r="AC1013" s="155"/>
      <c r="AD1013" s="155"/>
      <c r="AF1013" s="2"/>
      <c r="AG1013" s="2"/>
      <c r="AH1013" s="2"/>
    </row>
    <row r="1014" spans="1:34" ht="15.5" x14ac:dyDescent="0.35">
      <c r="A1014" s="41" t="str">
        <f>IF(F1014=" "," ",IF(OR('депозитный калькулятор'!$G$7="30/365",'депозитный калькулятор'!$G$7="30/360"),IF(AND(MONTH(F1014)=2,DAY(F1014)=DAY(EOMONTH(F1014,0))),30-DAY(EOMONTH(F1014,0)),IF(DAY(F1014)=31,1," "))," "))</f>
        <v xml:space="preserve"> </v>
      </c>
      <c r="B1014" s="130" t="str">
        <f t="shared" si="76"/>
        <v xml:space="preserve"> </v>
      </c>
      <c r="C1014" s="130" t="str">
        <f>IF(OR(B1014=0,B1014=" ")," ",SUM($B$23:B1014))</f>
        <v xml:space="preserve"> </v>
      </c>
      <c r="D1014" s="62" t="str">
        <f>IF(D1013=" "," ",IF(OR(F1013='депозитный калькулятор'!$D$8,F1013=" ")," ",D1013+1))</f>
        <v xml:space="preserve"> </v>
      </c>
      <c r="E1014" s="130" t="str">
        <f>IF(OR(F1013='депозитный калькулятор'!$D$8,F1013=" ")," ",IF(EOMONTH(F1013,0)=F1013,1,E1013+1))</f>
        <v xml:space="preserve"> </v>
      </c>
      <c r="F1014" s="64" t="str">
        <f>IF(F1013=" "," ",IF(F1013='депозитный калькулятор'!$D$8," ",F1013+1))</f>
        <v xml:space="preserve"> </v>
      </c>
      <c r="G1014" s="145" t="str">
        <f xml:space="preserve"> IF(F1014&gt;'депозитный калькулятор'!$D$8," ",IF('депозитный калькулятор'!$G$13="есть",IF('депозитный калькулятор'!$G$14="есть",G1013+IF(I1013=" ",0,I1013)-J1014-K1014+L1014+M1014-N1014,G1013+IF(I1013=" ",0,I1013)-J1014-K1014+M1014-N1014),IF('депозитный калькулятор'!$G$14="есть",G1013-J1014-K1014+L1014+M1014-N1014,G1013-J1014-K1014+M1014-N1014)))</f>
        <v xml:space="preserve"> </v>
      </c>
      <c r="H1014" s="133" t="str">
        <f>IF(F1014&gt;'депозитный калькулятор'!$D$8," ",IF(AND(OR('депозитный калькулятор'!$G$7="30/365",'депозитный калькулятор'!$G$7="30/360"),AND(MONTH(F1014)=2,EOMONTH(F1014,0)=F1014)),IF(DAY(F1014)=28,3*G1014*'депозитный калькулятор'!$G$8,2*G1014*'депозитный калькулятор'!$G$8),IF(AND(OR('депозитный калькулятор'!$G$7="30/365",'депозитный калькулятор'!$G$7="30/360"),DAY(F1014)=31)," ",IF(AND('депозитный калькулятор'!$G$7="факт/факт",MOD(YEAR(F1014),4)=0),G1014*'депозитный калькулятор'!$D$11/366,G1014*'депозитный калькулятор'!$G$8))))</f>
        <v xml:space="preserve"> </v>
      </c>
      <c r="I1014" s="134" t="str">
        <f ca="1">IF(F1014=" "," ",IF('депозитный калькулятор'!$G$10="ежедневное",H1014,IF(AND('депозитный калькулятор'!$G$10="еженедельное",WEEKDAY(F1014,2)=7),SUM(OFFSET(H1014,-6,0):H1014),IF(AND('депозитный калькулятор'!$G$10="еженедельное",F1014='депозитный калькулятор'!$D$8),SUM($H$23:H1014)-SUM($I$23:I1013),IF(AND('депозитный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недели",WEEKDAY(F1014,2)=7),MIN(OFFSET(H1014,-6,0):H1014)*(COUNTIF(OFFSET(H1014,-6,0):H1014,"&gt;0")+SUMIF(OFFSET(A1014,-WEEKDAY(F1014,2),0):A1014,"=2",OFFSET(A1014,-WEEKDAY(F1014,2),0):A1014)),IF(AND('депозитный калькулятор'!$G$10="еженедельное, на минимальную сумму зафиксированную в течение недели",F1014='депозитный калькулятор'!$D$8,WEEKDAY(F1014,2)&lt;&gt;7),MIN(OFFSET(H1014,-WEEKDAY(F1014,2),0):H1014)*(COUNTIF(OFFSET(H1014,-WEEKDAY(F1014,2)+1,0):H1014,"&gt;0")+SUM(OFFSET(A1014,-WEEKDAY(F1014,2),0):A1014)),IF(AND('депозитный калькулятор'!$G$10="ежемесячное (в конце месяца)",F1014='депозитный калькулятор'!$D$8,EOMONTH(F1014,0)&lt;&gt;F1014),IF('депозитный калькулятор'!$F$1=1,$H$24,SUM($H$23:H1014)-SUM($I$23:I1013)),IF(AND('депозитный калькулятор'!$G$10="ежемесячное (в конце месяца)",EOMONTH(F1014,0)=F1014),SUM($H$23:H1014)-SUM($I$23:I1013),IF(AND('депозитный калькулятор'!$G$10="ежемесячное (по дням открытия вклада)",F1014='депозитный калькулятор'!$D$8,DAY('депозитный калькулятор'!$D$7)&lt;&gt;DAY(F1014)),IF('депозитный калькулятор'!$F$1=1,$H$24,SUM($H$23:H1014)-SUM($I$23:I1013)),IF(AND('депозитный калькулятор'!$G$10="ежемесячное (по дням открытия вклада)",DAY('депозитный калькулятор'!$D$7)=DAY(F1014)),SUM($H$23:H1014)-SUM($I$23:I1013),IF(AND('депозитный калькулятор'!$G$10="ежемесячное, на минимальную сумму зафиксированную в течение месяца",F1014='депозитный калькулятор'!$D$8,EOMONTH(F1014,0)&lt;&gt;F1014),IF('депозитный калькулятор'!$F$1=1,$H$24,IF(AND(OR('депозитный калькулятор'!$G$7="30/365",'депозитный калькулятор'!$G$7="30/360"),DAY(F1014)=31),0,MIN(OFFSET(H1014,-E1014+1,0):H1014)*(E1014+SUMIF(OFFSET(A1014,-E1014+1,0):A1014,"=2",OFFSET(A1014,-E1014+1,0):A1014)))),IF(AND('депозитный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калькулятор'!$G$7="30/360"),DAY(EOMONTH(F1014,0))=31),EOMONTH(F1014,0)-1=F1014,EOMONTH(F1014,0)=F1014)),IF(IF(AND(OR('депозитный калькулятор'!$G$7="30/365",'депозитный калькулятор'!$G$7="30/360"),DAY(EOMONTH($F$23,0))=31),F1014=EOMONTH($F$23,0)-1,F1014=EOMONTH($F$23,0)),MIN(OFFSET(H1014,-(DAY(F1014)-DAY($F$23)),0):H1014)*E1014,MIN(OFFSET(H1014,-(DAY(F1014)-1),0):H1014)*IF(AND(OR('депозитный калькулятор'!$G$7="30/365",'депозитный калькулятор'!$G$7="30/360"),DAY(F1014)&lt;30),30,DAY(F1014))),IF(AND('депозитный калькулятор'!$G$10="ежемесячное, на средний остаток в течение месяца, при условии что остаток больше чем ограничение",F1014='депозитный калькулятор'!$D$8,EOMONTH(F1014,0)&lt;&gt;F1014),IF('депозитный калькулятор'!$F$1=1,$H$24,SUM(OFFSET(Q1014,-E1014+1,0):Q1014)),IF(AND('депозитный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калькулятор'!$G$7="30/360"),DAY(EOMONTH(F1014,0))=31),EOMONTH(F1014,0)-1=F1014,EOMONTH(F1014,0)=F1014)),IF(IF(AND(OR('депозитный калькулятор'!$G$7="30/365",'депозитный калькулятор'!$G$7="30/360"),DAY(EOMONTH($F$24,0))=31),F1014=EOMONTH($F$24,0)-1,F1014=EOMONTH($F$24,0)),SUM(OFFSET(Q1014,-E1014+1,0):Q1014),SUM(OFFSET(Q1014,-E1014+1,0):Q1014)),IF('депозитный калькулятор'!$G$10="ежеквартальное",IF(F1014&gt;'депозитный калькулятор'!$D$8," ",IF(AND(EOMONTH(F1014,0)=F1014,OR(MONTH(F1014)=3,MONTH(F1014)=6,MONTH(F1014)=9,MONTH(F1014)=12)),IF(EDATE(F1014,-3)&lt;'депозитный калькулятор'!$D$7,SUM($H$23:H1014),IF(MOD(YEAR(F1014),4)=0,IF(AND(EOMONTH(F1014,0)=F1014,OR(MONTH(F1014)=3,MONTH(F1014)=6)),SUM(OFFSET(H1014,-90,0):H1014),IF(AND(EOMONTH(F1014,0)=F1014,OR(MONTH(F1014)=9,MONTH(F1014)=12)),SUM(OFFSET(H1014,-91,0):H1014))),IF(AND(EOMONTH(F1014,0)=F1014,MONTH(F1014)=3),SUM(OFFSET(H1014,-89,0):H1014),IF(AND(EOMONTH(F1014,0)=F1014,MONTH(F1014)=6),SUM(OFFSET(H1014,-90,0):H1014),IF(AND(EOMONTH(F1014,0)=F1014,OR(MONTH(F1014)=9,MONTH(F1014)=12)),SUM(OFFSET(H1014,-91,0):H1014)))))),IF(F1014='депозитный калькулятор'!$D$8,SUM($H$23:H1014)-SUM($I$23:I1013),0))),IF('депозитный калькулятор'!$G$10="ежегодное",IF(F1014&gt;'депозитный калькулятор'!$D$8," ",IF(F1014='депозитный калькулятор'!$D$8,SUM($H$23:H1014)-SUM($I$23:I1013),IF(AND(EOMONTH(F1014,0)=F1014,MONTH(F1014)=12),IF(MOD(YEAR(F1013),4)=0,IF(F1014-'депозитный калькулятор'!$D$7&lt;366,SUM($H$23:H1014),SUM(OFFSET(H1014,-365,0):H1014)),IF(F1014-'депозитный калькулятор'!$D$7&lt;365,SUM($H$23:H1014),SUM(OFFSET(H1014,-364,0):H1014))),0))),IF(AND('депозитный калькулятор'!$G$10="в конце срока",'депозитный калькулятор'!$D$8=F1014),SUM($H$23:H1014),0))))))))))))))))))</f>
        <v xml:space="preserve"> </v>
      </c>
      <c r="J1014" s="59" t="str">
        <f>IF(F1014&gt;'депозитный калькулятор'!$D$8," ",IF('депозитный калькулятор'!$G$16="нет",0,IF(AND('депозитный калькулятор'!$G$17="разовая (в конце срока)",F1014='депозитный калькулятор'!$D$8),'депозитный калькулятор'!$G$18,IF(AND('депозитный калькулятор'!$G$17="ежемесячная",EOMONTH(F1013,0)=F1013),'депозитный калькулятор'!$G$18,IF(AND('депозитный калькулятор'!$G$17="ежегодная",DAY(F1013)=31,MONTH(F1013)=12),'депозитный калькулятор'!$G$18,IF(AND('депозитный калькулятор'!$G$17="ежемесячная в зависимости от остатка",EOMONTH(F1013,0)=F1013,P1013&gt;0),'депозитный калькулятор'!$G$18,IF(AND('депозитный калькулятор'!$G$17="ежегодная в зависимости от остатка",DAY(F1013)=31,MONTH(F1013)=12,P1013&gt;0),'депозитный калькулятор'!$G$18,0)))))))</f>
        <v xml:space="preserve"> </v>
      </c>
      <c r="K1014" s="135" t="str">
        <f>IF($F1014=" "," ",IFERROR(VLOOKUP($F1014,'депозитный калькулятор'!$B$26:$F$70,2,0),0))</f>
        <v xml:space="preserve"> </v>
      </c>
      <c r="L1014" s="135" t="str">
        <f>IF($F1014=" "," ",IFERROR(VLOOKUP($F1014,'депозитный калькулятор'!$B$26:$F$70,3,0),0))</f>
        <v xml:space="preserve"> </v>
      </c>
      <c r="M1014" s="135" t="str">
        <f>IF($F1014=" "," ",IFERROR(VLOOKUP($F1014,'депозитный калькулятор'!$B$26:$F$70,4,0),0))</f>
        <v xml:space="preserve"> </v>
      </c>
      <c r="N1014" s="135" t="str">
        <f>IF($F1014=" "," ",IFERROR(VLOOKUP($F1014,'депозитный калькулятор'!$B$26:$F$70,5,0),0))</f>
        <v xml:space="preserve"> </v>
      </c>
      <c r="O1014" s="146" t="str">
        <f>IF(F1014&gt;'депозитный калькулятор'!$D$8," ",IF(F1014='депозитный калькулятор'!$D$8,IF(AND($F$24='депозитный калькулятор'!$D$8,'депозитный калькулятор'!$G$13="нет"),-G1014-IF(I1014=" ",0,I1014)-IF(AND(OR('депозитный калькулятор'!$G$7="30/365",'депозитный калькулятор'!$G$7="30/360"),'депозитный калькулятор'!$G$10="в начале срока"),I1013,0)-L1014+M1014-N1014,-G1014-IF(I1014=" ",0,I1014)-L1014+M1014-N1014),IF('депозитный калькулятор'!$G$13="есть",M1014-N1014+IF('депозитный калькулятор'!$G$14="есть",0,-L1014),-IF(I1014=" ",0,I1014)-IF(AND(OR('депозитный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срока"),I1013,0)+M1014-N1014+IF('депозитный калькулятор'!$G$14="есть",0,-L1014))))</f>
        <v xml:space="preserve"> </v>
      </c>
      <c r="P1014" s="147" t="str">
        <f>IF(F1014&gt;'депозитный калькулятор'!$D$8," ",IF(EOMONTH(F1013,0)=F1013,0,IF(G1014&gt;='депозитный калькулятор'!$G$19,P1013,P1013+1)))</f>
        <v xml:space="preserve"> </v>
      </c>
      <c r="Q1014" s="138" t="str">
        <f>IF(F1014=" "," ",IF(AND(OR('депозитный калькулятор'!$G$7="30/365",'депозитный калькулятор'!$G$7="30/360"),AND(MONTH(F1014)=2,EOMONTH(F1014,0)=F1014)),IF(DAY(F1014)=28,3,2),1)*IF(G1014&gt;='депозитный калькулятор'!$G$11,IF(AND('депозитный калькулятор'!$G$7="факт/факт",MOD(YEAR(F1014),4)=0),G1014*'депозитный калькулятор'!$D$11/366,G1014*'депозитный калькулятор'!$G$8),0))</f>
        <v xml:space="preserve"> </v>
      </c>
      <c r="S1014" s="62" t="str">
        <f t="shared" ca="1" si="77"/>
        <v xml:space="preserve"> </v>
      </c>
      <c r="T1014" s="149" t="str">
        <f ca="1">IF(S1014=" "," ",IF('депозитный калькулятор'!$G$7="30/360",DAYS360(U1013,IF(DAY(U1014)=31,U1014-1,U1014))+IF(AND(MONTH(U1014)=2,U1014=EOMONTH(U1014,0)),30-DAY(EOMONTH(U1014,0)))+T1013,VLOOKUP(S1014,$C$22:$F$1023,2,0)))</f>
        <v xml:space="preserve"> </v>
      </c>
      <c r="U1014" s="64" t="str">
        <f t="shared" ca="1" si="75"/>
        <v xml:space="preserve"> </v>
      </c>
      <c r="V1014" s="150" t="str">
        <f t="shared" ca="1" si="78"/>
        <v xml:space="preserve"> </v>
      </c>
      <c r="W1014" s="62" t="str">
        <f t="shared" ca="1" si="79"/>
        <v xml:space="preserve"> </v>
      </c>
      <c r="X1014" s="141" t="str">
        <f ca="1">IF(S1014=" "," ",IFERROR(VLOOKUP(U1014,$F$23:$N$1023,7)+VLOOKUP(U1014,$F$23:$N$1023,9)+IF(AND('депозитный калькулятор'!$G$13="нет",U1014&lt;&gt;'депозитный калькулятор'!$D$8),VLOOKUP(U1014,$F$23:$N$1023,4),0),0)+IF(U1014='депозитный калькулятор'!$D$8,VLOOKUP(U1014,$F$23:$N$1023,2)+VLOOKUP(U1014,$F$23:$N$1023,4),0))</f>
        <v xml:space="preserve"> </v>
      </c>
      <c r="Y1014" s="142" t="str">
        <f ca="1">IF(S1014=" "," ",W1014/(1+'депозитный калькулятор'!$K$8)^(T1014/IF('депозитный калькулятор'!$G$7="30/360",360,365)))</f>
        <v xml:space="preserve"> </v>
      </c>
      <c r="Z1014" s="142" t="str">
        <f ca="1">IF(S1014=" "," ",X1014/(1+'депозитный калькулятор'!$K$8)^(T1014/IF('депозитный калькулятор'!$G$7="30/360",360,365)))</f>
        <v xml:space="preserve"> </v>
      </c>
      <c r="AA1014" s="151"/>
      <c r="AB1014" s="151"/>
      <c r="AC1014" s="155"/>
      <c r="AD1014" s="155"/>
      <c r="AF1014" s="2"/>
      <c r="AG1014" s="2"/>
      <c r="AH1014" s="2"/>
    </row>
    <row r="1015" spans="1:34" ht="15.5" x14ac:dyDescent="0.35">
      <c r="A1015" s="41" t="str">
        <f>IF(F1015=" "," ",IF(OR('депозитный калькулятор'!$G$7="30/365",'депозитный калькулятор'!$G$7="30/360"),IF(AND(MONTH(F1015)=2,DAY(F1015)=DAY(EOMONTH(F1015,0))),30-DAY(EOMONTH(F1015,0)),IF(DAY(F1015)=31,1," "))," "))</f>
        <v xml:space="preserve"> </v>
      </c>
      <c r="B1015" s="130" t="str">
        <f t="shared" si="76"/>
        <v xml:space="preserve"> </v>
      </c>
      <c r="C1015" s="130" t="str">
        <f>IF(OR(B1015=0,B1015=" ")," ",SUM($B$23:B1015))</f>
        <v xml:space="preserve"> </v>
      </c>
      <c r="D1015" s="62" t="str">
        <f>IF(D1014=" "," ",IF(OR(F1014='депозитный калькулятор'!$D$8,F1014=" ")," ",D1014+1))</f>
        <v xml:space="preserve"> </v>
      </c>
      <c r="E1015" s="130" t="str">
        <f>IF(OR(F1014='депозитный калькулятор'!$D$8,F1014=" ")," ",IF(EOMONTH(F1014,0)=F1014,1,E1014+1))</f>
        <v xml:space="preserve"> </v>
      </c>
      <c r="F1015" s="64" t="str">
        <f>IF(F1014=" "," ",IF(F1014='депозитный калькулятор'!$D$8," ",F1014+1))</f>
        <v xml:space="preserve"> </v>
      </c>
      <c r="G1015" s="145" t="str">
        <f xml:space="preserve"> IF(F1015&gt;'депозитный калькулятор'!$D$8," ",IF('депозитный калькулятор'!$G$13="есть",IF('депозитный калькулятор'!$G$14="есть",G1014+IF(I1014=" ",0,I1014)-J1015-K1015+L1015+M1015-N1015,G1014+IF(I1014=" ",0,I1014)-J1015-K1015+M1015-N1015),IF('депозитный калькулятор'!$G$14="есть",G1014-J1015-K1015+L1015+M1015-N1015,G1014-J1015-K1015+M1015-N1015)))</f>
        <v xml:space="preserve"> </v>
      </c>
      <c r="H1015" s="133" t="str">
        <f>IF(F1015&gt;'депозитный калькулятор'!$D$8," ",IF(AND(OR('депозитный калькулятор'!$G$7="30/365",'депозитный калькулятор'!$G$7="30/360"),AND(MONTH(F1015)=2,EOMONTH(F1015,0)=F1015)),IF(DAY(F1015)=28,3*G1015*'депозитный калькулятор'!$G$8,2*G1015*'депозитный калькулятор'!$G$8),IF(AND(OR('депозитный калькулятор'!$G$7="30/365",'депозитный калькулятор'!$G$7="30/360"),DAY(F1015)=31)," ",IF(AND('депозитный калькулятор'!$G$7="факт/факт",MOD(YEAR(F1015),4)=0),G1015*'депозитный калькулятор'!$D$11/366,G1015*'депозитный калькулятор'!$G$8))))</f>
        <v xml:space="preserve"> </v>
      </c>
      <c r="I1015" s="134" t="str">
        <f ca="1">IF(F1015=" "," ",IF('депозитный калькулятор'!$G$10="ежедневное",H1015,IF(AND('депозитный калькулятор'!$G$10="еженедельное",WEEKDAY(F1015,2)=7),SUM(OFFSET(H1015,-6,0):H1015),IF(AND('депозитный калькулятор'!$G$10="еженедельное",F1015='депозитный калькулятор'!$D$8),SUM($H$23:H1015)-SUM($I$23:I1014),IF(AND('депозитный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недели",WEEKDAY(F1015,2)=7),MIN(OFFSET(H1015,-6,0):H1015)*(COUNTIF(OFFSET(H1015,-6,0):H1015,"&gt;0")+SUMIF(OFFSET(A1015,-WEEKDAY(F1015,2),0):A1015,"=2",OFFSET(A1015,-WEEKDAY(F1015,2),0):A1015)),IF(AND('депозитный калькулятор'!$G$10="еженедельное, на минимальную сумму зафиксированную в течение недели",F1015='депозитный калькулятор'!$D$8,WEEKDAY(F1015,2)&lt;&gt;7),MIN(OFFSET(H1015,-WEEKDAY(F1015,2),0):H1015)*(COUNTIF(OFFSET(H1015,-WEEKDAY(F1015,2)+1,0):H1015,"&gt;0")+SUM(OFFSET(A1015,-WEEKDAY(F1015,2),0):A1015)),IF(AND('депозитный калькулятор'!$G$10="ежемесячное (в конце месяца)",F1015='депозитный калькулятор'!$D$8,EOMONTH(F1015,0)&lt;&gt;F1015),IF('депозитный калькулятор'!$F$1=1,$H$24,SUM($H$23:H1015)-SUM($I$23:I1014)),IF(AND('депозитный калькулятор'!$G$10="ежемесячное (в конце месяца)",EOMONTH(F1015,0)=F1015),SUM($H$23:H1015)-SUM($I$23:I1014),IF(AND('депозитный калькулятор'!$G$10="ежемесячное (по дням открытия вклада)",F1015='депозитный калькулятор'!$D$8,DAY('депозитный калькулятор'!$D$7)&lt;&gt;DAY(F1015)),IF('депозитный калькулятор'!$F$1=1,$H$24,SUM($H$23:H1015)-SUM($I$23:I1014)),IF(AND('депозитный калькулятор'!$G$10="ежемесячное (по дням открытия вклада)",DAY('депозитный калькулятор'!$D$7)=DAY(F1015)),SUM($H$23:H1015)-SUM($I$23:I1014),IF(AND('депозитный калькулятор'!$G$10="ежемесячное, на минимальную сумму зафиксированную в течение месяца",F1015='депозитный калькулятор'!$D$8,EOMONTH(F1015,0)&lt;&gt;F1015),IF('депозитный калькулятор'!$F$1=1,$H$24,IF(AND(OR('депозитный калькулятор'!$G$7="30/365",'депозитный калькулятор'!$G$7="30/360"),DAY(F1015)=31),0,MIN(OFFSET(H1015,-E1015+1,0):H1015)*(E1015+SUMIF(OFFSET(A1015,-E1015+1,0):A1015,"=2",OFFSET(A1015,-E1015+1,0):A1015)))),IF(AND('депозитный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калькулятор'!$G$7="30/360"),DAY(EOMONTH(F1015,0))=31),EOMONTH(F1015,0)-1=F1015,EOMONTH(F1015,0)=F1015)),IF(IF(AND(OR('депозитный калькулятор'!$G$7="30/365",'депозитный калькулятор'!$G$7="30/360"),DAY(EOMONTH($F$23,0))=31),F1015=EOMONTH($F$23,0)-1,F1015=EOMONTH($F$23,0)),MIN(OFFSET(H1015,-(DAY(F1015)-DAY($F$23)),0):H1015)*E1015,MIN(OFFSET(H1015,-(DAY(F1015)-1),0):H1015)*IF(AND(OR('депозитный калькулятор'!$G$7="30/365",'депозитный калькулятор'!$G$7="30/360"),DAY(F1015)&lt;30),30,DAY(F1015))),IF(AND('депозитный калькулятор'!$G$10="ежемесячное, на средний остаток в течение месяца, при условии что остаток больше чем ограничение",F1015='депозитный калькулятор'!$D$8,EOMONTH(F1015,0)&lt;&gt;F1015),IF('депозитный калькулятор'!$F$1=1,$H$24,SUM(OFFSET(Q1015,-E1015+1,0):Q1015)),IF(AND('депозитный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калькулятор'!$G$7="30/360"),DAY(EOMONTH(F1015,0))=31),EOMONTH(F1015,0)-1=F1015,EOMONTH(F1015,0)=F1015)),IF(IF(AND(OR('депозитный калькулятор'!$G$7="30/365",'депозитный калькулятор'!$G$7="30/360"),DAY(EOMONTH($F$24,0))=31),F1015=EOMONTH($F$24,0)-1,F1015=EOMONTH($F$24,0)),SUM(OFFSET(Q1015,-E1015+1,0):Q1015),SUM(OFFSET(Q1015,-E1015+1,0):Q1015)),IF('депозитный калькулятор'!$G$10="ежеквартальное",IF(F1015&gt;'депозитный калькулятор'!$D$8," ",IF(AND(EOMONTH(F1015,0)=F1015,OR(MONTH(F1015)=3,MONTH(F1015)=6,MONTH(F1015)=9,MONTH(F1015)=12)),IF(EDATE(F1015,-3)&lt;'депозитный калькулятор'!$D$7,SUM($H$23:H1015),IF(MOD(YEAR(F1015),4)=0,IF(AND(EOMONTH(F1015,0)=F1015,OR(MONTH(F1015)=3,MONTH(F1015)=6)),SUM(OFFSET(H1015,-90,0):H1015),IF(AND(EOMONTH(F1015,0)=F1015,OR(MONTH(F1015)=9,MONTH(F1015)=12)),SUM(OFFSET(H1015,-91,0):H1015))),IF(AND(EOMONTH(F1015,0)=F1015,MONTH(F1015)=3),SUM(OFFSET(H1015,-89,0):H1015),IF(AND(EOMONTH(F1015,0)=F1015,MONTH(F1015)=6),SUM(OFFSET(H1015,-90,0):H1015),IF(AND(EOMONTH(F1015,0)=F1015,OR(MONTH(F1015)=9,MONTH(F1015)=12)),SUM(OFFSET(H1015,-91,0):H1015)))))),IF(F1015='депозитный калькулятор'!$D$8,SUM($H$23:H1015)-SUM($I$23:I1014),0))),IF('депозитный калькулятор'!$G$10="ежегодное",IF(F1015&gt;'депозитный калькулятор'!$D$8," ",IF(F1015='депозитный калькулятор'!$D$8,SUM($H$23:H1015)-SUM($I$23:I1014),IF(AND(EOMONTH(F1015,0)=F1015,MONTH(F1015)=12),IF(MOD(YEAR(F1014),4)=0,IF(F1015-'депозитный калькулятор'!$D$7&lt;366,SUM($H$23:H1015),SUM(OFFSET(H1015,-365,0):H1015)),IF(F1015-'депозитный калькулятор'!$D$7&lt;365,SUM($H$23:H1015),SUM(OFFSET(H1015,-364,0):H1015))),0))),IF(AND('депозитный калькулятор'!$G$10="в конце срока",'депозитный калькулятор'!$D$8=F1015),SUM($H$23:H1015),0))))))))))))))))))</f>
        <v xml:space="preserve"> </v>
      </c>
      <c r="J1015" s="59" t="str">
        <f>IF(F1015&gt;'депозитный калькулятор'!$D$8," ",IF('депозитный калькулятор'!$G$16="нет",0,IF(AND('депозитный калькулятор'!$G$17="разовая (в конце срока)",F1015='депозитный калькулятор'!$D$8),'депозитный калькулятор'!$G$18,IF(AND('депозитный калькулятор'!$G$17="ежемесячная",EOMONTH(F1014,0)=F1014),'депозитный калькулятор'!$G$18,IF(AND('депозитный калькулятор'!$G$17="ежегодная",DAY(F1014)=31,MONTH(F1014)=12),'депозитный калькулятор'!$G$18,IF(AND('депозитный калькулятор'!$G$17="ежемесячная в зависимости от остатка",EOMONTH(F1014,0)=F1014,P1014&gt;0),'депозитный калькулятор'!$G$18,IF(AND('депозитный калькулятор'!$G$17="ежегодная в зависимости от остатка",DAY(F1014)=31,MONTH(F1014)=12,P1014&gt;0),'депозитный калькулятор'!$G$18,0)))))))</f>
        <v xml:space="preserve"> </v>
      </c>
      <c r="K1015" s="135" t="str">
        <f>IF($F1015=" "," ",IFERROR(VLOOKUP($F1015,'депозитный калькулятор'!$B$26:$F$70,2,0),0))</f>
        <v xml:space="preserve"> </v>
      </c>
      <c r="L1015" s="135" t="str">
        <f>IF($F1015=" "," ",IFERROR(VLOOKUP($F1015,'депозитный калькулятор'!$B$26:$F$70,3,0),0))</f>
        <v xml:space="preserve"> </v>
      </c>
      <c r="M1015" s="135" t="str">
        <f>IF($F1015=" "," ",IFERROR(VLOOKUP($F1015,'депозитный калькулятор'!$B$26:$F$70,4,0),0))</f>
        <v xml:space="preserve"> </v>
      </c>
      <c r="N1015" s="135" t="str">
        <f>IF($F1015=" "," ",IFERROR(VLOOKUP($F1015,'депозитный калькулятор'!$B$26:$F$70,5,0),0))</f>
        <v xml:space="preserve"> </v>
      </c>
      <c r="O1015" s="146" t="str">
        <f>IF(F1015&gt;'депозитный калькулятор'!$D$8," ",IF(F1015='депозитный калькулятор'!$D$8,IF(AND($F$24='депозитный калькулятор'!$D$8,'депозитный калькулятор'!$G$13="нет"),-G1015-IF(I1015=" ",0,I1015)-IF(AND(OR('депозитный калькулятор'!$G$7="30/365",'депозитный калькулятор'!$G$7="30/360"),'депозитный калькулятор'!$G$10="в начале срока"),I1014,0)-L1015+M1015-N1015,-G1015-IF(I1015=" ",0,I1015)-L1015+M1015-N1015),IF('депозитный калькулятор'!$G$13="есть",M1015-N1015+IF('депозитный калькулятор'!$G$14="есть",0,-L1015),-IF(I1015=" ",0,I1015)-IF(AND(OR('депозитный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срока"),I1014,0)+M1015-N1015+IF('депозитный калькулятор'!$G$14="есть",0,-L1015))))</f>
        <v xml:space="preserve"> </v>
      </c>
      <c r="P1015" s="147" t="str">
        <f>IF(F1015&gt;'депозитный калькулятор'!$D$8," ",IF(EOMONTH(F1014,0)=F1014,0,IF(G1015&gt;='депозитный калькулятор'!$G$19,P1014,P1014+1)))</f>
        <v xml:space="preserve"> </v>
      </c>
      <c r="Q1015" s="138" t="str">
        <f>IF(F1015=" "," ",IF(AND(OR('депозитный калькулятор'!$G$7="30/365",'депозитный калькулятор'!$G$7="30/360"),AND(MONTH(F1015)=2,EOMONTH(F1015,0)=F1015)),IF(DAY(F1015)=28,3,2),1)*IF(G1015&gt;='депозитный калькулятор'!$G$11,IF(AND('депозитный калькулятор'!$G$7="факт/факт",MOD(YEAR(F1015),4)=0),G1015*'депозитный калькулятор'!$D$11/366,G1015*'депозитный калькулятор'!$G$8),0))</f>
        <v xml:space="preserve"> </v>
      </c>
      <c r="S1015" s="62" t="str">
        <f t="shared" ca="1" si="77"/>
        <v xml:space="preserve"> </v>
      </c>
      <c r="T1015" s="149" t="str">
        <f ca="1">IF(S1015=" "," ",IF('депозитный калькулятор'!$G$7="30/360",DAYS360(U1014,IF(DAY(U1015)=31,U1015-1,U1015))+IF(AND(MONTH(U1015)=2,U1015=EOMONTH(U1015,0)),30-DAY(EOMONTH(U1015,0)))+T1014,VLOOKUP(S1015,$C$22:$F$1023,2,0)))</f>
        <v xml:space="preserve"> </v>
      </c>
      <c r="U1015" s="64" t="str">
        <f t="shared" ca="1" si="75"/>
        <v xml:space="preserve"> </v>
      </c>
      <c r="V1015" s="150" t="str">
        <f t="shared" ca="1" si="78"/>
        <v xml:space="preserve"> </v>
      </c>
      <c r="W1015" s="62" t="str">
        <f t="shared" ca="1" si="79"/>
        <v xml:space="preserve"> </v>
      </c>
      <c r="X1015" s="141" t="str">
        <f ca="1">IF(S1015=" "," ",IFERROR(VLOOKUP(U1015,$F$23:$N$1023,7)+VLOOKUP(U1015,$F$23:$N$1023,9)+IF(AND('депозитный калькулятор'!$G$13="нет",U1015&lt;&gt;'депозитный калькулятор'!$D$8),VLOOKUP(U1015,$F$23:$N$1023,4),0),0)+IF(U1015='депозитный калькулятор'!$D$8,VLOOKUP(U1015,$F$23:$N$1023,2)+VLOOKUP(U1015,$F$23:$N$1023,4),0))</f>
        <v xml:space="preserve"> </v>
      </c>
      <c r="Y1015" s="142" t="str">
        <f ca="1">IF(S1015=" "," ",W1015/(1+'депозитный калькулятор'!$K$8)^(T1015/IF('депозитный калькулятор'!$G$7="30/360",360,365)))</f>
        <v xml:space="preserve"> </v>
      </c>
      <c r="Z1015" s="142" t="str">
        <f ca="1">IF(S1015=" "," ",X1015/(1+'депозитный калькулятор'!$K$8)^(T1015/IF('депозитный калькулятор'!$G$7="30/360",360,365)))</f>
        <v xml:space="preserve"> </v>
      </c>
      <c r="AA1015" s="151"/>
      <c r="AB1015" s="151"/>
      <c r="AC1015" s="155"/>
      <c r="AD1015" s="155"/>
      <c r="AF1015" s="2"/>
      <c r="AG1015" s="2"/>
      <c r="AH1015" s="2"/>
    </row>
    <row r="1016" spans="1:34" ht="15.5" x14ac:dyDescent="0.35">
      <c r="A1016" s="41" t="str">
        <f>IF(F1016=" "," ",IF(OR('депозитный калькулятор'!$G$7="30/365",'депозитный калькулятор'!$G$7="30/360"),IF(AND(MONTH(F1016)=2,DAY(F1016)=DAY(EOMONTH(F1016,0))),30-DAY(EOMONTH(F1016,0)),IF(DAY(F1016)=31,1," "))," "))</f>
        <v xml:space="preserve"> </v>
      </c>
      <c r="B1016" s="130" t="str">
        <f t="shared" si="76"/>
        <v xml:space="preserve"> </v>
      </c>
      <c r="C1016" s="130" t="str">
        <f>IF(OR(B1016=0,B1016=" ")," ",SUM($B$23:B1016))</f>
        <v xml:space="preserve"> </v>
      </c>
      <c r="D1016" s="62" t="str">
        <f>IF(D1015=" "," ",IF(OR(F1015='депозитный калькулятор'!$D$8,F1015=" ")," ",D1015+1))</f>
        <v xml:space="preserve"> </v>
      </c>
      <c r="E1016" s="130" t="str">
        <f>IF(OR(F1015='депозитный калькулятор'!$D$8,F1015=" ")," ",IF(EOMONTH(F1015,0)=F1015,1,E1015+1))</f>
        <v xml:space="preserve"> </v>
      </c>
      <c r="F1016" s="64" t="str">
        <f>IF(F1015=" "," ",IF(F1015='депозитный калькулятор'!$D$8," ",F1015+1))</f>
        <v xml:space="preserve"> </v>
      </c>
      <c r="G1016" s="145" t="str">
        <f xml:space="preserve"> IF(F1016&gt;'депозитный калькулятор'!$D$8," ",IF('депозитный калькулятор'!$G$13="есть",IF('депозитный калькулятор'!$G$14="есть",G1015+IF(I1015=" ",0,I1015)-J1016-K1016+L1016+M1016-N1016,G1015+IF(I1015=" ",0,I1015)-J1016-K1016+M1016-N1016),IF('депозитный калькулятор'!$G$14="есть",G1015-J1016-K1016+L1016+M1016-N1016,G1015-J1016-K1016+M1016-N1016)))</f>
        <v xml:space="preserve"> </v>
      </c>
      <c r="H1016" s="133" t="str">
        <f>IF(F1016&gt;'депозитный калькулятор'!$D$8," ",IF(AND(OR('депозитный калькулятор'!$G$7="30/365",'депозитный калькулятор'!$G$7="30/360"),AND(MONTH(F1016)=2,EOMONTH(F1016,0)=F1016)),IF(DAY(F1016)=28,3*G1016*'депозитный калькулятор'!$G$8,2*G1016*'депозитный калькулятор'!$G$8),IF(AND(OR('депозитный калькулятор'!$G$7="30/365",'депозитный калькулятор'!$G$7="30/360"),DAY(F1016)=31)," ",IF(AND('депозитный калькулятор'!$G$7="факт/факт",MOD(YEAR(F1016),4)=0),G1016*'депозитный калькулятор'!$D$11/366,G1016*'депозитный калькулятор'!$G$8))))</f>
        <v xml:space="preserve"> </v>
      </c>
      <c r="I1016" s="134" t="str">
        <f ca="1">IF(F1016=" "," ",IF('депозитный калькулятор'!$G$10="ежедневное",H1016,IF(AND('депозитный калькулятор'!$G$10="еженедельное",WEEKDAY(F1016,2)=7),SUM(OFFSET(H1016,-6,0):H1016),IF(AND('депозитный калькулятор'!$G$10="еженедельное",F1016='депозитный калькулятор'!$D$8),SUM($H$23:H1016)-SUM($I$23:I1015),IF(AND('депозитный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недели",WEEKDAY(F1016,2)=7),MIN(OFFSET(H1016,-6,0):H1016)*(COUNTIF(OFFSET(H1016,-6,0):H1016,"&gt;0")+SUMIF(OFFSET(A1016,-WEEKDAY(F1016,2),0):A1016,"=2",OFFSET(A1016,-WEEKDAY(F1016,2),0):A1016)),IF(AND('депозитный калькулятор'!$G$10="еженедельное, на минимальную сумму зафиксированную в течение недели",F1016='депозитный калькулятор'!$D$8,WEEKDAY(F1016,2)&lt;&gt;7),MIN(OFFSET(H1016,-WEEKDAY(F1016,2),0):H1016)*(COUNTIF(OFFSET(H1016,-WEEKDAY(F1016,2)+1,0):H1016,"&gt;0")+SUM(OFFSET(A1016,-WEEKDAY(F1016,2),0):A1016)),IF(AND('депозитный калькулятор'!$G$10="ежемесячное (в конце месяца)",F1016='депозитный калькулятор'!$D$8,EOMONTH(F1016,0)&lt;&gt;F1016),IF('депозитный калькулятор'!$F$1=1,$H$24,SUM($H$23:H1016)-SUM($I$23:I1015)),IF(AND('депозитный калькулятор'!$G$10="ежемесячное (в конце месяца)",EOMONTH(F1016,0)=F1016),SUM($H$23:H1016)-SUM($I$23:I1015),IF(AND('депозитный калькулятор'!$G$10="ежемесячное (по дням открытия вклада)",F1016='депозитный калькулятор'!$D$8,DAY('депозитный калькулятор'!$D$7)&lt;&gt;DAY(F1016)),IF('депозитный калькулятор'!$F$1=1,$H$24,SUM($H$23:H1016)-SUM($I$23:I1015)),IF(AND('депозитный калькулятор'!$G$10="ежемесячное (по дням открытия вклада)",DAY('депозитный калькулятор'!$D$7)=DAY(F1016)),SUM($H$23:H1016)-SUM($I$23:I1015),IF(AND('депозитный калькулятор'!$G$10="ежемесячное, на минимальную сумму зафиксированную в течение месяца",F1016='депозитный калькулятор'!$D$8,EOMONTH(F1016,0)&lt;&gt;F1016),IF('депозитный калькулятор'!$F$1=1,$H$24,IF(AND(OR('депозитный калькулятор'!$G$7="30/365",'депозитный калькулятор'!$G$7="30/360"),DAY(F1016)=31),0,MIN(OFFSET(H1016,-E1016+1,0):H1016)*(E1016+SUMIF(OFFSET(A1016,-E1016+1,0):A1016,"=2",OFFSET(A1016,-E1016+1,0):A1016)))),IF(AND('депозитный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калькулятор'!$G$7="30/360"),DAY(EOMONTH(F1016,0))=31),EOMONTH(F1016,0)-1=F1016,EOMONTH(F1016,0)=F1016)),IF(IF(AND(OR('депозитный калькулятор'!$G$7="30/365",'депозитный калькулятор'!$G$7="30/360"),DAY(EOMONTH($F$23,0))=31),F1016=EOMONTH($F$23,0)-1,F1016=EOMONTH($F$23,0)),MIN(OFFSET(H1016,-(DAY(F1016)-DAY($F$23)),0):H1016)*E1016,MIN(OFFSET(H1016,-(DAY(F1016)-1),0):H1016)*IF(AND(OR('депозитный калькулятор'!$G$7="30/365",'депозитный калькулятор'!$G$7="30/360"),DAY(F1016)&lt;30),30,DAY(F1016))),IF(AND('депозитный калькулятор'!$G$10="ежемесячное, на средний остаток в течение месяца, при условии что остаток больше чем ограничение",F1016='депозитный калькулятор'!$D$8,EOMONTH(F1016,0)&lt;&gt;F1016),IF('депозитный калькулятор'!$F$1=1,$H$24,SUM(OFFSET(Q1016,-E1016+1,0):Q1016)),IF(AND('депозитный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калькулятор'!$G$7="30/360"),DAY(EOMONTH(F1016,0))=31),EOMONTH(F1016,0)-1=F1016,EOMONTH(F1016,0)=F1016)),IF(IF(AND(OR('депозитный калькулятор'!$G$7="30/365",'депозитный калькулятор'!$G$7="30/360"),DAY(EOMONTH($F$24,0))=31),F1016=EOMONTH($F$24,0)-1,F1016=EOMONTH($F$24,0)),SUM(OFFSET(Q1016,-E1016+1,0):Q1016),SUM(OFFSET(Q1016,-E1016+1,0):Q1016)),IF('депозитный калькулятор'!$G$10="ежеквартальное",IF(F1016&gt;'депозитный калькулятор'!$D$8," ",IF(AND(EOMONTH(F1016,0)=F1016,OR(MONTH(F1016)=3,MONTH(F1016)=6,MONTH(F1016)=9,MONTH(F1016)=12)),IF(EDATE(F1016,-3)&lt;'депозитный калькулятор'!$D$7,SUM($H$23:H1016),IF(MOD(YEAR(F1016),4)=0,IF(AND(EOMONTH(F1016,0)=F1016,OR(MONTH(F1016)=3,MONTH(F1016)=6)),SUM(OFFSET(H1016,-90,0):H1016),IF(AND(EOMONTH(F1016,0)=F1016,OR(MONTH(F1016)=9,MONTH(F1016)=12)),SUM(OFFSET(H1016,-91,0):H1016))),IF(AND(EOMONTH(F1016,0)=F1016,MONTH(F1016)=3),SUM(OFFSET(H1016,-89,0):H1016),IF(AND(EOMONTH(F1016,0)=F1016,MONTH(F1016)=6),SUM(OFFSET(H1016,-90,0):H1016),IF(AND(EOMONTH(F1016,0)=F1016,OR(MONTH(F1016)=9,MONTH(F1016)=12)),SUM(OFFSET(H1016,-91,0):H1016)))))),IF(F1016='депозитный калькулятор'!$D$8,SUM($H$23:H1016)-SUM($I$23:I1015),0))),IF('депозитный калькулятор'!$G$10="ежегодное",IF(F1016&gt;'депозитный калькулятор'!$D$8," ",IF(F1016='депозитный калькулятор'!$D$8,SUM($H$23:H1016)-SUM($I$23:I1015),IF(AND(EOMONTH(F1016,0)=F1016,MONTH(F1016)=12),IF(MOD(YEAR(F1015),4)=0,IF(F1016-'депозитный калькулятор'!$D$7&lt;366,SUM($H$23:H1016),SUM(OFFSET(H1016,-365,0):H1016)),IF(F1016-'депозитный калькулятор'!$D$7&lt;365,SUM($H$23:H1016),SUM(OFFSET(H1016,-364,0):H1016))),0))),IF(AND('депозитный калькулятор'!$G$10="в конце срока",'депозитный калькулятор'!$D$8=F1016),SUM($H$23:H1016),0))))))))))))))))))</f>
        <v xml:space="preserve"> </v>
      </c>
      <c r="J1016" s="59" t="str">
        <f>IF(F1016&gt;'депозитный калькулятор'!$D$8," ",IF('депозитный калькулятор'!$G$16="нет",0,IF(AND('депозитный калькулятор'!$G$17="разовая (в конце срока)",F1016='депозитный калькулятор'!$D$8),'депозитный калькулятор'!$G$18,IF(AND('депозитный калькулятор'!$G$17="ежемесячная",EOMONTH(F1015,0)=F1015),'депозитный калькулятор'!$G$18,IF(AND('депозитный калькулятор'!$G$17="ежегодная",DAY(F1015)=31,MONTH(F1015)=12),'депозитный калькулятор'!$G$18,IF(AND('депозитный калькулятор'!$G$17="ежемесячная в зависимости от остатка",EOMONTH(F1015,0)=F1015,P1015&gt;0),'депозитный калькулятор'!$G$18,IF(AND('депозитный калькулятор'!$G$17="ежегодная в зависимости от остатка",DAY(F1015)=31,MONTH(F1015)=12,P1015&gt;0),'депозитный калькулятор'!$G$18,0)))))))</f>
        <v xml:space="preserve"> </v>
      </c>
      <c r="K1016" s="135" t="str">
        <f>IF($F1016=" "," ",IFERROR(VLOOKUP($F1016,'депозитный калькулятор'!$B$26:$F$70,2,0),0))</f>
        <v xml:space="preserve"> </v>
      </c>
      <c r="L1016" s="135" t="str">
        <f>IF($F1016=" "," ",IFERROR(VLOOKUP($F1016,'депозитный калькулятор'!$B$26:$F$70,3,0),0))</f>
        <v xml:space="preserve"> </v>
      </c>
      <c r="M1016" s="135" t="str">
        <f>IF($F1016=" "," ",IFERROR(VLOOKUP($F1016,'депозитный калькулятор'!$B$26:$F$70,4,0),0))</f>
        <v xml:space="preserve"> </v>
      </c>
      <c r="N1016" s="135" t="str">
        <f>IF($F1016=" "," ",IFERROR(VLOOKUP($F1016,'депозитный калькулятор'!$B$26:$F$70,5,0),0))</f>
        <v xml:space="preserve"> </v>
      </c>
      <c r="O1016" s="146" t="str">
        <f>IF(F1016&gt;'депозитный калькулятор'!$D$8," ",IF(F1016='депозитный калькулятор'!$D$8,IF(AND($F$24='депозитный калькулятор'!$D$8,'депозитный калькулятор'!$G$13="нет"),-G1016-IF(I1016=" ",0,I1016)-IF(AND(OR('депозитный калькулятор'!$G$7="30/365",'депозитный калькулятор'!$G$7="30/360"),'депозитный калькулятор'!$G$10="в начале срока"),I1015,0)-L1016+M1016-N1016,-G1016-IF(I1016=" ",0,I1016)-L1016+M1016-N1016),IF('депозитный калькулятор'!$G$13="есть",M1016-N1016+IF('депозитный калькулятор'!$G$14="есть",0,-L1016),-IF(I1016=" ",0,I1016)-IF(AND(OR('депозитный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срока"),I1015,0)+M1016-N1016+IF('депозитный калькулятор'!$G$14="есть",0,-L1016))))</f>
        <v xml:space="preserve"> </v>
      </c>
      <c r="P1016" s="147" t="str">
        <f>IF(F1016&gt;'депозитный калькулятор'!$D$8," ",IF(EOMONTH(F1015,0)=F1015,0,IF(G1016&gt;='депозитный калькулятор'!$G$19,P1015,P1015+1)))</f>
        <v xml:space="preserve"> </v>
      </c>
      <c r="Q1016" s="138" t="str">
        <f>IF(F1016=" "," ",IF(AND(OR('депозитный калькулятор'!$G$7="30/365",'депозитный калькулятор'!$G$7="30/360"),AND(MONTH(F1016)=2,EOMONTH(F1016,0)=F1016)),IF(DAY(F1016)=28,3,2),1)*IF(G1016&gt;='депозитный калькулятор'!$G$11,IF(AND('депозитный калькулятор'!$G$7="факт/факт",MOD(YEAR(F1016),4)=0),G1016*'депозитный калькулятор'!$D$11/366,G1016*'депозитный калькулятор'!$G$8),0))</f>
        <v xml:space="preserve"> </v>
      </c>
      <c r="S1016" s="62" t="str">
        <f t="shared" ca="1" si="77"/>
        <v xml:space="preserve"> </v>
      </c>
      <c r="T1016" s="149" t="str">
        <f ca="1">IF(S1016=" "," ",IF('депозитный калькулятор'!$G$7="30/360",DAYS360(U1015,IF(DAY(U1016)=31,U1016-1,U1016))+IF(AND(MONTH(U1016)=2,U1016=EOMONTH(U1016,0)),30-DAY(EOMONTH(U1016,0)))+T1015,VLOOKUP(S1016,$C$22:$F$1023,2,0)))</f>
        <v xml:space="preserve"> </v>
      </c>
      <c r="U1016" s="64" t="str">
        <f t="shared" ca="1" si="75"/>
        <v xml:space="preserve"> </v>
      </c>
      <c r="V1016" s="150" t="str">
        <f t="shared" ca="1" si="78"/>
        <v xml:space="preserve"> </v>
      </c>
      <c r="W1016" s="62" t="str">
        <f t="shared" ca="1" si="79"/>
        <v xml:space="preserve"> </v>
      </c>
      <c r="X1016" s="141" t="str">
        <f ca="1">IF(S1016=" "," ",IFERROR(VLOOKUP(U1016,$F$23:$N$1023,7)+VLOOKUP(U1016,$F$23:$N$1023,9)+IF(AND('депозитный калькулятор'!$G$13="нет",U1016&lt;&gt;'депозитный калькулятор'!$D$8),VLOOKUP(U1016,$F$23:$N$1023,4),0),0)+IF(U1016='депозитный калькулятор'!$D$8,VLOOKUP(U1016,$F$23:$N$1023,2)+VLOOKUP(U1016,$F$23:$N$1023,4),0))</f>
        <v xml:space="preserve"> </v>
      </c>
      <c r="Y1016" s="142" t="str">
        <f ca="1">IF(S1016=" "," ",W1016/(1+'депозитный калькулятор'!$K$8)^(T1016/IF('депозитный калькулятор'!$G$7="30/360",360,365)))</f>
        <v xml:space="preserve"> </v>
      </c>
      <c r="Z1016" s="142" t="str">
        <f ca="1">IF(S1016=" "," ",X1016/(1+'депозитный калькулятор'!$K$8)^(T1016/IF('депозитный калькулятор'!$G$7="30/360",360,365)))</f>
        <v xml:space="preserve"> </v>
      </c>
      <c r="AA1016" s="151"/>
      <c r="AB1016" s="151"/>
      <c r="AC1016" s="155"/>
      <c r="AD1016" s="155"/>
      <c r="AF1016" s="2"/>
      <c r="AG1016" s="2"/>
      <c r="AH1016" s="2"/>
    </row>
    <row r="1017" spans="1:34" ht="15.5" x14ac:dyDescent="0.35">
      <c r="A1017" s="41" t="str">
        <f>IF(F1017=" "," ",IF(OR('депозитный калькулятор'!$G$7="30/365",'депозитный калькулятор'!$G$7="30/360"),IF(AND(MONTH(F1017)=2,DAY(F1017)=DAY(EOMONTH(F1017,0))),30-DAY(EOMONTH(F1017,0)),IF(DAY(F1017)=31,1," "))," "))</f>
        <v xml:space="preserve"> </v>
      </c>
      <c r="B1017" s="130" t="str">
        <f t="shared" si="76"/>
        <v xml:space="preserve"> </v>
      </c>
      <c r="C1017" s="130" t="str">
        <f>IF(OR(B1017=0,B1017=" ")," ",SUM($B$23:B1017))</f>
        <v xml:space="preserve"> </v>
      </c>
      <c r="D1017" s="62" t="str">
        <f>IF(D1016=" "," ",IF(OR(F1016='депозитный калькулятор'!$D$8,F1016=" ")," ",D1016+1))</f>
        <v xml:space="preserve"> </v>
      </c>
      <c r="E1017" s="130" t="str">
        <f>IF(OR(F1016='депозитный калькулятор'!$D$8,F1016=" ")," ",IF(EOMONTH(F1016,0)=F1016,1,E1016+1))</f>
        <v xml:space="preserve"> </v>
      </c>
      <c r="F1017" s="64" t="str">
        <f>IF(F1016=" "," ",IF(F1016='депозитный калькулятор'!$D$8," ",F1016+1))</f>
        <v xml:space="preserve"> </v>
      </c>
      <c r="G1017" s="145" t="str">
        <f xml:space="preserve"> IF(F1017&gt;'депозитный калькулятор'!$D$8," ",IF('депозитный калькулятор'!$G$13="есть",IF('депозитный калькулятор'!$G$14="есть",G1016+IF(I1016=" ",0,I1016)-J1017-K1017+L1017+M1017-N1017,G1016+IF(I1016=" ",0,I1016)-J1017-K1017+M1017-N1017),IF('депозитный калькулятор'!$G$14="есть",G1016-J1017-K1017+L1017+M1017-N1017,G1016-J1017-K1017+M1017-N1017)))</f>
        <v xml:space="preserve"> </v>
      </c>
      <c r="H1017" s="133" t="str">
        <f>IF(F1017&gt;'депозитный калькулятор'!$D$8," ",IF(AND(OR('депозитный калькулятор'!$G$7="30/365",'депозитный калькулятор'!$G$7="30/360"),AND(MONTH(F1017)=2,EOMONTH(F1017,0)=F1017)),IF(DAY(F1017)=28,3*G1017*'депозитный калькулятор'!$G$8,2*G1017*'депозитный калькулятор'!$G$8),IF(AND(OR('депозитный калькулятор'!$G$7="30/365",'депозитный калькулятор'!$G$7="30/360"),DAY(F1017)=31)," ",IF(AND('депозитный калькулятор'!$G$7="факт/факт",MOD(YEAR(F1017),4)=0),G1017*'депозитный калькулятор'!$D$11/366,G1017*'депозитный калькулятор'!$G$8))))</f>
        <v xml:space="preserve"> </v>
      </c>
      <c r="I1017" s="134" t="str">
        <f ca="1">IF(F1017=" "," ",IF('депозитный калькулятор'!$G$10="ежедневное",H1017,IF(AND('депозитный калькулятор'!$G$10="еженедельное",WEEKDAY(F1017,2)=7),SUM(OFFSET(H1017,-6,0):H1017),IF(AND('депозитный калькулятор'!$G$10="еженедельное",F1017='депозитный калькулятор'!$D$8),SUM($H$23:H1017)-SUM($I$23:I1016),IF(AND('депозитный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недели",WEEKDAY(F1017,2)=7),MIN(OFFSET(H1017,-6,0):H1017)*(COUNTIF(OFFSET(H1017,-6,0):H1017,"&gt;0")+SUMIF(OFFSET(A1017,-WEEKDAY(F1017,2),0):A1017,"=2",OFFSET(A1017,-WEEKDAY(F1017,2),0):A1017)),IF(AND('депозитный калькулятор'!$G$10="еженедельное, на минимальную сумму зафиксированную в течение недели",F1017='депозитный калькулятор'!$D$8,WEEKDAY(F1017,2)&lt;&gt;7),MIN(OFFSET(H1017,-WEEKDAY(F1017,2),0):H1017)*(COUNTIF(OFFSET(H1017,-WEEKDAY(F1017,2)+1,0):H1017,"&gt;0")+SUM(OFFSET(A1017,-WEEKDAY(F1017,2),0):A1017)),IF(AND('депозитный калькулятор'!$G$10="ежемесячное (в конце месяца)",F1017='депозитный калькулятор'!$D$8,EOMONTH(F1017,0)&lt;&gt;F1017),IF('депозитный калькулятор'!$F$1=1,$H$24,SUM($H$23:H1017)-SUM($I$23:I1016)),IF(AND('депозитный калькулятор'!$G$10="ежемесячное (в конце месяца)",EOMONTH(F1017,0)=F1017),SUM($H$23:H1017)-SUM($I$23:I1016),IF(AND('депозитный калькулятор'!$G$10="ежемесячное (по дням открытия вклада)",F1017='депозитный калькулятор'!$D$8,DAY('депозитный калькулятор'!$D$7)&lt;&gt;DAY(F1017)),IF('депозитный калькулятор'!$F$1=1,$H$24,SUM($H$23:H1017)-SUM($I$23:I1016)),IF(AND('депозитный калькулятор'!$G$10="ежемесячное (по дням открытия вклада)",DAY('депозитный калькулятор'!$D$7)=DAY(F1017)),SUM($H$23:H1017)-SUM($I$23:I1016),IF(AND('депозитный калькулятор'!$G$10="ежемесячное, на минимальную сумму зафиксированную в течение месяца",F1017='депозитный калькулятор'!$D$8,EOMONTH(F1017,0)&lt;&gt;F1017),IF('депозитный калькулятор'!$F$1=1,$H$24,IF(AND(OR('депозитный калькулятор'!$G$7="30/365",'депозитный калькулятор'!$G$7="30/360"),DAY(F1017)=31),0,MIN(OFFSET(H1017,-E1017+1,0):H1017)*(E1017+SUMIF(OFFSET(A1017,-E1017+1,0):A1017,"=2",OFFSET(A1017,-E1017+1,0):A1017)))),IF(AND('депозитный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калькулятор'!$G$7="30/360"),DAY(EOMONTH(F1017,0))=31),EOMONTH(F1017,0)-1=F1017,EOMONTH(F1017,0)=F1017)),IF(IF(AND(OR('депозитный калькулятор'!$G$7="30/365",'депозитный калькулятор'!$G$7="30/360"),DAY(EOMONTH($F$23,0))=31),F1017=EOMONTH($F$23,0)-1,F1017=EOMONTH($F$23,0)),MIN(OFFSET(H1017,-(DAY(F1017)-DAY($F$23)),0):H1017)*E1017,MIN(OFFSET(H1017,-(DAY(F1017)-1),0):H1017)*IF(AND(OR('депозитный калькулятор'!$G$7="30/365",'депозитный калькулятор'!$G$7="30/360"),DAY(F1017)&lt;30),30,DAY(F1017))),IF(AND('депозитный калькулятор'!$G$10="ежемесячное, на средний остаток в течение месяца, при условии что остаток больше чем ограничение",F1017='депозитный калькулятор'!$D$8,EOMONTH(F1017,0)&lt;&gt;F1017),IF('депозитный калькулятор'!$F$1=1,$H$24,SUM(OFFSET(Q1017,-E1017+1,0):Q1017)),IF(AND('депозитный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калькулятор'!$G$7="30/360"),DAY(EOMONTH(F1017,0))=31),EOMONTH(F1017,0)-1=F1017,EOMONTH(F1017,0)=F1017)),IF(IF(AND(OR('депозитный калькулятор'!$G$7="30/365",'депозитный калькулятор'!$G$7="30/360"),DAY(EOMONTH($F$24,0))=31),F1017=EOMONTH($F$24,0)-1,F1017=EOMONTH($F$24,0)),SUM(OFFSET(Q1017,-E1017+1,0):Q1017),SUM(OFFSET(Q1017,-E1017+1,0):Q1017)),IF('депозитный калькулятор'!$G$10="ежеквартальное",IF(F1017&gt;'депозитный калькулятор'!$D$8," ",IF(AND(EOMONTH(F1017,0)=F1017,OR(MONTH(F1017)=3,MONTH(F1017)=6,MONTH(F1017)=9,MONTH(F1017)=12)),IF(EDATE(F1017,-3)&lt;'депозитный калькулятор'!$D$7,SUM($H$23:H1017),IF(MOD(YEAR(F1017),4)=0,IF(AND(EOMONTH(F1017,0)=F1017,OR(MONTH(F1017)=3,MONTH(F1017)=6)),SUM(OFFSET(H1017,-90,0):H1017),IF(AND(EOMONTH(F1017,0)=F1017,OR(MONTH(F1017)=9,MONTH(F1017)=12)),SUM(OFFSET(H1017,-91,0):H1017))),IF(AND(EOMONTH(F1017,0)=F1017,MONTH(F1017)=3),SUM(OFFSET(H1017,-89,0):H1017),IF(AND(EOMONTH(F1017,0)=F1017,MONTH(F1017)=6),SUM(OFFSET(H1017,-90,0):H1017),IF(AND(EOMONTH(F1017,0)=F1017,OR(MONTH(F1017)=9,MONTH(F1017)=12)),SUM(OFFSET(H1017,-91,0):H1017)))))),IF(F1017='депозитный калькулятор'!$D$8,SUM($H$23:H1017)-SUM($I$23:I1016),0))),IF('депозитный калькулятор'!$G$10="ежегодное",IF(F1017&gt;'депозитный калькулятор'!$D$8," ",IF(F1017='депозитный калькулятор'!$D$8,SUM($H$23:H1017)-SUM($I$23:I1016),IF(AND(EOMONTH(F1017,0)=F1017,MONTH(F1017)=12),IF(MOD(YEAR(F1016),4)=0,IF(F1017-'депозитный калькулятор'!$D$7&lt;366,SUM($H$23:H1017),SUM(OFFSET(H1017,-365,0):H1017)),IF(F1017-'депозитный калькулятор'!$D$7&lt;365,SUM($H$23:H1017),SUM(OFFSET(H1017,-364,0):H1017))),0))),IF(AND('депозитный калькулятор'!$G$10="в конце срока",'депозитный калькулятор'!$D$8=F1017),SUM($H$23:H1017),0))))))))))))))))))</f>
        <v xml:space="preserve"> </v>
      </c>
      <c r="J1017" s="59" t="str">
        <f>IF(F1017&gt;'депозитный калькулятор'!$D$8," ",IF('депозитный калькулятор'!$G$16="нет",0,IF(AND('депозитный калькулятор'!$G$17="разовая (в конце срока)",F1017='депозитный калькулятор'!$D$8),'депозитный калькулятор'!$G$18,IF(AND('депозитный калькулятор'!$G$17="ежемесячная",EOMONTH(F1016,0)=F1016),'депозитный калькулятор'!$G$18,IF(AND('депозитный калькулятор'!$G$17="ежегодная",DAY(F1016)=31,MONTH(F1016)=12),'депозитный калькулятор'!$G$18,IF(AND('депозитный калькулятор'!$G$17="ежемесячная в зависимости от остатка",EOMONTH(F1016,0)=F1016,P1016&gt;0),'депозитный калькулятор'!$G$18,IF(AND('депозитный калькулятор'!$G$17="ежегодная в зависимости от остатка",DAY(F1016)=31,MONTH(F1016)=12,P1016&gt;0),'депозитный калькулятор'!$G$18,0)))))))</f>
        <v xml:space="preserve"> </v>
      </c>
      <c r="K1017" s="135" t="str">
        <f>IF($F1017=" "," ",IFERROR(VLOOKUP($F1017,'депозитный калькулятор'!$B$26:$F$70,2,0),0))</f>
        <v xml:space="preserve"> </v>
      </c>
      <c r="L1017" s="135" t="str">
        <f>IF($F1017=" "," ",IFERROR(VLOOKUP($F1017,'депозитный калькулятор'!$B$26:$F$70,3,0),0))</f>
        <v xml:space="preserve"> </v>
      </c>
      <c r="M1017" s="135" t="str">
        <f>IF($F1017=" "," ",IFERROR(VLOOKUP($F1017,'депозитный калькулятор'!$B$26:$F$70,4,0),0))</f>
        <v xml:space="preserve"> </v>
      </c>
      <c r="N1017" s="135" t="str">
        <f>IF($F1017=" "," ",IFERROR(VLOOKUP($F1017,'депозитный калькулятор'!$B$26:$F$70,5,0),0))</f>
        <v xml:space="preserve"> </v>
      </c>
      <c r="O1017" s="146" t="str">
        <f>IF(F1017&gt;'депозитный калькулятор'!$D$8," ",IF(F1017='депозитный калькулятор'!$D$8,IF(AND($F$24='депозитный калькулятор'!$D$8,'депозитный калькулятор'!$G$13="нет"),-G1017-IF(I1017=" ",0,I1017)-IF(AND(OR('депозитный калькулятор'!$G$7="30/365",'депозитный калькулятор'!$G$7="30/360"),'депозитный калькулятор'!$G$10="в начале срока"),I1016,0)-L1017+M1017-N1017,-G1017-IF(I1017=" ",0,I1017)-L1017+M1017-N1017),IF('депозитный калькулятор'!$G$13="есть",M1017-N1017+IF('депозитный калькулятор'!$G$14="есть",0,-L1017),-IF(I1017=" ",0,I1017)-IF(AND(OR('депозитный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срока"),I1016,0)+M1017-N1017+IF('депозитный калькулятор'!$G$14="есть",0,-L1017))))</f>
        <v xml:space="preserve"> </v>
      </c>
      <c r="P1017" s="147" t="str">
        <f>IF(F1017&gt;'депозитный калькулятор'!$D$8," ",IF(EOMONTH(F1016,0)=F1016,0,IF(G1017&gt;='депозитный калькулятор'!$G$19,P1016,P1016+1)))</f>
        <v xml:space="preserve"> </v>
      </c>
      <c r="Q1017" s="138" t="str">
        <f>IF(F1017=" "," ",IF(AND(OR('депозитный калькулятор'!$G$7="30/365",'депозитный калькулятор'!$G$7="30/360"),AND(MONTH(F1017)=2,EOMONTH(F1017,0)=F1017)),IF(DAY(F1017)=28,3,2),1)*IF(G1017&gt;='депозитный калькулятор'!$G$11,IF(AND('депозитный калькулятор'!$G$7="факт/факт",MOD(YEAR(F1017),4)=0),G1017*'депозитный калькулятор'!$D$11/366,G1017*'депозитный калькулятор'!$G$8),0))</f>
        <v xml:space="preserve"> </v>
      </c>
      <c r="S1017" s="62" t="str">
        <f t="shared" ca="1" si="77"/>
        <v xml:space="preserve"> </v>
      </c>
      <c r="T1017" s="149" t="str">
        <f ca="1">IF(S1017=" "," ",IF('депозитный калькулятор'!$G$7="30/360",DAYS360(U1016,IF(DAY(U1017)=31,U1017-1,U1017))+IF(AND(MONTH(U1017)=2,U1017=EOMONTH(U1017,0)),30-DAY(EOMONTH(U1017,0)))+T1016,VLOOKUP(S1017,$C$22:$F$1023,2,0)))</f>
        <v xml:space="preserve"> </v>
      </c>
      <c r="U1017" s="64" t="str">
        <f t="shared" ca="1" si="75"/>
        <v xml:space="preserve"> </v>
      </c>
      <c r="V1017" s="150" t="str">
        <f t="shared" ca="1" si="78"/>
        <v xml:space="preserve"> </v>
      </c>
      <c r="W1017" s="62" t="str">
        <f t="shared" ca="1" si="79"/>
        <v xml:space="preserve"> </v>
      </c>
      <c r="X1017" s="141" t="str">
        <f ca="1">IF(S1017=" "," ",IFERROR(VLOOKUP(U1017,$F$23:$N$1023,7)+VLOOKUP(U1017,$F$23:$N$1023,9)+IF(AND('депозитный калькулятор'!$G$13="нет",U1017&lt;&gt;'депозитный калькулятор'!$D$8),VLOOKUP(U1017,$F$23:$N$1023,4),0),0)+IF(U1017='депозитный калькулятор'!$D$8,VLOOKUP(U1017,$F$23:$N$1023,2)+VLOOKUP(U1017,$F$23:$N$1023,4),0))</f>
        <v xml:space="preserve"> </v>
      </c>
      <c r="Y1017" s="142" t="str">
        <f ca="1">IF(S1017=" "," ",W1017/(1+'депозитный калькулятор'!$K$8)^(T1017/IF('депозитный калькулятор'!$G$7="30/360",360,365)))</f>
        <v xml:space="preserve"> </v>
      </c>
      <c r="Z1017" s="142" t="str">
        <f ca="1">IF(S1017=" "," ",X1017/(1+'депозитный калькулятор'!$K$8)^(T1017/IF('депозитный калькулятор'!$G$7="30/360",360,365)))</f>
        <v xml:space="preserve"> </v>
      </c>
      <c r="AA1017" s="151"/>
      <c r="AB1017" s="151"/>
      <c r="AC1017" s="155"/>
      <c r="AD1017" s="155"/>
      <c r="AF1017" s="2"/>
      <c r="AG1017" s="2"/>
      <c r="AH1017" s="2"/>
    </row>
    <row r="1018" spans="1:34" ht="15.5" x14ac:dyDescent="0.35">
      <c r="A1018" s="41" t="str">
        <f>IF(F1018=" "," ",IF(OR('депозитный калькулятор'!$G$7="30/365",'депозитный калькулятор'!$G$7="30/360"),IF(AND(MONTH(F1018)=2,DAY(F1018)=DAY(EOMONTH(F1018,0))),30-DAY(EOMONTH(F1018,0)),IF(DAY(F1018)=31,1," "))," "))</f>
        <v xml:space="preserve"> </v>
      </c>
      <c r="B1018" s="130" t="str">
        <f t="shared" si="76"/>
        <v xml:space="preserve"> </v>
      </c>
      <c r="C1018" s="130" t="str">
        <f>IF(OR(B1018=0,B1018=" ")," ",SUM($B$23:B1018))</f>
        <v xml:space="preserve"> </v>
      </c>
      <c r="D1018" s="62" t="str">
        <f>IF(D1017=" "," ",IF(OR(F1017='депозитный калькулятор'!$D$8,F1017=" ")," ",D1017+1))</f>
        <v xml:space="preserve"> </v>
      </c>
      <c r="E1018" s="130" t="str">
        <f>IF(OR(F1017='депозитный калькулятор'!$D$8,F1017=" ")," ",IF(EOMONTH(F1017,0)=F1017,1,E1017+1))</f>
        <v xml:space="preserve"> </v>
      </c>
      <c r="F1018" s="64" t="str">
        <f>IF(F1017=" "," ",IF(F1017='депозитный калькулятор'!$D$8," ",F1017+1))</f>
        <v xml:space="preserve"> </v>
      </c>
      <c r="G1018" s="145" t="str">
        <f xml:space="preserve"> IF(F1018&gt;'депозитный калькулятор'!$D$8," ",IF('депозитный калькулятор'!$G$13="есть",IF('депозитный калькулятор'!$G$14="есть",G1017+IF(I1017=" ",0,I1017)-J1018-K1018+L1018+M1018-N1018,G1017+IF(I1017=" ",0,I1017)-J1018-K1018+M1018-N1018),IF('депозитный калькулятор'!$G$14="есть",G1017-J1018-K1018+L1018+M1018-N1018,G1017-J1018-K1018+M1018-N1018)))</f>
        <v xml:space="preserve"> </v>
      </c>
      <c r="H1018" s="133" t="str">
        <f>IF(F1018&gt;'депозитный калькулятор'!$D$8," ",IF(AND(OR('депозитный калькулятор'!$G$7="30/365",'депозитный калькулятор'!$G$7="30/360"),AND(MONTH(F1018)=2,EOMONTH(F1018,0)=F1018)),IF(DAY(F1018)=28,3*G1018*'депозитный калькулятор'!$G$8,2*G1018*'депозитный калькулятор'!$G$8),IF(AND(OR('депозитный калькулятор'!$G$7="30/365",'депозитный калькулятор'!$G$7="30/360"),DAY(F1018)=31)," ",IF(AND('депозитный калькулятор'!$G$7="факт/факт",MOD(YEAR(F1018),4)=0),G1018*'депозитный калькулятор'!$D$11/366,G1018*'депозитный калькулятор'!$G$8))))</f>
        <v xml:space="preserve"> </v>
      </c>
      <c r="I1018" s="134" t="str">
        <f ca="1">IF(F1018=" "," ",IF('депозитный калькулятор'!$G$10="ежедневное",H1018,IF(AND('депозитный калькулятор'!$G$10="еженедельное",WEEKDAY(F1018,2)=7),SUM(OFFSET(H1018,-6,0):H1018),IF(AND('депозитный калькулятор'!$G$10="еженедельное",F1018='депозитный калькулятор'!$D$8),SUM($H$23:H1018)-SUM($I$23:I1017),IF(AND('депозитный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недели",WEEKDAY(F1018,2)=7),MIN(OFFSET(H1018,-6,0):H1018)*(COUNTIF(OFFSET(H1018,-6,0):H1018,"&gt;0")+SUMIF(OFFSET(A1018,-WEEKDAY(F1018,2),0):A1018,"=2",OFFSET(A1018,-WEEKDAY(F1018,2),0):A1018)),IF(AND('депозитный калькулятор'!$G$10="еженедельное, на минимальную сумму зафиксированную в течение недели",F1018='депозитный калькулятор'!$D$8,WEEKDAY(F1018,2)&lt;&gt;7),MIN(OFFSET(H1018,-WEEKDAY(F1018,2),0):H1018)*(COUNTIF(OFFSET(H1018,-WEEKDAY(F1018,2)+1,0):H1018,"&gt;0")+SUM(OFFSET(A1018,-WEEKDAY(F1018,2),0):A1018)),IF(AND('депозитный калькулятор'!$G$10="ежемесячное (в конце месяца)",F1018='депозитный калькулятор'!$D$8,EOMONTH(F1018,0)&lt;&gt;F1018),IF('депозитный калькулятор'!$F$1=1,$H$24,SUM($H$23:H1018)-SUM($I$23:I1017)),IF(AND('депозитный калькулятор'!$G$10="ежемесячное (в конце месяца)",EOMONTH(F1018,0)=F1018),SUM($H$23:H1018)-SUM($I$23:I1017),IF(AND('депозитный калькулятор'!$G$10="ежемесячное (по дням открытия вклада)",F1018='депозитный калькулятор'!$D$8,DAY('депозитный калькулятор'!$D$7)&lt;&gt;DAY(F1018)),IF('депозитный калькулятор'!$F$1=1,$H$24,SUM($H$23:H1018)-SUM($I$23:I1017)),IF(AND('депозитный калькулятор'!$G$10="ежемесячное (по дням открытия вклада)",DAY('депозитный калькулятор'!$D$7)=DAY(F1018)),SUM($H$23:H1018)-SUM($I$23:I1017),IF(AND('депозитный калькулятор'!$G$10="ежемесячное, на минимальную сумму зафиксированную в течение месяца",F1018='депозитный калькулятор'!$D$8,EOMONTH(F1018,0)&lt;&gt;F1018),IF('депозитный калькулятор'!$F$1=1,$H$24,IF(AND(OR('депозитный калькулятор'!$G$7="30/365",'депозитный калькулятор'!$G$7="30/360"),DAY(F1018)=31),0,MIN(OFFSET(H1018,-E1018+1,0):H1018)*(E1018+SUMIF(OFFSET(A1018,-E1018+1,0):A1018,"=2",OFFSET(A1018,-E1018+1,0):A1018)))),IF(AND('депозитный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калькулятор'!$G$7="30/360"),DAY(EOMONTH(F1018,0))=31),EOMONTH(F1018,0)-1=F1018,EOMONTH(F1018,0)=F1018)),IF(IF(AND(OR('депозитный калькулятор'!$G$7="30/365",'депозитный калькулятор'!$G$7="30/360"),DAY(EOMONTH($F$23,0))=31),F1018=EOMONTH($F$23,0)-1,F1018=EOMONTH($F$23,0)),MIN(OFFSET(H1018,-(DAY(F1018)-DAY($F$23)),0):H1018)*E1018,MIN(OFFSET(H1018,-(DAY(F1018)-1),0):H1018)*IF(AND(OR('депозитный калькулятор'!$G$7="30/365",'депозитный калькулятор'!$G$7="30/360"),DAY(F1018)&lt;30),30,DAY(F1018))),IF(AND('депозитный калькулятор'!$G$10="ежемесячное, на средний остаток в течение месяца, при условии что остаток больше чем ограничение",F1018='депозитный калькулятор'!$D$8,EOMONTH(F1018,0)&lt;&gt;F1018),IF('депозитный калькулятор'!$F$1=1,$H$24,SUM(OFFSET(Q1018,-E1018+1,0):Q1018)),IF(AND('депозитный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калькулятор'!$G$7="30/360"),DAY(EOMONTH(F1018,0))=31),EOMONTH(F1018,0)-1=F1018,EOMONTH(F1018,0)=F1018)),IF(IF(AND(OR('депозитный калькулятор'!$G$7="30/365",'депозитный калькулятор'!$G$7="30/360"),DAY(EOMONTH($F$24,0))=31),F1018=EOMONTH($F$24,0)-1,F1018=EOMONTH($F$24,0)),SUM(OFFSET(Q1018,-E1018+1,0):Q1018),SUM(OFFSET(Q1018,-E1018+1,0):Q1018)),IF('депозитный калькулятор'!$G$10="ежеквартальное",IF(F1018&gt;'депозитный калькулятор'!$D$8," ",IF(AND(EOMONTH(F1018,0)=F1018,OR(MONTH(F1018)=3,MONTH(F1018)=6,MONTH(F1018)=9,MONTH(F1018)=12)),IF(EDATE(F1018,-3)&lt;'депозитный калькулятор'!$D$7,SUM($H$23:H1018),IF(MOD(YEAR(F1018),4)=0,IF(AND(EOMONTH(F1018,0)=F1018,OR(MONTH(F1018)=3,MONTH(F1018)=6)),SUM(OFFSET(H1018,-90,0):H1018),IF(AND(EOMONTH(F1018,0)=F1018,OR(MONTH(F1018)=9,MONTH(F1018)=12)),SUM(OFFSET(H1018,-91,0):H1018))),IF(AND(EOMONTH(F1018,0)=F1018,MONTH(F1018)=3),SUM(OFFSET(H1018,-89,0):H1018),IF(AND(EOMONTH(F1018,0)=F1018,MONTH(F1018)=6),SUM(OFFSET(H1018,-90,0):H1018),IF(AND(EOMONTH(F1018,0)=F1018,OR(MONTH(F1018)=9,MONTH(F1018)=12)),SUM(OFFSET(H1018,-91,0):H1018)))))),IF(F1018='депозитный калькулятор'!$D$8,SUM($H$23:H1018)-SUM($I$23:I1017),0))),IF('депозитный калькулятор'!$G$10="ежегодное",IF(F1018&gt;'депозитный калькулятор'!$D$8," ",IF(F1018='депозитный калькулятор'!$D$8,SUM($H$23:H1018)-SUM($I$23:I1017),IF(AND(EOMONTH(F1018,0)=F1018,MONTH(F1018)=12),IF(MOD(YEAR(F1017),4)=0,IF(F1018-'депозитный калькулятор'!$D$7&lt;366,SUM($H$23:H1018),SUM(OFFSET(H1018,-365,0):H1018)),IF(F1018-'депозитный калькулятор'!$D$7&lt;365,SUM($H$23:H1018),SUM(OFFSET(H1018,-364,0):H1018))),0))),IF(AND('депозитный калькулятор'!$G$10="в конце срока",'депозитный калькулятор'!$D$8=F1018),SUM($H$23:H1018),0))))))))))))))))))</f>
        <v xml:space="preserve"> </v>
      </c>
      <c r="J1018" s="59" t="str">
        <f>IF(F1018&gt;'депозитный калькулятор'!$D$8," ",IF('депозитный калькулятор'!$G$16="нет",0,IF(AND('депозитный калькулятор'!$G$17="разовая (в конце срока)",F1018='депозитный калькулятор'!$D$8),'депозитный калькулятор'!$G$18,IF(AND('депозитный калькулятор'!$G$17="ежемесячная",EOMONTH(F1017,0)=F1017),'депозитный калькулятор'!$G$18,IF(AND('депозитный калькулятор'!$G$17="ежегодная",DAY(F1017)=31,MONTH(F1017)=12),'депозитный калькулятор'!$G$18,IF(AND('депозитный калькулятор'!$G$17="ежемесячная в зависимости от остатка",EOMONTH(F1017,0)=F1017,P1017&gt;0),'депозитный калькулятор'!$G$18,IF(AND('депозитный калькулятор'!$G$17="ежегодная в зависимости от остатка",DAY(F1017)=31,MONTH(F1017)=12,P1017&gt;0),'депозитный калькулятор'!$G$18,0)))))))</f>
        <v xml:space="preserve"> </v>
      </c>
      <c r="K1018" s="135" t="str">
        <f>IF($F1018=" "," ",IFERROR(VLOOKUP($F1018,'депозитный калькулятор'!$B$26:$F$70,2,0),0))</f>
        <v xml:space="preserve"> </v>
      </c>
      <c r="L1018" s="135" t="str">
        <f>IF($F1018=" "," ",IFERROR(VLOOKUP($F1018,'депозитный калькулятор'!$B$26:$F$70,3,0),0))</f>
        <v xml:space="preserve"> </v>
      </c>
      <c r="M1018" s="135" t="str">
        <f>IF($F1018=" "," ",IFERROR(VLOOKUP($F1018,'депозитный калькулятор'!$B$26:$F$70,4,0),0))</f>
        <v xml:space="preserve"> </v>
      </c>
      <c r="N1018" s="135" t="str">
        <f>IF($F1018=" "," ",IFERROR(VLOOKUP($F1018,'депозитный калькулятор'!$B$26:$F$70,5,0),0))</f>
        <v xml:space="preserve"> </v>
      </c>
      <c r="O1018" s="146" t="str">
        <f>IF(F1018&gt;'депозитный калькулятор'!$D$8," ",IF(F1018='депозитный калькулятор'!$D$8,IF(AND($F$24='депозитный калькулятор'!$D$8,'депозитный калькулятор'!$G$13="нет"),-G1018-IF(I1018=" ",0,I1018)-IF(AND(OR('депозитный калькулятор'!$G$7="30/365",'депозитный калькулятор'!$G$7="30/360"),'депозитный калькулятор'!$G$10="в начале срока"),I1017,0)-L1018+M1018-N1018,-G1018-IF(I1018=" ",0,I1018)-L1018+M1018-N1018),IF('депозитный калькулятор'!$G$13="есть",M1018-N1018+IF('депозитный калькулятор'!$G$14="есть",0,-L1018),-IF(I1018=" ",0,I1018)-IF(AND(OR('депозитный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срока"),I1017,0)+M1018-N1018+IF('депозитный калькулятор'!$G$14="есть",0,-L1018))))</f>
        <v xml:space="preserve"> </v>
      </c>
      <c r="P1018" s="147" t="str">
        <f>IF(F1018&gt;'депозитный калькулятор'!$D$8," ",IF(EOMONTH(F1017,0)=F1017,0,IF(G1018&gt;='депозитный калькулятор'!$G$19,P1017,P1017+1)))</f>
        <v xml:space="preserve"> </v>
      </c>
      <c r="Q1018" s="138" t="str">
        <f>IF(F1018=" "," ",IF(AND(OR('депозитный калькулятор'!$G$7="30/365",'депозитный калькулятор'!$G$7="30/360"),AND(MONTH(F1018)=2,EOMONTH(F1018,0)=F1018)),IF(DAY(F1018)=28,3,2),1)*IF(G1018&gt;='депозитный калькулятор'!$G$11,IF(AND('депозитный калькулятор'!$G$7="факт/факт",MOD(YEAR(F1018),4)=0),G1018*'депозитный калькулятор'!$D$11/366,G1018*'депозитный калькулятор'!$G$8),0))</f>
        <v xml:space="preserve"> </v>
      </c>
      <c r="S1018" s="62" t="str">
        <f t="shared" ca="1" si="77"/>
        <v xml:space="preserve"> </v>
      </c>
      <c r="T1018" s="149" t="str">
        <f ca="1">IF(S1018=" "," ",IF('депозитный калькулятор'!$G$7="30/360",DAYS360(U1017,IF(DAY(U1018)=31,U1018-1,U1018))+IF(AND(MONTH(U1018)=2,U1018=EOMONTH(U1018,0)),30-DAY(EOMONTH(U1018,0)))+T1017,VLOOKUP(S1018,$C$22:$F$1023,2,0)))</f>
        <v xml:space="preserve"> </v>
      </c>
      <c r="U1018" s="64" t="str">
        <f t="shared" ca="1" si="75"/>
        <v xml:space="preserve"> </v>
      </c>
      <c r="V1018" s="150" t="str">
        <f t="shared" ca="1" si="78"/>
        <v xml:space="preserve"> </v>
      </c>
      <c r="W1018" s="62" t="str">
        <f t="shared" ca="1" si="79"/>
        <v xml:space="preserve"> </v>
      </c>
      <c r="X1018" s="141" t="str">
        <f ca="1">IF(S1018=" "," ",IFERROR(VLOOKUP(U1018,$F$23:$N$1023,7)+VLOOKUP(U1018,$F$23:$N$1023,9)+IF(AND('депозитный калькулятор'!$G$13="нет",U1018&lt;&gt;'депозитный калькулятор'!$D$8),VLOOKUP(U1018,$F$23:$N$1023,4),0),0)+IF(U1018='депозитный калькулятор'!$D$8,VLOOKUP(U1018,$F$23:$N$1023,2)+VLOOKUP(U1018,$F$23:$N$1023,4),0))</f>
        <v xml:space="preserve"> </v>
      </c>
      <c r="Y1018" s="142" t="str">
        <f ca="1">IF(S1018=" "," ",W1018/(1+'депозитный калькулятор'!$K$8)^(T1018/IF('депозитный калькулятор'!$G$7="30/360",360,365)))</f>
        <v xml:space="preserve"> </v>
      </c>
      <c r="Z1018" s="142" t="str">
        <f ca="1">IF(S1018=" "," ",X1018/(1+'депозитный калькулятор'!$K$8)^(T1018/IF('депозитный калькулятор'!$G$7="30/360",360,365)))</f>
        <v xml:space="preserve"> </v>
      </c>
      <c r="AA1018" s="151"/>
      <c r="AB1018" s="151"/>
      <c r="AC1018" s="155"/>
      <c r="AD1018" s="155"/>
      <c r="AF1018" s="2"/>
      <c r="AG1018" s="2"/>
      <c r="AH1018" s="2"/>
    </row>
    <row r="1019" spans="1:34" ht="15.5" x14ac:dyDescent="0.35">
      <c r="A1019" s="41" t="str">
        <f>IF(F1019=" "," ",IF(OR('депозитный калькулятор'!$G$7="30/365",'депозитный калькулятор'!$G$7="30/360"),IF(AND(MONTH(F1019)=2,DAY(F1019)=DAY(EOMONTH(F1019,0))),30-DAY(EOMONTH(F1019,0)),IF(DAY(F1019)=31,1," "))," "))</f>
        <v xml:space="preserve"> </v>
      </c>
      <c r="B1019" s="130" t="str">
        <f t="shared" si="76"/>
        <v xml:space="preserve"> </v>
      </c>
      <c r="C1019" s="130" t="str">
        <f>IF(OR(B1019=0,B1019=" ")," ",SUM($B$23:B1019))</f>
        <v xml:space="preserve"> </v>
      </c>
      <c r="D1019" s="62" t="str">
        <f>IF(D1018=" "," ",IF(OR(F1018='депозитный калькулятор'!$D$8,F1018=" ")," ",D1018+1))</f>
        <v xml:space="preserve"> </v>
      </c>
      <c r="E1019" s="130" t="str">
        <f>IF(OR(F1018='депозитный калькулятор'!$D$8,F1018=" ")," ",IF(EOMONTH(F1018,0)=F1018,1,E1018+1))</f>
        <v xml:space="preserve"> </v>
      </c>
      <c r="F1019" s="64" t="str">
        <f>IF(F1018=" "," ",IF(F1018='депозитный калькулятор'!$D$8," ",F1018+1))</f>
        <v xml:space="preserve"> </v>
      </c>
      <c r="G1019" s="145" t="str">
        <f xml:space="preserve"> IF(F1019&gt;'депозитный калькулятор'!$D$8," ",IF('депозитный калькулятор'!$G$13="есть",IF('депозитный калькулятор'!$G$14="есть",G1018+IF(I1018=" ",0,I1018)-J1019-K1019+L1019+M1019-N1019,G1018+IF(I1018=" ",0,I1018)-J1019-K1019+M1019-N1019),IF('депозитный калькулятор'!$G$14="есть",G1018-J1019-K1019+L1019+M1019-N1019,G1018-J1019-K1019+M1019-N1019)))</f>
        <v xml:space="preserve"> </v>
      </c>
      <c r="H1019" s="133" t="str">
        <f>IF(F1019&gt;'депозитный калькулятор'!$D$8," ",IF(AND(OR('депозитный калькулятор'!$G$7="30/365",'депозитный калькулятор'!$G$7="30/360"),AND(MONTH(F1019)=2,EOMONTH(F1019,0)=F1019)),IF(DAY(F1019)=28,3*G1019*'депозитный калькулятор'!$G$8,2*G1019*'депозитный калькулятор'!$G$8),IF(AND(OR('депозитный калькулятор'!$G$7="30/365",'депозитный калькулятор'!$G$7="30/360"),DAY(F1019)=31)," ",IF(AND('депозитный калькулятор'!$G$7="факт/факт",MOD(YEAR(F1019),4)=0),G1019*'депозитный калькулятор'!$D$11/366,G1019*'депозитный калькулятор'!$G$8))))</f>
        <v xml:space="preserve"> </v>
      </c>
      <c r="I1019" s="134" t="str">
        <f ca="1">IF(F1019=" "," ",IF('депозитный калькулятор'!$G$10="ежедневное",H1019,IF(AND('депозитный калькулятор'!$G$10="еженедельное",WEEKDAY(F1019,2)=7),SUM(OFFSET(H1019,-6,0):H1019),IF(AND('депозитный калькулятор'!$G$10="еженедельное",F1019='депозитный калькулятор'!$D$8),SUM($H$23:H1019)-SUM($I$23:I1018),IF(AND('депозитный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недели",WEEKDAY(F1019,2)=7),MIN(OFFSET(H1019,-6,0):H1019)*(COUNTIF(OFFSET(H1019,-6,0):H1019,"&gt;0")+SUMIF(OFFSET(A1019,-WEEKDAY(F1019,2),0):A1019,"=2",OFFSET(A1019,-WEEKDAY(F1019,2),0):A1019)),IF(AND('депозитный калькулятор'!$G$10="еженедельное, на минимальную сумму зафиксированную в течение недели",F1019='депозитный калькулятор'!$D$8,WEEKDAY(F1019,2)&lt;&gt;7),MIN(OFFSET(H1019,-WEEKDAY(F1019,2),0):H1019)*(COUNTIF(OFFSET(H1019,-WEEKDAY(F1019,2)+1,0):H1019,"&gt;0")+SUM(OFFSET(A1019,-WEEKDAY(F1019,2),0):A1019)),IF(AND('депозитный калькулятор'!$G$10="ежемесячное (в конце месяца)",F1019='депозитный калькулятор'!$D$8,EOMONTH(F1019,0)&lt;&gt;F1019),IF('депозитный калькулятор'!$F$1=1,$H$24,SUM($H$23:H1019)-SUM($I$23:I1018)),IF(AND('депозитный калькулятор'!$G$10="ежемесячное (в конце месяца)",EOMONTH(F1019,0)=F1019),SUM($H$23:H1019)-SUM($I$23:I1018),IF(AND('депозитный калькулятор'!$G$10="ежемесячное (по дням открытия вклада)",F1019='депозитный калькулятор'!$D$8,DAY('депозитный калькулятор'!$D$7)&lt;&gt;DAY(F1019)),IF('депозитный калькулятор'!$F$1=1,$H$24,SUM($H$23:H1019)-SUM($I$23:I1018)),IF(AND('депозитный калькулятор'!$G$10="ежемесячное (по дням открытия вклада)",DAY('депозитный калькулятор'!$D$7)=DAY(F1019)),SUM($H$23:H1019)-SUM($I$23:I1018),IF(AND('депозитный калькулятор'!$G$10="ежемесячное, на минимальную сумму зафиксированную в течение месяца",F1019='депозитный калькулятор'!$D$8,EOMONTH(F1019,0)&lt;&gt;F1019),IF('депозитный калькулятор'!$F$1=1,$H$24,IF(AND(OR('депозитный калькулятор'!$G$7="30/365",'депозитный калькулятор'!$G$7="30/360"),DAY(F1019)=31),0,MIN(OFFSET(H1019,-E1019+1,0):H1019)*(E1019+SUMIF(OFFSET(A1019,-E1019+1,0):A1019,"=2",OFFSET(A1019,-E1019+1,0):A1019)))),IF(AND('депозитный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калькулятор'!$G$7="30/360"),DAY(EOMONTH(F1019,0))=31),EOMONTH(F1019,0)-1=F1019,EOMONTH(F1019,0)=F1019)),IF(IF(AND(OR('депозитный калькулятор'!$G$7="30/365",'депозитный калькулятор'!$G$7="30/360"),DAY(EOMONTH($F$23,0))=31),F1019=EOMONTH($F$23,0)-1,F1019=EOMONTH($F$23,0)),MIN(OFFSET(H1019,-(DAY(F1019)-DAY($F$23)),0):H1019)*E1019,MIN(OFFSET(H1019,-(DAY(F1019)-1),0):H1019)*IF(AND(OR('депозитный калькулятор'!$G$7="30/365",'депозитный калькулятор'!$G$7="30/360"),DAY(F1019)&lt;30),30,DAY(F1019))),IF(AND('депозитный калькулятор'!$G$10="ежемесячное, на средний остаток в течение месяца, при условии что остаток больше чем ограничение",F1019='депозитный калькулятор'!$D$8,EOMONTH(F1019,0)&lt;&gt;F1019),IF('депозитный калькулятор'!$F$1=1,$H$24,SUM(OFFSET(Q1019,-E1019+1,0):Q1019)),IF(AND('депозитный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калькулятор'!$G$7="30/360"),DAY(EOMONTH(F1019,0))=31),EOMONTH(F1019,0)-1=F1019,EOMONTH(F1019,0)=F1019)),IF(IF(AND(OR('депозитный калькулятор'!$G$7="30/365",'депозитный калькулятор'!$G$7="30/360"),DAY(EOMONTH($F$24,0))=31),F1019=EOMONTH($F$24,0)-1,F1019=EOMONTH($F$24,0)),SUM(OFFSET(Q1019,-E1019+1,0):Q1019),SUM(OFFSET(Q1019,-E1019+1,0):Q1019)),IF('депозитный калькулятор'!$G$10="ежеквартальное",IF(F1019&gt;'депозитный калькулятор'!$D$8," ",IF(AND(EOMONTH(F1019,0)=F1019,OR(MONTH(F1019)=3,MONTH(F1019)=6,MONTH(F1019)=9,MONTH(F1019)=12)),IF(EDATE(F1019,-3)&lt;'депозитный калькулятор'!$D$7,SUM($H$23:H1019),IF(MOD(YEAR(F1019),4)=0,IF(AND(EOMONTH(F1019,0)=F1019,OR(MONTH(F1019)=3,MONTH(F1019)=6)),SUM(OFFSET(H1019,-90,0):H1019),IF(AND(EOMONTH(F1019,0)=F1019,OR(MONTH(F1019)=9,MONTH(F1019)=12)),SUM(OFFSET(H1019,-91,0):H1019))),IF(AND(EOMONTH(F1019,0)=F1019,MONTH(F1019)=3),SUM(OFFSET(H1019,-89,0):H1019),IF(AND(EOMONTH(F1019,0)=F1019,MONTH(F1019)=6),SUM(OFFSET(H1019,-90,0):H1019),IF(AND(EOMONTH(F1019,0)=F1019,OR(MONTH(F1019)=9,MONTH(F1019)=12)),SUM(OFFSET(H1019,-91,0):H1019)))))),IF(F1019='депозитный калькулятор'!$D$8,SUM($H$23:H1019)-SUM($I$23:I1018),0))),IF('депозитный калькулятор'!$G$10="ежегодное",IF(F1019&gt;'депозитный калькулятор'!$D$8," ",IF(F1019='депозитный калькулятор'!$D$8,SUM($H$23:H1019)-SUM($I$23:I1018),IF(AND(EOMONTH(F1019,0)=F1019,MONTH(F1019)=12),IF(MOD(YEAR(F1018),4)=0,IF(F1019-'депозитный калькулятор'!$D$7&lt;366,SUM($H$23:H1019),SUM(OFFSET(H1019,-365,0):H1019)),IF(F1019-'депозитный калькулятор'!$D$7&lt;365,SUM($H$23:H1019),SUM(OFFSET(H1019,-364,0):H1019))),0))),IF(AND('депозитный калькулятор'!$G$10="в конце срока",'депозитный калькулятор'!$D$8=F1019),SUM($H$23:H1019),0))))))))))))))))))</f>
        <v xml:space="preserve"> </v>
      </c>
      <c r="J1019" s="59" t="str">
        <f>IF(F1019&gt;'депозитный калькулятор'!$D$8," ",IF('депозитный калькулятор'!$G$16="нет",0,IF(AND('депозитный калькулятор'!$G$17="разовая (в конце срока)",F1019='депозитный калькулятор'!$D$8),'депозитный калькулятор'!$G$18,IF(AND('депозитный калькулятор'!$G$17="ежемесячная",EOMONTH(F1018,0)=F1018),'депозитный калькулятор'!$G$18,IF(AND('депозитный калькулятор'!$G$17="ежегодная",DAY(F1018)=31,MONTH(F1018)=12),'депозитный калькулятор'!$G$18,IF(AND('депозитный калькулятор'!$G$17="ежемесячная в зависимости от остатка",EOMONTH(F1018,0)=F1018,P1018&gt;0),'депозитный калькулятор'!$G$18,IF(AND('депозитный калькулятор'!$G$17="ежегодная в зависимости от остатка",DAY(F1018)=31,MONTH(F1018)=12,P1018&gt;0),'депозитный калькулятор'!$G$18,0)))))))</f>
        <v xml:space="preserve"> </v>
      </c>
      <c r="K1019" s="135" t="str">
        <f>IF($F1019=" "," ",IFERROR(VLOOKUP($F1019,'депозитный калькулятор'!$B$26:$F$70,2,0),0))</f>
        <v xml:space="preserve"> </v>
      </c>
      <c r="L1019" s="135" t="str">
        <f>IF($F1019=" "," ",IFERROR(VLOOKUP($F1019,'депозитный калькулятор'!$B$26:$F$70,3,0),0))</f>
        <v xml:space="preserve"> </v>
      </c>
      <c r="M1019" s="135" t="str">
        <f>IF($F1019=" "," ",IFERROR(VLOOKUP($F1019,'депозитный калькулятор'!$B$26:$F$70,4,0),0))</f>
        <v xml:space="preserve"> </v>
      </c>
      <c r="N1019" s="135" t="str">
        <f>IF($F1019=" "," ",IFERROR(VLOOKUP($F1019,'депозитный калькулятор'!$B$26:$F$70,5,0),0))</f>
        <v xml:space="preserve"> </v>
      </c>
      <c r="O1019" s="146" t="str">
        <f>IF(F1019&gt;'депозитный калькулятор'!$D$8," ",IF(F1019='депозитный калькулятор'!$D$8,IF(AND($F$24='депозитный калькулятор'!$D$8,'депозитный калькулятор'!$G$13="нет"),-G1019-IF(I1019=" ",0,I1019)-IF(AND(OR('депозитный калькулятор'!$G$7="30/365",'депозитный калькулятор'!$G$7="30/360"),'депозитный калькулятор'!$G$10="в начале срока"),I1018,0)-L1019+M1019-N1019,-G1019-IF(I1019=" ",0,I1019)-L1019+M1019-N1019),IF('депозитный калькулятор'!$G$13="есть",M1019-N1019+IF('депозитный калькулятор'!$G$14="есть",0,-L1019),-IF(I1019=" ",0,I1019)-IF(AND(OR('депозитный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срока"),I1018,0)+M1019-N1019+IF('депозитный калькулятор'!$G$14="есть",0,-L1019))))</f>
        <v xml:space="preserve"> </v>
      </c>
      <c r="P1019" s="147" t="str">
        <f>IF(F1019&gt;'депозитный калькулятор'!$D$8," ",IF(EOMONTH(F1018,0)=F1018,0,IF(G1019&gt;='депозитный калькулятор'!$G$19,P1018,P1018+1)))</f>
        <v xml:space="preserve"> </v>
      </c>
      <c r="Q1019" s="138" t="str">
        <f>IF(F1019=" "," ",IF(AND(OR('депозитный калькулятор'!$G$7="30/365",'депозитный калькулятор'!$G$7="30/360"),AND(MONTH(F1019)=2,EOMONTH(F1019,0)=F1019)),IF(DAY(F1019)=28,3,2),1)*IF(G1019&gt;='депозитный калькулятор'!$G$11,IF(AND('депозитный калькулятор'!$G$7="факт/факт",MOD(YEAR(F1019),4)=0),G1019*'депозитный калькулятор'!$D$11/366,G1019*'депозитный калькулятор'!$G$8),0))</f>
        <v xml:space="preserve"> </v>
      </c>
      <c r="S1019" s="62" t="str">
        <f t="shared" ca="1" si="77"/>
        <v xml:space="preserve"> </v>
      </c>
      <c r="T1019" s="149" t="str">
        <f ca="1">IF(S1019=" "," ",IF('депозитный калькулятор'!$G$7="30/360",DAYS360(U1018,IF(DAY(U1019)=31,U1019-1,U1019))+IF(AND(MONTH(U1019)=2,U1019=EOMONTH(U1019,0)),30-DAY(EOMONTH(U1019,0)))+T1018,VLOOKUP(S1019,$C$22:$F$1023,2,0)))</f>
        <v xml:space="preserve"> </v>
      </c>
      <c r="U1019" s="64" t="str">
        <f t="shared" ca="1" si="75"/>
        <v xml:space="preserve"> </v>
      </c>
      <c r="V1019" s="150" t="str">
        <f t="shared" ca="1" si="78"/>
        <v xml:space="preserve"> </v>
      </c>
      <c r="W1019" s="62" t="str">
        <f t="shared" ca="1" si="79"/>
        <v xml:space="preserve"> </v>
      </c>
      <c r="X1019" s="141" t="str">
        <f ca="1">IF(S1019=" "," ",IFERROR(VLOOKUP(U1019,$F$23:$N$1023,7)+VLOOKUP(U1019,$F$23:$N$1023,9)+IF(AND('депозитный калькулятор'!$G$13="нет",U1019&lt;&gt;'депозитный калькулятор'!$D$8),VLOOKUP(U1019,$F$23:$N$1023,4),0),0)+IF(U1019='депозитный калькулятор'!$D$8,VLOOKUP(U1019,$F$23:$N$1023,2)+VLOOKUP(U1019,$F$23:$N$1023,4),0))</f>
        <v xml:space="preserve"> </v>
      </c>
      <c r="Y1019" s="142" t="str">
        <f ca="1">IF(S1019=" "," ",W1019/(1+'депозитный калькулятор'!$K$8)^(T1019/IF('депозитный калькулятор'!$G$7="30/360",360,365)))</f>
        <v xml:space="preserve"> </v>
      </c>
      <c r="Z1019" s="142" t="str">
        <f ca="1">IF(S1019=" "," ",X1019/(1+'депозитный калькулятор'!$K$8)^(T1019/IF('депозитный калькулятор'!$G$7="30/360",360,365)))</f>
        <v xml:space="preserve"> </v>
      </c>
      <c r="AA1019" s="151"/>
      <c r="AB1019" s="151"/>
      <c r="AC1019" s="155"/>
      <c r="AD1019" s="155"/>
      <c r="AF1019" s="2"/>
      <c r="AG1019" s="2"/>
      <c r="AH1019" s="2"/>
    </row>
    <row r="1020" spans="1:34" ht="15.5" x14ac:dyDescent="0.35">
      <c r="A1020" s="41" t="str">
        <f>IF(F1020=" "," ",IF(OR('депозитный калькулятор'!$G$7="30/365",'депозитный калькулятор'!$G$7="30/360"),IF(AND(MONTH(F1020)=2,DAY(F1020)=DAY(EOMONTH(F1020,0))),30-DAY(EOMONTH(F1020,0)),IF(DAY(F1020)=31,1," "))," "))</f>
        <v xml:space="preserve"> </v>
      </c>
      <c r="B1020" s="130" t="str">
        <f t="shared" si="76"/>
        <v xml:space="preserve"> </v>
      </c>
      <c r="C1020" s="130" t="str">
        <f>IF(OR(B1020=0,B1020=" ")," ",SUM($B$23:B1020))</f>
        <v xml:space="preserve"> </v>
      </c>
      <c r="D1020" s="62" t="str">
        <f>IF(D1019=" "," ",IF(OR(F1019='депозитный калькулятор'!$D$8,F1019=" ")," ",D1019+1))</f>
        <v xml:space="preserve"> </v>
      </c>
      <c r="E1020" s="130" t="str">
        <f>IF(OR(F1019='депозитный калькулятор'!$D$8,F1019=" ")," ",IF(EOMONTH(F1019,0)=F1019,1,E1019+1))</f>
        <v xml:space="preserve"> </v>
      </c>
      <c r="F1020" s="64" t="str">
        <f>IF(F1019=" "," ",IF(F1019='депозитный калькулятор'!$D$8," ",F1019+1))</f>
        <v xml:space="preserve"> </v>
      </c>
      <c r="G1020" s="145" t="str">
        <f xml:space="preserve"> IF(F1020&gt;'депозитный калькулятор'!$D$8," ",IF('депозитный калькулятор'!$G$13="есть",IF('депозитный калькулятор'!$G$14="есть",G1019+IF(I1019=" ",0,I1019)-J1020-K1020+L1020+M1020-N1020,G1019+IF(I1019=" ",0,I1019)-J1020-K1020+M1020-N1020),IF('депозитный калькулятор'!$G$14="есть",G1019-J1020-K1020+L1020+M1020-N1020,G1019-J1020-K1020+M1020-N1020)))</f>
        <v xml:space="preserve"> </v>
      </c>
      <c r="H1020" s="133" t="str">
        <f>IF(F1020&gt;'депозитный калькулятор'!$D$8," ",IF(AND(OR('депозитный калькулятор'!$G$7="30/365",'депозитный калькулятор'!$G$7="30/360"),AND(MONTH(F1020)=2,EOMONTH(F1020,0)=F1020)),IF(DAY(F1020)=28,3*G1020*'депозитный калькулятор'!$G$8,2*G1020*'депозитный калькулятор'!$G$8),IF(AND(OR('депозитный калькулятор'!$G$7="30/365",'депозитный калькулятор'!$G$7="30/360"),DAY(F1020)=31)," ",IF(AND('депозитный калькулятор'!$G$7="факт/факт",MOD(YEAR(F1020),4)=0),G1020*'депозитный калькулятор'!$D$11/366,G1020*'депозитный калькулятор'!$G$8))))</f>
        <v xml:space="preserve"> </v>
      </c>
      <c r="I1020" s="134" t="str">
        <f ca="1">IF(F1020=" "," ",IF('депозитный калькулятор'!$G$10="ежедневное",H1020,IF(AND('депозитный калькулятор'!$G$10="еженедельное",WEEKDAY(F1020,2)=7),SUM(OFFSET(H1020,-6,0):H1020),IF(AND('депозитный калькулятор'!$G$10="еженедельное",F1020='депозитный калькулятор'!$D$8),SUM($H$23:H1020)-SUM($I$23:I1019),IF(AND('депозитный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недели",WEEKDAY(F1020,2)=7),MIN(OFFSET(H1020,-6,0):H1020)*(COUNTIF(OFFSET(H1020,-6,0):H1020,"&gt;0")+SUMIF(OFFSET(A1020,-WEEKDAY(F1020,2),0):A1020,"=2",OFFSET(A1020,-WEEKDAY(F1020,2),0):A1020)),IF(AND('депозитный калькулятор'!$G$10="еженедельное, на минимальную сумму зафиксированную в течение недели",F1020='депозитный калькулятор'!$D$8,WEEKDAY(F1020,2)&lt;&gt;7),MIN(OFFSET(H1020,-WEEKDAY(F1020,2),0):H1020)*(COUNTIF(OFFSET(H1020,-WEEKDAY(F1020,2)+1,0):H1020,"&gt;0")+SUM(OFFSET(A1020,-WEEKDAY(F1020,2),0):A1020)),IF(AND('депозитный калькулятор'!$G$10="ежемесячное (в конце месяца)",F1020='депозитный калькулятор'!$D$8,EOMONTH(F1020,0)&lt;&gt;F1020),IF('депозитный калькулятор'!$F$1=1,$H$24,SUM($H$23:H1020)-SUM($I$23:I1019)),IF(AND('депозитный калькулятор'!$G$10="ежемесячное (в конце месяца)",EOMONTH(F1020,0)=F1020),SUM($H$23:H1020)-SUM($I$23:I1019),IF(AND('депозитный калькулятор'!$G$10="ежемесячное (по дням открытия вклада)",F1020='депозитный калькулятор'!$D$8,DAY('депозитный калькулятор'!$D$7)&lt;&gt;DAY(F1020)),IF('депозитный калькулятор'!$F$1=1,$H$24,SUM($H$23:H1020)-SUM($I$23:I1019)),IF(AND('депозитный калькулятор'!$G$10="ежемесячное (по дням открытия вклада)",DAY('депозитный калькулятор'!$D$7)=DAY(F1020)),SUM($H$23:H1020)-SUM($I$23:I1019),IF(AND('депозитный калькулятор'!$G$10="ежемесячное, на минимальную сумму зафиксированную в течение месяца",F1020='депозитный калькулятор'!$D$8,EOMONTH(F1020,0)&lt;&gt;F1020),IF('депозитный калькулятор'!$F$1=1,$H$24,IF(AND(OR('депозитный калькулятор'!$G$7="30/365",'депозитный калькулятор'!$G$7="30/360"),DAY(F1020)=31),0,MIN(OFFSET(H1020,-E1020+1,0):H1020)*(E1020+SUMIF(OFFSET(A1020,-E1020+1,0):A1020,"=2",OFFSET(A1020,-E1020+1,0):A1020)))),IF(AND('депозитный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калькулятор'!$G$7="30/360"),DAY(EOMONTH(F1020,0))=31),EOMONTH(F1020,0)-1=F1020,EOMONTH(F1020,0)=F1020)),IF(IF(AND(OR('депозитный калькулятор'!$G$7="30/365",'депозитный калькулятор'!$G$7="30/360"),DAY(EOMONTH($F$23,0))=31),F1020=EOMONTH($F$23,0)-1,F1020=EOMONTH($F$23,0)),MIN(OFFSET(H1020,-(DAY(F1020)-DAY($F$23)),0):H1020)*E1020,MIN(OFFSET(H1020,-(DAY(F1020)-1),0):H1020)*IF(AND(OR('депозитный калькулятор'!$G$7="30/365",'депозитный калькулятор'!$G$7="30/360"),DAY(F1020)&lt;30),30,DAY(F1020))),IF(AND('депозитный калькулятор'!$G$10="ежемесячное, на средний остаток в течение месяца, при условии что остаток больше чем ограничение",F1020='депозитный калькулятор'!$D$8,EOMONTH(F1020,0)&lt;&gt;F1020),IF('депозитный калькулятор'!$F$1=1,$H$24,SUM(OFFSET(Q1020,-E1020+1,0):Q1020)),IF(AND('депозитный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калькулятор'!$G$7="30/360"),DAY(EOMONTH(F1020,0))=31),EOMONTH(F1020,0)-1=F1020,EOMONTH(F1020,0)=F1020)),IF(IF(AND(OR('депозитный калькулятор'!$G$7="30/365",'депозитный калькулятор'!$G$7="30/360"),DAY(EOMONTH($F$24,0))=31),F1020=EOMONTH($F$24,0)-1,F1020=EOMONTH($F$24,0)),SUM(OFFSET(Q1020,-E1020+1,0):Q1020),SUM(OFFSET(Q1020,-E1020+1,0):Q1020)),IF('депозитный калькулятор'!$G$10="ежеквартальное",IF(F1020&gt;'депозитный калькулятор'!$D$8," ",IF(AND(EOMONTH(F1020,0)=F1020,OR(MONTH(F1020)=3,MONTH(F1020)=6,MONTH(F1020)=9,MONTH(F1020)=12)),IF(EDATE(F1020,-3)&lt;'депозитный калькулятор'!$D$7,SUM($H$23:H1020),IF(MOD(YEAR(F1020),4)=0,IF(AND(EOMONTH(F1020,0)=F1020,OR(MONTH(F1020)=3,MONTH(F1020)=6)),SUM(OFFSET(H1020,-90,0):H1020),IF(AND(EOMONTH(F1020,0)=F1020,OR(MONTH(F1020)=9,MONTH(F1020)=12)),SUM(OFFSET(H1020,-91,0):H1020))),IF(AND(EOMONTH(F1020,0)=F1020,MONTH(F1020)=3),SUM(OFFSET(H1020,-89,0):H1020),IF(AND(EOMONTH(F1020,0)=F1020,MONTH(F1020)=6),SUM(OFFSET(H1020,-90,0):H1020),IF(AND(EOMONTH(F1020,0)=F1020,OR(MONTH(F1020)=9,MONTH(F1020)=12)),SUM(OFFSET(H1020,-91,0):H1020)))))),IF(F1020='депозитный калькулятор'!$D$8,SUM($H$23:H1020)-SUM($I$23:I1019),0))),IF('депозитный калькулятор'!$G$10="ежегодное",IF(F1020&gt;'депозитный калькулятор'!$D$8," ",IF(F1020='депозитный калькулятор'!$D$8,SUM($H$23:H1020)-SUM($I$23:I1019),IF(AND(EOMONTH(F1020,0)=F1020,MONTH(F1020)=12),IF(MOD(YEAR(F1019),4)=0,IF(F1020-'депозитный калькулятор'!$D$7&lt;366,SUM($H$23:H1020),SUM(OFFSET(H1020,-365,0):H1020)),IF(F1020-'депозитный калькулятор'!$D$7&lt;365,SUM($H$23:H1020),SUM(OFFSET(H1020,-364,0):H1020))),0))),IF(AND('депозитный калькулятор'!$G$10="в конце срока",'депозитный калькулятор'!$D$8=F1020),SUM($H$23:H1020),0))))))))))))))))))</f>
        <v xml:space="preserve"> </v>
      </c>
      <c r="J1020" s="59" t="str">
        <f>IF(F1020&gt;'депозитный калькулятор'!$D$8," ",IF('депозитный калькулятор'!$G$16="нет",0,IF(AND('депозитный калькулятор'!$G$17="разовая (в конце срока)",F1020='депозитный калькулятор'!$D$8),'депозитный калькулятор'!$G$18,IF(AND('депозитный калькулятор'!$G$17="ежемесячная",EOMONTH(F1019,0)=F1019),'депозитный калькулятор'!$G$18,IF(AND('депозитный калькулятор'!$G$17="ежегодная",DAY(F1019)=31,MONTH(F1019)=12),'депозитный калькулятор'!$G$18,IF(AND('депозитный калькулятор'!$G$17="ежемесячная в зависимости от остатка",EOMONTH(F1019,0)=F1019,P1019&gt;0),'депозитный калькулятор'!$G$18,IF(AND('депозитный калькулятор'!$G$17="ежегодная в зависимости от остатка",DAY(F1019)=31,MONTH(F1019)=12,P1019&gt;0),'депозитный калькулятор'!$G$18,0)))))))</f>
        <v xml:space="preserve"> </v>
      </c>
      <c r="K1020" s="135" t="str">
        <f>IF($F1020=" "," ",IFERROR(VLOOKUP($F1020,'депозитный калькулятор'!$B$26:$F$70,2,0),0))</f>
        <v xml:space="preserve"> </v>
      </c>
      <c r="L1020" s="135" t="str">
        <f>IF($F1020=" "," ",IFERROR(VLOOKUP($F1020,'депозитный калькулятор'!$B$26:$F$70,3,0),0))</f>
        <v xml:space="preserve"> </v>
      </c>
      <c r="M1020" s="135" t="str">
        <f>IF($F1020=" "," ",IFERROR(VLOOKUP($F1020,'депозитный калькулятор'!$B$26:$F$70,4,0),0))</f>
        <v xml:space="preserve"> </v>
      </c>
      <c r="N1020" s="135" t="str">
        <f>IF($F1020=" "," ",IFERROR(VLOOKUP($F1020,'депозитный калькулятор'!$B$26:$F$70,5,0),0))</f>
        <v xml:space="preserve"> </v>
      </c>
      <c r="O1020" s="146" t="str">
        <f>IF(F1020&gt;'депозитный калькулятор'!$D$8," ",IF(F1020='депозитный калькулятор'!$D$8,IF(AND($F$24='депозитный калькулятор'!$D$8,'депозитный калькулятор'!$G$13="нет"),-G1020-IF(I1020=" ",0,I1020)-IF(AND(OR('депозитный калькулятор'!$G$7="30/365",'депозитный калькулятор'!$G$7="30/360"),'депозитный калькулятор'!$G$10="в начале срока"),I1019,0)-L1020+M1020-N1020,-G1020-IF(I1020=" ",0,I1020)-L1020+M1020-N1020),IF('депозитный калькулятор'!$G$13="есть",M1020-N1020+IF('депозитный калькулятор'!$G$14="есть",0,-L1020),-IF(I1020=" ",0,I1020)-IF(AND(OR('депозитный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срока"),I1019,0)+M1020-N1020+IF('депозитный калькулятор'!$G$14="есть",0,-L1020))))</f>
        <v xml:space="preserve"> </v>
      </c>
      <c r="P1020" s="147" t="str">
        <f>IF(F1020&gt;'депозитный калькулятор'!$D$8," ",IF(EOMONTH(F1019,0)=F1019,0,IF(G1020&gt;='депозитный калькулятор'!$G$19,P1019,P1019+1)))</f>
        <v xml:space="preserve"> </v>
      </c>
      <c r="Q1020" s="138" t="str">
        <f>IF(F1020=" "," ",IF(AND(OR('депозитный калькулятор'!$G$7="30/365",'депозитный калькулятор'!$G$7="30/360"),AND(MONTH(F1020)=2,EOMONTH(F1020,0)=F1020)),IF(DAY(F1020)=28,3,2),1)*IF(G1020&gt;='депозитный калькулятор'!$G$11,IF(AND('депозитный калькулятор'!$G$7="факт/факт",MOD(YEAR(F1020),4)=0),G1020*'депозитный калькулятор'!$D$11/366,G1020*'депозитный калькулятор'!$G$8),0))</f>
        <v xml:space="preserve"> </v>
      </c>
      <c r="S1020" s="62" t="str">
        <f t="shared" ca="1" si="77"/>
        <v xml:space="preserve"> </v>
      </c>
      <c r="T1020" s="149" t="str">
        <f ca="1">IF(S1020=" "," ",IF('депозитный калькулятор'!$G$7="30/360",DAYS360(U1019,IF(DAY(U1020)=31,U1020-1,U1020))+IF(AND(MONTH(U1020)=2,U1020=EOMONTH(U1020,0)),30-DAY(EOMONTH(U1020,0)))+T1019,VLOOKUP(S1020,$C$22:$F$1023,2,0)))</f>
        <v xml:space="preserve"> </v>
      </c>
      <c r="U1020" s="64" t="str">
        <f t="shared" ca="1" si="75"/>
        <v xml:space="preserve"> </v>
      </c>
      <c r="V1020" s="150" t="str">
        <f t="shared" ca="1" si="78"/>
        <v xml:space="preserve"> </v>
      </c>
      <c r="W1020" s="62" t="str">
        <f t="shared" ca="1" si="79"/>
        <v xml:space="preserve"> </v>
      </c>
      <c r="X1020" s="141" t="str">
        <f ca="1">IF(S1020=" "," ",IFERROR(VLOOKUP(U1020,$F$23:$N$1023,7)+VLOOKUP(U1020,$F$23:$N$1023,9)+IF(AND('депозитный калькулятор'!$G$13="нет",U1020&lt;&gt;'депозитный калькулятор'!$D$8),VLOOKUP(U1020,$F$23:$N$1023,4),0),0)+IF(U1020='депозитный калькулятор'!$D$8,VLOOKUP(U1020,$F$23:$N$1023,2)+VLOOKUP(U1020,$F$23:$N$1023,4),0))</f>
        <v xml:space="preserve"> </v>
      </c>
      <c r="Y1020" s="142" t="str">
        <f ca="1">IF(S1020=" "," ",W1020/(1+'депозитный калькулятор'!$K$8)^(T1020/IF('депозитный калькулятор'!$G$7="30/360",360,365)))</f>
        <v xml:space="preserve"> </v>
      </c>
      <c r="Z1020" s="142" t="str">
        <f ca="1">IF(S1020=" "," ",X1020/(1+'депозитный калькулятор'!$K$8)^(T1020/IF('депозитный калькулятор'!$G$7="30/360",360,365)))</f>
        <v xml:space="preserve"> </v>
      </c>
      <c r="AA1020" s="151"/>
      <c r="AB1020" s="151"/>
      <c r="AC1020" s="155"/>
      <c r="AD1020" s="155"/>
      <c r="AF1020" s="2"/>
      <c r="AG1020" s="2"/>
      <c r="AH1020" s="2"/>
    </row>
    <row r="1021" spans="1:34" ht="15.5" x14ac:dyDescent="0.35">
      <c r="A1021" s="41" t="str">
        <f>IF(F1021=" "," ",IF(OR('депозитный калькулятор'!$G$7="30/365",'депозитный калькулятор'!$G$7="30/360"),IF(AND(MONTH(F1021)=2,DAY(F1021)=DAY(EOMONTH(F1021,0))),30-DAY(EOMONTH(F1021,0)),IF(DAY(F1021)=31,1," "))," "))</f>
        <v xml:space="preserve"> </v>
      </c>
      <c r="B1021" s="130" t="str">
        <f t="shared" si="76"/>
        <v xml:space="preserve"> </v>
      </c>
      <c r="C1021" s="130" t="str">
        <f>IF(OR(B1021=0,B1021=" ")," ",SUM($B$23:B1021))</f>
        <v xml:space="preserve"> </v>
      </c>
      <c r="D1021" s="62" t="str">
        <f>IF(D1020=" "," ",IF(OR(F1020='депозитный калькулятор'!$D$8,F1020=" ")," ",D1020+1))</f>
        <v xml:space="preserve"> </v>
      </c>
      <c r="E1021" s="130" t="str">
        <f>IF(OR(F1020='депозитный калькулятор'!$D$8,F1020=" ")," ",IF(EOMONTH(F1020,0)=F1020,1,E1020+1))</f>
        <v xml:space="preserve"> </v>
      </c>
      <c r="F1021" s="64" t="str">
        <f>IF(F1020=" "," ",IF(F1020='депозитный калькулятор'!$D$8," ",F1020+1))</f>
        <v xml:space="preserve"> </v>
      </c>
      <c r="G1021" s="145" t="str">
        <f xml:space="preserve"> IF(F1021&gt;'депозитный калькулятор'!$D$8," ",IF('депозитный калькулятор'!$G$13="есть",IF('депозитный калькулятор'!$G$14="есть",G1020+IF(I1020=" ",0,I1020)-J1021-K1021+L1021+M1021-N1021,G1020+IF(I1020=" ",0,I1020)-J1021-K1021+M1021-N1021),IF('депозитный калькулятор'!$G$14="есть",G1020-J1021-K1021+L1021+M1021-N1021,G1020-J1021-K1021+M1021-N1021)))</f>
        <v xml:space="preserve"> </v>
      </c>
      <c r="H1021" s="133" t="str">
        <f>IF(F1021&gt;'депозитный калькулятор'!$D$8," ",IF(AND(OR('депозитный калькулятор'!$G$7="30/365",'депозитный калькулятор'!$G$7="30/360"),AND(MONTH(F1021)=2,EOMONTH(F1021,0)=F1021)),IF(DAY(F1021)=28,3*G1021*'депозитный калькулятор'!$G$8,2*G1021*'депозитный калькулятор'!$G$8),IF(AND(OR('депозитный калькулятор'!$G$7="30/365",'депозитный калькулятор'!$G$7="30/360"),DAY(F1021)=31)," ",IF(AND('депозитный калькулятор'!$G$7="факт/факт",MOD(YEAR(F1021),4)=0),G1021*'депозитный калькулятор'!$D$11/366,G1021*'депозитный калькулятор'!$G$8))))</f>
        <v xml:space="preserve"> </v>
      </c>
      <c r="I1021" s="134" t="str">
        <f ca="1">IF(F1021=" "," ",IF('депозитный калькулятор'!$G$10="ежедневное",H1021,IF(AND('депозитный калькулятор'!$G$10="еженедельное",WEEKDAY(F1021,2)=7),SUM(OFFSET(H1021,-6,0):H1021),IF(AND('депозитный калькулятор'!$G$10="еженедельное",F1021='депозитный калькулятор'!$D$8),SUM($H$23:H1021)-SUM($I$23:I1020),IF(AND('депозитный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недели",WEEKDAY(F1021,2)=7),MIN(OFFSET(H1021,-6,0):H1021)*(COUNTIF(OFFSET(H1021,-6,0):H1021,"&gt;0")+SUMIF(OFFSET(A1021,-WEEKDAY(F1021,2),0):A1021,"=2",OFFSET(A1021,-WEEKDAY(F1021,2),0):A1021)),IF(AND('депозитный калькулятор'!$G$10="еженедельное, на минимальную сумму зафиксированную в течение недели",F1021='депозитный калькулятор'!$D$8,WEEKDAY(F1021,2)&lt;&gt;7),MIN(OFFSET(H1021,-WEEKDAY(F1021,2),0):H1021)*(COUNTIF(OFFSET(H1021,-WEEKDAY(F1021,2)+1,0):H1021,"&gt;0")+SUM(OFFSET(A1021,-WEEKDAY(F1021,2),0):A1021)),IF(AND('депозитный калькулятор'!$G$10="ежемесячное (в конце месяца)",F1021='депозитный калькулятор'!$D$8,EOMONTH(F1021,0)&lt;&gt;F1021),IF('депозитный калькулятор'!$F$1=1,$H$24,SUM($H$23:H1021)-SUM($I$23:I1020)),IF(AND('депозитный калькулятор'!$G$10="ежемесячное (в конце месяца)",EOMONTH(F1021,0)=F1021),SUM($H$23:H1021)-SUM($I$23:I1020),IF(AND('депозитный калькулятор'!$G$10="ежемесячное (по дням открытия вклада)",F1021='депозитный калькулятор'!$D$8,DAY('депозитный калькулятор'!$D$7)&lt;&gt;DAY(F1021)),IF('депозитный калькулятор'!$F$1=1,$H$24,SUM($H$23:H1021)-SUM($I$23:I1020)),IF(AND('депозитный калькулятор'!$G$10="ежемесячное (по дням открытия вклада)",DAY('депозитный калькулятор'!$D$7)=DAY(F1021)),SUM($H$23:H1021)-SUM($I$23:I1020),IF(AND('депозитный калькулятор'!$G$10="ежемесячное, на минимальную сумму зафиксированную в течение месяца",F1021='депозитный калькулятор'!$D$8,EOMONTH(F1021,0)&lt;&gt;F1021),IF('депозитный калькулятор'!$F$1=1,$H$24,IF(AND(OR('депозитный калькулятор'!$G$7="30/365",'депозитный калькулятор'!$G$7="30/360"),DAY(F1021)=31),0,MIN(OFFSET(H1021,-E1021+1,0):H1021)*(E1021+SUMIF(OFFSET(A1021,-E1021+1,0):A1021,"=2",OFFSET(A1021,-E1021+1,0):A1021)))),IF(AND('депозитный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калькулятор'!$G$7="30/360"),DAY(EOMONTH(F1021,0))=31),EOMONTH(F1021,0)-1=F1021,EOMONTH(F1021,0)=F1021)),IF(IF(AND(OR('депозитный калькулятор'!$G$7="30/365",'депозитный калькулятор'!$G$7="30/360"),DAY(EOMONTH($F$23,0))=31),F1021=EOMONTH($F$23,0)-1,F1021=EOMONTH($F$23,0)),MIN(OFFSET(H1021,-(DAY(F1021)-DAY($F$23)),0):H1021)*E1021,MIN(OFFSET(H1021,-(DAY(F1021)-1),0):H1021)*IF(AND(OR('депозитный калькулятор'!$G$7="30/365",'депозитный калькулятор'!$G$7="30/360"),DAY(F1021)&lt;30),30,DAY(F1021))),IF(AND('депозитный калькулятор'!$G$10="ежемесячное, на средний остаток в течение месяца, при условии что остаток больше чем ограничение",F1021='депозитный калькулятор'!$D$8,EOMONTH(F1021,0)&lt;&gt;F1021),IF('депозитный калькулятор'!$F$1=1,$H$24,SUM(OFFSET(Q1021,-E1021+1,0):Q1021)),IF(AND('депозитный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калькулятор'!$G$7="30/360"),DAY(EOMONTH(F1021,0))=31),EOMONTH(F1021,0)-1=F1021,EOMONTH(F1021,0)=F1021)),IF(IF(AND(OR('депозитный калькулятор'!$G$7="30/365",'депозитный калькулятор'!$G$7="30/360"),DAY(EOMONTH($F$24,0))=31),F1021=EOMONTH($F$24,0)-1,F1021=EOMONTH($F$24,0)),SUM(OFFSET(Q1021,-E1021+1,0):Q1021),SUM(OFFSET(Q1021,-E1021+1,0):Q1021)),IF('депозитный калькулятор'!$G$10="ежеквартальное",IF(F1021&gt;'депозитный калькулятор'!$D$8," ",IF(AND(EOMONTH(F1021,0)=F1021,OR(MONTH(F1021)=3,MONTH(F1021)=6,MONTH(F1021)=9,MONTH(F1021)=12)),IF(EDATE(F1021,-3)&lt;'депозитный калькулятор'!$D$7,SUM($H$23:H1021),IF(MOD(YEAR(F1021),4)=0,IF(AND(EOMONTH(F1021,0)=F1021,OR(MONTH(F1021)=3,MONTH(F1021)=6)),SUM(OFFSET(H1021,-90,0):H1021),IF(AND(EOMONTH(F1021,0)=F1021,OR(MONTH(F1021)=9,MONTH(F1021)=12)),SUM(OFFSET(H1021,-91,0):H1021))),IF(AND(EOMONTH(F1021,0)=F1021,MONTH(F1021)=3),SUM(OFFSET(H1021,-89,0):H1021),IF(AND(EOMONTH(F1021,0)=F1021,MONTH(F1021)=6),SUM(OFFSET(H1021,-90,0):H1021),IF(AND(EOMONTH(F1021,0)=F1021,OR(MONTH(F1021)=9,MONTH(F1021)=12)),SUM(OFFSET(H1021,-91,0):H1021)))))),IF(F1021='депозитный калькулятор'!$D$8,SUM($H$23:H1021)-SUM($I$23:I1020),0))),IF('депозитный калькулятор'!$G$10="ежегодное",IF(F1021&gt;'депозитный калькулятор'!$D$8," ",IF(F1021='депозитный калькулятор'!$D$8,SUM($H$23:H1021)-SUM($I$23:I1020),IF(AND(EOMONTH(F1021,0)=F1021,MONTH(F1021)=12),IF(MOD(YEAR(F1020),4)=0,IF(F1021-'депозитный калькулятор'!$D$7&lt;366,SUM($H$23:H1021),SUM(OFFSET(H1021,-365,0):H1021)),IF(F1021-'депозитный калькулятор'!$D$7&lt;365,SUM($H$23:H1021),SUM(OFFSET(H1021,-364,0):H1021))),0))),IF(AND('депозитный калькулятор'!$G$10="в конце срока",'депозитный калькулятор'!$D$8=F1021),SUM($H$23:H1021),0))))))))))))))))))</f>
        <v xml:space="preserve"> </v>
      </c>
      <c r="J1021" s="59" t="str">
        <f>IF(F1021&gt;'депозитный калькулятор'!$D$8," ",IF('депозитный калькулятор'!$G$16="нет",0,IF(AND('депозитный калькулятор'!$G$17="разовая (в конце срока)",F1021='депозитный калькулятор'!$D$8),'депозитный калькулятор'!$G$18,IF(AND('депозитный калькулятор'!$G$17="ежемесячная",EOMONTH(F1020,0)=F1020),'депозитный калькулятор'!$G$18,IF(AND('депозитный калькулятор'!$G$17="ежегодная",DAY(F1020)=31,MONTH(F1020)=12),'депозитный калькулятор'!$G$18,IF(AND('депозитный калькулятор'!$G$17="ежемесячная в зависимости от остатка",EOMONTH(F1020,0)=F1020,P1020&gt;0),'депозитный калькулятор'!$G$18,IF(AND('депозитный калькулятор'!$G$17="ежегодная в зависимости от остатка",DAY(F1020)=31,MONTH(F1020)=12,P1020&gt;0),'депозитный калькулятор'!$G$18,0)))))))</f>
        <v xml:space="preserve"> </v>
      </c>
      <c r="K1021" s="135" t="str">
        <f>IF($F1021=" "," ",IFERROR(VLOOKUP($F1021,'депозитный калькулятор'!$B$26:$F$70,2,0),0))</f>
        <v xml:space="preserve"> </v>
      </c>
      <c r="L1021" s="135" t="str">
        <f>IF($F1021=" "," ",IFERROR(VLOOKUP($F1021,'депозитный калькулятор'!$B$26:$F$70,3,0),0))</f>
        <v xml:space="preserve"> </v>
      </c>
      <c r="M1021" s="135" t="str">
        <f>IF($F1021=" "," ",IFERROR(VLOOKUP($F1021,'депозитный калькулятор'!$B$26:$F$70,4,0),0))</f>
        <v xml:space="preserve"> </v>
      </c>
      <c r="N1021" s="135" t="str">
        <f>IF($F1021=" "," ",IFERROR(VLOOKUP($F1021,'депозитный калькулятор'!$B$26:$F$70,5,0),0))</f>
        <v xml:space="preserve"> </v>
      </c>
      <c r="O1021" s="146" t="str">
        <f>IF(F1021&gt;'депозитный калькулятор'!$D$8," ",IF(F1021='депозитный калькулятор'!$D$8,IF(AND($F$24='депозитный калькулятор'!$D$8,'депозитный калькулятор'!$G$13="нет"),-G1021-IF(I1021=" ",0,I1021)-IF(AND(OR('депозитный калькулятор'!$G$7="30/365",'депозитный калькулятор'!$G$7="30/360"),'депозитный калькулятор'!$G$10="в начале срока"),I1020,0)-L1021+M1021-N1021,-G1021-IF(I1021=" ",0,I1021)-L1021+M1021-N1021),IF('депозитный калькулятор'!$G$13="есть",M1021-N1021+IF('депозитный калькулятор'!$G$14="есть",0,-L1021),-IF(I1021=" ",0,I1021)-IF(AND(OR('депозитный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срока"),I1020,0)+M1021-N1021+IF('депозитный калькулятор'!$G$14="есть",0,-L1021))))</f>
        <v xml:space="preserve"> </v>
      </c>
      <c r="P1021" s="147" t="str">
        <f>IF(F1021&gt;'депозитный калькулятор'!$D$8," ",IF(EOMONTH(F1020,0)=F1020,0,IF(G1021&gt;='депозитный калькулятор'!$G$19,P1020,P1020+1)))</f>
        <v xml:space="preserve"> </v>
      </c>
      <c r="Q1021" s="138" t="str">
        <f>IF(F1021=" "," ",IF(AND(OR('депозитный калькулятор'!$G$7="30/365",'депозитный калькулятор'!$G$7="30/360"),AND(MONTH(F1021)=2,EOMONTH(F1021,0)=F1021)),IF(DAY(F1021)=28,3,2),1)*IF(G1021&gt;='депозитный калькулятор'!$G$11,IF(AND('депозитный калькулятор'!$G$7="факт/факт",MOD(YEAR(F1021),4)=0),G1021*'депозитный калькулятор'!$D$11/366,G1021*'депозитный калькулятор'!$G$8),0))</f>
        <v xml:space="preserve"> </v>
      </c>
      <c r="S1021" s="62" t="str">
        <f t="shared" ca="1" si="77"/>
        <v xml:space="preserve"> </v>
      </c>
      <c r="T1021" s="149" t="str">
        <f ca="1">IF(S1021=" "," ",IF('депозитный калькулятор'!$G$7="30/360",DAYS360(U1020,IF(DAY(U1021)=31,U1021-1,U1021))+IF(AND(MONTH(U1021)=2,U1021=EOMONTH(U1021,0)),30-DAY(EOMONTH(U1021,0)))+T1020,VLOOKUP(S1021,$C$22:$F$1023,2,0)))</f>
        <v xml:space="preserve"> </v>
      </c>
      <c r="U1021" s="64" t="str">
        <f t="shared" ca="1" si="75"/>
        <v xml:space="preserve"> </v>
      </c>
      <c r="V1021" s="150" t="str">
        <f t="shared" ca="1" si="78"/>
        <v xml:space="preserve"> </v>
      </c>
      <c r="W1021" s="62" t="str">
        <f t="shared" ca="1" si="79"/>
        <v xml:space="preserve"> </v>
      </c>
      <c r="X1021" s="141" t="str">
        <f ca="1">IF(S1021=" "," ",IFERROR(VLOOKUP(U1021,$F$23:$N$1023,7)+VLOOKUP(U1021,$F$23:$N$1023,9)+IF(AND('депозитный калькулятор'!$G$13="нет",U1021&lt;&gt;'депозитный калькулятор'!$D$8),VLOOKUP(U1021,$F$23:$N$1023,4),0),0)+IF(U1021='депозитный калькулятор'!$D$8,VLOOKUP(U1021,$F$23:$N$1023,2)+VLOOKUP(U1021,$F$23:$N$1023,4),0))</f>
        <v xml:space="preserve"> </v>
      </c>
      <c r="Y1021" s="142" t="str">
        <f ca="1">IF(S1021=" "," ",W1021/(1+'депозитный калькулятор'!$K$8)^(T1021/IF('депозитный калькулятор'!$G$7="30/360",360,365)))</f>
        <v xml:space="preserve"> </v>
      </c>
      <c r="Z1021" s="142" t="str">
        <f ca="1">IF(S1021=" "," ",X1021/(1+'депозитный калькулятор'!$K$8)^(T1021/IF('депозитный калькулятор'!$G$7="30/360",360,365)))</f>
        <v xml:space="preserve"> </v>
      </c>
      <c r="AA1021" s="151"/>
      <c r="AB1021" s="151"/>
      <c r="AC1021" s="155"/>
      <c r="AD1021" s="155"/>
      <c r="AF1021" s="2"/>
      <c r="AG1021" s="2"/>
      <c r="AH1021" s="2"/>
    </row>
    <row r="1022" spans="1:34" ht="15.5" x14ac:dyDescent="0.35">
      <c r="A1022" s="41" t="str">
        <f>IF(F1022=" "," ",IF(OR('депозитный калькулятор'!$G$7="30/365",'депозитный калькулятор'!$G$7="30/360"),IF(AND(MONTH(F1022)=2,DAY(F1022)=DAY(EOMONTH(F1022,0))),30-DAY(EOMONTH(F1022,0)),IF(DAY(F1022)=31,1," "))," "))</f>
        <v xml:space="preserve"> </v>
      </c>
      <c r="B1022" s="130" t="str">
        <f t="shared" si="76"/>
        <v xml:space="preserve"> </v>
      </c>
      <c r="C1022" s="130" t="str">
        <f>IF(OR(B1022=0,B1022=" ")," ",SUM($B$23:B1022))</f>
        <v xml:space="preserve"> </v>
      </c>
      <c r="D1022" s="62" t="str">
        <f>IF(D1021=" "," ",IF(OR(F1021='депозитный калькулятор'!$D$8,F1021=" ")," ",D1021+1))</f>
        <v xml:space="preserve"> </v>
      </c>
      <c r="E1022" s="130" t="str">
        <f>IF(OR(F1021='депозитный калькулятор'!$D$8,F1021=" ")," ",IF(EOMONTH(F1021,0)=F1021,1,E1021+1))</f>
        <v xml:space="preserve"> </v>
      </c>
      <c r="F1022" s="64" t="str">
        <f>IF(F1021=" "," ",IF(F1021='депозитный калькулятор'!$D$8," ",F1021+1))</f>
        <v xml:space="preserve"> </v>
      </c>
      <c r="G1022" s="145" t="str">
        <f xml:space="preserve"> IF(F1022&gt;'депозитный калькулятор'!$D$8," ",IF('депозитный калькулятор'!$G$13="есть",IF('депозитный калькулятор'!$G$14="есть",G1021+IF(I1021=" ",0,I1021)-J1022-K1022+L1022+M1022-N1022,G1021+IF(I1021=" ",0,I1021)-J1022-K1022+M1022-N1022),IF('депозитный калькулятор'!$G$14="есть",G1021-J1022-K1022+L1022+M1022-N1022,G1021-J1022-K1022+M1022-N1022)))</f>
        <v xml:space="preserve"> </v>
      </c>
      <c r="H1022" s="133" t="str">
        <f>IF(F1022&gt;'депозитный калькулятор'!$D$8," ",IF(AND(OR('депозитный калькулятор'!$G$7="30/365",'депозитный калькулятор'!$G$7="30/360"),AND(MONTH(F1022)=2,EOMONTH(F1022,0)=F1022)),IF(DAY(F1022)=28,3*G1022*'депозитный калькулятор'!$G$8,2*G1022*'депозитный калькулятор'!$G$8),IF(AND(OR('депозитный калькулятор'!$G$7="30/365",'депозитный калькулятор'!$G$7="30/360"),DAY(F1022)=31)," ",IF(AND('депозитный калькулятор'!$G$7="факт/факт",MOD(YEAR(F1022),4)=0),G1022*'депозитный калькулятор'!$D$11/366,G1022*'депозитный калькулятор'!$G$8))))</f>
        <v xml:space="preserve"> </v>
      </c>
      <c r="I1022" s="134" t="str">
        <f ca="1">IF(F1022=" "," ",IF('депозитный калькулятор'!$G$10="ежедневное",H1022,IF(AND('депозитный калькулятор'!$G$10="еженедельное",WEEKDAY(F1022,2)=7),SUM(OFFSET(H1022,-6,0):H1022),IF(AND('депозитный калькулятор'!$G$10="еженедельное",F1022='депозитный калькулятор'!$D$8),SUM($H$23:H1022)-SUM($I$23:I1021),IF(AND('депозитный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недели",WEEKDAY(F1022,2)=7),MIN(OFFSET(H1022,-6,0):H1022)*(COUNTIF(OFFSET(H1022,-6,0):H1022,"&gt;0")+SUMIF(OFFSET(A1022,-WEEKDAY(F1022,2),0):A1022,"=2",OFFSET(A1022,-WEEKDAY(F1022,2),0):A1022)),IF(AND('депозитный калькулятор'!$G$10="еженедельное, на минимальную сумму зафиксированную в течение недели",F1022='депозитный калькулятор'!$D$8,WEEKDAY(F1022,2)&lt;&gt;7),MIN(OFFSET(H1022,-WEEKDAY(F1022,2),0):H1022)*(COUNTIF(OFFSET(H1022,-WEEKDAY(F1022,2)+1,0):H1022,"&gt;0")+SUM(OFFSET(A1022,-WEEKDAY(F1022,2),0):A1022)),IF(AND('депозитный калькулятор'!$G$10="ежемесячное (в конце месяца)",F1022='депозитный калькулятор'!$D$8,EOMONTH(F1022,0)&lt;&gt;F1022),IF('депозитный калькулятор'!$F$1=1,$H$24,SUM($H$23:H1022)-SUM($I$23:I1021)),IF(AND('депозитный калькулятор'!$G$10="ежемесячное (в конце месяца)",EOMONTH(F1022,0)=F1022),SUM($H$23:H1022)-SUM($I$23:I1021),IF(AND('депозитный калькулятор'!$G$10="ежемесячное (по дням открытия вклада)",F1022='депозитный калькулятор'!$D$8,DAY('депозитный калькулятор'!$D$7)&lt;&gt;DAY(F1022)),IF('депозитный калькулятор'!$F$1=1,$H$24,SUM($H$23:H1022)-SUM($I$23:I1021)),IF(AND('депозитный калькулятор'!$G$10="ежемесячное (по дням открытия вклада)",DAY('депозитный калькулятор'!$D$7)=DAY(F1022)),SUM($H$23:H1022)-SUM($I$23:I1021),IF(AND('депозитный калькулятор'!$G$10="ежемесячное, на минимальную сумму зафиксированную в течение месяца",F1022='депозитный калькулятор'!$D$8,EOMONTH(F1022,0)&lt;&gt;F1022),IF('депозитный калькулятор'!$F$1=1,$H$24,IF(AND(OR('депозитный калькулятор'!$G$7="30/365",'депозитный калькулятор'!$G$7="30/360"),DAY(F1022)=31),0,MIN(OFFSET(H1022,-E1022+1,0):H1022)*(E1022+SUMIF(OFFSET(A1022,-E1022+1,0):A1022,"=2",OFFSET(A1022,-E1022+1,0):A1022)))),IF(AND('депозитный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калькулятор'!$G$7="30/360"),DAY(EOMONTH(F1022,0))=31),EOMONTH(F1022,0)-1=F1022,EOMONTH(F1022,0)=F1022)),IF(IF(AND(OR('депозитный калькулятор'!$G$7="30/365",'депозитный калькулятор'!$G$7="30/360"),DAY(EOMONTH($F$23,0))=31),F1022=EOMONTH($F$23,0)-1,F1022=EOMONTH($F$23,0)),MIN(OFFSET(H1022,-(DAY(F1022)-DAY($F$23)),0):H1022)*E1022,MIN(OFFSET(H1022,-(DAY(F1022)-1),0):H1022)*IF(AND(OR('депозитный калькулятор'!$G$7="30/365",'депозитный калькулятор'!$G$7="30/360"),DAY(F1022)&lt;30),30,DAY(F1022))),IF(AND('депозитный калькулятор'!$G$10="ежемесячное, на средний остаток в течение месяца, при условии что остаток больше чем ограничение",F1022='депозитный калькулятор'!$D$8,EOMONTH(F1022,0)&lt;&gt;F1022),IF('депозитный калькулятор'!$F$1=1,$H$24,SUM(OFFSET(Q1022,-E1022+1,0):Q1022)),IF(AND('депозитный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калькулятор'!$G$7="30/360"),DAY(EOMONTH(F1022,0))=31),EOMONTH(F1022,0)-1=F1022,EOMONTH(F1022,0)=F1022)),IF(IF(AND(OR('депозитный калькулятор'!$G$7="30/365",'депозитный калькулятор'!$G$7="30/360"),DAY(EOMONTH($F$24,0))=31),F1022=EOMONTH($F$24,0)-1,F1022=EOMONTH($F$24,0)),SUM(OFFSET(Q1022,-E1022+1,0):Q1022),SUM(OFFSET(Q1022,-E1022+1,0):Q1022)),IF('депозитный калькулятор'!$G$10="ежеквартальное",IF(F1022&gt;'депозитный калькулятор'!$D$8," ",IF(AND(EOMONTH(F1022,0)=F1022,OR(MONTH(F1022)=3,MONTH(F1022)=6,MONTH(F1022)=9,MONTH(F1022)=12)),IF(EDATE(F1022,-3)&lt;'депозитный калькулятор'!$D$7,SUM($H$23:H1022),IF(MOD(YEAR(F1022),4)=0,IF(AND(EOMONTH(F1022,0)=F1022,OR(MONTH(F1022)=3,MONTH(F1022)=6)),SUM(OFFSET(H1022,-90,0):H1022),IF(AND(EOMONTH(F1022,0)=F1022,OR(MONTH(F1022)=9,MONTH(F1022)=12)),SUM(OFFSET(H1022,-91,0):H1022))),IF(AND(EOMONTH(F1022,0)=F1022,MONTH(F1022)=3),SUM(OFFSET(H1022,-89,0):H1022),IF(AND(EOMONTH(F1022,0)=F1022,MONTH(F1022)=6),SUM(OFFSET(H1022,-90,0):H1022),IF(AND(EOMONTH(F1022,0)=F1022,OR(MONTH(F1022)=9,MONTH(F1022)=12)),SUM(OFFSET(H1022,-91,0):H1022)))))),IF(F1022='депозитный калькулятор'!$D$8,SUM($H$23:H1022)-SUM($I$23:I1021),0))),IF('депозитный калькулятор'!$G$10="ежегодное",IF(F1022&gt;'депозитный калькулятор'!$D$8," ",IF(F1022='депозитный калькулятор'!$D$8,SUM($H$23:H1022)-SUM($I$23:I1021),IF(AND(EOMONTH(F1022,0)=F1022,MONTH(F1022)=12),IF(MOD(YEAR(F1021),4)=0,IF(F1022-'депозитный калькулятор'!$D$7&lt;366,SUM($H$23:H1022),SUM(OFFSET(H1022,-365,0):H1022)),IF(F1022-'депозитный калькулятор'!$D$7&lt;365,SUM($H$23:H1022),SUM(OFFSET(H1022,-364,0):H1022))),0))),IF(AND('депозитный калькулятор'!$G$10="в конце срока",'депозитный калькулятор'!$D$8=F1022),SUM($H$23:H1022),0))))))))))))))))))</f>
        <v xml:space="preserve"> </v>
      </c>
      <c r="J1022" s="59" t="str">
        <f>IF(F1022&gt;'депозитный калькулятор'!$D$8," ",IF('депозитный калькулятор'!$G$16="нет",0,IF(AND('депозитный калькулятор'!$G$17="разовая (в конце срока)",F1022='депозитный калькулятор'!$D$8),'депозитный калькулятор'!$G$18,IF(AND('депозитный калькулятор'!$G$17="ежемесячная",EOMONTH(F1021,0)=F1021),'депозитный калькулятор'!$G$18,IF(AND('депозитный калькулятор'!$G$17="ежегодная",DAY(F1021)=31,MONTH(F1021)=12),'депозитный калькулятор'!$G$18,IF(AND('депозитный калькулятор'!$G$17="ежемесячная в зависимости от остатка",EOMONTH(F1021,0)=F1021,P1021&gt;0),'депозитный калькулятор'!$G$18,IF(AND('депозитный калькулятор'!$G$17="ежегодная в зависимости от остатка",DAY(F1021)=31,MONTH(F1021)=12,P1021&gt;0),'депозитный калькулятор'!$G$18,0)))))))</f>
        <v xml:space="preserve"> </v>
      </c>
      <c r="K1022" s="135" t="str">
        <f>IF($F1022=" "," ",IFERROR(VLOOKUP($F1022,'депозитный калькулятор'!$B$26:$F$70,2,0),0))</f>
        <v xml:space="preserve"> </v>
      </c>
      <c r="L1022" s="135" t="str">
        <f>IF($F1022=" "," ",IFERROR(VLOOKUP($F1022,'депозитный калькулятор'!$B$26:$F$70,3,0),0))</f>
        <v xml:space="preserve"> </v>
      </c>
      <c r="M1022" s="135" t="str">
        <f>IF($F1022=" "," ",IFERROR(VLOOKUP($F1022,'депозитный калькулятор'!$B$26:$F$70,4,0),0))</f>
        <v xml:space="preserve"> </v>
      </c>
      <c r="N1022" s="135" t="str">
        <f>IF($F1022=" "," ",IFERROR(VLOOKUP($F1022,'депозитный калькулятор'!$B$26:$F$70,5,0),0))</f>
        <v xml:space="preserve"> </v>
      </c>
      <c r="O1022" s="146" t="str">
        <f>IF(F1022&gt;'депозитный калькулятор'!$D$8," ",IF(F1022='депозитный калькулятор'!$D$8,IF(AND($F$24='депозитный калькулятор'!$D$8,'депозитный калькулятор'!$G$13="нет"),-G1022-IF(I1022=" ",0,I1022)-IF(AND(OR('депозитный калькулятор'!$G$7="30/365",'депозитный калькулятор'!$G$7="30/360"),'депозитный калькулятор'!$G$10="в начале срока"),I1021,0)-L1022+M1022-N1022,-G1022-IF(I1022=" ",0,I1022)-L1022+M1022-N1022),IF('депозитный калькулятор'!$G$13="есть",M1022-N1022+IF('депозитный калькулятор'!$G$14="есть",0,-L1022),-IF(I1022=" ",0,I1022)-IF(AND(OR('депозитный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срока"),I1021,0)+M1022-N1022+IF('депозитный калькулятор'!$G$14="есть",0,-L1022))))</f>
        <v xml:space="preserve"> </v>
      </c>
      <c r="P1022" s="147" t="str">
        <f>IF(F1022&gt;'депозитный калькулятор'!$D$8," ",IF(EOMONTH(F1021,0)=F1021,0,IF(G1022&gt;='депозитный калькулятор'!$G$19,P1021,P1021+1)))</f>
        <v xml:space="preserve"> </v>
      </c>
      <c r="Q1022" s="138" t="str">
        <f>IF(F1022=" "," ",IF(AND(OR('депозитный калькулятор'!$G$7="30/365",'депозитный калькулятор'!$G$7="30/360"),AND(MONTH(F1022)=2,EOMONTH(F1022,0)=F1022)),IF(DAY(F1022)=28,3,2),1)*IF(G1022&gt;='депозитный калькулятор'!$G$11,IF(AND('депозитный калькулятор'!$G$7="факт/факт",MOD(YEAR(F1022),4)=0),G1022*'депозитный калькулятор'!$D$11/366,G1022*'депозитный калькулятор'!$G$8),0))</f>
        <v xml:space="preserve"> </v>
      </c>
      <c r="S1022" s="62" t="str">
        <f t="shared" ca="1" si="77"/>
        <v xml:space="preserve"> </v>
      </c>
      <c r="T1022" s="149" t="str">
        <f ca="1">IF(S1022=" "," ",IF('депозитный калькулятор'!$G$7="30/360",DAYS360(U1021,IF(DAY(U1022)=31,U1022-1,U1022))+IF(AND(MONTH(U1022)=2,U1022=EOMONTH(U1022,0)),30-DAY(EOMONTH(U1022,0)))+T1021,VLOOKUP(S1022,$C$22:$F$1023,2,0)))</f>
        <v xml:space="preserve"> </v>
      </c>
      <c r="U1022" s="64" t="str">
        <f t="shared" ca="1" si="75"/>
        <v xml:space="preserve"> </v>
      </c>
      <c r="V1022" s="150" t="str">
        <f t="shared" ca="1" si="78"/>
        <v xml:space="preserve"> </v>
      </c>
      <c r="W1022" s="62" t="str">
        <f t="shared" ca="1" si="79"/>
        <v xml:space="preserve"> </v>
      </c>
      <c r="X1022" s="141" t="str">
        <f ca="1">IF(S1022=" "," ",IFERROR(VLOOKUP(U1022,$F$23:$N$1023,7)+VLOOKUP(U1022,$F$23:$N$1023,9)+IF(AND('депозитный калькулятор'!$G$13="нет",U1022&lt;&gt;'депозитный калькулятор'!$D$8),VLOOKUP(U1022,$F$23:$N$1023,4),0),0)+IF(U1022='депозитный калькулятор'!$D$8,VLOOKUP(U1022,$F$23:$N$1023,2)+VLOOKUP(U1022,$F$23:$N$1023,4),0))</f>
        <v xml:space="preserve"> </v>
      </c>
      <c r="Y1022" s="142" t="str">
        <f ca="1">IF(S1022=" "," ",W1022/(1+'депозитный калькулятор'!$K$8)^(T1022/IF('депозитный калькулятор'!$G$7="30/360",360,365)))</f>
        <v xml:space="preserve"> </v>
      </c>
      <c r="Z1022" s="142" t="str">
        <f ca="1">IF(S1022=" "," ",X1022/(1+'депозитный калькулятор'!$K$8)^(T1022/IF('депозитный калькулятор'!$G$7="30/360",360,365)))</f>
        <v xml:space="preserve"> </v>
      </c>
      <c r="AA1022" s="151"/>
      <c r="AB1022" s="151"/>
      <c r="AC1022" s="155"/>
      <c r="AD1022" s="155"/>
      <c r="AF1022" s="2"/>
      <c r="AG1022" s="2"/>
      <c r="AH1022" s="2"/>
    </row>
    <row r="1023" spans="1:34" ht="15.5" x14ac:dyDescent="0.35">
      <c r="A1023" s="41" t="str">
        <f>IF(F1023=" "," ",IF(OR('депозитный калькулятор'!$G$7="30/365",'депозитный калькулятор'!$G$7="30/360"),IF(AND(MONTH(F1023)=2,DAY(F1023)=DAY(EOMONTH(F1023,0))),30-DAY(EOMONTH(F1023,0)),IF(DAY(F1023)=31,1," "))," "))</f>
        <v xml:space="preserve"> </v>
      </c>
      <c r="B1023" s="130" t="str">
        <f t="shared" si="76"/>
        <v xml:space="preserve"> </v>
      </c>
      <c r="C1023" s="130" t="str">
        <f>IF(OR(B1023=0,B1023=" ")," ",SUM($B$23:B1023))</f>
        <v xml:space="preserve"> </v>
      </c>
      <c r="D1023" s="62" t="str">
        <f>IF(D1022=" "," ",IF(OR(F1022='депозитный калькулятор'!$D$8,F1022=" ")," ",D1022+1))</f>
        <v xml:space="preserve"> </v>
      </c>
      <c r="E1023" s="130" t="str">
        <f>IF(OR(F1022='депозитный калькулятор'!$D$8,F1022=" ")," ",IF(EOMONTH(F1022,0)=F1022,1,E1022+1))</f>
        <v xml:space="preserve"> </v>
      </c>
      <c r="F1023" s="64" t="str">
        <f>IF(F1022=" "," ",IF(F1022='депозитный калькулятор'!$D$8," ",F1022+1))</f>
        <v xml:space="preserve"> </v>
      </c>
      <c r="G1023" s="145" t="str">
        <f xml:space="preserve"> IF(F1023&gt;'депозитный калькулятор'!$D$8," ",IF('депозитный калькулятор'!$G$13="есть",IF('депозитный калькулятор'!$G$14="есть",G1022+IF(I1022=" ",0,I1022)-J1023-K1023+L1023+M1023-N1023,G1022+IF(I1022=" ",0,I1022)-J1023-K1023+M1023-N1023),IF('депозитный калькулятор'!$G$14="есть",G1022-J1023-K1023+L1023+M1023-N1023,G1022-J1023-K1023+M1023-N1023)))</f>
        <v xml:space="preserve"> </v>
      </c>
      <c r="H1023" s="133" t="str">
        <f>IF(F1023&gt;'депозитный калькулятор'!$D$8," ",IF(AND(OR('депозитный калькулятор'!$G$7="30/365",'депозитный калькулятор'!$G$7="30/360"),AND(MONTH(F1023)=2,EOMONTH(F1023,0)=F1023)),IF(DAY(F1023)=28,3*G1023*'депозитный калькулятор'!$G$8,2*G1023*'депозитный калькулятор'!$G$8),IF(AND(OR('депозитный калькулятор'!$G$7="30/365",'депозитный калькулятор'!$G$7="30/360"),DAY(F1023)=31)," ",IF(AND('депозитный калькулятор'!$G$7="факт/факт",MOD(YEAR(F1023),4)=0),G1023*'депозитный калькулятор'!$D$11/366,G1023*'депозитный калькулятор'!$G$8))))</f>
        <v xml:space="preserve"> </v>
      </c>
      <c r="I1023" s="134" t="str">
        <f ca="1">IF(F1023=" "," ",IF('депозитный калькулятор'!$G$10="ежедневное",H1023,IF(AND('депозитный калькулятор'!$G$10="еженедельное",WEEKDAY(F1023,2)=7),SUM(OFFSET(H1023,-6,0):H1023),IF(AND('депозитный калькулятор'!$G$10="еженедельное",F1023='депозитный калькулятор'!$D$8),SUM($H$23:H1023)-SUM($I$23:I1022),IF(AND('депозитный калькулятор'!$G$10="еженедельное, на минимальную сумму зафиксированную в течение недели",$F$24='депозитный калькулятор'!$D$8,$F$24='депозитный калькулятор'!$D$7+1),$H$24,IF(AND('депозитный калькулятор'!$G$10="еженедельное, на минимальную сумму зафиксированную в течение недели",WEEKDAY(F1023,2)=7),MIN(OFFSET(H1023,-6,0):H1023)*(COUNTIF(OFFSET(H1023,-6,0):H1023,"&gt;0")+SUMIF(OFFSET(A1023,-WEEKDAY(F1023,2),0):A1023,"=2",OFFSET(A1023,-WEEKDAY(F1023,2),0):A1023)),IF(AND('депозитный калькулятор'!$G$10="еженедельное, на минимальную сумму зафиксированную в течение недели",F1023='депозитный калькулятор'!$D$8,WEEKDAY(F1023,2)&lt;&gt;7),MIN(OFFSET(H1023,-WEEKDAY(F1023,2),0):H1023)*(COUNTIF(OFFSET(H1023,-WEEKDAY(F1023,2)+1,0):H1023,"&gt;0")+SUM(OFFSET(A1023,-WEEKDAY(F1023,2),0):A1023)),IF(AND('депозитный калькулятор'!$G$10="ежемесячное (в конце месяца)",F1023='депозитный калькулятор'!$D$8,EOMONTH(F1023,0)&lt;&gt;F1023),IF('депозитный калькулятор'!$F$1=1,$H$24,SUM($H$23:H1023)-SUM($I$23:I1022)),IF(AND('депозитный калькулятор'!$G$10="ежемесячное (в конце месяца)",EOMONTH(F1023,0)=F1023),SUM($H$23:H1023)-SUM($I$23:I1022),IF(AND('депозитный калькулятор'!$G$10="ежемесячное (по дням открытия вклада)",F1023='депозитный калькулятор'!$D$8,DAY('депозитный калькулятор'!$D$7)&lt;&gt;DAY(F1023)),IF('депозитный калькулятор'!$F$1=1,$H$24,SUM($H$23:H1023)-SUM($I$23:I1022)),IF(AND('депозитный калькулятор'!$G$10="ежемесячное (по дням открытия вклада)",DAY('депозитный калькулятор'!$D$7)=DAY(F1023)),SUM($H$23:H1023)-SUM($I$23:I1022),IF(AND('депозитный калькулятор'!$G$10="ежемесячное, на минимальную сумму зафиксированную в течение месяца",F1023='депозитный калькулятор'!$D$8,EOMONTH(F1023,0)&lt;&gt;F1023),IF('депозитный калькулятор'!$F$1=1,$H$24,IF(AND(OR('депозитный калькулятор'!$G$7="30/365",'депозитный калькулятор'!$G$7="30/360"),DAY(F1023)=31),0,MIN(OFFSET(H1023,-E1023+1,0):H1023)*(E1023+SUMIF(OFFSET(A1023,-E1023+1,0):A1023,"=2",OFFSET(A1023,-E1023+1,0):A1023)))),IF(AND('депозитный калькулятор'!$G$10="ежемесячное, на минимальную сумму зафиксированную в течение месяца",IF(AND(OR('депозитный калькулятор'!$G$7="30/365",'депозитный калькулятор'!$G$7="30/360"),DAY(EOMONTH(F1023,0))=31),EOMONTH(F1023,0)-1=F1023,EOMONTH(F1023,0)=F1023)),IF(IF(AND(OR('депозитный калькулятор'!$G$7="30/365",'депозитный калькулятор'!$G$7="30/360"),DAY(EOMONTH($F$23,0))=31),F1023=EOMONTH($F$23,0)-1,F1023=EOMONTH($F$23,0)),MIN(OFFSET(H1023,-(DAY(F1023)-DAY($F$23)),0):H1023)*E1023,MIN(OFFSET(H1023,-(DAY(F1023)-1),0):H1023)*IF(AND(OR('депозитный калькулятор'!$G$7="30/365",'депозитный калькулятор'!$G$7="30/360"),DAY(F1023)&lt;30),30,DAY(F1023))),IF(AND('депозитный калькулятор'!$G$10="ежемесячное, на средний остаток в течение месяца, при условии что остаток больше чем ограничение",F1023='депозитный калькулятор'!$D$8,EOMONTH(F1023,0)&lt;&gt;F1023),IF('депозитный калькулятор'!$F$1=1,$H$24,SUM(OFFSET(Q1023,-E1023+1,0):Q1023)),IF(AND('депозитный калькулятор'!$G$10="ежемесячное, на средний остаток в течение месяца, при условии что остаток больше чем ограничение",IF(AND(OR('депозитный калькулятор'!$G$7="30/365",'депозитный калькулятор'!$G$7="30/360"),DAY(EOMONTH(F1023,0))=31),EOMONTH(F1023,0)-1=F1023,EOMONTH(F1023,0)=F1023)),IF(IF(AND(OR('депозитный калькулятор'!$G$7="30/365",'депозитный калькулятор'!$G$7="30/360"),DAY(EOMONTH($F$24,0))=31),F1023=EOMONTH($F$24,0)-1,F1023=EOMONTH($F$24,0)),SUM(OFFSET(Q1023,-E1023+1,0):Q1023),SUM(OFFSET(Q1023,-E1023+1,0):Q1023)),IF('депозитный калькулятор'!$G$10="ежеквартальное",IF(F1023&gt;'депозитный калькулятор'!$D$8," ",IF(AND(EOMONTH(F1023,0)=F1023,OR(MONTH(F1023)=3,MONTH(F1023)=6,MONTH(F1023)=9,MONTH(F1023)=12)),IF(EDATE(F1023,-3)&lt;'депозитный калькулятор'!$D$7,SUM($H$23:H1023),IF(MOD(YEAR(F1023),4)=0,IF(AND(EOMONTH(F1023,0)=F1023,OR(MONTH(F1023)=3,MONTH(F1023)=6)),SUM(OFFSET(H1023,-90,0):H1023),IF(AND(EOMONTH(F1023,0)=F1023,OR(MONTH(F1023)=9,MONTH(F1023)=12)),SUM(OFFSET(H1023,-91,0):H1023))),IF(AND(EOMONTH(F1023,0)=F1023,MONTH(F1023)=3),SUM(OFFSET(H1023,-89,0):H1023),IF(AND(EOMONTH(F1023,0)=F1023,MONTH(F1023)=6),SUM(OFFSET(H1023,-90,0):H1023),IF(AND(EOMONTH(F1023,0)=F1023,OR(MONTH(F1023)=9,MONTH(F1023)=12)),SUM(OFFSET(H1023,-91,0):H1023)))))),IF(F1023='депозитный калькулятор'!$D$8,SUM($H$23:H1023)-SUM($I$23:I1022),0))),IF('депозитный калькулятор'!$G$10="ежегодное",IF(F1023&gt;'депозитный калькулятор'!$D$8," ",IF(F1023='депозитный калькулятор'!$D$8,SUM($H$23:H1023)-SUM($I$23:I1022),IF(AND(EOMONTH(F1023,0)=F1023,MONTH(F1023)=12),IF(MOD(YEAR(F1022),4)=0,IF(F1023-'депозитный калькулятор'!$D$7&lt;366,SUM($H$23:H1023),SUM(OFFSET(H1023,-365,0):H1023)),IF(F1023-'депозитный калькулятор'!$D$7&lt;365,SUM($H$23:H1023),SUM(OFFSET(H1023,-364,0):H1023))),0))),IF(AND('депозитный калькулятор'!$G$10="в конце срока",'депозитный калькулятор'!$D$8=F1023),SUM($H$23:H1023),0))))))))))))))))))</f>
        <v xml:space="preserve"> </v>
      </c>
      <c r="J1023" s="59" t="str">
        <f>IF(F1023&gt;'депозитный калькулятор'!$D$8," ",IF('депозитный калькулятор'!$G$16="нет",0,IF(AND('депозитный калькулятор'!$G$17="разовая (в конце срока)",F1023='депозитный калькулятор'!$D$8),'депозитный калькулятор'!$G$18,IF(AND('депозитный калькулятор'!$G$17="ежемесячная",EOMONTH(F1022,0)=F1022),'депозитный калькулятор'!$G$18,IF(AND('депозитный калькулятор'!$G$17="ежегодная",DAY(F1022)=31,MONTH(F1022)=12),'депозитный калькулятор'!$G$18,IF(AND('депозитный калькулятор'!$G$17="ежемесячная в зависимости от остатка",EOMONTH(F1022,0)=F1022,P1022&gt;0),'депозитный калькулятор'!$G$18,IF(AND('депозитный калькулятор'!$G$17="ежегодная в зависимости от остатка",DAY(F1022)=31,MONTH(F1022)=12,P1022&gt;0),'депозитный калькулятор'!$G$18,0)))))))</f>
        <v xml:space="preserve"> </v>
      </c>
      <c r="K1023" s="135" t="str">
        <f>IF($F1023=" "," ",IFERROR(VLOOKUP($F1023,'депозитный калькулятор'!$B$26:$F$70,2,0),0))</f>
        <v xml:space="preserve"> </v>
      </c>
      <c r="L1023" s="135" t="str">
        <f>IF($F1023=" "," ",IFERROR(VLOOKUP($F1023,'депозитный калькулятор'!$B$26:$F$70,3,0),0))</f>
        <v xml:space="preserve"> </v>
      </c>
      <c r="M1023" s="135" t="str">
        <f>IF($F1023=" "," ",IFERROR(VLOOKUP($F1023,'депозитный калькулятор'!$B$26:$F$70,4,0),0))</f>
        <v xml:space="preserve"> </v>
      </c>
      <c r="N1023" s="135" t="str">
        <f>IF($F1023=" "," ",IFERROR(VLOOKUP($F1023,'депозитный калькулятор'!$B$26:$F$70,5,0),0))</f>
        <v xml:space="preserve"> </v>
      </c>
      <c r="O1023" s="146" t="str">
        <f>IF(F1023&gt;'депозитный калькулятор'!$D$8," ",IF(F1023='депозитный калькулятор'!$D$8,IF(AND($F$24='депозитный калькулятор'!$D$8,'депозитный калькулятор'!$G$13="нет"),-G1023-IF(I1023=" ",0,I1023)-IF(AND(OR('депозитный калькулятор'!$G$7="30/365",'депозитный калькулятор'!$G$7="30/360"),'депозитный калькулятор'!$G$10="в начале срока"),I1022,0)-L1023+M1023-N1023,-G1023-IF(I1023=" ",0,I1023)-L1023+M1023-N1023),IF('депозитный калькулятор'!$G$13="есть",M1023-N1023+IF('депозитный калькулятор'!$G$14="есть",0,-L1023),-IF(I1023=" ",0,I1023)-IF(AND(OR('депозитный калькулятор'!$G$7="факт/365",'депозитный калькулятор'!$G$7="факт/360",'депозитный калькулятор'!$G$7="факт/факт"),'депозитный калькулятор'!$G$10="в начале срока"),I1022,0)+M1023-N1023+IF('депозитный калькулятор'!$G$14="есть",0,-L1023))))</f>
        <v xml:space="preserve"> </v>
      </c>
      <c r="P1023" s="147" t="str">
        <f>IF(F1023&gt;'депозитный калькулятор'!$D$8," ",IF(EOMONTH(F1022,0)=F1022,0,IF(G1023&gt;='депозитный калькулятор'!$G$19,P1022,P1022+1)))</f>
        <v xml:space="preserve"> </v>
      </c>
      <c r="Q1023" s="138" t="str">
        <f>IF(F1023=" "," ",IF(AND(OR('депозитный калькулятор'!$G$7="30/365",'депозитный калькулятор'!$G$7="30/360"),AND(MONTH(F1023)=2,EOMONTH(F1023,0)=F1023)),IF(DAY(F1023)=28,3,2),1)*IF(G1023&gt;='депозитный калькулятор'!$G$11,IF(AND('депозитный калькулятор'!$G$7="факт/факт",MOD(YEAR(F1023),4)=0),G1023*'депозитный калькулятор'!$D$11/366,G1023*'депозитный калькулятор'!$G$8),0))</f>
        <v xml:space="preserve"> </v>
      </c>
      <c r="S1023" s="62" t="str">
        <f t="shared" ca="1" si="77"/>
        <v xml:space="preserve"> </v>
      </c>
      <c r="T1023" s="149" t="str">
        <f ca="1">IF(S1023=" "," ",IF('депозитный калькулятор'!$G$7="30/360",DAYS360(U1022,IF(DAY(U1023)=31,U1023-1,U1023))+IF(AND(MONTH(U1023)=2,U1023=EOMONTH(U1023,0)),30-DAY(EOMONTH(U1023,0)))+T1022,VLOOKUP(S1023,$C$22:$F$1023,2,0)))</f>
        <v xml:space="preserve"> </v>
      </c>
      <c r="U1023" s="64" t="str">
        <f t="shared" ca="1" si="75"/>
        <v xml:space="preserve"> </v>
      </c>
      <c r="V1023" s="150" t="str">
        <f t="shared" ca="1" si="78"/>
        <v xml:space="preserve"> </v>
      </c>
      <c r="W1023" s="62" t="str">
        <f t="shared" ca="1" si="79"/>
        <v xml:space="preserve"> </v>
      </c>
      <c r="X1023" s="141" t="str">
        <f ca="1">IF(S1023=" "," ",IFERROR(VLOOKUP(U1023,$F$23:$N$1023,7)+VLOOKUP(U1023,$F$23:$N$1023,9)+IF(AND('депозитный калькулятор'!$G$13="нет",U1023&lt;&gt;'депозитный калькулятор'!$D$8),VLOOKUP(U1023,$F$23:$N$1023,4),0),0)+IF(U1023='депозитный калькулятор'!$D$8,VLOOKUP(U1023,$F$23:$N$1023,2)+VLOOKUP(U1023,$F$23:$N$1023,4),0))</f>
        <v xml:space="preserve"> </v>
      </c>
      <c r="Y1023" s="142" t="str">
        <f ca="1">IF(S1023=" "," ",W1023/(1+'депозитный калькулятор'!$K$8)^(T1023/IF('депозитный калькулятор'!$G$7="30/360",360,365)))</f>
        <v xml:space="preserve"> </v>
      </c>
      <c r="Z1023" s="142" t="str">
        <f ca="1">IF(S1023=" "," ",X1023/(1+'депозитный калькулятор'!$K$8)^(T1023/IF('депозитный калькулятор'!$G$7="30/360",360,365)))</f>
        <v xml:space="preserve"> </v>
      </c>
      <c r="AA1023" s="151"/>
      <c r="AB1023" s="151"/>
      <c r="AC1023" s="155"/>
      <c r="AD1023" s="155"/>
      <c r="AF1023" s="2"/>
      <c r="AG1023" s="2"/>
      <c r="AH1023" s="2"/>
    </row>
  </sheetData>
  <sheetProtection formatCells="0" formatColumns="0" formatRows="0" insertColumns="0" insertRows="0" insertHyperlinks="0" deleteColumns="0" deleteRows="0" sort="0" autoFilter="0" pivotTables="0"/>
  <protectedRanges>
    <protectedRange password="F48C" sqref="A1:I23 A24:H5503 A5504:I1048575" name="Скрытые1"/>
    <protectedRange password="F48C" sqref="O1:AA1048575" name="Скрытые2"/>
    <protectedRange password="F48C" sqref="I24:I5503" name="Скрытые1_1"/>
  </protectedRanges>
  <mergeCells count="8">
    <mergeCell ref="AF11:AG11"/>
    <mergeCell ref="AF12:AG12"/>
    <mergeCell ref="AF4:AH4"/>
    <mergeCell ref="AF5:AG5"/>
    <mergeCell ref="AF6:AG6"/>
    <mergeCell ref="AF8:AG8"/>
    <mergeCell ref="AF9:AG9"/>
    <mergeCell ref="AF10:AG1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6479B055-EFA4-4007-8C8F-5CBF3FD323EE}">
          <x14:formula1>
            <xm:f>'C:\Users\u00025471\Desktop\[КФГД ДЕПОЗИТНЫЙ КАЛЬКУЛЯТОР для БВУ.xlsm]данные'!#REF!</xm:f>
          </x14:formula1>
          <xm:sqref>AD7</xm:sqref>
        </x14:dataValidation>
        <x14:dataValidation type="list" allowBlank="1" showInputMessage="1" showErrorMessage="1" xr:uid="{2DC9E34E-C1CD-4A0D-8735-868DD9826879}">
          <x14:formula1>
            <xm:f>'C:\Users\u00025471\Desktop\[КФГД ДЕПОЗИТНЫЙ КАЛЬКУЛЯТОР для БВУ.xlsm]данные'!#REF!</xm:f>
          </x14:formula1>
          <xm:sqref>P7 G3 N7 N13 P10 P4 AD4 P12:P13 AD13:AD14 AD10:AD11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AE5E1-6BC1-4C3B-AD82-B8061A318197}">
  <sheetPr codeName="Лист2"/>
  <dimension ref="B1:O9"/>
  <sheetViews>
    <sheetView workbookViewId="0">
      <selection activeCell="J23" sqref="J23"/>
    </sheetView>
  </sheetViews>
  <sheetFormatPr defaultRowHeight="14.5" x14ac:dyDescent="0.35"/>
  <cols>
    <col min="2" max="2" width="18" customWidth="1"/>
    <col min="4" max="4" width="8.7265625" customWidth="1"/>
    <col min="5" max="5" width="21.36328125" customWidth="1"/>
    <col min="6" max="6" width="15.90625" customWidth="1"/>
    <col min="7" max="7" width="8.7265625" customWidth="1"/>
    <col min="8" max="8" width="22.54296875" customWidth="1"/>
    <col min="9" max="9" width="8.7265625" customWidth="1"/>
    <col min="10" max="10" width="18" customWidth="1"/>
    <col min="11" max="11" width="8.7265625" customWidth="1"/>
    <col min="12" max="12" width="15.08984375" customWidth="1"/>
    <col min="13" max="13" width="8.7265625" customWidth="1"/>
    <col min="14" max="14" width="10" customWidth="1"/>
    <col min="15" max="15" width="37.453125" customWidth="1"/>
  </cols>
  <sheetData>
    <row r="1" spans="2:15" ht="42.5" x14ac:dyDescent="0.35">
      <c r="B1" s="159" t="s">
        <v>49</v>
      </c>
      <c r="E1" s="160" t="s">
        <v>2</v>
      </c>
      <c r="F1" s="55"/>
      <c r="H1" s="160" t="s">
        <v>50</v>
      </c>
      <c r="J1" s="161" t="s">
        <v>51</v>
      </c>
      <c r="L1" s="162" t="s">
        <v>20</v>
      </c>
      <c r="N1" s="163" t="s">
        <v>52</v>
      </c>
      <c r="O1" s="164" t="s">
        <v>53</v>
      </c>
    </row>
    <row r="2" spans="2:15" x14ac:dyDescent="0.35">
      <c r="B2" s="130" t="s">
        <v>54</v>
      </c>
      <c r="E2" s="130" t="s">
        <v>63</v>
      </c>
      <c r="F2" s="165"/>
      <c r="H2" s="130" t="s">
        <v>58</v>
      </c>
      <c r="J2" s="130" t="s">
        <v>15</v>
      </c>
      <c r="L2" s="62" t="s">
        <v>55</v>
      </c>
      <c r="N2" s="62" t="s">
        <v>15</v>
      </c>
      <c r="O2" s="130" t="s">
        <v>56</v>
      </c>
    </row>
    <row r="3" spans="2:15" ht="28.5" x14ac:dyDescent="0.35">
      <c r="B3" s="62" t="s">
        <v>57</v>
      </c>
      <c r="F3" s="165"/>
      <c r="H3" s="166" t="s">
        <v>64</v>
      </c>
      <c r="J3" s="130" t="s">
        <v>23</v>
      </c>
      <c r="L3" s="62" t="s">
        <v>21</v>
      </c>
      <c r="N3" s="62" t="s">
        <v>23</v>
      </c>
      <c r="O3" s="130" t="s">
        <v>25</v>
      </c>
    </row>
    <row r="4" spans="2:15" x14ac:dyDescent="0.35">
      <c r="B4" s="62" t="s">
        <v>59</v>
      </c>
      <c r="F4" s="165"/>
      <c r="H4" s="130" t="s">
        <v>7</v>
      </c>
      <c r="N4" s="2"/>
      <c r="O4" s="130" t="s">
        <v>60</v>
      </c>
    </row>
    <row r="5" spans="2:15" x14ac:dyDescent="0.35">
      <c r="B5" s="62" t="s">
        <v>61</v>
      </c>
      <c r="F5" s="165"/>
      <c r="N5" s="2"/>
      <c r="O5" s="167" t="s">
        <v>62</v>
      </c>
    </row>
    <row r="6" spans="2:15" x14ac:dyDescent="0.35">
      <c r="F6" s="165"/>
      <c r="N6" s="2"/>
      <c r="O6" s="130" t="s">
        <v>65</v>
      </c>
    </row>
    <row r="7" spans="2:15" ht="56.5" x14ac:dyDescent="0.35">
      <c r="E7" s="168" t="s">
        <v>17</v>
      </c>
      <c r="N7" s="2"/>
      <c r="O7" s="130" t="s">
        <v>66</v>
      </c>
    </row>
    <row r="8" spans="2:15" x14ac:dyDescent="0.35">
      <c r="E8" s="130" t="s">
        <v>15</v>
      </c>
      <c r="N8" s="2"/>
      <c r="O8" s="2"/>
    </row>
    <row r="9" spans="2:15" x14ac:dyDescent="0.35">
      <c r="E9" s="130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69A24-2607-4D47-91A8-083CC27DFE09}">
  <sheetPr codeName="Лист3"/>
  <dimension ref="A1:M70"/>
  <sheetViews>
    <sheetView tabSelected="1" topLeftCell="A4" workbookViewId="0">
      <selection activeCell="R10" sqref="R10"/>
    </sheetView>
  </sheetViews>
  <sheetFormatPr defaultColWidth="9.08984375" defaultRowHeight="14" x14ac:dyDescent="0.3"/>
  <cols>
    <col min="1" max="1" width="6.08984375" style="1" customWidth="1"/>
    <col min="2" max="2" width="19.453125" style="2" customWidth="1"/>
    <col min="3" max="3" width="22.90625" style="2" customWidth="1"/>
    <col min="4" max="4" width="23.6328125" style="2" customWidth="1"/>
    <col min="5" max="5" width="14.453125" style="2" customWidth="1"/>
    <col min="6" max="6" width="33.08984375" style="2" customWidth="1"/>
    <col min="7" max="7" width="30.6328125" style="2" customWidth="1"/>
    <col min="8" max="8" width="12.453125" style="2" bestFit="1" customWidth="1"/>
    <col min="9" max="9" width="18.36328125" style="5" customWidth="1"/>
    <col min="10" max="10" width="23.90625" style="5" customWidth="1"/>
    <col min="11" max="11" width="24.90625" style="5" customWidth="1"/>
    <col min="12" max="16384" width="9.08984375" style="2"/>
  </cols>
  <sheetData>
    <row r="1" spans="1:11" hidden="1" x14ac:dyDescent="0.3">
      <c r="F1" s="3">
        <f>IF(D16="в месяцах",LOOKUP(D8,расчеты!D23:F1023,расчеты!D23:D1023)-1,D17)</f>
        <v>10</v>
      </c>
      <c r="I1" s="4">
        <f ca="1">расчеты!Y21</f>
        <v>1000000</v>
      </c>
      <c r="J1" s="4">
        <f ca="1">расчеты!Z21</f>
        <v>1003616.9848209595</v>
      </c>
    </row>
    <row r="2" spans="1:11" ht="18" hidden="1" x14ac:dyDescent="0.4">
      <c r="B2" s="6" t="s">
        <v>0</v>
      </c>
      <c r="I2" s="4"/>
      <c r="J2" s="4">
        <f ca="1">IF(OR(G7="30/365",G7="30/360"),I1-J1,0)</f>
        <v>-3616.9848209595075</v>
      </c>
    </row>
    <row r="3" spans="1:11" ht="15.5" hidden="1" x14ac:dyDescent="0.35">
      <c r="I3" s="4"/>
      <c r="J3" s="7" t="b">
        <f ca="1">расчеты!Z18</f>
        <v>0</v>
      </c>
    </row>
    <row r="4" spans="1:11" x14ac:dyDescent="0.3">
      <c r="J4" s="2"/>
    </row>
    <row r="5" spans="1:11" ht="17.5" x14ac:dyDescent="0.35">
      <c r="D5" s="8" t="s">
        <v>67</v>
      </c>
    </row>
    <row r="6" spans="1:11" ht="21.75" customHeight="1" x14ac:dyDescent="0.3"/>
    <row r="7" spans="1:11" ht="29.25" customHeight="1" x14ac:dyDescent="0.3">
      <c r="A7" s="9"/>
      <c r="C7" s="10" t="s">
        <v>1</v>
      </c>
      <c r="D7" s="11">
        <v>45292</v>
      </c>
      <c r="F7" s="12" t="s">
        <v>2</v>
      </c>
      <c r="G7" s="13" t="s">
        <v>63</v>
      </c>
      <c r="I7" s="177" t="s">
        <v>3</v>
      </c>
      <c r="J7" s="178"/>
      <c r="K7" s="179"/>
    </row>
    <row r="8" spans="1:11" ht="56.25" customHeight="1" x14ac:dyDescent="0.3">
      <c r="A8" s="14"/>
      <c r="C8" s="15" t="s">
        <v>4</v>
      </c>
      <c r="D8" s="16">
        <f>IF(D16="в месяцах",EDATE(D7,D17),D7+D17)</f>
        <v>45302</v>
      </c>
      <c r="F8" s="17" t="s">
        <v>5</v>
      </c>
      <c r="G8" s="18">
        <f>$D$11/360</f>
        <v>3.6111111111111115E-4</v>
      </c>
      <c r="I8" s="180"/>
      <c r="J8" s="181"/>
      <c r="K8" s="182"/>
    </row>
    <row r="9" spans="1:11" ht="24.75" customHeight="1" x14ac:dyDescent="0.3">
      <c r="A9" s="19"/>
      <c r="C9" s="20"/>
      <c r="F9" s="21"/>
      <c r="G9" s="22"/>
      <c r="I9" s="175" t="s">
        <v>6</v>
      </c>
      <c r="J9" s="176"/>
      <c r="K9" s="23">
        <f>$D$13</f>
        <v>1000000</v>
      </c>
    </row>
    <row r="10" spans="1:11" ht="57.75" customHeight="1" x14ac:dyDescent="0.3">
      <c r="A10" s="24"/>
      <c r="C10" s="25"/>
      <c r="D10" s="26"/>
      <c r="F10" s="27" t="str">
        <f>IF(G13="нет","выплата вознаграждения","начисление вознаграждения")</f>
        <v>начисление вознаграждения</v>
      </c>
      <c r="G10" s="28" t="s">
        <v>58</v>
      </c>
      <c r="I10" s="29" t="s">
        <v>8</v>
      </c>
      <c r="J10" s="30"/>
      <c r="K10" s="31">
        <f ca="1">SUM(расчеты!M23:OFFSET(расчеты!M48,F1-27,0))</f>
        <v>0</v>
      </c>
    </row>
    <row r="11" spans="1:11" ht="60.75" customHeight="1" x14ac:dyDescent="0.3">
      <c r="A11" s="32"/>
      <c r="C11" s="15" t="s">
        <v>9</v>
      </c>
      <c r="D11" s="33">
        <v>0.13</v>
      </c>
      <c r="F11" s="34" t="s">
        <v>10</v>
      </c>
      <c r="G11" s="35">
        <v>0</v>
      </c>
      <c r="I11" s="173" t="s">
        <v>11</v>
      </c>
      <c r="J11" s="174"/>
      <c r="K11" s="31">
        <f ca="1">SUM(расчеты!N23:OFFSET(расчеты!N50,F1-27,0))</f>
        <v>0</v>
      </c>
    </row>
    <row r="12" spans="1:11" ht="29.25" customHeight="1" x14ac:dyDescent="0.3">
      <c r="C12" s="36"/>
      <c r="D12" s="37"/>
      <c r="F12" s="21"/>
      <c r="G12" s="38"/>
      <c r="I12" s="173" t="s">
        <v>12</v>
      </c>
      <c r="J12" s="174"/>
      <c r="K12" s="39">
        <f ca="1">IF(D13=0,0,SUM(расчеты!I23:OFFSET(расчеты!I50,F1-26,0)))</f>
        <v>3616.984820959321</v>
      </c>
    </row>
    <row r="13" spans="1:11" ht="44.25" customHeight="1" x14ac:dyDescent="0.3">
      <c r="A13" s="24"/>
      <c r="C13" s="27" t="s">
        <v>13</v>
      </c>
      <c r="D13" s="35">
        <v>1000000</v>
      </c>
      <c r="F13" s="40" t="s">
        <v>14</v>
      </c>
      <c r="G13" s="28" t="s">
        <v>15</v>
      </c>
      <c r="I13" s="175" t="s">
        <v>16</v>
      </c>
      <c r="J13" s="176"/>
      <c r="K13" s="31">
        <f ca="1">SUM(расчеты!L23:OFFSET(расчеты!L50,F1-27,0))</f>
        <v>0</v>
      </c>
    </row>
    <row r="14" spans="1:11" ht="45.75" customHeight="1" x14ac:dyDescent="0.3">
      <c r="A14" s="24"/>
      <c r="C14" s="21"/>
      <c r="F14" s="34" t="s">
        <v>17</v>
      </c>
      <c r="G14" s="28" t="s">
        <v>15</v>
      </c>
      <c r="I14" s="173" t="s">
        <v>18</v>
      </c>
      <c r="J14" s="174"/>
      <c r="K14" s="31">
        <f ca="1">SUM(расчеты!J23:OFFSET(расчеты!J50,F1-27,0))</f>
        <v>0</v>
      </c>
    </row>
    <row r="15" spans="1:11" ht="39" customHeight="1" x14ac:dyDescent="0.3">
      <c r="A15" s="41"/>
      <c r="C15" s="21"/>
      <c r="F15" s="21"/>
      <c r="I15" s="175" t="s">
        <v>19</v>
      </c>
      <c r="J15" s="176"/>
      <c r="K15" s="42">
        <f ca="1">K9+K10-K11+K12+K13-K14</f>
        <v>1003616.9848209593</v>
      </c>
    </row>
    <row r="16" spans="1:11" ht="35.25" customHeight="1" x14ac:dyDescent="0.35">
      <c r="A16" s="9"/>
      <c r="C16" s="15" t="s">
        <v>20</v>
      </c>
      <c r="D16" s="43" t="s">
        <v>21</v>
      </c>
      <c r="E16" s="44"/>
      <c r="F16"/>
      <c r="G16"/>
    </row>
    <row r="17" spans="1:13" ht="27.75" customHeight="1" x14ac:dyDescent="0.35">
      <c r="A17" s="45"/>
      <c r="C17" s="15" t="s">
        <v>24</v>
      </c>
      <c r="D17" s="46">
        <v>10</v>
      </c>
      <c r="E17" s="44"/>
      <c r="F17"/>
      <c r="G17"/>
    </row>
    <row r="18" spans="1:13" ht="29.25" customHeight="1" x14ac:dyDescent="0.35">
      <c r="A18" s="47"/>
      <c r="B18" s="48"/>
      <c r="E18" s="49"/>
      <c r="F18"/>
      <c r="G18"/>
    </row>
    <row r="19" spans="1:13" ht="45" customHeight="1" x14ac:dyDescent="0.35">
      <c r="A19" s="50"/>
      <c r="E19" s="51"/>
      <c r="F19"/>
      <c r="G19"/>
    </row>
    <row r="20" spans="1:13" ht="22.5" customHeight="1" x14ac:dyDescent="0.3">
      <c r="A20" s="52" t="s">
        <v>26</v>
      </c>
      <c r="M20" s="53"/>
    </row>
    <row r="21" spans="1:13" x14ac:dyDescent="0.3">
      <c r="A21" s="2"/>
      <c r="B21" s="52" t="s">
        <v>27</v>
      </c>
      <c r="D21" s="54"/>
    </row>
    <row r="22" spans="1:13" x14ac:dyDescent="0.3">
      <c r="A22" s="2"/>
      <c r="B22" s="52" t="s">
        <v>28</v>
      </c>
      <c r="E22" s="55"/>
    </row>
    <row r="23" spans="1:13" x14ac:dyDescent="0.3">
      <c r="A23" s="2"/>
      <c r="E23" s="55"/>
    </row>
    <row r="24" spans="1:13" x14ac:dyDescent="0.3">
      <c r="A24" s="2"/>
      <c r="F24" s="56"/>
      <c r="G24" s="56"/>
    </row>
    <row r="25" spans="1:13" ht="70" x14ac:dyDescent="0.3">
      <c r="A25" s="57" t="s">
        <v>29</v>
      </c>
      <c r="B25" s="58" t="s">
        <v>30</v>
      </c>
      <c r="C25" s="58" t="s">
        <v>31</v>
      </c>
      <c r="D25" s="58" t="s">
        <v>32</v>
      </c>
      <c r="E25" s="58" t="s">
        <v>33</v>
      </c>
      <c r="F25" s="58" t="s">
        <v>34</v>
      </c>
      <c r="I25" s="2"/>
      <c r="J25" s="2"/>
      <c r="K25" s="2"/>
    </row>
    <row r="26" spans="1:13" x14ac:dyDescent="0.3">
      <c r="A26" s="59"/>
      <c r="B26" s="60"/>
      <c r="C26" s="61"/>
      <c r="D26" s="61"/>
      <c r="E26" s="62"/>
      <c r="F26" s="62"/>
      <c r="I26" s="2"/>
      <c r="J26" s="2"/>
      <c r="K26" s="2"/>
    </row>
    <row r="27" spans="1:13" x14ac:dyDescent="0.3">
      <c r="A27" s="63"/>
      <c r="B27" s="64"/>
      <c r="C27" s="62"/>
      <c r="D27" s="62"/>
      <c r="E27" s="62"/>
      <c r="F27" s="62"/>
    </row>
    <row r="28" spans="1:13" x14ac:dyDescent="0.3">
      <c r="A28" s="63"/>
      <c r="B28" s="62"/>
      <c r="C28" s="62"/>
      <c r="D28" s="62"/>
      <c r="E28" s="62"/>
      <c r="F28" s="62"/>
    </row>
    <row r="29" spans="1:13" x14ac:dyDescent="0.3">
      <c r="A29" s="63"/>
      <c r="B29" s="62"/>
      <c r="C29" s="62"/>
      <c r="D29" s="62"/>
      <c r="E29" s="62"/>
      <c r="F29" s="62"/>
    </row>
    <row r="30" spans="1:13" x14ac:dyDescent="0.3">
      <c r="A30" s="63"/>
      <c r="B30" s="62"/>
      <c r="C30" s="62"/>
      <c r="D30" s="62"/>
      <c r="E30" s="62"/>
      <c r="F30" s="62"/>
    </row>
    <row r="31" spans="1:13" x14ac:dyDescent="0.3">
      <c r="A31" s="63"/>
      <c r="B31" s="62"/>
      <c r="C31" s="62"/>
      <c r="D31" s="62"/>
      <c r="E31" s="62"/>
      <c r="F31" s="62"/>
    </row>
    <row r="32" spans="1:13" x14ac:dyDescent="0.3">
      <c r="A32" s="63"/>
      <c r="B32" s="62"/>
      <c r="C32" s="62"/>
      <c r="D32" s="62"/>
      <c r="E32" s="62"/>
      <c r="F32" s="62"/>
    </row>
    <row r="33" spans="1:6" x14ac:dyDescent="0.3">
      <c r="A33" s="63"/>
      <c r="B33" s="62"/>
      <c r="C33" s="62"/>
      <c r="D33" s="62"/>
      <c r="E33" s="62"/>
      <c r="F33" s="62"/>
    </row>
    <row r="34" spans="1:6" x14ac:dyDescent="0.3">
      <c r="A34" s="63"/>
      <c r="B34" s="62"/>
      <c r="C34" s="62"/>
      <c r="D34" s="62"/>
      <c r="E34" s="62"/>
      <c r="F34" s="62"/>
    </row>
    <row r="35" spans="1:6" x14ac:dyDescent="0.3">
      <c r="A35" s="63"/>
      <c r="B35" s="62"/>
      <c r="C35" s="62"/>
      <c r="D35" s="62"/>
      <c r="E35" s="62"/>
      <c r="F35" s="62"/>
    </row>
    <row r="36" spans="1:6" x14ac:dyDescent="0.3">
      <c r="A36" s="63"/>
      <c r="B36" s="62"/>
      <c r="C36" s="62"/>
      <c r="D36" s="62"/>
      <c r="E36" s="62"/>
      <c r="F36" s="62"/>
    </row>
    <row r="37" spans="1:6" x14ac:dyDescent="0.3">
      <c r="A37" s="63"/>
      <c r="B37" s="62"/>
      <c r="C37" s="62"/>
      <c r="D37" s="62"/>
      <c r="E37" s="62"/>
      <c r="F37" s="62"/>
    </row>
    <row r="38" spans="1:6" x14ac:dyDescent="0.3">
      <c r="A38" s="63"/>
      <c r="B38" s="62"/>
      <c r="C38" s="62"/>
      <c r="D38" s="62"/>
      <c r="E38" s="62"/>
      <c r="F38" s="62"/>
    </row>
    <row r="39" spans="1:6" x14ac:dyDescent="0.3">
      <c r="A39" s="63"/>
      <c r="B39" s="62"/>
      <c r="C39" s="62"/>
      <c r="D39" s="62"/>
      <c r="E39" s="62"/>
      <c r="F39" s="62"/>
    </row>
    <row r="40" spans="1:6" x14ac:dyDescent="0.3">
      <c r="A40" s="63"/>
      <c r="B40" s="62"/>
      <c r="C40" s="62"/>
      <c r="D40" s="62"/>
      <c r="E40" s="62"/>
      <c r="F40" s="62"/>
    </row>
    <row r="41" spans="1:6" x14ac:dyDescent="0.3">
      <c r="A41" s="63"/>
      <c r="B41" s="62"/>
      <c r="C41" s="62"/>
      <c r="D41" s="62"/>
      <c r="E41" s="62"/>
      <c r="F41" s="62"/>
    </row>
    <row r="42" spans="1:6" x14ac:dyDescent="0.3">
      <c r="A42" s="63"/>
      <c r="B42" s="62"/>
      <c r="C42" s="62"/>
      <c r="D42" s="62"/>
      <c r="E42" s="62"/>
      <c r="F42" s="62"/>
    </row>
    <row r="43" spans="1:6" x14ac:dyDescent="0.3">
      <c r="A43" s="63"/>
      <c r="B43" s="62"/>
      <c r="C43" s="62"/>
      <c r="D43" s="62"/>
      <c r="E43" s="62"/>
      <c r="F43" s="62"/>
    </row>
    <row r="44" spans="1:6" x14ac:dyDescent="0.3">
      <c r="A44" s="63"/>
      <c r="B44" s="62"/>
      <c r="C44" s="62"/>
      <c r="D44" s="62"/>
      <c r="E44" s="62"/>
      <c r="F44" s="62"/>
    </row>
    <row r="45" spans="1:6" x14ac:dyDescent="0.3">
      <c r="A45" s="63"/>
      <c r="B45" s="62"/>
      <c r="C45" s="62"/>
      <c r="D45" s="62"/>
      <c r="E45" s="62"/>
      <c r="F45" s="62"/>
    </row>
    <row r="46" spans="1:6" x14ac:dyDescent="0.3">
      <c r="A46" s="63"/>
      <c r="B46" s="62"/>
      <c r="C46" s="62"/>
      <c r="D46" s="62"/>
      <c r="E46" s="62"/>
      <c r="F46" s="62"/>
    </row>
    <row r="47" spans="1:6" x14ac:dyDescent="0.3">
      <c r="A47" s="63"/>
      <c r="B47" s="62"/>
      <c r="C47" s="62"/>
      <c r="D47" s="62"/>
      <c r="E47" s="62"/>
      <c r="F47" s="62"/>
    </row>
    <row r="48" spans="1:6" x14ac:dyDescent="0.3">
      <c r="A48" s="63"/>
      <c r="B48" s="62"/>
      <c r="C48" s="62"/>
      <c r="D48" s="62"/>
      <c r="E48" s="62"/>
      <c r="F48" s="62"/>
    </row>
    <row r="49" spans="1:6" x14ac:dyDescent="0.3">
      <c r="A49" s="63"/>
      <c r="B49" s="62"/>
      <c r="C49" s="62"/>
      <c r="D49" s="62"/>
      <c r="E49" s="62"/>
      <c r="F49" s="62"/>
    </row>
    <row r="50" spans="1:6" x14ac:dyDescent="0.3">
      <c r="A50" s="63"/>
      <c r="B50" s="62"/>
      <c r="C50" s="62"/>
      <c r="D50" s="62"/>
      <c r="E50" s="62"/>
      <c r="F50" s="62"/>
    </row>
    <row r="51" spans="1:6" x14ac:dyDescent="0.3">
      <c r="A51" s="63"/>
      <c r="B51" s="62"/>
      <c r="C51" s="62"/>
      <c r="D51" s="62"/>
      <c r="E51" s="62"/>
      <c r="F51" s="62"/>
    </row>
    <row r="52" spans="1:6" x14ac:dyDescent="0.3">
      <c r="A52" s="63"/>
      <c r="B52" s="62"/>
      <c r="C52" s="62"/>
      <c r="D52" s="62"/>
      <c r="E52" s="62"/>
      <c r="F52" s="62"/>
    </row>
    <row r="53" spans="1:6" x14ac:dyDescent="0.3">
      <c r="A53" s="63"/>
      <c r="B53" s="62"/>
      <c r="C53" s="62"/>
      <c r="D53" s="62"/>
      <c r="E53" s="62"/>
      <c r="F53" s="62"/>
    </row>
    <row r="54" spans="1:6" x14ac:dyDescent="0.3">
      <c r="A54" s="63"/>
      <c r="B54" s="62"/>
      <c r="C54" s="62"/>
      <c r="D54" s="62"/>
      <c r="E54" s="62"/>
      <c r="F54" s="62"/>
    </row>
    <row r="55" spans="1:6" x14ac:dyDescent="0.3">
      <c r="A55" s="63"/>
      <c r="B55" s="62"/>
      <c r="C55" s="62"/>
      <c r="D55" s="62"/>
      <c r="E55" s="62"/>
      <c r="F55" s="62"/>
    </row>
    <row r="56" spans="1:6" x14ac:dyDescent="0.3">
      <c r="A56" s="63"/>
      <c r="B56" s="62"/>
      <c r="C56" s="62"/>
      <c r="D56" s="62"/>
      <c r="E56" s="62"/>
      <c r="F56" s="62"/>
    </row>
    <row r="57" spans="1:6" x14ac:dyDescent="0.3">
      <c r="A57" s="63"/>
      <c r="B57" s="62"/>
      <c r="C57" s="62"/>
      <c r="D57" s="62"/>
      <c r="E57" s="62"/>
      <c r="F57" s="62"/>
    </row>
    <row r="58" spans="1:6" x14ac:dyDescent="0.3">
      <c r="A58" s="63"/>
      <c r="B58" s="62"/>
      <c r="C58" s="62"/>
      <c r="D58" s="62"/>
      <c r="E58" s="62"/>
      <c r="F58" s="62"/>
    </row>
    <row r="59" spans="1:6" x14ac:dyDescent="0.3">
      <c r="A59" s="63"/>
      <c r="B59" s="62"/>
      <c r="C59" s="62"/>
      <c r="D59" s="62"/>
      <c r="E59" s="62"/>
      <c r="F59" s="62"/>
    </row>
    <row r="60" spans="1:6" x14ac:dyDescent="0.3">
      <c r="A60" s="63"/>
      <c r="B60" s="62"/>
      <c r="C60" s="62"/>
      <c r="D60" s="62"/>
      <c r="E60" s="62"/>
      <c r="F60" s="62"/>
    </row>
    <row r="61" spans="1:6" x14ac:dyDescent="0.3">
      <c r="A61" s="63"/>
      <c r="B61" s="62"/>
      <c r="C61" s="62"/>
      <c r="D61" s="62"/>
      <c r="E61" s="62"/>
      <c r="F61" s="62"/>
    </row>
    <row r="62" spans="1:6" x14ac:dyDescent="0.3">
      <c r="A62" s="63"/>
      <c r="B62" s="62"/>
      <c r="C62" s="62"/>
      <c r="D62" s="62"/>
      <c r="E62" s="62"/>
      <c r="F62" s="62"/>
    </row>
    <row r="63" spans="1:6" x14ac:dyDescent="0.3">
      <c r="A63" s="63"/>
      <c r="B63" s="62"/>
      <c r="C63" s="62"/>
      <c r="D63" s="62"/>
      <c r="E63" s="62"/>
      <c r="F63" s="62"/>
    </row>
    <row r="64" spans="1:6" x14ac:dyDescent="0.3">
      <c r="A64" s="63"/>
      <c r="B64" s="62"/>
      <c r="C64" s="62"/>
      <c r="D64" s="62"/>
      <c r="E64" s="62"/>
      <c r="F64" s="62"/>
    </row>
    <row r="65" spans="1:6" x14ac:dyDescent="0.3">
      <c r="A65" s="63"/>
      <c r="B65" s="62"/>
      <c r="C65" s="62"/>
      <c r="D65" s="62"/>
      <c r="E65" s="62"/>
      <c r="F65" s="62"/>
    </row>
    <row r="66" spans="1:6" x14ac:dyDescent="0.3">
      <c r="A66" s="63"/>
      <c r="B66" s="62"/>
      <c r="C66" s="62"/>
      <c r="D66" s="62"/>
      <c r="E66" s="62"/>
      <c r="F66" s="62"/>
    </row>
    <row r="67" spans="1:6" x14ac:dyDescent="0.3">
      <c r="A67" s="63"/>
      <c r="B67" s="62"/>
      <c r="C67" s="62"/>
      <c r="D67" s="62"/>
      <c r="E67" s="62"/>
      <c r="F67" s="62"/>
    </row>
    <row r="68" spans="1:6" x14ac:dyDescent="0.3">
      <c r="A68" s="63"/>
      <c r="B68" s="62"/>
      <c r="C68" s="62"/>
      <c r="D68" s="62"/>
      <c r="E68" s="62"/>
      <c r="F68" s="62"/>
    </row>
    <row r="69" spans="1:6" x14ac:dyDescent="0.3">
      <c r="A69" s="63"/>
      <c r="B69" s="62"/>
      <c r="C69" s="62"/>
      <c r="D69" s="62"/>
      <c r="E69" s="62"/>
      <c r="F69" s="62"/>
    </row>
    <row r="70" spans="1:6" x14ac:dyDescent="0.3">
      <c r="A70" s="63"/>
      <c r="B70" s="62"/>
      <c r="C70" s="62"/>
      <c r="D70" s="62"/>
      <c r="E70" s="62"/>
      <c r="F70" s="62"/>
    </row>
  </sheetData>
  <protectedRanges>
    <protectedRange password="F48C" sqref="E1:E24 E26:E1048576" name="Скрытые2_1"/>
    <protectedRange password="F48C" sqref="J3:J4" name="Скрытые2"/>
    <protectedRange password="F48C" sqref="B25" name="Скрытые1"/>
  </protectedRanges>
  <mergeCells count="7">
    <mergeCell ref="I7:K8"/>
    <mergeCell ref="I14:J14"/>
    <mergeCell ref="I15:J15"/>
    <mergeCell ref="I9:J9"/>
    <mergeCell ref="I11:J11"/>
    <mergeCell ref="I12:J12"/>
    <mergeCell ref="I13:J1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E16C7E71-C3F8-4ADE-A3CF-0B023C0BB28E}">
          <x14:formula1>
            <xm:f>'C:\Users\u00025471\Desktop\[КФГД ДЕПОЗИТНЫЙ КАЛЬКУЛЯТОР для БВУ.xlsm]данные'!#REF!</xm:f>
          </x14:formula1>
          <xm:sqref>D10</xm:sqref>
        </x14:dataValidation>
        <x14:dataValidation type="list" allowBlank="1" showInputMessage="1" showErrorMessage="1" xr:uid="{77815EDE-A889-40B7-93D9-C83BCACAF312}">
          <x14:formula1>
            <xm:f>данные!$L$2:$L$3</xm:f>
          </x14:formula1>
          <xm:sqref>D16</xm:sqref>
        </x14:dataValidation>
        <x14:dataValidation type="list" allowBlank="1" showInputMessage="1" showErrorMessage="1" xr:uid="{661D57D3-0AB5-4C54-8852-F45BAF575322}">
          <x14:formula1>
            <xm:f>данные!$J$2:$J$3</xm:f>
          </x14:formula1>
          <xm:sqref>G13</xm:sqref>
        </x14:dataValidation>
        <x14:dataValidation type="list" allowBlank="1" showInputMessage="1" showErrorMessage="1" xr:uid="{AE252D9B-4EF1-4557-9B22-1280183D3B18}">
          <x14:formula1>
            <xm:f>данные!$E$8:$E$9</xm:f>
          </x14:formula1>
          <xm:sqref>G14</xm:sqref>
        </x14:dataValidation>
        <x14:dataValidation type="list" allowBlank="1" showInputMessage="1" showErrorMessage="1" xr:uid="{21B64748-4BB4-4951-B02F-1A382DF83F96}">
          <x14:formula1>
            <xm:f>данные!$H$2:$H$4</xm:f>
          </x14:formula1>
          <xm:sqref>G10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депозитный калькулятор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Ярмухаметов Шухрат Турганович</dc:creator>
  <cp:lastModifiedBy>Ярмухаметов Шухрат Турганович</cp:lastModifiedBy>
  <dcterms:created xsi:type="dcterms:W3CDTF">2024-11-07T05:22:46Z</dcterms:created>
  <dcterms:modified xsi:type="dcterms:W3CDTF">2024-11-12T05:54:22Z</dcterms:modified>
</cp:coreProperties>
</file>